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wheele\Desktop\"/>
    </mc:Choice>
  </mc:AlternateContent>
  <bookViews>
    <workbookView xWindow="0" yWindow="0" windowWidth="19200" windowHeight="7068" tabRatio="919"/>
  </bookViews>
  <sheets>
    <sheet name="CCW-1, pgs 1-3" sheetId="29" r:id="rId1"/>
    <sheet name="CCW-1, pg 4" sheetId="46" r:id="rId2"/>
    <sheet name="CCW-1, pg 5" sheetId="50" r:id="rId3"/>
    <sheet name="CCW-1, pg 6" sheetId="61" r:id="rId4"/>
    <sheet name="CCW-1, pg 7" sheetId="49" r:id="rId5"/>
    <sheet name="CCW-1, pg 8-10" sheetId="30" r:id="rId6"/>
    <sheet name="CCW-1, Page 1W" sheetId="70" state="hidden" r:id="rId7"/>
    <sheet name="CCW-1, Page 2W" sheetId="71" state="hidden" r:id="rId8"/>
    <sheet name="CCW-1, Page 3W" sheetId="72" state="hidden" r:id="rId9"/>
    <sheet name="CCW-1, Page 4W" sheetId="73" state="hidden" r:id="rId10"/>
    <sheet name="CCW-1, Page 5W" sheetId="74" state="hidden" r:id="rId11"/>
    <sheet name="CCW-1, Page 6W" sheetId="75" state="hidden" r:id="rId12"/>
    <sheet name="CCW-1, pg 11" sheetId="76" r:id="rId13"/>
    <sheet name="CCW-1, pg 12" sheetId="77" r:id="rId14"/>
    <sheet name="CCW-1, pg 13" sheetId="78" r:id="rId15"/>
    <sheet name="CCW-1, pg 14" sheetId="79" r:id="rId16"/>
    <sheet name="CCW-1, pg 15" sheetId="80" r:id="rId17"/>
    <sheet name="CCW-1, pg 16" sheetId="81" r:id="rId18"/>
    <sheet name="Table or Figure" sheetId="69" r:id="rId19"/>
    <sheet name="MP-CF (WP)" sheetId="3" r:id="rId20"/>
    <sheet name="MP-BV (WP)" sheetId="15" r:id="rId21"/>
    <sheet name="DIV-MP (WP)" sheetId="38" r:id="rId22"/>
    <sheet name="DIV-BV (WP)" sheetId="22" r:id="rId23"/>
    <sheet name="DIV-Earnings (WP)" sheetId="23" r:id="rId24"/>
    <sheet name="CF-Cap Spend (WP)" sheetId="24" r:id="rId25"/>
    <sheet name="CapSpendCashFlow" sheetId="48" r:id="rId26"/>
    <sheet name="2023 Data (WP)" sheetId="87" r:id="rId27"/>
    <sheet name="2022 Data (WP)" sheetId="86" r:id="rId28"/>
    <sheet name="2021 Data (WP)" sheetId="83" r:id="rId29"/>
    <sheet name="2020 Data (WP)" sheetId="67" r:id="rId30"/>
    <sheet name="2019 Data (WP)" sheetId="10" r:id="rId31"/>
    <sheet name="2018 data" sheetId="65" r:id="rId32"/>
    <sheet name="2020" sheetId="84" r:id="rId33"/>
    <sheet name="2019" sheetId="85" r:id="rId34"/>
    <sheet name="2018" sheetId="66" r:id="rId35"/>
    <sheet name="2017" sheetId="21" r:id="rId36"/>
    <sheet name="2016" sheetId="59" r:id="rId37"/>
    <sheet name="Sheet2" sheetId="60" state="hidden" r:id="rId38"/>
    <sheet name="P-E Ratio (WP)" sheetId="2" r:id="rId39"/>
    <sheet name="MP" sheetId="13" r:id="rId40"/>
    <sheet name="CF" sheetId="11" r:id="rId41"/>
    <sheet name="EPS" sheetId="19" r:id="rId42"/>
    <sheet name="DIV" sheetId="18" r:id="rId43"/>
    <sheet name="CapS" sheetId="20" r:id="rId44"/>
    <sheet name="BV" sheetId="14" r:id="rId45"/>
    <sheet name="Annual Yields (WP)" sheetId="39" r:id="rId46"/>
    <sheet name="Implied Inflation" sheetId="56" r:id="rId47"/>
    <sheet name="FRED 20 yr TIPS monthly" sheetId="57" r:id="rId48"/>
    <sheet name="Treas 20 yr" sheetId="58" r:id="rId49"/>
    <sheet name="Baa-Rated Yields (WP)" sheetId="68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xlnm._FilterDatabase" localSheetId="36" hidden="1">'2016'!$A$4:$Q$73</definedName>
    <definedName name="_xlnm._FilterDatabase" localSheetId="35" hidden="1">'2017'!$A$4:$AB$75</definedName>
    <definedName name="_xlnm._FilterDatabase" localSheetId="30" hidden="1">'2019 Data (WP)'!$A$8:$AK$74</definedName>
    <definedName name="_xlnm._FilterDatabase" localSheetId="29" hidden="1">'2020 Data (WP)'!$A$8:$AK$74</definedName>
    <definedName name="_xlnm._FilterDatabase" localSheetId="28" hidden="1">'2021 Data (WP)'!$A$8:$AK$74</definedName>
    <definedName name="_xlnm._FilterDatabase" localSheetId="27" hidden="1">'2022 Data (WP)'!$A$8:$AK$74</definedName>
    <definedName name="_xlnm._FilterDatabase" localSheetId="26" hidden="1">'2023 Data (WP)'!$A$8:$AM$74</definedName>
    <definedName name="_xlnm._FilterDatabase" localSheetId="44" hidden="1">BV!$A$3:$R$73</definedName>
    <definedName name="_xlnm._FilterDatabase" localSheetId="43" hidden="1">CapS!$A$3:$R$72</definedName>
    <definedName name="_xlnm._FilterDatabase" localSheetId="25" hidden="1">CapSpendCashFlow!$A$3:$J$71</definedName>
    <definedName name="_xlnm._FilterDatabase" localSheetId="40" hidden="1">CF!$A$3:$R$73</definedName>
    <definedName name="_xlnm._FilterDatabase" localSheetId="24" hidden="1">'CF-Cap Spend (WP)'!$A$4:$X$78</definedName>
    <definedName name="_xlnm._FilterDatabase" localSheetId="42" hidden="1">DIV!$A$3:$R$72</definedName>
    <definedName name="_xlnm._FilterDatabase" localSheetId="22" hidden="1">'DIV-BV (WP)'!$A$4:$X$79</definedName>
    <definedName name="_xlnm._FilterDatabase" localSheetId="23" hidden="1">'DIV-Earnings (WP)'!$A$4:$X$78</definedName>
    <definedName name="_xlnm._FilterDatabase" localSheetId="21" hidden="1">'DIV-MP (WP)'!$A$4:$X$78</definedName>
    <definedName name="_xlnm._FilterDatabase" localSheetId="41" hidden="1">EPS!$A$3:$R$72</definedName>
    <definedName name="_xlnm._FilterDatabase" localSheetId="39" hidden="1">MP!$A$3:$S$73</definedName>
    <definedName name="_xlnm._FilterDatabase" localSheetId="20" hidden="1">'MP-BV (WP)'!$A$4:$Y$78</definedName>
    <definedName name="_xlnm._FilterDatabase" localSheetId="19" hidden="1">'MP-CF (WP)'!$A$4:$Z$78</definedName>
    <definedName name="_xlnm._FilterDatabase" localSheetId="38" hidden="1">'P-E Ratio (WP)'!$A$4:$W$79</definedName>
    <definedName name="_Key1" localSheetId="36" hidden="1">#REF!</definedName>
    <definedName name="_Key1" localSheetId="33" hidden="1">#REF!</definedName>
    <definedName name="_Key1" localSheetId="32" hidden="1">#REF!</definedName>
    <definedName name="_Key1" localSheetId="29" hidden="1">#REF!</definedName>
    <definedName name="_Key1" localSheetId="27" hidden="1">#REF!</definedName>
    <definedName name="_Key1" localSheetId="26" hidden="1">#REF!</definedName>
    <definedName name="_Key1" localSheetId="49" hidden="1">#REF!</definedName>
    <definedName name="_Key1" localSheetId="9" hidden="1">#REF!</definedName>
    <definedName name="_Key1" localSheetId="15" hidden="1">#REF!</definedName>
    <definedName name="_Key1" localSheetId="3" hidden="1">#REF!</definedName>
    <definedName name="_Key1" localSheetId="46" hidden="1">#REF!</definedName>
    <definedName name="_Key1" hidden="1">#REF!</definedName>
    <definedName name="_Key2" localSheetId="36" hidden="1">#REF!</definedName>
    <definedName name="_Key2" localSheetId="33" hidden="1">#REF!</definedName>
    <definedName name="_Key2" localSheetId="32" hidden="1">#REF!</definedName>
    <definedName name="_Key2" localSheetId="29" hidden="1">#REF!</definedName>
    <definedName name="_Key2" localSheetId="27" hidden="1">#REF!</definedName>
    <definedName name="_Key2" localSheetId="26" hidden="1">#REF!</definedName>
    <definedName name="_Key2" localSheetId="49" hidden="1">#REF!</definedName>
    <definedName name="_Key2" localSheetId="9" hidden="1">#REF!</definedName>
    <definedName name="_Key2" localSheetId="15" hidden="1">#REF!</definedName>
    <definedName name="_Key2" localSheetId="3" hidden="1">#REF!</definedName>
    <definedName name="_Key2" localSheetId="46" hidden="1">#REF!</definedName>
    <definedName name="_Key2" hidden="1">#REF!</definedName>
    <definedName name="_Order1" hidden="1">255</definedName>
    <definedName name="_Order2" hidden="1">255</definedName>
    <definedName name="_Regression_Out" localSheetId="36" hidden="1">#REF!</definedName>
    <definedName name="_Regression_Out" localSheetId="33" hidden="1">#REF!</definedName>
    <definedName name="_Regression_Out" localSheetId="32" hidden="1">#REF!</definedName>
    <definedName name="_Regression_Out" localSheetId="29" hidden="1">#REF!</definedName>
    <definedName name="_Regression_Out" localSheetId="27" hidden="1">#REF!</definedName>
    <definedName name="_Regression_Out" localSheetId="26" hidden="1">#REF!</definedName>
    <definedName name="_Regression_Out" localSheetId="49" hidden="1">#REF!</definedName>
    <definedName name="_Regression_Out" localSheetId="9" hidden="1">#REF!</definedName>
    <definedName name="_Regression_Out" localSheetId="15" hidden="1">#REF!</definedName>
    <definedName name="_Regression_Out" localSheetId="3" hidden="1">#REF!</definedName>
    <definedName name="_Regression_Out" localSheetId="46" hidden="1">#REF!</definedName>
    <definedName name="_Regression_Out" hidden="1">#REF!</definedName>
    <definedName name="_Regression_X" localSheetId="36" hidden="1">#REF!</definedName>
    <definedName name="_Regression_X" localSheetId="33" hidden="1">#REF!</definedName>
    <definedName name="_Regression_X" localSheetId="32" hidden="1">#REF!</definedName>
    <definedName name="_Regression_X" localSheetId="29" hidden="1">#REF!</definedName>
    <definedName name="_Regression_X" localSheetId="27" hidden="1">#REF!</definedName>
    <definedName name="_Regression_X" localSheetId="26" hidden="1">#REF!</definedName>
    <definedName name="_Regression_X" localSheetId="49" hidden="1">#REF!</definedName>
    <definedName name="_Regression_X" localSheetId="9" hidden="1">#REF!</definedName>
    <definedName name="_Regression_X" localSheetId="15" hidden="1">#REF!</definedName>
    <definedName name="_Regression_X" localSheetId="3" hidden="1">#REF!</definedName>
    <definedName name="_Regression_X" localSheetId="46" hidden="1">#REF!</definedName>
    <definedName name="_Regression_X" hidden="1">#REF!</definedName>
    <definedName name="_Regression_Y" localSheetId="36" hidden="1">#REF!</definedName>
    <definedName name="_Regression_Y" localSheetId="33" hidden="1">#REF!</definedName>
    <definedName name="_Regression_Y" localSheetId="32" hidden="1">#REF!</definedName>
    <definedName name="_Regression_Y" localSheetId="29" hidden="1">#REF!</definedName>
    <definedName name="_Regression_Y" localSheetId="27" hidden="1">#REF!</definedName>
    <definedName name="_Regression_Y" localSheetId="26" hidden="1">#REF!</definedName>
    <definedName name="_Regression_Y" localSheetId="49" hidden="1">#REF!</definedName>
    <definedName name="_Regression_Y" localSheetId="9" hidden="1">#REF!</definedName>
    <definedName name="_Regression_Y" localSheetId="15" hidden="1">#REF!</definedName>
    <definedName name="_Regression_Y" localSheetId="3" hidden="1">#REF!</definedName>
    <definedName name="_Regression_Y" localSheetId="46" hidden="1">#REF!</definedName>
    <definedName name="_Regression_Y" hidden="1">#REF!</definedName>
    <definedName name="_Sort" localSheetId="36" hidden="1">#REF!</definedName>
    <definedName name="_Sort" localSheetId="33" hidden="1">#REF!</definedName>
    <definedName name="_Sort" localSheetId="32" hidden="1">#REF!</definedName>
    <definedName name="_Sort" localSheetId="29" hidden="1">#REF!</definedName>
    <definedName name="_Sort" localSheetId="27" hidden="1">#REF!</definedName>
    <definedName name="_Sort" localSheetId="26" hidden="1">#REF!</definedName>
    <definedName name="_Sort" localSheetId="49" hidden="1">#REF!</definedName>
    <definedName name="_Sort" localSheetId="9" hidden="1">#REF!</definedName>
    <definedName name="_Sort" localSheetId="15" hidden="1">#REF!</definedName>
    <definedName name="_Sort" localSheetId="3" hidden="1">#REF!</definedName>
    <definedName name="_Sort" localSheetId="46" hidden="1">#REF!</definedName>
    <definedName name="_Sort" hidden="1">#REF!</definedName>
    <definedName name="BookValue" localSheetId="49">[1]BV!$B$3:$M$86</definedName>
    <definedName name="BookValue">BV!$B$3:$Q$86</definedName>
    <definedName name="CapCash" localSheetId="49">[1]CapSpendCashFlow!$A$1:$J$100</definedName>
    <definedName name="CapCash">CapSpendCashFlow!$A$1:$J$100</definedName>
    <definedName name="CapCashTic" localSheetId="49">[1]CapSpendCashFlow!$B$1:$B$100</definedName>
    <definedName name="CapCashTic">CapSpendCashFlow!$B$1:$B$100</definedName>
    <definedName name="CapSpending" localSheetId="49">[1]CapS!$B$3:$M$85</definedName>
    <definedName name="CapSpending">CapS!$B$3:$Q$85</definedName>
    <definedName name="CashFlow" localSheetId="49">[1]CF!$B$3:$M$86</definedName>
    <definedName name="CashFlow">CF!$B$3:$Q$86</definedName>
    <definedName name="CF_CAP_WP" localSheetId="49">'[1]CF-Cap Spend (WP)'!$B$4:$Q$86</definedName>
    <definedName name="CF_CAP_WP">'CF-Cap Spend (WP)'!$B$4:$U$86</definedName>
    <definedName name="Data2022">'2022 Data (WP)'!$D$9:$AC$76</definedName>
    <definedName name="Data2023">'2023 Data (WP)'!$D$9:$AE$76</definedName>
    <definedName name="DIV_BV_WP" localSheetId="49">'[1]DIV-BV (WP)'!$B$4:$Q$87</definedName>
    <definedName name="DIV_BV_WP">'DIV-BV (WP)'!$B$4:$U$87</definedName>
    <definedName name="DIV_EARN_WP" localSheetId="49">'[1]DIV-Earnings (WP)'!$B$4:$Q$89</definedName>
    <definedName name="DIV_EARN_WP">'DIV-Earnings (WP)'!$B$4:$U$89</definedName>
    <definedName name="DIV_MP_WP" localSheetId="49">'[1]DIV-MP (WP)'!$B$4:$Q$89</definedName>
    <definedName name="DIV_MP_WP">'DIV-MP (WP)'!$B$4:$U$89</definedName>
    <definedName name="Dividends" localSheetId="49">[1]DIV!$B$3:$M$86</definedName>
    <definedName name="Dividends">DIV!$B$3:$Q$86</definedName>
    <definedName name="Earnings" localSheetId="49">[1]EPS!$B$3:$M$86</definedName>
    <definedName name="Earnings">EPS!$B$3:$Q$86</definedName>
    <definedName name="ElectricU" localSheetId="49">'[1]1.7, Page 1-3'!$C$1</definedName>
    <definedName name="ElectricU">'CCW-1, pgs 1-3'!$C$1</definedName>
    <definedName name="EV__LASTREFTIME__" hidden="1">39198.5712152778</definedName>
    <definedName name="GasU" localSheetId="33">#REF!</definedName>
    <definedName name="GasU" localSheetId="32">#REF!</definedName>
    <definedName name="GasU" localSheetId="29">#REF!</definedName>
    <definedName name="GasU" localSheetId="27">#REF!</definedName>
    <definedName name="GasU" localSheetId="26">#REF!</definedName>
    <definedName name="GasU" localSheetId="49">'[1]1.7 Page 11'!$C$1</definedName>
    <definedName name="GasU">#REF!</definedName>
    <definedName name="HTML_CodePage" hidden="1">1252</definedName>
    <definedName name="HTML_Control" localSheetId="49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49" hidden="1">{"'Sheet1'!$A$1:$O$40"}</definedName>
    <definedName name="jhlkqFL" hidden="1">{"'Sheet1'!$A$1:$O$40"}</definedName>
    <definedName name="LASTYR" localSheetId="49">OFFSET('[1]2017'!$A$5,0,0,'[1]2017'!$A$2,MAX('[1]2017'!$A$3:$AB$3))</definedName>
    <definedName name="LASTYR">OFFSET('2017'!$A$5,0,0,'2017'!$A$2,MAX('2017'!$A$3:$AB$3))</definedName>
    <definedName name="LUCurYr" localSheetId="49">'[1]2018 Data (WP)'!$D$9:$AC$73</definedName>
    <definedName name="LUCurYr">'2019 Data (WP)'!$D$9:$AC$73</definedName>
    <definedName name="LUCurYr_current" localSheetId="29">'2020 Data (WP)'!$D$9:$AC$73</definedName>
    <definedName name="lucyr">'2020 Data (WP)'!$D$9:$AC$73</definedName>
    <definedName name="lucyyr">'2021 Data (WP)'!$D$9:$AC$73</definedName>
    <definedName name="MarketPrice" localSheetId="49">[1]MP!$B$3:$M$86</definedName>
    <definedName name="MarketPrice">MP!$B$3:$Q$86</definedName>
    <definedName name="month_yr">OFFSET('[2]Moodys Yields(WP)'!$O$4,0,0,'[2]Moodys Yields(WP)'!$A$1-3,1)</definedName>
    <definedName name="MoodysDalies">OFFSET('[2]Moodys Yields(WP)'!$A$4:$Q$4,0,0,'[2]Moodys Yields(WP)'!$A$1-ROW('[2]Moodys Yields(WP)'!$A$3),'[2]Moodys Yields(WP)'!$Q$2)</definedName>
    <definedName name="MP_BV_WP" localSheetId="49">'[1]MP-BV (WP)'!$B$4:$U$86</definedName>
    <definedName name="MP_BV_WP">'MP-BV (WP)'!$B$4:$Y$86</definedName>
    <definedName name="MP_CF_WP" localSheetId="49">'[1]MP-CF (WP)'!$B$4:$U$86</definedName>
    <definedName name="MP_CF_WP">'MP-CF (WP)'!$B$4:$Z$86</definedName>
    <definedName name="nameLU" localSheetId="49">OFFSET([1]CF!$A$4,0,0,[1]CF!$B$1,1)</definedName>
    <definedName name="nameLU">OFFSET(CF!$A$4,0,0,CF!$B$1,1)</definedName>
    <definedName name="PE_WP" localSheetId="49">'[1]P-E Ratio (WP)'!$B$5:$S$88</definedName>
    <definedName name="PE_WP">'P-E Ratio (WP)'!$B$5:$W$88</definedName>
    <definedName name="_xlnm.Print_Area" localSheetId="30">'2019 Data (WP)'!$C$1:$Y$84</definedName>
    <definedName name="_xlnm.Print_Area" localSheetId="29">'2020 Data (WP)'!$C$1:$Y$84</definedName>
    <definedName name="_xlnm.Print_Area" localSheetId="28">'2021 Data (WP)'!$D$5:$AE$88</definedName>
    <definedName name="_xlnm.Print_Area" localSheetId="27">'2022 Data (WP)'!$D$5:$AE$88</definedName>
    <definedName name="_xlnm.Print_Area" localSheetId="26">'2023 Data (WP)'!$D$5:$AG$88</definedName>
    <definedName name="_xlnm.Print_Area" localSheetId="25">CapSpendCashFlow!$A$1:$K$68</definedName>
    <definedName name="_xlnm.Print_Area" localSheetId="6">'CCW-1, Page 1W'!$C$1:$W$181</definedName>
    <definedName name="_xlnm.Print_Area" localSheetId="7">'CCW-1, Page 2W'!$C$1:$W$166</definedName>
    <definedName name="_xlnm.Print_Area" localSheetId="8">'CCW-1, Page 3W'!$C$1:$Y$72</definedName>
    <definedName name="_xlnm.Print_Area" localSheetId="9">'CCW-1, Page 4W'!$C$1:$W$72</definedName>
    <definedName name="_xlnm.Print_Area" localSheetId="10">'CCW-1, Page 5W'!$C$1:$N$71</definedName>
    <definedName name="_xlnm.Print_Area" localSheetId="11">'CCW-1, Page 6W'!$C$1:$W$182</definedName>
    <definedName name="_xlnm.Print_Area" localSheetId="12">'CCW-1, pg 11'!$C$1:$X$181</definedName>
    <definedName name="_xlnm.Print_Area" localSheetId="13">'CCW-1, pg 12'!$C$1:$X$165</definedName>
    <definedName name="_xlnm.Print_Area" localSheetId="14">'CCW-1, pg 13'!$C$1:$Z$71</definedName>
    <definedName name="_xlnm.Print_Area" localSheetId="15">'CCW-1, pg 14'!$C$1:$X$71</definedName>
    <definedName name="_xlnm.Print_Area" localSheetId="16">'CCW-1, pg 15'!$C$1:$Q$69</definedName>
    <definedName name="_xlnm.Print_Area" localSheetId="17">'CCW-1, pg 16'!$C$1:$X$181</definedName>
    <definedName name="_xlnm.Print_Area" localSheetId="1">'CCW-1, pg 4'!$C$1:$X$124</definedName>
    <definedName name="_xlnm.Print_Area" localSheetId="2">'CCW-1, pg 5'!$C$1:$X$67</definedName>
    <definedName name="_xlnm.Print_Area" localSheetId="3">'CCW-1, pg 6'!$C$1:$X$70</definedName>
    <definedName name="_xlnm.Print_Area" localSheetId="4">'CCW-1, pg 7'!$C$1:$Q$65</definedName>
    <definedName name="_xlnm.Print_Area" localSheetId="5">'CCW-1, pg 8-10'!$C$1:$X$194</definedName>
    <definedName name="_xlnm.Print_Area" localSheetId="0">'CCW-1, pgs 1-3'!$C$1:$AB$195</definedName>
    <definedName name="_xlnm.Print_Area" localSheetId="24">'CF-Cap Spend (WP)'!$A$1:$U$79</definedName>
    <definedName name="_xlnm.Print_Area" localSheetId="22">'DIV-BV (WP)'!$A$1:$U$80</definedName>
    <definedName name="_xlnm.Print_Area" localSheetId="23">'DIV-Earnings (WP)'!$A$1:$U$79</definedName>
    <definedName name="_xlnm.Print_Area" localSheetId="21">'DIV-MP (WP)'!$A$1:$U$79</definedName>
    <definedName name="_xlnm.Print_Area" localSheetId="46">'Implied Inflation'!$A$1:$F$46</definedName>
    <definedName name="_xlnm.Print_Area" localSheetId="20">'MP-BV (WP)'!$A$1:$V$79</definedName>
    <definedName name="_xlnm.Print_Area" localSheetId="19">'MP-CF (WP)'!$A$1:$Z$79</definedName>
    <definedName name="_xlnm.Print_Area" localSheetId="38">'P-E Ratio (WP)'!$A$1:$W$81</definedName>
    <definedName name="_xlnm.Print_Area" localSheetId="18">'Table or Figure'!$B$1:$S$45</definedName>
    <definedName name="_xlnm.Print_Titles" localSheetId="36">'2016'!$4:$4</definedName>
    <definedName name="_xlnm.Print_Titles" localSheetId="35">'2017'!$4:$4</definedName>
    <definedName name="_xlnm.Print_Titles" localSheetId="30">'2019 Data (WP)'!$5:$7</definedName>
    <definedName name="_xlnm.Print_Titles" localSheetId="29">'2020 Data (WP)'!$5:$7</definedName>
    <definedName name="_xlnm.Print_Titles" localSheetId="44">BV!$A:$B,BV!$1:$3</definedName>
    <definedName name="_xlnm.Print_Titles" localSheetId="43">CapS!$A:$B,CapS!$1:$3</definedName>
    <definedName name="_xlnm.Print_Titles" localSheetId="6">'CCW-1, Page 1W'!$1:$6</definedName>
    <definedName name="_xlnm.Print_Titles" localSheetId="7">'CCW-1, Page 2W'!$1:$6</definedName>
    <definedName name="_xlnm.Print_Titles" localSheetId="8">'CCW-1, Page 3W'!$1:$6</definedName>
    <definedName name="_xlnm.Print_Titles" localSheetId="9">'CCW-1, Page 4W'!$1:$6</definedName>
    <definedName name="_xlnm.Print_Titles" localSheetId="10">'CCW-1, Page 5W'!$1:$6</definedName>
    <definedName name="_xlnm.Print_Titles" localSheetId="11">'CCW-1, Page 6W'!$1:$6</definedName>
    <definedName name="_xlnm.Print_Titles" localSheetId="12">'CCW-1, pg 11'!$1:$6</definedName>
    <definedName name="_xlnm.Print_Titles" localSheetId="13">'CCW-1, pg 12'!$1:$6</definedName>
    <definedName name="_xlnm.Print_Titles" localSheetId="14">'CCW-1, pg 13'!$1:$6</definedName>
    <definedName name="_xlnm.Print_Titles" localSheetId="15">'CCW-1, pg 14'!$1:$6</definedName>
    <definedName name="_xlnm.Print_Titles" localSheetId="16">'CCW-1, pg 15'!$1:$6</definedName>
    <definedName name="_xlnm.Print_Titles" localSheetId="17">'CCW-1, pg 16'!$1:$6</definedName>
    <definedName name="_xlnm.Print_Titles" localSheetId="1">'CCW-1, pg 4'!$1:$6</definedName>
    <definedName name="_xlnm.Print_Titles" localSheetId="2">'CCW-1, pg 5'!$1:$6</definedName>
    <definedName name="_xlnm.Print_Titles" localSheetId="3">'CCW-1, pg 6'!$1:$6</definedName>
    <definedName name="_xlnm.Print_Titles" localSheetId="4">'CCW-1, pg 7'!$1:$6</definedName>
    <definedName name="_xlnm.Print_Titles" localSheetId="5">'CCW-1, pg 8-10'!$1:$6</definedName>
    <definedName name="_xlnm.Print_Titles" localSheetId="0">'CCW-1, pgs 1-3'!$1:$6</definedName>
    <definedName name="_xlnm.Print_Titles" localSheetId="40">CF!$A:$B,CF!$1:$3</definedName>
    <definedName name="_xlnm.Print_Titles" localSheetId="24">'CF-Cap Spend (WP)'!$B:$C,'CF-Cap Spend (WP)'!$1:$3</definedName>
    <definedName name="_xlnm.Print_Titles" localSheetId="42">DIV!$A:$B,DIV!$1:$3</definedName>
    <definedName name="_xlnm.Print_Titles" localSheetId="22">'DIV-BV (WP)'!$B:$C,'DIV-BV (WP)'!$1:$3</definedName>
    <definedName name="_xlnm.Print_Titles" localSheetId="23">'DIV-Earnings (WP)'!$B:$C,'DIV-Earnings (WP)'!$1:$3</definedName>
    <definedName name="_xlnm.Print_Titles" localSheetId="21">'DIV-MP (WP)'!$B:$C,'DIV-MP (WP)'!$1:$3</definedName>
    <definedName name="_xlnm.Print_Titles" localSheetId="41">EPS!$A:$B,EPS!$1:$3</definedName>
    <definedName name="_xlnm.Print_Titles" localSheetId="39">MP!$A:$B,MP!$1:$3</definedName>
    <definedName name="_xlnm.Print_Titles" localSheetId="20">'MP-BV (WP)'!$B:$C,'MP-BV (WP)'!$1:$3</definedName>
    <definedName name="_xlnm.Print_Titles" localSheetId="19">'MP-CF (WP)'!$B:$C,'MP-CF (WP)'!$1:$3</definedName>
    <definedName name="_xlnm.Print_Titles" localSheetId="38">'P-E Ratio (WP)'!$B:$C,'P-E Ratio (WP)'!$2:$4</definedName>
    <definedName name="_xlnm.Print_Titles">#N/A</definedName>
    <definedName name="SAPBEXrevision" hidden="1">41</definedName>
    <definedName name="SAPBEXsysID" hidden="1">"PBW"</definedName>
    <definedName name="SAPBEXwbID" hidden="1">"3TD2FVG7ME7U056LVECBWI4A2"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tickerLU" localSheetId="49">OFFSET([1]CF!$B$4,0,0,[1]CF!$B$1,1)</definedName>
    <definedName name="tickerLU">OFFSET(CF!$B$4,0,0,CF!$B$1,1)</definedName>
    <definedName name="TIPS_20yr" localSheetId="49">OFFSET('[1]FRED 20 yr TIPS monthly'!$A$8,0,0,'[1]FRED 20 yr TIPS monthly'!$E$7,2)</definedName>
    <definedName name="TIPS_20yr">OFFSET('FRED 20 yr TIPS monthly'!$A$8,0,0,'FRED 20 yr TIPS monthly'!$E$7,2)</definedName>
    <definedName name="Treas_20_Yr" localSheetId="49">OFFSET('[1]Treas 20 yr'!$A$1,0,0,'[1]Treas 20 yr'!$E$4,2)</definedName>
    <definedName name="Treas_20_Yr">OFFSET('Treas 20 yr'!$A$1,0,0,'Treas 20 yr'!$E$4,2)</definedName>
    <definedName name="Twoyrs" localSheetId="36">OFFSET('2016'!$A$5,0,0,'2016'!$A$2,MAX('2016'!$A$3:$AI$3))</definedName>
    <definedName name="WaterU" localSheetId="33">#REF!</definedName>
    <definedName name="WaterU" localSheetId="32">#REF!</definedName>
    <definedName name="WaterU" localSheetId="29">#REF!</definedName>
    <definedName name="WaterU" localSheetId="27">#REF!</definedName>
    <definedName name="WaterU" localSheetId="26">#REF!</definedName>
    <definedName name="WaterU" localSheetId="49">'[1]Water -1'!$C$1</definedName>
    <definedName name="WaterU">#REF!</definedName>
    <definedName name="xxx" localSheetId="49" hidden="1">{"'Sheet1'!$A$1:$O$40"}</definedName>
    <definedName name="xxx" hidden="1">{"'Sheet1'!$A$1:$O$40"}</definedName>
    <definedName name="zzz" localSheetId="49" hidden="1">{"'Sheet1'!$A$1:$O$40"}</definedName>
    <definedName name="zzz" hidden="1">{"'Sheet1'!$A$1:$O$40"}</definedName>
  </definedNames>
  <calcPr calcId="162913"/>
</workbook>
</file>

<file path=xl/calcChain.xml><?xml version="1.0" encoding="utf-8"?>
<calcChain xmlns="http://schemas.openxmlformats.org/spreadsheetml/2006/main">
  <c r="E245" i="57" l="1"/>
  <c r="E860" i="58"/>
  <c r="P12" i="80" l="1"/>
  <c r="J69" i="87" l="1"/>
  <c r="J68" i="87"/>
  <c r="J67" i="87"/>
  <c r="J66" i="87"/>
  <c r="J65" i="87"/>
  <c r="J64" i="87"/>
  <c r="J63" i="87"/>
  <c r="J62" i="87"/>
  <c r="J61" i="87"/>
  <c r="J59" i="87"/>
  <c r="J58" i="87"/>
  <c r="J57" i="87"/>
  <c r="J56" i="87"/>
  <c r="J55" i="87"/>
  <c r="J54" i="87"/>
  <c r="J53" i="87"/>
  <c r="J52" i="87"/>
  <c r="J51" i="87"/>
  <c r="J50" i="87"/>
  <c r="J49" i="87"/>
  <c r="J48" i="87"/>
  <c r="J47" i="87"/>
  <c r="J46" i="87"/>
  <c r="J45" i="87"/>
  <c r="J44" i="87"/>
  <c r="J43" i="87"/>
  <c r="J42" i="87"/>
  <c r="J41" i="87"/>
  <c r="J40" i="87"/>
  <c r="J38" i="87"/>
  <c r="J37" i="87"/>
  <c r="J36" i="87"/>
  <c r="J35" i="87"/>
  <c r="J34" i="87"/>
  <c r="J33" i="87"/>
  <c r="J32" i="87"/>
  <c r="J31" i="87"/>
  <c r="J30" i="87"/>
  <c r="J29" i="87"/>
  <c r="J28" i="87"/>
  <c r="J27" i="87"/>
  <c r="J26" i="87"/>
  <c r="J25" i="87"/>
  <c r="J24" i="87"/>
  <c r="J23" i="87"/>
  <c r="J22" i="87"/>
  <c r="J20" i="87"/>
  <c r="J19" i="87"/>
  <c r="J17" i="87"/>
  <c r="J16" i="87"/>
  <c r="J15" i="87"/>
  <c r="J14" i="87"/>
  <c r="I21" i="78" l="1"/>
  <c r="AQ21" i="78" s="1"/>
  <c r="I22" i="78"/>
  <c r="AQ22" i="78" s="1"/>
  <c r="I20" i="78"/>
  <c r="AQ20" i="78" s="1"/>
  <c r="I14" i="78"/>
  <c r="AQ14" i="78" s="1"/>
  <c r="I15" i="78"/>
  <c r="AQ15" i="78" s="1"/>
  <c r="I16" i="78"/>
  <c r="AQ16" i="78" s="1"/>
  <c r="I17" i="78"/>
  <c r="AQ17" i="78" s="1"/>
  <c r="I18" i="78"/>
  <c r="AQ18" i="78" s="1"/>
  <c r="I13" i="78"/>
  <c r="AQ13" i="78" s="1"/>
  <c r="J12" i="78"/>
  <c r="K12" i="78"/>
  <c r="V41" i="87" l="1"/>
  <c r="E244" i="57" l="1"/>
  <c r="B5141" i="57"/>
  <c r="B5112" i="57"/>
  <c r="B5087" i="57"/>
  <c r="B5077" i="57"/>
  <c r="B5072" i="57"/>
  <c r="B5050" i="57"/>
  <c r="B5017" i="57"/>
  <c r="B4992" i="57"/>
  <c r="B4948" i="57"/>
  <c r="B4937" i="57"/>
  <c r="B4922" i="57"/>
  <c r="B4852" i="57"/>
  <c r="B4827" i="57"/>
  <c r="B4817" i="57"/>
  <c r="B4812" i="57"/>
  <c r="B4790" i="57"/>
  <c r="B4781" i="57"/>
  <c r="B4757" i="57"/>
  <c r="B4732" i="57"/>
  <c r="B4687" i="57"/>
  <c r="B4677" i="57"/>
  <c r="B4662" i="57"/>
  <c r="B4631" i="57"/>
  <c r="B4592" i="57"/>
  <c r="B4567" i="57"/>
  <c r="B4551" i="57"/>
  <c r="B4530" i="57"/>
  <c r="B4520" i="57"/>
  <c r="B4497" i="57"/>
  <c r="B4472" i="57"/>
  <c r="B4427" i="57"/>
  <c r="B4402" i="57"/>
  <c r="B4327" i="57"/>
  <c r="B4307" i="57"/>
  <c r="B4296" i="57"/>
  <c r="B4291" i="57"/>
  <c r="B4270" i="57"/>
  <c r="B4259" i="57"/>
  <c r="B4237" i="57"/>
  <c r="B4212" i="57"/>
  <c r="B4166" i="57"/>
  <c r="B4137" i="57"/>
  <c r="B4106" i="57"/>
  <c r="B4067" i="57"/>
  <c r="B4047" i="57"/>
  <c r="B4034" i="57"/>
  <c r="B4029" i="57"/>
  <c r="B4010" i="57"/>
  <c r="B3997" i="57"/>
  <c r="B3977" i="57"/>
  <c r="B3947" i="57"/>
  <c r="B3905" i="57"/>
  <c r="B3877" i="57"/>
  <c r="B3851" i="57"/>
  <c r="B3807" i="57"/>
  <c r="B3787" i="57"/>
  <c r="B3773" i="57"/>
  <c r="B3768" i="57"/>
  <c r="B3754" i="57"/>
  <c r="B3745" i="57"/>
  <c r="B3737" i="57"/>
  <c r="B3712" i="57"/>
  <c r="B3687" i="57"/>
  <c r="B3644" i="57"/>
  <c r="B3617" i="57"/>
  <c r="B3576" i="57"/>
  <c r="B3547" i="57"/>
  <c r="B3522" i="57"/>
  <c r="B3512" i="57"/>
  <c r="B3507" i="57"/>
  <c r="B3485" i="57"/>
  <c r="B3452" i="57"/>
  <c r="B3427" i="57"/>
  <c r="B3383" i="57"/>
  <c r="B3357" i="57"/>
  <c r="B3326" i="57"/>
  <c r="B3287" i="57"/>
  <c r="B3262" i="57"/>
  <c r="B3252" i="57"/>
  <c r="B3247" i="57"/>
  <c r="B3225" i="57"/>
  <c r="B3216" i="57"/>
  <c r="B3192" i="57"/>
  <c r="B3167" i="57"/>
  <c r="B3122" i="57"/>
  <c r="B3097" i="57"/>
  <c r="B3051" i="57"/>
  <c r="B3022" i="57"/>
  <c r="B3002" i="57"/>
  <c r="B2991" i="57"/>
  <c r="B2986" i="57"/>
  <c r="B2965" i="57"/>
  <c r="B2954" i="57"/>
  <c r="B2932" i="57"/>
  <c r="B2907" i="57"/>
  <c r="B2861" i="57"/>
  <c r="B2832" i="57"/>
  <c r="B2762" i="57"/>
  <c r="B2742" i="57"/>
  <c r="B2730" i="57"/>
  <c r="B2725" i="57"/>
  <c r="B2705" i="57"/>
  <c r="B2693" i="57"/>
  <c r="B2672" i="57"/>
  <c r="B2642" i="57"/>
  <c r="B2601" i="57"/>
  <c r="B2572" i="57"/>
  <c r="B2546" i="57"/>
  <c r="B2502" i="57"/>
  <c r="B2482" i="57"/>
  <c r="B2469" i="57"/>
  <c r="B2464" i="57"/>
  <c r="B2445" i="57"/>
  <c r="B2432" i="57"/>
  <c r="B2412" i="57"/>
  <c r="B2382" i="57"/>
  <c r="B2340" i="57"/>
  <c r="B2312" i="57"/>
  <c r="B2271" i="57"/>
  <c r="B2242" i="57"/>
  <c r="B2222" i="57"/>
  <c r="B2208" i="57"/>
  <c r="B2203" i="57"/>
  <c r="B2180" i="57"/>
  <c r="B2172" i="57"/>
  <c r="B2163" i="57"/>
  <c r="B2147" i="57"/>
  <c r="B2122" i="57"/>
  <c r="B2079" i="57"/>
  <c r="B2052" i="57"/>
  <c r="B1982" i="57"/>
  <c r="B1957" i="57"/>
  <c r="B1947" i="57"/>
  <c r="B1942" i="57"/>
  <c r="B1920" i="57"/>
  <c r="B1911" i="57"/>
  <c r="B1887" i="57"/>
  <c r="B1862" i="57"/>
  <c r="B1817" i="57"/>
  <c r="B1792" i="57"/>
  <c r="B1766" i="57"/>
  <c r="B1722" i="57"/>
  <c r="B1697" i="57"/>
  <c r="B1681" i="57"/>
  <c r="B1660" i="57"/>
  <c r="B1650" i="57"/>
  <c r="B1627" i="57"/>
  <c r="B1602" i="57"/>
  <c r="B1557" i="57"/>
  <c r="B1532" i="57"/>
  <c r="B1457" i="57"/>
  <c r="B1437" i="57"/>
  <c r="B1426" i="57"/>
  <c r="B1421" i="57"/>
  <c r="B1400" i="57"/>
  <c r="B1389" i="57"/>
  <c r="B1367" i="57"/>
  <c r="B1342" i="57"/>
  <c r="B1296" i="57"/>
  <c r="B1267" i="57"/>
  <c r="B1236" i="57"/>
  <c r="B1197" i="57"/>
  <c r="B1177" i="57"/>
  <c r="B1165" i="57"/>
  <c r="B1160" i="57"/>
  <c r="B1140" i="57"/>
  <c r="B1128" i="57"/>
  <c r="B1107" i="57"/>
  <c r="B1077" i="57"/>
  <c r="B1036" i="57"/>
  <c r="B1007" i="57"/>
  <c r="B961" i="57"/>
  <c r="B937" i="57"/>
  <c r="B917" i="57"/>
  <c r="B903" i="57"/>
  <c r="B898" i="57"/>
  <c r="B875" i="57"/>
  <c r="B867" i="57"/>
  <c r="B842" i="57"/>
  <c r="B817" i="57"/>
  <c r="B774" i="57"/>
  <c r="B747" i="57"/>
  <c r="B677" i="57"/>
  <c r="B652" i="57"/>
  <c r="B642" i="57"/>
  <c r="B637" i="57"/>
  <c r="B615" i="57"/>
  <c r="B582" i="57"/>
  <c r="B557" i="57"/>
  <c r="B513" i="57"/>
  <c r="B487" i="57"/>
  <c r="B456" i="57"/>
  <c r="B417" i="57"/>
  <c r="B392" i="57"/>
  <c r="B382" i="57"/>
  <c r="B377" i="57"/>
  <c r="B355" i="57"/>
  <c r="B346" i="57"/>
  <c r="B322" i="57"/>
  <c r="B297" i="57"/>
  <c r="B252" i="57"/>
  <c r="B227" i="57"/>
  <c r="B181" i="57"/>
  <c r="B157" i="57"/>
  <c r="B132" i="57"/>
  <c r="B116" i="57"/>
  <c r="B95" i="57"/>
  <c r="B85" i="57"/>
  <c r="B62" i="57"/>
  <c r="B37" i="57"/>
  <c r="E859" i="58"/>
  <c r="K1663" i="58"/>
  <c r="K1662" i="58"/>
  <c r="K1661" i="58"/>
  <c r="K1660" i="58"/>
  <c r="K1659" i="58"/>
  <c r="K1658" i="58"/>
  <c r="K1657" i="58"/>
  <c r="K1656" i="58"/>
  <c r="K1655" i="58"/>
  <c r="K1654" i="58"/>
  <c r="K1653" i="58"/>
  <c r="K1652" i="58"/>
  <c r="K1651" i="58"/>
  <c r="K1650" i="58"/>
  <c r="K1649" i="58"/>
  <c r="K1648" i="58"/>
  <c r="K1647" i="58"/>
  <c r="K1646" i="58"/>
  <c r="K1645" i="58"/>
  <c r="K1644" i="58"/>
  <c r="K1643" i="58"/>
  <c r="K1642" i="58"/>
  <c r="K1641" i="58"/>
  <c r="K1640" i="58"/>
  <c r="K1639" i="58"/>
  <c r="K1638" i="58"/>
  <c r="K1637" i="58"/>
  <c r="K1636" i="58"/>
  <c r="K1635" i="58"/>
  <c r="K1634" i="58"/>
  <c r="K1633" i="58"/>
  <c r="K1632" i="58"/>
  <c r="K1631" i="58"/>
  <c r="K1630" i="58"/>
  <c r="K1629" i="58"/>
  <c r="K1628" i="58"/>
  <c r="K1627" i="58"/>
  <c r="K1626" i="58"/>
  <c r="K1625" i="58"/>
  <c r="K1624" i="58"/>
  <c r="K1623" i="58"/>
  <c r="K1622" i="58"/>
  <c r="K1621" i="58"/>
  <c r="K1620" i="58"/>
  <c r="K1619" i="58"/>
  <c r="K1618" i="58"/>
  <c r="K1617" i="58"/>
  <c r="K1616" i="58"/>
  <c r="K1615" i="58"/>
  <c r="K1614" i="58"/>
  <c r="K1613" i="58"/>
  <c r="K1612" i="58"/>
  <c r="K1611" i="58"/>
  <c r="K1610" i="58"/>
  <c r="K1609" i="58"/>
  <c r="K1608" i="58"/>
  <c r="K1607" i="58"/>
  <c r="K1606" i="58"/>
  <c r="K1605" i="58"/>
  <c r="K1604" i="58"/>
  <c r="K1603" i="58"/>
  <c r="K1602" i="58"/>
  <c r="K1601" i="58"/>
  <c r="K1600" i="58"/>
  <c r="K1599" i="58"/>
  <c r="K1598" i="58"/>
  <c r="K1597" i="58"/>
  <c r="K1596" i="58"/>
  <c r="K1595" i="58"/>
  <c r="K1594" i="58"/>
  <c r="K1593" i="58"/>
  <c r="K1592" i="58"/>
  <c r="K1591" i="58"/>
  <c r="K1590" i="58"/>
  <c r="K1589" i="58"/>
  <c r="K1588" i="58"/>
  <c r="K1587" i="58"/>
  <c r="K1586" i="58"/>
  <c r="K1585" i="58"/>
  <c r="K1584" i="58"/>
  <c r="K1583" i="58"/>
  <c r="K1582" i="58"/>
  <c r="K1581" i="58"/>
  <c r="K1580" i="58"/>
  <c r="K1579" i="58"/>
  <c r="K1578" i="58"/>
  <c r="K1577" i="58"/>
  <c r="K1576" i="58"/>
  <c r="K1575" i="58"/>
  <c r="K1574" i="58"/>
  <c r="K1573" i="58"/>
  <c r="K1572" i="58"/>
  <c r="K1571" i="58"/>
  <c r="K1570" i="58"/>
  <c r="K1569" i="58"/>
  <c r="K1568" i="58"/>
  <c r="K1567" i="58"/>
  <c r="K1566" i="58"/>
  <c r="K1565" i="58"/>
  <c r="K1564" i="58"/>
  <c r="K1563" i="58"/>
  <c r="K1562" i="58"/>
  <c r="K1561" i="58"/>
  <c r="K1560" i="58"/>
  <c r="K1559" i="58"/>
  <c r="K1558" i="58"/>
  <c r="K1557" i="58"/>
  <c r="K1556" i="58"/>
  <c r="K1555" i="58"/>
  <c r="K1554" i="58"/>
  <c r="K1553" i="58"/>
  <c r="K1552" i="58"/>
  <c r="K1551" i="58"/>
  <c r="K1550" i="58"/>
  <c r="K1549" i="58"/>
  <c r="K1548" i="58"/>
  <c r="K1547" i="58"/>
  <c r="K1546" i="58"/>
  <c r="K1545" i="58"/>
  <c r="K1544" i="58"/>
  <c r="K1543" i="58"/>
  <c r="K1542" i="58"/>
  <c r="K1541" i="58"/>
  <c r="K1540" i="58"/>
  <c r="K1539" i="58"/>
  <c r="K1538" i="58"/>
  <c r="K1537" i="58"/>
  <c r="K1536" i="58"/>
  <c r="K1535" i="58"/>
  <c r="K1534" i="58"/>
  <c r="K1533" i="58"/>
  <c r="K1532" i="58"/>
  <c r="K1531" i="58"/>
  <c r="K1530" i="58"/>
  <c r="K1529" i="58"/>
  <c r="K1528" i="58"/>
  <c r="K1527" i="58"/>
  <c r="K1526" i="58"/>
  <c r="K1525" i="58"/>
  <c r="K1524" i="58"/>
  <c r="K1523" i="58"/>
  <c r="K1522" i="58"/>
  <c r="K1521" i="58"/>
  <c r="K1520" i="58"/>
  <c r="K1519" i="58"/>
  <c r="K1518" i="58"/>
  <c r="K1517" i="58"/>
  <c r="K1516" i="58"/>
  <c r="K1515" i="58"/>
  <c r="K1514" i="58"/>
  <c r="K1513" i="58"/>
  <c r="K1512" i="58"/>
  <c r="K1511" i="58"/>
  <c r="K1510" i="58"/>
  <c r="K1509" i="58"/>
  <c r="K1508" i="58"/>
  <c r="K1507" i="58"/>
  <c r="K1506" i="58"/>
  <c r="K1505" i="58"/>
  <c r="K1504" i="58"/>
  <c r="K1503" i="58"/>
  <c r="K1502" i="58"/>
  <c r="K1501" i="58"/>
  <c r="K1500" i="58"/>
  <c r="K1499" i="58"/>
  <c r="K1498" i="58"/>
  <c r="K1497" i="58"/>
  <c r="K1496" i="58"/>
  <c r="K1495" i="58"/>
  <c r="K1494" i="58"/>
  <c r="K1493" i="58"/>
  <c r="K1492" i="58"/>
  <c r="K1491" i="58"/>
  <c r="K1490" i="58"/>
  <c r="K1489" i="58"/>
  <c r="K1488" i="58"/>
  <c r="K1487" i="58"/>
  <c r="K1486" i="58"/>
  <c r="K1485" i="58"/>
  <c r="K1484" i="58"/>
  <c r="K1483" i="58"/>
  <c r="K1482" i="58"/>
  <c r="K1481" i="58"/>
  <c r="K1480" i="58"/>
  <c r="K1479" i="58"/>
  <c r="K1478" i="58"/>
  <c r="K1477" i="58"/>
  <c r="K1476" i="58"/>
  <c r="K1475" i="58"/>
  <c r="K1474" i="58"/>
  <c r="K1473" i="58"/>
  <c r="K1472" i="58"/>
  <c r="K1471" i="58"/>
  <c r="K1470" i="58"/>
  <c r="K1469" i="58"/>
  <c r="K1468" i="58"/>
  <c r="K1467" i="58"/>
  <c r="K1466" i="58"/>
  <c r="K1465" i="58"/>
  <c r="K1464" i="58"/>
  <c r="K1463" i="58"/>
  <c r="K1462" i="58"/>
  <c r="K1461" i="58"/>
  <c r="K1460" i="58"/>
  <c r="K1459" i="58"/>
  <c r="K1458" i="58"/>
  <c r="K1457" i="58"/>
  <c r="K1456" i="58"/>
  <c r="K1455" i="58"/>
  <c r="K1454" i="58"/>
  <c r="K1453" i="58"/>
  <c r="K1452" i="58"/>
  <c r="K1451" i="58"/>
  <c r="K1450" i="58"/>
  <c r="K1449" i="58"/>
  <c r="K1448" i="58"/>
  <c r="K1447" i="58"/>
  <c r="K1446" i="58"/>
  <c r="K1445" i="58"/>
  <c r="K1444" i="58"/>
  <c r="K1443" i="58"/>
  <c r="K1442" i="58"/>
  <c r="K1441" i="58"/>
  <c r="K1440" i="58"/>
  <c r="K1439" i="58"/>
  <c r="K1438" i="58"/>
  <c r="K1437" i="58"/>
  <c r="K1436" i="58"/>
  <c r="K1435" i="58"/>
  <c r="K1434" i="58"/>
  <c r="K1433" i="58"/>
  <c r="K1432" i="58"/>
  <c r="K1431" i="58"/>
  <c r="K1430" i="58"/>
  <c r="K1429" i="58"/>
  <c r="K1428" i="58"/>
  <c r="K1427" i="58"/>
  <c r="K1426" i="58"/>
  <c r="K1425" i="58"/>
  <c r="K1424" i="58"/>
  <c r="K1423" i="58"/>
  <c r="K1422" i="58"/>
  <c r="K1421" i="58"/>
  <c r="K1420" i="58"/>
  <c r="K1419" i="58"/>
  <c r="K1418" i="58"/>
  <c r="K1417" i="58"/>
  <c r="K1416" i="58"/>
  <c r="K1415" i="58"/>
  <c r="K1414" i="58"/>
  <c r="K1413" i="58"/>
  <c r="K1412" i="58"/>
  <c r="K1411" i="58"/>
  <c r="K1410" i="58"/>
  <c r="K1409" i="58"/>
  <c r="K1408" i="58"/>
  <c r="K1407" i="58"/>
  <c r="K1406" i="58"/>
  <c r="K1405" i="58"/>
  <c r="K1404" i="58"/>
  <c r="K1403" i="58"/>
  <c r="K1402" i="58"/>
  <c r="K1401" i="58"/>
  <c r="K1400" i="58"/>
  <c r="K1399" i="58"/>
  <c r="K1398" i="58"/>
  <c r="K1397" i="58"/>
  <c r="K1396" i="58"/>
  <c r="K1395" i="58"/>
  <c r="K1394" i="58"/>
  <c r="K1393" i="58"/>
  <c r="K1392" i="58"/>
  <c r="K1391" i="58"/>
  <c r="K1390" i="58"/>
  <c r="K1389" i="58"/>
  <c r="K1388" i="58"/>
  <c r="K1387" i="58"/>
  <c r="K1386" i="58"/>
  <c r="K1385" i="58"/>
  <c r="K1384" i="58"/>
  <c r="K1383" i="58"/>
  <c r="K1382" i="58"/>
  <c r="K1381" i="58"/>
  <c r="K1380" i="58"/>
  <c r="K1379" i="58"/>
  <c r="K1378" i="58"/>
  <c r="K1377" i="58"/>
  <c r="K1376" i="58"/>
  <c r="K1375" i="58"/>
  <c r="K1374" i="58"/>
  <c r="K1373" i="58"/>
  <c r="K1372" i="58"/>
  <c r="K1371" i="58"/>
  <c r="K1370" i="58"/>
  <c r="K1369" i="58"/>
  <c r="K1368" i="58"/>
  <c r="K1367" i="58"/>
  <c r="K1366" i="58"/>
  <c r="K1365" i="58"/>
  <c r="K1364" i="58"/>
  <c r="K1363" i="58"/>
  <c r="K1362" i="58"/>
  <c r="K1361" i="58"/>
  <c r="K1360" i="58"/>
  <c r="K1359" i="58"/>
  <c r="K1358" i="58"/>
  <c r="K1357" i="58"/>
  <c r="K1356" i="58"/>
  <c r="K1355" i="58"/>
  <c r="K1354" i="58"/>
  <c r="K1353" i="58"/>
  <c r="K1352" i="58"/>
  <c r="K1351" i="58"/>
  <c r="K1350" i="58"/>
  <c r="K1349" i="58"/>
  <c r="K1348" i="58"/>
  <c r="K1347" i="58"/>
  <c r="K1346" i="58"/>
  <c r="K1345" i="58"/>
  <c r="K1344" i="58"/>
  <c r="K1343" i="58"/>
  <c r="K1342" i="58"/>
  <c r="K1341" i="58"/>
  <c r="K1340" i="58"/>
  <c r="K1339" i="58"/>
  <c r="K1338" i="58"/>
  <c r="K1337" i="58"/>
  <c r="K1336" i="58"/>
  <c r="K1335" i="58"/>
  <c r="K1334" i="58"/>
  <c r="K1333" i="58"/>
  <c r="K1332" i="58"/>
  <c r="K1331" i="58"/>
  <c r="K1330" i="58"/>
  <c r="K1329" i="58"/>
  <c r="K1328" i="58"/>
  <c r="K1327" i="58"/>
  <c r="K1326" i="58"/>
  <c r="K1325" i="58"/>
  <c r="K1324" i="58"/>
  <c r="K1323" i="58"/>
  <c r="K1322" i="58"/>
  <c r="K1321" i="58"/>
  <c r="K1320" i="58"/>
  <c r="K1319" i="58"/>
  <c r="K1318" i="58"/>
  <c r="K1317" i="58"/>
  <c r="K1316" i="58"/>
  <c r="K1315" i="58"/>
  <c r="K1314" i="58"/>
  <c r="K1313" i="58"/>
  <c r="G493" i="58"/>
  <c r="G492" i="58"/>
  <c r="G491" i="58"/>
  <c r="G490" i="58"/>
  <c r="G489" i="58"/>
  <c r="G488" i="58"/>
  <c r="G487" i="58"/>
  <c r="G486" i="58"/>
  <c r="G485" i="58"/>
  <c r="G484" i="58"/>
  <c r="G483" i="58"/>
  <c r="G482" i="58"/>
  <c r="G481" i="58"/>
  <c r="G480" i="58"/>
  <c r="G479" i="58"/>
  <c r="G478" i="58"/>
  <c r="G477" i="58"/>
  <c r="G476" i="58"/>
  <c r="G475" i="58"/>
  <c r="G474" i="58"/>
  <c r="G473" i="58"/>
  <c r="G472" i="58"/>
  <c r="G471" i="58"/>
  <c r="G470" i="58"/>
  <c r="G469" i="58"/>
  <c r="G468" i="58"/>
  <c r="G467" i="58"/>
  <c r="G466" i="58"/>
  <c r="G465" i="58"/>
  <c r="G464" i="58"/>
  <c r="G463" i="58"/>
  <c r="G462" i="58"/>
  <c r="G461" i="58"/>
  <c r="G460" i="58"/>
  <c r="G459" i="58"/>
  <c r="G458" i="58"/>
  <c r="G457" i="58"/>
  <c r="G456" i="58"/>
  <c r="G455" i="58"/>
  <c r="G454" i="58"/>
  <c r="G453" i="58"/>
  <c r="G452" i="58"/>
  <c r="G451" i="58"/>
  <c r="G450" i="58"/>
  <c r="G449" i="58"/>
  <c r="G448" i="58"/>
  <c r="G447" i="58"/>
  <c r="G446" i="58"/>
  <c r="G445" i="58"/>
  <c r="G444" i="58"/>
  <c r="G443" i="58"/>
  <c r="G442" i="58"/>
  <c r="G441" i="58"/>
  <c r="G440" i="58"/>
  <c r="G439" i="58"/>
  <c r="G438" i="58"/>
  <c r="G437" i="58"/>
  <c r="G436" i="58"/>
  <c r="G435" i="58"/>
  <c r="G434" i="58"/>
  <c r="G433" i="58"/>
  <c r="G432" i="58"/>
  <c r="G431" i="58"/>
  <c r="G430" i="58"/>
  <c r="G429" i="58"/>
  <c r="G428" i="58"/>
  <c r="G427" i="58"/>
  <c r="G426" i="58"/>
  <c r="G425" i="58"/>
  <c r="G424" i="58"/>
  <c r="G423" i="58"/>
  <c r="G422" i="58"/>
  <c r="G421" i="58"/>
  <c r="G420" i="58"/>
  <c r="G419" i="58"/>
  <c r="G418" i="58"/>
  <c r="G417" i="58"/>
  <c r="G416" i="58"/>
  <c r="G415" i="58"/>
  <c r="G414" i="58"/>
  <c r="G413" i="58"/>
  <c r="B16246" i="58"/>
  <c r="B16217" i="58"/>
  <c r="B16192" i="58"/>
  <c r="B16182" i="58"/>
  <c r="B16177" i="58"/>
  <c r="B16155" i="58"/>
  <c r="B16122" i="58"/>
  <c r="B16097" i="58"/>
  <c r="B16053" i="58"/>
  <c r="B16042" i="58"/>
  <c r="B16027" i="58"/>
  <c r="B15957" i="58"/>
  <c r="B15932" i="58"/>
  <c r="B15922" i="58"/>
  <c r="B15917" i="58"/>
  <c r="B15895" i="58"/>
  <c r="B15886" i="58"/>
  <c r="B15862" i="58"/>
  <c r="B15837" i="58"/>
  <c r="B15792" i="58"/>
  <c r="B15782" i="58"/>
  <c r="B15767" i="58"/>
  <c r="B15736" i="58"/>
  <c r="B15697" i="58"/>
  <c r="B15672" i="58"/>
  <c r="B15656" i="58"/>
  <c r="B15635" i="58"/>
  <c r="B15625" i="58"/>
  <c r="B15602" i="58"/>
  <c r="B15577" i="58"/>
  <c r="B15532" i="58"/>
  <c r="B15507" i="58"/>
  <c r="B15432" i="58"/>
  <c r="B15412" i="58"/>
  <c r="B15401" i="58"/>
  <c r="B15396" i="58"/>
  <c r="B15375" i="58"/>
  <c r="B15364" i="58"/>
  <c r="B15342" i="58"/>
  <c r="B15317" i="58"/>
  <c r="B15271" i="58"/>
  <c r="B15242" i="58"/>
  <c r="B15211" i="58"/>
  <c r="B15172" i="58"/>
  <c r="B15152" i="58"/>
  <c r="B15139" i="58"/>
  <c r="B15134" i="58"/>
  <c r="B15115" i="58"/>
  <c r="B15102" i="58"/>
  <c r="B15082" i="58"/>
  <c r="B15052" i="58"/>
  <c r="B15010" i="58"/>
  <c r="B14982" i="58"/>
  <c r="B14956" i="58"/>
  <c r="B14912" i="58"/>
  <c r="B14892" i="58"/>
  <c r="B14878" i="58"/>
  <c r="B14873" i="58"/>
  <c r="B14859" i="58"/>
  <c r="B14850" i="58"/>
  <c r="B14842" i="58"/>
  <c r="B14817" i="58"/>
  <c r="B14792" i="58"/>
  <c r="B14749" i="58"/>
  <c r="B14722" i="58"/>
  <c r="B14681" i="58"/>
  <c r="B14652" i="58"/>
  <c r="B14627" i="58"/>
  <c r="B14617" i="58"/>
  <c r="B14612" i="58"/>
  <c r="B14590" i="58"/>
  <c r="B14557" i="58"/>
  <c r="B14532" i="58"/>
  <c r="B14488" i="58"/>
  <c r="B14462" i="58"/>
  <c r="B14431" i="58"/>
  <c r="B14392" i="58"/>
  <c r="B14367" i="58"/>
  <c r="B14357" i="58"/>
  <c r="B14352" i="58"/>
  <c r="B14330" i="58"/>
  <c r="B14321" i="58"/>
  <c r="B14297" i="58"/>
  <c r="B14272" i="58"/>
  <c r="B14227" i="58"/>
  <c r="B14202" i="58"/>
  <c r="B14156" i="58"/>
  <c r="B14127" i="58"/>
  <c r="B14107" i="58"/>
  <c r="B14096" i="58"/>
  <c r="B14091" i="58"/>
  <c r="B14070" i="58"/>
  <c r="B14059" i="58"/>
  <c r="B14037" i="58"/>
  <c r="B14012" i="58"/>
  <c r="B13966" i="58"/>
  <c r="B13937" i="58"/>
  <c r="B13867" i="58"/>
  <c r="B13847" i="58"/>
  <c r="B13835" i="58"/>
  <c r="B13830" i="58"/>
  <c r="B13810" i="58"/>
  <c r="B13798" i="58"/>
  <c r="B13777" i="58"/>
  <c r="B13747" i="58"/>
  <c r="B13706" i="58"/>
  <c r="B13677" i="58"/>
  <c r="B13651" i="58"/>
  <c r="B13607" i="58"/>
  <c r="B13587" i="58"/>
  <c r="B13574" i="58"/>
  <c r="B13569" i="58"/>
  <c r="B13550" i="58"/>
  <c r="B13537" i="58"/>
  <c r="B13517" i="58"/>
  <c r="B13487" i="58"/>
  <c r="B13445" i="58"/>
  <c r="B13417" i="58"/>
  <c r="B13376" i="58"/>
  <c r="B13347" i="58"/>
  <c r="B13327" i="58"/>
  <c r="B13313" i="58"/>
  <c r="B13308" i="58"/>
  <c r="B13285" i="58"/>
  <c r="B13277" i="58"/>
  <c r="B13268" i="58"/>
  <c r="B13252" i="58"/>
  <c r="B13227" i="58"/>
  <c r="B13184" i="58"/>
  <c r="B13157" i="58"/>
  <c r="B13087" i="58"/>
  <c r="B13062" i="58"/>
  <c r="B13052" i="58"/>
  <c r="B13047" i="58"/>
  <c r="B13025" i="58"/>
  <c r="B13016" i="58"/>
  <c r="B12992" i="58"/>
  <c r="B12967" i="58"/>
  <c r="B12922" i="58"/>
  <c r="B12897" i="58"/>
  <c r="B12871" i="58"/>
  <c r="B12827" i="58"/>
  <c r="B12802" i="58"/>
  <c r="B12786" i="58"/>
  <c r="B12765" i="58"/>
  <c r="B12755" i="58"/>
  <c r="B12732" i="58"/>
  <c r="B12707" i="58"/>
  <c r="B12662" i="58"/>
  <c r="B12637" i="58"/>
  <c r="B12562" i="58"/>
  <c r="B12542" i="58"/>
  <c r="B12531" i="58"/>
  <c r="B12526" i="58"/>
  <c r="B12505" i="58"/>
  <c r="B12494" i="58"/>
  <c r="B12472" i="58"/>
  <c r="B12447" i="58"/>
  <c r="B12401" i="58"/>
  <c r="B12372" i="58"/>
  <c r="B12341" i="58"/>
  <c r="B12302" i="58"/>
  <c r="B12282" i="58"/>
  <c r="B12270" i="58"/>
  <c r="B12265" i="58"/>
  <c r="B12245" i="58"/>
  <c r="B12233" i="58"/>
  <c r="B12212" i="58"/>
  <c r="B12182" i="58"/>
  <c r="B12141" i="58"/>
  <c r="B12112" i="58"/>
  <c r="B12066" i="58"/>
  <c r="B12042" i="58"/>
  <c r="B12022" i="58"/>
  <c r="B12008" i="58"/>
  <c r="B12003" i="58"/>
  <c r="B11980" i="58"/>
  <c r="B11972" i="58"/>
  <c r="B11947" i="58"/>
  <c r="B11922" i="58"/>
  <c r="B11879" i="58"/>
  <c r="B11852" i="58"/>
  <c r="B11782" i="58"/>
  <c r="B11757" i="58"/>
  <c r="B11747" i="58"/>
  <c r="B11742" i="58"/>
  <c r="B11720" i="58"/>
  <c r="B11687" i="58"/>
  <c r="B11662" i="58"/>
  <c r="B11618" i="58"/>
  <c r="B11592" i="58"/>
  <c r="B11561" i="58"/>
  <c r="B11522" i="58"/>
  <c r="B11497" i="58"/>
  <c r="B11487" i="58"/>
  <c r="B11482" i="58"/>
  <c r="B11460" i="58"/>
  <c r="B11451" i="58"/>
  <c r="B11427" i="58"/>
  <c r="B11402" i="58"/>
  <c r="B11357" i="58"/>
  <c r="B11332" i="58"/>
  <c r="B11286" i="58"/>
  <c r="B11262" i="58"/>
  <c r="B11237" i="58"/>
  <c r="B11221" i="58"/>
  <c r="B11200" i="58"/>
  <c r="B11190" i="58"/>
  <c r="B11167" i="58"/>
  <c r="B11142" i="58"/>
  <c r="B11097" i="58"/>
  <c r="B11081" i="58"/>
  <c r="B11072" i="58"/>
  <c r="B11036" i="58"/>
  <c r="B10997" i="58"/>
  <c r="B10977" i="58"/>
  <c r="B10965" i="58"/>
  <c r="B10960" i="58"/>
  <c r="B10940" i="58"/>
  <c r="B10928" i="58"/>
  <c r="B10907" i="58"/>
  <c r="B10877" i="58"/>
  <c r="B10836" i="58"/>
  <c r="B10807" i="58"/>
  <c r="B10781" i="58"/>
  <c r="B10737" i="58"/>
  <c r="B10717" i="58"/>
  <c r="B10704" i="58"/>
  <c r="B10699" i="58"/>
  <c r="B10680" i="58"/>
  <c r="B10667" i="58"/>
  <c r="B10647" i="58"/>
  <c r="B10617" i="58"/>
  <c r="B10575" i="58"/>
  <c r="B10547" i="58"/>
  <c r="B10506" i="58"/>
  <c r="B10477" i="58"/>
  <c r="B10457" i="58"/>
  <c r="B10443" i="58"/>
  <c r="B10438" i="58"/>
  <c r="B10415" i="58"/>
  <c r="B10407" i="58"/>
  <c r="B10382" i="58"/>
  <c r="B10364" i="58"/>
  <c r="B10363" i="58"/>
  <c r="B10357" i="58"/>
  <c r="B10314" i="58"/>
  <c r="B10287" i="58"/>
  <c r="B10256" i="58"/>
  <c r="B10217" i="58"/>
  <c r="B10192" i="58"/>
  <c r="B10182" i="58"/>
  <c r="B10177" i="58"/>
  <c r="B10155" i="58"/>
  <c r="B10122" i="58"/>
  <c r="B10097" i="58"/>
  <c r="B10053" i="58"/>
  <c r="B10027" i="58"/>
  <c r="B10001" i="58"/>
  <c r="B9957" i="58"/>
  <c r="B9932" i="58"/>
  <c r="B9916" i="58"/>
  <c r="B9895" i="58"/>
  <c r="B9885" i="58"/>
  <c r="B9862" i="58"/>
  <c r="B9837" i="58"/>
  <c r="B9792" i="58"/>
  <c r="B9767" i="58"/>
  <c r="B9692" i="58"/>
  <c r="B9672" i="58"/>
  <c r="B9661" i="58"/>
  <c r="B9656" i="58"/>
  <c r="B9635" i="58"/>
  <c r="B9624" i="58"/>
  <c r="B9602" i="58"/>
  <c r="B9577" i="58"/>
  <c r="B9531" i="58"/>
  <c r="B9502" i="58"/>
  <c r="B9471" i="58"/>
  <c r="B9432" i="58"/>
  <c r="B9412" i="58"/>
  <c r="B9400" i="58"/>
  <c r="B9395" i="58"/>
  <c r="B9375" i="58"/>
  <c r="B9363" i="58"/>
  <c r="B9342" i="58"/>
  <c r="B9312" i="58"/>
  <c r="B9271" i="58"/>
  <c r="B9242" i="58"/>
  <c r="B9201" i="58"/>
  <c r="B9172" i="58"/>
  <c r="B9152" i="58"/>
  <c r="B9139" i="58"/>
  <c r="B9134" i="58"/>
  <c r="B9115" i="58"/>
  <c r="B9102" i="58"/>
  <c r="B9082" i="58"/>
  <c r="B9052" i="58"/>
  <c r="B9010" i="58"/>
  <c r="B8982" i="58"/>
  <c r="B8912" i="58"/>
  <c r="B8887" i="58"/>
  <c r="B8877" i="58"/>
  <c r="B8872" i="58"/>
  <c r="B8850" i="58"/>
  <c r="B8817" i="58"/>
  <c r="B8792" i="58"/>
  <c r="B8748" i="58"/>
  <c r="B8722" i="58"/>
  <c r="B8691" i="58"/>
  <c r="B8652" i="58"/>
  <c r="B8627" i="58"/>
  <c r="B8617" i="58"/>
  <c r="B8612" i="58"/>
  <c r="B8590" i="58"/>
  <c r="B8581" i="58"/>
  <c r="B8557" i="58"/>
  <c r="B8532" i="58"/>
  <c r="B8487" i="58"/>
  <c r="B8462" i="58"/>
  <c r="B8439" i="58"/>
  <c r="B8421" i="58"/>
  <c r="B8392" i="58"/>
  <c r="B8367" i="58"/>
  <c r="B8351" i="58"/>
  <c r="B8330" i="58"/>
  <c r="B8320" i="58"/>
  <c r="B8297" i="58"/>
  <c r="B8290" i="58"/>
  <c r="B8289" i="58"/>
  <c r="B8288" i="58"/>
  <c r="B8287" i="58"/>
  <c r="B8286" i="58"/>
  <c r="B8285" i="58"/>
  <c r="B8284" i="58"/>
  <c r="B8283" i="58"/>
  <c r="B8282" i="58"/>
  <c r="B8281" i="58"/>
  <c r="B8280" i="58"/>
  <c r="B8279" i="58"/>
  <c r="B8278" i="58"/>
  <c r="B8277" i="58"/>
  <c r="B8276" i="58"/>
  <c r="B8275" i="58"/>
  <c r="B8274" i="58"/>
  <c r="B8273" i="58"/>
  <c r="B8272" i="58"/>
  <c r="B8271" i="58"/>
  <c r="B8270" i="58"/>
  <c r="B8269" i="58"/>
  <c r="B8268" i="58"/>
  <c r="B8267" i="58"/>
  <c r="B8266" i="58"/>
  <c r="B8265" i="58"/>
  <c r="B8264" i="58"/>
  <c r="B8263" i="58"/>
  <c r="B8262" i="58"/>
  <c r="B8261" i="58"/>
  <c r="B8260" i="58"/>
  <c r="B8259" i="58"/>
  <c r="B8258" i="58"/>
  <c r="B8257" i="58"/>
  <c r="B8256" i="58"/>
  <c r="B8255" i="58"/>
  <c r="B8254" i="58"/>
  <c r="B8253" i="58"/>
  <c r="B8252" i="58"/>
  <c r="B8251" i="58"/>
  <c r="B8250" i="58"/>
  <c r="B8249" i="58"/>
  <c r="B8248" i="58"/>
  <c r="B8247" i="58"/>
  <c r="B8246" i="58"/>
  <c r="B8245" i="58"/>
  <c r="B8244" i="58"/>
  <c r="B8243" i="58"/>
  <c r="B8242" i="58"/>
  <c r="B8241" i="58"/>
  <c r="B8240" i="58"/>
  <c r="B8239" i="58"/>
  <c r="B8238" i="58"/>
  <c r="B8237" i="58"/>
  <c r="B8236" i="58"/>
  <c r="B8235" i="58"/>
  <c r="B8234" i="58"/>
  <c r="B8233" i="58"/>
  <c r="B8232" i="58"/>
  <c r="B8231" i="58"/>
  <c r="B8230" i="58"/>
  <c r="B8229" i="58"/>
  <c r="B8228" i="58"/>
  <c r="B8227" i="58"/>
  <c r="B8226" i="58"/>
  <c r="B8225" i="58"/>
  <c r="B8224" i="58"/>
  <c r="B8223" i="58"/>
  <c r="B8222" i="58"/>
  <c r="B8221" i="58"/>
  <c r="B8220" i="58"/>
  <c r="B8219" i="58"/>
  <c r="B8218" i="58"/>
  <c r="B8217" i="58"/>
  <c r="B8216" i="58"/>
  <c r="B8215" i="58"/>
  <c r="B8214" i="58"/>
  <c r="B8213" i="58"/>
  <c r="B8212" i="58"/>
  <c r="B8211" i="58"/>
  <c r="B8210" i="58"/>
  <c r="B8209" i="58"/>
  <c r="B8208" i="58"/>
  <c r="B8207" i="58"/>
  <c r="B8206" i="58"/>
  <c r="B8205" i="58"/>
  <c r="B8204" i="58"/>
  <c r="B8203" i="58"/>
  <c r="B8202" i="58"/>
  <c r="B8201" i="58"/>
  <c r="B8200" i="58"/>
  <c r="B8199" i="58"/>
  <c r="B8198" i="58"/>
  <c r="B8197" i="58"/>
  <c r="B8196" i="58"/>
  <c r="B8195" i="58"/>
  <c r="B8194" i="58"/>
  <c r="B8193" i="58"/>
  <c r="B8192" i="58"/>
  <c r="B8191" i="58"/>
  <c r="B8190" i="58"/>
  <c r="B8189" i="58"/>
  <c r="B8188" i="58"/>
  <c r="B8187" i="58"/>
  <c r="B8186" i="58"/>
  <c r="B8185" i="58"/>
  <c r="B8184" i="58"/>
  <c r="B8183" i="58"/>
  <c r="B8182" i="58"/>
  <c r="B8181" i="58"/>
  <c r="B8180" i="58"/>
  <c r="B8179" i="58"/>
  <c r="B8178" i="58"/>
  <c r="B8177" i="58"/>
  <c r="B8176" i="58"/>
  <c r="B8175" i="58"/>
  <c r="B8174" i="58"/>
  <c r="B8173" i="58"/>
  <c r="B8172" i="58"/>
  <c r="B8171" i="58"/>
  <c r="B8170" i="58"/>
  <c r="B8169" i="58"/>
  <c r="B8168" i="58"/>
  <c r="B8167" i="58"/>
  <c r="B8166" i="58"/>
  <c r="B8165" i="58"/>
  <c r="B8164" i="58"/>
  <c r="B8163" i="58"/>
  <c r="B8162" i="58"/>
  <c r="B8161" i="58"/>
  <c r="B8160" i="58"/>
  <c r="B8159" i="58"/>
  <c r="B8158" i="58"/>
  <c r="B8157" i="58"/>
  <c r="B8156" i="58"/>
  <c r="B8155" i="58"/>
  <c r="B8154" i="58"/>
  <c r="B8153" i="58"/>
  <c r="B8152" i="58"/>
  <c r="B8151" i="58"/>
  <c r="B8150" i="58"/>
  <c r="B8149" i="58"/>
  <c r="B8148" i="58"/>
  <c r="B8147" i="58"/>
  <c r="B8146" i="58"/>
  <c r="B8145" i="58"/>
  <c r="B8144" i="58"/>
  <c r="B8143" i="58"/>
  <c r="B8142" i="58"/>
  <c r="B8141" i="58"/>
  <c r="B8140" i="58"/>
  <c r="B8139" i="58"/>
  <c r="B8138" i="58"/>
  <c r="B8137" i="58"/>
  <c r="B8136" i="58"/>
  <c r="B8135" i="58"/>
  <c r="B8134" i="58"/>
  <c r="B8133" i="58"/>
  <c r="B8132" i="58"/>
  <c r="B8131" i="58"/>
  <c r="B8130" i="58"/>
  <c r="B8129" i="58"/>
  <c r="B8128" i="58"/>
  <c r="B8127" i="58"/>
  <c r="B8126" i="58"/>
  <c r="B8125" i="58"/>
  <c r="B8124" i="58"/>
  <c r="B8123" i="58"/>
  <c r="B8122" i="58"/>
  <c r="B8121" i="58"/>
  <c r="B8120" i="58"/>
  <c r="B8119" i="58"/>
  <c r="B8118" i="58"/>
  <c r="B8117" i="58"/>
  <c r="B8116" i="58"/>
  <c r="B8115" i="58"/>
  <c r="B8114" i="58"/>
  <c r="B8113" i="58"/>
  <c r="B8112" i="58"/>
  <c r="B8111" i="58"/>
  <c r="B8110" i="58"/>
  <c r="B8109" i="58"/>
  <c r="B8108" i="58"/>
  <c r="B8107" i="58"/>
  <c r="B8106" i="58"/>
  <c r="B8105" i="58"/>
  <c r="B8104" i="58"/>
  <c r="B8103" i="58"/>
  <c r="B8102" i="58"/>
  <c r="B8101" i="58"/>
  <c r="B8100" i="58"/>
  <c r="B8099" i="58"/>
  <c r="B8098" i="58"/>
  <c r="B8097" i="58"/>
  <c r="B8096" i="58"/>
  <c r="B8095" i="58"/>
  <c r="B8094" i="58"/>
  <c r="B8093" i="58"/>
  <c r="B8092" i="58"/>
  <c r="B8091" i="58"/>
  <c r="B8090" i="58"/>
  <c r="B8089" i="58"/>
  <c r="B8088" i="58"/>
  <c r="B8087" i="58"/>
  <c r="B8086" i="58"/>
  <c r="B8085" i="58"/>
  <c r="B8084" i="58"/>
  <c r="B8083" i="58"/>
  <c r="B8082" i="58"/>
  <c r="B8081" i="58"/>
  <c r="B8080" i="58"/>
  <c r="B8079" i="58"/>
  <c r="B8078" i="58"/>
  <c r="B8077" i="58"/>
  <c r="B8076" i="58"/>
  <c r="B8075" i="58"/>
  <c r="B8074" i="58"/>
  <c r="B8073" i="58"/>
  <c r="B8072" i="58"/>
  <c r="B8071" i="58"/>
  <c r="B8070" i="58"/>
  <c r="B8069" i="58"/>
  <c r="B8068" i="58"/>
  <c r="B8067" i="58"/>
  <c r="B8066" i="58"/>
  <c r="B8065" i="58"/>
  <c r="B8064" i="58"/>
  <c r="B8063" i="58"/>
  <c r="B8062" i="58"/>
  <c r="B8061" i="58"/>
  <c r="B8060" i="58"/>
  <c r="B8059" i="58"/>
  <c r="B8058" i="58"/>
  <c r="B8057" i="58"/>
  <c r="B8056" i="58"/>
  <c r="B8055" i="58"/>
  <c r="B8054" i="58"/>
  <c r="B8053" i="58"/>
  <c r="B8052" i="58"/>
  <c r="B8051" i="58"/>
  <c r="B8050" i="58"/>
  <c r="B8049" i="58"/>
  <c r="B8048" i="58"/>
  <c r="B8047" i="58"/>
  <c r="B8046" i="58"/>
  <c r="B8045" i="58"/>
  <c r="B8044" i="58"/>
  <c r="B8043" i="58"/>
  <c r="B8042" i="58"/>
  <c r="B8041" i="58"/>
  <c r="B8040" i="58"/>
  <c r="B8039" i="58"/>
  <c r="B8038" i="58"/>
  <c r="B8037" i="58"/>
  <c r="B8036" i="58"/>
  <c r="B8035" i="58"/>
  <c r="B8034" i="58"/>
  <c r="B8033" i="58"/>
  <c r="B8032" i="58"/>
  <c r="B8031" i="58"/>
  <c r="B8030" i="58"/>
  <c r="B8029" i="58"/>
  <c r="B8028" i="58"/>
  <c r="B8027" i="58"/>
  <c r="B8026" i="58"/>
  <c r="B8025" i="58"/>
  <c r="B8024" i="58"/>
  <c r="B8023" i="58"/>
  <c r="B8022" i="58"/>
  <c r="B8021" i="58"/>
  <c r="B8020" i="58"/>
  <c r="B8019" i="58"/>
  <c r="B8018" i="58"/>
  <c r="B8017" i="58"/>
  <c r="B8016" i="58"/>
  <c r="B8015" i="58"/>
  <c r="B8014" i="58"/>
  <c r="B8013" i="58"/>
  <c r="B8012" i="58"/>
  <c r="B8011" i="58"/>
  <c r="B8010" i="58"/>
  <c r="B8009" i="58"/>
  <c r="B8008" i="58"/>
  <c r="B8007" i="58"/>
  <c r="B8006" i="58"/>
  <c r="B8005" i="58"/>
  <c r="B8004" i="58"/>
  <c r="B8003" i="58"/>
  <c r="B8002" i="58"/>
  <c r="B8001" i="58"/>
  <c r="B8000" i="58"/>
  <c r="B7999" i="58"/>
  <c r="B7998" i="58"/>
  <c r="B7997" i="58"/>
  <c r="B7996" i="58"/>
  <c r="B7995" i="58"/>
  <c r="B7994" i="58"/>
  <c r="B7993" i="58"/>
  <c r="B7992" i="58"/>
  <c r="B7991" i="58"/>
  <c r="B7990" i="58"/>
  <c r="B7989" i="58"/>
  <c r="B7988" i="58"/>
  <c r="B7987" i="58"/>
  <c r="B7986" i="58"/>
  <c r="B7985" i="58"/>
  <c r="B7984" i="58"/>
  <c r="B7983" i="58"/>
  <c r="B7982" i="58"/>
  <c r="B7981" i="58"/>
  <c r="B7980" i="58"/>
  <c r="B7979" i="58"/>
  <c r="B7978" i="58"/>
  <c r="B7977" i="58"/>
  <c r="B7976" i="58"/>
  <c r="B7975" i="58"/>
  <c r="B7974" i="58"/>
  <c r="B7973" i="58"/>
  <c r="B7972" i="58"/>
  <c r="B7971" i="58"/>
  <c r="B7970" i="58"/>
  <c r="B7969" i="58"/>
  <c r="B7968" i="58"/>
  <c r="B7967" i="58"/>
  <c r="B7966" i="58"/>
  <c r="B7965" i="58"/>
  <c r="B7964" i="58"/>
  <c r="B7963" i="58"/>
  <c r="B7962" i="58"/>
  <c r="B7961" i="58"/>
  <c r="B7960" i="58"/>
  <c r="B7959" i="58"/>
  <c r="B7958" i="58"/>
  <c r="B7957" i="58"/>
  <c r="B7956" i="58"/>
  <c r="B7955" i="58"/>
  <c r="B7954" i="58"/>
  <c r="B7953" i="58"/>
  <c r="B7952" i="58"/>
  <c r="B7951" i="58"/>
  <c r="B7950" i="58"/>
  <c r="B7949" i="58"/>
  <c r="B7948" i="58"/>
  <c r="B7947" i="58"/>
  <c r="B7946" i="58"/>
  <c r="B7945" i="58"/>
  <c r="B7944" i="58"/>
  <c r="B7943" i="58"/>
  <c r="B7942" i="58"/>
  <c r="B7941" i="58"/>
  <c r="B7940" i="58"/>
  <c r="B7939" i="58"/>
  <c r="B7938" i="58"/>
  <c r="B7937" i="58"/>
  <c r="B7936" i="58"/>
  <c r="B7935" i="58"/>
  <c r="B7934" i="58"/>
  <c r="B7933" i="58"/>
  <c r="B7932" i="58"/>
  <c r="B7931" i="58"/>
  <c r="B7930" i="58"/>
  <c r="B7929" i="58"/>
  <c r="B7928" i="58"/>
  <c r="B7927" i="58"/>
  <c r="B7926" i="58"/>
  <c r="B7925" i="58"/>
  <c r="B7924" i="58"/>
  <c r="B7923" i="58"/>
  <c r="B7922" i="58"/>
  <c r="B7921" i="58"/>
  <c r="B7920" i="58"/>
  <c r="B7919" i="58"/>
  <c r="B7918" i="58"/>
  <c r="B7917" i="58"/>
  <c r="B7916" i="58"/>
  <c r="B7915" i="58"/>
  <c r="B7914" i="58"/>
  <c r="B7913" i="58"/>
  <c r="B7912" i="58"/>
  <c r="B7911" i="58"/>
  <c r="B7910" i="58"/>
  <c r="B7909" i="58"/>
  <c r="B7908" i="58"/>
  <c r="B7907" i="58"/>
  <c r="B7906" i="58"/>
  <c r="B7905" i="58"/>
  <c r="B7904" i="58"/>
  <c r="B7903" i="58"/>
  <c r="B7902" i="58"/>
  <c r="B7901" i="58"/>
  <c r="B7900" i="58"/>
  <c r="B7899" i="58"/>
  <c r="B7898" i="58"/>
  <c r="B7897" i="58"/>
  <c r="B7896" i="58"/>
  <c r="B7895" i="58"/>
  <c r="B7894" i="58"/>
  <c r="B7893" i="58"/>
  <c r="B7892" i="58"/>
  <c r="B7891" i="58"/>
  <c r="B7890" i="58"/>
  <c r="B7889" i="58"/>
  <c r="B7888" i="58"/>
  <c r="B7887" i="58"/>
  <c r="B7886" i="58"/>
  <c r="B7885" i="58"/>
  <c r="B7884" i="58"/>
  <c r="B7883" i="58"/>
  <c r="B7882" i="58"/>
  <c r="B7881" i="58"/>
  <c r="B7880" i="58"/>
  <c r="B7879" i="58"/>
  <c r="B7878" i="58"/>
  <c r="B7877" i="58"/>
  <c r="B7876" i="58"/>
  <c r="B7875" i="58"/>
  <c r="B7874" i="58"/>
  <c r="B7873" i="58"/>
  <c r="B7872" i="58"/>
  <c r="B7871" i="58"/>
  <c r="B7870" i="58"/>
  <c r="B7869" i="58"/>
  <c r="B7868" i="58"/>
  <c r="B7867" i="58"/>
  <c r="B7866" i="58"/>
  <c r="B7865" i="58"/>
  <c r="B7864" i="58"/>
  <c r="B7863" i="58"/>
  <c r="B7862" i="58"/>
  <c r="B7861" i="58"/>
  <c r="B7860" i="58"/>
  <c r="B7859" i="58"/>
  <c r="B7858" i="58"/>
  <c r="B7857" i="58"/>
  <c r="B7856" i="58"/>
  <c r="B7855" i="58"/>
  <c r="B7854" i="58"/>
  <c r="B7853" i="58"/>
  <c r="B7852" i="58"/>
  <c r="B7851" i="58"/>
  <c r="B7850" i="58"/>
  <c r="B7849" i="58"/>
  <c r="B7848" i="58"/>
  <c r="B7847" i="58"/>
  <c r="B7846" i="58"/>
  <c r="B7845" i="58"/>
  <c r="B7844" i="58"/>
  <c r="B7843" i="58"/>
  <c r="B7842" i="58"/>
  <c r="B7841" i="58"/>
  <c r="B7840" i="58"/>
  <c r="B7839" i="58"/>
  <c r="B7838" i="58"/>
  <c r="B7837" i="58"/>
  <c r="B7836" i="58"/>
  <c r="B7835" i="58"/>
  <c r="B7834" i="58"/>
  <c r="B7833" i="58"/>
  <c r="B7832" i="58"/>
  <c r="B7831" i="58"/>
  <c r="B7830" i="58"/>
  <c r="B7829" i="58"/>
  <c r="B7828" i="58"/>
  <c r="B7827" i="58"/>
  <c r="B7826" i="58"/>
  <c r="B7825" i="58"/>
  <c r="B7824" i="58"/>
  <c r="B7823" i="58"/>
  <c r="B7822" i="58"/>
  <c r="B7821" i="58"/>
  <c r="B7820" i="58"/>
  <c r="B7819" i="58"/>
  <c r="B7818" i="58"/>
  <c r="B7817" i="58"/>
  <c r="B7816" i="58"/>
  <c r="B7815" i="58"/>
  <c r="B7814" i="58"/>
  <c r="B7813" i="58"/>
  <c r="B7812" i="58"/>
  <c r="B7811" i="58"/>
  <c r="B7810" i="58"/>
  <c r="B7809" i="58"/>
  <c r="B7808" i="58"/>
  <c r="B7807" i="58"/>
  <c r="B7806" i="58"/>
  <c r="B7805" i="58"/>
  <c r="B7804" i="58"/>
  <c r="B7803" i="58"/>
  <c r="B7802" i="58"/>
  <c r="B7801" i="58"/>
  <c r="B7800" i="58"/>
  <c r="B7799" i="58"/>
  <c r="B7798" i="58"/>
  <c r="B7797" i="58"/>
  <c r="B7796" i="58"/>
  <c r="B7795" i="58"/>
  <c r="B7794" i="58"/>
  <c r="B7793" i="58"/>
  <c r="B7792" i="58"/>
  <c r="B7791" i="58"/>
  <c r="B7790" i="58"/>
  <c r="B7789" i="58"/>
  <c r="B7788" i="58"/>
  <c r="B7787" i="58"/>
  <c r="B7786" i="58"/>
  <c r="B7785" i="58"/>
  <c r="B7784" i="58"/>
  <c r="B7783" i="58"/>
  <c r="B7782" i="58"/>
  <c r="B7781" i="58"/>
  <c r="B7780" i="58"/>
  <c r="B7779" i="58"/>
  <c r="B7778" i="58"/>
  <c r="B7777" i="58"/>
  <c r="B7776" i="58"/>
  <c r="B7775" i="58"/>
  <c r="B7774" i="58"/>
  <c r="B7773" i="58"/>
  <c r="B7772" i="58"/>
  <c r="B7771" i="58"/>
  <c r="B7770" i="58"/>
  <c r="B7769" i="58"/>
  <c r="B7768" i="58"/>
  <c r="B7767" i="58"/>
  <c r="B7766" i="58"/>
  <c r="B7765" i="58"/>
  <c r="B7764" i="58"/>
  <c r="B7763" i="58"/>
  <c r="B7762" i="58"/>
  <c r="B7761" i="58"/>
  <c r="B7760" i="58"/>
  <c r="B7759" i="58"/>
  <c r="B7758" i="58"/>
  <c r="B7757" i="58"/>
  <c r="B7756" i="58"/>
  <c r="B7755" i="58"/>
  <c r="B7754" i="58"/>
  <c r="B7753" i="58"/>
  <c r="B7752" i="58"/>
  <c r="B7751" i="58"/>
  <c r="B7750" i="58"/>
  <c r="B7749" i="58"/>
  <c r="B7748" i="58"/>
  <c r="B7747" i="58"/>
  <c r="B7746" i="58"/>
  <c r="B7745" i="58"/>
  <c r="B7744" i="58"/>
  <c r="B7743" i="58"/>
  <c r="B7742" i="58"/>
  <c r="B7741" i="58"/>
  <c r="B7740" i="58"/>
  <c r="B7739" i="58"/>
  <c r="B7738" i="58"/>
  <c r="B7737" i="58"/>
  <c r="B7736" i="58"/>
  <c r="B7735" i="58"/>
  <c r="B7734" i="58"/>
  <c r="B7733" i="58"/>
  <c r="B7732" i="58"/>
  <c r="B7731" i="58"/>
  <c r="B7730" i="58"/>
  <c r="B7729" i="58"/>
  <c r="B7728" i="58"/>
  <c r="B7727" i="58"/>
  <c r="B7726" i="58"/>
  <c r="B7725" i="58"/>
  <c r="B7724" i="58"/>
  <c r="B7723" i="58"/>
  <c r="B7722" i="58"/>
  <c r="B7721" i="58"/>
  <c r="B7720" i="58"/>
  <c r="B7719" i="58"/>
  <c r="B7718" i="58"/>
  <c r="B7717" i="58"/>
  <c r="B7716" i="58"/>
  <c r="B7715" i="58"/>
  <c r="B7714" i="58"/>
  <c r="B7713" i="58"/>
  <c r="B7712" i="58"/>
  <c r="B7711" i="58"/>
  <c r="B7710" i="58"/>
  <c r="B7709" i="58"/>
  <c r="B7708" i="58"/>
  <c r="B7707" i="58"/>
  <c r="B7706" i="58"/>
  <c r="B7705" i="58"/>
  <c r="B7704" i="58"/>
  <c r="B7703" i="58"/>
  <c r="B7702" i="58"/>
  <c r="B7701" i="58"/>
  <c r="B7700" i="58"/>
  <c r="B7699" i="58"/>
  <c r="B7698" i="58"/>
  <c r="B7697" i="58"/>
  <c r="B7696" i="58"/>
  <c r="B7695" i="58"/>
  <c r="B7694" i="58"/>
  <c r="B7693" i="58"/>
  <c r="B7692" i="58"/>
  <c r="B7691" i="58"/>
  <c r="B7690" i="58"/>
  <c r="B7689" i="58"/>
  <c r="B7688" i="58"/>
  <c r="B7687" i="58"/>
  <c r="B7686" i="58"/>
  <c r="B7685" i="58"/>
  <c r="B7684" i="58"/>
  <c r="B7683" i="58"/>
  <c r="B7682" i="58"/>
  <c r="B7681" i="58"/>
  <c r="B7680" i="58"/>
  <c r="B7679" i="58"/>
  <c r="B7678" i="58"/>
  <c r="B7677" i="58"/>
  <c r="B7676" i="58"/>
  <c r="B7675" i="58"/>
  <c r="B7674" i="58"/>
  <c r="B7673" i="58"/>
  <c r="B7672" i="58"/>
  <c r="B7671" i="58"/>
  <c r="B7670" i="58"/>
  <c r="B7669" i="58"/>
  <c r="B7668" i="58"/>
  <c r="B7667" i="58"/>
  <c r="B7666" i="58"/>
  <c r="B7665" i="58"/>
  <c r="B7664" i="58"/>
  <c r="B7663" i="58"/>
  <c r="B7662" i="58"/>
  <c r="B7661" i="58"/>
  <c r="B7660" i="58"/>
  <c r="B7659" i="58"/>
  <c r="B7658" i="58"/>
  <c r="B7657" i="58"/>
  <c r="B7656" i="58"/>
  <c r="B7655" i="58"/>
  <c r="B7654" i="58"/>
  <c r="B7653" i="58"/>
  <c r="B7652" i="58"/>
  <c r="B7651" i="58"/>
  <c r="B7650" i="58"/>
  <c r="B7649" i="58"/>
  <c r="B7648" i="58"/>
  <c r="B7647" i="58"/>
  <c r="B7646" i="58"/>
  <c r="B7645" i="58"/>
  <c r="B7644" i="58"/>
  <c r="B7643" i="58"/>
  <c r="B7642" i="58"/>
  <c r="B7641" i="58"/>
  <c r="B7640" i="58"/>
  <c r="B7639" i="58"/>
  <c r="B7638" i="58"/>
  <c r="B7637" i="58"/>
  <c r="B7636" i="58"/>
  <c r="B7635" i="58"/>
  <c r="B7634" i="58"/>
  <c r="B7633" i="58"/>
  <c r="B7632" i="58"/>
  <c r="B7631" i="58"/>
  <c r="B7630" i="58"/>
  <c r="B7629" i="58"/>
  <c r="B7628" i="58"/>
  <c r="B7627" i="58"/>
  <c r="B7626" i="58"/>
  <c r="B7625" i="58"/>
  <c r="B7624" i="58"/>
  <c r="B7623" i="58"/>
  <c r="B7622" i="58"/>
  <c r="B7621" i="58"/>
  <c r="B7620" i="58"/>
  <c r="B7619" i="58"/>
  <c r="B7618" i="58"/>
  <c r="B7617" i="58"/>
  <c r="B7616" i="58"/>
  <c r="B7615" i="58"/>
  <c r="B7614" i="58"/>
  <c r="B7613" i="58"/>
  <c r="B7612" i="58"/>
  <c r="B7611" i="58"/>
  <c r="B7610" i="58"/>
  <c r="B7609" i="58"/>
  <c r="B7608" i="58"/>
  <c r="B7607" i="58"/>
  <c r="B7606" i="58"/>
  <c r="B7605" i="58"/>
  <c r="B7604" i="58"/>
  <c r="B7603" i="58"/>
  <c r="B7602" i="58"/>
  <c r="B7601" i="58"/>
  <c r="B7600" i="58"/>
  <c r="B7599" i="58"/>
  <c r="B7598" i="58"/>
  <c r="B7597" i="58"/>
  <c r="B7596" i="58"/>
  <c r="B7595" i="58"/>
  <c r="B7594" i="58"/>
  <c r="B7593" i="58"/>
  <c r="B7592" i="58"/>
  <c r="B7591" i="58"/>
  <c r="B7590" i="58"/>
  <c r="B7589" i="58"/>
  <c r="B7588" i="58"/>
  <c r="B7587" i="58"/>
  <c r="B7586" i="58"/>
  <c r="B7585" i="58"/>
  <c r="B7584" i="58"/>
  <c r="B7583" i="58"/>
  <c r="B7582" i="58"/>
  <c r="B7581" i="58"/>
  <c r="B7580" i="58"/>
  <c r="B7579" i="58"/>
  <c r="B7578" i="58"/>
  <c r="B7577" i="58"/>
  <c r="B7576" i="58"/>
  <c r="B7575" i="58"/>
  <c r="B7574" i="58"/>
  <c r="B7573" i="58"/>
  <c r="B7572" i="58"/>
  <c r="B7571" i="58"/>
  <c r="B7570" i="58"/>
  <c r="B7569" i="58"/>
  <c r="B7568" i="58"/>
  <c r="B7567" i="58"/>
  <c r="B7566" i="58"/>
  <c r="B7565" i="58"/>
  <c r="B7564" i="58"/>
  <c r="B7563" i="58"/>
  <c r="B7562" i="58"/>
  <c r="B7561" i="58"/>
  <c r="B7560" i="58"/>
  <c r="B7559" i="58"/>
  <c r="B7558" i="58"/>
  <c r="B7557" i="58"/>
  <c r="B7556" i="58"/>
  <c r="B7555" i="58"/>
  <c r="B7554" i="58"/>
  <c r="B7553" i="58"/>
  <c r="B7552" i="58"/>
  <c r="B7551" i="58"/>
  <c r="B7550" i="58"/>
  <c r="B7549" i="58"/>
  <c r="B7548" i="58"/>
  <c r="B7547" i="58"/>
  <c r="B7546" i="58"/>
  <c r="B7545" i="58"/>
  <c r="B7544" i="58"/>
  <c r="B7543" i="58"/>
  <c r="B7542" i="58"/>
  <c r="B7541" i="58"/>
  <c r="B7540" i="58"/>
  <c r="B7539" i="58"/>
  <c r="B7538" i="58"/>
  <c r="B7537" i="58"/>
  <c r="B7536" i="58"/>
  <c r="B7535" i="58"/>
  <c r="B7534" i="58"/>
  <c r="B7533" i="58"/>
  <c r="B7532" i="58"/>
  <c r="B7531" i="58"/>
  <c r="B7530" i="58"/>
  <c r="B7529" i="58"/>
  <c r="B7528" i="58"/>
  <c r="B7527" i="58"/>
  <c r="B7526" i="58"/>
  <c r="B7525" i="58"/>
  <c r="B7524" i="58"/>
  <c r="B7523" i="58"/>
  <c r="B7522" i="58"/>
  <c r="B7521" i="58"/>
  <c r="B7520" i="58"/>
  <c r="B7519" i="58"/>
  <c r="B7518" i="58"/>
  <c r="B7517" i="58"/>
  <c r="B7516" i="58"/>
  <c r="B7515" i="58"/>
  <c r="B7514" i="58"/>
  <c r="B7513" i="58"/>
  <c r="B7512" i="58"/>
  <c r="B7511" i="58"/>
  <c r="B7510" i="58"/>
  <c r="B7509" i="58"/>
  <c r="B7508" i="58"/>
  <c r="B7507" i="58"/>
  <c r="B7506" i="58"/>
  <c r="B7505" i="58"/>
  <c r="B7504" i="58"/>
  <c r="B7503" i="58"/>
  <c r="B7502" i="58"/>
  <c r="B7501" i="58"/>
  <c r="B7500" i="58"/>
  <c r="B7499" i="58"/>
  <c r="B7498" i="58"/>
  <c r="B7497" i="58"/>
  <c r="B7496" i="58"/>
  <c r="B7495" i="58"/>
  <c r="B7494" i="58"/>
  <c r="B7493" i="58"/>
  <c r="B7492" i="58"/>
  <c r="B7491" i="58"/>
  <c r="B7490" i="58"/>
  <c r="B7489" i="58"/>
  <c r="B7488" i="58"/>
  <c r="B7487" i="58"/>
  <c r="B7486" i="58"/>
  <c r="B7485" i="58"/>
  <c r="B7484" i="58"/>
  <c r="B7483" i="58"/>
  <c r="B7482" i="58"/>
  <c r="B7481" i="58"/>
  <c r="B7480" i="58"/>
  <c r="B7479" i="58"/>
  <c r="B7478" i="58"/>
  <c r="B7477" i="58"/>
  <c r="B7476" i="58"/>
  <c r="B7475" i="58"/>
  <c r="B7474" i="58"/>
  <c r="B7473" i="58"/>
  <c r="B7472" i="58"/>
  <c r="B7471" i="58"/>
  <c r="B7470" i="58"/>
  <c r="B7469" i="58"/>
  <c r="B7468" i="58"/>
  <c r="B7467" i="58"/>
  <c r="B7466" i="58"/>
  <c r="B7465" i="58"/>
  <c r="B7464" i="58"/>
  <c r="B7463" i="58"/>
  <c r="B7462" i="58"/>
  <c r="B7461" i="58"/>
  <c r="B7460" i="58"/>
  <c r="B7459" i="58"/>
  <c r="B7458" i="58"/>
  <c r="B7457" i="58"/>
  <c r="B7456" i="58"/>
  <c r="B7455" i="58"/>
  <c r="B7454" i="58"/>
  <c r="B7453" i="58"/>
  <c r="B7452" i="58"/>
  <c r="B7451" i="58"/>
  <c r="B7450" i="58"/>
  <c r="B7449" i="58"/>
  <c r="B7448" i="58"/>
  <c r="B7447" i="58"/>
  <c r="B7446" i="58"/>
  <c r="B7445" i="58"/>
  <c r="B7444" i="58"/>
  <c r="B7443" i="58"/>
  <c r="B7442" i="58"/>
  <c r="B7441" i="58"/>
  <c r="B7440" i="58"/>
  <c r="B7439" i="58"/>
  <c r="B7438" i="58"/>
  <c r="B7437" i="58"/>
  <c r="B7436" i="58"/>
  <c r="B7435" i="58"/>
  <c r="B7434" i="58"/>
  <c r="B7433" i="58"/>
  <c r="B7432" i="58"/>
  <c r="B7431" i="58"/>
  <c r="B7430" i="58"/>
  <c r="B7429" i="58"/>
  <c r="B7428" i="58"/>
  <c r="B7427" i="58"/>
  <c r="B7426" i="58"/>
  <c r="B7425" i="58"/>
  <c r="B7424" i="58"/>
  <c r="B7423" i="58"/>
  <c r="B7422" i="58"/>
  <c r="B7421" i="58"/>
  <c r="B7420" i="58"/>
  <c r="B7419" i="58"/>
  <c r="B7418" i="58"/>
  <c r="B7417" i="58"/>
  <c r="B7416" i="58"/>
  <c r="B7415" i="58"/>
  <c r="B7414" i="58"/>
  <c r="B7413" i="58"/>
  <c r="B7412" i="58"/>
  <c r="B7411" i="58"/>
  <c r="B7410" i="58"/>
  <c r="B7409" i="58"/>
  <c r="B7408" i="58"/>
  <c r="B7407" i="58"/>
  <c r="B7406" i="58"/>
  <c r="B7405" i="58"/>
  <c r="B7404" i="58"/>
  <c r="B7403" i="58"/>
  <c r="B7402" i="58"/>
  <c r="B7401" i="58"/>
  <c r="B7400" i="58"/>
  <c r="B7399" i="58"/>
  <c r="B7398" i="58"/>
  <c r="B7397" i="58"/>
  <c r="B7396" i="58"/>
  <c r="B7395" i="58"/>
  <c r="B7394" i="58"/>
  <c r="B7393" i="58"/>
  <c r="B7392" i="58"/>
  <c r="B7391" i="58"/>
  <c r="B7390" i="58"/>
  <c r="B7389" i="58"/>
  <c r="B7388" i="58"/>
  <c r="B7387" i="58"/>
  <c r="B7386" i="58"/>
  <c r="B7385" i="58"/>
  <c r="B7384" i="58"/>
  <c r="B7383" i="58"/>
  <c r="B7382" i="58"/>
  <c r="B7381" i="58"/>
  <c r="B7380" i="58"/>
  <c r="B7379" i="58"/>
  <c r="B7378" i="58"/>
  <c r="B7377" i="58"/>
  <c r="B7376" i="58"/>
  <c r="B7375" i="58"/>
  <c r="B7374" i="58"/>
  <c r="B7373" i="58"/>
  <c r="B7372" i="58"/>
  <c r="B7371" i="58"/>
  <c r="B7370" i="58"/>
  <c r="B7369" i="58"/>
  <c r="B7368" i="58"/>
  <c r="B7367" i="58"/>
  <c r="B7366" i="58"/>
  <c r="B7365" i="58"/>
  <c r="B7364" i="58"/>
  <c r="B7363" i="58"/>
  <c r="B7362" i="58"/>
  <c r="B7361" i="58"/>
  <c r="B7360" i="58"/>
  <c r="B7359" i="58"/>
  <c r="B7358" i="58"/>
  <c r="B7357" i="58"/>
  <c r="B7356" i="58"/>
  <c r="B7355" i="58"/>
  <c r="B7354" i="58"/>
  <c r="B7353" i="58"/>
  <c r="B7352" i="58"/>
  <c r="B7351" i="58"/>
  <c r="B7350" i="58"/>
  <c r="B7349" i="58"/>
  <c r="B7348" i="58"/>
  <c r="B7347" i="58"/>
  <c r="B7346" i="58"/>
  <c r="B7345" i="58"/>
  <c r="B7344" i="58"/>
  <c r="B7343" i="58"/>
  <c r="B7342" i="58"/>
  <c r="B7341" i="58"/>
  <c r="B7340" i="58"/>
  <c r="B7339" i="58"/>
  <c r="B7338" i="58"/>
  <c r="B7337" i="58"/>
  <c r="B7336" i="58"/>
  <c r="B7335" i="58"/>
  <c r="B7334" i="58"/>
  <c r="B7333" i="58"/>
  <c r="B7332" i="58"/>
  <c r="B7331" i="58"/>
  <c r="B7330" i="58"/>
  <c r="B7329" i="58"/>
  <c r="B7328" i="58"/>
  <c r="B7327" i="58"/>
  <c r="B7326" i="58"/>
  <c r="B7325" i="58"/>
  <c r="B7324" i="58"/>
  <c r="B7323" i="58"/>
  <c r="B7322" i="58"/>
  <c r="B7321" i="58"/>
  <c r="B7320" i="58"/>
  <c r="B7319" i="58"/>
  <c r="B7318" i="58"/>
  <c r="B7317" i="58"/>
  <c r="B7316" i="58"/>
  <c r="B7315" i="58"/>
  <c r="B7314" i="58"/>
  <c r="B7313" i="58"/>
  <c r="B7312" i="58"/>
  <c r="B7311" i="58"/>
  <c r="B7310" i="58"/>
  <c r="B7309" i="58"/>
  <c r="B7308" i="58"/>
  <c r="B7307" i="58"/>
  <c r="B7306" i="58"/>
  <c r="B7305" i="58"/>
  <c r="B7304" i="58"/>
  <c r="B7303" i="58"/>
  <c r="B7302" i="58"/>
  <c r="B7301" i="58"/>
  <c r="B7300" i="58"/>
  <c r="B7299" i="58"/>
  <c r="B7298" i="58"/>
  <c r="B7297" i="58"/>
  <c r="B7296" i="58"/>
  <c r="B7295" i="58"/>
  <c r="B7294" i="58"/>
  <c r="B7293" i="58"/>
  <c r="B7292" i="58"/>
  <c r="B7291" i="58"/>
  <c r="B7290" i="58"/>
  <c r="B7289" i="58"/>
  <c r="B7288" i="58"/>
  <c r="B7287" i="58"/>
  <c r="B7286" i="58"/>
  <c r="B7285" i="58"/>
  <c r="B7284" i="58"/>
  <c r="B7283" i="58"/>
  <c r="B7282" i="58"/>
  <c r="B7281" i="58"/>
  <c r="B7280" i="58"/>
  <c r="B7279" i="58"/>
  <c r="B7278" i="58"/>
  <c r="B7277" i="58"/>
  <c r="B7276" i="58"/>
  <c r="B7275" i="58"/>
  <c r="B7274" i="58"/>
  <c r="B7273" i="58"/>
  <c r="B7272" i="58"/>
  <c r="B7271" i="58"/>
  <c r="B7270" i="58"/>
  <c r="B7269" i="58"/>
  <c r="B7268" i="58"/>
  <c r="B7267" i="58"/>
  <c r="B7266" i="58"/>
  <c r="B7265" i="58"/>
  <c r="B7264" i="58"/>
  <c r="B7263" i="58"/>
  <c r="B7262" i="58"/>
  <c r="B7261" i="58"/>
  <c r="B7260" i="58"/>
  <c r="B7259" i="58"/>
  <c r="B7258" i="58"/>
  <c r="B7257" i="58"/>
  <c r="B7256" i="58"/>
  <c r="B7255" i="58"/>
  <c r="B7254" i="58"/>
  <c r="B7253" i="58"/>
  <c r="B7252" i="58"/>
  <c r="B7251" i="58"/>
  <c r="B7250" i="58"/>
  <c r="B7249" i="58"/>
  <c r="B7248" i="58"/>
  <c r="B7247" i="58"/>
  <c r="B7246" i="58"/>
  <c r="B7245" i="58"/>
  <c r="B7244" i="58"/>
  <c r="B7243" i="58"/>
  <c r="B7242" i="58"/>
  <c r="B7241" i="58"/>
  <c r="B7240" i="58"/>
  <c r="B7239" i="58"/>
  <c r="B7238" i="58"/>
  <c r="B7237" i="58"/>
  <c r="B7236" i="58"/>
  <c r="B7235" i="58"/>
  <c r="B7234" i="58"/>
  <c r="B7233" i="58"/>
  <c r="B7232" i="58"/>
  <c r="B7231" i="58"/>
  <c r="B7230" i="58"/>
  <c r="B7229" i="58"/>
  <c r="B7228" i="58"/>
  <c r="B7227" i="58"/>
  <c r="B7226" i="58"/>
  <c r="B7225" i="58"/>
  <c r="B7224" i="58"/>
  <c r="B7223" i="58"/>
  <c r="B7222" i="58"/>
  <c r="B7221" i="58"/>
  <c r="B7220" i="58"/>
  <c r="B7219" i="58"/>
  <c r="B7218" i="58"/>
  <c r="B7217" i="58"/>
  <c r="B7216" i="58"/>
  <c r="B7215" i="58"/>
  <c r="B7214" i="58"/>
  <c r="B7213" i="58"/>
  <c r="B7212" i="58"/>
  <c r="B7211" i="58"/>
  <c r="B7210" i="58"/>
  <c r="B7209" i="58"/>
  <c r="B7208" i="58"/>
  <c r="B7207" i="58"/>
  <c r="B7206" i="58"/>
  <c r="B7205" i="58"/>
  <c r="B7204" i="58"/>
  <c r="B7203" i="58"/>
  <c r="B7202" i="58"/>
  <c r="B7201" i="58"/>
  <c r="B7200" i="58"/>
  <c r="B7199" i="58"/>
  <c r="B7198" i="58"/>
  <c r="B7197" i="58"/>
  <c r="B7196" i="58"/>
  <c r="B7195" i="58"/>
  <c r="B7194" i="58"/>
  <c r="B7193" i="58"/>
  <c r="B7192" i="58"/>
  <c r="B7191" i="58"/>
  <c r="B7190" i="58"/>
  <c r="B7189" i="58"/>
  <c r="B7188" i="58"/>
  <c r="B7187" i="58"/>
  <c r="B7186" i="58"/>
  <c r="B7185" i="58"/>
  <c r="B7184" i="58"/>
  <c r="B7183" i="58"/>
  <c r="B7182" i="58"/>
  <c r="B7181" i="58"/>
  <c r="B7180" i="58"/>
  <c r="B7179" i="58"/>
  <c r="B7178" i="58"/>
  <c r="B7177" i="58"/>
  <c r="B7176" i="58"/>
  <c r="B7175" i="58"/>
  <c r="B7174" i="58"/>
  <c r="B7173" i="58"/>
  <c r="B7172" i="58"/>
  <c r="B7171" i="58"/>
  <c r="B7170" i="58"/>
  <c r="B7169" i="58"/>
  <c r="B7168" i="58"/>
  <c r="B7167" i="58"/>
  <c r="B7166" i="58"/>
  <c r="B7165" i="58"/>
  <c r="B7164" i="58"/>
  <c r="B7163" i="58"/>
  <c r="B7162" i="58"/>
  <c r="B7161" i="58"/>
  <c r="B7160" i="58"/>
  <c r="B7159" i="58"/>
  <c r="B7158" i="58"/>
  <c r="B7157" i="58"/>
  <c r="B7156" i="58"/>
  <c r="B7155" i="58"/>
  <c r="B7154" i="58"/>
  <c r="B7153" i="58"/>
  <c r="B7152" i="58"/>
  <c r="B7151" i="58"/>
  <c r="B7150" i="58"/>
  <c r="B7149" i="58"/>
  <c r="B7148" i="58"/>
  <c r="B7147" i="58"/>
  <c r="B7146" i="58"/>
  <c r="B7145" i="58"/>
  <c r="B7144" i="58"/>
  <c r="B7143" i="58"/>
  <c r="B7142" i="58"/>
  <c r="B7141" i="58"/>
  <c r="B7140" i="58"/>
  <c r="B7139" i="58"/>
  <c r="B7138" i="58"/>
  <c r="B7137" i="58"/>
  <c r="B7136" i="58"/>
  <c r="B7135" i="58"/>
  <c r="B7134" i="58"/>
  <c r="B7133" i="58"/>
  <c r="B7132" i="58"/>
  <c r="B7131" i="58"/>
  <c r="B7130" i="58"/>
  <c r="B7129" i="58"/>
  <c r="B7128" i="58"/>
  <c r="B7127" i="58"/>
  <c r="B7126" i="58"/>
  <c r="B7125" i="58"/>
  <c r="B7124" i="58"/>
  <c r="B7123" i="58"/>
  <c r="B7122" i="58"/>
  <c r="B7121" i="58"/>
  <c r="B7120" i="58"/>
  <c r="B7119" i="58"/>
  <c r="B7118" i="58"/>
  <c r="B7117" i="58"/>
  <c r="B7116" i="58"/>
  <c r="B7115" i="58"/>
  <c r="B7114" i="58"/>
  <c r="B7113" i="58"/>
  <c r="B7112" i="58"/>
  <c r="B7111" i="58"/>
  <c r="B7110" i="58"/>
  <c r="B7109" i="58"/>
  <c r="B7108" i="58"/>
  <c r="B7107" i="58"/>
  <c r="B7106" i="58"/>
  <c r="B7105" i="58"/>
  <c r="B7104" i="58"/>
  <c r="B7103" i="58"/>
  <c r="B7102" i="58"/>
  <c r="B7101" i="58"/>
  <c r="B7100" i="58"/>
  <c r="B7099" i="58"/>
  <c r="B7098" i="58"/>
  <c r="B7097" i="58"/>
  <c r="B7096" i="58"/>
  <c r="B7095" i="58"/>
  <c r="B7094" i="58"/>
  <c r="B7093" i="58"/>
  <c r="B7092" i="58"/>
  <c r="B7091" i="58"/>
  <c r="B7090" i="58"/>
  <c r="B7089" i="58"/>
  <c r="B7088" i="58"/>
  <c r="B7087" i="58"/>
  <c r="B7086" i="58"/>
  <c r="B7085" i="58"/>
  <c r="B7084" i="58"/>
  <c r="B7083" i="58"/>
  <c r="B7082" i="58"/>
  <c r="B7081" i="58"/>
  <c r="B7080" i="58"/>
  <c r="B7079" i="58"/>
  <c r="B7078" i="58"/>
  <c r="B7077" i="58"/>
  <c r="B7076" i="58"/>
  <c r="B7075" i="58"/>
  <c r="B7074" i="58"/>
  <c r="B7073" i="58"/>
  <c r="B7072" i="58"/>
  <c r="B7071" i="58"/>
  <c r="B7070" i="58"/>
  <c r="B7069" i="58"/>
  <c r="B7068" i="58"/>
  <c r="B7067" i="58"/>
  <c r="B7066" i="58"/>
  <c r="B7065" i="58"/>
  <c r="B7064" i="58"/>
  <c r="B7063" i="58"/>
  <c r="B7062" i="58"/>
  <c r="B7061" i="58"/>
  <c r="B7060" i="58"/>
  <c r="B7059" i="58"/>
  <c r="B7058" i="58"/>
  <c r="B7057" i="58"/>
  <c r="B7056" i="58"/>
  <c r="B7055" i="58"/>
  <c r="B7054" i="58"/>
  <c r="B7053" i="58"/>
  <c r="B7052" i="58"/>
  <c r="B7051" i="58"/>
  <c r="B7050" i="58"/>
  <c r="B7049" i="58"/>
  <c r="B7048" i="58"/>
  <c r="B7047" i="58"/>
  <c r="B7046" i="58"/>
  <c r="B7045" i="58"/>
  <c r="B7044" i="58"/>
  <c r="B7043" i="58"/>
  <c r="B7042" i="58"/>
  <c r="B7041" i="58"/>
  <c r="B7040" i="58"/>
  <c r="B7039" i="58"/>
  <c r="B7038" i="58"/>
  <c r="B7037" i="58"/>
  <c r="B7036" i="58"/>
  <c r="B7035" i="58"/>
  <c r="B7034" i="58"/>
  <c r="B7033" i="58"/>
  <c r="B7032" i="58"/>
  <c r="B7031" i="58"/>
  <c r="B7030" i="58"/>
  <c r="B7029" i="58"/>
  <c r="B7028" i="58"/>
  <c r="B7027" i="58"/>
  <c r="B7026" i="58"/>
  <c r="B7025" i="58"/>
  <c r="B7024" i="58"/>
  <c r="B7023" i="58"/>
  <c r="B7022" i="58"/>
  <c r="B7021" i="58"/>
  <c r="B7020" i="58"/>
  <c r="B7019" i="58"/>
  <c r="B7018" i="58"/>
  <c r="B7017" i="58"/>
  <c r="B7016" i="58"/>
  <c r="B7015" i="58"/>
  <c r="B7014" i="58"/>
  <c r="B7013" i="58"/>
  <c r="B7012" i="58"/>
  <c r="B7011" i="58"/>
  <c r="B7010" i="58"/>
  <c r="B7009" i="58"/>
  <c r="B7008" i="58"/>
  <c r="B7007" i="58"/>
  <c r="B7006" i="58"/>
  <c r="B7005" i="58"/>
  <c r="B7004" i="58"/>
  <c r="B7003" i="58"/>
  <c r="B7002" i="58"/>
  <c r="B7001" i="58"/>
  <c r="B7000" i="58"/>
  <c r="B6999" i="58"/>
  <c r="B6998" i="58"/>
  <c r="B6997" i="58"/>
  <c r="B6996" i="58"/>
  <c r="B6995" i="58"/>
  <c r="B6994" i="58"/>
  <c r="B6993" i="58"/>
  <c r="B6992" i="58"/>
  <c r="B6991" i="58"/>
  <c r="B6990" i="58"/>
  <c r="B6989" i="58"/>
  <c r="B6988" i="58"/>
  <c r="B6987" i="58"/>
  <c r="B6986" i="58"/>
  <c r="B6985" i="58"/>
  <c r="B6984" i="58"/>
  <c r="B6983" i="58"/>
  <c r="B6982" i="58"/>
  <c r="B6981" i="58"/>
  <c r="B6980" i="58"/>
  <c r="B6979" i="58"/>
  <c r="B6978" i="58"/>
  <c r="B6977" i="58"/>
  <c r="B6976" i="58"/>
  <c r="B6975" i="58"/>
  <c r="B6974" i="58"/>
  <c r="B6973" i="58"/>
  <c r="B6972" i="58"/>
  <c r="B6971" i="58"/>
  <c r="B6970" i="58"/>
  <c r="B6969" i="58"/>
  <c r="B6968" i="58"/>
  <c r="B6967" i="58"/>
  <c r="B6966" i="58"/>
  <c r="B6965" i="58"/>
  <c r="B6964" i="58"/>
  <c r="B6963" i="58"/>
  <c r="B6962" i="58"/>
  <c r="B6961" i="58"/>
  <c r="B6960" i="58"/>
  <c r="B6959" i="58"/>
  <c r="B6958" i="58"/>
  <c r="B6957" i="58"/>
  <c r="B6956" i="58"/>
  <c r="B6955" i="58"/>
  <c r="B6954" i="58"/>
  <c r="B6953" i="58"/>
  <c r="B6952" i="58"/>
  <c r="B6951" i="58"/>
  <c r="B6950" i="58"/>
  <c r="B6949" i="58"/>
  <c r="B6948" i="58"/>
  <c r="B6947" i="58"/>
  <c r="B6946" i="58"/>
  <c r="B6945" i="58"/>
  <c r="B6944" i="58"/>
  <c r="B6943" i="58"/>
  <c r="B6942" i="58"/>
  <c r="B6941" i="58"/>
  <c r="B6940" i="58"/>
  <c r="B6939" i="58"/>
  <c r="B6938" i="58"/>
  <c r="B6937" i="58"/>
  <c r="B6936" i="58"/>
  <c r="B6935" i="58"/>
  <c r="B6934" i="58"/>
  <c r="B6933" i="58"/>
  <c r="B6932" i="58"/>
  <c r="B6931" i="58"/>
  <c r="B6930" i="58"/>
  <c r="B6929" i="58"/>
  <c r="B6928" i="58"/>
  <c r="B6927" i="58"/>
  <c r="B6926" i="58"/>
  <c r="B6925" i="58"/>
  <c r="B6924" i="58"/>
  <c r="B6923" i="58"/>
  <c r="B6922" i="58"/>
  <c r="B6921" i="58"/>
  <c r="B6920" i="58"/>
  <c r="B6919" i="58"/>
  <c r="B6918" i="58"/>
  <c r="B6917" i="58"/>
  <c r="B6916" i="58"/>
  <c r="B6915" i="58"/>
  <c r="B6914" i="58"/>
  <c r="B6913" i="58"/>
  <c r="B6912" i="58"/>
  <c r="B6911" i="58"/>
  <c r="B6910" i="58"/>
  <c r="B6909" i="58"/>
  <c r="B6908" i="58"/>
  <c r="B6907" i="58"/>
  <c r="B6906" i="58"/>
  <c r="B6905" i="58"/>
  <c r="B6904" i="58"/>
  <c r="B6903" i="58"/>
  <c r="B6902" i="58"/>
  <c r="B6901" i="58"/>
  <c r="B6900" i="58"/>
  <c r="B6899" i="58"/>
  <c r="B6898" i="58"/>
  <c r="B6897" i="58"/>
  <c r="B6896" i="58"/>
  <c r="B6895" i="58"/>
  <c r="B6894" i="58"/>
  <c r="B6893" i="58"/>
  <c r="B6892" i="58"/>
  <c r="B6891" i="58"/>
  <c r="B6890" i="58"/>
  <c r="B6889" i="58"/>
  <c r="B6888" i="58"/>
  <c r="B6887" i="58"/>
  <c r="B6886" i="58"/>
  <c r="B6885" i="58"/>
  <c r="B6884" i="58"/>
  <c r="B6883" i="58"/>
  <c r="B6882" i="58"/>
  <c r="B6881" i="58"/>
  <c r="B6880" i="58"/>
  <c r="B6879" i="58"/>
  <c r="B6878" i="58"/>
  <c r="B6877" i="58"/>
  <c r="B6876" i="58"/>
  <c r="B6875" i="58"/>
  <c r="B6874" i="58"/>
  <c r="B6873" i="58"/>
  <c r="B6872" i="58"/>
  <c r="B6871" i="58"/>
  <c r="B6870" i="58"/>
  <c r="B6869" i="58"/>
  <c r="B6868" i="58"/>
  <c r="B6867" i="58"/>
  <c r="B6866" i="58"/>
  <c r="B6865" i="58"/>
  <c r="B6864" i="58"/>
  <c r="B6863" i="58"/>
  <c r="B6862" i="58"/>
  <c r="B6861" i="58"/>
  <c r="B6860" i="58"/>
  <c r="B6859" i="58"/>
  <c r="B6858" i="58"/>
  <c r="B6857" i="58"/>
  <c r="B6856" i="58"/>
  <c r="B6855" i="58"/>
  <c r="B6854" i="58"/>
  <c r="B6853" i="58"/>
  <c r="B6852" i="58"/>
  <c r="B6851" i="58"/>
  <c r="B6850" i="58"/>
  <c r="B6849" i="58"/>
  <c r="B6848" i="58"/>
  <c r="B6847" i="58"/>
  <c r="B6846" i="58"/>
  <c r="B6845" i="58"/>
  <c r="B6844" i="58"/>
  <c r="B6843" i="58"/>
  <c r="B6842" i="58"/>
  <c r="B6841" i="58"/>
  <c r="B6840" i="58"/>
  <c r="B6839" i="58"/>
  <c r="B6838" i="58"/>
  <c r="B6837" i="58"/>
  <c r="B6836" i="58"/>
  <c r="B6835" i="58"/>
  <c r="B6834" i="58"/>
  <c r="B6833" i="58"/>
  <c r="B6832" i="58"/>
  <c r="B6831" i="58"/>
  <c r="B6830" i="58"/>
  <c r="B6829" i="58"/>
  <c r="B6828" i="58"/>
  <c r="B6827" i="58"/>
  <c r="B6826" i="58"/>
  <c r="B6825" i="58"/>
  <c r="B6824" i="58"/>
  <c r="B6823" i="58"/>
  <c r="B6822" i="58"/>
  <c r="B6821" i="58"/>
  <c r="B6820" i="58"/>
  <c r="B6819" i="58"/>
  <c r="B6818" i="58"/>
  <c r="B6817" i="58"/>
  <c r="B6816" i="58"/>
  <c r="B6815" i="58"/>
  <c r="B6814" i="58"/>
  <c r="B6813" i="58"/>
  <c r="B6812" i="58"/>
  <c r="B6811" i="58"/>
  <c r="B6810" i="58"/>
  <c r="B6809" i="58"/>
  <c r="B6808" i="58"/>
  <c r="B6807" i="58"/>
  <c r="B6806" i="58"/>
  <c r="B6805" i="58"/>
  <c r="B6804" i="58"/>
  <c r="B6803" i="58"/>
  <c r="B6802" i="58"/>
  <c r="B6801" i="58"/>
  <c r="B6800" i="58"/>
  <c r="B6799" i="58"/>
  <c r="B6798" i="58"/>
  <c r="B6797" i="58"/>
  <c r="B6796" i="58"/>
  <c r="B6795" i="58"/>
  <c r="B6794" i="58"/>
  <c r="B6793" i="58"/>
  <c r="B6792" i="58"/>
  <c r="B6791" i="58"/>
  <c r="B6790" i="58"/>
  <c r="B6789" i="58"/>
  <c r="B6788" i="58"/>
  <c r="B6787" i="58"/>
  <c r="B6786" i="58"/>
  <c r="B6785" i="58"/>
  <c r="B6784" i="58"/>
  <c r="B6783" i="58"/>
  <c r="B6782" i="58"/>
  <c r="B6781" i="58"/>
  <c r="B6780" i="58"/>
  <c r="B6779" i="58"/>
  <c r="B6778" i="58"/>
  <c r="B6777" i="58"/>
  <c r="B6776" i="58"/>
  <c r="B6775" i="58"/>
  <c r="B6774" i="58"/>
  <c r="B6773" i="58"/>
  <c r="B6772" i="58"/>
  <c r="B6771" i="58"/>
  <c r="B6770" i="58"/>
  <c r="B6769" i="58"/>
  <c r="B6768" i="58"/>
  <c r="B6767" i="58"/>
  <c r="B6766" i="58"/>
  <c r="B6765" i="58"/>
  <c r="B6764" i="58"/>
  <c r="B6763" i="58"/>
  <c r="B6762" i="58"/>
  <c r="B6761" i="58"/>
  <c r="B6760" i="58"/>
  <c r="B6759" i="58"/>
  <c r="B6758" i="58"/>
  <c r="B6757" i="58"/>
  <c r="B6756" i="58"/>
  <c r="B6755" i="58"/>
  <c r="B6754" i="58"/>
  <c r="B6753" i="58"/>
  <c r="B6752" i="58"/>
  <c r="B6751" i="58"/>
  <c r="B6750" i="58"/>
  <c r="B6749" i="58"/>
  <c r="B6748" i="58"/>
  <c r="B6747" i="58"/>
  <c r="B6746" i="58"/>
  <c r="B6745" i="58"/>
  <c r="B6744" i="58"/>
  <c r="B6743" i="58"/>
  <c r="B6742" i="58"/>
  <c r="B6741" i="58"/>
  <c r="B6740" i="58"/>
  <c r="B6739" i="58"/>
  <c r="B6738" i="58"/>
  <c r="B6737" i="58"/>
  <c r="B6736" i="58"/>
  <c r="B6735" i="58"/>
  <c r="B6734" i="58"/>
  <c r="B6733" i="58"/>
  <c r="B6732" i="58"/>
  <c r="B6731" i="58"/>
  <c r="B6730" i="58"/>
  <c r="B6729" i="58"/>
  <c r="B6728" i="58"/>
  <c r="B6727" i="58"/>
  <c r="B6726" i="58"/>
  <c r="B6725" i="58"/>
  <c r="B6724" i="58"/>
  <c r="B6723" i="58"/>
  <c r="B6722" i="58"/>
  <c r="B6721" i="58"/>
  <c r="B6720" i="58"/>
  <c r="B6719" i="58"/>
  <c r="B6718" i="58"/>
  <c r="B6717" i="58"/>
  <c r="B6716" i="58"/>
  <c r="B6715" i="58"/>
  <c r="B6714" i="58"/>
  <c r="B6713" i="58"/>
  <c r="B6712" i="58"/>
  <c r="B6711" i="58"/>
  <c r="B6710" i="58"/>
  <c r="B6709" i="58"/>
  <c r="B6708" i="58"/>
  <c r="B6707" i="58"/>
  <c r="B6706" i="58"/>
  <c r="B6705" i="58"/>
  <c r="B6704" i="58"/>
  <c r="B6703" i="58"/>
  <c r="B6702" i="58"/>
  <c r="B6701" i="58"/>
  <c r="B6700" i="58"/>
  <c r="B6699" i="58"/>
  <c r="B6698" i="58"/>
  <c r="B6697" i="58"/>
  <c r="B6696" i="58"/>
  <c r="B6695" i="58"/>
  <c r="B6694" i="58"/>
  <c r="B6693" i="58"/>
  <c r="B6692" i="58"/>
  <c r="B6691" i="58"/>
  <c r="B6690" i="58"/>
  <c r="B6689" i="58"/>
  <c r="B6688" i="58"/>
  <c r="B6687" i="58"/>
  <c r="B6686" i="58"/>
  <c r="B6685" i="58"/>
  <c r="B6684" i="58"/>
  <c r="B6683" i="58"/>
  <c r="B6682" i="58"/>
  <c r="B6681" i="58"/>
  <c r="B6680" i="58"/>
  <c r="B6679" i="58"/>
  <c r="B6678" i="58"/>
  <c r="B6677" i="58"/>
  <c r="B6676" i="58"/>
  <c r="B6675" i="58"/>
  <c r="B6674" i="58"/>
  <c r="B6673" i="58"/>
  <c r="B6672" i="58"/>
  <c r="B6671" i="58"/>
  <c r="B6670" i="58"/>
  <c r="B6669" i="58"/>
  <c r="B6668" i="58"/>
  <c r="B6667" i="58"/>
  <c r="B6666" i="58"/>
  <c r="B6665" i="58"/>
  <c r="B6664" i="58"/>
  <c r="B6663" i="58"/>
  <c r="B6662" i="58"/>
  <c r="B6661" i="58"/>
  <c r="B6660" i="58"/>
  <c r="B6659" i="58"/>
  <c r="B6658" i="58"/>
  <c r="B6657" i="58"/>
  <c r="B6656" i="58"/>
  <c r="B6655" i="58"/>
  <c r="B6654" i="58"/>
  <c r="B6653" i="58"/>
  <c r="B6652" i="58"/>
  <c r="B6651" i="58"/>
  <c r="B6650" i="58"/>
  <c r="B6649" i="58"/>
  <c r="B6648" i="58"/>
  <c r="B6647" i="58"/>
  <c r="B6646" i="58"/>
  <c r="B6645" i="58"/>
  <c r="B6644" i="58"/>
  <c r="B6643" i="58"/>
  <c r="B6642" i="58"/>
  <c r="B6641" i="58"/>
  <c r="B6640" i="58"/>
  <c r="B6639" i="58"/>
  <c r="B6638" i="58"/>
  <c r="B6637" i="58"/>
  <c r="B6636" i="58"/>
  <c r="B6635" i="58"/>
  <c r="B6634" i="58"/>
  <c r="B6633" i="58"/>
  <c r="B6632" i="58"/>
  <c r="B6631" i="58"/>
  <c r="B6630" i="58"/>
  <c r="B6629" i="58"/>
  <c r="B6628" i="58"/>
  <c r="B6627" i="58"/>
  <c r="B6626" i="58"/>
  <c r="B6625" i="58"/>
  <c r="B6624" i="58"/>
  <c r="B6623" i="58"/>
  <c r="B6622" i="58"/>
  <c r="B6621" i="58"/>
  <c r="B6620" i="58"/>
  <c r="B6619" i="58"/>
  <c r="B6618" i="58"/>
  <c r="B6617" i="58"/>
  <c r="B6616" i="58"/>
  <c r="B6615" i="58"/>
  <c r="B6614" i="58"/>
  <c r="B6613" i="58"/>
  <c r="B6612" i="58"/>
  <c r="B6611" i="58"/>
  <c r="B6610" i="58"/>
  <c r="B6609" i="58"/>
  <c r="B6608" i="58"/>
  <c r="B6607" i="58"/>
  <c r="B6606" i="58"/>
  <c r="B6605" i="58"/>
  <c r="B6604" i="58"/>
  <c r="B6603" i="58"/>
  <c r="B6602" i="58"/>
  <c r="B6601" i="58"/>
  <c r="B6600" i="58"/>
  <c r="B6599" i="58"/>
  <c r="B6598" i="58"/>
  <c r="B6597" i="58"/>
  <c r="B6596" i="58"/>
  <c r="B6595" i="58"/>
  <c r="B6594" i="58"/>
  <c r="B6593" i="58"/>
  <c r="B6592" i="58"/>
  <c r="B6591" i="58"/>
  <c r="B6590" i="58"/>
  <c r="B6589" i="58"/>
  <c r="B6588" i="58"/>
  <c r="B6587" i="58"/>
  <c r="B6586" i="58"/>
  <c r="B6585" i="58"/>
  <c r="B6584" i="58"/>
  <c r="B6583" i="58"/>
  <c r="B6582" i="58"/>
  <c r="B6581" i="58"/>
  <c r="B6580" i="58"/>
  <c r="B6579" i="58"/>
  <c r="B6578" i="58"/>
  <c r="B6577" i="58"/>
  <c r="B6576" i="58"/>
  <c r="B6575" i="58"/>
  <c r="B6574" i="58"/>
  <c r="B6573" i="58"/>
  <c r="B6572" i="58"/>
  <c r="B6571" i="58"/>
  <c r="B6570" i="58"/>
  <c r="B6569" i="58"/>
  <c r="B6568" i="58"/>
  <c r="B6567" i="58"/>
  <c r="B6566" i="58"/>
  <c r="B6565" i="58"/>
  <c r="B6564" i="58"/>
  <c r="B6563" i="58"/>
  <c r="B6562" i="58"/>
  <c r="B6561" i="58"/>
  <c r="B6560" i="58"/>
  <c r="B6559" i="58"/>
  <c r="B6558" i="58"/>
  <c r="B6557" i="58"/>
  <c r="B6556" i="58"/>
  <c r="B6555" i="58"/>
  <c r="B6554" i="58"/>
  <c r="B6553" i="58"/>
  <c r="B6552" i="58"/>
  <c r="B6551" i="58"/>
  <c r="B6550" i="58"/>
  <c r="B6549" i="58"/>
  <c r="B6548" i="58"/>
  <c r="B6547" i="58"/>
  <c r="B6546" i="58"/>
  <c r="B6545" i="58"/>
  <c r="B6544" i="58"/>
  <c r="B6543" i="58"/>
  <c r="B6542" i="58"/>
  <c r="B6541" i="58"/>
  <c r="B6540" i="58"/>
  <c r="B6539" i="58"/>
  <c r="B6538" i="58"/>
  <c r="B6537" i="58"/>
  <c r="B6536" i="58"/>
  <c r="B6535" i="58"/>
  <c r="B6534" i="58"/>
  <c r="B6533" i="58"/>
  <c r="B6532" i="58"/>
  <c r="B6531" i="58"/>
  <c r="B6530" i="58"/>
  <c r="B6525" i="58"/>
  <c r="B6505" i="58"/>
  <c r="B6493" i="58"/>
  <c r="B6472" i="58"/>
  <c r="B6442" i="58"/>
  <c r="B6401" i="58"/>
  <c r="B6372" i="58"/>
  <c r="B6331" i="58"/>
  <c r="B6302" i="58"/>
  <c r="B6282" i="58"/>
  <c r="B6269" i="58"/>
  <c r="B6264" i="58"/>
  <c r="B6245" i="58"/>
  <c r="B6232" i="58"/>
  <c r="B6212" i="58"/>
  <c r="B6201" i="58"/>
  <c r="B6182" i="58"/>
  <c r="B6140" i="58"/>
  <c r="B6112" i="58"/>
  <c r="B6076" i="58"/>
  <c r="B6042" i="58"/>
  <c r="B6038" i="58"/>
  <c r="B6022" i="58"/>
  <c r="B6008" i="58"/>
  <c r="B6003" i="58"/>
  <c r="B5980" i="58"/>
  <c r="B5972" i="58"/>
  <c r="B5968" i="58"/>
  <c r="B5947" i="58"/>
  <c r="B5922" i="58"/>
  <c r="B5879" i="58"/>
  <c r="B5852" i="58"/>
  <c r="B5826" i="58"/>
  <c r="B5782" i="58"/>
  <c r="B5777" i="58"/>
  <c r="B5747" i="58"/>
  <c r="B5742" i="58"/>
  <c r="B5720" i="58"/>
  <c r="B5711" i="58"/>
  <c r="B5708" i="58"/>
  <c r="B5687" i="58"/>
  <c r="B5662" i="58"/>
  <c r="B5617" i="58"/>
  <c r="B5592" i="58"/>
  <c r="B5551" i="58"/>
  <c r="B5522" i="58"/>
  <c r="B5481" i="58"/>
  <c r="B5460" i="58"/>
  <c r="B5450" i="58"/>
  <c r="B5443" i="58"/>
  <c r="B5427" i="58"/>
  <c r="B5402" i="58"/>
  <c r="B5357" i="58"/>
  <c r="B5332" i="58"/>
  <c r="B5296" i="58"/>
  <c r="B5257" i="58"/>
  <c r="B5256" i="58"/>
  <c r="B5226" i="58"/>
  <c r="B5221" i="58"/>
  <c r="B5200" i="58"/>
  <c r="B5189" i="58"/>
  <c r="B5183" i="58"/>
  <c r="B5167" i="58"/>
  <c r="B5142" i="58"/>
  <c r="B5096" i="58"/>
  <c r="B5067" i="58"/>
  <c r="B5041" i="58"/>
  <c r="B4997" i="58"/>
  <c r="B4995" i="58"/>
  <c r="B4965" i="58"/>
  <c r="B4960" i="58"/>
  <c r="B4940" i="58"/>
  <c r="B4928" i="58"/>
  <c r="B4923" i="58"/>
  <c r="B4907" i="58"/>
  <c r="B4877" i="58"/>
  <c r="B4836" i="58"/>
  <c r="B4807" i="58"/>
  <c r="B4771" i="58"/>
  <c r="B4737" i="58"/>
  <c r="B4733" i="58"/>
  <c r="B4703" i="58"/>
  <c r="B4698" i="58"/>
  <c r="B4675" i="58"/>
  <c r="B4667" i="58"/>
  <c r="B4663" i="58"/>
  <c r="B4642" i="58"/>
  <c r="B4617" i="58"/>
  <c r="B4574" i="58"/>
  <c r="B4549" i="58"/>
  <c r="B4547" i="58"/>
  <c r="B4516" i="58"/>
  <c r="B4477" i="58"/>
  <c r="B4472" i="58"/>
  <c r="B4442" i="58"/>
  <c r="B4437" i="58"/>
  <c r="B4415" i="58"/>
  <c r="B4403" i="58"/>
  <c r="B4382" i="58"/>
  <c r="B4357" i="58"/>
  <c r="B4313" i="58"/>
  <c r="B4288" i="58"/>
  <c r="B4287" i="58"/>
  <c r="B4241" i="58"/>
  <c r="B4217" i="58"/>
  <c r="B4212" i="58"/>
  <c r="B4182" i="58"/>
  <c r="B4177" i="58"/>
  <c r="B4155" i="58"/>
  <c r="B4146" i="58"/>
  <c r="B4143" i="58"/>
  <c r="B4122" i="58"/>
  <c r="B4097" i="58"/>
  <c r="B4060" i="58"/>
  <c r="B4052" i="58"/>
  <c r="B4027" i="58"/>
  <c r="B3991" i="58"/>
  <c r="B3957" i="58"/>
  <c r="B3916" i="58"/>
  <c r="B3895" i="58"/>
  <c r="B3885" i="58"/>
  <c r="B3878" i="58"/>
  <c r="B3862" i="58"/>
  <c r="B3837" i="58"/>
  <c r="B3792" i="58"/>
  <c r="B3767" i="58"/>
  <c r="B3736" i="58"/>
  <c r="B3692" i="58"/>
  <c r="B3690" i="58"/>
  <c r="B3660" i="58"/>
  <c r="B3655" i="58"/>
  <c r="B3635" i="58"/>
  <c r="B3623" i="58"/>
  <c r="B3618" i="58"/>
  <c r="B3602" i="58"/>
  <c r="B3572" i="58"/>
  <c r="B3531" i="58"/>
  <c r="B3502" i="58"/>
  <c r="B3461" i="58"/>
  <c r="B3432" i="58"/>
  <c r="B3429" i="58"/>
  <c r="B3399" i="58"/>
  <c r="B3394" i="58"/>
  <c r="B3375" i="58"/>
  <c r="B3362" i="58"/>
  <c r="B3358" i="58"/>
  <c r="B3342" i="58"/>
  <c r="B3312" i="58"/>
  <c r="B3270" i="58"/>
  <c r="B3242" i="58"/>
  <c r="B3211" i="58"/>
  <c r="B3172" i="58"/>
  <c r="B3168" i="58"/>
  <c r="B3138" i="58"/>
  <c r="B3133" i="58"/>
  <c r="B3132" i="58"/>
  <c r="B3110" i="58"/>
  <c r="B3098" i="58"/>
  <c r="B3087" i="58"/>
  <c r="B3077" i="58"/>
  <c r="B3052" i="58"/>
  <c r="B3009" i="58"/>
  <c r="B2982" i="58"/>
  <c r="B2956" i="58"/>
  <c r="B2912" i="58"/>
  <c r="B2907" i="58"/>
  <c r="B2877" i="58"/>
  <c r="B2872" i="58"/>
  <c r="B2850" i="58"/>
  <c r="B2838" i="58"/>
  <c r="B2827" i="58"/>
  <c r="B2817" i="58"/>
  <c r="B2792" i="58"/>
  <c r="B2748" i="58"/>
  <c r="B2722" i="58"/>
  <c r="B2681" i="58"/>
  <c r="B2652" i="58"/>
  <c r="B2611" i="58"/>
  <c r="B2590" i="58"/>
  <c r="B2573" i="58"/>
  <c r="B2567" i="58"/>
  <c r="B2557" i="58"/>
  <c r="B2532" i="58"/>
  <c r="B2487" i="58"/>
  <c r="B2462" i="58"/>
  <c r="B2426" i="58"/>
  <c r="B2387" i="58"/>
  <c r="B2386" i="58"/>
  <c r="B2356" i="58"/>
  <c r="B2351" i="58"/>
  <c r="B2330" i="58"/>
  <c r="B2319" i="58"/>
  <c r="B2313" i="58"/>
  <c r="B2297" i="58"/>
  <c r="B2272" i="58"/>
  <c r="B2226" i="58"/>
  <c r="B2156" i="58"/>
  <c r="B2132" i="58"/>
  <c r="B2125" i="58"/>
  <c r="B2095" i="58"/>
  <c r="B2090" i="58"/>
  <c r="B2070" i="58"/>
  <c r="B2058" i="58"/>
  <c r="B2053" i="58"/>
  <c r="B2037" i="58"/>
  <c r="B2007" i="58"/>
  <c r="B1977" i="58"/>
  <c r="B1966" i="58"/>
  <c r="B1941" i="58"/>
  <c r="B1901" i="58"/>
  <c r="B1897" i="58"/>
  <c r="B1864" i="58"/>
  <c r="B1834" i="58"/>
  <c r="B1829" i="58"/>
  <c r="B1810" i="58"/>
  <c r="B1797" i="58"/>
  <c r="B1793" i="58"/>
  <c r="B1747" i="58"/>
  <c r="B1705" i="58"/>
  <c r="B1680" i="58"/>
  <c r="B1646" i="58"/>
  <c r="B1643" i="58"/>
  <c r="B1610" i="58"/>
  <c r="B1602" i="58"/>
  <c r="B1572" i="58"/>
  <c r="B1567" i="58"/>
  <c r="B1545" i="58"/>
  <c r="B1533" i="58"/>
  <c r="B1515" i="58"/>
  <c r="B1487" i="58"/>
  <c r="B1443" i="58"/>
  <c r="B1418" i="58"/>
  <c r="B1371" i="58"/>
  <c r="B1349" i="58"/>
  <c r="B1342" i="58"/>
  <c r="B1312" i="58"/>
  <c r="B1307" i="58"/>
  <c r="B1285" i="58"/>
  <c r="B1276" i="58"/>
  <c r="B1273" i="58"/>
  <c r="B1254" i="58"/>
  <c r="B1227" i="58"/>
  <c r="B1182" i="58"/>
  <c r="B1157" i="58"/>
  <c r="B1121" i="58"/>
  <c r="B1088" i="58"/>
  <c r="B1046" i="58"/>
  <c r="B1025" i="58"/>
  <c r="B1015" i="58"/>
  <c r="B1008" i="58"/>
  <c r="B993" i="58"/>
  <c r="B967" i="58"/>
  <c r="B922" i="58"/>
  <c r="B897" i="58"/>
  <c r="B866" i="58"/>
  <c r="B827" i="58"/>
  <c r="B821" i="58"/>
  <c r="B791" i="58"/>
  <c r="B786" i="58"/>
  <c r="B765" i="58"/>
  <c r="B754" i="58"/>
  <c r="B748" i="58"/>
  <c r="B732" i="58"/>
  <c r="B707" i="58"/>
  <c r="B661" i="58"/>
  <c r="B636" i="58"/>
  <c r="B591" i="58"/>
  <c r="B566" i="58"/>
  <c r="B559" i="58"/>
  <c r="B529" i="58"/>
  <c r="B524" i="58"/>
  <c r="B505" i="58"/>
  <c r="B502" i="58"/>
  <c r="B492" i="58"/>
  <c r="B488" i="58"/>
  <c r="B442" i="58"/>
  <c r="B400" i="58"/>
  <c r="B375" i="58"/>
  <c r="B341" i="58"/>
  <c r="B306" i="58"/>
  <c r="B298" i="58"/>
  <c r="B268" i="58"/>
  <c r="B263" i="58"/>
  <c r="B240" i="58"/>
  <c r="B232" i="58"/>
  <c r="B228" i="58"/>
  <c r="B211" i="58"/>
  <c r="B182" i="58"/>
  <c r="B139" i="58"/>
  <c r="B114" i="58"/>
  <c r="B86" i="58"/>
  <c r="B45" i="58"/>
  <c r="B37" i="58"/>
  <c r="E131" i="30" l="1"/>
  <c r="E243" i="57" l="1"/>
  <c r="E858" i="58"/>
  <c r="A33" i="56" l="1"/>
  <c r="E242" i="57"/>
  <c r="E857" i="58"/>
  <c r="G172" i="30" l="1"/>
  <c r="G109" i="30"/>
  <c r="X69" i="87" l="1"/>
  <c r="Y69" i="87"/>
  <c r="Z69" i="87"/>
  <c r="AB69" i="87"/>
  <c r="AC69" i="87"/>
  <c r="AA69" i="87"/>
  <c r="V69" i="87" l="1"/>
  <c r="W69" i="87"/>
  <c r="E176" i="81" l="1"/>
  <c r="F66" i="80"/>
  <c r="E69" i="79"/>
  <c r="E69" i="78"/>
  <c r="E155" i="77"/>
  <c r="E194" i="30"/>
  <c r="E191" i="30"/>
  <c r="E68" i="30"/>
  <c r="E66" i="30"/>
  <c r="E128" i="30" s="1"/>
  <c r="F62" i="49"/>
  <c r="E68" i="61"/>
  <c r="E66" i="50"/>
  <c r="E114" i="46"/>
  <c r="G116" i="29"/>
  <c r="G117" i="29"/>
  <c r="G118" i="29"/>
  <c r="G119" i="29"/>
  <c r="G79" i="81"/>
  <c r="G80" i="81"/>
  <c r="G81" i="81"/>
  <c r="G82" i="81"/>
  <c r="G83" i="81"/>
  <c r="G84" i="81"/>
  <c r="G85" i="81"/>
  <c r="G86" i="81"/>
  <c r="G87" i="81"/>
  <c r="G88" i="81"/>
  <c r="G89" i="81"/>
  <c r="G90" i="81"/>
  <c r="G91" i="81"/>
  <c r="G92" i="81"/>
  <c r="G93" i="81"/>
  <c r="G94" i="81"/>
  <c r="G95" i="81"/>
  <c r="G96" i="81"/>
  <c r="G97" i="81"/>
  <c r="G98" i="81"/>
  <c r="G99" i="81"/>
  <c r="G100" i="81"/>
  <c r="G101" i="81"/>
  <c r="G102" i="81"/>
  <c r="G103" i="81"/>
  <c r="G104" i="81"/>
  <c r="G105" i="81"/>
  <c r="G106" i="81"/>
  <c r="G107" i="81"/>
  <c r="G108" i="81"/>
  <c r="G109" i="81"/>
  <c r="G110" i="81"/>
  <c r="G111" i="81"/>
  <c r="G112" i="81"/>
  <c r="P24" i="80"/>
  <c r="P25" i="80"/>
  <c r="P26" i="80"/>
  <c r="P27" i="80"/>
  <c r="P28" i="80"/>
  <c r="P29" i="80"/>
  <c r="P30" i="80"/>
  <c r="P31" i="80"/>
  <c r="P32" i="80"/>
  <c r="P33" i="80"/>
  <c r="P34" i="80"/>
  <c r="P35" i="80"/>
  <c r="P36" i="80"/>
  <c r="P37" i="80"/>
  <c r="P38" i="80"/>
  <c r="P39" i="80"/>
  <c r="P40" i="80"/>
  <c r="P41" i="80"/>
  <c r="P42" i="80"/>
  <c r="P43" i="80"/>
  <c r="P44" i="80"/>
  <c r="P45" i="80"/>
  <c r="P46" i="80"/>
  <c r="P47" i="80"/>
  <c r="P48" i="80"/>
  <c r="P49" i="80"/>
  <c r="P50" i="80"/>
  <c r="P51" i="80"/>
  <c r="P52" i="80"/>
  <c r="P53" i="80"/>
  <c r="P54" i="80"/>
  <c r="P55" i="80"/>
  <c r="P56" i="80"/>
  <c r="P57" i="80"/>
  <c r="P58" i="80"/>
  <c r="N24" i="80"/>
  <c r="N25" i="80"/>
  <c r="N26" i="80"/>
  <c r="N27" i="80"/>
  <c r="N28" i="80"/>
  <c r="N29" i="80"/>
  <c r="N30" i="80"/>
  <c r="N31" i="80"/>
  <c r="N32" i="80"/>
  <c r="N33" i="80"/>
  <c r="N34" i="80"/>
  <c r="N35" i="80"/>
  <c r="N36" i="80"/>
  <c r="N37" i="80"/>
  <c r="N38" i="80"/>
  <c r="N39" i="80"/>
  <c r="N40" i="80"/>
  <c r="N41" i="80"/>
  <c r="N42" i="80"/>
  <c r="N43" i="80"/>
  <c r="N44" i="80"/>
  <c r="N45" i="80"/>
  <c r="N46" i="80"/>
  <c r="N47" i="80"/>
  <c r="N48" i="80"/>
  <c r="N49" i="80"/>
  <c r="N50" i="80"/>
  <c r="N51" i="80"/>
  <c r="N52" i="80"/>
  <c r="N53" i="80"/>
  <c r="N54" i="80"/>
  <c r="N55" i="80"/>
  <c r="N56" i="80"/>
  <c r="N57" i="80"/>
  <c r="N58" i="80"/>
  <c r="G14" i="79"/>
  <c r="G15" i="79"/>
  <c r="G16" i="79"/>
  <c r="G17" i="79"/>
  <c r="G18" i="79"/>
  <c r="G20" i="79"/>
  <c r="G21" i="79"/>
  <c r="G22" i="79"/>
  <c r="G24" i="79"/>
  <c r="G25" i="79"/>
  <c r="G26" i="79"/>
  <c r="G27" i="79"/>
  <c r="G28" i="79"/>
  <c r="G29" i="79"/>
  <c r="G30" i="79"/>
  <c r="G31" i="79"/>
  <c r="G32" i="79"/>
  <c r="G33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13" i="79"/>
  <c r="G14" i="78"/>
  <c r="AO14" i="78" s="1"/>
  <c r="G15" i="78"/>
  <c r="AO15" i="78" s="1"/>
  <c r="G16" i="78"/>
  <c r="AO16" i="78" s="1"/>
  <c r="G17" i="78"/>
  <c r="AO17" i="78" s="1"/>
  <c r="G18" i="78"/>
  <c r="AO18" i="78" s="1"/>
  <c r="G20" i="78"/>
  <c r="AO20" i="78" s="1"/>
  <c r="G21" i="78"/>
  <c r="AO21" i="78" s="1"/>
  <c r="G22" i="78"/>
  <c r="AO22" i="78" s="1"/>
  <c r="G13" i="78"/>
  <c r="AO13" i="78" s="1"/>
  <c r="G24" i="77"/>
  <c r="G25" i="77"/>
  <c r="G26" i="77"/>
  <c r="G27" i="77"/>
  <c r="G28" i="77"/>
  <c r="G29" i="77"/>
  <c r="G30" i="77"/>
  <c r="G31" i="77"/>
  <c r="G32" i="77"/>
  <c r="G33" i="77"/>
  <c r="G34" i="77"/>
  <c r="G35" i="77"/>
  <c r="G36" i="77"/>
  <c r="G37" i="77"/>
  <c r="G38" i="77"/>
  <c r="G39" i="77"/>
  <c r="G40" i="77"/>
  <c r="G41" i="77"/>
  <c r="G42" i="77"/>
  <c r="G43" i="77"/>
  <c r="G44" i="77"/>
  <c r="G45" i="77"/>
  <c r="G46" i="77"/>
  <c r="G47" i="77"/>
  <c r="G48" i="77"/>
  <c r="G49" i="77"/>
  <c r="G50" i="77"/>
  <c r="G51" i="77"/>
  <c r="G52" i="77"/>
  <c r="G53" i="77"/>
  <c r="G54" i="77"/>
  <c r="G55" i="77"/>
  <c r="G56" i="77"/>
  <c r="G57" i="77"/>
  <c r="G14" i="76"/>
  <c r="G15" i="76"/>
  <c r="G16" i="76"/>
  <c r="G17" i="76"/>
  <c r="G18" i="76"/>
  <c r="G20" i="76"/>
  <c r="G21" i="76"/>
  <c r="G22" i="76"/>
  <c r="G13" i="76"/>
  <c r="G47" i="30"/>
  <c r="P51" i="49"/>
  <c r="P52" i="49"/>
  <c r="P53" i="49"/>
  <c r="P54" i="49"/>
  <c r="G14" i="61"/>
  <c r="G15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13" i="61"/>
  <c r="G14" i="50"/>
  <c r="G15" i="50"/>
  <c r="G16" i="50"/>
  <c r="G17" i="50"/>
  <c r="G18" i="50"/>
  <c r="G19" i="50"/>
  <c r="G20" i="50"/>
  <c r="G21" i="50"/>
  <c r="G22" i="50"/>
  <c r="G23" i="50"/>
  <c r="G24" i="50"/>
  <c r="G25" i="50"/>
  <c r="G26" i="50"/>
  <c r="G27" i="50"/>
  <c r="G28" i="50"/>
  <c r="G29" i="50"/>
  <c r="G30" i="50"/>
  <c r="G31" i="50"/>
  <c r="G32" i="50"/>
  <c r="G33" i="50"/>
  <c r="G34" i="50"/>
  <c r="G35" i="50"/>
  <c r="G36" i="50"/>
  <c r="G37" i="50"/>
  <c r="G38" i="50"/>
  <c r="G39" i="50"/>
  <c r="G40" i="50"/>
  <c r="G41" i="50"/>
  <c r="G42" i="50"/>
  <c r="G43" i="50"/>
  <c r="G44" i="50"/>
  <c r="G45" i="50"/>
  <c r="G46" i="50"/>
  <c r="G47" i="50"/>
  <c r="G48" i="50"/>
  <c r="G49" i="50"/>
  <c r="G50" i="50"/>
  <c r="G51" i="50"/>
  <c r="G52" i="50"/>
  <c r="G53" i="50"/>
  <c r="G13" i="50"/>
  <c r="G48" i="46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13" i="29"/>
  <c r="Q5" i="87" l="1"/>
  <c r="P5" i="87"/>
  <c r="O5" i="87"/>
  <c r="N5" i="87"/>
  <c r="M5" i="87"/>
  <c r="L5" i="87"/>
  <c r="K5" i="87"/>
  <c r="E236" i="57" l="1"/>
  <c r="E237" i="57"/>
  <c r="E238" i="57"/>
  <c r="E239" i="57"/>
  <c r="E240" i="57"/>
  <c r="E241" i="57"/>
  <c r="E851" i="58"/>
  <c r="E852" i="58"/>
  <c r="E853" i="58"/>
  <c r="E854" i="58"/>
  <c r="E855" i="58"/>
  <c r="E856" i="58"/>
  <c r="E65" i="29" l="1"/>
  <c r="E126" i="29" l="1"/>
  <c r="E190" i="29"/>
  <c r="E235" i="57" l="1"/>
  <c r="E850" i="58"/>
  <c r="C61" i="21" l="1"/>
  <c r="G121" i="81" l="1"/>
  <c r="H121" i="81" s="1"/>
  <c r="G66" i="81"/>
  <c r="H66" i="81" s="1"/>
  <c r="G11" i="81"/>
  <c r="H11" i="81" s="1"/>
  <c r="I12" i="80"/>
  <c r="J12" i="80" s="1"/>
  <c r="K12" i="80" s="1"/>
  <c r="L12" i="80" s="1"/>
  <c r="M12" i="80" s="1"/>
  <c r="N12" i="80" s="1"/>
  <c r="G11" i="79"/>
  <c r="H11" i="79" s="1"/>
  <c r="G59" i="79" l="1"/>
  <c r="G11" i="78" l="1"/>
  <c r="H11" i="78"/>
  <c r="G69" i="77"/>
  <c r="G11" i="77"/>
  <c r="H11" i="77" s="1"/>
  <c r="H14" i="76"/>
  <c r="H15" i="76"/>
  <c r="H16" i="76"/>
  <c r="H17" i="76"/>
  <c r="H18" i="76"/>
  <c r="H20" i="76"/>
  <c r="H21" i="76"/>
  <c r="H22" i="76"/>
  <c r="H13" i="76"/>
  <c r="G121" i="76"/>
  <c r="H121" i="76" s="1"/>
  <c r="G66" i="76"/>
  <c r="H66" i="76" s="1"/>
  <c r="G11" i="76"/>
  <c r="H11" i="76"/>
  <c r="E177" i="76"/>
  <c r="B163" i="30"/>
  <c r="D163" i="30"/>
  <c r="C163" i="30" s="1"/>
  <c r="B162" i="30"/>
  <c r="D162" i="30"/>
  <c r="C162" i="30" s="1"/>
  <c r="H172" i="30"/>
  <c r="H179" i="30"/>
  <c r="H180" i="30"/>
  <c r="H181" i="30"/>
  <c r="H182" i="30"/>
  <c r="G136" i="30"/>
  <c r="H136" i="30"/>
  <c r="I116" i="30"/>
  <c r="I117" i="30"/>
  <c r="I118" i="30"/>
  <c r="I119" i="30"/>
  <c r="H109" i="30"/>
  <c r="H116" i="30"/>
  <c r="H117" i="30"/>
  <c r="H118" i="30"/>
  <c r="H119" i="30"/>
  <c r="G73" i="30"/>
  <c r="H73" i="30" s="1"/>
  <c r="B99" i="30"/>
  <c r="B100" i="30"/>
  <c r="D100" i="30"/>
  <c r="I54" i="30"/>
  <c r="I55" i="30"/>
  <c r="I56" i="30"/>
  <c r="I57" i="30"/>
  <c r="H47" i="30"/>
  <c r="H54" i="30"/>
  <c r="H55" i="30"/>
  <c r="H56" i="30"/>
  <c r="H57" i="30"/>
  <c r="B37" i="30"/>
  <c r="D37" i="30"/>
  <c r="D99" i="30" s="1"/>
  <c r="B38" i="30"/>
  <c r="D38" i="30"/>
  <c r="G11" i="30"/>
  <c r="H11" i="30"/>
  <c r="D55" i="49"/>
  <c r="B37" i="49"/>
  <c r="J37" i="49"/>
  <c r="B37" i="61"/>
  <c r="D37" i="61"/>
  <c r="C37" i="61" s="1"/>
  <c r="C38" i="61" s="1"/>
  <c r="H37" i="61"/>
  <c r="I37" i="61"/>
  <c r="B38" i="61"/>
  <c r="D38" i="61"/>
  <c r="H38" i="61"/>
  <c r="I38" i="61"/>
  <c r="I14" i="61"/>
  <c r="I15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9" i="61"/>
  <c r="I40" i="61"/>
  <c r="I41" i="61"/>
  <c r="I42" i="61"/>
  <c r="I43" i="61"/>
  <c r="I44" i="61"/>
  <c r="I45" i="61"/>
  <c r="I46" i="61"/>
  <c r="I47" i="61"/>
  <c r="I48" i="61"/>
  <c r="I49" i="61"/>
  <c r="I50" i="61"/>
  <c r="I51" i="61"/>
  <c r="I52" i="61"/>
  <c r="I53" i="61"/>
  <c r="I54" i="61"/>
  <c r="I55" i="61"/>
  <c r="I56" i="61"/>
  <c r="I57" i="61"/>
  <c r="H14" i="61"/>
  <c r="H15" i="61"/>
  <c r="H16" i="61"/>
  <c r="H17" i="61"/>
  <c r="H18" i="61"/>
  <c r="H19" i="61"/>
  <c r="H20" i="61"/>
  <c r="H21" i="61"/>
  <c r="H22" i="61"/>
  <c r="H23" i="61"/>
  <c r="H24" i="61"/>
  <c r="H25" i="61"/>
  <c r="H26" i="61"/>
  <c r="H27" i="61"/>
  <c r="H28" i="61"/>
  <c r="H29" i="61"/>
  <c r="H30" i="61"/>
  <c r="H31" i="61"/>
  <c r="H32" i="61"/>
  <c r="H33" i="61"/>
  <c r="H34" i="61"/>
  <c r="H35" i="61"/>
  <c r="H36" i="61"/>
  <c r="H39" i="61"/>
  <c r="H40" i="61"/>
  <c r="H41" i="61"/>
  <c r="H42" i="61"/>
  <c r="H43" i="61"/>
  <c r="H44" i="61"/>
  <c r="H45" i="61"/>
  <c r="H46" i="61"/>
  <c r="H47" i="61"/>
  <c r="H48" i="61"/>
  <c r="H49" i="61"/>
  <c r="H50" i="61"/>
  <c r="H51" i="61"/>
  <c r="H52" i="61"/>
  <c r="H53" i="61"/>
  <c r="H54" i="61"/>
  <c r="H55" i="61"/>
  <c r="H56" i="61"/>
  <c r="H57" i="61"/>
  <c r="H13" i="61"/>
  <c r="G11" i="61"/>
  <c r="H11" i="61"/>
  <c r="G11" i="50"/>
  <c r="H11" i="50"/>
  <c r="I14" i="50"/>
  <c r="I15" i="50"/>
  <c r="I16" i="50"/>
  <c r="I17" i="50"/>
  <c r="I18" i="50"/>
  <c r="I19" i="50"/>
  <c r="I20" i="50"/>
  <c r="I21" i="50"/>
  <c r="I22" i="50"/>
  <c r="I23" i="50"/>
  <c r="I24" i="50"/>
  <c r="I25" i="50"/>
  <c r="I26" i="50"/>
  <c r="I27" i="50"/>
  <c r="I28" i="50"/>
  <c r="I29" i="50"/>
  <c r="I30" i="50"/>
  <c r="I31" i="50"/>
  <c r="I32" i="50"/>
  <c r="I33" i="50"/>
  <c r="I34" i="50"/>
  <c r="I35" i="50"/>
  <c r="I36" i="50"/>
  <c r="I37" i="50"/>
  <c r="I38" i="50"/>
  <c r="I39" i="50"/>
  <c r="I40" i="50"/>
  <c r="I41" i="50"/>
  <c r="I42" i="50"/>
  <c r="I43" i="50"/>
  <c r="I44" i="50"/>
  <c r="I45" i="50"/>
  <c r="I46" i="50"/>
  <c r="I47" i="50"/>
  <c r="I48" i="50"/>
  <c r="I49" i="50"/>
  <c r="I50" i="50"/>
  <c r="I51" i="50"/>
  <c r="I52" i="50"/>
  <c r="I53" i="50"/>
  <c r="I54" i="50"/>
  <c r="I55" i="50"/>
  <c r="I56" i="50"/>
  <c r="I57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13" i="50"/>
  <c r="B37" i="50"/>
  <c r="D37" i="50"/>
  <c r="B38" i="50"/>
  <c r="D38" i="50"/>
  <c r="B38" i="46"/>
  <c r="D38" i="46"/>
  <c r="C38" i="46" s="1"/>
  <c r="C39" i="46" s="1"/>
  <c r="B39" i="46"/>
  <c r="D39" i="46"/>
  <c r="A101" i="29"/>
  <c r="B101" i="29" s="1"/>
  <c r="A100" i="29"/>
  <c r="B99" i="29"/>
  <c r="A99" i="29"/>
  <c r="A163" i="29"/>
  <c r="B163" i="29"/>
  <c r="A164" i="29"/>
  <c r="B164" i="29"/>
  <c r="H37" i="29"/>
  <c r="I37" i="29"/>
  <c r="B37" i="29"/>
  <c r="D37" i="29"/>
  <c r="D99" i="29" s="1"/>
  <c r="B38" i="29"/>
  <c r="D38" i="29"/>
  <c r="D164" i="29" s="1"/>
  <c r="E1" i="39"/>
  <c r="D100" i="29" l="1"/>
  <c r="D163" i="29"/>
  <c r="G59" i="76"/>
  <c r="G60" i="76"/>
  <c r="G59" i="50"/>
  <c r="G59" i="78"/>
  <c r="G59" i="61"/>
  <c r="B100" i="29"/>
  <c r="E234" i="57"/>
  <c r="E849" i="58"/>
  <c r="A32" i="56"/>
  <c r="G74" i="46"/>
  <c r="G70" i="46"/>
  <c r="I58" i="46"/>
  <c r="I57" i="46"/>
  <c r="I56" i="46"/>
  <c r="I55" i="46"/>
  <c r="H48" i="46"/>
  <c r="H55" i="46"/>
  <c r="H56" i="46"/>
  <c r="H57" i="46"/>
  <c r="H58" i="46"/>
  <c r="G12" i="46"/>
  <c r="H12" i="46" s="1"/>
  <c r="I62" i="86" l="1"/>
  <c r="I63" i="86"/>
  <c r="I64" i="86"/>
  <c r="I65" i="86"/>
  <c r="I66" i="86"/>
  <c r="I67" i="86"/>
  <c r="I68" i="86"/>
  <c r="I61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40" i="86"/>
  <c r="I23" i="86"/>
  <c r="I24" i="86"/>
  <c r="I25" i="86"/>
  <c r="I26" i="86"/>
  <c r="I27" i="86"/>
  <c r="I28" i="86"/>
  <c r="I29" i="86"/>
  <c r="I30" i="86"/>
  <c r="I31" i="86"/>
  <c r="I32" i="86"/>
  <c r="I33" i="86"/>
  <c r="I34" i="86"/>
  <c r="I35" i="86"/>
  <c r="I36" i="86"/>
  <c r="I37" i="86"/>
  <c r="I38" i="86"/>
  <c r="I22" i="86"/>
  <c r="E193" i="29"/>
  <c r="E129" i="29"/>
  <c r="E67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G137" i="29"/>
  <c r="H137" i="29" s="1"/>
  <c r="G73" i="29"/>
  <c r="H73" i="29" s="1"/>
  <c r="G11" i="29"/>
  <c r="H11" i="29" s="1"/>
  <c r="G59" i="29" l="1"/>
  <c r="G60" i="29"/>
  <c r="AC74" i="87"/>
  <c r="AB74" i="87"/>
  <c r="W74" i="87"/>
  <c r="V74" i="87"/>
  <c r="AF73" i="87"/>
  <c r="AC73" i="87"/>
  <c r="AB73" i="87"/>
  <c r="AA73" i="87"/>
  <c r="Z73" i="87"/>
  <c r="Y73" i="87"/>
  <c r="X73" i="87"/>
  <c r="W73" i="87"/>
  <c r="V73" i="87"/>
  <c r="B73" i="87"/>
  <c r="A73" i="87" s="1"/>
  <c r="AF72" i="87"/>
  <c r="AC72" i="87"/>
  <c r="AB72" i="87"/>
  <c r="AA72" i="87"/>
  <c r="Z72" i="87"/>
  <c r="Y72" i="87"/>
  <c r="X72" i="87"/>
  <c r="W72" i="87"/>
  <c r="V72" i="87"/>
  <c r="B72" i="87"/>
  <c r="A72" i="87" s="1"/>
  <c r="AF71" i="87"/>
  <c r="B71" i="87"/>
  <c r="A71" i="87" s="1"/>
  <c r="AF70" i="87"/>
  <c r="W70" i="87"/>
  <c r="V70" i="87"/>
  <c r="G109" i="29" s="1"/>
  <c r="B70" i="87"/>
  <c r="A70" i="87" s="1"/>
  <c r="AF69" i="87"/>
  <c r="B69" i="87"/>
  <c r="A69" i="87" s="1"/>
  <c r="AF68" i="87"/>
  <c r="AC68" i="87"/>
  <c r="P50" i="49" s="1"/>
  <c r="AB68" i="87"/>
  <c r="N50" i="49" s="1"/>
  <c r="AA68" i="87"/>
  <c r="G54" i="46" s="1"/>
  <c r="Z68" i="87"/>
  <c r="G178" i="30" s="1"/>
  <c r="Y68" i="87"/>
  <c r="G115" i="30" s="1"/>
  <c r="X68" i="87"/>
  <c r="G53" i="30" s="1"/>
  <c r="W68" i="87"/>
  <c r="G179" i="29" s="1"/>
  <c r="V68" i="87"/>
  <c r="G115" i="29" s="1"/>
  <c r="B68" i="87"/>
  <c r="A68" i="87" s="1"/>
  <c r="AF67" i="87"/>
  <c r="AC67" i="87"/>
  <c r="P47" i="49" s="1"/>
  <c r="AB67" i="87"/>
  <c r="N47" i="49" s="1"/>
  <c r="AA67" i="87"/>
  <c r="G49" i="46" s="1"/>
  <c r="Z67" i="87"/>
  <c r="G173" i="30" s="1"/>
  <c r="Y67" i="87"/>
  <c r="G110" i="30" s="1"/>
  <c r="X67" i="87"/>
  <c r="G48" i="30" s="1"/>
  <c r="W67" i="87"/>
  <c r="G174" i="29" s="1"/>
  <c r="V67" i="87"/>
  <c r="G110" i="29" s="1"/>
  <c r="B67" i="87"/>
  <c r="A67" i="87" s="1"/>
  <c r="AF66" i="87"/>
  <c r="AC66" i="87"/>
  <c r="P44" i="49" s="1"/>
  <c r="AB66" i="87"/>
  <c r="N44" i="49" s="1"/>
  <c r="AA66" i="87"/>
  <c r="G45" i="46" s="1"/>
  <c r="Z66" i="87"/>
  <c r="G169" i="30" s="1"/>
  <c r="Y66" i="87"/>
  <c r="G106" i="30" s="1"/>
  <c r="X66" i="87"/>
  <c r="G44" i="30" s="1"/>
  <c r="W66" i="87"/>
  <c r="G170" i="29" s="1"/>
  <c r="V66" i="87"/>
  <c r="G106" i="29" s="1"/>
  <c r="B66" i="87"/>
  <c r="A66" i="87" s="1"/>
  <c r="AF65" i="87"/>
  <c r="AC65" i="87"/>
  <c r="P43" i="49" s="1"/>
  <c r="AB65" i="87"/>
  <c r="N43" i="49" s="1"/>
  <c r="AA65" i="87"/>
  <c r="G44" i="46" s="1"/>
  <c r="Z65" i="87"/>
  <c r="G168" i="30" s="1"/>
  <c r="Y65" i="87"/>
  <c r="G105" i="30" s="1"/>
  <c r="X65" i="87"/>
  <c r="G43" i="30" s="1"/>
  <c r="W65" i="87"/>
  <c r="G169" i="29" s="1"/>
  <c r="V65" i="87"/>
  <c r="G105" i="29" s="1"/>
  <c r="B65" i="87"/>
  <c r="A65" i="87" s="1"/>
  <c r="AF64" i="87"/>
  <c r="AC64" i="87"/>
  <c r="P42" i="49" s="1"/>
  <c r="AB64" i="87"/>
  <c r="N42" i="49" s="1"/>
  <c r="AA64" i="87"/>
  <c r="G43" i="46" s="1"/>
  <c r="Z64" i="87"/>
  <c r="G167" i="30" s="1"/>
  <c r="Y64" i="87"/>
  <c r="G104" i="30" s="1"/>
  <c r="X64" i="87"/>
  <c r="G42" i="30" s="1"/>
  <c r="W64" i="87"/>
  <c r="G168" i="29" s="1"/>
  <c r="V64" i="87"/>
  <c r="G104" i="29" s="1"/>
  <c r="B64" i="87"/>
  <c r="A64" i="87" s="1"/>
  <c r="AF63" i="87"/>
  <c r="AC63" i="87"/>
  <c r="P39" i="49" s="1"/>
  <c r="AB63" i="87"/>
  <c r="N39" i="49" s="1"/>
  <c r="AA63" i="87"/>
  <c r="G40" i="46" s="1"/>
  <c r="Z63" i="87"/>
  <c r="G164" i="30" s="1"/>
  <c r="Y63" i="87"/>
  <c r="G101" i="30" s="1"/>
  <c r="X63" i="87"/>
  <c r="G39" i="30" s="1"/>
  <c r="W63" i="87"/>
  <c r="G165" i="29" s="1"/>
  <c r="V63" i="87"/>
  <c r="G101" i="29" s="1"/>
  <c r="B63" i="87"/>
  <c r="A63" i="87" s="1"/>
  <c r="AF62" i="87"/>
  <c r="AC62" i="87"/>
  <c r="P36" i="49" s="1"/>
  <c r="AB62" i="87"/>
  <c r="N36" i="49" s="1"/>
  <c r="AA62" i="87"/>
  <c r="G37" i="46" s="1"/>
  <c r="Z62" i="87"/>
  <c r="G161" i="30" s="1"/>
  <c r="Y62" i="87"/>
  <c r="G98" i="30" s="1"/>
  <c r="X62" i="87"/>
  <c r="G36" i="30" s="1"/>
  <c r="W62" i="87"/>
  <c r="G162" i="29" s="1"/>
  <c r="V62" i="87"/>
  <c r="G98" i="29" s="1"/>
  <c r="B62" i="87"/>
  <c r="A62" i="87" s="1"/>
  <c r="AF61" i="87"/>
  <c r="AC61" i="87"/>
  <c r="P35" i="49" s="1"/>
  <c r="AB61" i="87"/>
  <c r="N35" i="49" s="1"/>
  <c r="AA61" i="87"/>
  <c r="G36" i="46" s="1"/>
  <c r="Z61" i="87"/>
  <c r="G160" i="30" s="1"/>
  <c r="Y61" i="87"/>
  <c r="G97" i="30" s="1"/>
  <c r="X61" i="87"/>
  <c r="G35" i="30" s="1"/>
  <c r="W61" i="87"/>
  <c r="G161" i="29" s="1"/>
  <c r="V61" i="87"/>
  <c r="G97" i="29" s="1"/>
  <c r="B61" i="87"/>
  <c r="A61" i="87" s="1"/>
  <c r="AF60" i="87"/>
  <c r="AC60" i="87"/>
  <c r="P28" i="49" s="1"/>
  <c r="AB60" i="87"/>
  <c r="N28" i="49" s="1"/>
  <c r="AA60" i="87"/>
  <c r="G28" i="46" s="1"/>
  <c r="Z60" i="87"/>
  <c r="G152" i="30" s="1"/>
  <c r="Y60" i="87"/>
  <c r="G89" i="30" s="1"/>
  <c r="X60" i="87"/>
  <c r="G27" i="30" s="1"/>
  <c r="W60" i="87"/>
  <c r="G153" i="29" s="1"/>
  <c r="V60" i="87"/>
  <c r="G89" i="29" s="1"/>
  <c r="B60" i="87"/>
  <c r="AF59" i="87"/>
  <c r="AC59" i="87"/>
  <c r="P27" i="49" s="1"/>
  <c r="AB59" i="87"/>
  <c r="N27" i="49" s="1"/>
  <c r="AA59" i="87"/>
  <c r="G27" i="46" s="1"/>
  <c r="Z59" i="87"/>
  <c r="G151" i="30" s="1"/>
  <c r="Y59" i="87"/>
  <c r="G88" i="30" s="1"/>
  <c r="X59" i="87"/>
  <c r="G26" i="30" s="1"/>
  <c r="W59" i="87"/>
  <c r="G152" i="29" s="1"/>
  <c r="V59" i="87"/>
  <c r="G88" i="29" s="1"/>
  <c r="B59" i="87"/>
  <c r="A59" i="87" s="1"/>
  <c r="AF58" i="87"/>
  <c r="AC58" i="87"/>
  <c r="P20" i="49" s="1"/>
  <c r="AB58" i="87"/>
  <c r="N20" i="49" s="1"/>
  <c r="AA58" i="87"/>
  <c r="G20" i="46" s="1"/>
  <c r="Z58" i="87"/>
  <c r="G144" i="30" s="1"/>
  <c r="Y58" i="87"/>
  <c r="G81" i="30" s="1"/>
  <c r="X58" i="87"/>
  <c r="G19" i="30" s="1"/>
  <c r="W58" i="87"/>
  <c r="G145" i="29" s="1"/>
  <c r="V58" i="87"/>
  <c r="G81" i="29" s="1"/>
  <c r="B58" i="87"/>
  <c r="A58" i="87" s="1"/>
  <c r="AF57" i="87"/>
  <c r="AC57" i="87"/>
  <c r="P19" i="49" s="1"/>
  <c r="AB57" i="87"/>
  <c r="N19" i="49" s="1"/>
  <c r="AA57" i="87"/>
  <c r="G19" i="46" s="1"/>
  <c r="Z57" i="87"/>
  <c r="G143" i="30" s="1"/>
  <c r="Y57" i="87"/>
  <c r="G80" i="30" s="1"/>
  <c r="X57" i="87"/>
  <c r="G18" i="30" s="1"/>
  <c r="W57" i="87"/>
  <c r="G144" i="29" s="1"/>
  <c r="V57" i="87"/>
  <c r="G80" i="29" s="1"/>
  <c r="B57" i="87"/>
  <c r="A57" i="87" s="1"/>
  <c r="AF56" i="87"/>
  <c r="AC56" i="87"/>
  <c r="P49" i="49" s="1"/>
  <c r="AB56" i="87"/>
  <c r="N49" i="49" s="1"/>
  <c r="AA56" i="87"/>
  <c r="G52" i="46" s="1"/>
  <c r="Z56" i="87"/>
  <c r="G176" i="30" s="1"/>
  <c r="Y56" i="87"/>
  <c r="G113" i="30" s="1"/>
  <c r="X56" i="87"/>
  <c r="G51" i="30" s="1"/>
  <c r="W56" i="87"/>
  <c r="G177" i="29" s="1"/>
  <c r="V56" i="87"/>
  <c r="G113" i="29" s="1"/>
  <c r="B56" i="87"/>
  <c r="A56" i="87" s="1"/>
  <c r="AF55" i="87"/>
  <c r="AC55" i="87"/>
  <c r="P41" i="49" s="1"/>
  <c r="AB55" i="87"/>
  <c r="N41" i="49" s="1"/>
  <c r="AA55" i="87"/>
  <c r="G42" i="46" s="1"/>
  <c r="Z55" i="87"/>
  <c r="G166" i="30" s="1"/>
  <c r="Y55" i="87"/>
  <c r="G103" i="30" s="1"/>
  <c r="X55" i="87"/>
  <c r="G41" i="30" s="1"/>
  <c r="W55" i="87"/>
  <c r="G167" i="29" s="1"/>
  <c r="V55" i="87"/>
  <c r="G103" i="29" s="1"/>
  <c r="B55" i="87"/>
  <c r="A55" i="87" s="1"/>
  <c r="AF54" i="87"/>
  <c r="AC54" i="87"/>
  <c r="P40" i="49" s="1"/>
  <c r="AB54" i="87"/>
  <c r="N40" i="49" s="1"/>
  <c r="AA54" i="87"/>
  <c r="G41" i="46" s="1"/>
  <c r="Z54" i="87"/>
  <c r="G165" i="30" s="1"/>
  <c r="Y54" i="87"/>
  <c r="G102" i="30" s="1"/>
  <c r="X54" i="87"/>
  <c r="G40" i="30" s="1"/>
  <c r="W54" i="87"/>
  <c r="G166" i="29" s="1"/>
  <c r="V54" i="87"/>
  <c r="G102" i="29" s="1"/>
  <c r="B54" i="87"/>
  <c r="A54" i="87" s="1"/>
  <c r="AF53" i="87"/>
  <c r="AC53" i="87"/>
  <c r="P37" i="49" s="1"/>
  <c r="AB53" i="87"/>
  <c r="N37" i="49" s="1"/>
  <c r="AA53" i="87"/>
  <c r="G38" i="46" s="1"/>
  <c r="Z53" i="87"/>
  <c r="G162" i="30" s="1"/>
  <c r="Y53" i="87"/>
  <c r="G99" i="30" s="1"/>
  <c r="X53" i="87"/>
  <c r="G37" i="30" s="1"/>
  <c r="W53" i="87"/>
  <c r="G163" i="29" s="1"/>
  <c r="V53" i="87"/>
  <c r="G99" i="29" s="1"/>
  <c r="B53" i="87"/>
  <c r="A53" i="87" s="1"/>
  <c r="AF52" i="87"/>
  <c r="AC52" i="87"/>
  <c r="P34" i="49" s="1"/>
  <c r="AB52" i="87"/>
  <c r="N34" i="49" s="1"/>
  <c r="AA52" i="87"/>
  <c r="G34" i="46" s="1"/>
  <c r="Z52" i="87"/>
  <c r="G158" i="30" s="1"/>
  <c r="Y52" i="87"/>
  <c r="G95" i="30" s="1"/>
  <c r="X52" i="87"/>
  <c r="G33" i="30" s="1"/>
  <c r="W52" i="87"/>
  <c r="G159" i="29" s="1"/>
  <c r="V52" i="87"/>
  <c r="G95" i="29" s="1"/>
  <c r="B52" i="87"/>
  <c r="A52" i="87" s="1"/>
  <c r="AF51" i="87"/>
  <c r="AC51" i="87"/>
  <c r="P31" i="49" s="1"/>
  <c r="AB51" i="87"/>
  <c r="N31" i="49" s="1"/>
  <c r="AA51" i="87"/>
  <c r="G31" i="46" s="1"/>
  <c r="Z51" i="87"/>
  <c r="G155" i="30" s="1"/>
  <c r="Y51" i="87"/>
  <c r="G92" i="30" s="1"/>
  <c r="X51" i="87"/>
  <c r="G30" i="30" s="1"/>
  <c r="W51" i="87"/>
  <c r="G156" i="29" s="1"/>
  <c r="V51" i="87"/>
  <c r="G92" i="29" s="1"/>
  <c r="B51" i="87"/>
  <c r="A51" i="87" s="1"/>
  <c r="AF50" i="87"/>
  <c r="AC50" i="87"/>
  <c r="P29" i="49" s="1"/>
  <c r="AB50" i="87"/>
  <c r="N29" i="49" s="1"/>
  <c r="AA50" i="87"/>
  <c r="G29" i="46" s="1"/>
  <c r="Z50" i="87"/>
  <c r="G153" i="30" s="1"/>
  <c r="Y50" i="87"/>
  <c r="G90" i="30" s="1"/>
  <c r="X50" i="87"/>
  <c r="G28" i="30" s="1"/>
  <c r="W50" i="87"/>
  <c r="G154" i="29" s="1"/>
  <c r="V50" i="87"/>
  <c r="G90" i="29" s="1"/>
  <c r="B50" i="87"/>
  <c r="A50" i="87" s="1"/>
  <c r="AF49" i="87"/>
  <c r="AC49" i="87"/>
  <c r="P25" i="49" s="1"/>
  <c r="AB49" i="87"/>
  <c r="N25" i="49" s="1"/>
  <c r="AA49" i="87"/>
  <c r="G25" i="46" s="1"/>
  <c r="Z49" i="87"/>
  <c r="G149" i="30" s="1"/>
  <c r="Y49" i="87"/>
  <c r="G86" i="30" s="1"/>
  <c r="X49" i="87"/>
  <c r="G24" i="30" s="1"/>
  <c r="W49" i="87"/>
  <c r="G150" i="29" s="1"/>
  <c r="V49" i="87"/>
  <c r="G86" i="29" s="1"/>
  <c r="B49" i="87"/>
  <c r="A49" i="87" s="1"/>
  <c r="AF48" i="87"/>
  <c r="AC48" i="87"/>
  <c r="P22" i="49" s="1"/>
  <c r="AB48" i="87"/>
  <c r="N22" i="49" s="1"/>
  <c r="AA48" i="87"/>
  <c r="G22" i="46" s="1"/>
  <c r="Z48" i="87"/>
  <c r="G146" i="30" s="1"/>
  <c r="Y48" i="87"/>
  <c r="G83" i="30" s="1"/>
  <c r="X48" i="87"/>
  <c r="G21" i="30" s="1"/>
  <c r="W48" i="87"/>
  <c r="G147" i="29" s="1"/>
  <c r="V48" i="87"/>
  <c r="G83" i="29" s="1"/>
  <c r="B48" i="87"/>
  <c r="A48" i="87" s="1"/>
  <c r="AF47" i="87"/>
  <c r="AC47" i="87"/>
  <c r="P21" i="49" s="1"/>
  <c r="AB47" i="87"/>
  <c r="N21" i="49" s="1"/>
  <c r="AA47" i="87"/>
  <c r="G21" i="46" s="1"/>
  <c r="Z47" i="87"/>
  <c r="G145" i="30" s="1"/>
  <c r="Y47" i="87"/>
  <c r="G82" i="30" s="1"/>
  <c r="X47" i="87"/>
  <c r="G20" i="30" s="1"/>
  <c r="W47" i="87"/>
  <c r="G146" i="29" s="1"/>
  <c r="V47" i="87"/>
  <c r="G82" i="29" s="1"/>
  <c r="B47" i="87"/>
  <c r="A47" i="87" s="1"/>
  <c r="AF46" i="87"/>
  <c r="AC46" i="87"/>
  <c r="P17" i="49" s="1"/>
  <c r="AB46" i="87"/>
  <c r="N17" i="49" s="1"/>
  <c r="AA46" i="87"/>
  <c r="G17" i="46" s="1"/>
  <c r="Z46" i="87"/>
  <c r="G141" i="30" s="1"/>
  <c r="Y46" i="87"/>
  <c r="G78" i="30" s="1"/>
  <c r="X46" i="87"/>
  <c r="G16" i="30" s="1"/>
  <c r="W46" i="87"/>
  <c r="G142" i="29" s="1"/>
  <c r="V46" i="87"/>
  <c r="G78" i="29" s="1"/>
  <c r="B46" i="87"/>
  <c r="A46" i="87" s="1"/>
  <c r="AF45" i="87"/>
  <c r="AC45" i="87"/>
  <c r="P16" i="49" s="1"/>
  <c r="AB45" i="87"/>
  <c r="N16" i="49" s="1"/>
  <c r="AA45" i="87"/>
  <c r="G16" i="46" s="1"/>
  <c r="Z45" i="87"/>
  <c r="G140" i="30" s="1"/>
  <c r="Y45" i="87"/>
  <c r="G77" i="30" s="1"/>
  <c r="X45" i="87"/>
  <c r="G15" i="30" s="1"/>
  <c r="W45" i="87"/>
  <c r="G141" i="29" s="1"/>
  <c r="V45" i="87"/>
  <c r="G77" i="29" s="1"/>
  <c r="B45" i="87"/>
  <c r="A45" i="87" s="1"/>
  <c r="AF44" i="87"/>
  <c r="AC44" i="87"/>
  <c r="P15" i="49" s="1"/>
  <c r="AB44" i="87"/>
  <c r="N15" i="49" s="1"/>
  <c r="AA44" i="87"/>
  <c r="G15" i="46" s="1"/>
  <c r="Z44" i="87"/>
  <c r="G139" i="30" s="1"/>
  <c r="Y44" i="87"/>
  <c r="G76" i="30" s="1"/>
  <c r="X44" i="87"/>
  <c r="G14" i="30" s="1"/>
  <c r="W44" i="87"/>
  <c r="G140" i="29" s="1"/>
  <c r="V44" i="87"/>
  <c r="G76" i="29" s="1"/>
  <c r="B44" i="87"/>
  <c r="A44" i="87" s="1"/>
  <c r="AF43" i="87"/>
  <c r="AC43" i="87"/>
  <c r="P14" i="49" s="1"/>
  <c r="AB43" i="87"/>
  <c r="N14" i="49" s="1"/>
  <c r="AA43" i="87"/>
  <c r="G14" i="46" s="1"/>
  <c r="Z43" i="87"/>
  <c r="G138" i="30" s="1"/>
  <c r="Y43" i="87"/>
  <c r="G75" i="30" s="1"/>
  <c r="X43" i="87"/>
  <c r="G13" i="30" s="1"/>
  <c r="W43" i="87"/>
  <c r="G139" i="29" s="1"/>
  <c r="V43" i="87"/>
  <c r="G75" i="29" s="1"/>
  <c r="B43" i="87"/>
  <c r="A43" i="87" s="1"/>
  <c r="AF42" i="87"/>
  <c r="AC42" i="87"/>
  <c r="P23" i="80" s="1"/>
  <c r="AB42" i="87"/>
  <c r="N23" i="80" s="1"/>
  <c r="AA42" i="87"/>
  <c r="G22" i="77" s="1"/>
  <c r="Z42" i="87"/>
  <c r="G132" i="81" s="1"/>
  <c r="Y42" i="87"/>
  <c r="G77" i="81" s="1"/>
  <c r="X42" i="87"/>
  <c r="G22" i="81" s="1"/>
  <c r="W42" i="87"/>
  <c r="G132" i="76" s="1"/>
  <c r="V42" i="87"/>
  <c r="G77" i="76" s="1"/>
  <c r="B42" i="87"/>
  <c r="A42" i="87" s="1"/>
  <c r="AF41" i="87"/>
  <c r="AC41" i="87"/>
  <c r="P22" i="80" s="1"/>
  <c r="AB41" i="87"/>
  <c r="N22" i="80" s="1"/>
  <c r="AA41" i="87"/>
  <c r="G21" i="77" s="1"/>
  <c r="Z41" i="87"/>
  <c r="G131" i="81" s="1"/>
  <c r="Y41" i="87"/>
  <c r="G76" i="81" s="1"/>
  <c r="X41" i="87"/>
  <c r="G21" i="81" s="1"/>
  <c r="W41" i="87"/>
  <c r="G131" i="76" s="1"/>
  <c r="G76" i="76"/>
  <c r="B41" i="87"/>
  <c r="A41" i="87" s="1"/>
  <c r="AF40" i="87"/>
  <c r="AC40" i="87"/>
  <c r="P21" i="80" s="1"/>
  <c r="AB40" i="87"/>
  <c r="N21" i="80" s="1"/>
  <c r="AA40" i="87"/>
  <c r="G20" i="77" s="1"/>
  <c r="Z40" i="87"/>
  <c r="G130" i="81" s="1"/>
  <c r="Y40" i="87"/>
  <c r="G75" i="81" s="1"/>
  <c r="X40" i="87"/>
  <c r="G20" i="81" s="1"/>
  <c r="W40" i="87"/>
  <c r="G130" i="76" s="1"/>
  <c r="V40" i="87"/>
  <c r="G75" i="76" s="1"/>
  <c r="B40" i="87"/>
  <c r="A40" i="87" s="1"/>
  <c r="AF39" i="87"/>
  <c r="AC39" i="87"/>
  <c r="AB39" i="87"/>
  <c r="AA39" i="87"/>
  <c r="Z39" i="87"/>
  <c r="Y39" i="87"/>
  <c r="X39" i="87"/>
  <c r="W39" i="87"/>
  <c r="V39" i="87"/>
  <c r="B39" i="87"/>
  <c r="A39" i="87" s="1"/>
  <c r="AF38" i="87"/>
  <c r="AC38" i="87"/>
  <c r="P19" i="80" s="1"/>
  <c r="AB38" i="87"/>
  <c r="N19" i="80" s="1"/>
  <c r="AA38" i="87"/>
  <c r="G18" i="77" s="1"/>
  <c r="Z38" i="87"/>
  <c r="G128" i="81" s="1"/>
  <c r="Y38" i="87"/>
  <c r="G73" i="81" s="1"/>
  <c r="X38" i="87"/>
  <c r="G18" i="81" s="1"/>
  <c r="W38" i="87"/>
  <c r="G128" i="76" s="1"/>
  <c r="V38" i="87"/>
  <c r="G73" i="76" s="1"/>
  <c r="B38" i="87"/>
  <c r="A38" i="87" s="1"/>
  <c r="AF37" i="87"/>
  <c r="AC37" i="87"/>
  <c r="P18" i="80" s="1"/>
  <c r="AB37" i="87"/>
  <c r="N18" i="80" s="1"/>
  <c r="AA37" i="87"/>
  <c r="G17" i="77" s="1"/>
  <c r="Z37" i="87"/>
  <c r="G127" i="81" s="1"/>
  <c r="Y37" i="87"/>
  <c r="G72" i="81" s="1"/>
  <c r="X37" i="87"/>
  <c r="G17" i="81" s="1"/>
  <c r="W37" i="87"/>
  <c r="G127" i="76" s="1"/>
  <c r="V37" i="87"/>
  <c r="G72" i="76" s="1"/>
  <c r="B37" i="87"/>
  <c r="A37" i="87" s="1"/>
  <c r="AF36" i="87"/>
  <c r="AC36" i="87"/>
  <c r="P17" i="80" s="1"/>
  <c r="AB36" i="87"/>
  <c r="N17" i="80" s="1"/>
  <c r="AA36" i="87"/>
  <c r="G16" i="77" s="1"/>
  <c r="Z36" i="87"/>
  <c r="G126" i="81" s="1"/>
  <c r="Y36" i="87"/>
  <c r="G71" i="81" s="1"/>
  <c r="X36" i="87"/>
  <c r="G16" i="81" s="1"/>
  <c r="W36" i="87"/>
  <c r="G126" i="76" s="1"/>
  <c r="V36" i="87"/>
  <c r="G71" i="76" s="1"/>
  <c r="B36" i="87"/>
  <c r="A36" i="87" s="1"/>
  <c r="AF35" i="87"/>
  <c r="AC35" i="87"/>
  <c r="P16" i="80" s="1"/>
  <c r="AB35" i="87"/>
  <c r="N16" i="80" s="1"/>
  <c r="AA35" i="87"/>
  <c r="G15" i="77" s="1"/>
  <c r="Z35" i="87"/>
  <c r="G125" i="81" s="1"/>
  <c r="Y35" i="87"/>
  <c r="G70" i="81" s="1"/>
  <c r="X35" i="87"/>
  <c r="G15" i="81" s="1"/>
  <c r="W35" i="87"/>
  <c r="G125" i="76" s="1"/>
  <c r="V35" i="87"/>
  <c r="G70" i="76" s="1"/>
  <c r="B35" i="87"/>
  <c r="A35" i="87" s="1"/>
  <c r="AF34" i="87"/>
  <c r="AC34" i="87"/>
  <c r="P15" i="80" s="1"/>
  <c r="AB34" i="87"/>
  <c r="N15" i="80" s="1"/>
  <c r="AA34" i="87"/>
  <c r="G14" i="77" s="1"/>
  <c r="Z34" i="87"/>
  <c r="G124" i="81" s="1"/>
  <c r="Y34" i="87"/>
  <c r="G69" i="81" s="1"/>
  <c r="X34" i="87"/>
  <c r="G14" i="81" s="1"/>
  <c r="W34" i="87"/>
  <c r="G124" i="76" s="1"/>
  <c r="V34" i="87"/>
  <c r="G69" i="76" s="1"/>
  <c r="B34" i="87"/>
  <c r="A34" i="87" s="1"/>
  <c r="AF33" i="87"/>
  <c r="AC33" i="87"/>
  <c r="P14" i="80" s="1"/>
  <c r="AB33" i="87"/>
  <c r="N14" i="80" s="1"/>
  <c r="AA33" i="87"/>
  <c r="G13" i="77" s="1"/>
  <c r="Z33" i="87"/>
  <c r="G123" i="81" s="1"/>
  <c r="Y33" i="87"/>
  <c r="G68" i="81" s="1"/>
  <c r="X33" i="87"/>
  <c r="G13" i="81" s="1"/>
  <c r="W33" i="87"/>
  <c r="G123" i="76" s="1"/>
  <c r="V33" i="87"/>
  <c r="G68" i="76" s="1"/>
  <c r="B33" i="87"/>
  <c r="A33" i="87" s="1"/>
  <c r="AF32" i="87"/>
  <c r="AC32" i="87"/>
  <c r="P48" i="49" s="1"/>
  <c r="AB32" i="87"/>
  <c r="N48" i="49" s="1"/>
  <c r="AA32" i="87"/>
  <c r="G50" i="46" s="1"/>
  <c r="Z32" i="87"/>
  <c r="G174" i="30" s="1"/>
  <c r="Y32" i="87"/>
  <c r="G111" i="30" s="1"/>
  <c r="X32" i="87"/>
  <c r="G49" i="30" s="1"/>
  <c r="W32" i="87"/>
  <c r="G175" i="29" s="1"/>
  <c r="V32" i="87"/>
  <c r="G111" i="29" s="1"/>
  <c r="B32" i="87"/>
  <c r="A32" i="87" s="1"/>
  <c r="AF31" i="87"/>
  <c r="AC31" i="87"/>
  <c r="P46" i="49" s="1"/>
  <c r="AB31" i="87"/>
  <c r="N46" i="49" s="1"/>
  <c r="AA31" i="87"/>
  <c r="G47" i="46" s="1"/>
  <c r="Z31" i="87"/>
  <c r="G171" i="30" s="1"/>
  <c r="Y31" i="87"/>
  <c r="G108" i="30" s="1"/>
  <c r="X31" i="87"/>
  <c r="G46" i="30" s="1"/>
  <c r="W31" i="87"/>
  <c r="G172" i="29" s="1"/>
  <c r="V31" i="87"/>
  <c r="G108" i="29" s="1"/>
  <c r="B31" i="87"/>
  <c r="A31" i="87" s="1"/>
  <c r="AF30" i="87"/>
  <c r="AC30" i="87"/>
  <c r="P45" i="49" s="1"/>
  <c r="AB30" i="87"/>
  <c r="N45" i="49" s="1"/>
  <c r="AA30" i="87"/>
  <c r="G46" i="46" s="1"/>
  <c r="Z30" i="87"/>
  <c r="G170" i="30" s="1"/>
  <c r="Y30" i="87"/>
  <c r="G107" i="30" s="1"/>
  <c r="X30" i="87"/>
  <c r="G45" i="30" s="1"/>
  <c r="W30" i="87"/>
  <c r="G171" i="29" s="1"/>
  <c r="V30" i="87"/>
  <c r="G107" i="29" s="1"/>
  <c r="B30" i="87"/>
  <c r="A30" i="87" s="1"/>
  <c r="AF29" i="87"/>
  <c r="AC29" i="87"/>
  <c r="P38" i="49" s="1"/>
  <c r="AB29" i="87"/>
  <c r="N38" i="49" s="1"/>
  <c r="AA29" i="87"/>
  <c r="G39" i="46" s="1"/>
  <c r="Z29" i="87"/>
  <c r="G163" i="30" s="1"/>
  <c r="Y29" i="87"/>
  <c r="G100" i="30" s="1"/>
  <c r="X29" i="87"/>
  <c r="G38" i="30" s="1"/>
  <c r="W29" i="87"/>
  <c r="G164" i="29" s="1"/>
  <c r="V29" i="87"/>
  <c r="G100" i="29" s="1"/>
  <c r="B29" i="87"/>
  <c r="A29" i="87" s="1"/>
  <c r="AF28" i="87"/>
  <c r="AC28" i="87"/>
  <c r="P33" i="49" s="1"/>
  <c r="AB28" i="87"/>
  <c r="N33" i="49" s="1"/>
  <c r="AA28" i="87"/>
  <c r="G33" i="46" s="1"/>
  <c r="Z28" i="87"/>
  <c r="G157" i="30" s="1"/>
  <c r="Y28" i="87"/>
  <c r="G94" i="30" s="1"/>
  <c r="X28" i="87"/>
  <c r="G32" i="30" s="1"/>
  <c r="W28" i="87"/>
  <c r="G158" i="29" s="1"/>
  <c r="V28" i="87"/>
  <c r="G94" i="29" s="1"/>
  <c r="B28" i="87"/>
  <c r="A28" i="87" s="1"/>
  <c r="AF27" i="87"/>
  <c r="AC27" i="87"/>
  <c r="P32" i="49" s="1"/>
  <c r="AB27" i="87"/>
  <c r="N32" i="49" s="1"/>
  <c r="AA27" i="87"/>
  <c r="G32" i="46" s="1"/>
  <c r="Z27" i="87"/>
  <c r="G156" i="30" s="1"/>
  <c r="Y27" i="87"/>
  <c r="G93" i="30" s="1"/>
  <c r="X27" i="87"/>
  <c r="G31" i="30" s="1"/>
  <c r="W27" i="87"/>
  <c r="G157" i="29" s="1"/>
  <c r="V27" i="87"/>
  <c r="G93" i="29" s="1"/>
  <c r="B27" i="87"/>
  <c r="A27" i="87" s="1"/>
  <c r="AF26" i="87"/>
  <c r="AC26" i="87"/>
  <c r="P30" i="49" s="1"/>
  <c r="AB26" i="87"/>
  <c r="N30" i="49" s="1"/>
  <c r="AA26" i="87"/>
  <c r="G30" i="46" s="1"/>
  <c r="Z26" i="87"/>
  <c r="G154" i="30" s="1"/>
  <c r="Y26" i="87"/>
  <c r="G91" i="30" s="1"/>
  <c r="X26" i="87"/>
  <c r="G29" i="30" s="1"/>
  <c r="W26" i="87"/>
  <c r="G155" i="29" s="1"/>
  <c r="V26" i="87"/>
  <c r="G91" i="29" s="1"/>
  <c r="B26" i="87"/>
  <c r="A26" i="87" s="1"/>
  <c r="AF25" i="87"/>
  <c r="AC25" i="87"/>
  <c r="P26" i="49" s="1"/>
  <c r="AB25" i="87"/>
  <c r="N26" i="49" s="1"/>
  <c r="AA25" i="87"/>
  <c r="G26" i="46" s="1"/>
  <c r="Z25" i="87"/>
  <c r="G150" i="30" s="1"/>
  <c r="Y25" i="87"/>
  <c r="G87" i="30" s="1"/>
  <c r="X25" i="87"/>
  <c r="G25" i="30" s="1"/>
  <c r="W25" i="87"/>
  <c r="G151" i="29" s="1"/>
  <c r="V25" i="87"/>
  <c r="G87" i="29" s="1"/>
  <c r="B25" i="87"/>
  <c r="A25" i="87" s="1"/>
  <c r="AF24" i="87"/>
  <c r="AC24" i="87"/>
  <c r="P24" i="49" s="1"/>
  <c r="AB24" i="87"/>
  <c r="N24" i="49" s="1"/>
  <c r="AA24" i="87"/>
  <c r="G24" i="46" s="1"/>
  <c r="Z24" i="87"/>
  <c r="G148" i="30" s="1"/>
  <c r="Y24" i="87"/>
  <c r="G85" i="30" s="1"/>
  <c r="X24" i="87"/>
  <c r="G23" i="30" s="1"/>
  <c r="W24" i="87"/>
  <c r="G149" i="29" s="1"/>
  <c r="V24" i="87"/>
  <c r="G85" i="29" s="1"/>
  <c r="B24" i="87"/>
  <c r="A24" i="87" s="1"/>
  <c r="AF23" i="87"/>
  <c r="AC23" i="87"/>
  <c r="P23" i="49" s="1"/>
  <c r="AB23" i="87"/>
  <c r="N23" i="49" s="1"/>
  <c r="AA23" i="87"/>
  <c r="G23" i="46" s="1"/>
  <c r="Z23" i="87"/>
  <c r="G147" i="30" s="1"/>
  <c r="Y23" i="87"/>
  <c r="G84" i="30" s="1"/>
  <c r="X23" i="87"/>
  <c r="G22" i="30" s="1"/>
  <c r="W23" i="87"/>
  <c r="G148" i="29" s="1"/>
  <c r="V23" i="87"/>
  <c r="G84" i="29" s="1"/>
  <c r="B23" i="87"/>
  <c r="A23" i="87" s="1"/>
  <c r="AF22" i="87"/>
  <c r="AC22" i="87"/>
  <c r="P18" i="49" s="1"/>
  <c r="AB22" i="87"/>
  <c r="N18" i="49" s="1"/>
  <c r="AA22" i="87"/>
  <c r="G18" i="46" s="1"/>
  <c r="Z22" i="87"/>
  <c r="G142" i="30" s="1"/>
  <c r="Y22" i="87"/>
  <c r="G79" i="30" s="1"/>
  <c r="X22" i="87"/>
  <c r="G17" i="30" s="1"/>
  <c r="W22" i="87"/>
  <c r="G143" i="29" s="1"/>
  <c r="V22" i="87"/>
  <c r="G79" i="29" s="1"/>
  <c r="B22" i="87"/>
  <c r="A22" i="87" s="1"/>
  <c r="AF21" i="87"/>
  <c r="W21" i="87"/>
  <c r="V21" i="87"/>
  <c r="B21" i="87"/>
  <c r="A21" i="87" s="1"/>
  <c r="AF20" i="87"/>
  <c r="AC20" i="87"/>
  <c r="AB20" i="87"/>
  <c r="Z20" i="87"/>
  <c r="Y20" i="87"/>
  <c r="X20" i="87"/>
  <c r="AA20" i="87"/>
  <c r="B20" i="87"/>
  <c r="A20" i="87" s="1"/>
  <c r="AF19" i="87"/>
  <c r="AC19" i="87"/>
  <c r="AB19" i="87"/>
  <c r="Z19" i="87"/>
  <c r="Y19" i="87"/>
  <c r="X19" i="87"/>
  <c r="AA19" i="87"/>
  <c r="B19" i="87"/>
  <c r="A19" i="87" s="1"/>
  <c r="AF18" i="87"/>
  <c r="AC18" i="87"/>
  <c r="AB18" i="87"/>
  <c r="AA18" i="87"/>
  <c r="Z18" i="87"/>
  <c r="Y18" i="87"/>
  <c r="X18" i="87"/>
  <c r="W18" i="87"/>
  <c r="V18" i="87"/>
  <c r="B18" i="87"/>
  <c r="A18" i="87" s="1"/>
  <c r="AF17" i="87"/>
  <c r="AC17" i="87"/>
  <c r="AB17" i="87"/>
  <c r="Z17" i="87"/>
  <c r="Y17" i="87"/>
  <c r="X17" i="87"/>
  <c r="AA17" i="87"/>
  <c r="B17" i="87"/>
  <c r="A17" i="87" s="1"/>
  <c r="AF16" i="87"/>
  <c r="AC16" i="87"/>
  <c r="AB16" i="87"/>
  <c r="Z16" i="87"/>
  <c r="Y16" i="87"/>
  <c r="X16" i="87"/>
  <c r="W16" i="87"/>
  <c r="B16" i="87"/>
  <c r="A16" i="87" s="1"/>
  <c r="AF15" i="87"/>
  <c r="AC15" i="87"/>
  <c r="AB15" i="87"/>
  <c r="Z15" i="87"/>
  <c r="Y15" i="87"/>
  <c r="X15" i="87"/>
  <c r="V15" i="87"/>
  <c r="B15" i="87"/>
  <c r="A15" i="87" s="1"/>
  <c r="AF14" i="87"/>
  <c r="AC14" i="87"/>
  <c r="AB14" i="87"/>
  <c r="Z14" i="87"/>
  <c r="Y14" i="87"/>
  <c r="X14" i="87"/>
  <c r="AA14" i="87"/>
  <c r="B14" i="87"/>
  <c r="A14" i="87" s="1"/>
  <c r="AF13" i="87"/>
  <c r="AC13" i="87"/>
  <c r="AB13" i="87"/>
  <c r="AA13" i="87"/>
  <c r="Z13" i="87"/>
  <c r="Y13" i="87"/>
  <c r="X13" i="87"/>
  <c r="W13" i="87"/>
  <c r="V13" i="87"/>
  <c r="B13" i="87"/>
  <c r="A13" i="87" s="1"/>
  <c r="AF12" i="87"/>
  <c r="AC12" i="87"/>
  <c r="AB12" i="87"/>
  <c r="AA12" i="87"/>
  <c r="G51" i="46" s="1"/>
  <c r="Z12" i="87"/>
  <c r="G175" i="30" s="1"/>
  <c r="Y12" i="87"/>
  <c r="G112" i="30" s="1"/>
  <c r="X12" i="87"/>
  <c r="G50" i="30" s="1"/>
  <c r="W12" i="87"/>
  <c r="G176" i="29" s="1"/>
  <c r="V12" i="87"/>
  <c r="G112" i="29" s="1"/>
  <c r="B12" i="87"/>
  <c r="A12" i="87" s="1"/>
  <c r="AF11" i="87"/>
  <c r="AC11" i="87"/>
  <c r="AB11" i="87"/>
  <c r="AA11" i="87"/>
  <c r="G53" i="46" s="1"/>
  <c r="Z11" i="87"/>
  <c r="G177" i="30" s="1"/>
  <c r="Y11" i="87"/>
  <c r="G114" i="30" s="1"/>
  <c r="X11" i="87"/>
  <c r="G52" i="30" s="1"/>
  <c r="W11" i="87"/>
  <c r="G178" i="29" s="1"/>
  <c r="V11" i="87"/>
  <c r="G114" i="29" s="1"/>
  <c r="B11" i="87"/>
  <c r="A11" i="87" s="1"/>
  <c r="AF10" i="87"/>
  <c r="AC10" i="87"/>
  <c r="AB10" i="87"/>
  <c r="AA10" i="87"/>
  <c r="G35" i="46" s="1"/>
  <c r="Z10" i="87"/>
  <c r="G159" i="30" s="1"/>
  <c r="Y10" i="87"/>
  <c r="G96" i="30" s="1"/>
  <c r="X10" i="87"/>
  <c r="G34" i="30" s="1"/>
  <c r="W10" i="87"/>
  <c r="G160" i="29" s="1"/>
  <c r="V10" i="87"/>
  <c r="G96" i="29" s="1"/>
  <c r="B10" i="87"/>
  <c r="A10" i="87" s="1"/>
  <c r="AF9" i="87"/>
  <c r="AC9" i="87"/>
  <c r="AB9" i="87"/>
  <c r="AA9" i="87"/>
  <c r="Z9" i="87"/>
  <c r="Y9" i="87"/>
  <c r="X9" i="87"/>
  <c r="W9" i="87"/>
  <c r="V9" i="87"/>
  <c r="B9" i="87"/>
  <c r="A9" i="87" s="1"/>
  <c r="W83" i="87" l="1"/>
  <c r="G173" i="29"/>
  <c r="W15" i="87"/>
  <c r="V20" i="87"/>
  <c r="W20" i="87"/>
  <c r="V17" i="87"/>
  <c r="V19" i="87"/>
  <c r="W19" i="87"/>
  <c r="AA16" i="87"/>
  <c r="W17" i="87"/>
  <c r="D81" i="87"/>
  <c r="V14" i="87"/>
  <c r="S83" i="87"/>
  <c r="W14" i="87"/>
  <c r="V16" i="87"/>
  <c r="O84" i="87"/>
  <c r="AA15" i="87"/>
  <c r="M77" i="87"/>
  <c r="Y77" i="87"/>
  <c r="N81" i="87"/>
  <c r="M78" i="87"/>
  <c r="X81" i="87"/>
  <c r="W78" i="87"/>
  <c r="L82" i="87"/>
  <c r="K79" i="87"/>
  <c r="V82" i="87"/>
  <c r="S79" i="87"/>
  <c r="G84" i="87"/>
  <c r="H80" i="87"/>
  <c r="P84" i="87"/>
  <c r="Q80" i="87"/>
  <c r="N77" i="87"/>
  <c r="Z77" i="87"/>
  <c r="N78" i="87"/>
  <c r="X78" i="87"/>
  <c r="L79" i="87"/>
  <c r="V79" i="87"/>
  <c r="I80" i="87"/>
  <c r="R80" i="87"/>
  <c r="G81" i="87"/>
  <c r="O81" i="87"/>
  <c r="Y81" i="87"/>
  <c r="M82" i="87"/>
  <c r="W82" i="87"/>
  <c r="H84" i="87"/>
  <c r="Q84" i="87"/>
  <c r="D77" i="87"/>
  <c r="O77" i="87"/>
  <c r="D78" i="87"/>
  <c r="O78" i="87"/>
  <c r="Y78" i="87"/>
  <c r="M79" i="87"/>
  <c r="W79" i="87"/>
  <c r="K80" i="87"/>
  <c r="S80" i="87"/>
  <c r="H81" i="87"/>
  <c r="P81" i="87"/>
  <c r="Z81" i="87"/>
  <c r="N82" i="87"/>
  <c r="X82" i="87"/>
  <c r="I84" i="87"/>
  <c r="R84" i="87"/>
  <c r="G77" i="87"/>
  <c r="P77" i="87"/>
  <c r="G78" i="87"/>
  <c r="P78" i="87"/>
  <c r="Z78" i="87"/>
  <c r="N79" i="87"/>
  <c r="X79" i="87"/>
  <c r="L80" i="87"/>
  <c r="V80" i="87"/>
  <c r="I81" i="87"/>
  <c r="Q81" i="87"/>
  <c r="D82" i="87"/>
  <c r="O82" i="87"/>
  <c r="Y82" i="87"/>
  <c r="K84" i="87"/>
  <c r="S84" i="87"/>
  <c r="H77" i="87"/>
  <c r="Q77" i="87"/>
  <c r="H78" i="87"/>
  <c r="Q78" i="87"/>
  <c r="D79" i="87"/>
  <c r="O79" i="87"/>
  <c r="Y79" i="87"/>
  <c r="M80" i="87"/>
  <c r="W80" i="87"/>
  <c r="R81" i="87"/>
  <c r="G82" i="87"/>
  <c r="P82" i="87"/>
  <c r="Z82" i="87"/>
  <c r="L84" i="87"/>
  <c r="X84" i="87"/>
  <c r="I77" i="87"/>
  <c r="R77" i="87"/>
  <c r="I78" i="87"/>
  <c r="R78" i="87"/>
  <c r="G79" i="87"/>
  <c r="P79" i="87"/>
  <c r="Z79" i="87"/>
  <c r="N80" i="87"/>
  <c r="X80" i="87"/>
  <c r="K81" i="87"/>
  <c r="S81" i="87"/>
  <c r="H82" i="87"/>
  <c r="Q82" i="87"/>
  <c r="L83" i="87"/>
  <c r="M84" i="87"/>
  <c r="Y84" i="87"/>
  <c r="K77" i="87"/>
  <c r="S77" i="87"/>
  <c r="K78" i="87"/>
  <c r="S78" i="87"/>
  <c r="H79" i="87"/>
  <c r="Q79" i="87"/>
  <c r="D80" i="87"/>
  <c r="O80" i="87"/>
  <c r="Y80" i="87"/>
  <c r="L81" i="87"/>
  <c r="V81" i="87"/>
  <c r="I82" i="87"/>
  <c r="R82" i="87"/>
  <c r="V83" i="87"/>
  <c r="N84" i="87"/>
  <c r="Z84" i="87"/>
  <c r="L77" i="87"/>
  <c r="X77" i="87"/>
  <c r="L78" i="87"/>
  <c r="V78" i="87"/>
  <c r="I79" i="87"/>
  <c r="R79" i="87"/>
  <c r="G80" i="87"/>
  <c r="P80" i="87"/>
  <c r="Z80" i="87"/>
  <c r="M81" i="87"/>
  <c r="W81" i="87"/>
  <c r="K82" i="87"/>
  <c r="S82" i="87"/>
  <c r="D84" i="87"/>
  <c r="M83" i="87"/>
  <c r="D83" i="87"/>
  <c r="N83" i="87"/>
  <c r="X83" i="87"/>
  <c r="G83" i="87"/>
  <c r="O83" i="87"/>
  <c r="Y83" i="87"/>
  <c r="H83" i="87"/>
  <c r="P83" i="87"/>
  <c r="Z83" i="87"/>
  <c r="I83" i="87"/>
  <c r="Q83" i="87"/>
  <c r="R83" i="87"/>
  <c r="K83" i="87"/>
  <c r="V84" i="87" l="1"/>
  <c r="G59" i="81"/>
  <c r="G169" i="81"/>
  <c r="N56" i="49"/>
  <c r="G60" i="77"/>
  <c r="G61" i="46"/>
  <c r="G184" i="30"/>
  <c r="G60" i="46"/>
  <c r="G82" i="46" s="1"/>
  <c r="G170" i="81"/>
  <c r="G122" i="30"/>
  <c r="G60" i="30"/>
  <c r="N57" i="49"/>
  <c r="G185" i="30"/>
  <c r="G59" i="77"/>
  <c r="G73" i="77" s="1"/>
  <c r="G60" i="81"/>
  <c r="G121" i="30"/>
  <c r="G59" i="30"/>
  <c r="W77" i="87"/>
  <c r="V77" i="87"/>
  <c r="W84" i="87"/>
  <c r="J80" i="87"/>
  <c r="J77" i="87"/>
  <c r="J83" i="87"/>
  <c r="J84" i="87"/>
  <c r="J79" i="87"/>
  <c r="J82" i="87"/>
  <c r="J78" i="87"/>
  <c r="J81" i="87"/>
  <c r="E233" i="57"/>
  <c r="E848" i="58"/>
  <c r="G78" i="46" l="1"/>
  <c r="E231" i="57"/>
  <c r="E232" i="57"/>
  <c r="E846" i="58"/>
  <c r="E847" i="58"/>
  <c r="E176" i="70" l="1"/>
  <c r="E177" i="70"/>
  <c r="E21" i="86" l="1"/>
  <c r="U21" i="86"/>
  <c r="T21" i="86"/>
  <c r="I14" i="86"/>
  <c r="I15" i="86"/>
  <c r="I16" i="86"/>
  <c r="I17" i="86"/>
  <c r="I19" i="86"/>
  <c r="I20" i="86"/>
  <c r="E230" i="57"/>
  <c r="E229" i="57"/>
  <c r="E228" i="57"/>
  <c r="E227" i="57"/>
  <c r="E226" i="57"/>
  <c r="E225" i="57"/>
  <c r="E224" i="57"/>
  <c r="E845" i="58"/>
  <c r="E844" i="58"/>
  <c r="E843" i="58"/>
  <c r="E842" i="58"/>
  <c r="E841" i="58"/>
  <c r="E840" i="58"/>
  <c r="E839" i="58"/>
  <c r="L24" i="80" l="1"/>
  <c r="L25" i="80"/>
  <c r="L26" i="80"/>
  <c r="L27" i="80"/>
  <c r="L28" i="80"/>
  <c r="L29" i="80"/>
  <c r="L30" i="80"/>
  <c r="L31" i="80"/>
  <c r="L32" i="80"/>
  <c r="L33" i="80"/>
  <c r="L34" i="80"/>
  <c r="L35" i="80"/>
  <c r="L36" i="80"/>
  <c r="L37" i="80"/>
  <c r="L38" i="80"/>
  <c r="L39" i="80"/>
  <c r="L40" i="80"/>
  <c r="L41" i="80"/>
  <c r="L42" i="80"/>
  <c r="L43" i="80"/>
  <c r="L44" i="80"/>
  <c r="L45" i="80"/>
  <c r="L46" i="80"/>
  <c r="L47" i="80"/>
  <c r="L48" i="80"/>
  <c r="L49" i="80"/>
  <c r="L50" i="80"/>
  <c r="L51" i="80"/>
  <c r="L52" i="80"/>
  <c r="L53" i="80"/>
  <c r="L54" i="80"/>
  <c r="J20" i="74"/>
  <c r="J21" i="74"/>
  <c r="J22" i="74"/>
  <c r="J23" i="74"/>
  <c r="J24" i="74"/>
  <c r="J25" i="74"/>
  <c r="J26" i="74"/>
  <c r="J27" i="74"/>
  <c r="J28" i="74"/>
  <c r="J29" i="74"/>
  <c r="J30" i="74"/>
  <c r="J31" i="74"/>
  <c r="J32" i="74"/>
  <c r="J33" i="74"/>
  <c r="J34" i="74"/>
  <c r="J35" i="74"/>
  <c r="J36" i="74"/>
  <c r="J37" i="74"/>
  <c r="J38" i="74"/>
  <c r="J39" i="74"/>
  <c r="J40" i="74"/>
  <c r="J41" i="74"/>
  <c r="J42" i="74"/>
  <c r="J43" i="74"/>
  <c r="J44" i="74"/>
  <c r="J45" i="74"/>
  <c r="J46" i="74"/>
  <c r="J47" i="74"/>
  <c r="J48" i="74"/>
  <c r="J49" i="74"/>
  <c r="J50" i="74"/>
  <c r="J51" i="74"/>
  <c r="J52" i="74"/>
  <c r="J53" i="74"/>
  <c r="J54" i="74"/>
  <c r="J55" i="74"/>
  <c r="J56" i="74"/>
  <c r="J57" i="74"/>
  <c r="J58" i="74"/>
  <c r="E181" i="75"/>
  <c r="E180" i="75"/>
  <c r="E179" i="75"/>
  <c r="E177" i="75"/>
  <c r="E175" i="75"/>
  <c r="E176" i="75"/>
  <c r="M12" i="74"/>
  <c r="K20" i="74"/>
  <c r="K21" i="74"/>
  <c r="K22" i="74"/>
  <c r="K23" i="74"/>
  <c r="K24" i="74"/>
  <c r="K25" i="74"/>
  <c r="K26" i="74"/>
  <c r="K27" i="74"/>
  <c r="K28" i="74"/>
  <c r="K29" i="74"/>
  <c r="K30" i="74"/>
  <c r="K31" i="74"/>
  <c r="K32" i="74"/>
  <c r="K33" i="74"/>
  <c r="K34" i="74"/>
  <c r="K35" i="74"/>
  <c r="K36" i="74"/>
  <c r="K37" i="74"/>
  <c r="K38" i="74"/>
  <c r="K39" i="74"/>
  <c r="K40" i="74"/>
  <c r="K41" i="74"/>
  <c r="K42" i="74"/>
  <c r="K43" i="74"/>
  <c r="K44" i="74"/>
  <c r="K45" i="74"/>
  <c r="K46" i="74"/>
  <c r="K47" i="74"/>
  <c r="K48" i="74"/>
  <c r="K49" i="74"/>
  <c r="K50" i="74"/>
  <c r="K51" i="74"/>
  <c r="K52" i="74"/>
  <c r="K53" i="74"/>
  <c r="K54" i="74"/>
  <c r="K55" i="74"/>
  <c r="K56" i="74"/>
  <c r="K57" i="74"/>
  <c r="K58" i="74"/>
  <c r="E69" i="73"/>
  <c r="E69" i="72"/>
  <c r="E155" i="71"/>
  <c r="F68" i="74"/>
  <c r="F67" i="74"/>
  <c r="F66" i="74"/>
  <c r="F65" i="74"/>
  <c r="E175" i="70" l="1"/>
  <c r="E174" i="70"/>
  <c r="E174" i="75" s="1"/>
  <c r="E67" i="73" l="1"/>
  <c r="E67" i="72"/>
  <c r="E153" i="71"/>
  <c r="E68" i="72"/>
  <c r="E154" i="71"/>
  <c r="E68" i="73"/>
  <c r="E156" i="71"/>
  <c r="E70" i="73"/>
  <c r="E70" i="72"/>
  <c r="J70" i="75" l="1"/>
  <c r="J125" i="75"/>
  <c r="J124" i="75"/>
  <c r="J126" i="75"/>
  <c r="J127" i="75"/>
  <c r="J128" i="75"/>
  <c r="J129" i="75"/>
  <c r="J130" i="75"/>
  <c r="J131" i="75"/>
  <c r="J132" i="75"/>
  <c r="J133" i="75"/>
  <c r="J134" i="75"/>
  <c r="J135" i="75"/>
  <c r="J136" i="75"/>
  <c r="J137" i="75"/>
  <c r="J138" i="75"/>
  <c r="J139" i="75"/>
  <c r="J140" i="75"/>
  <c r="J141" i="75"/>
  <c r="J142" i="75"/>
  <c r="J143" i="75"/>
  <c r="J144" i="75"/>
  <c r="J145" i="75"/>
  <c r="J146" i="75"/>
  <c r="J147" i="75"/>
  <c r="J148" i="75"/>
  <c r="J149" i="75"/>
  <c r="J150" i="75"/>
  <c r="J151" i="75"/>
  <c r="J152" i="75"/>
  <c r="J153" i="75"/>
  <c r="J154" i="75"/>
  <c r="J155" i="75"/>
  <c r="J156" i="75"/>
  <c r="J157" i="75"/>
  <c r="J158" i="75"/>
  <c r="J159" i="75"/>
  <c r="J160" i="75"/>
  <c r="J161" i="75"/>
  <c r="J162" i="75"/>
  <c r="J163" i="75"/>
  <c r="J164" i="75"/>
  <c r="J165" i="75"/>
  <c r="J166" i="75"/>
  <c r="J167" i="75"/>
  <c r="J123" i="75"/>
  <c r="G129" i="75"/>
  <c r="H129" i="75"/>
  <c r="G130" i="75"/>
  <c r="H130" i="75"/>
  <c r="I129" i="75"/>
  <c r="I130" i="75"/>
  <c r="B125" i="75"/>
  <c r="B70" i="75"/>
  <c r="J15" i="75"/>
  <c r="J15" i="73"/>
  <c r="J125" i="70"/>
  <c r="J70" i="70"/>
  <c r="J15" i="72"/>
  <c r="J15" i="71"/>
  <c r="J15" i="70"/>
  <c r="T20" i="86"/>
  <c r="E20" i="86"/>
  <c r="E19" i="86"/>
  <c r="E17" i="86"/>
  <c r="T16" i="86"/>
  <c r="E15" i="86"/>
  <c r="T14" i="86"/>
  <c r="E14" i="86"/>
  <c r="T13" i="86"/>
  <c r="T15" i="86"/>
  <c r="T17" i="86"/>
  <c r="T18" i="86"/>
  <c r="T19" i="86"/>
  <c r="I14" i="67"/>
  <c r="J69" i="75"/>
  <c r="J71" i="75"/>
  <c r="J76" i="75"/>
  <c r="J77" i="75"/>
  <c r="J78" i="75"/>
  <c r="J79" i="75"/>
  <c r="J80" i="75"/>
  <c r="J81" i="75"/>
  <c r="J82" i="75"/>
  <c r="J83" i="75"/>
  <c r="J84" i="75"/>
  <c r="J85" i="75"/>
  <c r="J86" i="75"/>
  <c r="J87" i="75"/>
  <c r="J88" i="75"/>
  <c r="J89" i="75"/>
  <c r="J90" i="75"/>
  <c r="J91" i="75"/>
  <c r="J92" i="75"/>
  <c r="J93" i="75"/>
  <c r="J94" i="75"/>
  <c r="J95" i="75"/>
  <c r="J96" i="75"/>
  <c r="J97" i="75"/>
  <c r="J98" i="75"/>
  <c r="J99" i="75"/>
  <c r="J100" i="75"/>
  <c r="J101" i="75"/>
  <c r="J102" i="75"/>
  <c r="J103" i="75"/>
  <c r="J104" i="75"/>
  <c r="J105" i="75"/>
  <c r="J106" i="75"/>
  <c r="J107" i="75"/>
  <c r="J108" i="75"/>
  <c r="J109" i="75"/>
  <c r="J110" i="75"/>
  <c r="J111" i="75"/>
  <c r="J112" i="75"/>
  <c r="J68" i="75"/>
  <c r="J14" i="75"/>
  <c r="J16" i="75"/>
  <c r="J17" i="75"/>
  <c r="J18" i="75"/>
  <c r="J19" i="75"/>
  <c r="J20" i="75"/>
  <c r="J21" i="75"/>
  <c r="J22" i="75"/>
  <c r="J23" i="75"/>
  <c r="J24" i="75"/>
  <c r="J25" i="75"/>
  <c r="J26" i="75"/>
  <c r="J27" i="75"/>
  <c r="J28" i="75"/>
  <c r="J29" i="75"/>
  <c r="J30" i="75"/>
  <c r="J31" i="75"/>
  <c r="J32" i="75"/>
  <c r="J33" i="75"/>
  <c r="J34" i="75"/>
  <c r="J35" i="75"/>
  <c r="J36" i="75"/>
  <c r="J37" i="75"/>
  <c r="J38" i="75"/>
  <c r="J39" i="75"/>
  <c r="J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57" i="75"/>
  <c r="J13" i="75"/>
  <c r="F119" i="75"/>
  <c r="F64" i="75"/>
  <c r="G121" i="75"/>
  <c r="H121" i="75" s="1"/>
  <c r="I121" i="75" s="1"/>
  <c r="J121" i="75" s="1"/>
  <c r="G66" i="75"/>
  <c r="H66" i="75" s="1"/>
  <c r="I66" i="75" s="1"/>
  <c r="J66" i="75" s="1"/>
  <c r="G11" i="75"/>
  <c r="H11" i="75" s="1"/>
  <c r="I11" i="75" s="1"/>
  <c r="J11" i="75" s="1"/>
  <c r="M22" i="74"/>
  <c r="M23" i="74"/>
  <c r="M24" i="74"/>
  <c r="M25" i="74"/>
  <c r="M26" i="74"/>
  <c r="M27" i="74"/>
  <c r="M28" i="74"/>
  <c r="M29" i="74"/>
  <c r="M30" i="74"/>
  <c r="M31" i="74"/>
  <c r="M32" i="74"/>
  <c r="M33" i="74"/>
  <c r="M34" i="74"/>
  <c r="M35" i="74"/>
  <c r="M36" i="74"/>
  <c r="M37" i="74"/>
  <c r="M38" i="74"/>
  <c r="M39" i="74"/>
  <c r="M40" i="74"/>
  <c r="M41" i="74"/>
  <c r="M42" i="74"/>
  <c r="M43" i="74"/>
  <c r="M44" i="74"/>
  <c r="M45" i="74"/>
  <c r="M46" i="74"/>
  <c r="M47" i="74"/>
  <c r="M48" i="74"/>
  <c r="M49" i="74"/>
  <c r="M50" i="74"/>
  <c r="M51" i="74"/>
  <c r="M52" i="74"/>
  <c r="M53" i="74"/>
  <c r="M54" i="74"/>
  <c r="G14" i="73"/>
  <c r="H14" i="73"/>
  <c r="G15" i="73"/>
  <c r="H15" i="73"/>
  <c r="G16" i="73"/>
  <c r="H16" i="73"/>
  <c r="G17" i="73"/>
  <c r="H17" i="73"/>
  <c r="G18" i="73"/>
  <c r="H18" i="73"/>
  <c r="G19" i="73"/>
  <c r="H19" i="73"/>
  <c r="G20" i="73"/>
  <c r="H20" i="73"/>
  <c r="G13" i="73"/>
  <c r="H13" i="73"/>
  <c r="I14" i="73"/>
  <c r="I15" i="73"/>
  <c r="I16" i="73"/>
  <c r="I17" i="73"/>
  <c r="I18" i="73"/>
  <c r="I19" i="73"/>
  <c r="I20" i="73"/>
  <c r="I13" i="73"/>
  <c r="J14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45" i="73"/>
  <c r="J46" i="73"/>
  <c r="J47" i="73"/>
  <c r="J48" i="73"/>
  <c r="J49" i="73"/>
  <c r="J50" i="73"/>
  <c r="J51" i="73"/>
  <c r="J52" i="73"/>
  <c r="J53" i="73"/>
  <c r="J54" i="73"/>
  <c r="J55" i="73"/>
  <c r="J56" i="73"/>
  <c r="J57" i="73"/>
  <c r="J13" i="73"/>
  <c r="G11" i="73"/>
  <c r="H11" i="73"/>
  <c r="I11" i="73" s="1"/>
  <c r="J11" i="73" s="1"/>
  <c r="G14" i="72"/>
  <c r="H14" i="72"/>
  <c r="G15" i="72"/>
  <c r="H15" i="72"/>
  <c r="G16" i="72"/>
  <c r="H16" i="72"/>
  <c r="G17" i="72"/>
  <c r="H17" i="72"/>
  <c r="G18" i="72"/>
  <c r="H18" i="72"/>
  <c r="G19" i="72"/>
  <c r="H19" i="72"/>
  <c r="G20" i="72"/>
  <c r="H20" i="72"/>
  <c r="G13" i="72"/>
  <c r="H13" i="72"/>
  <c r="I14" i="72"/>
  <c r="I15" i="72"/>
  <c r="I16" i="72"/>
  <c r="I17" i="72"/>
  <c r="I18" i="72"/>
  <c r="I19" i="72"/>
  <c r="I20" i="72"/>
  <c r="I13" i="72"/>
  <c r="J14" i="72"/>
  <c r="J16" i="72"/>
  <c r="J17" i="72"/>
  <c r="J18" i="72"/>
  <c r="J19" i="72"/>
  <c r="J20" i="72"/>
  <c r="J21" i="72"/>
  <c r="J22" i="72"/>
  <c r="J23" i="72"/>
  <c r="J24" i="72"/>
  <c r="J25" i="72"/>
  <c r="J26" i="72"/>
  <c r="J27" i="72"/>
  <c r="J28" i="72"/>
  <c r="J29" i="72"/>
  <c r="J30" i="72"/>
  <c r="J31" i="72"/>
  <c r="J32" i="72"/>
  <c r="J33" i="72"/>
  <c r="J34" i="72"/>
  <c r="J35" i="72"/>
  <c r="J36" i="72"/>
  <c r="J37" i="72"/>
  <c r="J38" i="72"/>
  <c r="J39" i="72"/>
  <c r="J40" i="72"/>
  <c r="J41" i="72"/>
  <c r="J42" i="72"/>
  <c r="J43" i="72"/>
  <c r="J44" i="72"/>
  <c r="J45" i="72"/>
  <c r="J46" i="72"/>
  <c r="J47" i="72"/>
  <c r="J48" i="72"/>
  <c r="J49" i="72"/>
  <c r="J50" i="72"/>
  <c r="J51" i="72"/>
  <c r="J52" i="72"/>
  <c r="J53" i="72"/>
  <c r="J54" i="72"/>
  <c r="J55" i="72"/>
  <c r="J56" i="72"/>
  <c r="J57" i="72"/>
  <c r="J13" i="72"/>
  <c r="G11" i="72"/>
  <c r="H11" i="72" s="1"/>
  <c r="I11" i="72" s="1"/>
  <c r="J11" i="72" s="1"/>
  <c r="K11" i="72" s="1"/>
  <c r="G69" i="71"/>
  <c r="H69" i="71"/>
  <c r="I69" i="71"/>
  <c r="J69" i="71"/>
  <c r="K69" i="71"/>
  <c r="L69" i="71"/>
  <c r="M69" i="71"/>
  <c r="N69" i="71"/>
  <c r="O69" i="71"/>
  <c r="P69" i="71"/>
  <c r="Q69" i="71"/>
  <c r="R69" i="71"/>
  <c r="S69" i="71"/>
  <c r="T69" i="71"/>
  <c r="U69" i="71"/>
  <c r="V69" i="71"/>
  <c r="W69" i="71"/>
  <c r="J14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13" i="71"/>
  <c r="F69" i="71" l="1"/>
  <c r="G59" i="73"/>
  <c r="G59" i="72"/>
  <c r="H59" i="72"/>
  <c r="H59" i="73"/>
  <c r="I59" i="72"/>
  <c r="I59" i="73"/>
  <c r="G131" i="70"/>
  <c r="G132" i="70"/>
  <c r="G133" i="70"/>
  <c r="G134" i="70"/>
  <c r="G135" i="70"/>
  <c r="G136" i="70"/>
  <c r="G137" i="70"/>
  <c r="G138" i="70"/>
  <c r="G139" i="70"/>
  <c r="G140" i="70"/>
  <c r="G141" i="70"/>
  <c r="G142" i="70"/>
  <c r="G143" i="70"/>
  <c r="G144" i="70"/>
  <c r="G145" i="70"/>
  <c r="G146" i="70"/>
  <c r="G147" i="70"/>
  <c r="G148" i="70"/>
  <c r="G149" i="70"/>
  <c r="G150" i="70"/>
  <c r="G151" i="70"/>
  <c r="G152" i="70"/>
  <c r="G153" i="70"/>
  <c r="G154" i="70"/>
  <c r="G155" i="70"/>
  <c r="G156" i="70"/>
  <c r="G157" i="70"/>
  <c r="G158" i="70"/>
  <c r="G159" i="70"/>
  <c r="G160" i="70"/>
  <c r="G161" i="70"/>
  <c r="G162" i="70"/>
  <c r="G163" i="70"/>
  <c r="G164" i="70"/>
  <c r="G165" i="70"/>
  <c r="G166" i="70"/>
  <c r="G167" i="70"/>
  <c r="H131" i="70"/>
  <c r="H132" i="70"/>
  <c r="H133" i="70"/>
  <c r="H134" i="70"/>
  <c r="H135" i="70"/>
  <c r="H136" i="70"/>
  <c r="H137" i="70"/>
  <c r="H138" i="70"/>
  <c r="H139" i="70"/>
  <c r="H140" i="70"/>
  <c r="H141" i="70"/>
  <c r="H142" i="70"/>
  <c r="H143" i="70"/>
  <c r="H144" i="70"/>
  <c r="H145" i="70"/>
  <c r="H146" i="70"/>
  <c r="H147" i="70"/>
  <c r="H148" i="70"/>
  <c r="H149" i="70"/>
  <c r="H150" i="70"/>
  <c r="H151" i="70"/>
  <c r="H152" i="70"/>
  <c r="H153" i="70"/>
  <c r="H154" i="70"/>
  <c r="H155" i="70"/>
  <c r="H156" i="70"/>
  <c r="H157" i="70"/>
  <c r="H158" i="70"/>
  <c r="H159" i="70"/>
  <c r="H160" i="70"/>
  <c r="H161" i="70"/>
  <c r="H162" i="70"/>
  <c r="H163" i="70"/>
  <c r="H164" i="70"/>
  <c r="H165" i="70"/>
  <c r="H166" i="70"/>
  <c r="H167" i="70"/>
  <c r="I131" i="70"/>
  <c r="I132" i="70"/>
  <c r="I133" i="70"/>
  <c r="I134" i="70"/>
  <c r="I135" i="70"/>
  <c r="I136" i="70"/>
  <c r="I137" i="70"/>
  <c r="I138" i="70"/>
  <c r="I139" i="70"/>
  <c r="I140" i="70"/>
  <c r="I141" i="70"/>
  <c r="I142" i="70"/>
  <c r="I143" i="70"/>
  <c r="I144" i="70"/>
  <c r="I145" i="70"/>
  <c r="I146" i="70"/>
  <c r="I147" i="70"/>
  <c r="I148" i="70"/>
  <c r="I149" i="70"/>
  <c r="I150" i="70"/>
  <c r="I151" i="70"/>
  <c r="I152" i="70"/>
  <c r="I153" i="70"/>
  <c r="I154" i="70"/>
  <c r="I155" i="70"/>
  <c r="I156" i="70"/>
  <c r="I157" i="70"/>
  <c r="I158" i="70"/>
  <c r="I159" i="70"/>
  <c r="I160" i="70"/>
  <c r="I161" i="70"/>
  <c r="I162" i="70"/>
  <c r="I163" i="70"/>
  <c r="I164" i="70"/>
  <c r="I165" i="70"/>
  <c r="I166" i="70"/>
  <c r="I167" i="70"/>
  <c r="J124" i="70"/>
  <c r="J126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23" i="70"/>
  <c r="G121" i="70"/>
  <c r="H121" i="70"/>
  <c r="I121" i="70"/>
  <c r="J121" i="70" s="1"/>
  <c r="G66" i="70"/>
  <c r="H66" i="70"/>
  <c r="I66" i="70" s="1"/>
  <c r="J66" i="70" s="1"/>
  <c r="J69" i="70"/>
  <c r="J71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68" i="70"/>
  <c r="G14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G30" i="70"/>
  <c r="G31" i="70"/>
  <c r="G32" i="70"/>
  <c r="G33" i="70"/>
  <c r="G34" i="70"/>
  <c r="G35" i="70"/>
  <c r="G36" i="70"/>
  <c r="G37" i="70"/>
  <c r="G38" i="70"/>
  <c r="G39" i="70"/>
  <c r="G40" i="70"/>
  <c r="G41" i="70"/>
  <c r="G42" i="70"/>
  <c r="G43" i="70"/>
  <c r="G44" i="70"/>
  <c r="G45" i="70"/>
  <c r="G46" i="70"/>
  <c r="G47" i="70"/>
  <c r="G48" i="70"/>
  <c r="G49" i="70"/>
  <c r="G50" i="70"/>
  <c r="G51" i="70"/>
  <c r="G52" i="70"/>
  <c r="G53" i="70"/>
  <c r="G54" i="70"/>
  <c r="G55" i="70"/>
  <c r="G56" i="70"/>
  <c r="G57" i="70"/>
  <c r="G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13" i="70"/>
  <c r="I14" i="70"/>
  <c r="I15" i="70"/>
  <c r="I16" i="70"/>
  <c r="I17" i="70"/>
  <c r="I18" i="70"/>
  <c r="I19" i="70"/>
  <c r="I20" i="70"/>
  <c r="I21" i="70"/>
  <c r="I22" i="70"/>
  <c r="I23" i="70"/>
  <c r="I24" i="70"/>
  <c r="I25" i="70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57" i="70"/>
  <c r="I13" i="70"/>
  <c r="J14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13" i="70"/>
  <c r="K12" i="70"/>
  <c r="I12" i="70"/>
  <c r="J12" i="70"/>
  <c r="F119" i="70"/>
  <c r="F64" i="70"/>
  <c r="G11" i="70"/>
  <c r="H11" i="70" s="1"/>
  <c r="I11" i="70" s="1"/>
  <c r="J11" i="70" s="1"/>
  <c r="G61" i="73" l="1"/>
  <c r="G60" i="70"/>
  <c r="G59" i="70"/>
  <c r="G61" i="72"/>
  <c r="H61" i="73"/>
  <c r="H61" i="72"/>
  <c r="H59" i="70"/>
  <c r="I60" i="70"/>
  <c r="I59" i="70"/>
  <c r="H60" i="70"/>
  <c r="E222" i="57" l="1"/>
  <c r="E223" i="57"/>
  <c r="E837" i="58"/>
  <c r="E838" i="58"/>
  <c r="I121" i="81" l="1"/>
  <c r="I66" i="81"/>
  <c r="I11" i="81"/>
  <c r="F64" i="81"/>
  <c r="F119" i="81" s="1"/>
  <c r="M24" i="80"/>
  <c r="M25" i="80"/>
  <c r="M26" i="80"/>
  <c r="M27" i="80"/>
  <c r="M28" i="80"/>
  <c r="M29" i="80"/>
  <c r="M30" i="80"/>
  <c r="M31" i="80"/>
  <c r="M32" i="80"/>
  <c r="M33" i="80"/>
  <c r="M34" i="80"/>
  <c r="M35" i="80"/>
  <c r="M36" i="80"/>
  <c r="M37" i="80"/>
  <c r="M38" i="80"/>
  <c r="M39" i="80"/>
  <c r="M40" i="80"/>
  <c r="M41" i="80"/>
  <c r="M42" i="80"/>
  <c r="M43" i="80"/>
  <c r="M44" i="80"/>
  <c r="M45" i="80"/>
  <c r="M46" i="80"/>
  <c r="M47" i="80"/>
  <c r="M48" i="80"/>
  <c r="M49" i="80"/>
  <c r="M50" i="80"/>
  <c r="M51" i="80"/>
  <c r="M52" i="80"/>
  <c r="M53" i="80"/>
  <c r="M54" i="80"/>
  <c r="H14" i="79"/>
  <c r="H15" i="79"/>
  <c r="H16" i="79"/>
  <c r="H17" i="79"/>
  <c r="H18" i="79"/>
  <c r="H20" i="79"/>
  <c r="H21" i="79"/>
  <c r="H22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13" i="79"/>
  <c r="I11" i="79"/>
  <c r="H14" i="78"/>
  <c r="AP14" i="78" s="1"/>
  <c r="H15" i="78"/>
  <c r="AP15" i="78" s="1"/>
  <c r="H16" i="78"/>
  <c r="AP16" i="78" s="1"/>
  <c r="H17" i="78"/>
  <c r="AP17" i="78" s="1"/>
  <c r="H18" i="78"/>
  <c r="AP18" i="78" s="1"/>
  <c r="H20" i="78"/>
  <c r="AP20" i="78" s="1"/>
  <c r="H21" i="78"/>
  <c r="AP21" i="78" s="1"/>
  <c r="H22" i="78"/>
  <c r="AP22" i="78" s="1"/>
  <c r="H13" i="78"/>
  <c r="AP13" i="78" s="1"/>
  <c r="I11" i="78"/>
  <c r="H24" i="77"/>
  <c r="H25" i="77"/>
  <c r="H26" i="77"/>
  <c r="H27" i="77"/>
  <c r="H28" i="77"/>
  <c r="H29" i="77"/>
  <c r="H30" i="77"/>
  <c r="H31" i="77"/>
  <c r="H32" i="77"/>
  <c r="H33" i="77"/>
  <c r="H34" i="77"/>
  <c r="H35" i="77"/>
  <c r="H36" i="77"/>
  <c r="H37" i="77"/>
  <c r="H38" i="77"/>
  <c r="H39" i="77"/>
  <c r="H40" i="77"/>
  <c r="H41" i="77"/>
  <c r="H42" i="77"/>
  <c r="H43" i="77"/>
  <c r="H44" i="77"/>
  <c r="H45" i="77"/>
  <c r="H46" i="77"/>
  <c r="H47" i="77"/>
  <c r="H48" i="77"/>
  <c r="H49" i="77"/>
  <c r="H50" i="77"/>
  <c r="H51" i="77"/>
  <c r="H52" i="77"/>
  <c r="H53" i="77"/>
  <c r="H54" i="77"/>
  <c r="H55" i="77"/>
  <c r="H56" i="77"/>
  <c r="H57" i="77"/>
  <c r="I11" i="77"/>
  <c r="H69" i="77"/>
  <c r="I121" i="76"/>
  <c r="I66" i="76"/>
  <c r="I11" i="76"/>
  <c r="H59" i="76" l="1"/>
  <c r="H59" i="79"/>
  <c r="G61" i="79" s="1"/>
  <c r="H59" i="78"/>
  <c r="G61" i="78" s="1"/>
  <c r="H60" i="76"/>
  <c r="I136" i="30"/>
  <c r="I73" i="30"/>
  <c r="I11" i="30"/>
  <c r="I11" i="61"/>
  <c r="E158" i="71"/>
  <c r="H74" i="46"/>
  <c r="H70" i="46"/>
  <c r="I12" i="46"/>
  <c r="H59" i="61" l="1"/>
  <c r="G60" i="61" s="1"/>
  <c r="H59" i="50"/>
  <c r="G60" i="50" s="1"/>
  <c r="AA53" i="83"/>
  <c r="Z53" i="83"/>
  <c r="L37" i="49" s="1"/>
  <c r="Y53" i="83"/>
  <c r="I38" i="46" s="1"/>
  <c r="X53" i="83"/>
  <c r="W53" i="83"/>
  <c r="I99" i="30" s="1"/>
  <c r="V53" i="83"/>
  <c r="I37" i="30" s="1"/>
  <c r="U53" i="83"/>
  <c r="I163" i="29" s="1"/>
  <c r="T53" i="83"/>
  <c r="I99" i="29" s="1"/>
  <c r="I68" i="83"/>
  <c r="I67" i="83"/>
  <c r="I66" i="83"/>
  <c r="I65" i="83"/>
  <c r="I64" i="83"/>
  <c r="I63" i="83"/>
  <c r="I62" i="83"/>
  <c r="I61" i="83"/>
  <c r="I59" i="83"/>
  <c r="I58" i="83"/>
  <c r="I57" i="83"/>
  <c r="I56" i="83"/>
  <c r="I55" i="83"/>
  <c r="I54" i="83"/>
  <c r="I52" i="83"/>
  <c r="I51" i="83"/>
  <c r="I50" i="83"/>
  <c r="I49" i="83"/>
  <c r="I48" i="83"/>
  <c r="I47" i="83"/>
  <c r="I46" i="83"/>
  <c r="I45" i="83"/>
  <c r="I44" i="83"/>
  <c r="I43" i="83"/>
  <c r="I42" i="83"/>
  <c r="I41" i="83"/>
  <c r="I40" i="83"/>
  <c r="I39" i="83"/>
  <c r="I38" i="83"/>
  <c r="I37" i="83"/>
  <c r="I36" i="83"/>
  <c r="I35" i="83"/>
  <c r="I34" i="83"/>
  <c r="I33" i="83"/>
  <c r="I32" i="83"/>
  <c r="I31" i="83"/>
  <c r="I30" i="83"/>
  <c r="I29" i="83"/>
  <c r="I28" i="83"/>
  <c r="I27" i="83"/>
  <c r="I26" i="83"/>
  <c r="I25" i="83"/>
  <c r="I24" i="83"/>
  <c r="I23" i="83"/>
  <c r="I22" i="83"/>
  <c r="I20" i="83"/>
  <c r="I19" i="83"/>
  <c r="I17" i="83"/>
  <c r="I16" i="83"/>
  <c r="I15" i="83"/>
  <c r="I14" i="83"/>
  <c r="I137" i="29" l="1"/>
  <c r="I73" i="29"/>
  <c r="I11" i="29"/>
  <c r="H60" i="29" l="1"/>
  <c r="H59" i="29"/>
  <c r="AA74" i="86"/>
  <c r="Z74" i="86"/>
  <c r="U74" i="86"/>
  <c r="T74" i="86"/>
  <c r="AD73" i="86"/>
  <c r="AA73" i="86"/>
  <c r="Z73" i="86"/>
  <c r="X73" i="86"/>
  <c r="W73" i="86"/>
  <c r="V73" i="86"/>
  <c r="U73" i="86"/>
  <c r="B73" i="86"/>
  <c r="A73" i="86" s="1"/>
  <c r="AD72" i="86"/>
  <c r="AA72" i="86"/>
  <c r="Z72" i="86"/>
  <c r="X72" i="86"/>
  <c r="W72" i="86"/>
  <c r="V72" i="86"/>
  <c r="U72" i="86"/>
  <c r="B72" i="86"/>
  <c r="A72" i="86" s="1"/>
  <c r="AD71" i="86"/>
  <c r="B71" i="86"/>
  <c r="A71" i="86" s="1"/>
  <c r="AD70" i="86"/>
  <c r="U70" i="86"/>
  <c r="T70" i="86"/>
  <c r="E70" i="86"/>
  <c r="B70" i="86"/>
  <c r="A70" i="86" s="1"/>
  <c r="AD69" i="86"/>
  <c r="E69" i="86"/>
  <c r="B69" i="86"/>
  <c r="A69" i="86" s="1"/>
  <c r="AD68" i="86"/>
  <c r="AA68" i="86"/>
  <c r="Z68" i="86"/>
  <c r="M50" i="49" s="1"/>
  <c r="Y68" i="86"/>
  <c r="H54" i="46" s="1"/>
  <c r="X68" i="86"/>
  <c r="H178" i="30" s="1"/>
  <c r="W68" i="86"/>
  <c r="H115" i="30" s="1"/>
  <c r="V68" i="86"/>
  <c r="H53" i="30" s="1"/>
  <c r="U68" i="86"/>
  <c r="T68" i="86"/>
  <c r="E68" i="86"/>
  <c r="B68" i="86"/>
  <c r="A68" i="86" s="1"/>
  <c r="AD67" i="86"/>
  <c r="AA67" i="86"/>
  <c r="Z67" i="86"/>
  <c r="M47" i="49" s="1"/>
  <c r="Y67" i="86"/>
  <c r="H49" i="46" s="1"/>
  <c r="X67" i="86"/>
  <c r="H173" i="30" s="1"/>
  <c r="W67" i="86"/>
  <c r="H110" i="30" s="1"/>
  <c r="V67" i="86"/>
  <c r="H48" i="30" s="1"/>
  <c r="U67" i="86"/>
  <c r="T67" i="86"/>
  <c r="E67" i="86"/>
  <c r="B67" i="86"/>
  <c r="A67" i="86" s="1"/>
  <c r="AD66" i="86"/>
  <c r="AA66" i="86"/>
  <c r="Z66" i="86"/>
  <c r="M44" i="49" s="1"/>
  <c r="Y66" i="86"/>
  <c r="H45" i="46" s="1"/>
  <c r="X66" i="86"/>
  <c r="H169" i="30" s="1"/>
  <c r="W66" i="86"/>
  <c r="H106" i="30" s="1"/>
  <c r="V66" i="86"/>
  <c r="H44" i="30" s="1"/>
  <c r="U66" i="86"/>
  <c r="T66" i="86"/>
  <c r="E66" i="86"/>
  <c r="B66" i="86"/>
  <c r="A66" i="86" s="1"/>
  <c r="AD65" i="86"/>
  <c r="AA65" i="86"/>
  <c r="Z65" i="86"/>
  <c r="M43" i="49" s="1"/>
  <c r="Y65" i="86"/>
  <c r="H44" i="46" s="1"/>
  <c r="X65" i="86"/>
  <c r="H168" i="30" s="1"/>
  <c r="W65" i="86"/>
  <c r="H105" i="30" s="1"/>
  <c r="V65" i="86"/>
  <c r="H43" i="30" s="1"/>
  <c r="U65" i="86"/>
  <c r="T65" i="86"/>
  <c r="E65" i="86"/>
  <c r="B65" i="86"/>
  <c r="A65" i="86" s="1"/>
  <c r="AD64" i="86"/>
  <c r="AA64" i="86"/>
  <c r="Z64" i="86"/>
  <c r="M42" i="49" s="1"/>
  <c r="Y64" i="86"/>
  <c r="H43" i="46" s="1"/>
  <c r="X64" i="86"/>
  <c r="H167" i="30" s="1"/>
  <c r="W64" i="86"/>
  <c r="H104" i="30" s="1"/>
  <c r="V64" i="86"/>
  <c r="H42" i="30" s="1"/>
  <c r="U64" i="86"/>
  <c r="T64" i="86"/>
  <c r="E64" i="86"/>
  <c r="B64" i="86"/>
  <c r="A64" i="86" s="1"/>
  <c r="AD63" i="86"/>
  <c r="AA63" i="86"/>
  <c r="Z63" i="86"/>
  <c r="M39" i="49" s="1"/>
  <c r="Y63" i="86"/>
  <c r="H40" i="46" s="1"/>
  <c r="X63" i="86"/>
  <c r="H164" i="30" s="1"/>
  <c r="W63" i="86"/>
  <c r="H101" i="30" s="1"/>
  <c r="V63" i="86"/>
  <c r="H39" i="30" s="1"/>
  <c r="U63" i="86"/>
  <c r="T63" i="86"/>
  <c r="H101" i="29" s="1"/>
  <c r="E63" i="86"/>
  <c r="D63" i="86"/>
  <c r="B63" i="86"/>
  <c r="A63" i="86" s="1"/>
  <c r="AD62" i="86"/>
  <c r="AA62" i="86"/>
  <c r="Z62" i="86"/>
  <c r="M36" i="49" s="1"/>
  <c r="Y62" i="86"/>
  <c r="H37" i="46" s="1"/>
  <c r="X62" i="86"/>
  <c r="H161" i="30" s="1"/>
  <c r="W62" i="86"/>
  <c r="H98" i="30" s="1"/>
  <c r="V62" i="86"/>
  <c r="H36" i="30" s="1"/>
  <c r="U62" i="86"/>
  <c r="T62" i="86"/>
  <c r="E62" i="86"/>
  <c r="B62" i="86"/>
  <c r="A62" i="86" s="1"/>
  <c r="AD61" i="86"/>
  <c r="AA61" i="86"/>
  <c r="Z61" i="86"/>
  <c r="M35" i="49" s="1"/>
  <c r="Y61" i="86"/>
  <c r="H36" i="46" s="1"/>
  <c r="X61" i="86"/>
  <c r="H160" i="30" s="1"/>
  <c r="W61" i="86"/>
  <c r="H97" i="30" s="1"/>
  <c r="V61" i="86"/>
  <c r="H35" i="30" s="1"/>
  <c r="U61" i="86"/>
  <c r="T61" i="86"/>
  <c r="E61" i="86"/>
  <c r="B61" i="86"/>
  <c r="A61" i="86" s="1"/>
  <c r="AD60" i="86"/>
  <c r="AA60" i="86"/>
  <c r="Z60" i="86"/>
  <c r="M28" i="49" s="1"/>
  <c r="Y60" i="86"/>
  <c r="H28" i="46" s="1"/>
  <c r="X60" i="86"/>
  <c r="H152" i="30" s="1"/>
  <c r="W60" i="86"/>
  <c r="H89" i="30" s="1"/>
  <c r="V60" i="86"/>
  <c r="H27" i="30" s="1"/>
  <c r="U60" i="86"/>
  <c r="T60" i="86"/>
  <c r="E60" i="86"/>
  <c r="B60" i="86"/>
  <c r="AD59" i="86"/>
  <c r="AA59" i="86"/>
  <c r="Z59" i="86"/>
  <c r="M27" i="49" s="1"/>
  <c r="Y59" i="86"/>
  <c r="H27" i="46" s="1"/>
  <c r="X59" i="86"/>
  <c r="H151" i="30" s="1"/>
  <c r="W59" i="86"/>
  <c r="H88" i="30" s="1"/>
  <c r="V59" i="86"/>
  <c r="H26" i="30" s="1"/>
  <c r="U59" i="86"/>
  <c r="T59" i="86"/>
  <c r="E59" i="86"/>
  <c r="B59" i="86"/>
  <c r="A59" i="86" s="1"/>
  <c r="AD58" i="86"/>
  <c r="AA58" i="86"/>
  <c r="Z58" i="86"/>
  <c r="M20" i="49" s="1"/>
  <c r="Y58" i="86"/>
  <c r="H20" i="46" s="1"/>
  <c r="X58" i="86"/>
  <c r="H144" i="30" s="1"/>
  <c r="W58" i="86"/>
  <c r="H81" i="30" s="1"/>
  <c r="V58" i="86"/>
  <c r="H19" i="30" s="1"/>
  <c r="U58" i="86"/>
  <c r="T58" i="86"/>
  <c r="E58" i="86"/>
  <c r="B58" i="86"/>
  <c r="A58" i="86" s="1"/>
  <c r="AD57" i="86"/>
  <c r="AA57" i="86"/>
  <c r="Z57" i="86"/>
  <c r="M19" i="49" s="1"/>
  <c r="Y57" i="86"/>
  <c r="H19" i="46" s="1"/>
  <c r="X57" i="86"/>
  <c r="H143" i="30" s="1"/>
  <c r="W57" i="86"/>
  <c r="H80" i="30" s="1"/>
  <c r="V57" i="86"/>
  <c r="H18" i="30" s="1"/>
  <c r="U57" i="86"/>
  <c r="T57" i="86"/>
  <c r="E57" i="86"/>
  <c r="B57" i="86"/>
  <c r="A57" i="86" s="1"/>
  <c r="AD56" i="86"/>
  <c r="AA56" i="86"/>
  <c r="Z56" i="86"/>
  <c r="M49" i="49" s="1"/>
  <c r="Y56" i="86"/>
  <c r="H52" i="46" s="1"/>
  <c r="X56" i="86"/>
  <c r="H176" i="30" s="1"/>
  <c r="W56" i="86"/>
  <c r="H113" i="30" s="1"/>
  <c r="V56" i="86"/>
  <c r="H51" i="30" s="1"/>
  <c r="U56" i="86"/>
  <c r="T56" i="86"/>
  <c r="E56" i="86"/>
  <c r="B56" i="86"/>
  <c r="A56" i="86" s="1"/>
  <c r="AD55" i="86"/>
  <c r="AA55" i="86"/>
  <c r="Z55" i="86"/>
  <c r="M41" i="49" s="1"/>
  <c r="Y55" i="86"/>
  <c r="H42" i="46" s="1"/>
  <c r="X55" i="86"/>
  <c r="H166" i="30" s="1"/>
  <c r="W55" i="86"/>
  <c r="H103" i="30" s="1"/>
  <c r="V55" i="86"/>
  <c r="H41" i="30" s="1"/>
  <c r="U55" i="86"/>
  <c r="T55" i="86"/>
  <c r="E55" i="86"/>
  <c r="B55" i="86"/>
  <c r="A55" i="86" s="1"/>
  <c r="AD54" i="86"/>
  <c r="AA54" i="86"/>
  <c r="Z54" i="86"/>
  <c r="M40" i="49" s="1"/>
  <c r="Y54" i="86"/>
  <c r="H41" i="46" s="1"/>
  <c r="X54" i="86"/>
  <c r="H165" i="30" s="1"/>
  <c r="W54" i="86"/>
  <c r="H102" i="30" s="1"/>
  <c r="V54" i="86"/>
  <c r="H40" i="30" s="1"/>
  <c r="U54" i="86"/>
  <c r="T54" i="86"/>
  <c r="E54" i="86"/>
  <c r="B54" i="86"/>
  <c r="A54" i="86" s="1"/>
  <c r="AD53" i="86"/>
  <c r="AA53" i="86"/>
  <c r="Z53" i="86"/>
  <c r="M37" i="49" s="1"/>
  <c r="Y53" i="86"/>
  <c r="H38" i="46" s="1"/>
  <c r="X53" i="86"/>
  <c r="H162" i="30" s="1"/>
  <c r="W53" i="86"/>
  <c r="H99" i="30" s="1"/>
  <c r="V53" i="86"/>
  <c r="H37" i="30" s="1"/>
  <c r="U53" i="86"/>
  <c r="H163" i="29" s="1"/>
  <c r="T53" i="86"/>
  <c r="H99" i="29" s="1"/>
  <c r="E53" i="86"/>
  <c r="B53" i="86"/>
  <c r="A53" i="86" s="1"/>
  <c r="AD52" i="86"/>
  <c r="AA52" i="86"/>
  <c r="Z52" i="86"/>
  <c r="M34" i="49" s="1"/>
  <c r="Y52" i="86"/>
  <c r="H34" i="46" s="1"/>
  <c r="X52" i="86"/>
  <c r="H158" i="30" s="1"/>
  <c r="W52" i="86"/>
  <c r="H95" i="30" s="1"/>
  <c r="V52" i="86"/>
  <c r="H33" i="30" s="1"/>
  <c r="U52" i="86"/>
  <c r="T52" i="86"/>
  <c r="E52" i="86"/>
  <c r="B52" i="86"/>
  <c r="A52" i="86" s="1"/>
  <c r="AD51" i="86"/>
  <c r="AA51" i="86"/>
  <c r="Z51" i="86"/>
  <c r="M31" i="49" s="1"/>
  <c r="Y51" i="86"/>
  <c r="H31" i="46" s="1"/>
  <c r="X51" i="86"/>
  <c r="H155" i="30" s="1"/>
  <c r="W51" i="86"/>
  <c r="H92" i="30" s="1"/>
  <c r="V51" i="86"/>
  <c r="H30" i="30" s="1"/>
  <c r="U51" i="86"/>
  <c r="H156" i="29" s="1"/>
  <c r="T51" i="86"/>
  <c r="B51" i="86"/>
  <c r="A51" i="86" s="1"/>
  <c r="AD50" i="86"/>
  <c r="AA50" i="86"/>
  <c r="Z50" i="86"/>
  <c r="M29" i="49" s="1"/>
  <c r="Y50" i="86"/>
  <c r="H29" i="46" s="1"/>
  <c r="X50" i="86"/>
  <c r="H153" i="30" s="1"/>
  <c r="W50" i="86"/>
  <c r="H90" i="30" s="1"/>
  <c r="V50" i="86"/>
  <c r="H28" i="30" s="1"/>
  <c r="U50" i="86"/>
  <c r="T50" i="86"/>
  <c r="E50" i="86"/>
  <c r="B50" i="86"/>
  <c r="A50" i="86" s="1"/>
  <c r="AD49" i="86"/>
  <c r="AA49" i="86"/>
  <c r="Z49" i="86"/>
  <c r="M25" i="49" s="1"/>
  <c r="Y49" i="86"/>
  <c r="H25" i="46" s="1"/>
  <c r="X49" i="86"/>
  <c r="H149" i="30" s="1"/>
  <c r="W49" i="86"/>
  <c r="H86" i="30" s="1"/>
  <c r="V49" i="86"/>
  <c r="H24" i="30" s="1"/>
  <c r="U49" i="86"/>
  <c r="T49" i="86"/>
  <c r="E49" i="86"/>
  <c r="B49" i="86"/>
  <c r="A49" i="86" s="1"/>
  <c r="AD48" i="86"/>
  <c r="AA48" i="86"/>
  <c r="Z48" i="86"/>
  <c r="M22" i="49" s="1"/>
  <c r="Y48" i="86"/>
  <c r="H22" i="46" s="1"/>
  <c r="X48" i="86"/>
  <c r="H146" i="30" s="1"/>
  <c r="W48" i="86"/>
  <c r="H83" i="30" s="1"/>
  <c r="V48" i="86"/>
  <c r="H21" i="30" s="1"/>
  <c r="U48" i="86"/>
  <c r="T48" i="86"/>
  <c r="E48" i="86"/>
  <c r="B48" i="86"/>
  <c r="A48" i="86" s="1"/>
  <c r="AD47" i="86"/>
  <c r="AA47" i="86"/>
  <c r="Z47" i="86"/>
  <c r="M21" i="49" s="1"/>
  <c r="Y47" i="86"/>
  <c r="H21" i="46" s="1"/>
  <c r="X47" i="86"/>
  <c r="H145" i="30" s="1"/>
  <c r="W47" i="86"/>
  <c r="H82" i="30" s="1"/>
  <c r="V47" i="86"/>
  <c r="H20" i="30" s="1"/>
  <c r="U47" i="86"/>
  <c r="T47" i="86"/>
  <c r="E47" i="86"/>
  <c r="B47" i="86"/>
  <c r="A47" i="86" s="1"/>
  <c r="AD46" i="86"/>
  <c r="AA46" i="86"/>
  <c r="Z46" i="86"/>
  <c r="M17" i="49" s="1"/>
  <c r="Y46" i="86"/>
  <c r="H17" i="46" s="1"/>
  <c r="X46" i="86"/>
  <c r="H141" i="30" s="1"/>
  <c r="W46" i="86"/>
  <c r="H78" i="30" s="1"/>
  <c r="V46" i="86"/>
  <c r="H16" i="30" s="1"/>
  <c r="U46" i="86"/>
  <c r="T46" i="86"/>
  <c r="E46" i="86"/>
  <c r="B46" i="86"/>
  <c r="A46" i="86" s="1"/>
  <c r="AD45" i="86"/>
  <c r="AA45" i="86"/>
  <c r="Z45" i="86"/>
  <c r="M16" i="49" s="1"/>
  <c r="Y45" i="86"/>
  <c r="H16" i="46" s="1"/>
  <c r="X45" i="86"/>
  <c r="H140" i="30" s="1"/>
  <c r="W45" i="86"/>
  <c r="H77" i="30" s="1"/>
  <c r="V45" i="86"/>
  <c r="H15" i="30" s="1"/>
  <c r="U45" i="86"/>
  <c r="T45" i="86"/>
  <c r="E45" i="86"/>
  <c r="B45" i="86"/>
  <c r="A45" i="86" s="1"/>
  <c r="AD44" i="86"/>
  <c r="AA44" i="86"/>
  <c r="Z44" i="86"/>
  <c r="M15" i="49" s="1"/>
  <c r="Y44" i="86"/>
  <c r="H15" i="46" s="1"/>
  <c r="X44" i="86"/>
  <c r="H139" i="30" s="1"/>
  <c r="W44" i="86"/>
  <c r="H76" i="30" s="1"/>
  <c r="V44" i="86"/>
  <c r="H14" i="30" s="1"/>
  <c r="U44" i="86"/>
  <c r="T44" i="86"/>
  <c r="E44" i="86"/>
  <c r="B44" i="86"/>
  <c r="A44" i="86" s="1"/>
  <c r="AD43" i="86"/>
  <c r="AA43" i="86"/>
  <c r="Z43" i="86"/>
  <c r="M14" i="49" s="1"/>
  <c r="Y43" i="86"/>
  <c r="H14" i="46" s="1"/>
  <c r="X43" i="86"/>
  <c r="H138" i="30" s="1"/>
  <c r="W43" i="86"/>
  <c r="H75" i="30" s="1"/>
  <c r="V43" i="86"/>
  <c r="H13" i="30" s="1"/>
  <c r="U43" i="86"/>
  <c r="T43" i="86"/>
  <c r="E43" i="86"/>
  <c r="B43" i="86"/>
  <c r="A43" i="86" s="1"/>
  <c r="AD42" i="86"/>
  <c r="AA42" i="86"/>
  <c r="Z42" i="86"/>
  <c r="M23" i="80" s="1"/>
  <c r="Y42" i="86"/>
  <c r="H22" i="77" s="1"/>
  <c r="X42" i="86"/>
  <c r="W42" i="86"/>
  <c r="V42" i="86"/>
  <c r="H22" i="81" s="1"/>
  <c r="U42" i="86"/>
  <c r="T42" i="86"/>
  <c r="E42" i="86"/>
  <c r="B42" i="86"/>
  <c r="A42" i="86" s="1"/>
  <c r="AD41" i="86"/>
  <c r="AA41" i="86"/>
  <c r="Z41" i="86"/>
  <c r="M22" i="80" s="1"/>
  <c r="Y41" i="86"/>
  <c r="H21" i="77" s="1"/>
  <c r="X41" i="86"/>
  <c r="W41" i="86"/>
  <c r="V41" i="86"/>
  <c r="H21" i="81" s="1"/>
  <c r="U41" i="86"/>
  <c r="T41" i="86"/>
  <c r="E41" i="86"/>
  <c r="B41" i="86"/>
  <c r="A41" i="86" s="1"/>
  <c r="AD40" i="86"/>
  <c r="AA40" i="86"/>
  <c r="Z40" i="86"/>
  <c r="M21" i="80" s="1"/>
  <c r="Y40" i="86"/>
  <c r="H20" i="77" s="1"/>
  <c r="X40" i="86"/>
  <c r="W40" i="86"/>
  <c r="V40" i="86"/>
  <c r="H20" i="81" s="1"/>
  <c r="U40" i="86"/>
  <c r="T40" i="86"/>
  <c r="E40" i="86"/>
  <c r="B40" i="86"/>
  <c r="A40" i="86" s="1"/>
  <c r="AD39" i="86"/>
  <c r="AA39" i="86"/>
  <c r="Z39" i="86"/>
  <c r="Y39" i="86"/>
  <c r="X39" i="86"/>
  <c r="W39" i="86"/>
  <c r="V39" i="86"/>
  <c r="U39" i="86"/>
  <c r="T39" i="86"/>
  <c r="E39" i="86"/>
  <c r="B39" i="86"/>
  <c r="A39" i="86" s="1"/>
  <c r="AD38" i="86"/>
  <c r="AA38" i="86"/>
  <c r="Z38" i="86"/>
  <c r="M19" i="80" s="1"/>
  <c r="Y38" i="86"/>
  <c r="H18" i="77" s="1"/>
  <c r="X38" i="86"/>
  <c r="W38" i="86"/>
  <c r="V38" i="86"/>
  <c r="H18" i="81" s="1"/>
  <c r="U38" i="86"/>
  <c r="T38" i="86"/>
  <c r="E38" i="86"/>
  <c r="B38" i="86"/>
  <c r="A38" i="86" s="1"/>
  <c r="AD37" i="86"/>
  <c r="AA37" i="86"/>
  <c r="Z37" i="86"/>
  <c r="M18" i="80" s="1"/>
  <c r="Y37" i="86"/>
  <c r="H17" i="77" s="1"/>
  <c r="X37" i="86"/>
  <c r="W37" i="86"/>
  <c r="V37" i="86"/>
  <c r="H17" i="81" s="1"/>
  <c r="U37" i="86"/>
  <c r="T37" i="86"/>
  <c r="E37" i="86"/>
  <c r="B37" i="86"/>
  <c r="A37" i="86" s="1"/>
  <c r="AD36" i="86"/>
  <c r="AA36" i="86"/>
  <c r="Z36" i="86"/>
  <c r="M17" i="80" s="1"/>
  <c r="Y36" i="86"/>
  <c r="H16" i="77" s="1"/>
  <c r="X36" i="86"/>
  <c r="W36" i="86"/>
  <c r="V36" i="86"/>
  <c r="H16" i="81" s="1"/>
  <c r="U36" i="86"/>
  <c r="T36" i="86"/>
  <c r="E36" i="86"/>
  <c r="B36" i="86"/>
  <c r="A36" i="86" s="1"/>
  <c r="AD35" i="86"/>
  <c r="AA35" i="86"/>
  <c r="Z35" i="86"/>
  <c r="M16" i="80" s="1"/>
  <c r="Y35" i="86"/>
  <c r="H15" i="77" s="1"/>
  <c r="X35" i="86"/>
  <c r="W35" i="86"/>
  <c r="V35" i="86"/>
  <c r="H15" i="81" s="1"/>
  <c r="U35" i="86"/>
  <c r="T35" i="86"/>
  <c r="E35" i="86"/>
  <c r="B35" i="86"/>
  <c r="A35" i="86" s="1"/>
  <c r="AD34" i="86"/>
  <c r="AA34" i="86"/>
  <c r="Z34" i="86"/>
  <c r="M15" i="80" s="1"/>
  <c r="Y34" i="86"/>
  <c r="H14" i="77" s="1"/>
  <c r="X34" i="86"/>
  <c r="W34" i="86"/>
  <c r="V34" i="86"/>
  <c r="H14" i="81" s="1"/>
  <c r="U34" i="86"/>
  <c r="T34" i="86"/>
  <c r="E34" i="86"/>
  <c r="B34" i="86"/>
  <c r="A34" i="86" s="1"/>
  <c r="AD33" i="86"/>
  <c r="AA33" i="86"/>
  <c r="Z33" i="86"/>
  <c r="M14" i="80" s="1"/>
  <c r="Y33" i="86"/>
  <c r="H13" i="77" s="1"/>
  <c r="X33" i="86"/>
  <c r="W33" i="86"/>
  <c r="V33" i="86"/>
  <c r="H13" i="81" s="1"/>
  <c r="U33" i="86"/>
  <c r="T33" i="86"/>
  <c r="E33" i="86"/>
  <c r="B33" i="86"/>
  <c r="A33" i="86" s="1"/>
  <c r="AD32" i="86"/>
  <c r="AA32" i="86"/>
  <c r="Z32" i="86"/>
  <c r="M48" i="49" s="1"/>
  <c r="Y32" i="86"/>
  <c r="H50" i="46" s="1"/>
  <c r="X32" i="86"/>
  <c r="H174" i="30" s="1"/>
  <c r="W32" i="86"/>
  <c r="H111" i="30" s="1"/>
  <c r="V32" i="86"/>
  <c r="H49" i="30" s="1"/>
  <c r="U32" i="86"/>
  <c r="T32" i="86"/>
  <c r="E32" i="86"/>
  <c r="B32" i="86"/>
  <c r="A32" i="86" s="1"/>
  <c r="AD31" i="86"/>
  <c r="AA31" i="86"/>
  <c r="Z31" i="86"/>
  <c r="M46" i="49" s="1"/>
  <c r="Y31" i="86"/>
  <c r="H47" i="46" s="1"/>
  <c r="X31" i="86"/>
  <c r="H171" i="30" s="1"/>
  <c r="W31" i="86"/>
  <c r="H108" i="30" s="1"/>
  <c r="V31" i="86"/>
  <c r="H46" i="30" s="1"/>
  <c r="U31" i="86"/>
  <c r="T31" i="86"/>
  <c r="E31" i="86"/>
  <c r="B31" i="86"/>
  <c r="A31" i="86" s="1"/>
  <c r="AD30" i="86"/>
  <c r="AA30" i="86"/>
  <c r="Z30" i="86"/>
  <c r="M45" i="49" s="1"/>
  <c r="Y30" i="86"/>
  <c r="H46" i="46" s="1"/>
  <c r="X30" i="86"/>
  <c r="H170" i="30" s="1"/>
  <c r="W30" i="86"/>
  <c r="H107" i="30" s="1"/>
  <c r="V30" i="86"/>
  <c r="H45" i="30" s="1"/>
  <c r="U30" i="86"/>
  <c r="T30" i="86"/>
  <c r="E30" i="86"/>
  <c r="B30" i="86"/>
  <c r="A30" i="86" s="1"/>
  <c r="AD29" i="86"/>
  <c r="AA29" i="86"/>
  <c r="Z29" i="86"/>
  <c r="M38" i="49" s="1"/>
  <c r="Y29" i="86"/>
  <c r="H39" i="46" s="1"/>
  <c r="X29" i="86"/>
  <c r="H163" i="30" s="1"/>
  <c r="W29" i="86"/>
  <c r="H100" i="30" s="1"/>
  <c r="V29" i="86"/>
  <c r="H38" i="30" s="1"/>
  <c r="U29" i="86"/>
  <c r="H164" i="29" s="1"/>
  <c r="T29" i="86"/>
  <c r="H100" i="29" s="1"/>
  <c r="E29" i="86"/>
  <c r="B29" i="86"/>
  <c r="A29" i="86" s="1"/>
  <c r="AD28" i="86"/>
  <c r="AA28" i="86"/>
  <c r="Z28" i="86"/>
  <c r="M33" i="49" s="1"/>
  <c r="Y28" i="86"/>
  <c r="H33" i="46" s="1"/>
  <c r="X28" i="86"/>
  <c r="H157" i="30" s="1"/>
  <c r="W28" i="86"/>
  <c r="H94" i="30" s="1"/>
  <c r="V28" i="86"/>
  <c r="H32" i="30" s="1"/>
  <c r="U28" i="86"/>
  <c r="T28" i="86"/>
  <c r="E28" i="86"/>
  <c r="B28" i="86"/>
  <c r="A28" i="86" s="1"/>
  <c r="AD27" i="86"/>
  <c r="AA27" i="86"/>
  <c r="Z27" i="86"/>
  <c r="M32" i="49" s="1"/>
  <c r="Y27" i="86"/>
  <c r="H32" i="46" s="1"/>
  <c r="X27" i="86"/>
  <c r="H156" i="30" s="1"/>
  <c r="W27" i="86"/>
  <c r="H93" i="30" s="1"/>
  <c r="V27" i="86"/>
  <c r="H31" i="30" s="1"/>
  <c r="U27" i="86"/>
  <c r="T27" i="86"/>
  <c r="E27" i="86"/>
  <c r="B27" i="86"/>
  <c r="A27" i="86" s="1"/>
  <c r="AD26" i="86"/>
  <c r="AA26" i="86"/>
  <c r="Z26" i="86"/>
  <c r="M30" i="49" s="1"/>
  <c r="Y26" i="86"/>
  <c r="H30" i="46" s="1"/>
  <c r="X26" i="86"/>
  <c r="H154" i="30" s="1"/>
  <c r="W26" i="86"/>
  <c r="H91" i="30" s="1"/>
  <c r="V26" i="86"/>
  <c r="H29" i="30" s="1"/>
  <c r="U26" i="86"/>
  <c r="T26" i="86"/>
  <c r="E26" i="86"/>
  <c r="B26" i="86"/>
  <c r="A26" i="86" s="1"/>
  <c r="AD25" i="86"/>
  <c r="AA25" i="86"/>
  <c r="Z25" i="86"/>
  <c r="M26" i="49" s="1"/>
  <c r="Y25" i="86"/>
  <c r="H26" i="46" s="1"/>
  <c r="X25" i="86"/>
  <c r="H150" i="30" s="1"/>
  <c r="W25" i="86"/>
  <c r="H87" i="30" s="1"/>
  <c r="V25" i="86"/>
  <c r="H25" i="30" s="1"/>
  <c r="U25" i="86"/>
  <c r="T25" i="86"/>
  <c r="E25" i="86"/>
  <c r="B25" i="86"/>
  <c r="A25" i="86" s="1"/>
  <c r="AD24" i="86"/>
  <c r="AA24" i="86"/>
  <c r="Z24" i="86"/>
  <c r="M24" i="49" s="1"/>
  <c r="Y24" i="86"/>
  <c r="H24" i="46" s="1"/>
  <c r="X24" i="86"/>
  <c r="H148" i="30" s="1"/>
  <c r="W24" i="86"/>
  <c r="H85" i="30" s="1"/>
  <c r="V24" i="86"/>
  <c r="H23" i="30" s="1"/>
  <c r="U24" i="86"/>
  <c r="T24" i="86"/>
  <c r="E24" i="86"/>
  <c r="B24" i="86"/>
  <c r="A24" i="86" s="1"/>
  <c r="AD23" i="86"/>
  <c r="AA23" i="86"/>
  <c r="Z23" i="86"/>
  <c r="M23" i="49" s="1"/>
  <c r="Y23" i="86"/>
  <c r="H23" i="46" s="1"/>
  <c r="X23" i="86"/>
  <c r="H147" i="30" s="1"/>
  <c r="W23" i="86"/>
  <c r="H84" i="30" s="1"/>
  <c r="V23" i="86"/>
  <c r="H22" i="30" s="1"/>
  <c r="U23" i="86"/>
  <c r="T23" i="86"/>
  <c r="E23" i="86"/>
  <c r="B23" i="86"/>
  <c r="A23" i="86" s="1"/>
  <c r="AD22" i="86"/>
  <c r="AA22" i="86"/>
  <c r="Z22" i="86"/>
  <c r="M18" i="49" s="1"/>
  <c r="Y22" i="86"/>
  <c r="H18" i="46" s="1"/>
  <c r="X22" i="86"/>
  <c r="H142" i="30" s="1"/>
  <c r="W22" i="86"/>
  <c r="H79" i="30" s="1"/>
  <c r="V22" i="86"/>
  <c r="H17" i="30" s="1"/>
  <c r="U22" i="86"/>
  <c r="T22" i="86"/>
  <c r="E22" i="86"/>
  <c r="B22" i="86"/>
  <c r="A22" i="86" s="1"/>
  <c r="AD21" i="86"/>
  <c r="M21" i="74"/>
  <c r="G20" i="71"/>
  <c r="G20" i="75"/>
  <c r="B21" i="86"/>
  <c r="A21" i="86" s="1"/>
  <c r="AD20" i="86"/>
  <c r="AA20" i="86"/>
  <c r="M20" i="74" s="1"/>
  <c r="Z20" i="86"/>
  <c r="K19" i="74" s="1"/>
  <c r="Y20" i="86"/>
  <c r="G19" i="71" s="1"/>
  <c r="X20" i="86"/>
  <c r="W20" i="86"/>
  <c r="V20" i="86"/>
  <c r="G19" i="75" s="1"/>
  <c r="U20" i="86"/>
  <c r="B20" i="86"/>
  <c r="A20" i="86" s="1"/>
  <c r="AD19" i="86"/>
  <c r="AA19" i="86"/>
  <c r="Z19" i="86"/>
  <c r="K18" i="74" s="1"/>
  <c r="Y19" i="86"/>
  <c r="X19" i="86"/>
  <c r="W19" i="86"/>
  <c r="V19" i="86"/>
  <c r="U19" i="86"/>
  <c r="B19" i="86"/>
  <c r="A19" i="86" s="1"/>
  <c r="AD18" i="86"/>
  <c r="AA18" i="86"/>
  <c r="Z18" i="86"/>
  <c r="Y18" i="86"/>
  <c r="X18" i="86"/>
  <c r="W18" i="86"/>
  <c r="V18" i="86"/>
  <c r="U18" i="86"/>
  <c r="B18" i="86"/>
  <c r="A18" i="86" s="1"/>
  <c r="AD17" i="86"/>
  <c r="AA17" i="86"/>
  <c r="M17" i="74" s="1"/>
  <c r="Z17" i="86"/>
  <c r="K17" i="74" s="1"/>
  <c r="Y17" i="86"/>
  <c r="G16" i="71" s="1"/>
  <c r="X17" i="86"/>
  <c r="W17" i="86"/>
  <c r="G71" i="75" s="1"/>
  <c r="V17" i="86"/>
  <c r="G16" i="75" s="1"/>
  <c r="U17" i="86"/>
  <c r="G126" i="70" s="1"/>
  <c r="G71" i="70"/>
  <c r="B17" i="86"/>
  <c r="A17" i="86" s="1"/>
  <c r="AD16" i="86"/>
  <c r="AA16" i="86"/>
  <c r="M16" i="74" s="1"/>
  <c r="Z16" i="86"/>
  <c r="K16" i="74" s="1"/>
  <c r="Y16" i="86"/>
  <c r="G15" i="71" s="1"/>
  <c r="X16" i="86"/>
  <c r="W16" i="86"/>
  <c r="V16" i="86"/>
  <c r="G15" i="75" s="1"/>
  <c r="U16" i="86"/>
  <c r="B16" i="86"/>
  <c r="A16" i="86" s="1"/>
  <c r="AD15" i="86"/>
  <c r="AA15" i="86"/>
  <c r="M15" i="74" s="1"/>
  <c r="Z15" i="86"/>
  <c r="K15" i="74" s="1"/>
  <c r="Y15" i="86"/>
  <c r="G14" i="71" s="1"/>
  <c r="X15" i="86"/>
  <c r="W15" i="86"/>
  <c r="G69" i="75" s="1"/>
  <c r="V15" i="86"/>
  <c r="G14" i="75" s="1"/>
  <c r="U15" i="86"/>
  <c r="G124" i="70" s="1"/>
  <c r="G69" i="70"/>
  <c r="B15" i="86"/>
  <c r="A15" i="86" s="1"/>
  <c r="AD14" i="86"/>
  <c r="AA14" i="86"/>
  <c r="M14" i="74" s="1"/>
  <c r="Z14" i="86"/>
  <c r="K14" i="74" s="1"/>
  <c r="Y14" i="86"/>
  <c r="G13" i="71" s="1"/>
  <c r="X14" i="86"/>
  <c r="W14" i="86"/>
  <c r="G68" i="75" s="1"/>
  <c r="V14" i="86"/>
  <c r="G13" i="75" s="1"/>
  <c r="U14" i="86"/>
  <c r="G123" i="70" s="1"/>
  <c r="G68" i="70"/>
  <c r="B14" i="86"/>
  <c r="A14" i="86" s="1"/>
  <c r="AD13" i="86"/>
  <c r="AA13" i="86"/>
  <c r="Z13" i="86"/>
  <c r="Y13" i="86"/>
  <c r="X13" i="86"/>
  <c r="W13" i="86"/>
  <c r="V13" i="86"/>
  <c r="U13" i="86"/>
  <c r="B13" i="86"/>
  <c r="A13" i="86" s="1"/>
  <c r="AD12" i="86"/>
  <c r="AA12" i="86"/>
  <c r="Z12" i="86"/>
  <c r="Y12" i="86"/>
  <c r="H51" i="46" s="1"/>
  <c r="X12" i="86"/>
  <c r="H175" i="30" s="1"/>
  <c r="W12" i="86"/>
  <c r="H112" i="30" s="1"/>
  <c r="V12" i="86"/>
  <c r="H50" i="30" s="1"/>
  <c r="U12" i="86"/>
  <c r="T12" i="86"/>
  <c r="E12" i="86"/>
  <c r="B12" i="86"/>
  <c r="A12" i="86" s="1"/>
  <c r="AD11" i="86"/>
  <c r="AA11" i="86"/>
  <c r="Z11" i="86"/>
  <c r="Y11" i="86"/>
  <c r="H53" i="46" s="1"/>
  <c r="X11" i="86"/>
  <c r="H177" i="30" s="1"/>
  <c r="W11" i="86"/>
  <c r="H114" i="30" s="1"/>
  <c r="V11" i="86"/>
  <c r="H52" i="30" s="1"/>
  <c r="U11" i="86"/>
  <c r="T11" i="86"/>
  <c r="E11" i="86"/>
  <c r="B11" i="86"/>
  <c r="A11" i="86" s="1"/>
  <c r="AD10" i="86"/>
  <c r="AA10" i="86"/>
  <c r="Z10" i="86"/>
  <c r="Y10" i="86"/>
  <c r="H35" i="46" s="1"/>
  <c r="X10" i="86"/>
  <c r="H159" i="30" s="1"/>
  <c r="W10" i="86"/>
  <c r="H96" i="30" s="1"/>
  <c r="V10" i="86"/>
  <c r="H34" i="30" s="1"/>
  <c r="U10" i="86"/>
  <c r="T10" i="86"/>
  <c r="E10" i="86"/>
  <c r="B10" i="86"/>
  <c r="A10" i="86" s="1"/>
  <c r="AD9" i="86"/>
  <c r="AA9" i="86"/>
  <c r="Z9" i="86"/>
  <c r="Y9" i="86"/>
  <c r="X9" i="86"/>
  <c r="W9" i="86"/>
  <c r="V9" i="86"/>
  <c r="U9" i="86"/>
  <c r="T9" i="86"/>
  <c r="E9" i="86"/>
  <c r="B9" i="86"/>
  <c r="A9" i="86" s="1"/>
  <c r="Z5" i="86"/>
  <c r="Y5" i="86"/>
  <c r="X5" i="86"/>
  <c r="W5" i="86"/>
  <c r="V5" i="86"/>
  <c r="U5" i="86"/>
  <c r="T5" i="86"/>
  <c r="P5" i="86"/>
  <c r="O5" i="86"/>
  <c r="N5" i="86"/>
  <c r="M5" i="86"/>
  <c r="L5" i="86"/>
  <c r="K5" i="86"/>
  <c r="J5" i="86"/>
  <c r="G5" i="86"/>
  <c r="M18" i="74" l="1"/>
  <c r="H92" i="29"/>
  <c r="G18" i="75"/>
  <c r="L22" i="80"/>
  <c r="J15" i="74"/>
  <c r="G124" i="75"/>
  <c r="M19" i="74"/>
  <c r="L17" i="80"/>
  <c r="L14" i="80"/>
  <c r="G17" i="75"/>
  <c r="L15" i="80"/>
  <c r="L23" i="80"/>
  <c r="L21" i="80"/>
  <c r="J17" i="74"/>
  <c r="G126" i="75"/>
  <c r="L18" i="80"/>
  <c r="G17" i="71"/>
  <c r="J18" i="74"/>
  <c r="G127" i="75"/>
  <c r="L16" i="80"/>
  <c r="J16" i="74"/>
  <c r="G125" i="75"/>
  <c r="J14" i="74"/>
  <c r="G123" i="75"/>
  <c r="G18" i="71"/>
  <c r="J19" i="74"/>
  <c r="G128" i="75"/>
  <c r="L19" i="80"/>
  <c r="H60" i="46"/>
  <c r="H61" i="46"/>
  <c r="M56" i="49"/>
  <c r="M57" i="49"/>
  <c r="H59" i="77"/>
  <c r="H60" i="77"/>
  <c r="H59" i="81"/>
  <c r="H60" i="81"/>
  <c r="H59" i="30"/>
  <c r="H60" i="30"/>
  <c r="Y73" i="86"/>
  <c r="X84" i="86"/>
  <c r="V77" i="86"/>
  <c r="O79" i="86"/>
  <c r="T83" i="86"/>
  <c r="K83" i="86"/>
  <c r="U80" i="86"/>
  <c r="N82" i="86"/>
  <c r="H84" i="86"/>
  <c r="F77" i="86"/>
  <c r="N77" i="86"/>
  <c r="W77" i="86"/>
  <c r="K78" i="86"/>
  <c r="T78" i="86"/>
  <c r="H79" i="86"/>
  <c r="P79" i="86"/>
  <c r="D80" i="86"/>
  <c r="M80" i="86"/>
  <c r="V80" i="86"/>
  <c r="J81" i="86"/>
  <c r="R81" i="86"/>
  <c r="G82" i="86"/>
  <c r="O82" i="86"/>
  <c r="X82" i="86"/>
  <c r="L83" i="86"/>
  <c r="U83" i="86"/>
  <c r="Q84" i="86"/>
  <c r="D77" i="86"/>
  <c r="L80" i="86"/>
  <c r="Q81" i="86"/>
  <c r="W82" i="86"/>
  <c r="P84" i="86"/>
  <c r="G77" i="86"/>
  <c r="O77" i="86"/>
  <c r="X77" i="86"/>
  <c r="L78" i="86"/>
  <c r="U78" i="86"/>
  <c r="Q79" i="86"/>
  <c r="F80" i="86"/>
  <c r="N80" i="86"/>
  <c r="W80" i="86"/>
  <c r="K81" i="86"/>
  <c r="T81" i="86"/>
  <c r="H82" i="86"/>
  <c r="P82" i="86"/>
  <c r="D83" i="86"/>
  <c r="M83" i="86"/>
  <c r="V83" i="86"/>
  <c r="J84" i="86"/>
  <c r="R84" i="86"/>
  <c r="M77" i="86"/>
  <c r="G79" i="86"/>
  <c r="F82" i="86"/>
  <c r="Y72" i="86"/>
  <c r="T73" i="86"/>
  <c r="H77" i="86"/>
  <c r="P77" i="86"/>
  <c r="D78" i="86"/>
  <c r="M78" i="86"/>
  <c r="V78" i="86"/>
  <c r="J79" i="86"/>
  <c r="R79" i="86"/>
  <c r="G80" i="86"/>
  <c r="O80" i="86"/>
  <c r="X80" i="86"/>
  <c r="L81" i="86"/>
  <c r="U81" i="86"/>
  <c r="Q82" i="86"/>
  <c r="F83" i="86"/>
  <c r="N83" i="86"/>
  <c r="W83" i="86"/>
  <c r="K84" i="86"/>
  <c r="T84" i="86"/>
  <c r="X79" i="86"/>
  <c r="Q77" i="86"/>
  <c r="F78" i="86"/>
  <c r="N78" i="86"/>
  <c r="W78" i="86"/>
  <c r="K79" i="86"/>
  <c r="T79" i="86"/>
  <c r="H80" i="86"/>
  <c r="P80" i="86"/>
  <c r="D81" i="86"/>
  <c r="M81" i="86"/>
  <c r="V81" i="86"/>
  <c r="J82" i="86"/>
  <c r="R82" i="86"/>
  <c r="G83" i="86"/>
  <c r="O83" i="86"/>
  <c r="X83" i="86"/>
  <c r="L84" i="86"/>
  <c r="U84" i="86"/>
  <c r="R78" i="86"/>
  <c r="J77" i="86"/>
  <c r="R77" i="86"/>
  <c r="G78" i="86"/>
  <c r="O78" i="86"/>
  <c r="X78" i="86"/>
  <c r="L79" i="86"/>
  <c r="U79" i="86"/>
  <c r="Q80" i="86"/>
  <c r="F81" i="86"/>
  <c r="N81" i="86"/>
  <c r="W81" i="86"/>
  <c r="K82" i="86"/>
  <c r="T82" i="86"/>
  <c r="H83" i="86"/>
  <c r="P83" i="86"/>
  <c r="D84" i="86"/>
  <c r="M84" i="86"/>
  <c r="V84" i="86"/>
  <c r="J78" i="86"/>
  <c r="T72" i="86"/>
  <c r="K77" i="86"/>
  <c r="T77" i="86"/>
  <c r="H78" i="86"/>
  <c r="P78" i="86"/>
  <c r="D79" i="86"/>
  <c r="M79" i="86"/>
  <c r="V79" i="86"/>
  <c r="J80" i="86"/>
  <c r="R80" i="86"/>
  <c r="G81" i="86"/>
  <c r="O81" i="86"/>
  <c r="X81" i="86"/>
  <c r="L82" i="86"/>
  <c r="U82" i="86"/>
  <c r="Q83" i="86"/>
  <c r="F84" i="86"/>
  <c r="N84" i="86"/>
  <c r="W84" i="86"/>
  <c r="L77" i="86"/>
  <c r="U77" i="86"/>
  <c r="Q78" i="86"/>
  <c r="F79" i="86"/>
  <c r="N79" i="86"/>
  <c r="W79" i="86"/>
  <c r="K80" i="86"/>
  <c r="T80" i="86"/>
  <c r="H81" i="86"/>
  <c r="P81" i="86"/>
  <c r="D82" i="86"/>
  <c r="M82" i="86"/>
  <c r="V82" i="86"/>
  <c r="J83" i="86"/>
  <c r="R83" i="86"/>
  <c r="G84" i="86"/>
  <c r="O84" i="86"/>
  <c r="G60" i="71" l="1"/>
  <c r="G59" i="75"/>
  <c r="I79" i="86"/>
  <c r="G59" i="71"/>
  <c r="G73" i="71" s="1"/>
  <c r="G60" i="75"/>
  <c r="G169" i="75"/>
  <c r="G170" i="75"/>
  <c r="H73" i="77"/>
  <c r="H82" i="46"/>
  <c r="H78" i="46"/>
  <c r="I84" i="86"/>
  <c r="I81" i="86"/>
  <c r="I77" i="86"/>
  <c r="I78" i="86"/>
  <c r="I83" i="86"/>
  <c r="I80" i="86"/>
  <c r="I82" i="86"/>
  <c r="E175" i="81" l="1"/>
  <c r="E154" i="77" l="1"/>
  <c r="E68" i="78" s="1"/>
  <c r="E68" i="79" s="1"/>
  <c r="E127" i="29"/>
  <c r="E191" i="29" s="1"/>
  <c r="E112" i="46" l="1"/>
  <c r="E64" i="50" s="1"/>
  <c r="E66" i="61" s="1"/>
  <c r="E64" i="30" s="1"/>
  <c r="E113" i="46"/>
  <c r="E65" i="50" s="1"/>
  <c r="E67" i="61" s="1"/>
  <c r="E65" i="30" s="1"/>
  <c r="E127" i="30" s="1"/>
  <c r="E190" i="30" s="1"/>
  <c r="E221" i="57"/>
  <c r="E836" i="58"/>
  <c r="E126" i="30" l="1"/>
  <c r="E189" i="30" s="1"/>
  <c r="E175" i="76"/>
  <c r="A31" i="56"/>
  <c r="E220" i="57"/>
  <c r="E835" i="58"/>
  <c r="E174" i="81" l="1"/>
  <c r="E153" i="77"/>
  <c r="E67" i="78" s="1"/>
  <c r="E67" i="79" s="1"/>
  <c r="AE14" i="78"/>
  <c r="AE15" i="78"/>
  <c r="AE16" i="78"/>
  <c r="AE17" i="78"/>
  <c r="AE18" i="78"/>
  <c r="AE20" i="78"/>
  <c r="AE21" i="78"/>
  <c r="AE22" i="78"/>
  <c r="AE13" i="78"/>
  <c r="E219" i="57" l="1"/>
  <c r="E834" i="58"/>
  <c r="T22" i="83" l="1"/>
  <c r="E1" i="68" l="1"/>
  <c r="E218" i="57"/>
  <c r="E833" i="58"/>
  <c r="E829" i="58" l="1"/>
  <c r="E830" i="58"/>
  <c r="E831" i="58"/>
  <c r="E832" i="58"/>
  <c r="E214" i="57"/>
  <c r="E215" i="57"/>
  <c r="E216" i="57"/>
  <c r="E217" i="57"/>
  <c r="I70" i="46" l="1"/>
  <c r="I69" i="77"/>
  <c r="F119" i="76"/>
  <c r="F64" i="76"/>
  <c r="F71" i="30"/>
  <c r="F134" i="30"/>
  <c r="J74" i="46"/>
  <c r="K74" i="46"/>
  <c r="L74" i="46"/>
  <c r="M74" i="46"/>
  <c r="N74" i="46"/>
  <c r="O74" i="46"/>
  <c r="P74" i="46"/>
  <c r="Q74" i="46"/>
  <c r="R74" i="46"/>
  <c r="S74" i="46"/>
  <c r="T74" i="46"/>
  <c r="U74" i="46"/>
  <c r="V74" i="46"/>
  <c r="W74" i="46"/>
  <c r="X74" i="46"/>
  <c r="I74" i="46"/>
  <c r="K70" i="46"/>
  <c r="L70" i="46"/>
  <c r="M70" i="46"/>
  <c r="N70" i="46"/>
  <c r="O70" i="46"/>
  <c r="P70" i="46"/>
  <c r="Q70" i="46"/>
  <c r="R70" i="46"/>
  <c r="S70" i="46"/>
  <c r="T70" i="46"/>
  <c r="U70" i="46"/>
  <c r="V70" i="46"/>
  <c r="W70" i="46"/>
  <c r="X70" i="46"/>
  <c r="J70" i="46"/>
  <c r="F74" i="46" l="1"/>
  <c r="F70" i="46"/>
  <c r="J122" i="76"/>
  <c r="K122" i="76"/>
  <c r="J121" i="76"/>
  <c r="K121" i="76" s="1"/>
  <c r="J66" i="76"/>
  <c r="K66" i="76" s="1"/>
  <c r="J67" i="76"/>
  <c r="K67" i="76"/>
  <c r="E210" i="57"/>
  <c r="E211" i="57"/>
  <c r="E212" i="57"/>
  <c r="E213" i="57"/>
  <c r="E825" i="58"/>
  <c r="E826" i="58"/>
  <c r="E827" i="58"/>
  <c r="E828" i="58"/>
  <c r="L69" i="77" l="1"/>
  <c r="M69" i="77"/>
  <c r="N69" i="77"/>
  <c r="O69" i="77"/>
  <c r="P69" i="77"/>
  <c r="Q69" i="77"/>
  <c r="R69" i="77"/>
  <c r="S69" i="77"/>
  <c r="T69" i="77"/>
  <c r="U69" i="77"/>
  <c r="V69" i="77"/>
  <c r="W69" i="77"/>
  <c r="X69" i="77"/>
  <c r="K69" i="77"/>
  <c r="J69" i="77"/>
  <c r="J12" i="77"/>
  <c r="K12" i="77"/>
  <c r="J11" i="77"/>
  <c r="F69" i="77" l="1"/>
  <c r="J11" i="78"/>
  <c r="J12" i="79"/>
  <c r="K12" i="79"/>
  <c r="I14" i="79"/>
  <c r="I15" i="79"/>
  <c r="I16" i="79"/>
  <c r="I17" i="79"/>
  <c r="I18" i="79"/>
  <c r="I20" i="79"/>
  <c r="I21" i="79"/>
  <c r="I22" i="79"/>
  <c r="I13" i="79"/>
  <c r="J11" i="79"/>
  <c r="J121" i="81"/>
  <c r="J67" i="81"/>
  <c r="K67" i="81"/>
  <c r="J66" i="81"/>
  <c r="K66" i="81" s="1"/>
  <c r="J11" i="81"/>
  <c r="J12" i="81"/>
  <c r="K12" i="81"/>
  <c r="I59" i="79" l="1"/>
  <c r="H61" i="79" s="1"/>
  <c r="J11" i="76"/>
  <c r="I14" i="76"/>
  <c r="I15" i="76"/>
  <c r="I16" i="76"/>
  <c r="I17" i="76"/>
  <c r="I18" i="76"/>
  <c r="I20" i="76"/>
  <c r="I21" i="76"/>
  <c r="I22" i="76"/>
  <c r="I13" i="76"/>
  <c r="J12" i="76"/>
  <c r="K12" i="76"/>
  <c r="I59" i="76" l="1"/>
  <c r="I60" i="76"/>
  <c r="J137" i="30"/>
  <c r="K137" i="30"/>
  <c r="J136" i="30"/>
  <c r="J74" i="30"/>
  <c r="K74" i="30"/>
  <c r="J73" i="30"/>
  <c r="K73" i="30" s="1"/>
  <c r="K12" i="30"/>
  <c r="J11" i="30"/>
  <c r="A30" i="56" l="1"/>
  <c r="I13" i="50" l="1"/>
  <c r="J12" i="50"/>
  <c r="K12" i="50"/>
  <c r="K12" i="61" l="1"/>
  <c r="K13" i="46"/>
  <c r="K138" i="29"/>
  <c r="K74" i="29"/>
  <c r="K12" i="29"/>
  <c r="G2" i="24"/>
  <c r="H2" i="24"/>
  <c r="H2" i="23"/>
  <c r="H2" i="22"/>
  <c r="G2" i="38"/>
  <c r="H2" i="38"/>
  <c r="G2" i="15"/>
  <c r="H2" i="15"/>
  <c r="H2" i="3"/>
  <c r="I2" i="3"/>
  <c r="J2" i="3"/>
  <c r="K2" i="3"/>
  <c r="L2" i="3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5" i="2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4" i="14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4" i="20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K37" i="50" s="1"/>
  <c r="D41" i="18"/>
  <c r="D42" i="18"/>
  <c r="D43" i="18"/>
  <c r="K38" i="50" s="1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4" i="18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4" i="19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4" i="11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4" i="13"/>
  <c r="Q67" i="85"/>
  <c r="P67" i="85"/>
  <c r="O67" i="85"/>
  <c r="N67" i="85"/>
  <c r="M67" i="85"/>
  <c r="L67" i="85"/>
  <c r="Q66" i="85"/>
  <c r="P66" i="85"/>
  <c r="O66" i="85"/>
  <c r="N66" i="85"/>
  <c r="M66" i="85"/>
  <c r="L66" i="85"/>
  <c r="T65" i="85"/>
  <c r="Q65" i="85"/>
  <c r="P65" i="85"/>
  <c r="O65" i="85"/>
  <c r="N65" i="85"/>
  <c r="M65" i="85"/>
  <c r="L65" i="85"/>
  <c r="T64" i="85"/>
  <c r="Q64" i="85"/>
  <c r="P64" i="85"/>
  <c r="O64" i="85"/>
  <c r="N64" i="85"/>
  <c r="M64" i="85"/>
  <c r="L64" i="85"/>
  <c r="T63" i="85"/>
  <c r="Q63" i="85"/>
  <c r="P63" i="85"/>
  <c r="O63" i="85"/>
  <c r="N63" i="85"/>
  <c r="M63" i="85"/>
  <c r="L63" i="85"/>
  <c r="T62" i="85"/>
  <c r="Q62" i="85"/>
  <c r="P62" i="85"/>
  <c r="O62" i="85"/>
  <c r="N62" i="85"/>
  <c r="M62" i="85"/>
  <c r="L62" i="85"/>
  <c r="T61" i="85"/>
  <c r="Q61" i="85"/>
  <c r="P61" i="85"/>
  <c r="O61" i="85"/>
  <c r="N61" i="85"/>
  <c r="M61" i="85"/>
  <c r="L61" i="85"/>
  <c r="T60" i="85"/>
  <c r="Q60" i="85"/>
  <c r="P60" i="85"/>
  <c r="O60" i="85"/>
  <c r="N60" i="85"/>
  <c r="M60" i="85"/>
  <c r="L60" i="85"/>
  <c r="T59" i="85"/>
  <c r="Q59" i="85"/>
  <c r="P59" i="85"/>
  <c r="O59" i="85"/>
  <c r="N59" i="85"/>
  <c r="M59" i="85"/>
  <c r="L59" i="85"/>
  <c r="T58" i="85"/>
  <c r="Q58" i="85"/>
  <c r="P58" i="85"/>
  <c r="O58" i="85"/>
  <c r="N58" i="85"/>
  <c r="M58" i="85"/>
  <c r="L58" i="85"/>
  <c r="T57" i="85"/>
  <c r="Q57" i="85"/>
  <c r="P57" i="85"/>
  <c r="O57" i="85"/>
  <c r="N57" i="85"/>
  <c r="M57" i="85"/>
  <c r="L57" i="85"/>
  <c r="T56" i="85"/>
  <c r="Q56" i="85"/>
  <c r="P56" i="85"/>
  <c r="O56" i="85"/>
  <c r="N56" i="85"/>
  <c r="M56" i="85"/>
  <c r="L56" i="85"/>
  <c r="T55" i="85"/>
  <c r="Q55" i="85"/>
  <c r="P55" i="85"/>
  <c r="O55" i="85"/>
  <c r="N55" i="85"/>
  <c r="M55" i="85"/>
  <c r="L55" i="85"/>
  <c r="T54" i="85"/>
  <c r="Q54" i="85"/>
  <c r="P54" i="85"/>
  <c r="O54" i="85"/>
  <c r="N54" i="85"/>
  <c r="M54" i="85"/>
  <c r="L54" i="85"/>
  <c r="T53" i="85"/>
  <c r="Q53" i="85"/>
  <c r="P53" i="85"/>
  <c r="O53" i="85"/>
  <c r="N53" i="85"/>
  <c r="M53" i="85"/>
  <c r="L53" i="85"/>
  <c r="T52" i="85"/>
  <c r="Q52" i="85"/>
  <c r="P52" i="85"/>
  <c r="O52" i="85"/>
  <c r="N52" i="85"/>
  <c r="M52" i="85"/>
  <c r="L52" i="85"/>
  <c r="T51" i="85"/>
  <c r="Q51" i="85"/>
  <c r="P51" i="85"/>
  <c r="O51" i="85"/>
  <c r="N51" i="85"/>
  <c r="M51" i="85"/>
  <c r="L51" i="85"/>
  <c r="T50" i="85"/>
  <c r="Q50" i="85"/>
  <c r="P50" i="85"/>
  <c r="O50" i="85"/>
  <c r="N50" i="85"/>
  <c r="M50" i="85"/>
  <c r="L50" i="85"/>
  <c r="T49" i="85"/>
  <c r="Q49" i="85"/>
  <c r="P49" i="85"/>
  <c r="O49" i="85"/>
  <c r="N49" i="85"/>
  <c r="M49" i="85"/>
  <c r="L49" i="85"/>
  <c r="T48" i="85"/>
  <c r="Q48" i="85"/>
  <c r="P48" i="85"/>
  <c r="O48" i="85"/>
  <c r="N48" i="85"/>
  <c r="M48" i="85"/>
  <c r="L48" i="85"/>
  <c r="T47" i="85"/>
  <c r="Q47" i="85"/>
  <c r="P47" i="85"/>
  <c r="O47" i="85"/>
  <c r="N47" i="85"/>
  <c r="M47" i="85"/>
  <c r="L47" i="85"/>
  <c r="T46" i="85"/>
  <c r="Q46" i="85"/>
  <c r="P46" i="85"/>
  <c r="O46" i="85"/>
  <c r="N46" i="85"/>
  <c r="M46" i="85"/>
  <c r="L46" i="85"/>
  <c r="T45" i="85"/>
  <c r="Q45" i="85"/>
  <c r="P45" i="85"/>
  <c r="O45" i="85"/>
  <c r="N45" i="85"/>
  <c r="M45" i="85"/>
  <c r="L45" i="85"/>
  <c r="T44" i="85"/>
  <c r="Q44" i="85"/>
  <c r="P44" i="85"/>
  <c r="O44" i="85"/>
  <c r="N44" i="85"/>
  <c r="M44" i="85"/>
  <c r="L44" i="85"/>
  <c r="T43" i="85"/>
  <c r="Q43" i="85"/>
  <c r="P43" i="85"/>
  <c r="O43" i="85"/>
  <c r="N43" i="85"/>
  <c r="M43" i="85"/>
  <c r="L43" i="85"/>
  <c r="T42" i="85"/>
  <c r="Q42" i="85"/>
  <c r="P42" i="85"/>
  <c r="O42" i="85"/>
  <c r="N42" i="85"/>
  <c r="M42" i="85"/>
  <c r="L42" i="85"/>
  <c r="T41" i="85"/>
  <c r="Q41" i="85"/>
  <c r="P41" i="85"/>
  <c r="O41" i="85"/>
  <c r="N41" i="85"/>
  <c r="M41" i="85"/>
  <c r="L41" i="85"/>
  <c r="T40" i="85"/>
  <c r="Q40" i="85"/>
  <c r="P40" i="85"/>
  <c r="O40" i="85"/>
  <c r="N40" i="85"/>
  <c r="M40" i="85"/>
  <c r="L40" i="85"/>
  <c r="T39" i="85"/>
  <c r="Q39" i="85"/>
  <c r="P39" i="85"/>
  <c r="O39" i="85"/>
  <c r="N39" i="85"/>
  <c r="M39" i="85"/>
  <c r="L39" i="85"/>
  <c r="T38" i="85"/>
  <c r="Q38" i="85"/>
  <c r="P38" i="85"/>
  <c r="O38" i="85"/>
  <c r="N38" i="85"/>
  <c r="M38" i="85"/>
  <c r="L38" i="85"/>
  <c r="T37" i="85"/>
  <c r="Q37" i="85"/>
  <c r="P37" i="85"/>
  <c r="O37" i="85"/>
  <c r="N37" i="85"/>
  <c r="M37" i="85"/>
  <c r="L37" i="85"/>
  <c r="T36" i="85"/>
  <c r="Q36" i="85"/>
  <c r="P36" i="85"/>
  <c r="O36" i="85"/>
  <c r="N36" i="85"/>
  <c r="M36" i="85"/>
  <c r="L36" i="85"/>
  <c r="T35" i="85"/>
  <c r="Q35" i="85"/>
  <c r="P35" i="85"/>
  <c r="O35" i="85"/>
  <c r="N35" i="85"/>
  <c r="M35" i="85"/>
  <c r="L35" i="85"/>
  <c r="T34" i="85"/>
  <c r="Q34" i="85"/>
  <c r="P34" i="85"/>
  <c r="O34" i="85"/>
  <c r="N34" i="85"/>
  <c r="M34" i="85"/>
  <c r="L34" i="85"/>
  <c r="T33" i="85"/>
  <c r="Q33" i="85"/>
  <c r="P33" i="85"/>
  <c r="O33" i="85"/>
  <c r="N33" i="85"/>
  <c r="M33" i="85"/>
  <c r="L33" i="85"/>
  <c r="T32" i="85"/>
  <c r="Q32" i="85"/>
  <c r="P32" i="85"/>
  <c r="O32" i="85"/>
  <c r="N32" i="85"/>
  <c r="M32" i="85"/>
  <c r="L32" i="85"/>
  <c r="T31" i="85"/>
  <c r="Q31" i="85"/>
  <c r="P31" i="85"/>
  <c r="O31" i="85"/>
  <c r="N31" i="85"/>
  <c r="M31" i="85"/>
  <c r="L31" i="85"/>
  <c r="T30" i="85"/>
  <c r="Q30" i="85"/>
  <c r="P30" i="85"/>
  <c r="O30" i="85"/>
  <c r="N30" i="85"/>
  <c r="M30" i="85"/>
  <c r="L30" i="85"/>
  <c r="T29" i="85"/>
  <c r="Q29" i="85"/>
  <c r="P29" i="85"/>
  <c r="O29" i="85"/>
  <c r="N29" i="85"/>
  <c r="M29" i="85"/>
  <c r="L29" i="85"/>
  <c r="T28" i="85"/>
  <c r="Q28" i="85"/>
  <c r="P28" i="85"/>
  <c r="O28" i="85"/>
  <c r="N28" i="85"/>
  <c r="M28" i="85"/>
  <c r="L28" i="85"/>
  <c r="T27" i="85"/>
  <c r="Q27" i="85"/>
  <c r="P27" i="85"/>
  <c r="O27" i="85"/>
  <c r="N27" i="85"/>
  <c r="M27" i="85"/>
  <c r="L27" i="85"/>
  <c r="T26" i="85"/>
  <c r="Q26" i="85"/>
  <c r="P26" i="85"/>
  <c r="O26" i="85"/>
  <c r="N26" i="85"/>
  <c r="M26" i="85"/>
  <c r="L26" i="85"/>
  <c r="T25" i="85"/>
  <c r="Q25" i="85"/>
  <c r="P25" i="85"/>
  <c r="O25" i="85"/>
  <c r="N25" i="85"/>
  <c r="M25" i="85"/>
  <c r="L25" i="85"/>
  <c r="T24" i="85"/>
  <c r="Q24" i="85"/>
  <c r="P24" i="85"/>
  <c r="O24" i="85"/>
  <c r="N24" i="85"/>
  <c r="M24" i="85"/>
  <c r="L24" i="85"/>
  <c r="T23" i="85"/>
  <c r="Q23" i="85"/>
  <c r="P23" i="85"/>
  <c r="O23" i="85"/>
  <c r="N23" i="85"/>
  <c r="M23" i="85"/>
  <c r="L23" i="85"/>
  <c r="T22" i="85"/>
  <c r="Q22" i="85"/>
  <c r="P22" i="85"/>
  <c r="O22" i="85"/>
  <c r="N22" i="85"/>
  <c r="M22" i="85"/>
  <c r="L22" i="85"/>
  <c r="T21" i="85"/>
  <c r="Q21" i="85"/>
  <c r="P21" i="85"/>
  <c r="O21" i="85"/>
  <c r="N21" i="85"/>
  <c r="M21" i="85"/>
  <c r="L21" i="85"/>
  <c r="T20" i="85"/>
  <c r="Q20" i="85"/>
  <c r="P20" i="85"/>
  <c r="O20" i="85"/>
  <c r="N20" i="85"/>
  <c r="M20" i="85"/>
  <c r="L20" i="85"/>
  <c r="T19" i="85"/>
  <c r="Q19" i="85"/>
  <c r="P19" i="85"/>
  <c r="O19" i="85"/>
  <c r="N19" i="85"/>
  <c r="M19" i="85"/>
  <c r="L19" i="85"/>
  <c r="T18" i="85"/>
  <c r="Q18" i="85"/>
  <c r="P18" i="85"/>
  <c r="O18" i="85"/>
  <c r="N18" i="85"/>
  <c r="M18" i="85"/>
  <c r="L18" i="85"/>
  <c r="T17" i="85"/>
  <c r="Q17" i="85"/>
  <c r="P17" i="85"/>
  <c r="O17" i="85"/>
  <c r="N17" i="85"/>
  <c r="M17" i="85"/>
  <c r="L17" i="85"/>
  <c r="T16" i="85"/>
  <c r="Q16" i="85"/>
  <c r="P16" i="85"/>
  <c r="O16" i="85"/>
  <c r="N16" i="85"/>
  <c r="M16" i="85"/>
  <c r="L16" i="85"/>
  <c r="T15" i="85"/>
  <c r="Q15" i="85"/>
  <c r="P15" i="85"/>
  <c r="O15" i="85"/>
  <c r="N15" i="85"/>
  <c r="M15" i="85"/>
  <c r="L15" i="85"/>
  <c r="T14" i="85"/>
  <c r="Q14" i="85"/>
  <c r="P14" i="85"/>
  <c r="O14" i="85"/>
  <c r="N14" i="85"/>
  <c r="M14" i="85"/>
  <c r="L14" i="85"/>
  <c r="T13" i="85"/>
  <c r="Q13" i="85"/>
  <c r="P13" i="85"/>
  <c r="O13" i="85"/>
  <c r="N13" i="85"/>
  <c r="M13" i="85"/>
  <c r="L13" i="85"/>
  <c r="T12" i="85"/>
  <c r="Q12" i="85"/>
  <c r="P12" i="85"/>
  <c r="O12" i="85"/>
  <c r="N12" i="85"/>
  <c r="M12" i="85"/>
  <c r="L12" i="85"/>
  <c r="T11" i="85"/>
  <c r="Q11" i="85"/>
  <c r="P11" i="85"/>
  <c r="O11" i="85"/>
  <c r="N11" i="85"/>
  <c r="M11" i="85"/>
  <c r="L11" i="85"/>
  <c r="T10" i="85"/>
  <c r="Q10" i="85"/>
  <c r="P10" i="85"/>
  <c r="O10" i="85"/>
  <c r="N10" i="85"/>
  <c r="M10" i="85"/>
  <c r="L10" i="85"/>
  <c r="T9" i="85"/>
  <c r="Q9" i="85"/>
  <c r="P9" i="85"/>
  <c r="O9" i="85"/>
  <c r="N9" i="85"/>
  <c r="M9" i="85"/>
  <c r="L9" i="85"/>
  <c r="T8" i="85"/>
  <c r="Q8" i="85"/>
  <c r="P8" i="85"/>
  <c r="O8" i="85"/>
  <c r="N8" i="85"/>
  <c r="M8" i="85"/>
  <c r="L8" i="85"/>
  <c r="T7" i="85"/>
  <c r="Q7" i="85"/>
  <c r="P7" i="85"/>
  <c r="O7" i="85"/>
  <c r="N7" i="85"/>
  <c r="M7" i="85"/>
  <c r="L7" i="85"/>
  <c r="T6" i="85"/>
  <c r="Q6" i="85"/>
  <c r="P6" i="85"/>
  <c r="O6" i="85"/>
  <c r="N6" i="85"/>
  <c r="M6" i="85"/>
  <c r="L6" i="85"/>
  <c r="A2" i="85"/>
  <c r="J12" i="61"/>
  <c r="J13" i="46"/>
  <c r="J138" i="29"/>
  <c r="J12" i="29"/>
  <c r="L12" i="29"/>
  <c r="M12" i="29"/>
  <c r="N12" i="29"/>
  <c r="J74" i="29"/>
  <c r="G2" i="23"/>
  <c r="I2" i="38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5" i="2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4" i="14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4" i="20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J37" i="50" s="1"/>
  <c r="C41" i="18"/>
  <c r="C42" i="18"/>
  <c r="C43" i="18"/>
  <c r="J38" i="50" s="1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4" i="18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4" i="19"/>
  <c r="C4" i="11"/>
  <c r="C5" i="11"/>
  <c r="C6" i="11"/>
  <c r="C7" i="11"/>
  <c r="C8" i="11"/>
  <c r="C9" i="11"/>
  <c r="C10" i="11"/>
  <c r="C11" i="11"/>
  <c r="C12" i="11"/>
  <c r="C13" i="11"/>
  <c r="C14" i="11"/>
  <c r="C15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16" i="11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4" i="13"/>
  <c r="T7" i="84"/>
  <c r="T8" i="84"/>
  <c r="T9" i="84"/>
  <c r="T10" i="84"/>
  <c r="T11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24" i="84"/>
  <c r="T25" i="84"/>
  <c r="T26" i="84"/>
  <c r="T27" i="84"/>
  <c r="T28" i="84"/>
  <c r="T29" i="84"/>
  <c r="T30" i="84"/>
  <c r="T31" i="84"/>
  <c r="T32" i="84"/>
  <c r="T33" i="84"/>
  <c r="T34" i="84"/>
  <c r="T35" i="84"/>
  <c r="T36" i="84"/>
  <c r="T37" i="84"/>
  <c r="T38" i="84"/>
  <c r="T39" i="84"/>
  <c r="T40" i="84"/>
  <c r="T41" i="84"/>
  <c r="T42" i="84"/>
  <c r="T43" i="84"/>
  <c r="T44" i="84"/>
  <c r="T45" i="84"/>
  <c r="T46" i="84"/>
  <c r="T47" i="84"/>
  <c r="T48" i="84"/>
  <c r="T49" i="84"/>
  <c r="T50" i="84"/>
  <c r="T51" i="84"/>
  <c r="T52" i="84"/>
  <c r="T53" i="84"/>
  <c r="T54" i="84"/>
  <c r="T55" i="84"/>
  <c r="T56" i="84"/>
  <c r="T57" i="84"/>
  <c r="T58" i="84"/>
  <c r="T59" i="84"/>
  <c r="T60" i="84"/>
  <c r="T61" i="84"/>
  <c r="T62" i="84"/>
  <c r="T63" i="84"/>
  <c r="T64" i="84"/>
  <c r="T65" i="84"/>
  <c r="T6" i="84"/>
  <c r="Q67" i="84"/>
  <c r="P67" i="84"/>
  <c r="O67" i="84"/>
  <c r="N67" i="84"/>
  <c r="M67" i="84"/>
  <c r="L67" i="84"/>
  <c r="Q66" i="84"/>
  <c r="P66" i="84"/>
  <c r="O66" i="84"/>
  <c r="N66" i="84"/>
  <c r="M66" i="84"/>
  <c r="L66" i="84"/>
  <c r="Q65" i="84"/>
  <c r="P65" i="84"/>
  <c r="O65" i="84"/>
  <c r="N65" i="84"/>
  <c r="M65" i="84"/>
  <c r="L65" i="84"/>
  <c r="Q64" i="84"/>
  <c r="P64" i="84"/>
  <c r="O64" i="84"/>
  <c r="N64" i="84"/>
  <c r="M64" i="84"/>
  <c r="L64" i="84"/>
  <c r="Q63" i="84"/>
  <c r="P63" i="84"/>
  <c r="O63" i="84"/>
  <c r="N63" i="84"/>
  <c r="M63" i="84"/>
  <c r="L63" i="84"/>
  <c r="Q62" i="84"/>
  <c r="P62" i="84"/>
  <c r="O62" i="84"/>
  <c r="N62" i="84"/>
  <c r="M62" i="84"/>
  <c r="L62" i="84"/>
  <c r="Q61" i="84"/>
  <c r="P61" i="84"/>
  <c r="O61" i="84"/>
  <c r="N61" i="84"/>
  <c r="M61" i="84"/>
  <c r="L61" i="84"/>
  <c r="Q60" i="84"/>
  <c r="P60" i="84"/>
  <c r="O60" i="84"/>
  <c r="N60" i="84"/>
  <c r="M60" i="84"/>
  <c r="L60" i="84"/>
  <c r="Q59" i="84"/>
  <c r="P59" i="84"/>
  <c r="O59" i="84"/>
  <c r="N59" i="84"/>
  <c r="M59" i="84"/>
  <c r="L59" i="84"/>
  <c r="Q58" i="84"/>
  <c r="P58" i="84"/>
  <c r="O58" i="84"/>
  <c r="N58" i="84"/>
  <c r="M58" i="84"/>
  <c r="L58" i="84"/>
  <c r="Q57" i="84"/>
  <c r="P57" i="84"/>
  <c r="O57" i="84"/>
  <c r="N57" i="84"/>
  <c r="M57" i="84"/>
  <c r="L57" i="84"/>
  <c r="Q56" i="84"/>
  <c r="P56" i="84"/>
  <c r="O56" i="84"/>
  <c r="N56" i="84"/>
  <c r="M56" i="84"/>
  <c r="L56" i="84"/>
  <c r="Q55" i="84"/>
  <c r="P55" i="84"/>
  <c r="O55" i="84"/>
  <c r="N55" i="84"/>
  <c r="M55" i="84"/>
  <c r="L55" i="84"/>
  <c r="Q54" i="84"/>
  <c r="P54" i="84"/>
  <c r="O54" i="84"/>
  <c r="N54" i="84"/>
  <c r="M54" i="84"/>
  <c r="L54" i="84"/>
  <c r="Q53" i="84"/>
  <c r="P53" i="84"/>
  <c r="O53" i="84"/>
  <c r="N53" i="84"/>
  <c r="M53" i="84"/>
  <c r="L53" i="84"/>
  <c r="Q52" i="84"/>
  <c r="P52" i="84"/>
  <c r="O52" i="84"/>
  <c r="N52" i="84"/>
  <c r="M52" i="84"/>
  <c r="L52" i="84"/>
  <c r="Q51" i="84"/>
  <c r="P51" i="84"/>
  <c r="O51" i="84"/>
  <c r="N51" i="84"/>
  <c r="M51" i="84"/>
  <c r="L51" i="84"/>
  <c r="Q50" i="84"/>
  <c r="P50" i="84"/>
  <c r="O50" i="84"/>
  <c r="N50" i="84"/>
  <c r="M50" i="84"/>
  <c r="L50" i="84"/>
  <c r="Q49" i="84"/>
  <c r="P49" i="84"/>
  <c r="O49" i="84"/>
  <c r="N49" i="84"/>
  <c r="M49" i="84"/>
  <c r="L49" i="84"/>
  <c r="Q48" i="84"/>
  <c r="P48" i="84"/>
  <c r="O48" i="84"/>
  <c r="N48" i="84"/>
  <c r="M48" i="84"/>
  <c r="L48" i="84"/>
  <c r="Q47" i="84"/>
  <c r="P47" i="84"/>
  <c r="O47" i="84"/>
  <c r="N47" i="84"/>
  <c r="M47" i="84"/>
  <c r="L47" i="84"/>
  <c r="Q46" i="84"/>
  <c r="P46" i="84"/>
  <c r="O46" i="84"/>
  <c r="N46" i="84"/>
  <c r="M46" i="84"/>
  <c r="L46" i="84"/>
  <c r="Q45" i="84"/>
  <c r="P45" i="84"/>
  <c r="O45" i="84"/>
  <c r="N45" i="84"/>
  <c r="M45" i="84"/>
  <c r="L45" i="84"/>
  <c r="Q44" i="84"/>
  <c r="P44" i="84"/>
  <c r="O44" i="84"/>
  <c r="N44" i="84"/>
  <c r="M44" i="84"/>
  <c r="L44" i="84"/>
  <c r="Q43" i="84"/>
  <c r="P43" i="84"/>
  <c r="O43" i="84"/>
  <c r="N43" i="84"/>
  <c r="M43" i="84"/>
  <c r="L43" i="84"/>
  <c r="Q42" i="84"/>
  <c r="P42" i="84"/>
  <c r="O42" i="84"/>
  <c r="N42" i="84"/>
  <c r="M42" i="84"/>
  <c r="L42" i="84"/>
  <c r="Q41" i="84"/>
  <c r="P41" i="84"/>
  <c r="O41" i="84"/>
  <c r="N41" i="84"/>
  <c r="M41" i="84"/>
  <c r="L41" i="84"/>
  <c r="Q40" i="84"/>
  <c r="P40" i="84"/>
  <c r="O40" i="84"/>
  <c r="N40" i="84"/>
  <c r="M40" i="84"/>
  <c r="L40" i="84"/>
  <c r="Q39" i="84"/>
  <c r="P39" i="84"/>
  <c r="O39" i="84"/>
  <c r="N39" i="84"/>
  <c r="M39" i="84"/>
  <c r="L39" i="84"/>
  <c r="Q38" i="84"/>
  <c r="P38" i="84"/>
  <c r="O38" i="84"/>
  <c r="N38" i="84"/>
  <c r="M38" i="84"/>
  <c r="L38" i="84"/>
  <c r="Q37" i="84"/>
  <c r="P37" i="84"/>
  <c r="O37" i="84"/>
  <c r="N37" i="84"/>
  <c r="M37" i="84"/>
  <c r="L37" i="84"/>
  <c r="Q36" i="84"/>
  <c r="P36" i="84"/>
  <c r="O36" i="84"/>
  <c r="N36" i="84"/>
  <c r="M36" i="84"/>
  <c r="L36" i="84"/>
  <c r="Q35" i="84"/>
  <c r="P35" i="84"/>
  <c r="O35" i="84"/>
  <c r="N35" i="84"/>
  <c r="M35" i="84"/>
  <c r="L35" i="84"/>
  <c r="Q34" i="84"/>
  <c r="P34" i="84"/>
  <c r="O34" i="84"/>
  <c r="N34" i="84"/>
  <c r="M34" i="84"/>
  <c r="L34" i="84"/>
  <c r="Q33" i="84"/>
  <c r="P33" i="84"/>
  <c r="O33" i="84"/>
  <c r="N33" i="84"/>
  <c r="M33" i="84"/>
  <c r="L33" i="84"/>
  <c r="Q32" i="84"/>
  <c r="P32" i="84"/>
  <c r="O32" i="84"/>
  <c r="N32" i="84"/>
  <c r="M32" i="84"/>
  <c r="L32" i="84"/>
  <c r="Q31" i="84"/>
  <c r="P31" i="84"/>
  <c r="O31" i="84"/>
  <c r="N31" i="84"/>
  <c r="M31" i="84"/>
  <c r="L31" i="84"/>
  <c r="Q30" i="84"/>
  <c r="P30" i="84"/>
  <c r="O30" i="84"/>
  <c r="N30" i="84"/>
  <c r="M30" i="84"/>
  <c r="L30" i="84"/>
  <c r="Q29" i="84"/>
  <c r="P29" i="84"/>
  <c r="O29" i="84"/>
  <c r="N29" i="84"/>
  <c r="M29" i="84"/>
  <c r="L29" i="84"/>
  <c r="Q28" i="84"/>
  <c r="P28" i="84"/>
  <c r="O28" i="84"/>
  <c r="N28" i="84"/>
  <c r="M28" i="84"/>
  <c r="L28" i="84"/>
  <c r="Q27" i="84"/>
  <c r="P27" i="84"/>
  <c r="O27" i="84"/>
  <c r="N27" i="84"/>
  <c r="M27" i="84"/>
  <c r="L27" i="84"/>
  <c r="Q26" i="84"/>
  <c r="P26" i="84"/>
  <c r="O26" i="84"/>
  <c r="N26" i="84"/>
  <c r="M26" i="84"/>
  <c r="L26" i="84"/>
  <c r="Q25" i="84"/>
  <c r="P25" i="84"/>
  <c r="O25" i="84"/>
  <c r="N25" i="84"/>
  <c r="M25" i="84"/>
  <c r="L25" i="84"/>
  <c r="Q24" i="84"/>
  <c r="P24" i="84"/>
  <c r="O24" i="84"/>
  <c r="N24" i="84"/>
  <c r="M24" i="84"/>
  <c r="L24" i="84"/>
  <c r="Q23" i="84"/>
  <c r="P23" i="84"/>
  <c r="O23" i="84"/>
  <c r="N23" i="84"/>
  <c r="M23" i="84"/>
  <c r="L23" i="84"/>
  <c r="Q22" i="84"/>
  <c r="P22" i="84"/>
  <c r="O22" i="84"/>
  <c r="N22" i="84"/>
  <c r="M22" i="84"/>
  <c r="L22" i="84"/>
  <c r="Q21" i="84"/>
  <c r="P21" i="84"/>
  <c r="O21" i="84"/>
  <c r="N21" i="84"/>
  <c r="M21" i="84"/>
  <c r="L21" i="84"/>
  <c r="Q20" i="84"/>
  <c r="P20" i="84"/>
  <c r="O20" i="84"/>
  <c r="N20" i="84"/>
  <c r="M20" i="84"/>
  <c r="L20" i="84"/>
  <c r="Q19" i="84"/>
  <c r="P19" i="84"/>
  <c r="O19" i="84"/>
  <c r="N19" i="84"/>
  <c r="M19" i="84"/>
  <c r="L19" i="84"/>
  <c r="Q18" i="84"/>
  <c r="P18" i="84"/>
  <c r="O18" i="84"/>
  <c r="N18" i="84"/>
  <c r="M18" i="84"/>
  <c r="L18" i="84"/>
  <c r="Q17" i="84"/>
  <c r="P17" i="84"/>
  <c r="O17" i="84"/>
  <c r="N17" i="84"/>
  <c r="M17" i="84"/>
  <c r="L17" i="84"/>
  <c r="Q16" i="84"/>
  <c r="P16" i="84"/>
  <c r="O16" i="84"/>
  <c r="N16" i="84"/>
  <c r="M16" i="84"/>
  <c r="L16" i="84"/>
  <c r="Q15" i="84"/>
  <c r="P15" i="84"/>
  <c r="O15" i="84"/>
  <c r="N15" i="84"/>
  <c r="M15" i="84"/>
  <c r="L15" i="84"/>
  <c r="Q14" i="84"/>
  <c r="P14" i="84"/>
  <c r="O14" i="84"/>
  <c r="N14" i="84"/>
  <c r="M14" i="84"/>
  <c r="L14" i="84"/>
  <c r="Q13" i="84"/>
  <c r="P13" i="84"/>
  <c r="O13" i="84"/>
  <c r="N13" i="84"/>
  <c r="M13" i="84"/>
  <c r="L13" i="84"/>
  <c r="Q12" i="84"/>
  <c r="P12" i="84"/>
  <c r="O12" i="84"/>
  <c r="N12" i="84"/>
  <c r="M12" i="84"/>
  <c r="L12" i="84"/>
  <c r="Q11" i="84"/>
  <c r="P11" i="84"/>
  <c r="O11" i="84"/>
  <c r="N11" i="84"/>
  <c r="M11" i="84"/>
  <c r="L11" i="84"/>
  <c r="Q10" i="84"/>
  <c r="P10" i="84"/>
  <c r="O10" i="84"/>
  <c r="N10" i="84"/>
  <c r="M10" i="84"/>
  <c r="L10" i="84"/>
  <c r="Q9" i="84"/>
  <c r="P9" i="84"/>
  <c r="O9" i="84"/>
  <c r="N9" i="84"/>
  <c r="M9" i="84"/>
  <c r="L9" i="84"/>
  <c r="Q8" i="84"/>
  <c r="P8" i="84"/>
  <c r="O8" i="84"/>
  <c r="N8" i="84"/>
  <c r="M8" i="84"/>
  <c r="L8" i="84"/>
  <c r="Q7" i="84"/>
  <c r="P7" i="84"/>
  <c r="O7" i="84"/>
  <c r="N7" i="84"/>
  <c r="M7" i="84"/>
  <c r="L7" i="84"/>
  <c r="Q6" i="84"/>
  <c r="P6" i="84"/>
  <c r="O6" i="84"/>
  <c r="N6" i="84"/>
  <c r="M6" i="84"/>
  <c r="L6" i="84"/>
  <c r="A2" i="84"/>
  <c r="K37" i="29" l="1"/>
  <c r="J37" i="29"/>
  <c r="K37" i="61"/>
  <c r="K38" i="61"/>
  <c r="J38" i="61"/>
  <c r="J37" i="61"/>
  <c r="I13" i="61"/>
  <c r="E821" i="58" l="1"/>
  <c r="E822" i="58"/>
  <c r="E823" i="58"/>
  <c r="E824" i="58"/>
  <c r="E207" i="57"/>
  <c r="E208" i="57"/>
  <c r="E209" i="57"/>
  <c r="E206" i="57"/>
  <c r="AA12" i="83"/>
  <c r="Z12" i="83"/>
  <c r="X12" i="83"/>
  <c r="W12" i="83"/>
  <c r="I112" i="30" s="1"/>
  <c r="V12" i="83"/>
  <c r="I50" i="30" s="1"/>
  <c r="AA11" i="83"/>
  <c r="Z11" i="83"/>
  <c r="X11" i="83"/>
  <c r="W11" i="83"/>
  <c r="I114" i="30" s="1"/>
  <c r="V11" i="83"/>
  <c r="I52" i="30" s="1"/>
  <c r="AA10" i="83"/>
  <c r="Z10" i="83"/>
  <c r="X10" i="83"/>
  <c r="W10" i="83"/>
  <c r="I96" i="30" s="1"/>
  <c r="V10" i="83"/>
  <c r="I34" i="30" s="1"/>
  <c r="AA9" i="83"/>
  <c r="Z9" i="83"/>
  <c r="X9" i="83"/>
  <c r="W9" i="83"/>
  <c r="V9" i="83"/>
  <c r="AA60" i="83"/>
  <c r="Z60" i="83"/>
  <c r="Y60" i="83"/>
  <c r="I28" i="46" s="1"/>
  <c r="X60" i="83"/>
  <c r="W60" i="83"/>
  <c r="I89" i="30" s="1"/>
  <c r="V60" i="83"/>
  <c r="I27" i="30" s="1"/>
  <c r="U60" i="83"/>
  <c r="T60" i="83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I38" i="29"/>
  <c r="I40" i="29"/>
  <c r="I41" i="29"/>
  <c r="I45" i="29"/>
  <c r="I46" i="29"/>
  <c r="I49" i="29"/>
  <c r="I50" i="29"/>
  <c r="I51" i="29"/>
  <c r="I52" i="29"/>
  <c r="I13" i="29"/>
  <c r="L28" i="49" l="1"/>
  <c r="E44" i="83" l="1"/>
  <c r="E43" i="83"/>
  <c r="AA74" i="83" l="1"/>
  <c r="Z74" i="83"/>
  <c r="U74" i="83"/>
  <c r="T74" i="83"/>
  <c r="AD73" i="83"/>
  <c r="AA73" i="83"/>
  <c r="Z73" i="83"/>
  <c r="X73" i="83"/>
  <c r="W73" i="83"/>
  <c r="V73" i="83"/>
  <c r="I73" i="83"/>
  <c r="U73" i="83" s="1"/>
  <c r="E73" i="83"/>
  <c r="B73" i="83"/>
  <c r="A73" i="83" s="1"/>
  <c r="AD72" i="83"/>
  <c r="AA72" i="83"/>
  <c r="Z72" i="83"/>
  <c r="X72" i="83"/>
  <c r="W72" i="83"/>
  <c r="V72" i="83"/>
  <c r="I72" i="83"/>
  <c r="U72" i="83" s="1"/>
  <c r="E72" i="83"/>
  <c r="B72" i="83"/>
  <c r="A72" i="83" s="1"/>
  <c r="AD71" i="83"/>
  <c r="B71" i="83"/>
  <c r="A71" i="83" s="1"/>
  <c r="AD70" i="83"/>
  <c r="I109" i="30"/>
  <c r="I47" i="30"/>
  <c r="U70" i="83"/>
  <c r="E70" i="83"/>
  <c r="B70" i="83"/>
  <c r="A70" i="83" s="1"/>
  <c r="AD69" i="83"/>
  <c r="E69" i="83"/>
  <c r="B69" i="83"/>
  <c r="A69" i="83" s="1"/>
  <c r="AD68" i="83"/>
  <c r="AA68" i="83"/>
  <c r="Z68" i="83"/>
  <c r="X68" i="83"/>
  <c r="W68" i="83"/>
  <c r="I115" i="30" s="1"/>
  <c r="V68" i="83"/>
  <c r="I53" i="30" s="1"/>
  <c r="Y68" i="83"/>
  <c r="I54" i="46" s="1"/>
  <c r="E68" i="83"/>
  <c r="B68" i="83"/>
  <c r="A68" i="83" s="1"/>
  <c r="AD67" i="83"/>
  <c r="AA67" i="83"/>
  <c r="Z67" i="83"/>
  <c r="X67" i="83"/>
  <c r="W67" i="83"/>
  <c r="I110" i="30" s="1"/>
  <c r="V67" i="83"/>
  <c r="I48" i="30" s="1"/>
  <c r="U67" i="83"/>
  <c r="E67" i="83"/>
  <c r="B67" i="83"/>
  <c r="A67" i="83" s="1"/>
  <c r="AD66" i="83"/>
  <c r="AA66" i="83"/>
  <c r="Z66" i="83"/>
  <c r="X66" i="83"/>
  <c r="W66" i="83"/>
  <c r="I106" i="30" s="1"/>
  <c r="V66" i="83"/>
  <c r="I44" i="30" s="1"/>
  <c r="T66" i="83"/>
  <c r="E66" i="83"/>
  <c r="B66" i="83"/>
  <c r="A66" i="83" s="1"/>
  <c r="AD65" i="83"/>
  <c r="AA65" i="83"/>
  <c r="Z65" i="83"/>
  <c r="X65" i="83"/>
  <c r="W65" i="83"/>
  <c r="I105" i="30" s="1"/>
  <c r="V65" i="83"/>
  <c r="I43" i="30" s="1"/>
  <c r="U65" i="83"/>
  <c r="E65" i="83"/>
  <c r="B65" i="83"/>
  <c r="A65" i="83" s="1"/>
  <c r="AD64" i="83"/>
  <c r="AA64" i="83"/>
  <c r="Z64" i="83"/>
  <c r="X64" i="83"/>
  <c r="W64" i="83"/>
  <c r="I104" i="30" s="1"/>
  <c r="V64" i="83"/>
  <c r="I42" i="30" s="1"/>
  <c r="U64" i="83"/>
  <c r="E64" i="83"/>
  <c r="B64" i="83"/>
  <c r="A64" i="83" s="1"/>
  <c r="AD63" i="83"/>
  <c r="AA63" i="83"/>
  <c r="Z63" i="83"/>
  <c r="X63" i="83"/>
  <c r="W63" i="83"/>
  <c r="I101" i="30" s="1"/>
  <c r="V63" i="83"/>
  <c r="I39" i="30" s="1"/>
  <c r="Y63" i="83"/>
  <c r="I40" i="46" s="1"/>
  <c r="D63" i="83"/>
  <c r="B63" i="83"/>
  <c r="A63" i="83" s="1"/>
  <c r="AD62" i="83"/>
  <c r="AA62" i="83"/>
  <c r="Z62" i="83"/>
  <c r="X62" i="83"/>
  <c r="W62" i="83"/>
  <c r="I98" i="30" s="1"/>
  <c r="V62" i="83"/>
  <c r="I36" i="30" s="1"/>
  <c r="U62" i="83"/>
  <c r="E62" i="83"/>
  <c r="B62" i="83"/>
  <c r="A62" i="83" s="1"/>
  <c r="AD61" i="83"/>
  <c r="AA61" i="83"/>
  <c r="Z61" i="83"/>
  <c r="X61" i="83"/>
  <c r="W61" i="83"/>
  <c r="I97" i="30" s="1"/>
  <c r="V61" i="83"/>
  <c r="I35" i="30" s="1"/>
  <c r="U61" i="83"/>
  <c r="E61" i="83"/>
  <c r="B61" i="83"/>
  <c r="A61" i="83" s="1"/>
  <c r="AD60" i="83"/>
  <c r="E60" i="83"/>
  <c r="B60" i="83"/>
  <c r="AD59" i="83"/>
  <c r="AA59" i="83"/>
  <c r="Z59" i="83"/>
  <c r="X59" i="83"/>
  <c r="W59" i="83"/>
  <c r="I88" i="30" s="1"/>
  <c r="V59" i="83"/>
  <c r="I26" i="30" s="1"/>
  <c r="U59" i="83"/>
  <c r="E59" i="83"/>
  <c r="B59" i="83"/>
  <c r="A59" i="83" s="1"/>
  <c r="AD58" i="83"/>
  <c r="AA58" i="83"/>
  <c r="Z58" i="83"/>
  <c r="X58" i="83"/>
  <c r="W58" i="83"/>
  <c r="I81" i="30" s="1"/>
  <c r="V58" i="83"/>
  <c r="I19" i="30" s="1"/>
  <c r="Y58" i="83"/>
  <c r="I20" i="46" s="1"/>
  <c r="E58" i="83"/>
  <c r="B58" i="83"/>
  <c r="A58" i="83" s="1"/>
  <c r="AD57" i="83"/>
  <c r="AA57" i="83"/>
  <c r="Z57" i="83"/>
  <c r="X57" i="83"/>
  <c r="W57" i="83"/>
  <c r="I80" i="30" s="1"/>
  <c r="V57" i="83"/>
  <c r="I18" i="30" s="1"/>
  <c r="T57" i="83"/>
  <c r="E57" i="83"/>
  <c r="B57" i="83"/>
  <c r="A57" i="83" s="1"/>
  <c r="AD56" i="83"/>
  <c r="AA56" i="83"/>
  <c r="Z56" i="83"/>
  <c r="X56" i="83"/>
  <c r="W56" i="83"/>
  <c r="I113" i="30" s="1"/>
  <c r="V56" i="83"/>
  <c r="I51" i="30" s="1"/>
  <c r="U56" i="83"/>
  <c r="E56" i="83"/>
  <c r="B56" i="83"/>
  <c r="A56" i="83" s="1"/>
  <c r="AD55" i="83"/>
  <c r="AA55" i="83"/>
  <c r="Z55" i="83"/>
  <c r="X55" i="83"/>
  <c r="W55" i="83"/>
  <c r="I103" i="30" s="1"/>
  <c r="V55" i="83"/>
  <c r="I41" i="30" s="1"/>
  <c r="Y55" i="83"/>
  <c r="I42" i="46" s="1"/>
  <c r="E55" i="83"/>
  <c r="B55" i="83"/>
  <c r="A55" i="83" s="1"/>
  <c r="AD54" i="83"/>
  <c r="AA54" i="83"/>
  <c r="Z54" i="83"/>
  <c r="X54" i="83"/>
  <c r="W54" i="83"/>
  <c r="I102" i="30" s="1"/>
  <c r="V54" i="83"/>
  <c r="I40" i="30" s="1"/>
  <c r="U54" i="83"/>
  <c r="E54" i="83"/>
  <c r="B54" i="83"/>
  <c r="A54" i="83" s="1"/>
  <c r="AD53" i="83"/>
  <c r="E53" i="83"/>
  <c r="B53" i="83"/>
  <c r="A53" i="83" s="1"/>
  <c r="AD52" i="83"/>
  <c r="AA52" i="83"/>
  <c r="Z52" i="83"/>
  <c r="X52" i="83"/>
  <c r="W52" i="83"/>
  <c r="I95" i="30" s="1"/>
  <c r="V52" i="83"/>
  <c r="I33" i="30" s="1"/>
  <c r="Y52" i="83"/>
  <c r="I34" i="46" s="1"/>
  <c r="E52" i="83"/>
  <c r="B52" i="83"/>
  <c r="A52" i="83" s="1"/>
  <c r="AD51" i="83"/>
  <c r="AA51" i="83"/>
  <c r="Z51" i="83"/>
  <c r="X51" i="83"/>
  <c r="W51" i="83"/>
  <c r="I92" i="30" s="1"/>
  <c r="V51" i="83"/>
  <c r="I30" i="30" s="1"/>
  <c r="U51" i="83"/>
  <c r="B51" i="83"/>
  <c r="A51" i="83" s="1"/>
  <c r="AD50" i="83"/>
  <c r="AA50" i="83"/>
  <c r="Z50" i="83"/>
  <c r="X50" i="83"/>
  <c r="W50" i="83"/>
  <c r="I90" i="30" s="1"/>
  <c r="V50" i="83"/>
  <c r="I28" i="30" s="1"/>
  <c r="Y50" i="83"/>
  <c r="I29" i="46" s="1"/>
  <c r="E50" i="83"/>
  <c r="B50" i="83"/>
  <c r="A50" i="83" s="1"/>
  <c r="AD49" i="83"/>
  <c r="AA49" i="83"/>
  <c r="Z49" i="83"/>
  <c r="X49" i="83"/>
  <c r="W49" i="83"/>
  <c r="I86" i="30" s="1"/>
  <c r="V49" i="83"/>
  <c r="I24" i="30" s="1"/>
  <c r="U49" i="83"/>
  <c r="E49" i="83"/>
  <c r="B49" i="83"/>
  <c r="A49" i="83" s="1"/>
  <c r="AD48" i="83"/>
  <c r="AA48" i="83"/>
  <c r="Z48" i="83"/>
  <c r="X48" i="83"/>
  <c r="W48" i="83"/>
  <c r="I83" i="30" s="1"/>
  <c r="V48" i="83"/>
  <c r="I21" i="30" s="1"/>
  <c r="T48" i="83"/>
  <c r="E48" i="83"/>
  <c r="B48" i="83"/>
  <c r="A48" i="83" s="1"/>
  <c r="AD47" i="83"/>
  <c r="AA47" i="83"/>
  <c r="Z47" i="83"/>
  <c r="X47" i="83"/>
  <c r="W47" i="83"/>
  <c r="I82" i="30" s="1"/>
  <c r="V47" i="83"/>
  <c r="I20" i="30" s="1"/>
  <c r="Y47" i="83"/>
  <c r="I21" i="46" s="1"/>
  <c r="E47" i="83"/>
  <c r="B47" i="83"/>
  <c r="A47" i="83" s="1"/>
  <c r="AD46" i="83"/>
  <c r="AA46" i="83"/>
  <c r="Z46" i="83"/>
  <c r="X46" i="83"/>
  <c r="W46" i="83"/>
  <c r="I78" i="30" s="1"/>
  <c r="V46" i="83"/>
  <c r="I16" i="30" s="1"/>
  <c r="E46" i="83"/>
  <c r="B46" i="83"/>
  <c r="A46" i="83" s="1"/>
  <c r="AD45" i="83"/>
  <c r="AA45" i="83"/>
  <c r="Z45" i="83"/>
  <c r="X45" i="83"/>
  <c r="W45" i="83"/>
  <c r="I77" i="30" s="1"/>
  <c r="V45" i="83"/>
  <c r="I15" i="30" s="1"/>
  <c r="Y45" i="83"/>
  <c r="I16" i="46" s="1"/>
  <c r="E45" i="83"/>
  <c r="B45" i="83"/>
  <c r="A45" i="83" s="1"/>
  <c r="AD44" i="83"/>
  <c r="AA44" i="83"/>
  <c r="Z44" i="83"/>
  <c r="Y44" i="83"/>
  <c r="I15" i="46" s="1"/>
  <c r="X44" i="83"/>
  <c r="W44" i="83"/>
  <c r="I76" i="30" s="1"/>
  <c r="V44" i="83"/>
  <c r="I14" i="30" s="1"/>
  <c r="T44" i="83"/>
  <c r="U44" i="83"/>
  <c r="B44" i="83"/>
  <c r="A44" i="83" s="1"/>
  <c r="AD43" i="83"/>
  <c r="AA43" i="83"/>
  <c r="Z43" i="83"/>
  <c r="X43" i="83"/>
  <c r="W43" i="83"/>
  <c r="V43" i="83"/>
  <c r="U43" i="83"/>
  <c r="B43" i="83"/>
  <c r="A43" i="83" s="1"/>
  <c r="AD42" i="83"/>
  <c r="AA42" i="83"/>
  <c r="Z42" i="83"/>
  <c r="X42" i="83"/>
  <c r="W42" i="83"/>
  <c r="V42" i="83"/>
  <c r="I22" i="81" s="1"/>
  <c r="Y42" i="83"/>
  <c r="E42" i="83"/>
  <c r="B42" i="83"/>
  <c r="A42" i="83" s="1"/>
  <c r="AD41" i="83"/>
  <c r="AA41" i="83"/>
  <c r="Z41" i="83"/>
  <c r="X41" i="83"/>
  <c r="W41" i="83"/>
  <c r="V41" i="83"/>
  <c r="I21" i="81" s="1"/>
  <c r="U41" i="83"/>
  <c r="E41" i="83"/>
  <c r="B41" i="83"/>
  <c r="A41" i="83" s="1"/>
  <c r="AD40" i="83"/>
  <c r="AA40" i="83"/>
  <c r="Z40" i="83"/>
  <c r="X40" i="83"/>
  <c r="W40" i="83"/>
  <c r="V40" i="83"/>
  <c r="I20" i="81" s="1"/>
  <c r="Y40" i="83"/>
  <c r="E40" i="83"/>
  <c r="B40" i="83"/>
  <c r="A40" i="83" s="1"/>
  <c r="AD39" i="83"/>
  <c r="AA39" i="83"/>
  <c r="Z39" i="83"/>
  <c r="X39" i="83"/>
  <c r="W39" i="83"/>
  <c r="V39" i="83"/>
  <c r="Y39" i="83"/>
  <c r="E39" i="83"/>
  <c r="B39" i="83"/>
  <c r="A39" i="83" s="1"/>
  <c r="AD38" i="83"/>
  <c r="AA38" i="83"/>
  <c r="Z38" i="83"/>
  <c r="X38" i="83"/>
  <c r="W38" i="83"/>
  <c r="V38" i="83"/>
  <c r="I18" i="81" s="1"/>
  <c r="U38" i="83"/>
  <c r="E38" i="83"/>
  <c r="B38" i="83"/>
  <c r="A38" i="83" s="1"/>
  <c r="AD37" i="83"/>
  <c r="AA37" i="83"/>
  <c r="Z37" i="83"/>
  <c r="X37" i="83"/>
  <c r="W37" i="83"/>
  <c r="V37" i="83"/>
  <c r="I17" i="81" s="1"/>
  <c r="Y37" i="83"/>
  <c r="E37" i="83"/>
  <c r="B37" i="83"/>
  <c r="A37" i="83" s="1"/>
  <c r="AD36" i="83"/>
  <c r="AA36" i="83"/>
  <c r="Z36" i="83"/>
  <c r="X36" i="83"/>
  <c r="W36" i="83"/>
  <c r="V36" i="83"/>
  <c r="I16" i="81" s="1"/>
  <c r="U36" i="83"/>
  <c r="E36" i="83"/>
  <c r="B36" i="83"/>
  <c r="A36" i="83" s="1"/>
  <c r="AD35" i="83"/>
  <c r="AA35" i="83"/>
  <c r="Z35" i="83"/>
  <c r="X35" i="83"/>
  <c r="W35" i="83"/>
  <c r="V35" i="83"/>
  <c r="I15" i="81" s="1"/>
  <c r="U35" i="83"/>
  <c r="E35" i="83"/>
  <c r="B35" i="83"/>
  <c r="A35" i="83" s="1"/>
  <c r="AD34" i="83"/>
  <c r="AA34" i="83"/>
  <c r="Z34" i="83"/>
  <c r="X34" i="83"/>
  <c r="W34" i="83"/>
  <c r="V34" i="83"/>
  <c r="I14" i="81" s="1"/>
  <c r="Y34" i="83"/>
  <c r="E34" i="83"/>
  <c r="B34" i="83"/>
  <c r="A34" i="83" s="1"/>
  <c r="AD33" i="83"/>
  <c r="AA33" i="83"/>
  <c r="Z33" i="83"/>
  <c r="X33" i="83"/>
  <c r="W33" i="83"/>
  <c r="V33" i="83"/>
  <c r="U33" i="83"/>
  <c r="E33" i="83"/>
  <c r="B33" i="83"/>
  <c r="A33" i="83" s="1"/>
  <c r="AD32" i="83"/>
  <c r="AA32" i="83"/>
  <c r="Z32" i="83"/>
  <c r="Y32" i="83"/>
  <c r="I50" i="46" s="1"/>
  <c r="X32" i="83"/>
  <c r="W32" i="83"/>
  <c r="I111" i="30" s="1"/>
  <c r="V32" i="83"/>
  <c r="I49" i="30" s="1"/>
  <c r="U32" i="83"/>
  <c r="T32" i="83"/>
  <c r="E32" i="83"/>
  <c r="B32" i="83"/>
  <c r="A32" i="83" s="1"/>
  <c r="AD31" i="83"/>
  <c r="AA31" i="83"/>
  <c r="Z31" i="83"/>
  <c r="Y31" i="83"/>
  <c r="I47" i="46" s="1"/>
  <c r="X31" i="83"/>
  <c r="W31" i="83"/>
  <c r="I108" i="30" s="1"/>
  <c r="V31" i="83"/>
  <c r="I46" i="30" s="1"/>
  <c r="U31" i="83"/>
  <c r="T31" i="83"/>
  <c r="E31" i="83"/>
  <c r="B31" i="83"/>
  <c r="A31" i="83" s="1"/>
  <c r="AD30" i="83"/>
  <c r="AA30" i="83"/>
  <c r="Z30" i="83"/>
  <c r="Y30" i="83"/>
  <c r="I46" i="46" s="1"/>
  <c r="X30" i="83"/>
  <c r="W30" i="83"/>
  <c r="I107" i="30" s="1"/>
  <c r="V30" i="83"/>
  <c r="I45" i="30" s="1"/>
  <c r="U30" i="83"/>
  <c r="T30" i="83"/>
  <c r="E30" i="83"/>
  <c r="B30" i="83"/>
  <c r="A30" i="83" s="1"/>
  <c r="AD29" i="83"/>
  <c r="AA29" i="83"/>
  <c r="Z29" i="83"/>
  <c r="Y29" i="83"/>
  <c r="I39" i="46" s="1"/>
  <c r="X29" i="83"/>
  <c r="W29" i="83"/>
  <c r="I100" i="30" s="1"/>
  <c r="V29" i="83"/>
  <c r="I38" i="30" s="1"/>
  <c r="U29" i="83"/>
  <c r="I164" i="29" s="1"/>
  <c r="T29" i="83"/>
  <c r="I100" i="29" s="1"/>
  <c r="E29" i="83"/>
  <c r="B29" i="83"/>
  <c r="A29" i="83" s="1"/>
  <c r="AD28" i="83"/>
  <c r="AA28" i="83"/>
  <c r="Z28" i="83"/>
  <c r="Y28" i="83"/>
  <c r="I33" i="46" s="1"/>
  <c r="X28" i="83"/>
  <c r="W28" i="83"/>
  <c r="I94" i="30" s="1"/>
  <c r="V28" i="83"/>
  <c r="I32" i="30" s="1"/>
  <c r="U28" i="83"/>
  <c r="T28" i="83"/>
  <c r="E28" i="83"/>
  <c r="B28" i="83"/>
  <c r="A28" i="83" s="1"/>
  <c r="AD27" i="83"/>
  <c r="AA27" i="83"/>
  <c r="Z27" i="83"/>
  <c r="Y27" i="83"/>
  <c r="I32" i="46" s="1"/>
  <c r="X27" i="83"/>
  <c r="W27" i="83"/>
  <c r="I93" i="30" s="1"/>
  <c r="V27" i="83"/>
  <c r="I31" i="30" s="1"/>
  <c r="U27" i="83"/>
  <c r="T27" i="83"/>
  <c r="E27" i="83"/>
  <c r="B27" i="83"/>
  <c r="A27" i="83" s="1"/>
  <c r="AD26" i="83"/>
  <c r="AA26" i="83"/>
  <c r="Z26" i="83"/>
  <c r="L30" i="49" s="1"/>
  <c r="Y26" i="83"/>
  <c r="I30" i="46" s="1"/>
  <c r="X26" i="83"/>
  <c r="W26" i="83"/>
  <c r="I91" i="30" s="1"/>
  <c r="V26" i="83"/>
  <c r="I29" i="30" s="1"/>
  <c r="U26" i="83"/>
  <c r="T26" i="83"/>
  <c r="E26" i="83"/>
  <c r="B26" i="83"/>
  <c r="A26" i="83" s="1"/>
  <c r="AD25" i="83"/>
  <c r="AA25" i="83"/>
  <c r="Z25" i="83"/>
  <c r="Y25" i="83"/>
  <c r="I26" i="46" s="1"/>
  <c r="X25" i="83"/>
  <c r="W25" i="83"/>
  <c r="I87" i="30" s="1"/>
  <c r="V25" i="83"/>
  <c r="I25" i="30" s="1"/>
  <c r="U25" i="83"/>
  <c r="T25" i="83"/>
  <c r="E25" i="83"/>
  <c r="B25" i="83"/>
  <c r="A25" i="83" s="1"/>
  <c r="AD24" i="83"/>
  <c r="AA24" i="83"/>
  <c r="Z24" i="83"/>
  <c r="Y24" i="83"/>
  <c r="I24" i="46" s="1"/>
  <c r="X24" i="83"/>
  <c r="W24" i="83"/>
  <c r="I85" i="30" s="1"/>
  <c r="V24" i="83"/>
  <c r="I23" i="30" s="1"/>
  <c r="U24" i="83"/>
  <c r="T24" i="83"/>
  <c r="E24" i="83"/>
  <c r="B24" i="83"/>
  <c r="A24" i="83" s="1"/>
  <c r="AD23" i="83"/>
  <c r="AA23" i="83"/>
  <c r="Z23" i="83"/>
  <c r="Y23" i="83"/>
  <c r="I23" i="46" s="1"/>
  <c r="X23" i="83"/>
  <c r="W23" i="83"/>
  <c r="I84" i="30" s="1"/>
  <c r="V23" i="83"/>
  <c r="I22" i="30" s="1"/>
  <c r="U23" i="83"/>
  <c r="T23" i="83"/>
  <c r="E23" i="83"/>
  <c r="B23" i="83"/>
  <c r="A23" i="83" s="1"/>
  <c r="AD22" i="83"/>
  <c r="AA22" i="83"/>
  <c r="Z22" i="83"/>
  <c r="Y22" i="83"/>
  <c r="I18" i="46" s="1"/>
  <c r="X22" i="83"/>
  <c r="W22" i="83"/>
  <c r="I79" i="30" s="1"/>
  <c r="V22" i="83"/>
  <c r="I17" i="30" s="1"/>
  <c r="U22" i="83"/>
  <c r="E22" i="83"/>
  <c r="B22" i="83"/>
  <c r="A22" i="83" s="1"/>
  <c r="AD21" i="83"/>
  <c r="B21" i="83"/>
  <c r="A21" i="83" s="1"/>
  <c r="AD20" i="83"/>
  <c r="AA20" i="83"/>
  <c r="Z20" i="83"/>
  <c r="X20" i="83"/>
  <c r="H128" i="75" s="1"/>
  <c r="W20" i="83"/>
  <c r="V20" i="83"/>
  <c r="U20" i="83"/>
  <c r="E20" i="83"/>
  <c r="B20" i="83"/>
  <c r="A20" i="83" s="1"/>
  <c r="AD19" i="83"/>
  <c r="AA19" i="83"/>
  <c r="Z19" i="83"/>
  <c r="X19" i="83"/>
  <c r="H127" i="75" s="1"/>
  <c r="W19" i="83"/>
  <c r="V19" i="83"/>
  <c r="Y19" i="83"/>
  <c r="E19" i="83"/>
  <c r="B19" i="83"/>
  <c r="A19" i="83" s="1"/>
  <c r="AD18" i="83"/>
  <c r="B18" i="83"/>
  <c r="A18" i="83" s="1"/>
  <c r="AD17" i="83"/>
  <c r="AA17" i="83"/>
  <c r="Z17" i="83"/>
  <c r="X17" i="83"/>
  <c r="H126" i="75" s="1"/>
  <c r="W17" i="83"/>
  <c r="H71" i="75" s="1"/>
  <c r="V17" i="83"/>
  <c r="T17" i="83"/>
  <c r="H71" i="70" s="1"/>
  <c r="E17" i="83"/>
  <c r="B17" i="83"/>
  <c r="A17" i="83" s="1"/>
  <c r="AD16" i="83"/>
  <c r="AA16" i="83"/>
  <c r="Z16" i="83"/>
  <c r="X16" i="83"/>
  <c r="H125" i="75" s="1"/>
  <c r="W16" i="83"/>
  <c r="V16" i="83"/>
  <c r="Y16" i="83"/>
  <c r="H15" i="71" s="1"/>
  <c r="B16" i="83"/>
  <c r="A16" i="83" s="1"/>
  <c r="AD15" i="83"/>
  <c r="AA15" i="83"/>
  <c r="Z15" i="83"/>
  <c r="X15" i="83"/>
  <c r="H124" i="75" s="1"/>
  <c r="W15" i="83"/>
  <c r="H69" i="75" s="1"/>
  <c r="V15" i="83"/>
  <c r="T15" i="83"/>
  <c r="H69" i="70" s="1"/>
  <c r="E15" i="83"/>
  <c r="B15" i="83"/>
  <c r="A15" i="83" s="1"/>
  <c r="AD14" i="83"/>
  <c r="AA14" i="83"/>
  <c r="Z14" i="83"/>
  <c r="X14" i="83"/>
  <c r="H123" i="75" s="1"/>
  <c r="W14" i="83"/>
  <c r="H68" i="75" s="1"/>
  <c r="V14" i="83"/>
  <c r="H13" i="75" s="1"/>
  <c r="Y14" i="83"/>
  <c r="H13" i="71" s="1"/>
  <c r="E14" i="83"/>
  <c r="B14" i="83"/>
  <c r="A14" i="83" s="1"/>
  <c r="AD13" i="83"/>
  <c r="B13" i="83"/>
  <c r="A13" i="83" s="1"/>
  <c r="AD12" i="83"/>
  <c r="E12" i="83"/>
  <c r="B12" i="83"/>
  <c r="A12" i="83" s="1"/>
  <c r="AD11" i="83"/>
  <c r="E11" i="83"/>
  <c r="B11" i="83"/>
  <c r="A11" i="83" s="1"/>
  <c r="AD10" i="83"/>
  <c r="E10" i="83"/>
  <c r="B10" i="83"/>
  <c r="A10" i="83" s="1"/>
  <c r="AD9" i="83"/>
  <c r="E9" i="83"/>
  <c r="B9" i="83"/>
  <c r="A9" i="83" s="1"/>
  <c r="Z5" i="83"/>
  <c r="Y5" i="83"/>
  <c r="X5" i="83"/>
  <c r="W5" i="83"/>
  <c r="V5" i="83"/>
  <c r="U5" i="83"/>
  <c r="T5" i="83"/>
  <c r="P5" i="83"/>
  <c r="O5" i="83"/>
  <c r="N5" i="83"/>
  <c r="M5" i="83"/>
  <c r="L5" i="83"/>
  <c r="K5" i="83"/>
  <c r="J5" i="83"/>
  <c r="G5" i="83"/>
  <c r="E63" i="83" l="1"/>
  <c r="AE30" i="78"/>
  <c r="AE38" i="78"/>
  <c r="AE46" i="78"/>
  <c r="AE54" i="78"/>
  <c r="I25" i="78"/>
  <c r="I33" i="78"/>
  <c r="I41" i="78"/>
  <c r="I49" i="78"/>
  <c r="I57" i="78"/>
  <c r="AE43" i="78"/>
  <c r="I40" i="78"/>
  <c r="AE31" i="78"/>
  <c r="AE39" i="78"/>
  <c r="AE47" i="78"/>
  <c r="AE55" i="78"/>
  <c r="I26" i="78"/>
  <c r="I34" i="78"/>
  <c r="I42" i="78"/>
  <c r="I50" i="78"/>
  <c r="I38" i="78"/>
  <c r="AE29" i="78"/>
  <c r="AE24" i="78"/>
  <c r="AE32" i="78"/>
  <c r="AE40" i="78"/>
  <c r="AE48" i="78"/>
  <c r="AE56" i="78"/>
  <c r="I27" i="78"/>
  <c r="I35" i="78"/>
  <c r="I43" i="78"/>
  <c r="I51" i="78"/>
  <c r="AE27" i="78"/>
  <c r="AE51" i="78"/>
  <c r="I30" i="78"/>
  <c r="I54" i="78"/>
  <c r="AE53" i="78"/>
  <c r="I56" i="78"/>
  <c r="AE25" i="78"/>
  <c r="AE33" i="78"/>
  <c r="AE41" i="78"/>
  <c r="AE49" i="78"/>
  <c r="AE57" i="78"/>
  <c r="I28" i="78"/>
  <c r="I36" i="78"/>
  <c r="I44" i="78"/>
  <c r="I52" i="78"/>
  <c r="I46" i="78"/>
  <c r="AE37" i="78"/>
  <c r="I32" i="78"/>
  <c r="AE26" i="78"/>
  <c r="AE34" i="78"/>
  <c r="AE42" i="78"/>
  <c r="AE50" i="78"/>
  <c r="I29" i="78"/>
  <c r="I37" i="78"/>
  <c r="I45" i="78"/>
  <c r="I53" i="78"/>
  <c r="AE35" i="78"/>
  <c r="I24" i="78"/>
  <c r="AE28" i="78"/>
  <c r="AE36" i="78"/>
  <c r="AE44" i="78"/>
  <c r="AE52" i="78"/>
  <c r="I31" i="78"/>
  <c r="I39" i="78"/>
  <c r="I47" i="78"/>
  <c r="I55" i="78"/>
  <c r="AE45" i="78"/>
  <c r="I48" i="78"/>
  <c r="I25" i="77"/>
  <c r="I33" i="77"/>
  <c r="I41" i="77"/>
  <c r="I49" i="77"/>
  <c r="I57" i="77"/>
  <c r="I30" i="77"/>
  <c r="I54" i="77"/>
  <c r="I26" i="77"/>
  <c r="I34" i="77"/>
  <c r="I42" i="77"/>
  <c r="I50" i="77"/>
  <c r="I32" i="77"/>
  <c r="I27" i="77"/>
  <c r="I35" i="77"/>
  <c r="I43" i="77"/>
  <c r="I51" i="77"/>
  <c r="I40" i="77"/>
  <c r="I28" i="77"/>
  <c r="I36" i="77"/>
  <c r="I44" i="77"/>
  <c r="I52" i="77"/>
  <c r="I46" i="77"/>
  <c r="I29" i="77"/>
  <c r="I37" i="77"/>
  <c r="I45" i="77"/>
  <c r="I53" i="77"/>
  <c r="I38" i="77"/>
  <c r="I56" i="77"/>
  <c r="I31" i="77"/>
  <c r="I39" i="77"/>
  <c r="I47" i="77"/>
  <c r="I55" i="77"/>
  <c r="I24" i="77"/>
  <c r="I48" i="77"/>
  <c r="I43" i="29"/>
  <c r="I48" i="29"/>
  <c r="I42" i="29"/>
  <c r="I44" i="29"/>
  <c r="I53" i="29"/>
  <c r="I54" i="29"/>
  <c r="I47" i="29"/>
  <c r="I39" i="29"/>
  <c r="I55" i="29"/>
  <c r="I56" i="29"/>
  <c r="I57" i="29"/>
  <c r="L50" i="49"/>
  <c r="I17" i="77"/>
  <c r="L34" i="49"/>
  <c r="L41" i="49"/>
  <c r="L33" i="49"/>
  <c r="I20" i="77"/>
  <c r="L15" i="49"/>
  <c r="I13" i="81"/>
  <c r="L48" i="49"/>
  <c r="L24" i="49"/>
  <c r="L45" i="49"/>
  <c r="L38" i="49"/>
  <c r="I13" i="30"/>
  <c r="L18" i="49"/>
  <c r="L26" i="49"/>
  <c r="L39" i="49"/>
  <c r="L23" i="49"/>
  <c r="L46" i="49"/>
  <c r="L16" i="49"/>
  <c r="L20" i="49"/>
  <c r="L32" i="49"/>
  <c r="I14" i="77"/>
  <c r="I22" i="77"/>
  <c r="L21" i="49"/>
  <c r="L29" i="49"/>
  <c r="U46" i="83"/>
  <c r="U39" i="83"/>
  <c r="Y9" i="83"/>
  <c r="U9" i="83"/>
  <c r="T9" i="83"/>
  <c r="Y11" i="83"/>
  <c r="I53" i="46" s="1"/>
  <c r="U11" i="83"/>
  <c r="T11" i="83"/>
  <c r="T72" i="83"/>
  <c r="Y10" i="83"/>
  <c r="I35" i="46" s="1"/>
  <c r="U10" i="83"/>
  <c r="T10" i="83"/>
  <c r="Y12" i="83"/>
  <c r="I51" i="46" s="1"/>
  <c r="U12" i="83"/>
  <c r="T12" i="83"/>
  <c r="Y65" i="83"/>
  <c r="I44" i="46" s="1"/>
  <c r="T67" i="83"/>
  <c r="T62" i="83"/>
  <c r="U58" i="83"/>
  <c r="T37" i="83"/>
  <c r="U17" i="83"/>
  <c r="H126" i="70" s="1"/>
  <c r="Y36" i="83"/>
  <c r="I16" i="77" s="1"/>
  <c r="T36" i="83"/>
  <c r="Y38" i="83"/>
  <c r="I18" i="77" s="1"/>
  <c r="Y62" i="83"/>
  <c r="I37" i="46" s="1"/>
  <c r="U52" i="83"/>
  <c r="Y48" i="83"/>
  <c r="I22" i="46" s="1"/>
  <c r="U48" i="83"/>
  <c r="T46" i="83"/>
  <c r="U15" i="83"/>
  <c r="H124" i="70" s="1"/>
  <c r="H20" i="71"/>
  <c r="T45" i="83"/>
  <c r="T64" i="83"/>
  <c r="T38" i="83"/>
  <c r="T65" i="83"/>
  <c r="Y67" i="83"/>
  <c r="I49" i="46" s="1"/>
  <c r="Y15" i="83"/>
  <c r="H14" i="71" s="1"/>
  <c r="T16" i="83"/>
  <c r="Y64" i="83"/>
  <c r="I43" i="46" s="1"/>
  <c r="T73" i="83"/>
  <c r="U14" i="83"/>
  <c r="H123" i="70" s="1"/>
  <c r="T14" i="83"/>
  <c r="H68" i="70" s="1"/>
  <c r="U37" i="83"/>
  <c r="U45" i="83"/>
  <c r="Y56" i="83"/>
  <c r="I52" i="46" s="1"/>
  <c r="U57" i="83"/>
  <c r="U66" i="83"/>
  <c r="Y73" i="83"/>
  <c r="T20" i="83"/>
  <c r="T40" i="83"/>
  <c r="T61" i="83"/>
  <c r="U40" i="83"/>
  <c r="T56" i="83"/>
  <c r="U16" i="83"/>
  <c r="X84" i="83"/>
  <c r="Y57" i="83"/>
  <c r="I19" i="46" s="1"/>
  <c r="T58" i="83"/>
  <c r="Y66" i="83"/>
  <c r="I45" i="46" s="1"/>
  <c r="Y35" i="83"/>
  <c r="I15" i="77" s="1"/>
  <c r="Y43" i="83"/>
  <c r="I14" i="46" s="1"/>
  <c r="Y72" i="83"/>
  <c r="Y20" i="83"/>
  <c r="H19" i="71" s="1"/>
  <c r="U47" i="83"/>
  <c r="Y61" i="83"/>
  <c r="I36" i="46" s="1"/>
  <c r="U68" i="83"/>
  <c r="W83" i="83"/>
  <c r="D77" i="83"/>
  <c r="V77" i="83"/>
  <c r="R78" i="83"/>
  <c r="O79" i="83"/>
  <c r="L80" i="83"/>
  <c r="Q81" i="83"/>
  <c r="N82" i="83"/>
  <c r="W82" i="83"/>
  <c r="K83" i="83"/>
  <c r="H84" i="83"/>
  <c r="P84" i="83"/>
  <c r="H17" i="71"/>
  <c r="T19" i="83"/>
  <c r="Y33" i="83"/>
  <c r="I13" i="77" s="1"/>
  <c r="T34" i="83"/>
  <c r="Y41" i="83"/>
  <c r="I21" i="77" s="1"/>
  <c r="T42" i="83"/>
  <c r="Y49" i="83"/>
  <c r="I25" i="46" s="1"/>
  <c r="T50" i="83"/>
  <c r="Y54" i="83"/>
  <c r="I41" i="46" s="1"/>
  <c r="T55" i="83"/>
  <c r="T63" i="83"/>
  <c r="I101" i="29" s="1"/>
  <c r="Y70" i="83"/>
  <c r="I48" i="46" s="1"/>
  <c r="F77" i="83"/>
  <c r="N77" i="83"/>
  <c r="W77" i="83"/>
  <c r="K78" i="83"/>
  <c r="H79" i="83"/>
  <c r="P79" i="83"/>
  <c r="D80" i="83"/>
  <c r="M80" i="83"/>
  <c r="V80" i="83"/>
  <c r="J81" i="83"/>
  <c r="R81" i="83"/>
  <c r="G82" i="83"/>
  <c r="O82" i="83"/>
  <c r="X82" i="83"/>
  <c r="L83" i="83"/>
  <c r="Q84" i="83"/>
  <c r="M77" i="83"/>
  <c r="J78" i="83"/>
  <c r="G79" i="83"/>
  <c r="X79" i="83"/>
  <c r="F82" i="83"/>
  <c r="U19" i="83"/>
  <c r="U34" i="83"/>
  <c r="T39" i="83"/>
  <c r="U42" i="83"/>
  <c r="Y46" i="83"/>
  <c r="I17" i="46" s="1"/>
  <c r="T47" i="83"/>
  <c r="U50" i="83"/>
  <c r="Y51" i="83"/>
  <c r="I31" i="46" s="1"/>
  <c r="T52" i="83"/>
  <c r="U55" i="83"/>
  <c r="Y59" i="83"/>
  <c r="I27" i="46" s="1"/>
  <c r="U63" i="83"/>
  <c r="T68" i="83"/>
  <c r="G77" i="83"/>
  <c r="O77" i="83"/>
  <c r="X77" i="83"/>
  <c r="L78" i="83"/>
  <c r="Q79" i="83"/>
  <c r="F80" i="83"/>
  <c r="N80" i="83"/>
  <c r="W80" i="83"/>
  <c r="K81" i="83"/>
  <c r="H82" i="83"/>
  <c r="P82" i="83"/>
  <c r="D83" i="83"/>
  <c r="M83" i="83"/>
  <c r="V83" i="83"/>
  <c r="J84" i="83"/>
  <c r="R84" i="83"/>
  <c r="M78" i="83"/>
  <c r="G80" i="83"/>
  <c r="X80" i="83"/>
  <c r="Q82" i="83"/>
  <c r="Y17" i="83"/>
  <c r="H16" i="71" s="1"/>
  <c r="T33" i="83"/>
  <c r="T41" i="83"/>
  <c r="T49" i="83"/>
  <c r="T54" i="83"/>
  <c r="T70" i="83"/>
  <c r="Q77" i="83"/>
  <c r="F78" i="83"/>
  <c r="N78" i="83"/>
  <c r="W78" i="83"/>
  <c r="K79" i="83"/>
  <c r="T79" i="83"/>
  <c r="H80" i="83"/>
  <c r="P80" i="83"/>
  <c r="D81" i="83"/>
  <c r="M81" i="83"/>
  <c r="V81" i="83"/>
  <c r="J82" i="83"/>
  <c r="R82" i="83"/>
  <c r="G83" i="83"/>
  <c r="O83" i="83"/>
  <c r="X83" i="83"/>
  <c r="L84" i="83"/>
  <c r="P77" i="83"/>
  <c r="V78" i="83"/>
  <c r="O80" i="83"/>
  <c r="F83" i="83"/>
  <c r="K84" i="83"/>
  <c r="T51" i="83"/>
  <c r="I92" i="29" s="1"/>
  <c r="T59" i="83"/>
  <c r="J77" i="83"/>
  <c r="R77" i="83"/>
  <c r="G78" i="83"/>
  <c r="O78" i="83"/>
  <c r="X78" i="83"/>
  <c r="L79" i="83"/>
  <c r="U79" i="83"/>
  <c r="Q80" i="83"/>
  <c r="F81" i="83"/>
  <c r="N81" i="83"/>
  <c r="W81" i="83"/>
  <c r="K82" i="83"/>
  <c r="H83" i="83"/>
  <c r="P83" i="83"/>
  <c r="D84" i="83"/>
  <c r="M84" i="83"/>
  <c r="V84" i="83"/>
  <c r="H77" i="83"/>
  <c r="J79" i="83"/>
  <c r="N83" i="83"/>
  <c r="T35" i="83"/>
  <c r="T43" i="83"/>
  <c r="K77" i="83"/>
  <c r="H78" i="83"/>
  <c r="P78" i="83"/>
  <c r="D79" i="83"/>
  <c r="M79" i="83"/>
  <c r="V79" i="83"/>
  <c r="J80" i="83"/>
  <c r="R80" i="83"/>
  <c r="G81" i="83"/>
  <c r="O81" i="83"/>
  <c r="X81" i="83"/>
  <c r="L82" i="83"/>
  <c r="Q83" i="83"/>
  <c r="F84" i="83"/>
  <c r="N84" i="83"/>
  <c r="W84" i="83"/>
  <c r="D78" i="83"/>
  <c r="R79" i="83"/>
  <c r="L81" i="83"/>
  <c r="L77" i="83"/>
  <c r="Q78" i="83"/>
  <c r="F79" i="83"/>
  <c r="N79" i="83"/>
  <c r="W79" i="83"/>
  <c r="K80" i="83"/>
  <c r="H81" i="83"/>
  <c r="P81" i="83"/>
  <c r="D82" i="83"/>
  <c r="M82" i="83"/>
  <c r="V82" i="83"/>
  <c r="J83" i="83"/>
  <c r="R83" i="83"/>
  <c r="G84" i="83"/>
  <c r="O84" i="83"/>
  <c r="I71" i="67"/>
  <c r="I70" i="67"/>
  <c r="E70" i="67"/>
  <c r="I69" i="67"/>
  <c r="E69" i="67"/>
  <c r="I68" i="67"/>
  <c r="E68" i="67"/>
  <c r="I67" i="67"/>
  <c r="E67" i="67"/>
  <c r="I66" i="67"/>
  <c r="E66" i="67"/>
  <c r="I65" i="67"/>
  <c r="E65" i="67"/>
  <c r="I64" i="67"/>
  <c r="E64" i="67"/>
  <c r="I63" i="67"/>
  <c r="E63" i="67"/>
  <c r="D63" i="67"/>
  <c r="I62" i="67"/>
  <c r="E62" i="67"/>
  <c r="I61" i="67"/>
  <c r="E61" i="67"/>
  <c r="I60" i="67"/>
  <c r="E60" i="67"/>
  <c r="I59" i="67"/>
  <c r="E59" i="67"/>
  <c r="I58" i="67"/>
  <c r="E58" i="67"/>
  <c r="I57" i="67"/>
  <c r="E57" i="67"/>
  <c r="I56" i="67"/>
  <c r="E56" i="67"/>
  <c r="I55" i="67"/>
  <c r="E55" i="67"/>
  <c r="I54" i="67"/>
  <c r="E54" i="67"/>
  <c r="I53" i="67"/>
  <c r="E53" i="67"/>
  <c r="I52" i="67"/>
  <c r="E52" i="67"/>
  <c r="I51" i="67"/>
  <c r="I50" i="67"/>
  <c r="E50" i="67"/>
  <c r="I49" i="67"/>
  <c r="E49" i="67"/>
  <c r="I48" i="67"/>
  <c r="E48" i="67"/>
  <c r="I47" i="67"/>
  <c r="E47" i="67"/>
  <c r="I46" i="67"/>
  <c r="E46" i="67"/>
  <c r="I45" i="67"/>
  <c r="E45" i="67"/>
  <c r="I44" i="67"/>
  <c r="E44" i="67"/>
  <c r="I43" i="67"/>
  <c r="E43" i="67"/>
  <c r="I42" i="67"/>
  <c r="E42" i="67"/>
  <c r="I41" i="67"/>
  <c r="E41" i="67"/>
  <c r="I40" i="67"/>
  <c r="E40" i="67"/>
  <c r="I39" i="67"/>
  <c r="E39" i="67"/>
  <c r="I38" i="67"/>
  <c r="E38" i="67"/>
  <c r="I37" i="67"/>
  <c r="E37" i="67"/>
  <c r="I36" i="67"/>
  <c r="U36" i="67" s="1"/>
  <c r="E36" i="67"/>
  <c r="I35" i="67"/>
  <c r="E35" i="67"/>
  <c r="I34" i="67"/>
  <c r="E34" i="67"/>
  <c r="I33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I21" i="67"/>
  <c r="I20" i="67"/>
  <c r="E20" i="67"/>
  <c r="I19" i="67"/>
  <c r="E19" i="67"/>
  <c r="I18" i="67"/>
  <c r="I17" i="67"/>
  <c r="E17" i="67"/>
  <c r="I16" i="67"/>
  <c r="I15" i="67"/>
  <c r="E15" i="67"/>
  <c r="E14" i="67"/>
  <c r="I13" i="67"/>
  <c r="I12" i="67"/>
  <c r="E12" i="67"/>
  <c r="I11" i="67"/>
  <c r="E11" i="67"/>
  <c r="I10" i="67"/>
  <c r="E10" i="67"/>
  <c r="I9" i="67"/>
  <c r="E9" i="67"/>
  <c r="P5" i="67"/>
  <c r="O5" i="67"/>
  <c r="N5" i="67"/>
  <c r="M5" i="67"/>
  <c r="L5" i="67"/>
  <c r="K5" i="67"/>
  <c r="J5" i="67"/>
  <c r="G5" i="67"/>
  <c r="H18" i="71" l="1"/>
  <c r="H59" i="71" s="1"/>
  <c r="H169" i="75"/>
  <c r="H170" i="75"/>
  <c r="I59" i="50"/>
  <c r="H60" i="50" s="1"/>
  <c r="I59" i="29"/>
  <c r="I60" i="29"/>
  <c r="I59" i="61"/>
  <c r="H60" i="61" s="1"/>
  <c r="I59" i="78"/>
  <c r="H61" i="78" s="1"/>
  <c r="L43" i="49"/>
  <c r="L27" i="49"/>
  <c r="L19" i="49"/>
  <c r="L36" i="49"/>
  <c r="L35" i="49"/>
  <c r="L42" i="49"/>
  <c r="L47" i="49"/>
  <c r="L44" i="49"/>
  <c r="L49" i="49"/>
  <c r="L40" i="49"/>
  <c r="L31" i="49"/>
  <c r="I156" i="29"/>
  <c r="L25" i="49"/>
  <c r="L22" i="49"/>
  <c r="L17" i="49"/>
  <c r="I59" i="30"/>
  <c r="I60" i="30"/>
  <c r="L14" i="49"/>
  <c r="I60" i="77"/>
  <c r="I59" i="77"/>
  <c r="I73" i="77" s="1"/>
  <c r="I60" i="46"/>
  <c r="I61" i="46"/>
  <c r="T78" i="83"/>
  <c r="U82" i="83"/>
  <c r="U77" i="83"/>
  <c r="T84" i="83"/>
  <c r="I84" i="83"/>
  <c r="I79" i="83"/>
  <c r="T83" i="83"/>
  <c r="U84" i="83"/>
  <c r="U78" i="83"/>
  <c r="T80" i="83"/>
  <c r="T81" i="83"/>
  <c r="U80" i="83"/>
  <c r="T77" i="83"/>
  <c r="I81" i="83"/>
  <c r="I77" i="83"/>
  <c r="T82" i="83"/>
  <c r="U81" i="83"/>
  <c r="I83" i="83"/>
  <c r="U83" i="83"/>
  <c r="I78" i="83"/>
  <c r="I80" i="83"/>
  <c r="I82" i="83"/>
  <c r="I45" i="10"/>
  <c r="H60" i="71" l="1"/>
  <c r="H73" i="71"/>
  <c r="I60" i="81"/>
  <c r="I59" i="81"/>
  <c r="I78" i="46"/>
  <c r="I82" i="46"/>
  <c r="L12" i="78" l="1"/>
  <c r="M12" i="78"/>
  <c r="E812" i="58" l="1"/>
  <c r="E813" i="58"/>
  <c r="E814" i="58"/>
  <c r="E815" i="58"/>
  <c r="E816" i="58"/>
  <c r="E817" i="58"/>
  <c r="E818" i="58"/>
  <c r="E819" i="58"/>
  <c r="E820" i="58"/>
  <c r="E197" i="57"/>
  <c r="E198" i="57"/>
  <c r="E199" i="57"/>
  <c r="E200" i="57"/>
  <c r="E201" i="57"/>
  <c r="E202" i="57"/>
  <c r="E203" i="57"/>
  <c r="E204" i="57"/>
  <c r="E205" i="57"/>
  <c r="L12" i="77"/>
  <c r="M12" i="77"/>
  <c r="J140" i="76" l="1"/>
  <c r="J148" i="76"/>
  <c r="J156" i="76"/>
  <c r="J164" i="76"/>
  <c r="J153" i="81"/>
  <c r="J104" i="81"/>
  <c r="J24" i="81"/>
  <c r="J25" i="81"/>
  <c r="J26" i="81"/>
  <c r="J27" i="81"/>
  <c r="J28" i="81"/>
  <c r="J29" i="81"/>
  <c r="J30" i="81"/>
  <c r="J31" i="81"/>
  <c r="J32" i="81"/>
  <c r="J33" i="81"/>
  <c r="J34" i="81"/>
  <c r="J35" i="81"/>
  <c r="J36" i="81"/>
  <c r="J37" i="81"/>
  <c r="J38" i="81"/>
  <c r="J39" i="81"/>
  <c r="J40" i="81"/>
  <c r="J41" i="81"/>
  <c r="J42" i="81"/>
  <c r="J43" i="81"/>
  <c r="J44" i="81"/>
  <c r="J45" i="81"/>
  <c r="J46" i="81"/>
  <c r="J47" i="81"/>
  <c r="J48" i="81"/>
  <c r="J49" i="81"/>
  <c r="J50" i="81"/>
  <c r="J51" i="81"/>
  <c r="J52" i="81"/>
  <c r="J53" i="81"/>
  <c r="J54" i="81"/>
  <c r="J55" i="81"/>
  <c r="J56" i="81"/>
  <c r="J57" i="81"/>
  <c r="K24" i="80"/>
  <c r="K25" i="80"/>
  <c r="K26" i="80"/>
  <c r="K27" i="80"/>
  <c r="K28" i="80"/>
  <c r="K29" i="80"/>
  <c r="K30" i="80"/>
  <c r="K31" i="80"/>
  <c r="K32" i="80"/>
  <c r="K33" i="80"/>
  <c r="K34" i="80"/>
  <c r="K35" i="80"/>
  <c r="K36" i="80"/>
  <c r="K37" i="80"/>
  <c r="K38" i="80"/>
  <c r="K39" i="80"/>
  <c r="K40" i="80"/>
  <c r="K41" i="80"/>
  <c r="K42" i="80"/>
  <c r="K43" i="80"/>
  <c r="K44" i="80"/>
  <c r="K45" i="80"/>
  <c r="K46" i="80"/>
  <c r="K47" i="80"/>
  <c r="K48" i="80"/>
  <c r="K49" i="80"/>
  <c r="K50" i="80"/>
  <c r="K51" i="80"/>
  <c r="K52" i="80"/>
  <c r="K53" i="80"/>
  <c r="K54" i="80"/>
  <c r="J24" i="79"/>
  <c r="J25" i="79"/>
  <c r="J26" i="79"/>
  <c r="J27" i="79"/>
  <c r="J28" i="79"/>
  <c r="J29" i="79"/>
  <c r="J30" i="79"/>
  <c r="J31" i="79"/>
  <c r="J32" i="79"/>
  <c r="J33" i="79"/>
  <c r="J34" i="79"/>
  <c r="J35" i="79"/>
  <c r="J36" i="79"/>
  <c r="J37" i="79"/>
  <c r="J38" i="79"/>
  <c r="J39" i="79"/>
  <c r="J40" i="79"/>
  <c r="J41" i="79"/>
  <c r="J42" i="79"/>
  <c r="J43" i="79"/>
  <c r="J44" i="79"/>
  <c r="J45" i="79"/>
  <c r="J46" i="79"/>
  <c r="J47" i="79"/>
  <c r="J48" i="79"/>
  <c r="J49" i="79"/>
  <c r="J50" i="79"/>
  <c r="J51" i="79"/>
  <c r="J52" i="79"/>
  <c r="J53" i="79"/>
  <c r="J54" i="79"/>
  <c r="J55" i="79"/>
  <c r="J56" i="79"/>
  <c r="J57" i="79"/>
  <c r="J24" i="78"/>
  <c r="J25" i="78"/>
  <c r="J26" i="78"/>
  <c r="J27" i="78"/>
  <c r="J28" i="78"/>
  <c r="J29" i="78"/>
  <c r="J30" i="78"/>
  <c r="J31" i="78"/>
  <c r="J32" i="78"/>
  <c r="J33" i="78"/>
  <c r="J34" i="78"/>
  <c r="J35" i="78"/>
  <c r="J36" i="78"/>
  <c r="J37" i="78"/>
  <c r="J38" i="78"/>
  <c r="J39" i="78"/>
  <c r="J40" i="78"/>
  <c r="J41" i="78"/>
  <c r="J42" i="78"/>
  <c r="J43" i="78"/>
  <c r="J44" i="78"/>
  <c r="J45" i="78"/>
  <c r="J46" i="78"/>
  <c r="J47" i="78"/>
  <c r="J48" i="78"/>
  <c r="J49" i="78"/>
  <c r="J50" i="78"/>
  <c r="J51" i="78"/>
  <c r="J52" i="78"/>
  <c r="J53" i="78"/>
  <c r="J54" i="78"/>
  <c r="J55" i="78"/>
  <c r="J56" i="78"/>
  <c r="J57" i="78"/>
  <c r="C1" i="78"/>
  <c r="C1" i="79" s="1"/>
  <c r="C1" i="80" s="1"/>
  <c r="C1" i="81" s="1"/>
  <c r="J24" i="77"/>
  <c r="J25" i="77"/>
  <c r="J26" i="77"/>
  <c r="J27" i="77"/>
  <c r="J28" i="77"/>
  <c r="J29" i="77"/>
  <c r="J30" i="77"/>
  <c r="J31" i="77"/>
  <c r="J32" i="77"/>
  <c r="J33" i="77"/>
  <c r="J34" i="77"/>
  <c r="J35" i="77"/>
  <c r="J36" i="77"/>
  <c r="J37" i="77"/>
  <c r="J38" i="77"/>
  <c r="J39" i="77"/>
  <c r="J40" i="77"/>
  <c r="J41" i="77"/>
  <c r="J42" i="77"/>
  <c r="J43" i="77"/>
  <c r="J44" i="77"/>
  <c r="J45" i="77"/>
  <c r="J46" i="77"/>
  <c r="J47" i="77"/>
  <c r="J48" i="77"/>
  <c r="J49" i="77"/>
  <c r="J50" i="77"/>
  <c r="J51" i="77"/>
  <c r="J52" i="77"/>
  <c r="J53" i="77"/>
  <c r="J54" i="77"/>
  <c r="J55" i="77"/>
  <c r="J56" i="77"/>
  <c r="J57" i="77"/>
  <c r="J82" i="76"/>
  <c r="J90" i="76"/>
  <c r="J98" i="76"/>
  <c r="J106" i="76"/>
  <c r="J24" i="76"/>
  <c r="J25" i="76"/>
  <c r="J26" i="76"/>
  <c r="J27" i="76"/>
  <c r="J28" i="76"/>
  <c r="J29" i="76"/>
  <c r="J30" i="76"/>
  <c r="J31" i="76"/>
  <c r="J32" i="76"/>
  <c r="J33" i="76"/>
  <c r="J34" i="76"/>
  <c r="J35" i="76"/>
  <c r="J36" i="76"/>
  <c r="J37" i="76"/>
  <c r="J38" i="76"/>
  <c r="J39" i="76"/>
  <c r="J40" i="76"/>
  <c r="J41" i="76"/>
  <c r="J42" i="76"/>
  <c r="J43" i="76"/>
  <c r="J44" i="76"/>
  <c r="J45" i="76"/>
  <c r="J46" i="76"/>
  <c r="J47" i="76"/>
  <c r="J48" i="76"/>
  <c r="J49" i="76"/>
  <c r="J50" i="76"/>
  <c r="J51" i="76"/>
  <c r="J52" i="76"/>
  <c r="J53" i="76"/>
  <c r="J54" i="76"/>
  <c r="J55" i="76"/>
  <c r="J56" i="76"/>
  <c r="J57" i="76"/>
  <c r="C1" i="76"/>
  <c r="C168" i="81"/>
  <c r="A167" i="81"/>
  <c r="J167" i="81" s="1"/>
  <c r="A166" i="81"/>
  <c r="L166" i="81" s="1"/>
  <c r="A165" i="81"/>
  <c r="J165" i="81" s="1"/>
  <c r="A164" i="81"/>
  <c r="K164" i="81" s="1"/>
  <c r="A163" i="81"/>
  <c r="J163" i="81" s="1"/>
  <c r="K162" i="81"/>
  <c r="B162" i="81"/>
  <c r="A162" i="81"/>
  <c r="L162" i="81" s="1"/>
  <c r="A161" i="81"/>
  <c r="L161" i="81" s="1"/>
  <c r="A160" i="81"/>
  <c r="K160" i="81" s="1"/>
  <c r="A159" i="81"/>
  <c r="J159" i="81" s="1"/>
  <c r="A158" i="81"/>
  <c r="L158" i="81" s="1"/>
  <c r="K157" i="81"/>
  <c r="B157" i="81"/>
  <c r="A157" i="81"/>
  <c r="J157" i="81" s="1"/>
  <c r="A156" i="81"/>
  <c r="K156" i="81" s="1"/>
  <c r="A155" i="81"/>
  <c r="J155" i="81" s="1"/>
  <c r="A154" i="81"/>
  <c r="L154" i="81" s="1"/>
  <c r="K153" i="81"/>
  <c r="A153" i="81"/>
  <c r="L153" i="81" s="1"/>
  <c r="K152" i="81"/>
  <c r="B152" i="81"/>
  <c r="A152" i="81"/>
  <c r="J152" i="81" s="1"/>
  <c r="A151" i="81"/>
  <c r="L151" i="81" s="1"/>
  <c r="A150" i="81"/>
  <c r="J150" i="81" s="1"/>
  <c r="A149" i="81"/>
  <c r="L149" i="81" s="1"/>
  <c r="A148" i="81"/>
  <c r="J148" i="81" s="1"/>
  <c r="A147" i="81"/>
  <c r="L147" i="81" s="1"/>
  <c r="A146" i="81"/>
  <c r="L146" i="81" s="1"/>
  <c r="L145" i="81"/>
  <c r="A145" i="81"/>
  <c r="K145" i="81" s="1"/>
  <c r="A144" i="81"/>
  <c r="L144" i="81" s="1"/>
  <c r="K143" i="81"/>
  <c r="B143" i="81"/>
  <c r="A143" i="81"/>
  <c r="L143" i="81" s="1"/>
  <c r="A142" i="81"/>
  <c r="J142" i="81" s="1"/>
  <c r="B141" i="81"/>
  <c r="A141" i="81"/>
  <c r="J141" i="81" s="1"/>
  <c r="L140" i="81"/>
  <c r="K140" i="81"/>
  <c r="A140" i="81"/>
  <c r="J140" i="81" s="1"/>
  <c r="K139" i="81"/>
  <c r="A139" i="81"/>
  <c r="L139" i="81" s="1"/>
  <c r="L138" i="81"/>
  <c r="K138" i="81"/>
  <c r="A138" i="81"/>
  <c r="B138" i="81" s="1"/>
  <c r="K137" i="81"/>
  <c r="B137" i="81"/>
  <c r="A137" i="81"/>
  <c r="L137" i="81" s="1"/>
  <c r="L136" i="81"/>
  <c r="K136" i="81"/>
  <c r="B136" i="81"/>
  <c r="A136" i="81"/>
  <c r="J136" i="81" s="1"/>
  <c r="A135" i="81"/>
  <c r="L135" i="81" s="1"/>
  <c r="A134" i="81"/>
  <c r="L134" i="81" s="1"/>
  <c r="A133" i="81"/>
  <c r="A132" i="81"/>
  <c r="H132" i="81" s="1"/>
  <c r="A131" i="81"/>
  <c r="H131" i="81" s="1"/>
  <c r="A130" i="81"/>
  <c r="A129" i="81"/>
  <c r="A128" i="81"/>
  <c r="A127" i="81"/>
  <c r="B126" i="81"/>
  <c r="A126" i="81"/>
  <c r="A125" i="81"/>
  <c r="H125" i="81" s="1"/>
  <c r="B124" i="81"/>
  <c r="A124" i="81"/>
  <c r="H124" i="81" s="1"/>
  <c r="A123" i="81"/>
  <c r="H123" i="81" s="1"/>
  <c r="AB122" i="81"/>
  <c r="AA122" i="81"/>
  <c r="Z122" i="81"/>
  <c r="Y122" i="81"/>
  <c r="X122" i="81"/>
  <c r="W122" i="81"/>
  <c r="V122" i="81"/>
  <c r="U122" i="81"/>
  <c r="T122" i="81"/>
  <c r="S122" i="81"/>
  <c r="R122" i="81"/>
  <c r="Q122" i="81"/>
  <c r="P122" i="81"/>
  <c r="O122" i="81"/>
  <c r="N122" i="81"/>
  <c r="M122" i="81"/>
  <c r="L122" i="81"/>
  <c r="K121" i="81"/>
  <c r="L121" i="81" s="1"/>
  <c r="M121" i="81" s="1"/>
  <c r="N121" i="81" s="1"/>
  <c r="O121" i="81" s="1"/>
  <c r="P121" i="81" s="1"/>
  <c r="Q121" i="81" s="1"/>
  <c r="R121" i="81" s="1"/>
  <c r="S121" i="81" s="1"/>
  <c r="T121" i="81" s="1"/>
  <c r="U121" i="81" s="1"/>
  <c r="V121" i="81" s="1"/>
  <c r="W121" i="81" s="1"/>
  <c r="C113" i="81"/>
  <c r="A112" i="81"/>
  <c r="H112" i="81" s="1"/>
  <c r="A111" i="81"/>
  <c r="A110" i="81"/>
  <c r="A109" i="81"/>
  <c r="H109" i="81" s="1"/>
  <c r="A108" i="81"/>
  <c r="H108" i="81" s="1"/>
  <c r="A107" i="81"/>
  <c r="A106" i="81"/>
  <c r="H106" i="81" s="1"/>
  <c r="A105" i="81"/>
  <c r="A104" i="81"/>
  <c r="H104" i="81" s="1"/>
  <c r="A103" i="81"/>
  <c r="A102" i="81"/>
  <c r="H102" i="81" s="1"/>
  <c r="A101" i="81"/>
  <c r="K100" i="81"/>
  <c r="A100" i="81"/>
  <c r="H100" i="81" s="1"/>
  <c r="L99" i="81"/>
  <c r="A99" i="81"/>
  <c r="L98" i="81"/>
  <c r="A98" i="81"/>
  <c r="H98" i="81" s="1"/>
  <c r="A97" i="81"/>
  <c r="A96" i="81"/>
  <c r="H96" i="81" s="1"/>
  <c r="A95" i="81"/>
  <c r="A94" i="81"/>
  <c r="H94" i="81" s="1"/>
  <c r="A93" i="81"/>
  <c r="H93" i="81" s="1"/>
  <c r="A92" i="81"/>
  <c r="L91" i="81"/>
  <c r="A91" i="81"/>
  <c r="A90" i="81"/>
  <c r="A89" i="81"/>
  <c r="A88" i="81"/>
  <c r="H88" i="81" s="1"/>
  <c r="A87" i="81"/>
  <c r="A86" i="81"/>
  <c r="A85" i="81"/>
  <c r="L84" i="81"/>
  <c r="A84" i="81"/>
  <c r="A83" i="81"/>
  <c r="A82" i="81"/>
  <c r="A81" i="81"/>
  <c r="J81" i="81" s="1"/>
  <c r="L80" i="81"/>
  <c r="A80" i="81"/>
  <c r="A79" i="81"/>
  <c r="A78" i="81"/>
  <c r="A77" i="81"/>
  <c r="H77" i="81" s="1"/>
  <c r="A76" i="81"/>
  <c r="A75" i="81"/>
  <c r="H75" i="81" s="1"/>
  <c r="A74" i="81"/>
  <c r="B74" i="81" s="1"/>
  <c r="A73" i="81"/>
  <c r="B72" i="81"/>
  <c r="A72" i="81"/>
  <c r="A71" i="81"/>
  <c r="A70" i="81"/>
  <c r="A69" i="81"/>
  <c r="H69" i="81" s="1"/>
  <c r="A68" i="81"/>
  <c r="AB67" i="81"/>
  <c r="AA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M67" i="81"/>
  <c r="L67" i="81"/>
  <c r="L66" i="81"/>
  <c r="M66" i="81" s="1"/>
  <c r="N66" i="81" s="1"/>
  <c r="O66" i="81" s="1"/>
  <c r="P66" i="81" s="1"/>
  <c r="Q66" i="81" s="1"/>
  <c r="R66" i="81" s="1"/>
  <c r="S66" i="81" s="1"/>
  <c r="T66" i="81" s="1"/>
  <c r="U66" i="81" s="1"/>
  <c r="V66" i="81" s="1"/>
  <c r="W66" i="81" s="1"/>
  <c r="Y66" i="81" s="1"/>
  <c r="Z66" i="81" s="1"/>
  <c r="AA66" i="81" s="1"/>
  <c r="AB66" i="81" s="1"/>
  <c r="C58" i="81"/>
  <c r="K57" i="81"/>
  <c r="D57" i="81"/>
  <c r="C57" i="81" s="1"/>
  <c r="B57" i="81"/>
  <c r="K56" i="81"/>
  <c r="D56" i="81"/>
  <c r="D166" i="81" s="1"/>
  <c r="C166" i="81" s="1"/>
  <c r="B56" i="81"/>
  <c r="K55" i="81"/>
  <c r="D55" i="81"/>
  <c r="C55" i="81" s="1"/>
  <c r="B55" i="81"/>
  <c r="K54" i="81"/>
  <c r="D54" i="81"/>
  <c r="C54" i="81" s="1"/>
  <c r="B54" i="81"/>
  <c r="K53" i="81"/>
  <c r="D53" i="81"/>
  <c r="D163" i="81" s="1"/>
  <c r="C163" i="81" s="1"/>
  <c r="B53" i="81"/>
  <c r="K52" i="81"/>
  <c r="D52" i="81"/>
  <c r="B52" i="81"/>
  <c r="K51" i="81"/>
  <c r="D51" i="81"/>
  <c r="B51" i="81"/>
  <c r="K50" i="81"/>
  <c r="D50" i="81"/>
  <c r="B50" i="81"/>
  <c r="K49" i="81"/>
  <c r="D49" i="81"/>
  <c r="B49" i="81"/>
  <c r="K48" i="81"/>
  <c r="D48" i="81"/>
  <c r="B48" i="81"/>
  <c r="K47" i="81"/>
  <c r="D47" i="81"/>
  <c r="B47" i="81"/>
  <c r="K46" i="81"/>
  <c r="D46" i="81"/>
  <c r="B46" i="81"/>
  <c r="K45" i="81"/>
  <c r="D45" i="81"/>
  <c r="B45" i="81"/>
  <c r="K44" i="81"/>
  <c r="D44" i="81"/>
  <c r="B44" i="81"/>
  <c r="K43" i="81"/>
  <c r="D43" i="81"/>
  <c r="B43" i="81"/>
  <c r="K42" i="81"/>
  <c r="D42" i="81"/>
  <c r="C42" i="81" s="1"/>
  <c r="B42" i="81"/>
  <c r="K41" i="81"/>
  <c r="D41" i="81"/>
  <c r="C41" i="81" s="1"/>
  <c r="B41" i="81"/>
  <c r="K40" i="81"/>
  <c r="D40" i="81"/>
  <c r="D95" i="81" s="1"/>
  <c r="C95" i="81" s="1"/>
  <c r="B40" i="81"/>
  <c r="K39" i="81"/>
  <c r="D39" i="81"/>
  <c r="B39" i="81"/>
  <c r="K38" i="81"/>
  <c r="D38" i="81"/>
  <c r="B38" i="81"/>
  <c r="K37" i="81"/>
  <c r="D37" i="81"/>
  <c r="B37" i="81"/>
  <c r="K36" i="81"/>
  <c r="D36" i="81"/>
  <c r="B36" i="81"/>
  <c r="K35" i="81"/>
  <c r="D35" i="81"/>
  <c r="B35" i="81"/>
  <c r="K34" i="81"/>
  <c r="D34" i="81"/>
  <c r="C34" i="81" s="1"/>
  <c r="B34" i="81"/>
  <c r="K33" i="81"/>
  <c r="D33" i="81"/>
  <c r="C33" i="81" s="1"/>
  <c r="B33" i="81"/>
  <c r="K32" i="81"/>
  <c r="D32" i="81"/>
  <c r="C32" i="81" s="1"/>
  <c r="B32" i="81"/>
  <c r="K31" i="81"/>
  <c r="D31" i="81"/>
  <c r="B31" i="81"/>
  <c r="K30" i="81"/>
  <c r="D30" i="81"/>
  <c r="D140" i="81" s="1"/>
  <c r="C140" i="81" s="1"/>
  <c r="B30" i="81"/>
  <c r="K29" i="81"/>
  <c r="D29" i="81"/>
  <c r="C29" i="81" s="1"/>
  <c r="B29" i="81"/>
  <c r="K28" i="81"/>
  <c r="D28" i="81"/>
  <c r="C28" i="81" s="1"/>
  <c r="B28" i="81"/>
  <c r="K27" i="81"/>
  <c r="D27" i="81"/>
  <c r="D82" i="81" s="1"/>
  <c r="C82" i="81" s="1"/>
  <c r="B27" i="81"/>
  <c r="K26" i="81"/>
  <c r="D26" i="81"/>
  <c r="C26" i="81" s="1"/>
  <c r="B26" i="81"/>
  <c r="K25" i="81"/>
  <c r="D25" i="81"/>
  <c r="C25" i="81" s="1"/>
  <c r="B25" i="81"/>
  <c r="K24" i="81"/>
  <c r="D24" i="81"/>
  <c r="D134" i="81" s="1"/>
  <c r="C134" i="81" s="1"/>
  <c r="B24" i="81"/>
  <c r="B23" i="81"/>
  <c r="B22" i="81"/>
  <c r="B21" i="81"/>
  <c r="B20" i="81"/>
  <c r="B19" i="81"/>
  <c r="B18" i="81"/>
  <c r="B17" i="81"/>
  <c r="B16" i="81"/>
  <c r="B15" i="81"/>
  <c r="B14" i="81"/>
  <c r="B13" i="81"/>
  <c r="AB12" i="81"/>
  <c r="AA12" i="81"/>
  <c r="Z12" i="81"/>
  <c r="Y12" i="81"/>
  <c r="X12" i="81"/>
  <c r="W12" i="81"/>
  <c r="V12" i="81"/>
  <c r="U12" i="81"/>
  <c r="T12" i="81"/>
  <c r="S12" i="81"/>
  <c r="R12" i="81"/>
  <c r="Q12" i="81"/>
  <c r="P12" i="81"/>
  <c r="O12" i="81"/>
  <c r="N12" i="81"/>
  <c r="M12" i="81"/>
  <c r="L12" i="81"/>
  <c r="K11" i="81"/>
  <c r="L11" i="81" s="1"/>
  <c r="M11" i="81" s="1"/>
  <c r="N11" i="81" s="1"/>
  <c r="O11" i="81" s="1"/>
  <c r="P11" i="81" s="1"/>
  <c r="Q11" i="81" s="1"/>
  <c r="R11" i="81" s="1"/>
  <c r="S11" i="81" s="1"/>
  <c r="T11" i="81" s="1"/>
  <c r="U11" i="81" s="1"/>
  <c r="V11" i="81" s="1"/>
  <c r="W11" i="81" s="1"/>
  <c r="D59" i="80"/>
  <c r="I58" i="80"/>
  <c r="E58" i="80"/>
  <c r="D58" i="80" s="1"/>
  <c r="B58" i="80"/>
  <c r="H58" i="80" s="1"/>
  <c r="A58" i="80"/>
  <c r="E57" i="80"/>
  <c r="D57" i="80"/>
  <c r="A57" i="80"/>
  <c r="K57" i="80" s="1"/>
  <c r="E56" i="80"/>
  <c r="D56" i="80" s="1"/>
  <c r="A56" i="80"/>
  <c r="J55" i="80"/>
  <c r="E55" i="80"/>
  <c r="D55" i="80"/>
  <c r="B55" i="80"/>
  <c r="H55" i="80" s="1"/>
  <c r="A55" i="80"/>
  <c r="J54" i="80"/>
  <c r="D54" i="80"/>
  <c r="B54" i="80"/>
  <c r="H54" i="80" s="1"/>
  <c r="J53" i="80"/>
  <c r="D53" i="80"/>
  <c r="B53" i="80"/>
  <c r="H53" i="80" s="1"/>
  <c r="J52" i="80"/>
  <c r="D52" i="80"/>
  <c r="B52" i="80"/>
  <c r="G52" i="80" s="1"/>
  <c r="J51" i="80"/>
  <c r="D51" i="80"/>
  <c r="B51" i="80"/>
  <c r="I51" i="80" s="1"/>
  <c r="J50" i="80"/>
  <c r="D50" i="80"/>
  <c r="B50" i="80"/>
  <c r="I50" i="80" s="1"/>
  <c r="J49" i="80"/>
  <c r="D49" i="80"/>
  <c r="B49" i="80"/>
  <c r="G49" i="80" s="1"/>
  <c r="J48" i="80"/>
  <c r="D48" i="80"/>
  <c r="B48" i="80"/>
  <c r="I48" i="80" s="1"/>
  <c r="J47" i="80"/>
  <c r="G47" i="80"/>
  <c r="D47" i="80"/>
  <c r="B47" i="80"/>
  <c r="H47" i="80" s="1"/>
  <c r="J46" i="80"/>
  <c r="H46" i="80"/>
  <c r="D46" i="80"/>
  <c r="B46" i="80"/>
  <c r="J45" i="80"/>
  <c r="D45" i="80"/>
  <c r="B45" i="80"/>
  <c r="H45" i="80" s="1"/>
  <c r="J44" i="80"/>
  <c r="I44" i="80"/>
  <c r="D44" i="80"/>
  <c r="B44" i="80"/>
  <c r="G44" i="80" s="1"/>
  <c r="J43" i="80"/>
  <c r="D43" i="80"/>
  <c r="B43" i="80"/>
  <c r="I43" i="80" s="1"/>
  <c r="J42" i="80"/>
  <c r="D42" i="80"/>
  <c r="B42" i="80"/>
  <c r="G42" i="80" s="1"/>
  <c r="J41" i="80"/>
  <c r="D41" i="80"/>
  <c r="B41" i="80"/>
  <c r="I41" i="80" s="1"/>
  <c r="J40" i="80"/>
  <c r="D40" i="80"/>
  <c r="B40" i="80"/>
  <c r="H40" i="80" s="1"/>
  <c r="J39" i="80"/>
  <c r="D39" i="80"/>
  <c r="B39" i="80"/>
  <c r="G39" i="80" s="1"/>
  <c r="J38" i="80"/>
  <c r="D38" i="80"/>
  <c r="B38" i="80"/>
  <c r="I38" i="80" s="1"/>
  <c r="J37" i="80"/>
  <c r="D37" i="80"/>
  <c r="B37" i="80"/>
  <c r="H37" i="80" s="1"/>
  <c r="J36" i="80"/>
  <c r="D36" i="80"/>
  <c r="B36" i="80"/>
  <c r="G36" i="80" s="1"/>
  <c r="J35" i="80"/>
  <c r="D35" i="80"/>
  <c r="B35" i="80"/>
  <c r="H35" i="80" s="1"/>
  <c r="J34" i="80"/>
  <c r="D34" i="80"/>
  <c r="B34" i="80"/>
  <c r="I34" i="80" s="1"/>
  <c r="J33" i="80"/>
  <c r="D33" i="80"/>
  <c r="B33" i="80"/>
  <c r="I33" i="80" s="1"/>
  <c r="J32" i="80"/>
  <c r="D32" i="80"/>
  <c r="B32" i="80"/>
  <c r="H32" i="80" s="1"/>
  <c r="J31" i="80"/>
  <c r="D31" i="80"/>
  <c r="B31" i="80"/>
  <c r="J30" i="80"/>
  <c r="D30" i="80"/>
  <c r="B30" i="80"/>
  <c r="I30" i="80" s="1"/>
  <c r="J29" i="80"/>
  <c r="D29" i="80"/>
  <c r="B29" i="80"/>
  <c r="H29" i="80" s="1"/>
  <c r="J28" i="80"/>
  <c r="D28" i="80"/>
  <c r="B28" i="80"/>
  <c r="G28" i="80" s="1"/>
  <c r="J27" i="80"/>
  <c r="D27" i="80"/>
  <c r="B27" i="80"/>
  <c r="H27" i="80" s="1"/>
  <c r="J26" i="80"/>
  <c r="D26" i="80"/>
  <c r="B26" i="80"/>
  <c r="G26" i="80" s="1"/>
  <c r="J25" i="80"/>
  <c r="D25" i="80"/>
  <c r="B25" i="80"/>
  <c r="J24" i="80"/>
  <c r="B24" i="80"/>
  <c r="G24" i="80" s="1"/>
  <c r="B23" i="80"/>
  <c r="H23" i="80" s="1"/>
  <c r="B22" i="80"/>
  <c r="G22" i="80" s="1"/>
  <c r="B21" i="80"/>
  <c r="I21" i="80" s="1"/>
  <c r="B20" i="80"/>
  <c r="B19" i="80"/>
  <c r="B18" i="80"/>
  <c r="B17" i="80"/>
  <c r="G17" i="80" s="1"/>
  <c r="B16" i="80"/>
  <c r="I16" i="80" s="1"/>
  <c r="B15" i="80"/>
  <c r="H15" i="80" s="1"/>
  <c r="D14" i="80"/>
  <c r="D15" i="80" s="1"/>
  <c r="B14" i="80"/>
  <c r="G14" i="80" s="1"/>
  <c r="AC13" i="80"/>
  <c r="AB13" i="80"/>
  <c r="AA13" i="80"/>
  <c r="Z13" i="80"/>
  <c r="Z12" i="80"/>
  <c r="G12" i="80"/>
  <c r="H12" i="80" s="1"/>
  <c r="AJ58" i="79"/>
  <c r="C58" i="79"/>
  <c r="AF57" i="79"/>
  <c r="AG57" i="79" s="1"/>
  <c r="AH57" i="79" s="1"/>
  <c r="AI57" i="79" s="1"/>
  <c r="AD57" i="79"/>
  <c r="K57" i="79"/>
  <c r="D57" i="79"/>
  <c r="C57" i="79" s="1"/>
  <c r="B57" i="79"/>
  <c r="AF56" i="79"/>
  <c r="AG56" i="79" s="1"/>
  <c r="AH56" i="79" s="1"/>
  <c r="AD56" i="79"/>
  <c r="K56" i="79"/>
  <c r="D56" i="79"/>
  <c r="C56" i="79" s="1"/>
  <c r="B56" i="79"/>
  <c r="AF55" i="79"/>
  <c r="AG55" i="79" s="1"/>
  <c r="AH55" i="79" s="1"/>
  <c r="AD55" i="79"/>
  <c r="K55" i="79"/>
  <c r="D55" i="79"/>
  <c r="C55" i="79" s="1"/>
  <c r="B55" i="79"/>
  <c r="AF54" i="79"/>
  <c r="AG54" i="79" s="1"/>
  <c r="AH54" i="79" s="1"/>
  <c r="AD54" i="79"/>
  <c r="K54" i="79"/>
  <c r="D54" i="79"/>
  <c r="C54" i="79" s="1"/>
  <c r="B54" i="79"/>
  <c r="AE53" i="79"/>
  <c r="AG53" i="79" s="1"/>
  <c r="AH53" i="79" s="1"/>
  <c r="K53" i="79"/>
  <c r="D53" i="79"/>
  <c r="C53" i="79" s="1"/>
  <c r="B53" i="79"/>
  <c r="AE52" i="79"/>
  <c r="AG52" i="79" s="1"/>
  <c r="AH52" i="79" s="1"/>
  <c r="K52" i="79"/>
  <c r="D52" i="79"/>
  <c r="C52" i="79" s="1"/>
  <c r="B52" i="79"/>
  <c r="AE51" i="79"/>
  <c r="AG51" i="79" s="1"/>
  <c r="AH51" i="79" s="1"/>
  <c r="K51" i="79"/>
  <c r="D51" i="79"/>
  <c r="C51" i="79" s="1"/>
  <c r="B51" i="79"/>
  <c r="AE50" i="79"/>
  <c r="AG50" i="79" s="1"/>
  <c r="AH50" i="79" s="1"/>
  <c r="K50" i="79"/>
  <c r="D50" i="79"/>
  <c r="C50" i="79" s="1"/>
  <c r="B50" i="79"/>
  <c r="AE49" i="79"/>
  <c r="AG49" i="79" s="1"/>
  <c r="AH49" i="79" s="1"/>
  <c r="K49" i="79"/>
  <c r="D49" i="79"/>
  <c r="C49" i="79" s="1"/>
  <c r="B49" i="79"/>
  <c r="AE48" i="79"/>
  <c r="AG48" i="79" s="1"/>
  <c r="AH48" i="79" s="1"/>
  <c r="K48" i="79"/>
  <c r="D48" i="79"/>
  <c r="C48" i="79" s="1"/>
  <c r="B48" i="79"/>
  <c r="AE47" i="79"/>
  <c r="AG47" i="79" s="1"/>
  <c r="AH47" i="79" s="1"/>
  <c r="K47" i="79"/>
  <c r="D47" i="79"/>
  <c r="C47" i="79" s="1"/>
  <c r="B47" i="79"/>
  <c r="AE46" i="79"/>
  <c r="AG46" i="79" s="1"/>
  <c r="AH46" i="79" s="1"/>
  <c r="K46" i="79"/>
  <c r="D46" i="79"/>
  <c r="C46" i="79" s="1"/>
  <c r="B46" i="79"/>
  <c r="AE45" i="79"/>
  <c r="AG45" i="79" s="1"/>
  <c r="AH45" i="79" s="1"/>
  <c r="K45" i="79"/>
  <c r="D45" i="79"/>
  <c r="C45" i="79" s="1"/>
  <c r="B45" i="79"/>
  <c r="AE44" i="79"/>
  <c r="AG44" i="79" s="1"/>
  <c r="AH44" i="79" s="1"/>
  <c r="K44" i="79"/>
  <c r="D44" i="79"/>
  <c r="C44" i="79" s="1"/>
  <c r="B44" i="79"/>
  <c r="AE43" i="79"/>
  <c r="AG43" i="79" s="1"/>
  <c r="AH43" i="79" s="1"/>
  <c r="K43" i="79"/>
  <c r="D43" i="79"/>
  <c r="C43" i="79" s="1"/>
  <c r="B43" i="79"/>
  <c r="AE42" i="79"/>
  <c r="AG42" i="79" s="1"/>
  <c r="AH42" i="79" s="1"/>
  <c r="K42" i="79"/>
  <c r="D42" i="79"/>
  <c r="C42" i="79" s="1"/>
  <c r="B42" i="79"/>
  <c r="AE41" i="79"/>
  <c r="AG41" i="79" s="1"/>
  <c r="AH41" i="79" s="1"/>
  <c r="K41" i="79"/>
  <c r="D41" i="79"/>
  <c r="C41" i="79" s="1"/>
  <c r="B41" i="79"/>
  <c r="AE40" i="79"/>
  <c r="AG40" i="79" s="1"/>
  <c r="AH40" i="79" s="1"/>
  <c r="K40" i="79"/>
  <c r="D40" i="79"/>
  <c r="C40" i="79" s="1"/>
  <c r="B40" i="79"/>
  <c r="AE39" i="79"/>
  <c r="AG39" i="79" s="1"/>
  <c r="AH39" i="79" s="1"/>
  <c r="K39" i="79"/>
  <c r="D39" i="79"/>
  <c r="C39" i="79" s="1"/>
  <c r="B39" i="79"/>
  <c r="AE38" i="79"/>
  <c r="AG38" i="79" s="1"/>
  <c r="AH38" i="79" s="1"/>
  <c r="K38" i="79"/>
  <c r="D38" i="79"/>
  <c r="C38" i="79" s="1"/>
  <c r="B38" i="79"/>
  <c r="AE37" i="79"/>
  <c r="AG37" i="79" s="1"/>
  <c r="AH37" i="79" s="1"/>
  <c r="K37" i="79"/>
  <c r="D37" i="79"/>
  <c r="C37" i="79" s="1"/>
  <c r="B37" i="79"/>
  <c r="AE36" i="79"/>
  <c r="AG36" i="79" s="1"/>
  <c r="AH36" i="79" s="1"/>
  <c r="K36" i="79"/>
  <c r="D36" i="79"/>
  <c r="C36" i="79" s="1"/>
  <c r="B36" i="79"/>
  <c r="AE35" i="79"/>
  <c r="AG35" i="79" s="1"/>
  <c r="AH35" i="79" s="1"/>
  <c r="K35" i="79"/>
  <c r="D35" i="79"/>
  <c r="C35" i="79" s="1"/>
  <c r="B35" i="79"/>
  <c r="AE34" i="79"/>
  <c r="AG34" i="79" s="1"/>
  <c r="AH34" i="79" s="1"/>
  <c r="K34" i="79"/>
  <c r="D34" i="79"/>
  <c r="C34" i="79" s="1"/>
  <c r="B34" i="79"/>
  <c r="AE33" i="79"/>
  <c r="AG33" i="79" s="1"/>
  <c r="AH33" i="79" s="1"/>
  <c r="AI33" i="79" s="1"/>
  <c r="K33" i="79"/>
  <c r="D33" i="79"/>
  <c r="C33" i="79" s="1"/>
  <c r="B33" i="79"/>
  <c r="AE32" i="79"/>
  <c r="AG32" i="79" s="1"/>
  <c r="AH32" i="79" s="1"/>
  <c r="K32" i="79"/>
  <c r="D32" i="79"/>
  <c r="C32" i="79" s="1"/>
  <c r="B32" i="79"/>
  <c r="AE31" i="79"/>
  <c r="AG31" i="79" s="1"/>
  <c r="AH31" i="79" s="1"/>
  <c r="K31" i="79"/>
  <c r="D31" i="79"/>
  <c r="C31" i="79" s="1"/>
  <c r="B31" i="79"/>
  <c r="AE30" i="79"/>
  <c r="AG30" i="79" s="1"/>
  <c r="AH30" i="79" s="1"/>
  <c r="K30" i="79"/>
  <c r="D30" i="79"/>
  <c r="C30" i="79" s="1"/>
  <c r="B30" i="79"/>
  <c r="AE29" i="79"/>
  <c r="AG29" i="79" s="1"/>
  <c r="AH29" i="79" s="1"/>
  <c r="K29" i="79"/>
  <c r="D29" i="79"/>
  <c r="C29" i="79" s="1"/>
  <c r="B29" i="79"/>
  <c r="AE28" i="79"/>
  <c r="AG28" i="79" s="1"/>
  <c r="AH28" i="79" s="1"/>
  <c r="K28" i="79"/>
  <c r="D28" i="79"/>
  <c r="C28" i="79" s="1"/>
  <c r="B28" i="79"/>
  <c r="AE27" i="79"/>
  <c r="AG27" i="79" s="1"/>
  <c r="AH27" i="79" s="1"/>
  <c r="K27" i="79"/>
  <c r="D27" i="79"/>
  <c r="C27" i="79" s="1"/>
  <c r="B27" i="79"/>
  <c r="AE26" i="79"/>
  <c r="AG26" i="79" s="1"/>
  <c r="AH26" i="79" s="1"/>
  <c r="K26" i="79"/>
  <c r="D26" i="79"/>
  <c r="C26" i="79" s="1"/>
  <c r="B26" i="79"/>
  <c r="AE25" i="79"/>
  <c r="AG25" i="79" s="1"/>
  <c r="AH25" i="79" s="1"/>
  <c r="K25" i="79"/>
  <c r="D25" i="79"/>
  <c r="C25" i="79" s="1"/>
  <c r="B25" i="79"/>
  <c r="AE24" i="79"/>
  <c r="AG24" i="79" s="1"/>
  <c r="AH24" i="79" s="1"/>
  <c r="K24" i="79"/>
  <c r="D24" i="79"/>
  <c r="C24" i="79" s="1"/>
  <c r="B24" i="79"/>
  <c r="AE23" i="79"/>
  <c r="AG23" i="79" s="1"/>
  <c r="AH23" i="79" s="1"/>
  <c r="B23" i="79"/>
  <c r="AE22" i="79"/>
  <c r="AG22" i="79" s="1"/>
  <c r="AH22" i="79" s="1"/>
  <c r="B22" i="79"/>
  <c r="AE21" i="79"/>
  <c r="AG21" i="79" s="1"/>
  <c r="AH21" i="79" s="1"/>
  <c r="B21" i="79"/>
  <c r="AE20" i="79"/>
  <c r="AG20" i="79" s="1"/>
  <c r="AH20" i="79" s="1"/>
  <c r="B20" i="79"/>
  <c r="B19" i="79"/>
  <c r="AE18" i="79"/>
  <c r="AG18" i="79" s="1"/>
  <c r="AH18" i="79" s="1"/>
  <c r="B18" i="79"/>
  <c r="AE17" i="79"/>
  <c r="AG17" i="79" s="1"/>
  <c r="AH17" i="79" s="1"/>
  <c r="AI17" i="79" s="1"/>
  <c r="B17" i="79"/>
  <c r="AE16" i="79"/>
  <c r="AG16" i="79" s="1"/>
  <c r="AH16" i="79" s="1"/>
  <c r="B16" i="79"/>
  <c r="AE15" i="79"/>
  <c r="AG15" i="79" s="1"/>
  <c r="AH15" i="79" s="1"/>
  <c r="B15" i="79"/>
  <c r="AE14" i="79"/>
  <c r="AG14" i="79" s="1"/>
  <c r="AH14" i="79" s="1"/>
  <c r="B14" i="79"/>
  <c r="BD13" i="79"/>
  <c r="AE13" i="79"/>
  <c r="AG13" i="79" s="1"/>
  <c r="AH13" i="79" s="1"/>
  <c r="B13" i="79"/>
  <c r="X12" i="79"/>
  <c r="W12" i="79"/>
  <c r="V12" i="79"/>
  <c r="U12" i="79"/>
  <c r="T12" i="79"/>
  <c r="S12" i="79"/>
  <c r="R12" i="79"/>
  <c r="Q12" i="79"/>
  <c r="P12" i="79"/>
  <c r="O12" i="79"/>
  <c r="N12" i="79"/>
  <c r="M12" i="79"/>
  <c r="L12" i="79"/>
  <c r="K11" i="79"/>
  <c r="L11" i="79" s="1"/>
  <c r="M11" i="79" s="1"/>
  <c r="N11" i="79" s="1"/>
  <c r="O11" i="79" s="1"/>
  <c r="P11" i="79" s="1"/>
  <c r="Q11" i="79" s="1"/>
  <c r="R11" i="79" s="1"/>
  <c r="S11" i="79" s="1"/>
  <c r="T11" i="79" s="1"/>
  <c r="U11" i="79" s="1"/>
  <c r="V11" i="79" s="1"/>
  <c r="W11" i="79" s="1"/>
  <c r="C58" i="78"/>
  <c r="AF57" i="78"/>
  <c r="AG57" i="78" s="1"/>
  <c r="AH57" i="78" s="1"/>
  <c r="AD57" i="78"/>
  <c r="L57" i="78"/>
  <c r="K57" i="78"/>
  <c r="D57" i="78"/>
  <c r="C57" i="78" s="1"/>
  <c r="B57" i="78"/>
  <c r="AF56" i="78"/>
  <c r="AG56" i="78" s="1"/>
  <c r="AH56" i="78" s="1"/>
  <c r="AD56" i="78"/>
  <c r="L56" i="78"/>
  <c r="K56" i="78"/>
  <c r="D56" i="78"/>
  <c r="C56" i="78" s="1"/>
  <c r="B56" i="78"/>
  <c r="AF55" i="78"/>
  <c r="AG55" i="78" s="1"/>
  <c r="AH55" i="78" s="1"/>
  <c r="AD55" i="78"/>
  <c r="L55" i="78"/>
  <c r="K55" i="78"/>
  <c r="D55" i="78"/>
  <c r="C55" i="78" s="1"/>
  <c r="B55" i="78"/>
  <c r="AF54" i="78"/>
  <c r="AG54" i="78" s="1"/>
  <c r="AH54" i="78" s="1"/>
  <c r="AD54" i="78"/>
  <c r="L54" i="78"/>
  <c r="K54" i="78"/>
  <c r="D54" i="78"/>
  <c r="C54" i="78" s="1"/>
  <c r="B54" i="78"/>
  <c r="AG53" i="78"/>
  <c r="AH53" i="78" s="1"/>
  <c r="L53" i="78"/>
  <c r="AT53" i="78" s="1"/>
  <c r="K53" i="78"/>
  <c r="D53" i="78"/>
  <c r="C53" i="78" s="1"/>
  <c r="B53" i="78"/>
  <c r="AG52" i="78"/>
  <c r="AH52" i="78" s="1"/>
  <c r="L52" i="78"/>
  <c r="AT52" i="78" s="1"/>
  <c r="K52" i="78"/>
  <c r="D52" i="78"/>
  <c r="C52" i="78" s="1"/>
  <c r="B52" i="78"/>
  <c r="AG51" i="78"/>
  <c r="AH51" i="78" s="1"/>
  <c r="L51" i="78"/>
  <c r="AT51" i="78" s="1"/>
  <c r="K51" i="78"/>
  <c r="D51" i="78"/>
  <c r="C51" i="78" s="1"/>
  <c r="B51" i="78"/>
  <c r="AG50" i="78"/>
  <c r="AH50" i="78" s="1"/>
  <c r="L50" i="78"/>
  <c r="AT50" i="78" s="1"/>
  <c r="K50" i="78"/>
  <c r="D50" i="78"/>
  <c r="C50" i="78" s="1"/>
  <c r="B50" i="78"/>
  <c r="AG49" i="78"/>
  <c r="AH49" i="78" s="1"/>
  <c r="L49" i="78"/>
  <c r="K49" i="78"/>
  <c r="D49" i="78"/>
  <c r="C49" i="78" s="1"/>
  <c r="B49" i="78"/>
  <c r="AG48" i="78"/>
  <c r="AH48" i="78" s="1"/>
  <c r="L48" i="78"/>
  <c r="K48" i="78"/>
  <c r="D48" i="78"/>
  <c r="C48" i="78" s="1"/>
  <c r="B48" i="78"/>
  <c r="AG47" i="78"/>
  <c r="AH47" i="78" s="1"/>
  <c r="L47" i="78"/>
  <c r="K47" i="78"/>
  <c r="D47" i="78"/>
  <c r="C47" i="78" s="1"/>
  <c r="B47" i="78"/>
  <c r="AG46" i="78"/>
  <c r="AH46" i="78" s="1"/>
  <c r="L46" i="78"/>
  <c r="AT46" i="78" s="1"/>
  <c r="K46" i="78"/>
  <c r="D46" i="78"/>
  <c r="C46" i="78" s="1"/>
  <c r="B46" i="78"/>
  <c r="AG45" i="78"/>
  <c r="AH45" i="78" s="1"/>
  <c r="L45" i="78"/>
  <c r="AT45" i="78" s="1"/>
  <c r="K45" i="78"/>
  <c r="D45" i="78"/>
  <c r="C45" i="78" s="1"/>
  <c r="B45" i="78"/>
  <c r="AG44" i="78"/>
  <c r="AH44" i="78" s="1"/>
  <c r="L44" i="78"/>
  <c r="AT44" i="78" s="1"/>
  <c r="K44" i="78"/>
  <c r="D44" i="78"/>
  <c r="C44" i="78" s="1"/>
  <c r="B44" i="78"/>
  <c r="AG43" i="78"/>
  <c r="AH43" i="78" s="1"/>
  <c r="L43" i="78"/>
  <c r="AT43" i="78" s="1"/>
  <c r="K43" i="78"/>
  <c r="D43" i="78"/>
  <c r="C43" i="78" s="1"/>
  <c r="B43" i="78"/>
  <c r="AG42" i="78"/>
  <c r="AH42" i="78" s="1"/>
  <c r="L42" i="78"/>
  <c r="AT42" i="78" s="1"/>
  <c r="K42" i="78"/>
  <c r="D42" i="78"/>
  <c r="C42" i="78" s="1"/>
  <c r="B42" i="78"/>
  <c r="AG41" i="78"/>
  <c r="AH41" i="78" s="1"/>
  <c r="L41" i="78"/>
  <c r="AT41" i="78" s="1"/>
  <c r="K41" i="78"/>
  <c r="D41" i="78"/>
  <c r="C41" i="78" s="1"/>
  <c r="B41" i="78"/>
  <c r="AG40" i="78"/>
  <c r="AH40" i="78" s="1"/>
  <c r="L40" i="78"/>
  <c r="K40" i="78"/>
  <c r="D40" i="78"/>
  <c r="C40" i="78" s="1"/>
  <c r="B40" i="78"/>
  <c r="AG39" i="78"/>
  <c r="AH39" i="78" s="1"/>
  <c r="L39" i="78"/>
  <c r="K39" i="78"/>
  <c r="D39" i="78"/>
  <c r="C39" i="78" s="1"/>
  <c r="B39" i="78"/>
  <c r="AG38" i="78"/>
  <c r="AH38" i="78" s="1"/>
  <c r="L38" i="78"/>
  <c r="AT38" i="78" s="1"/>
  <c r="K38" i="78"/>
  <c r="D38" i="78"/>
  <c r="C38" i="78" s="1"/>
  <c r="B38" i="78"/>
  <c r="AG37" i="78"/>
  <c r="AH37" i="78" s="1"/>
  <c r="L37" i="78"/>
  <c r="AT37" i="78" s="1"/>
  <c r="K37" i="78"/>
  <c r="D37" i="78"/>
  <c r="C37" i="78" s="1"/>
  <c r="B37" i="78"/>
  <c r="AG36" i="78"/>
  <c r="AH36" i="78" s="1"/>
  <c r="L36" i="78"/>
  <c r="AT36" i="78" s="1"/>
  <c r="K36" i="78"/>
  <c r="D36" i="78"/>
  <c r="C36" i="78" s="1"/>
  <c r="B36" i="78"/>
  <c r="AG35" i="78"/>
  <c r="AH35" i="78" s="1"/>
  <c r="L35" i="78"/>
  <c r="AT35" i="78" s="1"/>
  <c r="K35" i="78"/>
  <c r="D35" i="78"/>
  <c r="C35" i="78" s="1"/>
  <c r="B35" i="78"/>
  <c r="AG34" i="78"/>
  <c r="AH34" i="78" s="1"/>
  <c r="L34" i="78"/>
  <c r="AT34" i="78" s="1"/>
  <c r="K34" i="78"/>
  <c r="D34" i="78"/>
  <c r="C34" i="78" s="1"/>
  <c r="B34" i="78"/>
  <c r="AG33" i="78"/>
  <c r="AH33" i="78" s="1"/>
  <c r="AI33" i="78" s="1"/>
  <c r="L33" i="78"/>
  <c r="AT33" i="78" s="1"/>
  <c r="K33" i="78"/>
  <c r="D33" i="78"/>
  <c r="C33" i="78" s="1"/>
  <c r="B33" i="78"/>
  <c r="AG32" i="78"/>
  <c r="AH32" i="78" s="1"/>
  <c r="L32" i="78"/>
  <c r="AT32" i="78" s="1"/>
  <c r="K32" i="78"/>
  <c r="D32" i="78"/>
  <c r="C32" i="78" s="1"/>
  <c r="B32" i="78"/>
  <c r="AG31" i="78"/>
  <c r="AH31" i="78" s="1"/>
  <c r="L31" i="78"/>
  <c r="AT31" i="78" s="1"/>
  <c r="K31" i="78"/>
  <c r="D31" i="78"/>
  <c r="C31" i="78" s="1"/>
  <c r="B31" i="78"/>
  <c r="AG30" i="78"/>
  <c r="AH30" i="78" s="1"/>
  <c r="L30" i="78"/>
  <c r="AT30" i="78" s="1"/>
  <c r="K30" i="78"/>
  <c r="D30" i="78"/>
  <c r="C30" i="78" s="1"/>
  <c r="B30" i="78"/>
  <c r="AG29" i="78"/>
  <c r="AH29" i="78" s="1"/>
  <c r="L29" i="78"/>
  <c r="AT29" i="78" s="1"/>
  <c r="K29" i="78"/>
  <c r="D29" i="78"/>
  <c r="C29" i="78" s="1"/>
  <c r="B29" i="78"/>
  <c r="AG28" i="78"/>
  <c r="AH28" i="78" s="1"/>
  <c r="L28" i="78"/>
  <c r="AT28" i="78" s="1"/>
  <c r="K28" i="78"/>
  <c r="D28" i="78"/>
  <c r="C28" i="78" s="1"/>
  <c r="B28" i="78"/>
  <c r="AG27" i="78"/>
  <c r="AH27" i="78" s="1"/>
  <c r="L27" i="78"/>
  <c r="AT27" i="78" s="1"/>
  <c r="K27" i="78"/>
  <c r="D27" i="78"/>
  <c r="C27" i="78" s="1"/>
  <c r="B27" i="78"/>
  <c r="AG26" i="78"/>
  <c r="AH26" i="78" s="1"/>
  <c r="L26" i="78"/>
  <c r="K26" i="78"/>
  <c r="D26" i="78"/>
  <c r="C26" i="78" s="1"/>
  <c r="B26" i="78"/>
  <c r="AG25" i="78"/>
  <c r="AH25" i="78" s="1"/>
  <c r="L25" i="78"/>
  <c r="AT25" i="78" s="1"/>
  <c r="K25" i="78"/>
  <c r="D25" i="78"/>
  <c r="C25" i="78" s="1"/>
  <c r="B25" i="78"/>
  <c r="AG24" i="78"/>
  <c r="AH24" i="78" s="1"/>
  <c r="L24" i="78"/>
  <c r="AT24" i="78" s="1"/>
  <c r="K24" i="78"/>
  <c r="D24" i="78"/>
  <c r="C24" i="78" s="1"/>
  <c r="B24" i="78"/>
  <c r="B23" i="78"/>
  <c r="AG22" i="78"/>
  <c r="AH22" i="78" s="1"/>
  <c r="B22" i="78"/>
  <c r="AG21" i="78"/>
  <c r="AH21" i="78" s="1"/>
  <c r="B21" i="78"/>
  <c r="AG20" i="78"/>
  <c r="AH20" i="78" s="1"/>
  <c r="B20" i="78"/>
  <c r="AG18" i="78"/>
  <c r="AH18" i="78" s="1"/>
  <c r="B18" i="78"/>
  <c r="AG17" i="78"/>
  <c r="AH17" i="78" s="1"/>
  <c r="B17" i="78"/>
  <c r="AG16" i="78"/>
  <c r="AH16" i="78" s="1"/>
  <c r="B16" i="78"/>
  <c r="AG15" i="78"/>
  <c r="AH15" i="78" s="1"/>
  <c r="B15" i="78"/>
  <c r="AG14" i="78"/>
  <c r="AH14" i="78" s="1"/>
  <c r="B14" i="78"/>
  <c r="BI13" i="78"/>
  <c r="AG13" i="78"/>
  <c r="AH13" i="78" s="1"/>
  <c r="B13" i="78"/>
  <c r="X12" i="78"/>
  <c r="W12" i="78"/>
  <c r="V12" i="78"/>
  <c r="U12" i="78"/>
  <c r="T12" i="78"/>
  <c r="S12" i="78"/>
  <c r="R12" i="78"/>
  <c r="Q12" i="78"/>
  <c r="P12" i="78"/>
  <c r="O12" i="78"/>
  <c r="N12" i="78"/>
  <c r="K11" i="78"/>
  <c r="L11" i="78" s="1"/>
  <c r="M11" i="78" s="1"/>
  <c r="N11" i="78" s="1"/>
  <c r="O11" i="78" s="1"/>
  <c r="P11" i="78" s="1"/>
  <c r="Q11" i="78" s="1"/>
  <c r="R11" i="78" s="1"/>
  <c r="S11" i="78" s="1"/>
  <c r="T11" i="78" s="1"/>
  <c r="U11" i="78" s="1"/>
  <c r="V11" i="78" s="1"/>
  <c r="W11" i="78" s="1"/>
  <c r="X11" i="78" s="1"/>
  <c r="Y11" i="78" s="1"/>
  <c r="Z11" i="78" s="1"/>
  <c r="C75" i="77"/>
  <c r="C65" i="77"/>
  <c r="C61" i="77"/>
  <c r="C58" i="77"/>
  <c r="L57" i="77"/>
  <c r="K57" i="77"/>
  <c r="D57" i="77"/>
  <c r="C57" i="77" s="1"/>
  <c r="B57" i="77"/>
  <c r="L56" i="77"/>
  <c r="K56" i="77"/>
  <c r="D56" i="77"/>
  <c r="C56" i="77" s="1"/>
  <c r="B56" i="77"/>
  <c r="L55" i="77"/>
  <c r="K55" i="77"/>
  <c r="D55" i="77"/>
  <c r="C55" i="77" s="1"/>
  <c r="B55" i="77"/>
  <c r="L54" i="77"/>
  <c r="K54" i="77"/>
  <c r="D54" i="77"/>
  <c r="C54" i="77" s="1"/>
  <c r="B54" i="77"/>
  <c r="L53" i="77"/>
  <c r="K53" i="77"/>
  <c r="D53" i="77"/>
  <c r="C53" i="77" s="1"/>
  <c r="B53" i="77"/>
  <c r="L52" i="77"/>
  <c r="K52" i="77"/>
  <c r="D52" i="77"/>
  <c r="C52" i="77" s="1"/>
  <c r="B52" i="77"/>
  <c r="L51" i="77"/>
  <c r="K51" i="77"/>
  <c r="D51" i="77"/>
  <c r="C51" i="77" s="1"/>
  <c r="B51" i="77"/>
  <c r="L50" i="77"/>
  <c r="K50" i="77"/>
  <c r="D50" i="77"/>
  <c r="C50" i="77" s="1"/>
  <c r="B50" i="77"/>
  <c r="L49" i="77"/>
  <c r="K49" i="77"/>
  <c r="D49" i="77"/>
  <c r="C49" i="77" s="1"/>
  <c r="B49" i="77"/>
  <c r="L48" i="77"/>
  <c r="K48" i="77"/>
  <c r="D48" i="77"/>
  <c r="C48" i="77" s="1"/>
  <c r="B48" i="77"/>
  <c r="L47" i="77"/>
  <c r="K47" i="77"/>
  <c r="D47" i="77"/>
  <c r="C47" i="77" s="1"/>
  <c r="B47" i="77"/>
  <c r="L46" i="77"/>
  <c r="K46" i="77"/>
  <c r="D46" i="77"/>
  <c r="C46" i="77" s="1"/>
  <c r="B46" i="77"/>
  <c r="L45" i="77"/>
  <c r="K45" i="77"/>
  <c r="D45" i="77"/>
  <c r="C45" i="77" s="1"/>
  <c r="B45" i="77"/>
  <c r="L44" i="77"/>
  <c r="K44" i="77"/>
  <c r="D44" i="77"/>
  <c r="C44" i="77" s="1"/>
  <c r="B44" i="77"/>
  <c r="L43" i="77"/>
  <c r="K43" i="77"/>
  <c r="D43" i="77"/>
  <c r="C43" i="77" s="1"/>
  <c r="B43" i="77"/>
  <c r="L42" i="77"/>
  <c r="K42" i="77"/>
  <c r="D42" i="77"/>
  <c r="C42" i="77" s="1"/>
  <c r="B42" i="77"/>
  <c r="L41" i="77"/>
  <c r="K41" i="77"/>
  <c r="D41" i="77"/>
  <c r="C41" i="77" s="1"/>
  <c r="B41" i="77"/>
  <c r="L40" i="77"/>
  <c r="K40" i="77"/>
  <c r="D40" i="77"/>
  <c r="C40" i="77" s="1"/>
  <c r="B40" i="77"/>
  <c r="L39" i="77"/>
  <c r="K39" i="77"/>
  <c r="D39" i="77"/>
  <c r="C39" i="77" s="1"/>
  <c r="B39" i="77"/>
  <c r="L38" i="77"/>
  <c r="K38" i="77"/>
  <c r="D38" i="77"/>
  <c r="C38" i="77" s="1"/>
  <c r="B38" i="77"/>
  <c r="L37" i="77"/>
  <c r="K37" i="77"/>
  <c r="D37" i="77"/>
  <c r="C37" i="77" s="1"/>
  <c r="B37" i="77"/>
  <c r="L36" i="77"/>
  <c r="K36" i="77"/>
  <c r="D36" i="77"/>
  <c r="C36" i="77" s="1"/>
  <c r="B36" i="77"/>
  <c r="L35" i="77"/>
  <c r="K35" i="77"/>
  <c r="D35" i="77"/>
  <c r="C35" i="77" s="1"/>
  <c r="B35" i="77"/>
  <c r="L34" i="77"/>
  <c r="K34" i="77"/>
  <c r="D34" i="77"/>
  <c r="C34" i="77" s="1"/>
  <c r="B34" i="77"/>
  <c r="L33" i="77"/>
  <c r="K33" i="77"/>
  <c r="D33" i="77"/>
  <c r="C33" i="77" s="1"/>
  <c r="B33" i="77"/>
  <c r="L32" i="77"/>
  <c r="K32" i="77"/>
  <c r="D32" i="77"/>
  <c r="C32" i="77" s="1"/>
  <c r="B32" i="77"/>
  <c r="L31" i="77"/>
  <c r="K31" i="77"/>
  <c r="D31" i="77"/>
  <c r="C31" i="77" s="1"/>
  <c r="B31" i="77"/>
  <c r="L30" i="77"/>
  <c r="K30" i="77"/>
  <c r="D30" i="77"/>
  <c r="C30" i="77" s="1"/>
  <c r="B30" i="77"/>
  <c r="L29" i="77"/>
  <c r="K29" i="77"/>
  <c r="D29" i="77"/>
  <c r="C29" i="77" s="1"/>
  <c r="B29" i="77"/>
  <c r="L28" i="77"/>
  <c r="K28" i="77"/>
  <c r="D28" i="77"/>
  <c r="C28" i="77" s="1"/>
  <c r="B28" i="77"/>
  <c r="L27" i="77"/>
  <c r="K27" i="77"/>
  <c r="D27" i="77"/>
  <c r="C27" i="77" s="1"/>
  <c r="B27" i="77"/>
  <c r="L26" i="77"/>
  <c r="K26" i="77"/>
  <c r="D26" i="77"/>
  <c r="C26" i="77" s="1"/>
  <c r="B26" i="77"/>
  <c r="L25" i="77"/>
  <c r="K25" i="77"/>
  <c r="D25" i="77"/>
  <c r="C25" i="77" s="1"/>
  <c r="B25" i="77"/>
  <c r="L24" i="77"/>
  <c r="K24" i="77"/>
  <c r="D24" i="77"/>
  <c r="C24" i="77" s="1"/>
  <c r="B24" i="77"/>
  <c r="B23" i="77"/>
  <c r="B22" i="77"/>
  <c r="B21" i="77"/>
  <c r="B20" i="77"/>
  <c r="B19" i="77"/>
  <c r="B18" i="77"/>
  <c r="B17" i="77"/>
  <c r="B16" i="77"/>
  <c r="B15" i="77"/>
  <c r="B14" i="77"/>
  <c r="B13" i="77"/>
  <c r="X12" i="77"/>
  <c r="W12" i="77"/>
  <c r="V12" i="77"/>
  <c r="U12" i="77"/>
  <c r="T12" i="77"/>
  <c r="S12" i="77"/>
  <c r="R12" i="77"/>
  <c r="Q12" i="77"/>
  <c r="P12" i="77"/>
  <c r="O12" i="77"/>
  <c r="N12" i="77"/>
  <c r="K11" i="77"/>
  <c r="L11" i="77" s="1"/>
  <c r="M11" i="77" s="1"/>
  <c r="N11" i="77" s="1"/>
  <c r="O11" i="77" s="1"/>
  <c r="P11" i="77" s="1"/>
  <c r="Q11" i="77" s="1"/>
  <c r="R11" i="77" s="1"/>
  <c r="S11" i="77" s="1"/>
  <c r="T11" i="77" s="1"/>
  <c r="U11" i="77" s="1"/>
  <c r="V11" i="77" s="1"/>
  <c r="W11" i="77" s="1"/>
  <c r="X11" i="77" s="1"/>
  <c r="C168" i="76"/>
  <c r="K167" i="76"/>
  <c r="B167" i="76"/>
  <c r="A167" i="76"/>
  <c r="L167" i="76" s="1"/>
  <c r="K166" i="76"/>
  <c r="B166" i="76"/>
  <c r="A166" i="76"/>
  <c r="L166" i="76" s="1"/>
  <c r="K165" i="76"/>
  <c r="A165" i="76"/>
  <c r="J165" i="76" s="1"/>
  <c r="K164" i="76"/>
  <c r="A164" i="76"/>
  <c r="K163" i="76"/>
  <c r="B163" i="76"/>
  <c r="A163" i="76"/>
  <c r="L163" i="76" s="1"/>
  <c r="K162" i="76"/>
  <c r="A162" i="76"/>
  <c r="L162" i="76" s="1"/>
  <c r="K161" i="76"/>
  <c r="B161" i="76"/>
  <c r="A161" i="76"/>
  <c r="L161" i="76" s="1"/>
  <c r="K160" i="76"/>
  <c r="A160" i="76"/>
  <c r="J160" i="76" s="1"/>
  <c r="K159" i="76"/>
  <c r="B159" i="76"/>
  <c r="A159" i="76"/>
  <c r="L159" i="76" s="1"/>
  <c r="K158" i="76"/>
  <c r="B158" i="76"/>
  <c r="A158" i="76"/>
  <c r="L158" i="76" s="1"/>
  <c r="K157" i="76"/>
  <c r="A157" i="76"/>
  <c r="J157" i="76" s="1"/>
  <c r="K156" i="76"/>
  <c r="A156" i="76"/>
  <c r="K155" i="76"/>
  <c r="B155" i="76"/>
  <c r="A155" i="76"/>
  <c r="L155" i="76" s="1"/>
  <c r="K154" i="76"/>
  <c r="A154" i="76"/>
  <c r="L154" i="76" s="1"/>
  <c r="K153" i="76"/>
  <c r="B153" i="76"/>
  <c r="A153" i="76"/>
  <c r="L153" i="76" s="1"/>
  <c r="K152" i="76"/>
  <c r="A152" i="76"/>
  <c r="J152" i="76" s="1"/>
  <c r="K151" i="76"/>
  <c r="A151" i="76"/>
  <c r="L151" i="76" s="1"/>
  <c r="K150" i="76"/>
  <c r="A150" i="76"/>
  <c r="J150" i="76" s="1"/>
  <c r="L149" i="76"/>
  <c r="K149" i="76"/>
  <c r="A149" i="76"/>
  <c r="B149" i="76" s="1"/>
  <c r="K148" i="76"/>
  <c r="A148" i="76"/>
  <c r="B148" i="76" s="1"/>
  <c r="K147" i="76"/>
  <c r="A147" i="76"/>
  <c r="L147" i="76" s="1"/>
  <c r="K146" i="76"/>
  <c r="B146" i="76"/>
  <c r="A146" i="76"/>
  <c r="L146" i="76" s="1"/>
  <c r="K145" i="76"/>
  <c r="A145" i="76"/>
  <c r="B145" i="76" s="1"/>
  <c r="K144" i="76"/>
  <c r="A144" i="76"/>
  <c r="B144" i="76" s="1"/>
  <c r="K143" i="76"/>
  <c r="B143" i="76"/>
  <c r="A143" i="76"/>
  <c r="L143" i="76" s="1"/>
  <c r="K142" i="76"/>
  <c r="B142" i="76"/>
  <c r="A142" i="76"/>
  <c r="J142" i="76" s="1"/>
  <c r="K141" i="76"/>
  <c r="A141" i="76"/>
  <c r="B141" i="76" s="1"/>
  <c r="K140" i="76"/>
  <c r="A140" i="76"/>
  <c r="B140" i="76" s="1"/>
  <c r="L139" i="76"/>
  <c r="K139" i="76"/>
  <c r="B139" i="76"/>
  <c r="A139" i="76"/>
  <c r="J139" i="76" s="1"/>
  <c r="L138" i="76"/>
  <c r="K138" i="76"/>
  <c r="B138" i="76"/>
  <c r="A138" i="76"/>
  <c r="J138" i="76" s="1"/>
  <c r="L137" i="76"/>
  <c r="K137" i="76"/>
  <c r="A137" i="76"/>
  <c r="B137" i="76" s="1"/>
  <c r="K136" i="76"/>
  <c r="A136" i="76"/>
  <c r="B136" i="76" s="1"/>
  <c r="K135" i="76"/>
  <c r="A135" i="76"/>
  <c r="J135" i="76" s="1"/>
  <c r="L134" i="76"/>
  <c r="K134" i="76"/>
  <c r="A134" i="76"/>
  <c r="J134" i="76" s="1"/>
  <c r="A133" i="76"/>
  <c r="A132" i="76"/>
  <c r="B131" i="76"/>
  <c r="A131" i="76"/>
  <c r="A130" i="76"/>
  <c r="A129" i="76"/>
  <c r="A128" i="76"/>
  <c r="B127" i="76"/>
  <c r="A127" i="76"/>
  <c r="A126" i="76"/>
  <c r="B126" i="76" s="1"/>
  <c r="B125" i="76"/>
  <c r="A125" i="76"/>
  <c r="B124" i="76"/>
  <c r="A124" i="76"/>
  <c r="B123" i="76"/>
  <c r="A123" i="76"/>
  <c r="Y122" i="76"/>
  <c r="X122" i="76"/>
  <c r="W122" i="76"/>
  <c r="V122" i="76"/>
  <c r="U122" i="76"/>
  <c r="T122" i="76"/>
  <c r="S122" i="76"/>
  <c r="R122" i="76"/>
  <c r="Q122" i="76"/>
  <c r="P122" i="76"/>
  <c r="O122" i="76"/>
  <c r="N122" i="76"/>
  <c r="M122" i="76"/>
  <c r="L122" i="76"/>
  <c r="L121" i="76"/>
  <c r="M121" i="76" s="1"/>
  <c r="N121" i="76" s="1"/>
  <c r="O121" i="76" s="1"/>
  <c r="P121" i="76" s="1"/>
  <c r="Q121" i="76" s="1"/>
  <c r="R121" i="76" s="1"/>
  <c r="S121" i="76" s="1"/>
  <c r="T121" i="76" s="1"/>
  <c r="U121" i="76" s="1"/>
  <c r="V121" i="76" s="1"/>
  <c r="W121" i="76" s="1"/>
  <c r="C113" i="76"/>
  <c r="K112" i="76"/>
  <c r="A112" i="76"/>
  <c r="J112" i="76" s="1"/>
  <c r="L111" i="76"/>
  <c r="K111" i="76"/>
  <c r="A111" i="76"/>
  <c r="K110" i="76"/>
  <c r="A110" i="76"/>
  <c r="J110" i="76" s="1"/>
  <c r="L109" i="76"/>
  <c r="K109" i="76"/>
  <c r="B109" i="76"/>
  <c r="A109" i="76"/>
  <c r="L108" i="76"/>
  <c r="K108" i="76"/>
  <c r="A108" i="76"/>
  <c r="J108" i="76" s="1"/>
  <c r="L107" i="76"/>
  <c r="K107" i="76"/>
  <c r="B107" i="76"/>
  <c r="A107" i="76"/>
  <c r="L106" i="76"/>
  <c r="K106" i="76"/>
  <c r="B106" i="76"/>
  <c r="A106" i="76"/>
  <c r="K105" i="76"/>
  <c r="A105" i="76"/>
  <c r="J105" i="76" s="1"/>
  <c r="K104" i="76"/>
  <c r="B104" i="76"/>
  <c r="A104" i="76"/>
  <c r="K103" i="76"/>
  <c r="B103" i="76"/>
  <c r="A103" i="76"/>
  <c r="K102" i="76"/>
  <c r="A102" i="76"/>
  <c r="K101" i="76"/>
  <c r="A101" i="76"/>
  <c r="K100" i="76"/>
  <c r="A100" i="76"/>
  <c r="L99" i="76"/>
  <c r="K99" i="76"/>
  <c r="A99" i="76"/>
  <c r="L98" i="76"/>
  <c r="K98" i="76"/>
  <c r="A98" i="76"/>
  <c r="K97" i="76"/>
  <c r="A97" i="76"/>
  <c r="J97" i="76" s="1"/>
  <c r="L96" i="76"/>
  <c r="K96" i="76"/>
  <c r="B96" i="76"/>
  <c r="A96" i="76"/>
  <c r="L95" i="76"/>
  <c r="K95" i="76"/>
  <c r="B95" i="76"/>
  <c r="A95" i="76"/>
  <c r="J95" i="76" s="1"/>
  <c r="K94" i="76"/>
  <c r="A94" i="76"/>
  <c r="K93" i="76"/>
  <c r="B93" i="76"/>
  <c r="A93" i="76"/>
  <c r="J93" i="76" s="1"/>
  <c r="K92" i="76"/>
  <c r="A92" i="76"/>
  <c r="K91" i="76"/>
  <c r="B91" i="76"/>
  <c r="A91" i="76"/>
  <c r="K90" i="76"/>
  <c r="A90" i="76"/>
  <c r="K89" i="76"/>
  <c r="A89" i="76"/>
  <c r="K88" i="76"/>
  <c r="A88" i="76"/>
  <c r="J88" i="76" s="1"/>
  <c r="K87" i="76"/>
  <c r="A87" i="76"/>
  <c r="K86" i="76"/>
  <c r="A86" i="76"/>
  <c r="J86" i="76" s="1"/>
  <c r="K85" i="76"/>
  <c r="B85" i="76"/>
  <c r="A85" i="76"/>
  <c r="K84" i="76"/>
  <c r="A84" i="76"/>
  <c r="K83" i="76"/>
  <c r="A83" i="76"/>
  <c r="K82" i="76"/>
  <c r="A82" i="76"/>
  <c r="K81" i="76"/>
  <c r="A81" i="76"/>
  <c r="J81" i="76" s="1"/>
  <c r="K80" i="76"/>
  <c r="B80" i="76"/>
  <c r="A80" i="76"/>
  <c r="J80" i="76" s="1"/>
  <c r="K79" i="76"/>
  <c r="B79" i="76"/>
  <c r="A79" i="76"/>
  <c r="J79" i="76" s="1"/>
  <c r="A78" i="76"/>
  <c r="A77" i="76"/>
  <c r="A76" i="76"/>
  <c r="A75" i="76"/>
  <c r="A74" i="76"/>
  <c r="B73" i="76"/>
  <c r="A73" i="76"/>
  <c r="A72" i="76"/>
  <c r="B71" i="76"/>
  <c r="A71" i="76"/>
  <c r="A70" i="76"/>
  <c r="A69" i="76"/>
  <c r="A68" i="76"/>
  <c r="AB67" i="76"/>
  <c r="AA67" i="76"/>
  <c r="Z67" i="76"/>
  <c r="Y67" i="76"/>
  <c r="X67" i="76"/>
  <c r="W67" i="76"/>
  <c r="V67" i="76"/>
  <c r="U67" i="76"/>
  <c r="T67" i="76"/>
  <c r="S67" i="76"/>
  <c r="R67" i="76"/>
  <c r="Q67" i="76"/>
  <c r="P67" i="76"/>
  <c r="O67" i="76"/>
  <c r="N67" i="76"/>
  <c r="M67" i="76"/>
  <c r="L67" i="76"/>
  <c r="L66" i="76"/>
  <c r="M66" i="76" s="1"/>
  <c r="N66" i="76" s="1"/>
  <c r="O66" i="76" s="1"/>
  <c r="P66" i="76" s="1"/>
  <c r="Q66" i="76" s="1"/>
  <c r="R66" i="76" s="1"/>
  <c r="S66" i="76" s="1"/>
  <c r="T66" i="76" s="1"/>
  <c r="U66" i="76" s="1"/>
  <c r="V66" i="76" s="1"/>
  <c r="W66" i="76" s="1"/>
  <c r="Y66" i="76" s="1"/>
  <c r="Z66" i="76" s="1"/>
  <c r="AA66" i="76" s="1"/>
  <c r="AB66" i="76" s="1"/>
  <c r="C58" i="76"/>
  <c r="L57" i="76"/>
  <c r="K57" i="76"/>
  <c r="D57" i="76"/>
  <c r="D167" i="76" s="1"/>
  <c r="C167" i="76" s="1"/>
  <c r="B57" i="76"/>
  <c r="L56" i="76"/>
  <c r="K56" i="76"/>
  <c r="D56" i="76"/>
  <c r="B56" i="76"/>
  <c r="L55" i="76"/>
  <c r="K55" i="76"/>
  <c r="D55" i="76"/>
  <c r="C55" i="76" s="1"/>
  <c r="B55" i="76"/>
  <c r="L54" i="76"/>
  <c r="K54" i="76"/>
  <c r="D54" i="76"/>
  <c r="C54" i="76" s="1"/>
  <c r="B54" i="76"/>
  <c r="L53" i="76"/>
  <c r="K53" i="76"/>
  <c r="D53" i="76"/>
  <c r="D163" i="76" s="1"/>
  <c r="C163" i="76" s="1"/>
  <c r="B53" i="76"/>
  <c r="L52" i="76"/>
  <c r="K52" i="76"/>
  <c r="D52" i="76"/>
  <c r="B52" i="76"/>
  <c r="L51" i="76"/>
  <c r="K51" i="76"/>
  <c r="D51" i="76"/>
  <c r="B51" i="76"/>
  <c r="L50" i="76"/>
  <c r="K50" i="76"/>
  <c r="D50" i="76"/>
  <c r="D160" i="76" s="1"/>
  <c r="C160" i="76" s="1"/>
  <c r="B50" i="76"/>
  <c r="L49" i="76"/>
  <c r="K49" i="76"/>
  <c r="D49" i="76"/>
  <c r="C49" i="76" s="1"/>
  <c r="B49" i="76"/>
  <c r="L48" i="76"/>
  <c r="K48" i="76"/>
  <c r="D48" i="76"/>
  <c r="D103" i="76" s="1"/>
  <c r="C103" i="76" s="1"/>
  <c r="B48" i="76"/>
  <c r="L47" i="76"/>
  <c r="K47" i="76"/>
  <c r="D47" i="76"/>
  <c r="B47" i="76"/>
  <c r="L46" i="76"/>
  <c r="K46" i="76"/>
  <c r="D46" i="76"/>
  <c r="D156" i="76" s="1"/>
  <c r="C156" i="76" s="1"/>
  <c r="B46" i="76"/>
  <c r="L45" i="76"/>
  <c r="K45" i="76"/>
  <c r="D45" i="76"/>
  <c r="D155" i="76" s="1"/>
  <c r="C155" i="76" s="1"/>
  <c r="B45" i="76"/>
  <c r="L44" i="76"/>
  <c r="K44" i="76"/>
  <c r="D44" i="76"/>
  <c r="C44" i="76" s="1"/>
  <c r="B44" i="76"/>
  <c r="L43" i="76"/>
  <c r="K43" i="76"/>
  <c r="D43" i="76"/>
  <c r="C43" i="76" s="1"/>
  <c r="B43" i="76"/>
  <c r="L42" i="76"/>
  <c r="K42" i="76"/>
  <c r="D42" i="76"/>
  <c r="D152" i="76" s="1"/>
  <c r="C152" i="76" s="1"/>
  <c r="B42" i="76"/>
  <c r="L41" i="76"/>
  <c r="K41" i="76"/>
  <c r="D41" i="76"/>
  <c r="C41" i="76" s="1"/>
  <c r="B41" i="76"/>
  <c r="L40" i="76"/>
  <c r="K40" i="76"/>
  <c r="D40" i="76"/>
  <c r="D150" i="76" s="1"/>
  <c r="C150" i="76" s="1"/>
  <c r="B40" i="76"/>
  <c r="L39" i="76"/>
  <c r="K39" i="76"/>
  <c r="D39" i="76"/>
  <c r="D94" i="76" s="1"/>
  <c r="C94" i="76" s="1"/>
  <c r="B39" i="76"/>
  <c r="L38" i="76"/>
  <c r="K38" i="76"/>
  <c r="D38" i="76"/>
  <c r="D148" i="76" s="1"/>
  <c r="C148" i="76" s="1"/>
  <c r="B38" i="76"/>
  <c r="L37" i="76"/>
  <c r="K37" i="76"/>
  <c r="D37" i="76"/>
  <c r="D147" i="76" s="1"/>
  <c r="C147" i="76" s="1"/>
  <c r="B37" i="76"/>
  <c r="L36" i="76"/>
  <c r="K36" i="76"/>
  <c r="D36" i="76"/>
  <c r="C36" i="76" s="1"/>
  <c r="B36" i="76"/>
  <c r="L35" i="76"/>
  <c r="K35" i="76"/>
  <c r="D35" i="76"/>
  <c r="D90" i="76" s="1"/>
  <c r="C90" i="76" s="1"/>
  <c r="B35" i="76"/>
  <c r="L34" i="76"/>
  <c r="K34" i="76"/>
  <c r="D34" i="76"/>
  <c r="D144" i="76" s="1"/>
  <c r="C144" i="76" s="1"/>
  <c r="B34" i="76"/>
  <c r="L33" i="76"/>
  <c r="K33" i="76"/>
  <c r="D33" i="76"/>
  <c r="C33" i="76" s="1"/>
  <c r="B33" i="76"/>
  <c r="L32" i="76"/>
  <c r="K32" i="76"/>
  <c r="D32" i="76"/>
  <c r="D142" i="76" s="1"/>
  <c r="C142" i="76" s="1"/>
  <c r="B32" i="76"/>
  <c r="L31" i="76"/>
  <c r="K31" i="76"/>
  <c r="D31" i="76"/>
  <c r="D86" i="76" s="1"/>
  <c r="C86" i="76" s="1"/>
  <c r="B31" i="76"/>
  <c r="L30" i="76"/>
  <c r="K30" i="76"/>
  <c r="D30" i="76"/>
  <c r="D140" i="76" s="1"/>
  <c r="C140" i="76" s="1"/>
  <c r="B30" i="76"/>
  <c r="L29" i="76"/>
  <c r="K29" i="76"/>
  <c r="D29" i="76"/>
  <c r="D139" i="76" s="1"/>
  <c r="C139" i="76" s="1"/>
  <c r="B29" i="76"/>
  <c r="L28" i="76"/>
  <c r="K28" i="76"/>
  <c r="D28" i="76"/>
  <c r="C28" i="76" s="1"/>
  <c r="B28" i="76"/>
  <c r="L27" i="76"/>
  <c r="K27" i="76"/>
  <c r="D27" i="76"/>
  <c r="D137" i="76" s="1"/>
  <c r="C137" i="76" s="1"/>
  <c r="B27" i="76"/>
  <c r="L26" i="76"/>
  <c r="K26" i="76"/>
  <c r="D26" i="76"/>
  <c r="D136" i="76" s="1"/>
  <c r="C136" i="76" s="1"/>
  <c r="B26" i="76"/>
  <c r="L25" i="76"/>
  <c r="K25" i="76"/>
  <c r="D25" i="76"/>
  <c r="C25" i="76" s="1"/>
  <c r="B25" i="76"/>
  <c r="L24" i="76"/>
  <c r="K24" i="76"/>
  <c r="D24" i="76"/>
  <c r="D134" i="76" s="1"/>
  <c r="C134" i="76" s="1"/>
  <c r="B24" i="76"/>
  <c r="B23" i="76"/>
  <c r="B22" i="76"/>
  <c r="B21" i="76"/>
  <c r="B20" i="76"/>
  <c r="B19" i="76"/>
  <c r="B18" i="76"/>
  <c r="B17" i="76"/>
  <c r="B16" i="76"/>
  <c r="B15" i="76"/>
  <c r="B14" i="76"/>
  <c r="B13" i="76"/>
  <c r="AB12" i="76"/>
  <c r="AA12" i="76"/>
  <c r="Z12" i="76"/>
  <c r="Y12" i="76"/>
  <c r="X12" i="76"/>
  <c r="W12" i="76"/>
  <c r="V12" i="76"/>
  <c r="U12" i="76"/>
  <c r="T12" i="76"/>
  <c r="S12" i="76"/>
  <c r="R12" i="76"/>
  <c r="Q12" i="76"/>
  <c r="P12" i="76"/>
  <c r="O12" i="76"/>
  <c r="N12" i="76"/>
  <c r="M12" i="76"/>
  <c r="L12" i="76"/>
  <c r="K11" i="76"/>
  <c r="L11" i="76" s="1"/>
  <c r="M11" i="76" s="1"/>
  <c r="N11" i="76" s="1"/>
  <c r="O11" i="76" s="1"/>
  <c r="P11" i="76" s="1"/>
  <c r="Q11" i="76" s="1"/>
  <c r="R11" i="76" s="1"/>
  <c r="S11" i="76" s="1"/>
  <c r="T11" i="76" s="1"/>
  <c r="U11" i="76" s="1"/>
  <c r="V11" i="76" s="1"/>
  <c r="W11" i="76" s="1"/>
  <c r="C168" i="75"/>
  <c r="A167" i="75"/>
  <c r="K166" i="75"/>
  <c r="B166" i="75"/>
  <c r="A166" i="75"/>
  <c r="K165" i="75"/>
  <c r="B165" i="75"/>
  <c r="A165" i="75"/>
  <c r="K164" i="75"/>
  <c r="B164" i="75"/>
  <c r="A164" i="75"/>
  <c r="B163" i="75"/>
  <c r="A163" i="75"/>
  <c r="K163" i="75" s="1"/>
  <c r="K162" i="75"/>
  <c r="B162" i="75"/>
  <c r="A162" i="75"/>
  <c r="K161" i="75"/>
  <c r="B161" i="75"/>
  <c r="A161" i="75"/>
  <c r="K160" i="75"/>
  <c r="B160" i="75"/>
  <c r="A160" i="75"/>
  <c r="B159" i="75"/>
  <c r="A159" i="75"/>
  <c r="K159" i="75" s="1"/>
  <c r="K158" i="75"/>
  <c r="B158" i="75"/>
  <c r="A158" i="75"/>
  <c r="K157" i="75"/>
  <c r="B157" i="75"/>
  <c r="A157" i="75"/>
  <c r="K156" i="75"/>
  <c r="B156" i="75"/>
  <c r="A156" i="75"/>
  <c r="B155" i="75"/>
  <c r="A155" i="75"/>
  <c r="K155" i="75" s="1"/>
  <c r="K154" i="75"/>
  <c r="B154" i="75"/>
  <c r="A154" i="75"/>
  <c r="K153" i="75"/>
  <c r="B153" i="75"/>
  <c r="A153" i="75"/>
  <c r="K152" i="75"/>
  <c r="B152" i="75"/>
  <c r="A152" i="75"/>
  <c r="B151" i="75"/>
  <c r="A151" i="75"/>
  <c r="K151" i="75" s="1"/>
  <c r="K150" i="75"/>
  <c r="B150" i="75"/>
  <c r="A150" i="75"/>
  <c r="K149" i="75"/>
  <c r="B149" i="75"/>
  <c r="A149" i="75"/>
  <c r="K148" i="75"/>
  <c r="B148" i="75"/>
  <c r="A148" i="75"/>
  <c r="B147" i="75"/>
  <c r="A147" i="75"/>
  <c r="K147" i="75" s="1"/>
  <c r="K146" i="75"/>
  <c r="B146" i="75"/>
  <c r="A146" i="75"/>
  <c r="K145" i="75"/>
  <c r="B145" i="75"/>
  <c r="A145" i="75"/>
  <c r="K144" i="75"/>
  <c r="B144" i="75"/>
  <c r="A144" i="75"/>
  <c r="B143" i="75"/>
  <c r="A143" i="75"/>
  <c r="K143" i="75" s="1"/>
  <c r="K142" i="75"/>
  <c r="B142" i="75"/>
  <c r="A142" i="75"/>
  <c r="K141" i="75"/>
  <c r="B141" i="75"/>
  <c r="A141" i="75"/>
  <c r="K140" i="75"/>
  <c r="B140" i="75"/>
  <c r="A140" i="75"/>
  <c r="B139" i="75"/>
  <c r="A139" i="75"/>
  <c r="K139" i="75" s="1"/>
  <c r="K138" i="75"/>
  <c r="B138" i="75"/>
  <c r="A138" i="75"/>
  <c r="K137" i="75"/>
  <c r="B137" i="75"/>
  <c r="A137" i="75"/>
  <c r="K136" i="75"/>
  <c r="B136" i="75"/>
  <c r="A136" i="75"/>
  <c r="B135" i="75"/>
  <c r="A135" i="75"/>
  <c r="K135" i="75" s="1"/>
  <c r="K134" i="75"/>
  <c r="B134" i="75"/>
  <c r="A134" i="75"/>
  <c r="A133" i="75"/>
  <c r="B133" i="75" s="1"/>
  <c r="A132" i="75"/>
  <c r="A131" i="75"/>
  <c r="A130" i="75"/>
  <c r="B130" i="75" s="1"/>
  <c r="B129" i="75"/>
  <c r="A129" i="75"/>
  <c r="B128" i="75"/>
  <c r="A128" i="75"/>
  <c r="A127" i="75"/>
  <c r="B127" i="75" s="1"/>
  <c r="B126" i="75"/>
  <c r="A126" i="75"/>
  <c r="A125" i="75"/>
  <c r="B124" i="75"/>
  <c r="A124" i="75"/>
  <c r="A123" i="75"/>
  <c r="B123" i="75" s="1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K121" i="75"/>
  <c r="L121" i="75" s="1"/>
  <c r="M121" i="75" s="1"/>
  <c r="N121" i="75" s="1"/>
  <c r="O121" i="75" s="1"/>
  <c r="P121" i="75" s="1"/>
  <c r="Q121" i="75" s="1"/>
  <c r="R121" i="75" s="1"/>
  <c r="S121" i="75" s="1"/>
  <c r="T121" i="75" s="1"/>
  <c r="U121" i="75" s="1"/>
  <c r="V121" i="75" s="1"/>
  <c r="W121" i="75" s="1"/>
  <c r="X121" i="75" s="1"/>
  <c r="C113" i="75"/>
  <c r="K112" i="75"/>
  <c r="A112" i="75"/>
  <c r="B112" i="75" s="1"/>
  <c r="K111" i="75"/>
  <c r="B111" i="75"/>
  <c r="A111" i="75"/>
  <c r="A110" i="75"/>
  <c r="A109" i="75"/>
  <c r="B108" i="75"/>
  <c r="A108" i="75"/>
  <c r="K107" i="75"/>
  <c r="B107" i="75"/>
  <c r="A107" i="75"/>
  <c r="K106" i="75"/>
  <c r="B106" i="75"/>
  <c r="A106" i="75"/>
  <c r="K105" i="75"/>
  <c r="A105" i="75"/>
  <c r="A104" i="75"/>
  <c r="K103" i="75"/>
  <c r="B103" i="75"/>
  <c r="A103" i="75"/>
  <c r="K102" i="75"/>
  <c r="B102" i="75"/>
  <c r="A102" i="75"/>
  <c r="B101" i="75"/>
  <c r="A101" i="75"/>
  <c r="K101" i="75" s="1"/>
  <c r="K100" i="75"/>
  <c r="B100" i="75"/>
  <c r="A100" i="75"/>
  <c r="K99" i="75"/>
  <c r="B99" i="75"/>
  <c r="A99" i="75"/>
  <c r="K98" i="75"/>
  <c r="B98" i="75"/>
  <c r="A98" i="75"/>
  <c r="K97" i="75"/>
  <c r="B97" i="75"/>
  <c r="A97" i="75"/>
  <c r="K96" i="75"/>
  <c r="A96" i="75"/>
  <c r="B96" i="75" s="1"/>
  <c r="K95" i="75"/>
  <c r="B95" i="75"/>
  <c r="A95" i="75"/>
  <c r="A94" i="75"/>
  <c r="A93" i="75"/>
  <c r="K92" i="75"/>
  <c r="B92" i="75"/>
  <c r="A92" i="75"/>
  <c r="K91" i="75"/>
  <c r="B91" i="75"/>
  <c r="A91" i="75"/>
  <c r="K90" i="75"/>
  <c r="B90" i="75"/>
  <c r="A90" i="75"/>
  <c r="K89" i="75"/>
  <c r="B89" i="75"/>
  <c r="A89" i="75"/>
  <c r="B88" i="75"/>
  <c r="A88" i="75"/>
  <c r="K88" i="75" s="1"/>
  <c r="K87" i="75"/>
  <c r="A87" i="75"/>
  <c r="K86" i="75"/>
  <c r="B86" i="75"/>
  <c r="A86" i="75"/>
  <c r="K85" i="75"/>
  <c r="B85" i="75"/>
  <c r="A85" i="75"/>
  <c r="A84" i="75"/>
  <c r="K83" i="75"/>
  <c r="A83" i="75"/>
  <c r="K82" i="75"/>
  <c r="B82" i="75"/>
  <c r="A82" i="75"/>
  <c r="A81" i="75"/>
  <c r="B80" i="75"/>
  <c r="A80" i="75"/>
  <c r="K80" i="75" s="1"/>
  <c r="A79" i="75"/>
  <c r="A78" i="75"/>
  <c r="B78" i="75" s="1"/>
  <c r="B77" i="75"/>
  <c r="A77" i="75"/>
  <c r="A76" i="75"/>
  <c r="B76" i="75" s="1"/>
  <c r="A75" i="75"/>
  <c r="A74" i="75"/>
  <c r="A73" i="75"/>
  <c r="A72" i="75"/>
  <c r="B71" i="75"/>
  <c r="A71" i="75"/>
  <c r="A70" i="75"/>
  <c r="B69" i="75"/>
  <c r="A69" i="75"/>
  <c r="A68" i="75"/>
  <c r="B68" i="75" s="1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K66" i="75"/>
  <c r="L66" i="75" s="1"/>
  <c r="M66" i="75" s="1"/>
  <c r="N66" i="75" s="1"/>
  <c r="O66" i="75" s="1"/>
  <c r="P66" i="75" s="1"/>
  <c r="Q66" i="75" s="1"/>
  <c r="R66" i="75" s="1"/>
  <c r="S66" i="75" s="1"/>
  <c r="T66" i="75" s="1"/>
  <c r="U66" i="75" s="1"/>
  <c r="V66" i="75" s="1"/>
  <c r="W66" i="75" s="1"/>
  <c r="X66" i="75" s="1"/>
  <c r="Y66" i="75" s="1"/>
  <c r="Z66" i="75" s="1"/>
  <c r="AA66" i="75" s="1"/>
  <c r="C58" i="75"/>
  <c r="D57" i="75"/>
  <c r="B57" i="75"/>
  <c r="D56" i="75"/>
  <c r="B56" i="75"/>
  <c r="D55" i="75"/>
  <c r="C55" i="75" s="1"/>
  <c r="B55" i="75"/>
  <c r="D54" i="75"/>
  <c r="B54" i="75"/>
  <c r="D53" i="75"/>
  <c r="B53" i="75"/>
  <c r="D52" i="75"/>
  <c r="B52" i="75"/>
  <c r="D51" i="75"/>
  <c r="B51" i="75"/>
  <c r="D50" i="75"/>
  <c r="C50" i="75" s="1"/>
  <c r="B50" i="75"/>
  <c r="D49" i="75"/>
  <c r="B49" i="75"/>
  <c r="D48" i="75"/>
  <c r="B48" i="75"/>
  <c r="D47" i="75"/>
  <c r="B47" i="75"/>
  <c r="D46" i="75"/>
  <c r="C46" i="75" s="1"/>
  <c r="B46" i="75"/>
  <c r="D45" i="75"/>
  <c r="B45" i="75"/>
  <c r="D44" i="75"/>
  <c r="B44" i="75"/>
  <c r="D43" i="75"/>
  <c r="B43" i="75"/>
  <c r="D42" i="75"/>
  <c r="D152" i="75" s="1"/>
  <c r="C152" i="75" s="1"/>
  <c r="B42" i="75"/>
  <c r="D41" i="75"/>
  <c r="B41" i="75"/>
  <c r="D40" i="75"/>
  <c r="B40" i="75"/>
  <c r="D39" i="75"/>
  <c r="B39" i="75"/>
  <c r="D38" i="75"/>
  <c r="C38" i="75" s="1"/>
  <c r="B38" i="75"/>
  <c r="D37" i="75"/>
  <c r="B37" i="75"/>
  <c r="D36" i="75"/>
  <c r="D91" i="75" s="1"/>
  <c r="C91" i="75" s="1"/>
  <c r="B36" i="75"/>
  <c r="D35" i="75"/>
  <c r="B35" i="75"/>
  <c r="D34" i="75"/>
  <c r="C34" i="75" s="1"/>
  <c r="B34" i="75"/>
  <c r="D33" i="75"/>
  <c r="B33" i="75"/>
  <c r="D32" i="75"/>
  <c r="B32" i="75"/>
  <c r="D31" i="75"/>
  <c r="B31" i="75"/>
  <c r="D30" i="75"/>
  <c r="C30" i="75" s="1"/>
  <c r="B30" i="75"/>
  <c r="D29" i="75"/>
  <c r="B29" i="75"/>
  <c r="D28" i="75"/>
  <c r="C28" i="75" s="1"/>
  <c r="B28" i="75"/>
  <c r="D27" i="75"/>
  <c r="D82" i="75" s="1"/>
  <c r="C82" i="75" s="1"/>
  <c r="B27" i="75"/>
  <c r="D26" i="75"/>
  <c r="B26" i="75"/>
  <c r="D25" i="75"/>
  <c r="B25" i="75"/>
  <c r="D24" i="75"/>
  <c r="D134" i="75" s="1"/>
  <c r="C134" i="75" s="1"/>
  <c r="B24" i="75"/>
  <c r="D23" i="75"/>
  <c r="B23" i="75"/>
  <c r="D22" i="75"/>
  <c r="C22" i="75" s="1"/>
  <c r="B22" i="75"/>
  <c r="D21" i="75"/>
  <c r="B21" i="75"/>
  <c r="B20" i="75"/>
  <c r="B19" i="75"/>
  <c r="B18" i="75"/>
  <c r="B17" i="75"/>
  <c r="B16" i="75"/>
  <c r="B14" i="75"/>
  <c r="B13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L11" i="75"/>
  <c r="M11" i="75" s="1"/>
  <c r="N11" i="75" s="1"/>
  <c r="O11" i="75" s="1"/>
  <c r="P11" i="75" s="1"/>
  <c r="Q11" i="75" s="1"/>
  <c r="R11" i="75" s="1"/>
  <c r="S11" i="75" s="1"/>
  <c r="T11" i="75" s="1"/>
  <c r="U11" i="75" s="1"/>
  <c r="V11" i="75" s="1"/>
  <c r="W11" i="75" s="1"/>
  <c r="X11" i="75" s="1"/>
  <c r="Y11" i="75" s="1"/>
  <c r="Z11" i="75" s="1"/>
  <c r="AA11" i="75" s="1"/>
  <c r="K11" i="75"/>
  <c r="D59" i="74"/>
  <c r="A58" i="74"/>
  <c r="A57" i="74"/>
  <c r="B56" i="74"/>
  <c r="A56" i="74"/>
  <c r="A55" i="74"/>
  <c r="E54" i="74"/>
  <c r="D54" i="74" s="1"/>
  <c r="B54" i="74"/>
  <c r="E53" i="74"/>
  <c r="D53" i="74" s="1"/>
  <c r="B53" i="74"/>
  <c r="I53" i="74" s="1"/>
  <c r="E52" i="74"/>
  <c r="D52" i="74" s="1"/>
  <c r="B52" i="74"/>
  <c r="I52" i="74" s="1"/>
  <c r="E51" i="74"/>
  <c r="D51" i="74" s="1"/>
  <c r="B51" i="74"/>
  <c r="I51" i="74" s="1"/>
  <c r="E50" i="74"/>
  <c r="D50" i="74" s="1"/>
  <c r="B50" i="74"/>
  <c r="I50" i="74" s="1"/>
  <c r="E49" i="74"/>
  <c r="D49" i="74" s="1"/>
  <c r="B49" i="74"/>
  <c r="I49" i="74" s="1"/>
  <c r="E48" i="74"/>
  <c r="D48" i="74" s="1"/>
  <c r="B48" i="74"/>
  <c r="I48" i="74" s="1"/>
  <c r="E47" i="74"/>
  <c r="D47" i="74" s="1"/>
  <c r="B47" i="74"/>
  <c r="I47" i="74" s="1"/>
  <c r="E46" i="74"/>
  <c r="D46" i="74" s="1"/>
  <c r="B46" i="74"/>
  <c r="E45" i="74"/>
  <c r="D45" i="74" s="1"/>
  <c r="B45" i="74"/>
  <c r="I45" i="74" s="1"/>
  <c r="E44" i="74"/>
  <c r="D44" i="74" s="1"/>
  <c r="B44" i="74"/>
  <c r="I44" i="74" s="1"/>
  <c r="E43" i="74"/>
  <c r="D43" i="74" s="1"/>
  <c r="B43" i="74"/>
  <c r="I43" i="74" s="1"/>
  <c r="E42" i="74"/>
  <c r="D42" i="74" s="1"/>
  <c r="B42" i="74"/>
  <c r="I42" i="74" s="1"/>
  <c r="E41" i="74"/>
  <c r="D41" i="74" s="1"/>
  <c r="B41" i="74"/>
  <c r="I41" i="74" s="1"/>
  <c r="E40" i="74"/>
  <c r="D40" i="74" s="1"/>
  <c r="B40" i="74"/>
  <c r="I40" i="74" s="1"/>
  <c r="E39" i="74"/>
  <c r="D39" i="74" s="1"/>
  <c r="B39" i="74"/>
  <c r="I39" i="74" s="1"/>
  <c r="E38" i="74"/>
  <c r="D38" i="74" s="1"/>
  <c r="B38" i="74"/>
  <c r="E37" i="74"/>
  <c r="D37" i="74" s="1"/>
  <c r="B37" i="74"/>
  <c r="I37" i="74" s="1"/>
  <c r="E36" i="74"/>
  <c r="D36" i="74" s="1"/>
  <c r="B36" i="74"/>
  <c r="I36" i="74" s="1"/>
  <c r="E35" i="74"/>
  <c r="D35" i="74" s="1"/>
  <c r="B35" i="74"/>
  <c r="I35" i="74" s="1"/>
  <c r="E34" i="74"/>
  <c r="D34" i="74" s="1"/>
  <c r="B34" i="74"/>
  <c r="I34" i="74" s="1"/>
  <c r="E33" i="74"/>
  <c r="D33" i="74" s="1"/>
  <c r="B33" i="74"/>
  <c r="I33" i="74" s="1"/>
  <c r="E32" i="74"/>
  <c r="D32" i="74" s="1"/>
  <c r="B32" i="74"/>
  <c r="I32" i="74" s="1"/>
  <c r="E31" i="74"/>
  <c r="D31" i="74" s="1"/>
  <c r="B31" i="74"/>
  <c r="I31" i="74" s="1"/>
  <c r="E30" i="74"/>
  <c r="D30" i="74" s="1"/>
  <c r="B30" i="74"/>
  <c r="E29" i="74"/>
  <c r="D29" i="74" s="1"/>
  <c r="B29" i="74"/>
  <c r="I29" i="74" s="1"/>
  <c r="E28" i="74"/>
  <c r="D28" i="74" s="1"/>
  <c r="B28" i="74"/>
  <c r="I28" i="74" s="1"/>
  <c r="E27" i="74"/>
  <c r="D27" i="74" s="1"/>
  <c r="B27" i="74"/>
  <c r="I27" i="74" s="1"/>
  <c r="E26" i="74"/>
  <c r="D26" i="74" s="1"/>
  <c r="B26" i="74"/>
  <c r="I26" i="74" s="1"/>
  <c r="E25" i="74"/>
  <c r="D25" i="74" s="1"/>
  <c r="B25" i="74"/>
  <c r="I25" i="74" s="1"/>
  <c r="E24" i="74"/>
  <c r="D24" i="74" s="1"/>
  <c r="B24" i="74"/>
  <c r="I24" i="74" s="1"/>
  <c r="E23" i="74"/>
  <c r="B23" i="74"/>
  <c r="E22" i="74"/>
  <c r="B22" i="74"/>
  <c r="H22" i="74" s="1"/>
  <c r="B21" i="74"/>
  <c r="G21" i="74" s="1"/>
  <c r="B20" i="74"/>
  <c r="G20" i="74" s="1"/>
  <c r="B19" i="74"/>
  <c r="G19" i="74" s="1"/>
  <c r="B18" i="74"/>
  <c r="G18" i="74" s="1"/>
  <c r="B17" i="74"/>
  <c r="G17" i="74" s="1"/>
  <c r="B15" i="74"/>
  <c r="G15" i="74" s="1"/>
  <c r="B14" i="74"/>
  <c r="G14" i="74" s="1"/>
  <c r="Z13" i="74"/>
  <c r="Y13" i="74"/>
  <c r="X13" i="74"/>
  <c r="W13" i="74"/>
  <c r="W12" i="74"/>
  <c r="G12" i="74"/>
  <c r="H12" i="74" s="1"/>
  <c r="I12" i="74" s="1"/>
  <c r="J12" i="74" s="1"/>
  <c r="K12" i="74" s="1"/>
  <c r="AI58" i="73"/>
  <c r="C58" i="73"/>
  <c r="AE57" i="73"/>
  <c r="AF57" i="73" s="1"/>
  <c r="AG57" i="73" s="1"/>
  <c r="AH57" i="73" s="1"/>
  <c r="AC57" i="73"/>
  <c r="D57" i="73"/>
  <c r="C57" i="73" s="1"/>
  <c r="B57" i="73"/>
  <c r="AE56" i="73"/>
  <c r="AF56" i="73" s="1"/>
  <c r="AG56" i="73" s="1"/>
  <c r="AC56" i="73"/>
  <c r="D56" i="73"/>
  <c r="C56" i="73" s="1"/>
  <c r="B56" i="73"/>
  <c r="AE55" i="73"/>
  <c r="AF55" i="73" s="1"/>
  <c r="AG55" i="73" s="1"/>
  <c r="AH55" i="73" s="1"/>
  <c r="AC55" i="73"/>
  <c r="D55" i="73"/>
  <c r="C55" i="73" s="1"/>
  <c r="B55" i="73"/>
  <c r="AE54" i="73"/>
  <c r="AF54" i="73" s="1"/>
  <c r="AG54" i="73" s="1"/>
  <c r="AC54" i="73"/>
  <c r="D54" i="73"/>
  <c r="C54" i="73" s="1"/>
  <c r="B54" i="73"/>
  <c r="AD53" i="73"/>
  <c r="AF53" i="73" s="1"/>
  <c r="AG53" i="73" s="1"/>
  <c r="D53" i="73"/>
  <c r="C53" i="73" s="1"/>
  <c r="B53" i="73"/>
  <c r="AD52" i="73"/>
  <c r="AF52" i="73" s="1"/>
  <c r="AG52" i="73" s="1"/>
  <c r="D52" i="73"/>
  <c r="C52" i="73" s="1"/>
  <c r="B52" i="73"/>
  <c r="AD51" i="73"/>
  <c r="AF51" i="73" s="1"/>
  <c r="AG51" i="73" s="1"/>
  <c r="D51" i="73"/>
  <c r="C51" i="73" s="1"/>
  <c r="B51" i="73"/>
  <c r="AD50" i="73"/>
  <c r="AF50" i="73" s="1"/>
  <c r="AG50" i="73" s="1"/>
  <c r="D50" i="73"/>
  <c r="C50" i="73" s="1"/>
  <c r="B50" i="73"/>
  <c r="AD49" i="73"/>
  <c r="AF49" i="73" s="1"/>
  <c r="AG49" i="73" s="1"/>
  <c r="D49" i="73"/>
  <c r="C49" i="73" s="1"/>
  <c r="B49" i="73"/>
  <c r="AD48" i="73"/>
  <c r="AF48" i="73" s="1"/>
  <c r="AG48" i="73" s="1"/>
  <c r="D48" i="73"/>
  <c r="C48" i="73" s="1"/>
  <c r="B48" i="73"/>
  <c r="AD47" i="73"/>
  <c r="AF47" i="73" s="1"/>
  <c r="AG47" i="73" s="1"/>
  <c r="D47" i="73"/>
  <c r="C47" i="73" s="1"/>
  <c r="B47" i="73"/>
  <c r="AD46" i="73"/>
  <c r="AF46" i="73" s="1"/>
  <c r="AG46" i="73" s="1"/>
  <c r="D46" i="73"/>
  <c r="C46" i="73" s="1"/>
  <c r="B46" i="73"/>
  <c r="AD45" i="73"/>
  <c r="AF45" i="73" s="1"/>
  <c r="AG45" i="73" s="1"/>
  <c r="D45" i="73"/>
  <c r="C45" i="73" s="1"/>
  <c r="B45" i="73"/>
  <c r="AD44" i="73"/>
  <c r="AF44" i="73" s="1"/>
  <c r="AG44" i="73" s="1"/>
  <c r="D44" i="73"/>
  <c r="C44" i="73" s="1"/>
  <c r="B44" i="73"/>
  <c r="AD43" i="73"/>
  <c r="AF43" i="73" s="1"/>
  <c r="AG43" i="73" s="1"/>
  <c r="D43" i="73"/>
  <c r="C43" i="73" s="1"/>
  <c r="B43" i="73"/>
  <c r="AD42" i="73"/>
  <c r="AF42" i="73" s="1"/>
  <c r="AG42" i="73" s="1"/>
  <c r="D42" i="73"/>
  <c r="C42" i="73" s="1"/>
  <c r="B42" i="73"/>
  <c r="AD41" i="73"/>
  <c r="AF41" i="73" s="1"/>
  <c r="AG41" i="73" s="1"/>
  <c r="D41" i="73"/>
  <c r="C41" i="73" s="1"/>
  <c r="B41" i="73"/>
  <c r="AD40" i="73"/>
  <c r="AF40" i="73" s="1"/>
  <c r="AG40" i="73" s="1"/>
  <c r="D40" i="73"/>
  <c r="C40" i="73" s="1"/>
  <c r="B40" i="73"/>
  <c r="AD39" i="73"/>
  <c r="AF39" i="73" s="1"/>
  <c r="AG39" i="73" s="1"/>
  <c r="D39" i="73"/>
  <c r="C39" i="73" s="1"/>
  <c r="B39" i="73"/>
  <c r="AD38" i="73"/>
  <c r="AF38" i="73" s="1"/>
  <c r="AG38" i="73" s="1"/>
  <c r="D38" i="73"/>
  <c r="C38" i="73" s="1"/>
  <c r="B38" i="73"/>
  <c r="AD37" i="73"/>
  <c r="AF37" i="73" s="1"/>
  <c r="AG37" i="73" s="1"/>
  <c r="D37" i="73"/>
  <c r="C37" i="73" s="1"/>
  <c r="B37" i="73"/>
  <c r="AD36" i="73"/>
  <c r="AF36" i="73" s="1"/>
  <c r="AG36" i="73" s="1"/>
  <c r="D36" i="73"/>
  <c r="C36" i="73" s="1"/>
  <c r="B36" i="73"/>
  <c r="AD35" i="73"/>
  <c r="AF35" i="73" s="1"/>
  <c r="AG35" i="73" s="1"/>
  <c r="D35" i="73"/>
  <c r="C35" i="73" s="1"/>
  <c r="B35" i="73"/>
  <c r="AD34" i="73"/>
  <c r="AF34" i="73" s="1"/>
  <c r="AG34" i="73" s="1"/>
  <c r="D34" i="73"/>
  <c r="C34" i="73" s="1"/>
  <c r="B34" i="73"/>
  <c r="AD33" i="73"/>
  <c r="AF33" i="73" s="1"/>
  <c r="AG33" i="73" s="1"/>
  <c r="AH33" i="73" s="1"/>
  <c r="D33" i="73"/>
  <c r="C33" i="73" s="1"/>
  <c r="B33" i="73"/>
  <c r="AD32" i="73"/>
  <c r="AF32" i="73" s="1"/>
  <c r="AG32" i="73" s="1"/>
  <c r="D32" i="73"/>
  <c r="C32" i="73" s="1"/>
  <c r="B32" i="73"/>
  <c r="AD31" i="73"/>
  <c r="AF31" i="73" s="1"/>
  <c r="AG31" i="73" s="1"/>
  <c r="D31" i="73"/>
  <c r="C31" i="73" s="1"/>
  <c r="B31" i="73"/>
  <c r="AD30" i="73"/>
  <c r="AF30" i="73" s="1"/>
  <c r="AG30" i="73" s="1"/>
  <c r="D30" i="73"/>
  <c r="C30" i="73" s="1"/>
  <c r="B30" i="73"/>
  <c r="AD29" i="73"/>
  <c r="AF29" i="73" s="1"/>
  <c r="AG29" i="73" s="1"/>
  <c r="D29" i="73"/>
  <c r="C29" i="73" s="1"/>
  <c r="B29" i="73"/>
  <c r="AD28" i="73"/>
  <c r="AF28" i="73" s="1"/>
  <c r="AG28" i="73" s="1"/>
  <c r="D28" i="73"/>
  <c r="C28" i="73" s="1"/>
  <c r="B28" i="73"/>
  <c r="AD27" i="73"/>
  <c r="AF27" i="73" s="1"/>
  <c r="AG27" i="73" s="1"/>
  <c r="D27" i="73"/>
  <c r="C27" i="73" s="1"/>
  <c r="B27" i="73"/>
  <c r="AD26" i="73"/>
  <c r="AF26" i="73" s="1"/>
  <c r="AG26" i="73" s="1"/>
  <c r="D26" i="73"/>
  <c r="C26" i="73" s="1"/>
  <c r="B26" i="73"/>
  <c r="AD25" i="73"/>
  <c r="AF25" i="73" s="1"/>
  <c r="AG25" i="73" s="1"/>
  <c r="D25" i="73"/>
  <c r="C25" i="73" s="1"/>
  <c r="B25" i="73"/>
  <c r="AD24" i="73"/>
  <c r="AF24" i="73" s="1"/>
  <c r="AG24" i="73" s="1"/>
  <c r="D24" i="73"/>
  <c r="C24" i="73" s="1"/>
  <c r="B24" i="73"/>
  <c r="AD23" i="73"/>
  <c r="AF23" i="73" s="1"/>
  <c r="AG23" i="73" s="1"/>
  <c r="D23" i="73"/>
  <c r="C23" i="73" s="1"/>
  <c r="B23" i="73"/>
  <c r="AD22" i="73"/>
  <c r="AF22" i="73" s="1"/>
  <c r="AG22" i="73" s="1"/>
  <c r="D22" i="73"/>
  <c r="C22" i="73" s="1"/>
  <c r="B22" i="73"/>
  <c r="AD21" i="73"/>
  <c r="AF21" i="73" s="1"/>
  <c r="AG21" i="73" s="1"/>
  <c r="D21" i="73"/>
  <c r="C21" i="73" s="1"/>
  <c r="B21" i="73"/>
  <c r="AD20" i="73"/>
  <c r="AF20" i="73" s="1"/>
  <c r="AG20" i="73" s="1"/>
  <c r="B20" i="73"/>
  <c r="AD19" i="73"/>
  <c r="AF19" i="73" s="1"/>
  <c r="AG19" i="73" s="1"/>
  <c r="B19" i="73"/>
  <c r="AD18" i="73"/>
  <c r="AF18" i="73" s="1"/>
  <c r="AG18" i="73" s="1"/>
  <c r="B18" i="73"/>
  <c r="AD17" i="73"/>
  <c r="AF17" i="73" s="1"/>
  <c r="AG17" i="73" s="1"/>
  <c r="AH17" i="73" s="1"/>
  <c r="B17" i="73"/>
  <c r="AD16" i="73"/>
  <c r="AF16" i="73" s="1"/>
  <c r="AG16" i="73" s="1"/>
  <c r="B16" i="73"/>
  <c r="AD15" i="73"/>
  <c r="AF15" i="73" s="1"/>
  <c r="AG15" i="73" s="1"/>
  <c r="AD14" i="73"/>
  <c r="AF14" i="73" s="1"/>
  <c r="AG14" i="73" s="1"/>
  <c r="B14" i="73"/>
  <c r="BC13" i="73"/>
  <c r="AD13" i="73"/>
  <c r="AF13" i="73" s="1"/>
  <c r="AG13" i="73" s="1"/>
  <c r="B13" i="73"/>
  <c r="W12" i="73"/>
  <c r="V12" i="73"/>
  <c r="U12" i="73"/>
  <c r="T12" i="73"/>
  <c r="S12" i="73"/>
  <c r="R12" i="73"/>
  <c r="Q12" i="73"/>
  <c r="P12" i="73"/>
  <c r="O12" i="73"/>
  <c r="N12" i="73"/>
  <c r="M12" i="73"/>
  <c r="L12" i="73"/>
  <c r="K12" i="73"/>
  <c r="K11" i="73"/>
  <c r="L11" i="73" s="1"/>
  <c r="M11" i="73" s="1"/>
  <c r="N11" i="73" s="1"/>
  <c r="O11" i="73" s="1"/>
  <c r="P11" i="73" s="1"/>
  <c r="Q11" i="73" s="1"/>
  <c r="R11" i="73" s="1"/>
  <c r="S11" i="73" s="1"/>
  <c r="T11" i="73" s="1"/>
  <c r="U11" i="73" s="1"/>
  <c r="V11" i="73" s="1"/>
  <c r="W11" i="73" s="1"/>
  <c r="X11" i="73" s="1"/>
  <c r="AI58" i="72"/>
  <c r="C58" i="72"/>
  <c r="AE57" i="72"/>
  <c r="AF57" i="72" s="1"/>
  <c r="AG57" i="72" s="1"/>
  <c r="AC57" i="72"/>
  <c r="K57" i="72"/>
  <c r="D57" i="72"/>
  <c r="C57" i="72" s="1"/>
  <c r="B57" i="72"/>
  <c r="AE56" i="72"/>
  <c r="AF56" i="72" s="1"/>
  <c r="AG56" i="72" s="1"/>
  <c r="AH56" i="72" s="1"/>
  <c r="AC56" i="72"/>
  <c r="K56" i="72"/>
  <c r="D56" i="72"/>
  <c r="C56" i="72" s="1"/>
  <c r="B56" i="72"/>
  <c r="AE55" i="72"/>
  <c r="AF55" i="72" s="1"/>
  <c r="AG55" i="72" s="1"/>
  <c r="AC55" i="72"/>
  <c r="K55" i="72"/>
  <c r="D55" i="72"/>
  <c r="C55" i="72" s="1"/>
  <c r="B55" i="72"/>
  <c r="AE54" i="72"/>
  <c r="AF54" i="72" s="1"/>
  <c r="AG54" i="72" s="1"/>
  <c r="AH54" i="72" s="1"/>
  <c r="AC54" i="72"/>
  <c r="K54" i="72"/>
  <c r="D54" i="72"/>
  <c r="C54" i="72" s="1"/>
  <c r="B54" i="72"/>
  <c r="AD53" i="72"/>
  <c r="AF53" i="72" s="1"/>
  <c r="AG53" i="72" s="1"/>
  <c r="K53" i="72"/>
  <c r="AN53" i="72" s="1"/>
  <c r="D53" i="72"/>
  <c r="C53" i="72" s="1"/>
  <c r="B53" i="72"/>
  <c r="AD52" i="72"/>
  <c r="AF52" i="72" s="1"/>
  <c r="AG52" i="72" s="1"/>
  <c r="K52" i="72"/>
  <c r="AN52" i="72" s="1"/>
  <c r="D52" i="72"/>
  <c r="C52" i="72" s="1"/>
  <c r="B52" i="72"/>
  <c r="AD51" i="72"/>
  <c r="AF51" i="72" s="1"/>
  <c r="AG51" i="72" s="1"/>
  <c r="K51" i="72"/>
  <c r="AN51" i="72" s="1"/>
  <c r="D51" i="72"/>
  <c r="C51" i="72" s="1"/>
  <c r="B51" i="72"/>
  <c r="AD50" i="72"/>
  <c r="AF50" i="72" s="1"/>
  <c r="AG50" i="72" s="1"/>
  <c r="K50" i="72"/>
  <c r="AN50" i="72" s="1"/>
  <c r="D50" i="72"/>
  <c r="C50" i="72" s="1"/>
  <c r="B50" i="72"/>
  <c r="AD49" i="72"/>
  <c r="AF49" i="72" s="1"/>
  <c r="AG49" i="72" s="1"/>
  <c r="K49" i="72"/>
  <c r="D49" i="72"/>
  <c r="C49" i="72" s="1"/>
  <c r="B49" i="72"/>
  <c r="AD48" i="72"/>
  <c r="AF48" i="72" s="1"/>
  <c r="AG48" i="72" s="1"/>
  <c r="K48" i="72"/>
  <c r="AN48" i="72" s="1"/>
  <c r="D48" i="72"/>
  <c r="C48" i="72" s="1"/>
  <c r="B48" i="72"/>
  <c r="AD47" i="72"/>
  <c r="AF47" i="72" s="1"/>
  <c r="AG47" i="72" s="1"/>
  <c r="K47" i="72"/>
  <c r="D47" i="72"/>
  <c r="C47" i="72" s="1"/>
  <c r="B47" i="72"/>
  <c r="AD46" i="72"/>
  <c r="AF46" i="72" s="1"/>
  <c r="AG46" i="72" s="1"/>
  <c r="K46" i="72"/>
  <c r="AN46" i="72" s="1"/>
  <c r="D46" i="72"/>
  <c r="C46" i="72" s="1"/>
  <c r="B46" i="72"/>
  <c r="AD45" i="72"/>
  <c r="AF45" i="72" s="1"/>
  <c r="AG45" i="72" s="1"/>
  <c r="K45" i="72"/>
  <c r="AN45" i="72" s="1"/>
  <c r="D45" i="72"/>
  <c r="C45" i="72" s="1"/>
  <c r="B45" i="72"/>
  <c r="AD44" i="72"/>
  <c r="AF44" i="72" s="1"/>
  <c r="AG44" i="72" s="1"/>
  <c r="K44" i="72"/>
  <c r="AN44" i="72" s="1"/>
  <c r="D44" i="72"/>
  <c r="C44" i="72" s="1"/>
  <c r="B44" i="72"/>
  <c r="AD43" i="72"/>
  <c r="AF43" i="72" s="1"/>
  <c r="AG43" i="72" s="1"/>
  <c r="K43" i="72"/>
  <c r="AN43" i="72" s="1"/>
  <c r="D43" i="72"/>
  <c r="C43" i="72" s="1"/>
  <c r="B43" i="72"/>
  <c r="AD42" i="72"/>
  <c r="AF42" i="72" s="1"/>
  <c r="AG42" i="72" s="1"/>
  <c r="K42" i="72"/>
  <c r="AN42" i="72" s="1"/>
  <c r="D42" i="72"/>
  <c r="C42" i="72" s="1"/>
  <c r="B42" i="72"/>
  <c r="AD41" i="72"/>
  <c r="AF41" i="72" s="1"/>
  <c r="AG41" i="72" s="1"/>
  <c r="K41" i="72"/>
  <c r="D41" i="72"/>
  <c r="C41" i="72" s="1"/>
  <c r="B41" i="72"/>
  <c r="AD40" i="72"/>
  <c r="AF40" i="72" s="1"/>
  <c r="AG40" i="72" s="1"/>
  <c r="K40" i="72"/>
  <c r="AN40" i="72" s="1"/>
  <c r="D40" i="72"/>
  <c r="C40" i="72" s="1"/>
  <c r="B40" i="72"/>
  <c r="AD39" i="72"/>
  <c r="AF39" i="72" s="1"/>
  <c r="AG39" i="72" s="1"/>
  <c r="K39" i="72"/>
  <c r="D39" i="72"/>
  <c r="C39" i="72" s="1"/>
  <c r="B39" i="72"/>
  <c r="AD38" i="72"/>
  <c r="AF38" i="72" s="1"/>
  <c r="AG38" i="72" s="1"/>
  <c r="K38" i="72"/>
  <c r="AN38" i="72" s="1"/>
  <c r="D38" i="72"/>
  <c r="C38" i="72" s="1"/>
  <c r="B38" i="72"/>
  <c r="AD37" i="72"/>
  <c r="AF37" i="72" s="1"/>
  <c r="AG37" i="72" s="1"/>
  <c r="K37" i="72"/>
  <c r="AN37" i="72" s="1"/>
  <c r="D37" i="72"/>
  <c r="C37" i="72" s="1"/>
  <c r="B37" i="72"/>
  <c r="AD36" i="72"/>
  <c r="AF36" i="72" s="1"/>
  <c r="AG36" i="72" s="1"/>
  <c r="K36" i="72"/>
  <c r="AN36" i="72" s="1"/>
  <c r="D36" i="72"/>
  <c r="C36" i="72" s="1"/>
  <c r="B36" i="72"/>
  <c r="AD35" i="72"/>
  <c r="AF35" i="72" s="1"/>
  <c r="AG35" i="72" s="1"/>
  <c r="K35" i="72"/>
  <c r="AN35" i="72" s="1"/>
  <c r="D35" i="72"/>
  <c r="C35" i="72" s="1"/>
  <c r="B35" i="72"/>
  <c r="AD34" i="72"/>
  <c r="AF34" i="72" s="1"/>
  <c r="AG34" i="72" s="1"/>
  <c r="K34" i="72"/>
  <c r="AN34" i="72" s="1"/>
  <c r="D34" i="72"/>
  <c r="C34" i="72" s="1"/>
  <c r="B34" i="72"/>
  <c r="AD33" i="72"/>
  <c r="AF33" i="72" s="1"/>
  <c r="AG33" i="72" s="1"/>
  <c r="AH33" i="72" s="1"/>
  <c r="K33" i="72"/>
  <c r="AN33" i="72" s="1"/>
  <c r="D33" i="72"/>
  <c r="C33" i="72" s="1"/>
  <c r="B33" i="72"/>
  <c r="AD32" i="72"/>
  <c r="AF32" i="72" s="1"/>
  <c r="AG32" i="72" s="1"/>
  <c r="K32" i="72"/>
  <c r="AN32" i="72" s="1"/>
  <c r="D32" i="72"/>
  <c r="C32" i="72" s="1"/>
  <c r="B32" i="72"/>
  <c r="AD31" i="72"/>
  <c r="AF31" i="72" s="1"/>
  <c r="AG31" i="72" s="1"/>
  <c r="K31" i="72"/>
  <c r="AN31" i="72" s="1"/>
  <c r="D31" i="72"/>
  <c r="C31" i="72" s="1"/>
  <c r="B31" i="72"/>
  <c r="AD30" i="72"/>
  <c r="AF30" i="72" s="1"/>
  <c r="AG30" i="72" s="1"/>
  <c r="K30" i="72"/>
  <c r="D30" i="72"/>
  <c r="C30" i="72" s="1"/>
  <c r="B30" i="72"/>
  <c r="AD29" i="72"/>
  <c r="AF29" i="72" s="1"/>
  <c r="AG29" i="72" s="1"/>
  <c r="K29" i="72"/>
  <c r="AN29" i="72" s="1"/>
  <c r="D29" i="72"/>
  <c r="C29" i="72" s="1"/>
  <c r="B29" i="72"/>
  <c r="AD28" i="72"/>
  <c r="AF28" i="72" s="1"/>
  <c r="AG28" i="72" s="1"/>
  <c r="K28" i="72"/>
  <c r="D28" i="72"/>
  <c r="C28" i="72" s="1"/>
  <c r="B28" i="72"/>
  <c r="AD27" i="72"/>
  <c r="AF27" i="72" s="1"/>
  <c r="AG27" i="72" s="1"/>
  <c r="K27" i="72"/>
  <c r="AN27" i="72" s="1"/>
  <c r="D27" i="72"/>
  <c r="C27" i="72" s="1"/>
  <c r="B27" i="72"/>
  <c r="AD26" i="72"/>
  <c r="AF26" i="72" s="1"/>
  <c r="AG26" i="72" s="1"/>
  <c r="K26" i="72"/>
  <c r="AN26" i="72" s="1"/>
  <c r="D26" i="72"/>
  <c r="C26" i="72" s="1"/>
  <c r="B26" i="72"/>
  <c r="AD25" i="72"/>
  <c r="AF25" i="72" s="1"/>
  <c r="AG25" i="72" s="1"/>
  <c r="K25" i="72"/>
  <c r="AN25" i="72" s="1"/>
  <c r="D25" i="72"/>
  <c r="C25" i="72" s="1"/>
  <c r="B25" i="72"/>
  <c r="AD24" i="72"/>
  <c r="AF24" i="72" s="1"/>
  <c r="AG24" i="72" s="1"/>
  <c r="K24" i="72"/>
  <c r="AN24" i="72" s="1"/>
  <c r="D24" i="72"/>
  <c r="C24" i="72" s="1"/>
  <c r="B24" i="72"/>
  <c r="AD23" i="72"/>
  <c r="AF23" i="72" s="1"/>
  <c r="AG23" i="72" s="1"/>
  <c r="D23" i="72"/>
  <c r="C23" i="72" s="1"/>
  <c r="B23" i="72"/>
  <c r="K23" i="72" s="1"/>
  <c r="AD22" i="72"/>
  <c r="AF22" i="72" s="1"/>
  <c r="AG22" i="72" s="1"/>
  <c r="D22" i="72"/>
  <c r="C22" i="72" s="1"/>
  <c r="B22" i="72"/>
  <c r="AD21" i="72"/>
  <c r="AF21" i="72" s="1"/>
  <c r="AG21" i="72" s="1"/>
  <c r="D21" i="72"/>
  <c r="C21" i="72" s="1"/>
  <c r="B21" i="72"/>
  <c r="AD20" i="72"/>
  <c r="AF20" i="72" s="1"/>
  <c r="AG20" i="72" s="1"/>
  <c r="B20" i="72"/>
  <c r="AD19" i="72"/>
  <c r="AF19" i="72" s="1"/>
  <c r="AG19" i="72" s="1"/>
  <c r="B19" i="72"/>
  <c r="AD18" i="72"/>
  <c r="AF18" i="72" s="1"/>
  <c r="AG18" i="72" s="1"/>
  <c r="B18" i="72"/>
  <c r="AD17" i="72"/>
  <c r="AF17" i="72" s="1"/>
  <c r="AG17" i="72" s="1"/>
  <c r="AH17" i="72" s="1"/>
  <c r="B17" i="72"/>
  <c r="K17" i="72" s="1"/>
  <c r="AD16" i="72"/>
  <c r="AF16" i="72" s="1"/>
  <c r="AG16" i="72" s="1"/>
  <c r="B16" i="72"/>
  <c r="AD15" i="72"/>
  <c r="AF15" i="72" s="1"/>
  <c r="AG15" i="72" s="1"/>
  <c r="AD14" i="72"/>
  <c r="AF14" i="72" s="1"/>
  <c r="AG14" i="72" s="1"/>
  <c r="B14" i="72"/>
  <c r="BC13" i="72"/>
  <c r="AD13" i="72"/>
  <c r="AF13" i="72" s="1"/>
  <c r="AG13" i="72" s="1"/>
  <c r="B13" i="72"/>
  <c r="W12" i="72"/>
  <c r="V12" i="72"/>
  <c r="U12" i="72"/>
  <c r="T12" i="72"/>
  <c r="S12" i="72"/>
  <c r="R12" i="72"/>
  <c r="Q12" i="72"/>
  <c r="P12" i="72"/>
  <c r="O12" i="72"/>
  <c r="N12" i="72"/>
  <c r="M12" i="72"/>
  <c r="L11" i="72"/>
  <c r="M11" i="72" s="1"/>
  <c r="N11" i="72" s="1"/>
  <c r="O11" i="72" s="1"/>
  <c r="P11" i="72" s="1"/>
  <c r="Q11" i="72" s="1"/>
  <c r="R11" i="72" s="1"/>
  <c r="S11" i="72" s="1"/>
  <c r="T11" i="72" s="1"/>
  <c r="U11" i="72" s="1"/>
  <c r="V11" i="72" s="1"/>
  <c r="W11" i="72" s="1"/>
  <c r="X11" i="72" s="1"/>
  <c r="C75" i="71"/>
  <c r="C65" i="71"/>
  <c r="C61" i="71"/>
  <c r="C58" i="71"/>
  <c r="K57" i="71"/>
  <c r="D57" i="71"/>
  <c r="C57" i="71" s="1"/>
  <c r="B57" i="71"/>
  <c r="K56" i="71"/>
  <c r="D56" i="71"/>
  <c r="C56" i="71" s="1"/>
  <c r="B56" i="71"/>
  <c r="K55" i="71"/>
  <c r="D55" i="71"/>
  <c r="C55" i="71" s="1"/>
  <c r="B55" i="71"/>
  <c r="K54" i="71"/>
  <c r="D54" i="71"/>
  <c r="C54" i="71" s="1"/>
  <c r="B54" i="71"/>
  <c r="K53" i="71"/>
  <c r="D53" i="71"/>
  <c r="C53" i="71" s="1"/>
  <c r="B53" i="71"/>
  <c r="K52" i="71"/>
  <c r="D52" i="71"/>
  <c r="C52" i="71" s="1"/>
  <c r="B52" i="71"/>
  <c r="K51" i="71"/>
  <c r="D51" i="71"/>
  <c r="C51" i="71" s="1"/>
  <c r="B51" i="71"/>
  <c r="K50" i="71"/>
  <c r="D50" i="71"/>
  <c r="C50" i="71" s="1"/>
  <c r="B50" i="71"/>
  <c r="K49" i="71"/>
  <c r="D49" i="71"/>
  <c r="C49" i="71" s="1"/>
  <c r="B49" i="71"/>
  <c r="K48" i="71"/>
  <c r="D48" i="71"/>
  <c r="C48" i="71" s="1"/>
  <c r="B48" i="71"/>
  <c r="K47" i="71"/>
  <c r="D47" i="71"/>
  <c r="C47" i="71" s="1"/>
  <c r="B47" i="71"/>
  <c r="K46" i="71"/>
  <c r="D46" i="71"/>
  <c r="C46" i="71" s="1"/>
  <c r="B46" i="71"/>
  <c r="K45" i="71"/>
  <c r="D45" i="71"/>
  <c r="C45" i="71" s="1"/>
  <c r="B45" i="71"/>
  <c r="K44" i="71"/>
  <c r="D44" i="71"/>
  <c r="C44" i="71" s="1"/>
  <c r="B44" i="71"/>
  <c r="K43" i="71"/>
  <c r="D43" i="71"/>
  <c r="C43" i="71" s="1"/>
  <c r="B43" i="71"/>
  <c r="K42" i="71"/>
  <c r="D42" i="71"/>
  <c r="C42" i="71" s="1"/>
  <c r="B42" i="71"/>
  <c r="K41" i="71"/>
  <c r="D41" i="71"/>
  <c r="C41" i="71" s="1"/>
  <c r="B41" i="71"/>
  <c r="K40" i="71"/>
  <c r="D40" i="71"/>
  <c r="C40" i="71" s="1"/>
  <c r="B40" i="71"/>
  <c r="K39" i="71"/>
  <c r="D39" i="71"/>
  <c r="C39" i="71" s="1"/>
  <c r="B39" i="71"/>
  <c r="K38" i="71"/>
  <c r="D38" i="71"/>
  <c r="C38" i="71" s="1"/>
  <c r="B38" i="71"/>
  <c r="K37" i="71"/>
  <c r="D37" i="71"/>
  <c r="C37" i="71" s="1"/>
  <c r="B37" i="71"/>
  <c r="K36" i="71"/>
  <c r="D36" i="71"/>
  <c r="C36" i="71" s="1"/>
  <c r="B36" i="71"/>
  <c r="K35" i="71"/>
  <c r="D35" i="71"/>
  <c r="C35" i="71" s="1"/>
  <c r="B35" i="71"/>
  <c r="K34" i="71"/>
  <c r="D34" i="71"/>
  <c r="C34" i="71" s="1"/>
  <c r="B34" i="71"/>
  <c r="K33" i="71"/>
  <c r="D33" i="71"/>
  <c r="C33" i="71" s="1"/>
  <c r="B33" i="71"/>
  <c r="K32" i="71"/>
  <c r="D32" i="71"/>
  <c r="C32" i="71" s="1"/>
  <c r="B32" i="71"/>
  <c r="K31" i="71"/>
  <c r="D31" i="71"/>
  <c r="C31" i="71" s="1"/>
  <c r="B31" i="71"/>
  <c r="K30" i="71"/>
  <c r="D30" i="71"/>
  <c r="C30" i="71" s="1"/>
  <c r="B30" i="71"/>
  <c r="K29" i="71"/>
  <c r="D29" i="71"/>
  <c r="C29" i="71" s="1"/>
  <c r="B29" i="71"/>
  <c r="K28" i="71"/>
  <c r="D28" i="71"/>
  <c r="C28" i="71" s="1"/>
  <c r="B28" i="71"/>
  <c r="K27" i="71"/>
  <c r="D27" i="71"/>
  <c r="C27" i="71" s="1"/>
  <c r="B27" i="71"/>
  <c r="K26" i="71"/>
  <c r="D26" i="71"/>
  <c r="C26" i="71" s="1"/>
  <c r="B26" i="71"/>
  <c r="K25" i="71"/>
  <c r="D25" i="71"/>
  <c r="C25" i="71" s="1"/>
  <c r="B25" i="71"/>
  <c r="K24" i="71"/>
  <c r="D24" i="71"/>
  <c r="C24" i="71" s="1"/>
  <c r="B24" i="71"/>
  <c r="D23" i="71"/>
  <c r="C23" i="71" s="1"/>
  <c r="B23" i="71"/>
  <c r="D22" i="71"/>
  <c r="C22" i="71" s="1"/>
  <c r="B22" i="71"/>
  <c r="D21" i="71"/>
  <c r="C21" i="71" s="1"/>
  <c r="B21" i="71"/>
  <c r="B20" i="71"/>
  <c r="B19" i="71"/>
  <c r="B18" i="71"/>
  <c r="B17" i="71"/>
  <c r="B16" i="71"/>
  <c r="B14" i="71"/>
  <c r="B13" i="71"/>
  <c r="W12" i="71"/>
  <c r="V12" i="71"/>
  <c r="U12" i="71"/>
  <c r="T12" i="71"/>
  <c r="S12" i="71"/>
  <c r="R12" i="71"/>
  <c r="Q12" i="71"/>
  <c r="P12" i="71"/>
  <c r="O12" i="71"/>
  <c r="N12" i="71"/>
  <c r="M12" i="71"/>
  <c r="J11" i="71"/>
  <c r="K11" i="71" s="1"/>
  <c r="L11" i="71" s="1"/>
  <c r="M11" i="71" s="1"/>
  <c r="N11" i="71" s="1"/>
  <c r="O11" i="71" s="1"/>
  <c r="P11" i="71" s="1"/>
  <c r="Q11" i="71" s="1"/>
  <c r="R11" i="71" s="1"/>
  <c r="S11" i="71" s="1"/>
  <c r="T11" i="71" s="1"/>
  <c r="U11" i="71" s="1"/>
  <c r="V11" i="71" s="1"/>
  <c r="W11" i="71" s="1"/>
  <c r="C168" i="70"/>
  <c r="A167" i="70"/>
  <c r="K167" i="70" s="1"/>
  <c r="A166" i="70"/>
  <c r="B166" i="70" s="1"/>
  <c r="A165" i="70"/>
  <c r="K165" i="70" s="1"/>
  <c r="A164" i="70"/>
  <c r="B164" i="70" s="1"/>
  <c r="B163" i="70"/>
  <c r="A163" i="70"/>
  <c r="K163" i="70" s="1"/>
  <c r="A162" i="70"/>
  <c r="B162" i="70" s="1"/>
  <c r="A161" i="70"/>
  <c r="K161" i="70" s="1"/>
  <c r="A160" i="70"/>
  <c r="B160" i="70" s="1"/>
  <c r="A159" i="70"/>
  <c r="K159" i="70" s="1"/>
  <c r="A158" i="70"/>
  <c r="B158" i="70" s="1"/>
  <c r="A157" i="70"/>
  <c r="K157" i="70" s="1"/>
  <c r="A156" i="70"/>
  <c r="B156" i="70" s="1"/>
  <c r="B155" i="70"/>
  <c r="A155" i="70"/>
  <c r="K155" i="70" s="1"/>
  <c r="A154" i="70"/>
  <c r="B154" i="70" s="1"/>
  <c r="A153" i="70"/>
  <c r="K153" i="70" s="1"/>
  <c r="A152" i="70"/>
  <c r="B151" i="70"/>
  <c r="A151" i="70"/>
  <c r="K151" i="70" s="1"/>
  <c r="K150" i="70"/>
  <c r="A150" i="70"/>
  <c r="B150" i="70" s="1"/>
  <c r="A149" i="70"/>
  <c r="K149" i="70" s="1"/>
  <c r="A148" i="70"/>
  <c r="A147" i="70"/>
  <c r="K147" i="70" s="1"/>
  <c r="A146" i="70"/>
  <c r="B146" i="70" s="1"/>
  <c r="A145" i="70"/>
  <c r="K145" i="70" s="1"/>
  <c r="A144" i="70"/>
  <c r="B143" i="70"/>
  <c r="A143" i="70"/>
  <c r="K143" i="70" s="1"/>
  <c r="K142" i="70"/>
  <c r="A142" i="70"/>
  <c r="B142" i="70" s="1"/>
  <c r="A141" i="70"/>
  <c r="K141" i="70" s="1"/>
  <c r="A140" i="70"/>
  <c r="B139" i="70"/>
  <c r="A139" i="70"/>
  <c r="K139" i="70" s="1"/>
  <c r="A138" i="70"/>
  <c r="K138" i="70" s="1"/>
  <c r="K137" i="70"/>
  <c r="B137" i="70"/>
  <c r="A137" i="70"/>
  <c r="A136" i="70"/>
  <c r="A135" i="70"/>
  <c r="K135" i="70" s="1"/>
  <c r="A134" i="70"/>
  <c r="K134" i="70" s="1"/>
  <c r="A133" i="70"/>
  <c r="B132" i="70"/>
  <c r="A132" i="70"/>
  <c r="A131" i="70"/>
  <c r="B131" i="70" s="1"/>
  <c r="A128" i="70"/>
  <c r="A127" i="70"/>
  <c r="B126" i="70"/>
  <c r="A126" i="70"/>
  <c r="A125" i="70"/>
  <c r="B124" i="70"/>
  <c r="A124" i="70"/>
  <c r="A123" i="70"/>
  <c r="B123" i="70" s="1"/>
  <c r="X122" i="70"/>
  <c r="W122" i="70"/>
  <c r="V122" i="70"/>
  <c r="U122" i="70"/>
  <c r="T122" i="70"/>
  <c r="S122" i="70"/>
  <c r="R122" i="70"/>
  <c r="Q122" i="70"/>
  <c r="P122" i="70"/>
  <c r="O122" i="70"/>
  <c r="N122" i="70"/>
  <c r="M122" i="70"/>
  <c r="L122" i="70"/>
  <c r="K122" i="70"/>
  <c r="K121" i="70"/>
  <c r="L121" i="70" s="1"/>
  <c r="M121" i="70" s="1"/>
  <c r="N121" i="70" s="1"/>
  <c r="O121" i="70" s="1"/>
  <c r="P121" i="70" s="1"/>
  <c r="Q121" i="70" s="1"/>
  <c r="R121" i="70" s="1"/>
  <c r="S121" i="70" s="1"/>
  <c r="T121" i="70" s="1"/>
  <c r="U121" i="70" s="1"/>
  <c r="V121" i="70" s="1"/>
  <c r="W121" i="70" s="1"/>
  <c r="X121" i="70" s="1"/>
  <c r="C113" i="70"/>
  <c r="A112" i="70"/>
  <c r="K112" i="70" s="1"/>
  <c r="A111" i="70"/>
  <c r="B111" i="70" s="1"/>
  <c r="A110" i="70"/>
  <c r="A109" i="70"/>
  <c r="K109" i="70" s="1"/>
  <c r="A108" i="70"/>
  <c r="A107" i="70"/>
  <c r="A106" i="70"/>
  <c r="A105" i="70"/>
  <c r="B105" i="70" s="1"/>
  <c r="A104" i="70"/>
  <c r="K104" i="70" s="1"/>
  <c r="A103" i="70"/>
  <c r="A102" i="70"/>
  <c r="K101" i="70"/>
  <c r="B101" i="70"/>
  <c r="A101" i="70"/>
  <c r="A100" i="70"/>
  <c r="A99" i="70"/>
  <c r="A98" i="70"/>
  <c r="B98" i="70" s="1"/>
  <c r="A97" i="70"/>
  <c r="K97" i="70" s="1"/>
  <c r="B96" i="70"/>
  <c r="A96" i="70"/>
  <c r="K96" i="70" s="1"/>
  <c r="A95" i="70"/>
  <c r="B94" i="70"/>
  <c r="A94" i="70"/>
  <c r="K94" i="70" s="1"/>
  <c r="A93" i="70"/>
  <c r="K93" i="70" s="1"/>
  <c r="A92" i="70"/>
  <c r="B92" i="70" s="1"/>
  <c r="A91" i="70"/>
  <c r="B91" i="70" s="1"/>
  <c r="K90" i="70"/>
  <c r="A90" i="70"/>
  <c r="B90" i="70" s="1"/>
  <c r="A89" i="70"/>
  <c r="K89" i="70" s="1"/>
  <c r="A88" i="70"/>
  <c r="K88" i="70" s="1"/>
  <c r="A87" i="70"/>
  <c r="A86" i="70"/>
  <c r="K86" i="70" s="1"/>
  <c r="A85" i="70"/>
  <c r="A84" i="70"/>
  <c r="B84" i="70" s="1"/>
  <c r="K83" i="70"/>
  <c r="B83" i="70"/>
  <c r="A83" i="70"/>
  <c r="A82" i="70"/>
  <c r="A81" i="70"/>
  <c r="B81" i="70" s="1"/>
  <c r="A80" i="70"/>
  <c r="B80" i="70" s="1"/>
  <c r="A79" i="70"/>
  <c r="B79" i="70" s="1"/>
  <c r="A78" i="70"/>
  <c r="B78" i="70" s="1"/>
  <c r="A77" i="70"/>
  <c r="B77" i="70" s="1"/>
  <c r="A76" i="70"/>
  <c r="A73" i="70"/>
  <c r="A72" i="70"/>
  <c r="B71" i="70"/>
  <c r="A71" i="70"/>
  <c r="A70" i="70"/>
  <c r="A69" i="70"/>
  <c r="B69" i="70" s="1"/>
  <c r="A68" i="70"/>
  <c r="AA67" i="70"/>
  <c r="Z67" i="70"/>
  <c r="Y67" i="70"/>
  <c r="X67" i="70"/>
  <c r="W67" i="70"/>
  <c r="V67" i="70"/>
  <c r="U67" i="70"/>
  <c r="T67" i="70"/>
  <c r="S67" i="70"/>
  <c r="R67" i="70"/>
  <c r="Q67" i="70"/>
  <c r="P67" i="70"/>
  <c r="O67" i="70"/>
  <c r="N67" i="70"/>
  <c r="M67" i="70"/>
  <c r="L67" i="70"/>
  <c r="K67" i="70"/>
  <c r="K66" i="70"/>
  <c r="L66" i="70" s="1"/>
  <c r="M66" i="70" s="1"/>
  <c r="N66" i="70" s="1"/>
  <c r="O66" i="70" s="1"/>
  <c r="P66" i="70" s="1"/>
  <c r="Q66" i="70" s="1"/>
  <c r="R66" i="70" s="1"/>
  <c r="S66" i="70" s="1"/>
  <c r="T66" i="70" s="1"/>
  <c r="U66" i="70" s="1"/>
  <c r="V66" i="70" s="1"/>
  <c r="W66" i="70" s="1"/>
  <c r="X66" i="70" s="1"/>
  <c r="Y66" i="70" s="1"/>
  <c r="Z66" i="70" s="1"/>
  <c r="AA66" i="70" s="1"/>
  <c r="C58" i="70"/>
  <c r="K57" i="70"/>
  <c r="D57" i="70"/>
  <c r="C57" i="70" s="1"/>
  <c r="B57" i="70"/>
  <c r="K56" i="70"/>
  <c r="D56" i="70"/>
  <c r="D166" i="70" s="1"/>
  <c r="C166" i="70" s="1"/>
  <c r="B56" i="70"/>
  <c r="K55" i="70"/>
  <c r="D55" i="70"/>
  <c r="D165" i="70" s="1"/>
  <c r="C165" i="70" s="1"/>
  <c r="B55" i="70"/>
  <c r="K54" i="70"/>
  <c r="D54" i="70"/>
  <c r="D109" i="70" s="1"/>
  <c r="C109" i="70" s="1"/>
  <c r="B54" i="70"/>
  <c r="K53" i="70"/>
  <c r="D53" i="70"/>
  <c r="C53" i="70" s="1"/>
  <c r="B53" i="70"/>
  <c r="K52" i="70"/>
  <c r="D52" i="70"/>
  <c r="D107" i="70" s="1"/>
  <c r="C107" i="70" s="1"/>
  <c r="B52" i="70"/>
  <c r="K51" i="70"/>
  <c r="D51" i="70"/>
  <c r="D161" i="70" s="1"/>
  <c r="C161" i="70" s="1"/>
  <c r="B51" i="70"/>
  <c r="K50" i="70"/>
  <c r="D50" i="70"/>
  <c r="D160" i="70" s="1"/>
  <c r="C160" i="70" s="1"/>
  <c r="B50" i="70"/>
  <c r="K49" i="70"/>
  <c r="D49" i="70"/>
  <c r="C49" i="70" s="1"/>
  <c r="B49" i="70"/>
  <c r="K48" i="70"/>
  <c r="D48" i="70"/>
  <c r="D158" i="70" s="1"/>
  <c r="C158" i="70" s="1"/>
  <c r="B48" i="70"/>
  <c r="K47" i="70"/>
  <c r="D47" i="70"/>
  <c r="D157" i="70" s="1"/>
  <c r="C157" i="70" s="1"/>
  <c r="B47" i="70"/>
  <c r="K46" i="70"/>
  <c r="D46" i="70"/>
  <c r="D101" i="70" s="1"/>
  <c r="C101" i="70" s="1"/>
  <c r="B46" i="70"/>
  <c r="K45" i="70"/>
  <c r="D45" i="70"/>
  <c r="D155" i="70" s="1"/>
  <c r="C155" i="70" s="1"/>
  <c r="B45" i="70"/>
  <c r="K44" i="70"/>
  <c r="D44" i="70"/>
  <c r="D99" i="70" s="1"/>
  <c r="C99" i="70" s="1"/>
  <c r="B44" i="70"/>
  <c r="K43" i="70"/>
  <c r="D43" i="70"/>
  <c r="D153" i="70" s="1"/>
  <c r="C153" i="70" s="1"/>
  <c r="B43" i="70"/>
  <c r="K42" i="70"/>
  <c r="D42" i="70"/>
  <c r="D97" i="70" s="1"/>
  <c r="C97" i="70" s="1"/>
  <c r="B42" i="70"/>
  <c r="K41" i="70"/>
  <c r="D41" i="70"/>
  <c r="D151" i="70" s="1"/>
  <c r="C151" i="70" s="1"/>
  <c r="B41" i="70"/>
  <c r="K40" i="70"/>
  <c r="D40" i="70"/>
  <c r="D150" i="70" s="1"/>
  <c r="C150" i="70" s="1"/>
  <c r="B40" i="70"/>
  <c r="K39" i="70"/>
  <c r="D39" i="70"/>
  <c r="D149" i="70" s="1"/>
  <c r="C149" i="70" s="1"/>
  <c r="B39" i="70"/>
  <c r="K38" i="70"/>
  <c r="D38" i="70"/>
  <c r="D93" i="70" s="1"/>
  <c r="C93" i="70" s="1"/>
  <c r="B38" i="70"/>
  <c r="K37" i="70"/>
  <c r="D37" i="70"/>
  <c r="D147" i="70" s="1"/>
  <c r="C147" i="70" s="1"/>
  <c r="B37" i="70"/>
  <c r="K36" i="70"/>
  <c r="D36" i="70"/>
  <c r="D91" i="70" s="1"/>
  <c r="C91" i="70" s="1"/>
  <c r="B36" i="70"/>
  <c r="K35" i="70"/>
  <c r="D35" i="70"/>
  <c r="D145" i="70" s="1"/>
  <c r="C145" i="70" s="1"/>
  <c r="B35" i="70"/>
  <c r="K34" i="70"/>
  <c r="D34" i="70"/>
  <c r="D144" i="70" s="1"/>
  <c r="C144" i="70" s="1"/>
  <c r="B34" i="70"/>
  <c r="K33" i="70"/>
  <c r="D33" i="70"/>
  <c r="D143" i="70" s="1"/>
  <c r="C143" i="70" s="1"/>
  <c r="B33" i="70"/>
  <c r="K32" i="70"/>
  <c r="D32" i="70"/>
  <c r="D142" i="70" s="1"/>
  <c r="C142" i="70" s="1"/>
  <c r="B32" i="70"/>
  <c r="K31" i="70"/>
  <c r="D31" i="70"/>
  <c r="D141" i="70" s="1"/>
  <c r="C141" i="70" s="1"/>
  <c r="B31" i="70"/>
  <c r="K30" i="70"/>
  <c r="D30" i="70"/>
  <c r="D85" i="70" s="1"/>
  <c r="C85" i="70" s="1"/>
  <c r="B30" i="70"/>
  <c r="K29" i="70"/>
  <c r="D29" i="70"/>
  <c r="D139" i="70" s="1"/>
  <c r="C139" i="70" s="1"/>
  <c r="B29" i="70"/>
  <c r="K28" i="70"/>
  <c r="D28" i="70"/>
  <c r="D138" i="70" s="1"/>
  <c r="C138" i="70" s="1"/>
  <c r="B28" i="70"/>
  <c r="K27" i="70"/>
  <c r="D27" i="70"/>
  <c r="D137" i="70" s="1"/>
  <c r="C137" i="70" s="1"/>
  <c r="B27" i="70"/>
  <c r="K26" i="70"/>
  <c r="D26" i="70"/>
  <c r="D81" i="70" s="1"/>
  <c r="C81" i="70" s="1"/>
  <c r="B26" i="70"/>
  <c r="K25" i="70"/>
  <c r="D25" i="70"/>
  <c r="D135" i="70" s="1"/>
  <c r="C135" i="70" s="1"/>
  <c r="B25" i="70"/>
  <c r="K24" i="70"/>
  <c r="D24" i="70"/>
  <c r="D134" i="70" s="1"/>
  <c r="C134" i="70" s="1"/>
  <c r="B24" i="70"/>
  <c r="D23" i="70"/>
  <c r="D133" i="70" s="1"/>
  <c r="C133" i="70" s="1"/>
  <c r="B23" i="70"/>
  <c r="D22" i="70"/>
  <c r="D132" i="70" s="1"/>
  <c r="C132" i="70" s="1"/>
  <c r="B22" i="70"/>
  <c r="D21" i="70"/>
  <c r="D131" i="70" s="1"/>
  <c r="C131" i="70" s="1"/>
  <c r="B21" i="70"/>
  <c r="B20" i="70"/>
  <c r="B19" i="70"/>
  <c r="B18" i="70"/>
  <c r="B17" i="70"/>
  <c r="B16" i="70"/>
  <c r="B14" i="70"/>
  <c r="B13" i="70"/>
  <c r="AA12" i="70"/>
  <c r="Z12" i="70"/>
  <c r="Y12" i="70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L11" i="70"/>
  <c r="M11" i="70" s="1"/>
  <c r="N11" i="70" s="1"/>
  <c r="O11" i="70" s="1"/>
  <c r="P11" i="70" s="1"/>
  <c r="Q11" i="70" s="1"/>
  <c r="R11" i="70" s="1"/>
  <c r="S11" i="70" s="1"/>
  <c r="T11" i="70" s="1"/>
  <c r="U11" i="70" s="1"/>
  <c r="V11" i="70" s="1"/>
  <c r="W11" i="70" s="1"/>
  <c r="X11" i="70" s="1"/>
  <c r="Y11" i="70" s="1"/>
  <c r="Z11" i="70" s="1"/>
  <c r="AA11" i="70" s="1"/>
  <c r="L112" i="76" l="1"/>
  <c r="G170" i="76"/>
  <c r="G169" i="76"/>
  <c r="B133" i="76"/>
  <c r="G115" i="76"/>
  <c r="G114" i="76"/>
  <c r="I73" i="81"/>
  <c r="H73" i="81"/>
  <c r="I80" i="81"/>
  <c r="H80" i="81"/>
  <c r="I84" i="81"/>
  <c r="H84" i="81"/>
  <c r="I92" i="81"/>
  <c r="H92" i="81"/>
  <c r="J101" i="81"/>
  <c r="H101" i="81"/>
  <c r="I107" i="81"/>
  <c r="H107" i="81"/>
  <c r="K110" i="81"/>
  <c r="I127" i="81"/>
  <c r="H127" i="81"/>
  <c r="K142" i="81"/>
  <c r="B155" i="81"/>
  <c r="S155" i="81" s="1"/>
  <c r="J96" i="81"/>
  <c r="J145" i="81"/>
  <c r="I79" i="81"/>
  <c r="H79" i="81"/>
  <c r="I68" i="81"/>
  <c r="H68" i="81"/>
  <c r="K80" i="81"/>
  <c r="K84" i="81"/>
  <c r="I89" i="81"/>
  <c r="H89" i="81"/>
  <c r="B98" i="81"/>
  <c r="Y98" i="81" s="1"/>
  <c r="I128" i="81"/>
  <c r="H128" i="81"/>
  <c r="L142" i="81"/>
  <c r="B165" i="81"/>
  <c r="S165" i="81" s="1"/>
  <c r="J88" i="81"/>
  <c r="J138" i="81"/>
  <c r="I90" i="81"/>
  <c r="H90" i="81"/>
  <c r="I111" i="81"/>
  <c r="H111" i="81"/>
  <c r="B128" i="81"/>
  <c r="B153" i="81"/>
  <c r="R153" i="81" s="1"/>
  <c r="B161" i="81"/>
  <c r="T161" i="81" s="1"/>
  <c r="K165" i="81"/>
  <c r="J137" i="81"/>
  <c r="J110" i="81"/>
  <c r="H110" i="81"/>
  <c r="I70" i="81"/>
  <c r="H70" i="81"/>
  <c r="I81" i="81"/>
  <c r="H81" i="81"/>
  <c r="J85" i="81"/>
  <c r="H85" i="81"/>
  <c r="B90" i="81"/>
  <c r="X90" i="81" s="1"/>
  <c r="I95" i="81"/>
  <c r="H95" i="81"/>
  <c r="I99" i="81"/>
  <c r="H99" i="81"/>
  <c r="I103" i="81"/>
  <c r="H103" i="81"/>
  <c r="L165" i="81"/>
  <c r="J80" i="81"/>
  <c r="I97" i="81"/>
  <c r="H97" i="81"/>
  <c r="B70" i="81"/>
  <c r="I76" i="81"/>
  <c r="H76" i="81"/>
  <c r="I82" i="81"/>
  <c r="H82" i="81"/>
  <c r="L90" i="81"/>
  <c r="L95" i="81"/>
  <c r="K99" i="81"/>
  <c r="B109" i="81"/>
  <c r="AA109" i="81" s="1"/>
  <c r="B112" i="81"/>
  <c r="U112" i="81" s="1"/>
  <c r="I130" i="81"/>
  <c r="H130" i="81"/>
  <c r="J162" i="81"/>
  <c r="I71" i="81"/>
  <c r="H71" i="81"/>
  <c r="I83" i="81"/>
  <c r="H83" i="81"/>
  <c r="I86" i="81"/>
  <c r="H86" i="81"/>
  <c r="I91" i="81"/>
  <c r="H91" i="81"/>
  <c r="L109" i="81"/>
  <c r="K112" i="81"/>
  <c r="K141" i="81"/>
  <c r="B154" i="81"/>
  <c r="U154" i="81" s="1"/>
  <c r="J161" i="81"/>
  <c r="I72" i="81"/>
  <c r="H72" i="81"/>
  <c r="L83" i="81"/>
  <c r="J87" i="81"/>
  <c r="H87" i="81"/>
  <c r="K91" i="81"/>
  <c r="I105" i="81"/>
  <c r="H105" i="81"/>
  <c r="I126" i="81"/>
  <c r="H126" i="81"/>
  <c r="B139" i="81"/>
  <c r="S139" i="81" s="1"/>
  <c r="L141" i="81"/>
  <c r="K154" i="81"/>
  <c r="B158" i="81"/>
  <c r="R158" i="81" s="1"/>
  <c r="J112" i="81"/>
  <c r="J154" i="81"/>
  <c r="L58" i="80"/>
  <c r="M58" i="80"/>
  <c r="J56" i="80"/>
  <c r="L56" i="80"/>
  <c r="M56" i="80"/>
  <c r="K58" i="80"/>
  <c r="B56" i="80"/>
  <c r="J58" i="80"/>
  <c r="K56" i="80"/>
  <c r="L55" i="80"/>
  <c r="M55" i="80"/>
  <c r="B57" i="80"/>
  <c r="I57" i="80" s="1"/>
  <c r="L57" i="80"/>
  <c r="M57" i="80"/>
  <c r="K55" i="80"/>
  <c r="AI55" i="79"/>
  <c r="B69" i="76"/>
  <c r="U69" i="76" s="1"/>
  <c r="H69" i="76"/>
  <c r="I69" i="76"/>
  <c r="H84" i="76"/>
  <c r="I84" i="76"/>
  <c r="H89" i="76"/>
  <c r="I89" i="76"/>
  <c r="H98" i="76"/>
  <c r="I98" i="76"/>
  <c r="H102" i="76"/>
  <c r="I102" i="76"/>
  <c r="H111" i="76"/>
  <c r="I111" i="76"/>
  <c r="H132" i="76"/>
  <c r="I132" i="76"/>
  <c r="B147" i="76"/>
  <c r="U147" i="76" s="1"/>
  <c r="B152" i="76"/>
  <c r="O152" i="76" s="1"/>
  <c r="B154" i="76"/>
  <c r="X154" i="76" s="1"/>
  <c r="B157" i="76"/>
  <c r="S157" i="76" s="1"/>
  <c r="B162" i="76"/>
  <c r="S162" i="76" s="1"/>
  <c r="B165" i="76"/>
  <c r="W165" i="76" s="1"/>
  <c r="J89" i="76"/>
  <c r="J163" i="76"/>
  <c r="J155" i="76"/>
  <c r="J147" i="76"/>
  <c r="B70" i="76"/>
  <c r="V70" i="76" s="1"/>
  <c r="H70" i="76"/>
  <c r="I70" i="76"/>
  <c r="B74" i="76"/>
  <c r="L79" i="76"/>
  <c r="H82" i="76"/>
  <c r="I82" i="76"/>
  <c r="H87" i="76"/>
  <c r="I87" i="76"/>
  <c r="L91" i="76"/>
  <c r="L93" i="76"/>
  <c r="H96" i="76"/>
  <c r="I96" i="76"/>
  <c r="B98" i="76"/>
  <c r="N98" i="76" s="1"/>
  <c r="L100" i="76"/>
  <c r="H100" i="76"/>
  <c r="I100" i="76"/>
  <c r="L104" i="76"/>
  <c r="H107" i="76"/>
  <c r="I107" i="76"/>
  <c r="H109" i="76"/>
  <c r="I109" i="76"/>
  <c r="B111" i="76"/>
  <c r="AB111" i="76" s="1"/>
  <c r="H123" i="76"/>
  <c r="I123" i="76"/>
  <c r="H127" i="76"/>
  <c r="I127" i="76"/>
  <c r="B132" i="76"/>
  <c r="S132" i="76" s="1"/>
  <c r="B135" i="76"/>
  <c r="N135" i="76" s="1"/>
  <c r="L142" i="76"/>
  <c r="B150" i="76"/>
  <c r="O150" i="76" s="1"/>
  <c r="J104" i="76"/>
  <c r="J96" i="76"/>
  <c r="J162" i="76"/>
  <c r="J154" i="76"/>
  <c r="J146" i="76"/>
  <c r="H126" i="76"/>
  <c r="I126" i="76"/>
  <c r="H71" i="76"/>
  <c r="I71" i="76"/>
  <c r="B75" i="76"/>
  <c r="Q75" i="76" s="1"/>
  <c r="H75" i="76"/>
  <c r="I75" i="76"/>
  <c r="H80" i="76"/>
  <c r="I80" i="76"/>
  <c r="H85" i="76"/>
  <c r="I85" i="76"/>
  <c r="H103" i="76"/>
  <c r="I103" i="76"/>
  <c r="L145" i="76"/>
  <c r="L152" i="76"/>
  <c r="L157" i="76"/>
  <c r="L165" i="76"/>
  <c r="J111" i="76"/>
  <c r="J103" i="76"/>
  <c r="J87" i="76"/>
  <c r="J161" i="76"/>
  <c r="J153" i="76"/>
  <c r="J145" i="76"/>
  <c r="J137" i="76"/>
  <c r="B76" i="76"/>
  <c r="P76" i="76" s="1"/>
  <c r="H76" i="76"/>
  <c r="I76" i="76"/>
  <c r="H83" i="76"/>
  <c r="I83" i="76"/>
  <c r="H88" i="76"/>
  <c r="I88" i="76"/>
  <c r="H90" i="76"/>
  <c r="I90" i="76"/>
  <c r="H92" i="76"/>
  <c r="I92" i="76"/>
  <c r="H94" i="76"/>
  <c r="I94" i="76"/>
  <c r="H101" i="76"/>
  <c r="I101" i="76"/>
  <c r="H105" i="76"/>
  <c r="I105" i="76"/>
  <c r="H124" i="76"/>
  <c r="I124" i="76"/>
  <c r="B128" i="76"/>
  <c r="H128" i="76"/>
  <c r="I128" i="76"/>
  <c r="L135" i="76"/>
  <c r="L150" i="76"/>
  <c r="J102" i="76"/>
  <c r="J94" i="76"/>
  <c r="J144" i="76"/>
  <c r="J136" i="76"/>
  <c r="H68" i="76"/>
  <c r="I68" i="76"/>
  <c r="H72" i="76"/>
  <c r="I72" i="76"/>
  <c r="B77" i="76"/>
  <c r="X77" i="76" s="1"/>
  <c r="H77" i="76"/>
  <c r="I77" i="76"/>
  <c r="B83" i="76"/>
  <c r="P83" i="76" s="1"/>
  <c r="B88" i="76"/>
  <c r="P88" i="76" s="1"/>
  <c r="H99" i="76"/>
  <c r="I99" i="76"/>
  <c r="B101" i="76"/>
  <c r="Q101" i="76" s="1"/>
  <c r="H112" i="76"/>
  <c r="I112" i="76"/>
  <c r="J109" i="76"/>
  <c r="J101" i="76"/>
  <c r="J85" i="76"/>
  <c r="J167" i="76"/>
  <c r="J159" i="76"/>
  <c r="J151" i="76"/>
  <c r="J143" i="76"/>
  <c r="H86" i="76"/>
  <c r="I86" i="76"/>
  <c r="B72" i="76"/>
  <c r="S72" i="76" s="1"/>
  <c r="B78" i="76"/>
  <c r="L80" i="76"/>
  <c r="L85" i="76"/>
  <c r="L90" i="76"/>
  <c r="L92" i="76"/>
  <c r="H95" i="76"/>
  <c r="I95" i="76"/>
  <c r="B99" i="76"/>
  <c r="S99" i="76" s="1"/>
  <c r="L103" i="76"/>
  <c r="H106" i="76"/>
  <c r="I106" i="76"/>
  <c r="B112" i="76"/>
  <c r="N112" i="76" s="1"/>
  <c r="H125" i="76"/>
  <c r="I125" i="76"/>
  <c r="B130" i="76"/>
  <c r="V130" i="76" s="1"/>
  <c r="H130" i="76"/>
  <c r="I130" i="76"/>
  <c r="B134" i="76"/>
  <c r="N134" i="76" s="1"/>
  <c r="L141" i="76"/>
  <c r="B151" i="76"/>
  <c r="W151" i="76" s="1"/>
  <c r="J100" i="76"/>
  <c r="J92" i="76"/>
  <c r="J84" i="76"/>
  <c r="J166" i="76"/>
  <c r="J158" i="76"/>
  <c r="H81" i="76"/>
  <c r="I81" i="76"/>
  <c r="H73" i="76"/>
  <c r="I73" i="76"/>
  <c r="H79" i="76"/>
  <c r="I79" i="76"/>
  <c r="L83" i="76"/>
  <c r="L88" i="76"/>
  <c r="H91" i="76"/>
  <c r="I91" i="76"/>
  <c r="H93" i="76"/>
  <c r="I93" i="76"/>
  <c r="H97" i="76"/>
  <c r="I97" i="76"/>
  <c r="L101" i="76"/>
  <c r="H104" i="76"/>
  <c r="I104" i="76"/>
  <c r="B108" i="76"/>
  <c r="V108" i="76" s="1"/>
  <c r="H108" i="76"/>
  <c r="I108" i="76"/>
  <c r="H110" i="76"/>
  <c r="I110" i="76"/>
  <c r="H131" i="76"/>
  <c r="I131" i="76"/>
  <c r="J107" i="76"/>
  <c r="J99" i="76"/>
  <c r="J91" i="76"/>
  <c r="J83" i="76"/>
  <c r="J149" i="76"/>
  <c r="J141" i="76"/>
  <c r="C1" i="77"/>
  <c r="C1" i="71"/>
  <c r="C1" i="72" s="1"/>
  <c r="C1" i="73" s="1"/>
  <c r="C1" i="74" s="1"/>
  <c r="C1" i="75" s="1"/>
  <c r="E57" i="74"/>
  <c r="D57" i="74" s="1"/>
  <c r="M57" i="74"/>
  <c r="H53" i="74"/>
  <c r="B57" i="74"/>
  <c r="H14" i="74"/>
  <c r="M58" i="74"/>
  <c r="B58" i="74"/>
  <c r="M55" i="74"/>
  <c r="B55" i="74"/>
  <c r="M56" i="74"/>
  <c r="H45" i="74"/>
  <c r="J74" i="75"/>
  <c r="G74" i="75"/>
  <c r="H74" i="75"/>
  <c r="J73" i="75"/>
  <c r="G73" i="75"/>
  <c r="H73" i="75"/>
  <c r="B73" i="75"/>
  <c r="B75" i="75"/>
  <c r="J75" i="75"/>
  <c r="G75" i="75"/>
  <c r="H75" i="75"/>
  <c r="J72" i="75"/>
  <c r="G72" i="75"/>
  <c r="H72" i="75"/>
  <c r="B72" i="75"/>
  <c r="G70" i="75"/>
  <c r="H70" i="75"/>
  <c r="J74" i="70"/>
  <c r="G74" i="70"/>
  <c r="H74" i="70"/>
  <c r="B129" i="70"/>
  <c r="U129" i="70" s="1"/>
  <c r="J129" i="70"/>
  <c r="G129" i="70"/>
  <c r="H129" i="70"/>
  <c r="B74" i="70"/>
  <c r="Q74" i="70" s="1"/>
  <c r="B128" i="70"/>
  <c r="S128" i="70" s="1"/>
  <c r="J128" i="70"/>
  <c r="G128" i="70"/>
  <c r="H128" i="70"/>
  <c r="J73" i="70"/>
  <c r="G73" i="70"/>
  <c r="H73" i="70"/>
  <c r="J72" i="70"/>
  <c r="G72" i="70"/>
  <c r="H72" i="70"/>
  <c r="B72" i="70"/>
  <c r="P72" i="70" s="1"/>
  <c r="J127" i="70"/>
  <c r="G127" i="70"/>
  <c r="H127" i="70"/>
  <c r="G125" i="70"/>
  <c r="H125" i="70"/>
  <c r="G70" i="70"/>
  <c r="H70" i="70"/>
  <c r="J130" i="70"/>
  <c r="G130" i="70"/>
  <c r="H130" i="70"/>
  <c r="B75" i="70"/>
  <c r="R75" i="70" s="1"/>
  <c r="J75" i="70"/>
  <c r="G75" i="70"/>
  <c r="H75" i="70"/>
  <c r="AN23" i="72"/>
  <c r="AN17" i="72"/>
  <c r="B138" i="70"/>
  <c r="R138" i="70" s="1"/>
  <c r="B147" i="70"/>
  <c r="P147" i="70" s="1"/>
  <c r="B167" i="70"/>
  <c r="W167" i="70" s="1"/>
  <c r="B82" i="70"/>
  <c r="M82" i="70" s="1"/>
  <c r="B93" i="70"/>
  <c r="O93" i="70" s="1"/>
  <c r="K105" i="70"/>
  <c r="K79" i="70"/>
  <c r="K82" i="70"/>
  <c r="K154" i="70"/>
  <c r="B106" i="70"/>
  <c r="P106" i="70" s="1"/>
  <c r="K92" i="70"/>
  <c r="K106" i="70"/>
  <c r="B159" i="70"/>
  <c r="O159" i="70" s="1"/>
  <c r="K162" i="70"/>
  <c r="K146" i="70"/>
  <c r="K80" i="70"/>
  <c r="B85" i="70"/>
  <c r="X85" i="70" s="1"/>
  <c r="K87" i="70"/>
  <c r="K98" i="70"/>
  <c r="B104" i="70"/>
  <c r="V104" i="70" s="1"/>
  <c r="K108" i="70"/>
  <c r="B133" i="70"/>
  <c r="V133" i="70" s="1"/>
  <c r="B141" i="70"/>
  <c r="V141" i="70" s="1"/>
  <c r="B149" i="70"/>
  <c r="S149" i="70" s="1"/>
  <c r="K85" i="70"/>
  <c r="B88" i="70"/>
  <c r="S88" i="70" s="1"/>
  <c r="B109" i="70"/>
  <c r="O109" i="70" s="1"/>
  <c r="B134" i="70"/>
  <c r="R134" i="70" s="1"/>
  <c r="K158" i="70"/>
  <c r="B112" i="70"/>
  <c r="X112" i="70" s="1"/>
  <c r="B145" i="70"/>
  <c r="O145" i="70" s="1"/>
  <c r="B153" i="70"/>
  <c r="W153" i="70" s="1"/>
  <c r="B87" i="70"/>
  <c r="X87" i="70" s="1"/>
  <c r="B108" i="70"/>
  <c r="W108" i="70" s="1"/>
  <c r="B135" i="70"/>
  <c r="R135" i="70" s="1"/>
  <c r="K166" i="70"/>
  <c r="AI57" i="78"/>
  <c r="Y57" i="78" s="1"/>
  <c r="AI55" i="78"/>
  <c r="Y55" i="78" s="1"/>
  <c r="G34" i="74"/>
  <c r="H33" i="80"/>
  <c r="G34" i="80"/>
  <c r="B94" i="81"/>
  <c r="S94" i="81" s="1"/>
  <c r="I94" i="81"/>
  <c r="B132" i="81"/>
  <c r="I132" i="81"/>
  <c r="J105" i="81"/>
  <c r="J97" i="81"/>
  <c r="J89" i="81"/>
  <c r="J146" i="81"/>
  <c r="B75" i="81"/>
  <c r="I75" i="81"/>
  <c r="K94" i="81"/>
  <c r="B102" i="81"/>
  <c r="R102" i="81" s="1"/>
  <c r="I102" i="81"/>
  <c r="B108" i="81"/>
  <c r="Q108" i="81" s="1"/>
  <c r="I108" i="81"/>
  <c r="B135" i="81"/>
  <c r="T135" i="81" s="1"/>
  <c r="B148" i="81"/>
  <c r="W148" i="81" s="1"/>
  <c r="B150" i="81"/>
  <c r="T150" i="81" s="1"/>
  <c r="B160" i="81"/>
  <c r="X160" i="81" s="1"/>
  <c r="B71" i="81"/>
  <c r="K86" i="81"/>
  <c r="K89" i="81"/>
  <c r="K97" i="81"/>
  <c r="K102" i="81"/>
  <c r="I106" i="81"/>
  <c r="K108" i="81"/>
  <c r="B123" i="81"/>
  <c r="I123" i="81"/>
  <c r="B127" i="81"/>
  <c r="B133" i="81"/>
  <c r="K135" i="81"/>
  <c r="B144" i="81"/>
  <c r="U144" i="81" s="1"/>
  <c r="B146" i="81"/>
  <c r="S146" i="81" s="1"/>
  <c r="K148" i="81"/>
  <c r="K150" i="81"/>
  <c r="L152" i="81"/>
  <c r="L157" i="81"/>
  <c r="L160" i="81"/>
  <c r="J111" i="81"/>
  <c r="J103" i="81"/>
  <c r="J95" i="81"/>
  <c r="J79" i="81"/>
  <c r="J160" i="81"/>
  <c r="J144" i="81"/>
  <c r="B77" i="81"/>
  <c r="I77" i="81"/>
  <c r="I98" i="81"/>
  <c r="B100" i="81"/>
  <c r="S100" i="81" s="1"/>
  <c r="I100" i="81"/>
  <c r="B106" i="81"/>
  <c r="Y106" i="81" s="1"/>
  <c r="K109" i="81"/>
  <c r="I109" i="81"/>
  <c r="L112" i="81"/>
  <c r="I112" i="81"/>
  <c r="I124" i="81"/>
  <c r="B140" i="81"/>
  <c r="X140" i="81" s="1"/>
  <c r="B142" i="81"/>
  <c r="O142" i="81" s="1"/>
  <c r="K144" i="81"/>
  <c r="K146" i="81"/>
  <c r="L148" i="81"/>
  <c r="L150" i="81"/>
  <c r="B166" i="81"/>
  <c r="T166" i="81" s="1"/>
  <c r="J102" i="81"/>
  <c r="J94" i="81"/>
  <c r="J86" i="81"/>
  <c r="J151" i="81"/>
  <c r="J143" i="81"/>
  <c r="J135" i="81"/>
  <c r="B78" i="81"/>
  <c r="I87" i="81"/>
  <c r="K93" i="81"/>
  <c r="I93" i="81"/>
  <c r="K166" i="81"/>
  <c r="J109" i="81"/>
  <c r="J93" i="81"/>
  <c r="J166" i="81"/>
  <c r="J158" i="81"/>
  <c r="J134" i="81"/>
  <c r="K85" i="81"/>
  <c r="I85" i="81"/>
  <c r="K88" i="81"/>
  <c r="I88" i="81"/>
  <c r="B93" i="81"/>
  <c r="R93" i="81" s="1"/>
  <c r="K96" i="81"/>
  <c r="I96" i="81"/>
  <c r="K101" i="81"/>
  <c r="I101" i="81"/>
  <c r="K104" i="81"/>
  <c r="I104" i="81"/>
  <c r="B107" i="81"/>
  <c r="Z107" i="81" s="1"/>
  <c r="I125" i="81"/>
  <c r="B134" i="81"/>
  <c r="Q134" i="81" s="1"/>
  <c r="B149" i="81"/>
  <c r="P149" i="81" s="1"/>
  <c r="B151" i="81"/>
  <c r="O151" i="81" s="1"/>
  <c r="K158" i="81"/>
  <c r="K161" i="81"/>
  <c r="B164" i="81"/>
  <c r="P164" i="81" s="1"/>
  <c r="J108" i="81"/>
  <c r="J100" i="81"/>
  <c r="J92" i="81"/>
  <c r="J84" i="81"/>
  <c r="J149" i="81"/>
  <c r="B69" i="81"/>
  <c r="I69" i="81"/>
  <c r="B73" i="81"/>
  <c r="B83" i="81"/>
  <c r="T83" i="81" s="1"/>
  <c r="B85" i="81"/>
  <c r="Z85" i="81" s="1"/>
  <c r="B88" i="81"/>
  <c r="O88" i="81" s="1"/>
  <c r="L93" i="81"/>
  <c r="B96" i="81"/>
  <c r="T96" i="81" s="1"/>
  <c r="B101" i="81"/>
  <c r="N101" i="81" s="1"/>
  <c r="B104" i="81"/>
  <c r="Q104" i="81" s="1"/>
  <c r="K107" i="81"/>
  <c r="B125" i="81"/>
  <c r="K134" i="81"/>
  <c r="B145" i="81"/>
  <c r="V145" i="81" s="1"/>
  <c r="B147" i="81"/>
  <c r="S147" i="81" s="1"/>
  <c r="K149" i="81"/>
  <c r="K151" i="81"/>
  <c r="L156" i="81"/>
  <c r="J107" i="81"/>
  <c r="J99" i="81"/>
  <c r="J91" i="81"/>
  <c r="J83" i="81"/>
  <c r="J164" i="81"/>
  <c r="J156" i="81"/>
  <c r="B80" i="81"/>
  <c r="P80" i="81" s="1"/>
  <c r="K83" i="81"/>
  <c r="L85" i="81"/>
  <c r="L88" i="81"/>
  <c r="B91" i="81"/>
  <c r="W91" i="81" s="1"/>
  <c r="L96" i="81"/>
  <c r="B99" i="81"/>
  <c r="W99" i="81" s="1"/>
  <c r="L101" i="81"/>
  <c r="L104" i="81"/>
  <c r="L107" i="81"/>
  <c r="B110" i="81"/>
  <c r="R110" i="81" s="1"/>
  <c r="I110" i="81"/>
  <c r="B131" i="81"/>
  <c r="I131" i="81"/>
  <c r="K147" i="81"/>
  <c r="J106" i="81"/>
  <c r="J98" i="81"/>
  <c r="J90" i="81"/>
  <c r="J82" i="81"/>
  <c r="J147" i="81"/>
  <c r="J139" i="81"/>
  <c r="I53" i="80"/>
  <c r="G36" i="74"/>
  <c r="G42" i="74"/>
  <c r="I45" i="80"/>
  <c r="K14" i="76"/>
  <c r="J14" i="76"/>
  <c r="K22" i="76"/>
  <c r="J22" i="76"/>
  <c r="K15" i="76"/>
  <c r="J15" i="76"/>
  <c r="J16" i="76"/>
  <c r="K16" i="76"/>
  <c r="K17" i="76"/>
  <c r="J17" i="76"/>
  <c r="K18" i="76"/>
  <c r="J18" i="76"/>
  <c r="K20" i="76"/>
  <c r="J20" i="76"/>
  <c r="K13" i="76"/>
  <c r="J13" i="76"/>
  <c r="K21" i="76"/>
  <c r="J21" i="76"/>
  <c r="J15" i="78"/>
  <c r="AR15" i="78" s="1"/>
  <c r="K15" i="78"/>
  <c r="AS15" i="78" s="1"/>
  <c r="J16" i="78"/>
  <c r="AR16" i="78" s="1"/>
  <c r="K16" i="78"/>
  <c r="AS16" i="78" s="1"/>
  <c r="K20" i="78"/>
  <c r="AS20" i="78" s="1"/>
  <c r="J20" i="78"/>
  <c r="AR20" i="78" s="1"/>
  <c r="J13" i="78"/>
  <c r="AR13" i="78" s="1"/>
  <c r="K13" i="78"/>
  <c r="AS13" i="78" s="1"/>
  <c r="J17" i="78"/>
  <c r="AR17" i="78" s="1"/>
  <c r="K17" i="78"/>
  <c r="AS17" i="78" s="1"/>
  <c r="J21" i="78"/>
  <c r="AR21" i="78" s="1"/>
  <c r="K21" i="78"/>
  <c r="AS21" i="78" s="1"/>
  <c r="K14" i="78"/>
  <c r="AS14" i="78" s="1"/>
  <c r="J14" i="78"/>
  <c r="AR14" i="78" s="1"/>
  <c r="K18" i="78"/>
  <c r="AS18" i="78" s="1"/>
  <c r="J18" i="78"/>
  <c r="AR18" i="78" s="1"/>
  <c r="K22" i="78"/>
  <c r="AS22" i="78" s="1"/>
  <c r="J22" i="78"/>
  <c r="AR22" i="78" s="1"/>
  <c r="J14" i="79"/>
  <c r="K14" i="79"/>
  <c r="J18" i="79"/>
  <c r="K18" i="79"/>
  <c r="J22" i="79"/>
  <c r="K22" i="79"/>
  <c r="K15" i="79"/>
  <c r="J15" i="79"/>
  <c r="J16" i="79"/>
  <c r="K16" i="79"/>
  <c r="J20" i="79"/>
  <c r="K20" i="79"/>
  <c r="J13" i="79"/>
  <c r="K13" i="79"/>
  <c r="J17" i="79"/>
  <c r="K17" i="79"/>
  <c r="J21" i="79"/>
  <c r="K21" i="79"/>
  <c r="Y11" i="79"/>
  <c r="X11" i="79"/>
  <c r="X66" i="81"/>
  <c r="Y11" i="81"/>
  <c r="Z11" i="81" s="1"/>
  <c r="AA11" i="81" s="1"/>
  <c r="AB11" i="81" s="1"/>
  <c r="X11" i="81"/>
  <c r="Y121" i="81"/>
  <c r="X121" i="81"/>
  <c r="Y11" i="76"/>
  <c r="Z11" i="76" s="1"/>
  <c r="AA11" i="76" s="1"/>
  <c r="AB11" i="76" s="1"/>
  <c r="X11" i="76"/>
  <c r="Y121" i="76"/>
  <c r="X121" i="76"/>
  <c r="X66" i="76"/>
  <c r="I17" i="74"/>
  <c r="H28" i="74"/>
  <c r="G41" i="74"/>
  <c r="H52" i="74"/>
  <c r="G15" i="80"/>
  <c r="H21" i="80"/>
  <c r="H36" i="74"/>
  <c r="G49" i="74"/>
  <c r="I17" i="80"/>
  <c r="G23" i="80"/>
  <c r="H14" i="80"/>
  <c r="I23" i="80"/>
  <c r="I14" i="80"/>
  <c r="G57" i="80"/>
  <c r="H57" i="80"/>
  <c r="G28" i="74"/>
  <c r="I27" i="80"/>
  <c r="I42" i="80"/>
  <c r="H18" i="74"/>
  <c r="G26" i="74"/>
  <c r="G33" i="74"/>
  <c r="G52" i="74"/>
  <c r="G27" i="80"/>
  <c r="I15" i="80"/>
  <c r="H34" i="80"/>
  <c r="I47" i="80"/>
  <c r="I15" i="74"/>
  <c r="H20" i="74"/>
  <c r="G25" i="74"/>
  <c r="G44" i="74"/>
  <c r="H26" i="80"/>
  <c r="H37" i="74"/>
  <c r="H44" i="74"/>
  <c r="G16" i="80"/>
  <c r="H24" i="80"/>
  <c r="I26" i="80"/>
  <c r="G33" i="80"/>
  <c r="H42" i="80"/>
  <c r="H44" i="80"/>
  <c r="H29" i="74"/>
  <c r="G50" i="74"/>
  <c r="H22" i="80"/>
  <c r="G38" i="80"/>
  <c r="I20" i="74"/>
  <c r="H26" i="74"/>
  <c r="H31" i="74"/>
  <c r="H34" i="74"/>
  <c r="H39" i="74"/>
  <c r="H42" i="74"/>
  <c r="H47" i="74"/>
  <c r="H50" i="74"/>
  <c r="H17" i="80"/>
  <c r="G21" i="80"/>
  <c r="G29" i="80"/>
  <c r="H36" i="80"/>
  <c r="I40" i="80"/>
  <c r="H28" i="80"/>
  <c r="H39" i="80"/>
  <c r="G48" i="80"/>
  <c r="G50" i="80"/>
  <c r="I14" i="74"/>
  <c r="I22" i="74"/>
  <c r="I22" i="80"/>
  <c r="I28" i="80"/>
  <c r="G30" i="80"/>
  <c r="G32" i="80"/>
  <c r="I35" i="80"/>
  <c r="I39" i="80"/>
  <c r="G41" i="80"/>
  <c r="H48" i="80"/>
  <c r="H50" i="80"/>
  <c r="H52" i="80"/>
  <c r="H19" i="74"/>
  <c r="G24" i="74"/>
  <c r="G32" i="74"/>
  <c r="G40" i="74"/>
  <c r="G48" i="74"/>
  <c r="H30" i="80"/>
  <c r="I32" i="80"/>
  <c r="I52" i="80"/>
  <c r="C42" i="75"/>
  <c r="C27" i="70"/>
  <c r="C50" i="70"/>
  <c r="C25" i="70"/>
  <c r="C41" i="70"/>
  <c r="C46" i="70"/>
  <c r="C26" i="70"/>
  <c r="C43" i="70"/>
  <c r="M46" i="71"/>
  <c r="O52" i="76"/>
  <c r="D103" i="70"/>
  <c r="C103" i="70" s="1"/>
  <c r="C39" i="76"/>
  <c r="C34" i="70"/>
  <c r="D92" i="76"/>
  <c r="C92" i="76" s="1"/>
  <c r="C24" i="81"/>
  <c r="C35" i="76"/>
  <c r="C33" i="70"/>
  <c r="C51" i="70"/>
  <c r="C22" i="70"/>
  <c r="C31" i="70"/>
  <c r="C38" i="70"/>
  <c r="C45" i="70"/>
  <c r="AH57" i="72"/>
  <c r="X57" i="72" s="1"/>
  <c r="J59" i="73"/>
  <c r="I61" i="73" s="1"/>
  <c r="C45" i="76"/>
  <c r="C56" i="81"/>
  <c r="AI56" i="78"/>
  <c r="Y56" i="78" s="1"/>
  <c r="C30" i="70"/>
  <c r="C37" i="70"/>
  <c r="C55" i="70"/>
  <c r="C53" i="81"/>
  <c r="C40" i="81"/>
  <c r="C21" i="70"/>
  <c r="C23" i="70"/>
  <c r="C29" i="70"/>
  <c r="C47" i="70"/>
  <c r="C54" i="70"/>
  <c r="D88" i="70"/>
  <c r="C88" i="70" s="1"/>
  <c r="AH54" i="73"/>
  <c r="C31" i="76"/>
  <c r="C40" i="76"/>
  <c r="D145" i="76"/>
  <c r="C145" i="76" s="1"/>
  <c r="J60" i="70"/>
  <c r="C39" i="70"/>
  <c r="D80" i="70"/>
  <c r="C80" i="70" s="1"/>
  <c r="D84" i="70"/>
  <c r="C84" i="70" s="1"/>
  <c r="C57" i="76"/>
  <c r="C35" i="70"/>
  <c r="C42" i="70"/>
  <c r="AH56" i="73"/>
  <c r="C27" i="76"/>
  <c r="P107" i="76"/>
  <c r="W157" i="81"/>
  <c r="R55" i="70"/>
  <c r="AI56" i="79"/>
  <c r="AI54" i="79"/>
  <c r="P22" i="70"/>
  <c r="W57" i="76"/>
  <c r="S157" i="81"/>
  <c r="Q126" i="70"/>
  <c r="L21" i="75"/>
  <c r="N56" i="71"/>
  <c r="V21" i="73"/>
  <c r="AY21" i="73" s="1"/>
  <c r="T136" i="81"/>
  <c r="R52" i="81"/>
  <c r="S95" i="76"/>
  <c r="X57" i="76"/>
  <c r="Q51" i="77"/>
  <c r="T15" i="78"/>
  <c r="BB15" i="78" s="1"/>
  <c r="K22" i="73"/>
  <c r="O35" i="81"/>
  <c r="K56" i="75"/>
  <c r="T54" i="75"/>
  <c r="P28" i="75"/>
  <c r="W46" i="75"/>
  <c r="S22" i="73"/>
  <c r="AV22" i="73" s="1"/>
  <c r="P57" i="81"/>
  <c r="P112" i="75"/>
  <c r="R142" i="70"/>
  <c r="U37" i="72"/>
  <c r="AX37" i="72" s="1"/>
  <c r="S46" i="77"/>
  <c r="W50" i="72"/>
  <c r="AZ50" i="72" s="1"/>
  <c r="L51" i="73"/>
  <c r="AO51" i="73" s="1"/>
  <c r="V13" i="72"/>
  <c r="AY13" i="72" s="1"/>
  <c r="X56" i="81"/>
  <c r="R76" i="75"/>
  <c r="V20" i="79"/>
  <c r="AY20" i="79" s="1"/>
  <c r="V22" i="72"/>
  <c r="AY22" i="72" s="1"/>
  <c r="N32" i="72"/>
  <c r="AQ32" i="72" s="1"/>
  <c r="U146" i="75"/>
  <c r="T56" i="81"/>
  <c r="R32" i="71"/>
  <c r="Q163" i="76"/>
  <c r="Q28" i="71"/>
  <c r="S21" i="78"/>
  <c r="BA21" i="78" s="1"/>
  <c r="S37" i="70"/>
  <c r="Z83" i="70"/>
  <c r="W24" i="71"/>
  <c r="S150" i="75"/>
  <c r="S57" i="70"/>
  <c r="T13" i="70"/>
  <c r="S23" i="70"/>
  <c r="S29" i="70"/>
  <c r="W18" i="73"/>
  <c r="AZ18" i="73" s="1"/>
  <c r="R44" i="71"/>
  <c r="P13" i="72"/>
  <c r="AS13" i="72" s="1"/>
  <c r="W37" i="72"/>
  <c r="AZ37" i="72" s="1"/>
  <c r="M142" i="75"/>
  <c r="S53" i="76"/>
  <c r="T13" i="78"/>
  <c r="BB13" i="78" s="1"/>
  <c r="R163" i="70"/>
  <c r="U54" i="71"/>
  <c r="R28" i="71"/>
  <c r="Q147" i="75"/>
  <c r="O47" i="78"/>
  <c r="AW47" i="78" s="1"/>
  <c r="W47" i="78"/>
  <c r="BE47" i="78" s="1"/>
  <c r="O19" i="72"/>
  <c r="AR19" i="72" s="1"/>
  <c r="K23" i="70"/>
  <c r="U20" i="70"/>
  <c r="T41" i="71"/>
  <c r="R13" i="72"/>
  <c r="AU13" i="72" s="1"/>
  <c r="W15" i="73"/>
  <c r="AZ15" i="73" s="1"/>
  <c r="M31" i="75"/>
  <c r="V92" i="75"/>
  <c r="V56" i="76"/>
  <c r="X32" i="76"/>
  <c r="T55" i="77"/>
  <c r="U15" i="78"/>
  <c r="BC15" i="78" s="1"/>
  <c r="P17" i="79"/>
  <c r="AS17" i="79" s="1"/>
  <c r="T43" i="81"/>
  <c r="W49" i="81"/>
  <c r="W31" i="73"/>
  <c r="AZ31" i="73" s="1"/>
  <c r="N55" i="75"/>
  <c r="O92" i="75"/>
  <c r="Q15" i="79"/>
  <c r="AT15" i="79" s="1"/>
  <c r="R17" i="70"/>
  <c r="W53" i="72"/>
  <c r="AZ53" i="72" s="1"/>
  <c r="M134" i="75"/>
  <c r="U143" i="75"/>
  <c r="V40" i="76"/>
  <c r="X43" i="76"/>
  <c r="N55" i="77"/>
  <c r="V55" i="77"/>
  <c r="P45" i="75"/>
  <c r="P28" i="76"/>
  <c r="S49" i="76"/>
  <c r="U36" i="70"/>
  <c r="Z90" i="70"/>
  <c r="U21" i="71"/>
  <c r="V39" i="72"/>
  <c r="AY39" i="72" s="1"/>
  <c r="W45" i="72"/>
  <c r="AZ45" i="72" s="1"/>
  <c r="M24" i="73"/>
  <c r="AP24" i="73" s="1"/>
  <c r="Q45" i="75"/>
  <c r="R30" i="76"/>
  <c r="S158" i="76"/>
  <c r="U28" i="70"/>
  <c r="R26" i="72"/>
  <c r="AU26" i="72" s="1"/>
  <c r="M133" i="75"/>
  <c r="P27" i="76"/>
  <c r="W14" i="79"/>
  <c r="AZ14" i="79" s="1"/>
  <c r="M24" i="70"/>
  <c r="O17" i="72"/>
  <c r="AR17" i="72" s="1"/>
  <c r="N22" i="72"/>
  <c r="AQ22" i="72" s="1"/>
  <c r="U25" i="72"/>
  <c r="AX25" i="72" s="1"/>
  <c r="V48" i="73"/>
  <c r="AY48" i="73" s="1"/>
  <c r="U159" i="75"/>
  <c r="T21" i="76"/>
  <c r="V24" i="76"/>
  <c r="V17" i="79"/>
  <c r="AY17" i="79" s="1"/>
  <c r="O15" i="70"/>
  <c r="Q123" i="70"/>
  <c r="R126" i="70"/>
  <c r="T131" i="70"/>
  <c r="N52" i="71"/>
  <c r="K22" i="72"/>
  <c r="W24" i="72"/>
  <c r="AZ24" i="72" s="1"/>
  <c r="U43" i="73"/>
  <c r="AX43" i="73" s="1"/>
  <c r="O26" i="73"/>
  <c r="AR26" i="73" s="1"/>
  <c r="U149" i="75"/>
  <c r="M160" i="75"/>
  <c r="U162" i="75"/>
  <c r="X39" i="76"/>
  <c r="S124" i="76"/>
  <c r="X39" i="77"/>
  <c r="S20" i="79"/>
  <c r="AV20" i="79" s="1"/>
  <c r="W31" i="79"/>
  <c r="AZ31" i="79" s="1"/>
  <c r="R27" i="81"/>
  <c r="N31" i="81"/>
  <c r="R36" i="81"/>
  <c r="P38" i="81"/>
  <c r="U52" i="70"/>
  <c r="V38" i="71"/>
  <c r="Q40" i="71"/>
  <c r="M55" i="72"/>
  <c r="W19" i="73"/>
  <c r="AZ19" i="73" s="1"/>
  <c r="X107" i="75"/>
  <c r="U24" i="81"/>
  <c r="Q33" i="81"/>
  <c r="S13" i="70"/>
  <c r="U16" i="70"/>
  <c r="M48" i="70"/>
  <c r="U70" i="70"/>
  <c r="R132" i="70"/>
  <c r="T137" i="70"/>
  <c r="O163" i="70"/>
  <c r="N16" i="72"/>
  <c r="AQ16" i="72" s="1"/>
  <c r="U18" i="72"/>
  <c r="AX18" i="72" s="1"/>
  <c r="M21" i="75"/>
  <c r="Z85" i="75"/>
  <c r="T91" i="75"/>
  <c r="N135" i="75"/>
  <c r="M158" i="75"/>
  <c r="X22" i="76"/>
  <c r="S48" i="76"/>
  <c r="U31" i="78"/>
  <c r="BC31" i="78" s="1"/>
  <c r="V16" i="79"/>
  <c r="AY16" i="79" s="1"/>
  <c r="U44" i="70"/>
  <c r="S51" i="70"/>
  <c r="R124" i="70"/>
  <c r="O55" i="72"/>
  <c r="W20" i="72"/>
  <c r="AZ20" i="72" s="1"/>
  <c r="O26" i="72"/>
  <c r="AR26" i="72" s="1"/>
  <c r="W29" i="72"/>
  <c r="AZ29" i="72" s="1"/>
  <c r="O37" i="72"/>
  <c r="AR37" i="72" s="1"/>
  <c r="Q47" i="73"/>
  <c r="AT47" i="73" s="1"/>
  <c r="W50" i="73"/>
  <c r="AZ50" i="73" s="1"/>
  <c r="M144" i="75"/>
  <c r="U154" i="75"/>
  <c r="W38" i="77"/>
  <c r="O34" i="81"/>
  <c r="R20" i="79"/>
  <c r="AU20" i="79" s="1"/>
  <c r="M28" i="70"/>
  <c r="M40" i="70"/>
  <c r="Q158" i="70"/>
  <c r="W18" i="72"/>
  <c r="AZ18" i="72" s="1"/>
  <c r="U28" i="72"/>
  <c r="AX28" i="72" s="1"/>
  <c r="N30" i="72"/>
  <c r="AQ30" i="72" s="1"/>
  <c r="O53" i="72"/>
  <c r="AR53" i="72" s="1"/>
  <c r="R55" i="75"/>
  <c r="M112" i="75"/>
  <c r="U112" i="75"/>
  <c r="S85" i="75"/>
  <c r="T97" i="75"/>
  <c r="M140" i="75"/>
  <c r="V44" i="76"/>
  <c r="R153" i="76"/>
  <c r="X35" i="77"/>
  <c r="O33" i="78"/>
  <c r="AW33" i="78" s="1"/>
  <c r="P44" i="78"/>
  <c r="AX44" i="78" s="1"/>
  <c r="Q32" i="81"/>
  <c r="S27" i="70"/>
  <c r="R21" i="72"/>
  <c r="AU21" i="72" s="1"/>
  <c r="N38" i="72"/>
  <c r="AQ38" i="72" s="1"/>
  <c r="V40" i="72"/>
  <c r="AY40" i="72" s="1"/>
  <c r="O43" i="72"/>
  <c r="AR43" i="72" s="1"/>
  <c r="R99" i="75"/>
  <c r="AB106" i="76"/>
  <c r="S166" i="76"/>
  <c r="O24" i="77"/>
  <c r="W32" i="79"/>
  <c r="AZ32" i="79" s="1"/>
  <c r="W125" i="70"/>
  <c r="S22" i="71"/>
  <c r="P33" i="75"/>
  <c r="Y93" i="76"/>
  <c r="O29" i="77"/>
  <c r="U37" i="77"/>
  <c r="Q26" i="78"/>
  <c r="AY26" i="78" s="1"/>
  <c r="Q29" i="79"/>
  <c r="AT29" i="79" s="1"/>
  <c r="T15" i="79"/>
  <c r="AW15" i="79" s="1"/>
  <c r="X25" i="81"/>
  <c r="V42" i="71"/>
  <c r="L54" i="73"/>
  <c r="Y54" i="73" s="1"/>
  <c r="R40" i="75"/>
  <c r="O86" i="75"/>
  <c r="O108" i="75"/>
  <c r="Q31" i="81"/>
  <c r="Q39" i="81"/>
  <c r="V35" i="71"/>
  <c r="O45" i="72"/>
  <c r="AR45" i="72" s="1"/>
  <c r="T35" i="73"/>
  <c r="AW35" i="73" s="1"/>
  <c r="T15" i="73"/>
  <c r="AW15" i="73" s="1"/>
  <c r="T56" i="73"/>
  <c r="O76" i="75"/>
  <c r="V36" i="76"/>
  <c r="AA95" i="76"/>
  <c r="T24" i="70"/>
  <c r="R29" i="70"/>
  <c r="R33" i="70"/>
  <c r="Z96" i="70"/>
  <c r="R123" i="70"/>
  <c r="O125" i="70"/>
  <c r="V22" i="71"/>
  <c r="R36" i="71"/>
  <c r="T17" i="72"/>
  <c r="AW17" i="72" s="1"/>
  <c r="O16" i="72"/>
  <c r="AR16" i="72" s="1"/>
  <c r="W31" i="72"/>
  <c r="AZ31" i="72" s="1"/>
  <c r="V32" i="72"/>
  <c r="AY32" i="72" s="1"/>
  <c r="W32" i="72"/>
  <c r="AZ32" i="72" s="1"/>
  <c r="V14" i="73"/>
  <c r="AY14" i="73" s="1"/>
  <c r="V27" i="75"/>
  <c r="R35" i="75"/>
  <c r="N85" i="75"/>
  <c r="M166" i="75"/>
  <c r="U24" i="76"/>
  <c r="W13" i="76"/>
  <c r="S17" i="76"/>
  <c r="V32" i="76"/>
  <c r="X35" i="76"/>
  <c r="T95" i="76"/>
  <c r="Z80" i="76"/>
  <c r="R85" i="76"/>
  <c r="R145" i="76"/>
  <c r="O32" i="77"/>
  <c r="T125" i="70"/>
  <c r="U16" i="72"/>
  <c r="AX16" i="72" s="1"/>
  <c r="S45" i="70"/>
  <c r="O23" i="70"/>
  <c r="V27" i="70"/>
  <c r="T91" i="70"/>
  <c r="T123" i="70"/>
  <c r="R155" i="70"/>
  <c r="Q56" i="71"/>
  <c r="W28" i="71"/>
  <c r="N40" i="71"/>
  <c r="V54" i="72"/>
  <c r="V19" i="72"/>
  <c r="AY19" i="72" s="1"/>
  <c r="U22" i="72"/>
  <c r="AX22" i="72" s="1"/>
  <c r="W34" i="72"/>
  <c r="AZ34" i="72" s="1"/>
  <c r="O51" i="72"/>
  <c r="AR51" i="72" s="1"/>
  <c r="O57" i="73"/>
  <c r="W57" i="73"/>
  <c r="W14" i="73"/>
  <c r="AZ14" i="73" s="1"/>
  <c r="R16" i="73"/>
  <c r="AU16" i="73" s="1"/>
  <c r="T27" i="73"/>
  <c r="AW27" i="73" s="1"/>
  <c r="V37" i="73"/>
  <c r="AY37" i="73" s="1"/>
  <c r="T38" i="73"/>
  <c r="AW38" i="73" s="1"/>
  <c r="L46" i="73"/>
  <c r="AO46" i="73" s="1"/>
  <c r="U39" i="75"/>
  <c r="W76" i="75"/>
  <c r="M149" i="75"/>
  <c r="U157" i="75"/>
  <c r="M162" i="75"/>
  <c r="X14" i="76"/>
  <c r="T17" i="76"/>
  <c r="V28" i="76"/>
  <c r="Q95" i="76"/>
  <c r="P104" i="76"/>
  <c r="R166" i="76"/>
  <c r="R167" i="76"/>
  <c r="T26" i="78"/>
  <c r="BB26" i="78" s="1"/>
  <c r="R37" i="78"/>
  <c r="AZ37" i="78" s="1"/>
  <c r="Q40" i="78"/>
  <c r="AY40" i="78" s="1"/>
  <c r="O33" i="81"/>
  <c r="Q34" i="81"/>
  <c r="X42" i="81"/>
  <c r="X53" i="81"/>
  <c r="R83" i="70"/>
  <c r="V90" i="70"/>
  <c r="Q146" i="70"/>
  <c r="R52" i="71"/>
  <c r="O15" i="72"/>
  <c r="AR15" i="72" s="1"/>
  <c r="W23" i="72"/>
  <c r="AZ23" i="72" s="1"/>
  <c r="W26" i="72"/>
  <c r="AZ26" i="72" s="1"/>
  <c r="M28" i="72"/>
  <c r="AP28" i="72" s="1"/>
  <c r="M33" i="72"/>
  <c r="AP33" i="72" s="1"/>
  <c r="U35" i="72"/>
  <c r="AX35" i="72" s="1"/>
  <c r="U36" i="72"/>
  <c r="AX36" i="72" s="1"/>
  <c r="U49" i="72"/>
  <c r="AX49" i="72" s="1"/>
  <c r="T17" i="73"/>
  <c r="AW17" i="73" s="1"/>
  <c r="T19" i="73"/>
  <c r="AW19" i="73" s="1"/>
  <c r="M80" i="75"/>
  <c r="N163" i="75"/>
  <c r="V163" i="75"/>
  <c r="P43" i="76"/>
  <c r="X27" i="76"/>
  <c r="X34" i="76"/>
  <c r="S46" i="76"/>
  <c r="S52" i="76"/>
  <c r="O91" i="76"/>
  <c r="Z93" i="76"/>
  <c r="Y95" i="76"/>
  <c r="X31" i="77"/>
  <c r="T45" i="77"/>
  <c r="T53" i="77"/>
  <c r="Q57" i="78"/>
  <c r="Q27" i="78"/>
  <c r="AY27" i="78" s="1"/>
  <c r="W27" i="79"/>
  <c r="AZ27" i="79" s="1"/>
  <c r="U27" i="81"/>
  <c r="O32" i="81"/>
  <c r="R35" i="81"/>
  <c r="R43" i="81"/>
  <c r="P54" i="70"/>
  <c r="T32" i="70"/>
  <c r="M55" i="70"/>
  <c r="S15" i="70"/>
  <c r="W35" i="70"/>
  <c r="T83" i="70"/>
  <c r="N137" i="70"/>
  <c r="Q142" i="70"/>
  <c r="V31" i="71"/>
  <c r="P26" i="72"/>
  <c r="AS26" i="72" s="1"/>
  <c r="W15" i="72"/>
  <c r="AZ15" i="72" s="1"/>
  <c r="V20" i="72"/>
  <c r="AY20" i="72" s="1"/>
  <c r="N27" i="72"/>
  <c r="AQ27" i="72" s="1"/>
  <c r="M43" i="72"/>
  <c r="AP43" i="72" s="1"/>
  <c r="W47" i="72"/>
  <c r="AZ47" i="72" s="1"/>
  <c r="V15" i="73"/>
  <c r="AY15" i="73" s="1"/>
  <c r="O16" i="73"/>
  <c r="AR16" i="73" s="1"/>
  <c r="V45" i="73"/>
  <c r="AY45" i="73" s="1"/>
  <c r="M27" i="75"/>
  <c r="M35" i="75"/>
  <c r="Z88" i="75"/>
  <c r="S90" i="75"/>
  <c r="AA111" i="75"/>
  <c r="M154" i="75"/>
  <c r="X15" i="76"/>
  <c r="S21" i="76"/>
  <c r="P36" i="76"/>
  <c r="X96" i="76"/>
  <c r="O28" i="77"/>
  <c r="S36" i="77"/>
  <c r="W42" i="77"/>
  <c r="R50" i="77"/>
  <c r="R16" i="78"/>
  <c r="AZ16" i="78" s="1"/>
  <c r="U22" i="78"/>
  <c r="BC22" i="78" s="1"/>
  <c r="V24" i="79"/>
  <c r="AY24" i="79" s="1"/>
  <c r="N29" i="81"/>
  <c r="X34" i="81"/>
  <c r="R55" i="81"/>
  <c r="M49" i="72"/>
  <c r="AP49" i="72" s="1"/>
  <c r="V31" i="70"/>
  <c r="W39" i="70"/>
  <c r="U83" i="70"/>
  <c r="P126" i="70"/>
  <c r="N37" i="71"/>
  <c r="O21" i="72"/>
  <c r="AR21" i="72" s="1"/>
  <c r="T16" i="73"/>
  <c r="AW16" i="73" s="1"/>
  <c r="V18" i="73"/>
  <c r="AY18" i="73" s="1"/>
  <c r="N21" i="73"/>
  <c r="AQ21" i="73" s="1"/>
  <c r="V23" i="73"/>
  <c r="AY23" i="73" s="1"/>
  <c r="V25" i="73"/>
  <c r="AY25" i="73" s="1"/>
  <c r="N48" i="73"/>
  <c r="AQ48" i="73" s="1"/>
  <c r="U123" i="76"/>
  <c r="U33" i="77"/>
  <c r="T22" i="79"/>
  <c r="AW22" i="79" s="1"/>
  <c r="X33" i="81"/>
  <c r="W46" i="81"/>
  <c r="Q132" i="70"/>
  <c r="Q166" i="70"/>
  <c r="V27" i="71"/>
  <c r="T42" i="75"/>
  <c r="W54" i="70"/>
  <c r="V22" i="70"/>
  <c r="Q32" i="71"/>
  <c r="U20" i="72"/>
  <c r="AX20" i="72" s="1"/>
  <c r="M32" i="72"/>
  <c r="AP32" i="72" s="1"/>
  <c r="U43" i="72"/>
  <c r="AX43" i="72" s="1"/>
  <c r="U56" i="72"/>
  <c r="O15" i="73"/>
  <c r="AR15" i="73" s="1"/>
  <c r="W16" i="73"/>
  <c r="AZ16" i="73" s="1"/>
  <c r="O37" i="73"/>
  <c r="AR37" i="73" s="1"/>
  <c r="V53" i="73"/>
  <c r="AY53" i="73" s="1"/>
  <c r="R30" i="75"/>
  <c r="T78" i="75"/>
  <c r="T96" i="75"/>
  <c r="Q163" i="75"/>
  <c r="N151" i="75"/>
  <c r="S45" i="76"/>
  <c r="X26" i="76"/>
  <c r="P35" i="76"/>
  <c r="S51" i="76"/>
  <c r="S54" i="76"/>
  <c r="S107" i="76"/>
  <c r="N166" i="76"/>
  <c r="R149" i="76"/>
  <c r="R161" i="76"/>
  <c r="U30" i="77"/>
  <c r="Q15" i="78"/>
  <c r="AY15" i="78" s="1"/>
  <c r="V15" i="79"/>
  <c r="AY15" i="79" s="1"/>
  <c r="N26" i="79"/>
  <c r="AQ26" i="79" s="1"/>
  <c r="X24" i="81"/>
  <c r="X32" i="81"/>
  <c r="W33" i="70"/>
  <c r="W41" i="70"/>
  <c r="X90" i="70"/>
  <c r="V19" i="70"/>
  <c r="W19" i="70"/>
  <c r="W29" i="70"/>
  <c r="R30" i="73"/>
  <c r="AU30" i="73" s="1"/>
  <c r="S30" i="73"/>
  <c r="AV30" i="73" s="1"/>
  <c r="R41" i="73"/>
  <c r="AU41" i="73" s="1"/>
  <c r="S41" i="73"/>
  <c r="AV41" i="73" s="1"/>
  <c r="Q32" i="70"/>
  <c r="R21" i="70"/>
  <c r="S21" i="70"/>
  <c r="U24" i="70"/>
  <c r="S25" i="70"/>
  <c r="P46" i="70"/>
  <c r="R53" i="70"/>
  <c r="S53" i="70"/>
  <c r="N125" i="70"/>
  <c r="W48" i="71"/>
  <c r="R48" i="71"/>
  <c r="Q48" i="71"/>
  <c r="N48" i="71"/>
  <c r="O35" i="72"/>
  <c r="AR35" i="72" s="1"/>
  <c r="T46" i="72"/>
  <c r="AW46" i="72" s="1"/>
  <c r="N46" i="72"/>
  <c r="AQ46" i="72" s="1"/>
  <c r="V51" i="75"/>
  <c r="V44" i="75"/>
  <c r="V39" i="75"/>
  <c r="W31" i="76"/>
  <c r="P31" i="76"/>
  <c r="X31" i="76"/>
  <c r="X45" i="81"/>
  <c r="U45" i="81"/>
  <c r="R45" i="81"/>
  <c r="O54" i="70"/>
  <c r="O43" i="70"/>
  <c r="R41" i="70"/>
  <c r="S41" i="70"/>
  <c r="V96" i="70"/>
  <c r="Q150" i="70"/>
  <c r="R150" i="70"/>
  <c r="V30" i="71"/>
  <c r="M30" i="71"/>
  <c r="T25" i="72"/>
  <c r="AW25" i="72" s="1"/>
  <c r="M25" i="72"/>
  <c r="AP25" i="72" s="1"/>
  <c r="U41" i="72"/>
  <c r="AX41" i="72" s="1"/>
  <c r="M41" i="72"/>
  <c r="AP41" i="72" s="1"/>
  <c r="R56" i="73"/>
  <c r="R18" i="73"/>
  <c r="AU18" i="73" s="1"/>
  <c r="R14" i="73"/>
  <c r="AU14" i="73" s="1"/>
  <c r="R36" i="73"/>
  <c r="AU36" i="73" s="1"/>
  <c r="T20" i="73"/>
  <c r="AW20" i="73" s="1"/>
  <c r="O50" i="75"/>
  <c r="O38" i="75"/>
  <c r="X18" i="76"/>
  <c r="R18" i="76"/>
  <c r="T47" i="76"/>
  <c r="S47" i="76"/>
  <c r="P123" i="76"/>
  <c r="P146" i="76"/>
  <c r="O13" i="70"/>
  <c r="P42" i="70"/>
  <c r="W13" i="70"/>
  <c r="T52" i="70"/>
  <c r="M52" i="70"/>
  <c r="W55" i="70"/>
  <c r="Q80" i="70"/>
  <c r="T35" i="72"/>
  <c r="AW35" i="72" s="1"/>
  <c r="M35" i="72"/>
  <c r="AP35" i="72" s="1"/>
  <c r="W35" i="72"/>
  <c r="AZ35" i="72" s="1"/>
  <c r="W158" i="75"/>
  <c r="W148" i="75"/>
  <c r="W146" i="75"/>
  <c r="W139" i="75"/>
  <c r="Q141" i="75"/>
  <c r="U141" i="75"/>
  <c r="W24" i="78"/>
  <c r="BE24" i="78" s="1"/>
  <c r="R24" i="78"/>
  <c r="AZ24" i="78" s="1"/>
  <c r="X22" i="79"/>
  <c r="BA22" i="79" s="1"/>
  <c r="X13" i="79"/>
  <c r="BA13" i="79" s="1"/>
  <c r="W31" i="70"/>
  <c r="W27" i="70"/>
  <c r="P26" i="70"/>
  <c r="W15" i="70"/>
  <c r="O17" i="70"/>
  <c r="O19" i="70"/>
  <c r="W37" i="70"/>
  <c r="V51" i="70"/>
  <c r="O51" i="70"/>
  <c r="T54" i="70"/>
  <c r="W14" i="70"/>
  <c r="S17" i="70"/>
  <c r="V23" i="70"/>
  <c r="W23" i="70"/>
  <c r="S35" i="70"/>
  <c r="P38" i="70"/>
  <c r="S43" i="70"/>
  <c r="S49" i="70"/>
  <c r="X80" i="70"/>
  <c r="Z91" i="70"/>
  <c r="R91" i="70"/>
  <c r="M91" i="70"/>
  <c r="U150" i="70"/>
  <c r="V23" i="71"/>
  <c r="K23" i="71"/>
  <c r="T25" i="71"/>
  <c r="W36" i="71"/>
  <c r="Q36" i="71"/>
  <c r="N36" i="71"/>
  <c r="N50" i="71"/>
  <c r="V50" i="71"/>
  <c r="M50" i="71"/>
  <c r="S14" i="72"/>
  <c r="AV14" i="72" s="1"/>
  <c r="L14" i="72"/>
  <c r="AO14" i="72" s="1"/>
  <c r="R26" i="73"/>
  <c r="AU26" i="73" s="1"/>
  <c r="T106" i="75"/>
  <c r="S106" i="75"/>
  <c r="W21" i="70"/>
  <c r="V48" i="72"/>
  <c r="AY48" i="72" s="1"/>
  <c r="P48" i="72"/>
  <c r="AS48" i="72" s="1"/>
  <c r="V52" i="73"/>
  <c r="AY52" i="73" s="1"/>
  <c r="R52" i="73"/>
  <c r="AU52" i="73" s="1"/>
  <c r="X166" i="76"/>
  <c r="X158" i="76"/>
  <c r="X123" i="76"/>
  <c r="O39" i="70"/>
  <c r="M22" i="71"/>
  <c r="M38" i="71"/>
  <c r="M26" i="71"/>
  <c r="V39" i="70"/>
  <c r="S39" i="70"/>
  <c r="L22" i="70"/>
  <c r="R13" i="70"/>
  <c r="T16" i="70"/>
  <c r="P19" i="70"/>
  <c r="R37" i="70"/>
  <c r="O37" i="70"/>
  <c r="U22" i="70"/>
  <c r="W17" i="70"/>
  <c r="S19" i="70"/>
  <c r="K21" i="70"/>
  <c r="O31" i="70"/>
  <c r="M32" i="70"/>
  <c r="O33" i="70"/>
  <c r="T44" i="70"/>
  <c r="M44" i="70"/>
  <c r="O47" i="70"/>
  <c r="U48" i="70"/>
  <c r="P50" i="70"/>
  <c r="V55" i="70"/>
  <c r="S55" i="70"/>
  <c r="O55" i="70"/>
  <c r="U156" i="70"/>
  <c r="M34" i="71"/>
  <c r="V33" i="73"/>
  <c r="AY33" i="73" s="1"/>
  <c r="R33" i="73"/>
  <c r="AU33" i="73" s="1"/>
  <c r="V44" i="73"/>
  <c r="AY44" i="73" s="1"/>
  <c r="R44" i="73"/>
  <c r="AU44" i="73" s="1"/>
  <c r="R32" i="75"/>
  <c r="T32" i="75"/>
  <c r="AA78" i="75"/>
  <c r="Z82" i="75"/>
  <c r="S82" i="75"/>
  <c r="W82" i="75"/>
  <c r="Q18" i="78"/>
  <c r="AY18" i="78" s="1"/>
  <c r="T18" i="78"/>
  <c r="BB18" i="78" s="1"/>
  <c r="R18" i="78"/>
  <c r="AZ18" i="78" s="1"/>
  <c r="P98" i="70"/>
  <c r="T29" i="71"/>
  <c r="T33" i="71"/>
  <c r="O25" i="70"/>
  <c r="P34" i="70"/>
  <c r="T40" i="70"/>
  <c r="U40" i="70"/>
  <c r="W51" i="70"/>
  <c r="V15" i="70"/>
  <c r="P15" i="70"/>
  <c r="P18" i="70"/>
  <c r="T20" i="70"/>
  <c r="O21" i="70"/>
  <c r="O27" i="70"/>
  <c r="O29" i="70"/>
  <c r="S31" i="70"/>
  <c r="U32" i="70"/>
  <c r="S33" i="70"/>
  <c r="V35" i="70"/>
  <c r="O35" i="70"/>
  <c r="T36" i="70"/>
  <c r="M36" i="70"/>
  <c r="O41" i="70"/>
  <c r="S47" i="70"/>
  <c r="W80" i="70"/>
  <c r="Y90" i="70"/>
  <c r="P90" i="70"/>
  <c r="N90" i="70"/>
  <c r="U154" i="70"/>
  <c r="Q154" i="70"/>
  <c r="T21" i="71"/>
  <c r="N49" i="71"/>
  <c r="U49" i="71"/>
  <c r="T49" i="71"/>
  <c r="P34" i="75"/>
  <c r="W34" i="75"/>
  <c r="V139" i="76"/>
  <c r="U139" i="76"/>
  <c r="N139" i="76"/>
  <c r="Y80" i="70"/>
  <c r="X98" i="70"/>
  <c r="S125" i="70"/>
  <c r="S126" i="70"/>
  <c r="U162" i="70"/>
  <c r="N29" i="71"/>
  <c r="N32" i="71"/>
  <c r="V34" i="71"/>
  <c r="R40" i="71"/>
  <c r="N42" i="71"/>
  <c r="V46" i="71"/>
  <c r="Q52" i="71"/>
  <c r="N54" i="71"/>
  <c r="U15" i="72"/>
  <c r="AX15" i="72" s="1"/>
  <c r="V16" i="72"/>
  <c r="AY16" i="72" s="1"/>
  <c r="L23" i="72"/>
  <c r="AO23" i="72" s="1"/>
  <c r="V28" i="72"/>
  <c r="AY28" i="72" s="1"/>
  <c r="V37" i="72"/>
  <c r="AY37" i="72" s="1"/>
  <c r="V42" i="72"/>
  <c r="AY42" i="72" s="1"/>
  <c r="P50" i="72"/>
  <c r="AS50" i="72" s="1"/>
  <c r="V53" i="72"/>
  <c r="AY53" i="72" s="1"/>
  <c r="R25" i="73"/>
  <c r="AU25" i="73" s="1"/>
  <c r="W26" i="73"/>
  <c r="AZ26" i="73" s="1"/>
  <c r="L27" i="73"/>
  <c r="AO27" i="73" s="1"/>
  <c r="T32" i="73"/>
  <c r="AW32" i="73" s="1"/>
  <c r="W37" i="73"/>
  <c r="AZ37" i="73" s="1"/>
  <c r="L38" i="73"/>
  <c r="AO38" i="73" s="1"/>
  <c r="T43" i="73"/>
  <c r="AW43" i="73" s="1"/>
  <c r="O45" i="73"/>
  <c r="AR45" i="73" s="1"/>
  <c r="O53" i="73"/>
  <c r="AR53" i="73" s="1"/>
  <c r="T54" i="73"/>
  <c r="V57" i="73"/>
  <c r="T23" i="75"/>
  <c r="Q29" i="75"/>
  <c r="R36" i="75"/>
  <c r="T37" i="75"/>
  <c r="Q153" i="75"/>
  <c r="U153" i="75"/>
  <c r="S20" i="78"/>
  <c r="BA20" i="78" s="1"/>
  <c r="V20" i="78"/>
  <c r="BD20" i="78" s="1"/>
  <c r="W13" i="79"/>
  <c r="AZ13" i="79" s="1"/>
  <c r="V13" i="79"/>
  <c r="AY13" i="79" s="1"/>
  <c r="S13" i="79"/>
  <c r="AV13" i="79" s="1"/>
  <c r="Q13" i="79"/>
  <c r="AT13" i="79" s="1"/>
  <c r="P13" i="79"/>
  <c r="AS13" i="79" s="1"/>
  <c r="L56" i="81"/>
  <c r="L24" i="81"/>
  <c r="T126" i="70"/>
  <c r="M131" i="70"/>
  <c r="V137" i="70"/>
  <c r="U164" i="70"/>
  <c r="N24" i="71"/>
  <c r="V26" i="71"/>
  <c r="W40" i="71"/>
  <c r="N41" i="71"/>
  <c r="N44" i="71"/>
  <c r="N57" i="71"/>
  <c r="U17" i="72"/>
  <c r="AX17" i="72" s="1"/>
  <c r="V18" i="72"/>
  <c r="AY18" i="72" s="1"/>
  <c r="V21" i="72"/>
  <c r="AY21" i="72" s="1"/>
  <c r="S23" i="72"/>
  <c r="AV23" i="72" s="1"/>
  <c r="V29" i="72"/>
  <c r="AY29" i="72" s="1"/>
  <c r="M36" i="72"/>
  <c r="AP36" i="72" s="1"/>
  <c r="W43" i="72"/>
  <c r="AZ43" i="72" s="1"/>
  <c r="V45" i="72"/>
  <c r="AY45" i="72" s="1"/>
  <c r="S35" i="73"/>
  <c r="AV35" i="73" s="1"/>
  <c r="W45" i="73"/>
  <c r="AZ45" i="73" s="1"/>
  <c r="T46" i="73"/>
  <c r="AW46" i="73" s="1"/>
  <c r="R49" i="73"/>
  <c r="AU49" i="73" s="1"/>
  <c r="W53" i="73"/>
  <c r="AZ53" i="73" s="1"/>
  <c r="O24" i="75"/>
  <c r="W24" i="75"/>
  <c r="N26" i="75"/>
  <c r="S26" i="75"/>
  <c r="P46" i="75"/>
  <c r="N48" i="75"/>
  <c r="P50" i="75"/>
  <c r="V54" i="75"/>
  <c r="X88" i="75"/>
  <c r="W155" i="75"/>
  <c r="T16" i="76"/>
  <c r="V16" i="76"/>
  <c r="Q125" i="76"/>
  <c r="U125" i="76"/>
  <c r="R125" i="76"/>
  <c r="W32" i="78"/>
  <c r="BE32" i="78" s="1"/>
  <c r="R32" i="78"/>
  <c r="AZ32" i="78" s="1"/>
  <c r="R25" i="70"/>
  <c r="W25" i="70"/>
  <c r="T28" i="70"/>
  <c r="P30" i="70"/>
  <c r="V47" i="70"/>
  <c r="W47" i="70"/>
  <c r="R49" i="70"/>
  <c r="R57" i="70"/>
  <c r="R90" i="70"/>
  <c r="R71" i="70"/>
  <c r="U78" i="70"/>
  <c r="W83" i="70"/>
  <c r="N124" i="70"/>
  <c r="Q131" i="70"/>
  <c r="N21" i="71"/>
  <c r="Q24" i="71"/>
  <c r="Q44" i="71"/>
  <c r="N46" i="71"/>
  <c r="W52" i="71"/>
  <c r="N53" i="71"/>
  <c r="V17" i="72"/>
  <c r="AY17" i="72" s="1"/>
  <c r="W17" i="72"/>
  <c r="AZ17" i="72" s="1"/>
  <c r="N19" i="72"/>
  <c r="AQ19" i="72" s="1"/>
  <c r="K20" i="72"/>
  <c r="L22" i="72"/>
  <c r="AO22" i="72" s="1"/>
  <c r="T36" i="72"/>
  <c r="AW36" i="72" s="1"/>
  <c r="M51" i="72"/>
  <c r="AP51" i="72" s="1"/>
  <c r="V26" i="73"/>
  <c r="AY26" i="73" s="1"/>
  <c r="T51" i="73"/>
  <c r="AW51" i="73" s="1"/>
  <c r="R26" i="75"/>
  <c r="Q33" i="75"/>
  <c r="AA98" i="75"/>
  <c r="U138" i="75"/>
  <c r="M138" i="75"/>
  <c r="W162" i="75"/>
  <c r="T55" i="76"/>
  <c r="T37" i="76"/>
  <c r="T29" i="76"/>
  <c r="T45" i="76"/>
  <c r="W18" i="79"/>
  <c r="AZ18" i="79" s="1"/>
  <c r="T18" i="79"/>
  <c r="AW18" i="79" s="1"/>
  <c r="Q18" i="79"/>
  <c r="AT18" i="79" s="1"/>
  <c r="T48" i="70"/>
  <c r="O124" i="70"/>
  <c r="R146" i="70"/>
  <c r="W155" i="70"/>
  <c r="U158" i="70"/>
  <c r="Q162" i="70"/>
  <c r="L22" i="71"/>
  <c r="R24" i="71"/>
  <c r="W32" i="71"/>
  <c r="N33" i="71"/>
  <c r="W56" i="71"/>
  <c r="N13" i="72"/>
  <c r="AQ13" i="72" s="1"/>
  <c r="V15" i="72"/>
  <c r="AY15" i="72" s="1"/>
  <c r="K18" i="72"/>
  <c r="L20" i="72"/>
  <c r="AO20" i="72" s="1"/>
  <c r="N21" i="72"/>
  <c r="AQ21" i="72" s="1"/>
  <c r="M22" i="72"/>
  <c r="AP22" i="72" s="1"/>
  <c r="V24" i="72"/>
  <c r="AY24" i="72" s="1"/>
  <c r="V26" i="72"/>
  <c r="AY26" i="72" s="1"/>
  <c r="N29" i="72"/>
  <c r="AQ29" i="72" s="1"/>
  <c r="U33" i="72"/>
  <c r="AX33" i="72" s="1"/>
  <c r="M44" i="72"/>
  <c r="AP44" i="72" s="1"/>
  <c r="V50" i="72"/>
  <c r="AY50" i="72" s="1"/>
  <c r="O14" i="73"/>
  <c r="AR14" i="73" s="1"/>
  <c r="O18" i="73"/>
  <c r="AR18" i="73" s="1"/>
  <c r="O19" i="73"/>
  <c r="AR19" i="73" s="1"/>
  <c r="M32" i="73"/>
  <c r="AP32" i="73" s="1"/>
  <c r="M43" i="73"/>
  <c r="AP43" i="73" s="1"/>
  <c r="W55" i="73"/>
  <c r="N43" i="75"/>
  <c r="M43" i="75"/>
  <c r="S77" i="75"/>
  <c r="T77" i="75"/>
  <c r="O77" i="75"/>
  <c r="L77" i="75"/>
  <c r="T20" i="76"/>
  <c r="V20" i="76"/>
  <c r="R41" i="76"/>
  <c r="T41" i="76"/>
  <c r="S79" i="76"/>
  <c r="AA79" i="76"/>
  <c r="Y79" i="76"/>
  <c r="N79" i="76"/>
  <c r="X131" i="76"/>
  <c r="U131" i="76"/>
  <c r="S131" i="76"/>
  <c r="P131" i="76"/>
  <c r="X138" i="76"/>
  <c r="W33" i="78"/>
  <c r="BE33" i="78" s="1"/>
  <c r="O42" i="78"/>
  <c r="AW42" i="78" s="1"/>
  <c r="W30" i="81"/>
  <c r="N30" i="81"/>
  <c r="X41" i="81"/>
  <c r="Q41" i="81"/>
  <c r="U49" i="81"/>
  <c r="U160" i="70"/>
  <c r="N25" i="71"/>
  <c r="W44" i="71"/>
  <c r="N45" i="71"/>
  <c r="U44" i="72"/>
  <c r="AX44" i="72" s="1"/>
  <c r="T51" i="72"/>
  <c r="AW51" i="72" s="1"/>
  <c r="U51" i="72"/>
  <c r="AX51" i="72" s="1"/>
  <c r="U32" i="73"/>
  <c r="AX32" i="73" s="1"/>
  <c r="W42" i="73"/>
  <c r="AZ42" i="73" s="1"/>
  <c r="L56" i="73"/>
  <c r="Y56" i="73" s="1"/>
  <c r="P21" i="75"/>
  <c r="U21" i="75"/>
  <c r="P22" i="75"/>
  <c r="AA112" i="75"/>
  <c r="AA92" i="75"/>
  <c r="AA91" i="75"/>
  <c r="AA95" i="75"/>
  <c r="U156" i="75"/>
  <c r="Q156" i="75"/>
  <c r="M156" i="75"/>
  <c r="T33" i="76"/>
  <c r="T40" i="76"/>
  <c r="N40" i="76"/>
  <c r="V143" i="76"/>
  <c r="U143" i="76"/>
  <c r="N143" i="76"/>
  <c r="S26" i="77"/>
  <c r="W26" i="77"/>
  <c r="P53" i="78"/>
  <c r="AX53" i="78" s="1"/>
  <c r="P30" i="78"/>
  <c r="AX30" i="78" s="1"/>
  <c r="X53" i="78"/>
  <c r="BF53" i="78" s="1"/>
  <c r="X30" i="78"/>
  <c r="BF30" i="78" s="1"/>
  <c r="V43" i="70"/>
  <c r="W43" i="70"/>
  <c r="R45" i="70"/>
  <c r="T56" i="70"/>
  <c r="P80" i="70"/>
  <c r="R105" i="70"/>
  <c r="S137" i="70"/>
  <c r="O155" i="70"/>
  <c r="W163" i="70"/>
  <c r="U166" i="70"/>
  <c r="O21" i="71"/>
  <c r="N28" i="71"/>
  <c r="N38" i="71"/>
  <c r="M42" i="71"/>
  <c r="V54" i="71"/>
  <c r="O13" i="72"/>
  <c r="AR13" i="72" s="1"/>
  <c r="K15" i="72"/>
  <c r="L17" i="72"/>
  <c r="AO17" i="72" s="1"/>
  <c r="O18" i="72"/>
  <c r="AR18" i="72" s="1"/>
  <c r="U19" i="72"/>
  <c r="AX19" i="72" s="1"/>
  <c r="O20" i="72"/>
  <c r="AR20" i="72" s="1"/>
  <c r="N24" i="72"/>
  <c r="AQ24" i="72" s="1"/>
  <c r="W51" i="72"/>
  <c r="AZ51" i="72" s="1"/>
  <c r="U14" i="73"/>
  <c r="AX14" i="73" s="1"/>
  <c r="R15" i="73"/>
  <c r="AU15" i="73" s="1"/>
  <c r="T18" i="73"/>
  <c r="AW18" i="73" s="1"/>
  <c r="R22" i="73"/>
  <c r="AU22" i="73" s="1"/>
  <c r="V34" i="73"/>
  <c r="AY34" i="73" s="1"/>
  <c r="V36" i="73"/>
  <c r="AY36" i="73" s="1"/>
  <c r="N23" i="75"/>
  <c r="P25" i="75"/>
  <c r="P27" i="75"/>
  <c r="U27" i="75"/>
  <c r="P42" i="75"/>
  <c r="V49" i="75"/>
  <c r="R51" i="75"/>
  <c r="U51" i="75"/>
  <c r="Q53" i="75"/>
  <c r="N53" i="75"/>
  <c r="M55" i="75"/>
  <c r="W77" i="75"/>
  <c r="R25" i="76"/>
  <c r="T25" i="76"/>
  <c r="S25" i="76"/>
  <c r="T32" i="76"/>
  <c r="P32" i="76"/>
  <c r="N32" i="76"/>
  <c r="W39" i="76"/>
  <c r="P39" i="76"/>
  <c r="S103" i="76"/>
  <c r="AB103" i="76"/>
  <c r="Q103" i="76"/>
  <c r="W127" i="76"/>
  <c r="T127" i="76"/>
  <c r="W56" i="77"/>
  <c r="O56" i="77"/>
  <c r="P31" i="75"/>
  <c r="Q37" i="75"/>
  <c r="Z111" i="75"/>
  <c r="X86" i="75"/>
  <c r="T108" i="75"/>
  <c r="Q133" i="75"/>
  <c r="S140" i="75"/>
  <c r="M146" i="75"/>
  <c r="N54" i="76"/>
  <c r="T24" i="76"/>
  <c r="N28" i="76"/>
  <c r="N36" i="76"/>
  <c r="N44" i="76"/>
  <c r="S50" i="76"/>
  <c r="O57" i="76"/>
  <c r="P71" i="76"/>
  <c r="S91" i="76"/>
  <c r="R163" i="76"/>
  <c r="X47" i="77"/>
  <c r="W13" i="78"/>
  <c r="BE13" i="78" s="1"/>
  <c r="Q17" i="79"/>
  <c r="AT17" i="79" s="1"/>
  <c r="V27" i="81"/>
  <c r="X26" i="81"/>
  <c r="X40" i="81"/>
  <c r="X44" i="81"/>
  <c r="U46" i="81"/>
  <c r="Q50" i="81"/>
  <c r="Q162" i="81"/>
  <c r="S138" i="81"/>
  <c r="T152" i="81"/>
  <c r="Q137" i="75"/>
  <c r="W53" i="76"/>
  <c r="W56" i="76"/>
  <c r="X80" i="76"/>
  <c r="V57" i="77"/>
  <c r="R41" i="78"/>
  <c r="AZ41" i="78" s="1"/>
  <c r="W25" i="78"/>
  <c r="BE25" i="78" s="1"/>
  <c r="R35" i="78"/>
  <c r="AZ35" i="78" s="1"/>
  <c r="P35" i="79"/>
  <c r="AS35" i="79" s="1"/>
  <c r="T42" i="81"/>
  <c r="V137" i="81"/>
  <c r="R39" i="75"/>
  <c r="T111" i="75"/>
  <c r="U133" i="75"/>
  <c r="P54" i="76"/>
  <c r="R22" i="76"/>
  <c r="X30" i="76"/>
  <c r="X38" i="76"/>
  <c r="W43" i="76"/>
  <c r="T44" i="76"/>
  <c r="T49" i="76"/>
  <c r="W71" i="76"/>
  <c r="Q93" i="76"/>
  <c r="W123" i="76"/>
  <c r="P124" i="76"/>
  <c r="R159" i="76"/>
  <c r="U45" i="77"/>
  <c r="S25" i="77"/>
  <c r="S27" i="77"/>
  <c r="T41" i="77"/>
  <c r="T49" i="77"/>
  <c r="W21" i="78"/>
  <c r="BE21" i="78" s="1"/>
  <c r="W29" i="78"/>
  <c r="BE29" i="78" s="1"/>
  <c r="X55" i="78"/>
  <c r="T32" i="79"/>
  <c r="AW32" i="79" s="1"/>
  <c r="X15" i="79"/>
  <c r="BA15" i="79" s="1"/>
  <c r="X16" i="79"/>
  <c r="BA16" i="79" s="1"/>
  <c r="AV23" i="79"/>
  <c r="O43" i="81"/>
  <c r="P49" i="81"/>
  <c r="Q57" i="75"/>
  <c r="S107" i="75"/>
  <c r="W27" i="76"/>
  <c r="T28" i="76"/>
  <c r="X28" i="76"/>
  <c r="W35" i="76"/>
  <c r="T36" i="76"/>
  <c r="X36" i="76"/>
  <c r="T52" i="76"/>
  <c r="V55" i="76"/>
  <c r="AB95" i="76"/>
  <c r="R124" i="76"/>
  <c r="R126" i="76"/>
  <c r="X146" i="76"/>
  <c r="R155" i="76"/>
  <c r="S28" i="77"/>
  <c r="R46" i="77"/>
  <c r="R54" i="77"/>
  <c r="X14" i="78"/>
  <c r="P22" i="78"/>
  <c r="AX22" i="78" s="1"/>
  <c r="Q34" i="78"/>
  <c r="AY34" i="78" s="1"/>
  <c r="W35" i="78"/>
  <c r="BE35" i="78" s="1"/>
  <c r="R52" i="78"/>
  <c r="AZ52" i="78" s="1"/>
  <c r="Q20" i="79"/>
  <c r="AT20" i="79" s="1"/>
  <c r="Q152" i="81"/>
  <c r="Q49" i="75"/>
  <c r="P54" i="75"/>
  <c r="O134" i="75"/>
  <c r="U137" i="75"/>
  <c r="Q140" i="75"/>
  <c r="T48" i="76"/>
  <c r="N56" i="76"/>
  <c r="AA103" i="76"/>
  <c r="P91" i="76"/>
  <c r="W106" i="76"/>
  <c r="Y109" i="76"/>
  <c r="U124" i="76"/>
  <c r="O126" i="76"/>
  <c r="T140" i="76"/>
  <c r="O52" i="77"/>
  <c r="W52" i="77"/>
  <c r="S24" i="77"/>
  <c r="T37" i="77"/>
  <c r="X43" i="77"/>
  <c r="X51" i="77"/>
  <c r="U18" i="78"/>
  <c r="BC18" i="78" s="1"/>
  <c r="Q13" i="78"/>
  <c r="AY13" i="78" s="1"/>
  <c r="Q16" i="78"/>
  <c r="AY16" i="78" s="1"/>
  <c r="Q22" i="78"/>
  <c r="AY22" i="78" s="1"/>
  <c r="S28" i="79"/>
  <c r="AV28" i="79" s="1"/>
  <c r="R44" i="81"/>
  <c r="P53" i="81"/>
  <c r="U31" i="75"/>
  <c r="Q41" i="75"/>
  <c r="R44" i="75"/>
  <c r="W111" i="75"/>
  <c r="X80" i="75"/>
  <c r="U140" i="75"/>
  <c r="Q149" i="75"/>
  <c r="Q157" i="75"/>
  <c r="S15" i="76"/>
  <c r="N24" i="76"/>
  <c r="X42" i="76"/>
  <c r="T51" i="76"/>
  <c r="O55" i="76"/>
  <c r="AB80" i="76"/>
  <c r="S123" i="76"/>
  <c r="X124" i="76"/>
  <c r="R137" i="76"/>
  <c r="P55" i="77"/>
  <c r="X55" i="77"/>
  <c r="U35" i="77"/>
  <c r="N28" i="78"/>
  <c r="AV28" i="78" s="1"/>
  <c r="R13" i="78"/>
  <c r="AZ13" i="78" s="1"/>
  <c r="P14" i="78"/>
  <c r="AX14" i="78" s="1"/>
  <c r="R15" i="78"/>
  <c r="AZ15" i="78" s="1"/>
  <c r="Q21" i="78"/>
  <c r="AY21" i="78" s="1"/>
  <c r="X22" i="78"/>
  <c r="Q31" i="78"/>
  <c r="AY31" i="78" s="1"/>
  <c r="Q16" i="79"/>
  <c r="AT16" i="79" s="1"/>
  <c r="W24" i="81"/>
  <c r="W25" i="81"/>
  <c r="Q40" i="81"/>
  <c r="T44" i="81"/>
  <c r="V136" i="81"/>
  <c r="U138" i="81"/>
  <c r="V79" i="70"/>
  <c r="N79" i="70"/>
  <c r="U79" i="70"/>
  <c r="M79" i="70"/>
  <c r="T79" i="70"/>
  <c r="AA79" i="70"/>
  <c r="S79" i="70"/>
  <c r="Z79" i="70"/>
  <c r="R79" i="70"/>
  <c r="Y79" i="70"/>
  <c r="Q79" i="70"/>
  <c r="X79" i="70"/>
  <c r="P79" i="70"/>
  <c r="W79" i="70"/>
  <c r="O79" i="70"/>
  <c r="Y92" i="70"/>
  <c r="Q92" i="70"/>
  <c r="W92" i="70"/>
  <c r="O92" i="70"/>
  <c r="T92" i="70"/>
  <c r="S92" i="70"/>
  <c r="R92" i="70"/>
  <c r="AA92" i="70"/>
  <c r="P92" i="70"/>
  <c r="Z92" i="70"/>
  <c r="N92" i="70"/>
  <c r="X92" i="70"/>
  <c r="M92" i="70"/>
  <c r="V92" i="70"/>
  <c r="U92" i="70"/>
  <c r="P77" i="70"/>
  <c r="W77" i="70"/>
  <c r="O77" i="70"/>
  <c r="V77" i="70"/>
  <c r="N77" i="70"/>
  <c r="U77" i="70"/>
  <c r="M77" i="70"/>
  <c r="T77" i="70"/>
  <c r="L77" i="70"/>
  <c r="S77" i="70"/>
  <c r="K77" i="70"/>
  <c r="R77" i="70"/>
  <c r="Q77" i="70"/>
  <c r="X81" i="70"/>
  <c r="P81" i="70"/>
  <c r="W81" i="70"/>
  <c r="O81" i="70"/>
  <c r="V81" i="70"/>
  <c r="N81" i="70"/>
  <c r="U81" i="70"/>
  <c r="M81" i="70"/>
  <c r="T81" i="70"/>
  <c r="AA81" i="70"/>
  <c r="S81" i="70"/>
  <c r="Z81" i="70"/>
  <c r="R81" i="70"/>
  <c r="Y81" i="70"/>
  <c r="Q81" i="70"/>
  <c r="P69" i="70"/>
  <c r="W69" i="70"/>
  <c r="O69" i="70"/>
  <c r="V69" i="70"/>
  <c r="U69" i="70"/>
  <c r="T69" i="70"/>
  <c r="S69" i="70"/>
  <c r="R69" i="70"/>
  <c r="Q69" i="70"/>
  <c r="Y84" i="70"/>
  <c r="Q84" i="70"/>
  <c r="W84" i="70"/>
  <c r="O84" i="70"/>
  <c r="R84" i="70"/>
  <c r="AA84" i="70"/>
  <c r="P84" i="70"/>
  <c r="Z84" i="70"/>
  <c r="N84" i="70"/>
  <c r="X84" i="70"/>
  <c r="M84" i="70"/>
  <c r="V84" i="70"/>
  <c r="U84" i="70"/>
  <c r="T84" i="70"/>
  <c r="S84" i="70"/>
  <c r="Q26" i="70"/>
  <c r="Q50" i="70"/>
  <c r="M56" i="70"/>
  <c r="U56" i="70"/>
  <c r="J59" i="70"/>
  <c r="V70" i="70"/>
  <c r="S71" i="70"/>
  <c r="N78" i="70"/>
  <c r="V78" i="70"/>
  <c r="W91" i="70"/>
  <c r="AA94" i="70"/>
  <c r="S94" i="70"/>
  <c r="Y94" i="70"/>
  <c r="Q94" i="70"/>
  <c r="P94" i="70"/>
  <c r="O101" i="70"/>
  <c r="B102" i="70"/>
  <c r="K102" i="70"/>
  <c r="AA105" i="70"/>
  <c r="W111" i="70"/>
  <c r="O111" i="70"/>
  <c r="T111" i="70"/>
  <c r="AA111" i="70"/>
  <c r="S111" i="70"/>
  <c r="Z111" i="70"/>
  <c r="R111" i="70"/>
  <c r="U111" i="70"/>
  <c r="B136" i="70"/>
  <c r="K136" i="70"/>
  <c r="Q139" i="70"/>
  <c r="V139" i="70"/>
  <c r="N139" i="70"/>
  <c r="U139" i="70"/>
  <c r="M139" i="70"/>
  <c r="T139" i="70"/>
  <c r="W139" i="70"/>
  <c r="Q143" i="70"/>
  <c r="V143" i="70"/>
  <c r="N143" i="70"/>
  <c r="U143" i="70"/>
  <c r="M143" i="70"/>
  <c r="T143" i="70"/>
  <c r="W143" i="70"/>
  <c r="Q151" i="70"/>
  <c r="V151" i="70"/>
  <c r="N151" i="70"/>
  <c r="U151" i="70"/>
  <c r="M151" i="70"/>
  <c r="T151" i="70"/>
  <c r="W151" i="70"/>
  <c r="M154" i="70"/>
  <c r="M156" i="70"/>
  <c r="M158" i="70"/>
  <c r="M160" i="70"/>
  <c r="M162" i="70"/>
  <c r="M164" i="70"/>
  <c r="M166" i="70"/>
  <c r="P54" i="71"/>
  <c r="P50" i="71"/>
  <c r="P46" i="71"/>
  <c r="P42" i="71"/>
  <c r="P38" i="71"/>
  <c r="P31" i="71"/>
  <c r="R18" i="70"/>
  <c r="R22" i="70"/>
  <c r="N24" i="70"/>
  <c r="V24" i="70"/>
  <c r="R26" i="70"/>
  <c r="P27" i="70"/>
  <c r="R30" i="70"/>
  <c r="P31" i="70"/>
  <c r="N36" i="70"/>
  <c r="V36" i="70"/>
  <c r="R42" i="70"/>
  <c r="P43" i="70"/>
  <c r="N52" i="70"/>
  <c r="V52" i="70"/>
  <c r="N56" i="70"/>
  <c r="V56" i="70"/>
  <c r="T57" i="70"/>
  <c r="W78" i="70"/>
  <c r="D89" i="70"/>
  <c r="C89" i="70" s="1"/>
  <c r="Y91" i="70"/>
  <c r="R94" i="70"/>
  <c r="B95" i="70"/>
  <c r="W96" i="70"/>
  <c r="Y98" i="70"/>
  <c r="U101" i="70"/>
  <c r="M101" i="70"/>
  <c r="Z101" i="70"/>
  <c r="R101" i="70"/>
  <c r="X101" i="70"/>
  <c r="P101" i="70"/>
  <c r="Q101" i="70"/>
  <c r="O105" i="70"/>
  <c r="D111" i="70"/>
  <c r="C111" i="70" s="1"/>
  <c r="V111" i="70"/>
  <c r="B140" i="70"/>
  <c r="K140" i="70"/>
  <c r="B144" i="70"/>
  <c r="K144" i="70"/>
  <c r="B148" i="70"/>
  <c r="K148" i="70"/>
  <c r="B152" i="70"/>
  <c r="K152" i="70"/>
  <c r="P156" i="70"/>
  <c r="P160" i="70"/>
  <c r="P164" i="70"/>
  <c r="P34" i="71"/>
  <c r="Q34" i="70"/>
  <c r="Q42" i="70"/>
  <c r="N16" i="70"/>
  <c r="V16" i="70"/>
  <c r="T17" i="70"/>
  <c r="N20" i="70"/>
  <c r="V20" i="70"/>
  <c r="L21" i="70"/>
  <c r="T21" i="70"/>
  <c r="P23" i="70"/>
  <c r="T25" i="70"/>
  <c r="N28" i="70"/>
  <c r="V28" i="70"/>
  <c r="T29" i="70"/>
  <c r="N32" i="70"/>
  <c r="V32" i="70"/>
  <c r="T33" i="70"/>
  <c r="R34" i="70"/>
  <c r="P35" i="70"/>
  <c r="T37" i="70"/>
  <c r="R38" i="70"/>
  <c r="P39" i="70"/>
  <c r="N40" i="70"/>
  <c r="V40" i="70"/>
  <c r="T41" i="70"/>
  <c r="N44" i="70"/>
  <c r="V44" i="70"/>
  <c r="T45" i="70"/>
  <c r="R46" i="70"/>
  <c r="P47" i="70"/>
  <c r="N48" i="70"/>
  <c r="V48" i="70"/>
  <c r="T49" i="70"/>
  <c r="R50" i="70"/>
  <c r="P51" i="70"/>
  <c r="T53" i="70"/>
  <c r="R54" i="70"/>
  <c r="P55" i="70"/>
  <c r="O70" i="70"/>
  <c r="W70" i="70"/>
  <c r="T71" i="70"/>
  <c r="B73" i="70"/>
  <c r="O78" i="70"/>
  <c r="D79" i="70"/>
  <c r="C79" i="70" s="1"/>
  <c r="U13" i="70"/>
  <c r="S14" i="70"/>
  <c r="Q15" i="70"/>
  <c r="O16" i="70"/>
  <c r="W16" i="70"/>
  <c r="U17" i="70"/>
  <c r="S18" i="70"/>
  <c r="Q19" i="70"/>
  <c r="O20" i="70"/>
  <c r="W20" i="70"/>
  <c r="M21" i="70"/>
  <c r="U21" i="70"/>
  <c r="K22" i="70"/>
  <c r="S22" i="70"/>
  <c r="Q23" i="70"/>
  <c r="C24" i="70"/>
  <c r="O24" i="70"/>
  <c r="W24" i="70"/>
  <c r="M25" i="70"/>
  <c r="U25" i="70"/>
  <c r="S26" i="70"/>
  <c r="Q27" i="70"/>
  <c r="C28" i="70"/>
  <c r="O28" i="70"/>
  <c r="W28" i="70"/>
  <c r="M29" i="70"/>
  <c r="U29" i="70"/>
  <c r="S30" i="70"/>
  <c r="Q31" i="70"/>
  <c r="C32" i="70"/>
  <c r="O32" i="70"/>
  <c r="W32" i="70"/>
  <c r="M33" i="70"/>
  <c r="U33" i="70"/>
  <c r="S34" i="70"/>
  <c r="Q35" i="70"/>
  <c r="C36" i="70"/>
  <c r="O36" i="70"/>
  <c r="W36" i="70"/>
  <c r="M37" i="70"/>
  <c r="U37" i="70"/>
  <c r="S38" i="70"/>
  <c r="Q39" i="70"/>
  <c r="C40" i="70"/>
  <c r="O40" i="70"/>
  <c r="W40" i="70"/>
  <c r="M41" i="70"/>
  <c r="U41" i="70"/>
  <c r="S42" i="70"/>
  <c r="Q43" i="70"/>
  <c r="C44" i="70"/>
  <c r="O44" i="70"/>
  <c r="W44" i="70"/>
  <c r="M45" i="70"/>
  <c r="U45" i="70"/>
  <c r="S46" i="70"/>
  <c r="Q47" i="70"/>
  <c r="C48" i="70"/>
  <c r="O48" i="70"/>
  <c r="W48" i="70"/>
  <c r="M49" i="70"/>
  <c r="U49" i="70"/>
  <c r="S50" i="70"/>
  <c r="Q51" i="70"/>
  <c r="C52" i="70"/>
  <c r="O52" i="70"/>
  <c r="W52" i="70"/>
  <c r="M53" i="70"/>
  <c r="U53" i="70"/>
  <c r="S54" i="70"/>
  <c r="Q55" i="70"/>
  <c r="C56" i="70"/>
  <c r="O56" i="70"/>
  <c r="W56" i="70"/>
  <c r="M57" i="70"/>
  <c r="U57" i="70"/>
  <c r="B68" i="70"/>
  <c r="P70" i="70"/>
  <c r="U71" i="70"/>
  <c r="B76" i="70"/>
  <c r="D78" i="70"/>
  <c r="C78" i="70" s="1"/>
  <c r="P78" i="70"/>
  <c r="X78" i="70"/>
  <c r="R80" i="70"/>
  <c r="Z80" i="70"/>
  <c r="K81" i="70"/>
  <c r="M83" i="70"/>
  <c r="K84" i="70"/>
  <c r="B86" i="70"/>
  <c r="W90" i="70"/>
  <c r="O90" i="70"/>
  <c r="U90" i="70"/>
  <c r="M90" i="70"/>
  <c r="Q90" i="70"/>
  <c r="AA90" i="70"/>
  <c r="O91" i="70"/>
  <c r="D94" i="70"/>
  <c r="C94" i="70" s="1"/>
  <c r="T94" i="70"/>
  <c r="N96" i="70"/>
  <c r="Y96" i="70"/>
  <c r="N98" i="70"/>
  <c r="AA98" i="70"/>
  <c r="B100" i="70"/>
  <c r="S101" i="70"/>
  <c r="D102" i="70"/>
  <c r="C102" i="70" s="1"/>
  <c r="P105" i="70"/>
  <c r="X111" i="70"/>
  <c r="S123" i="70"/>
  <c r="P123" i="70"/>
  <c r="W123" i="70"/>
  <c r="O123" i="70"/>
  <c r="V123" i="70"/>
  <c r="N123" i="70"/>
  <c r="U123" i="70"/>
  <c r="Q124" i="70"/>
  <c r="B130" i="70"/>
  <c r="R131" i="70"/>
  <c r="N132" i="70"/>
  <c r="D136" i="70"/>
  <c r="C136" i="70" s="1"/>
  <c r="M142" i="70"/>
  <c r="M146" i="70"/>
  <c r="M150" i="70"/>
  <c r="T154" i="70"/>
  <c r="S155" i="70"/>
  <c r="Q156" i="70"/>
  <c r="T158" i="70"/>
  <c r="Q160" i="70"/>
  <c r="T162" i="70"/>
  <c r="S163" i="70"/>
  <c r="Q164" i="70"/>
  <c r="T166" i="70"/>
  <c r="P39" i="71"/>
  <c r="P47" i="71"/>
  <c r="P55" i="71"/>
  <c r="Q46" i="70"/>
  <c r="Q54" i="70"/>
  <c r="R14" i="70"/>
  <c r="N13" i="70"/>
  <c r="V13" i="70"/>
  <c r="T14" i="70"/>
  <c r="R15" i="70"/>
  <c r="P16" i="70"/>
  <c r="N17" i="70"/>
  <c r="V17" i="70"/>
  <c r="T18" i="70"/>
  <c r="R19" i="70"/>
  <c r="P20" i="70"/>
  <c r="N21" i="70"/>
  <c r="V21" i="70"/>
  <c r="T22" i="70"/>
  <c r="R23" i="70"/>
  <c r="P24" i="70"/>
  <c r="N25" i="70"/>
  <c r="V25" i="70"/>
  <c r="T26" i="70"/>
  <c r="R27" i="70"/>
  <c r="P28" i="70"/>
  <c r="N29" i="70"/>
  <c r="V29" i="70"/>
  <c r="T30" i="70"/>
  <c r="R31" i="70"/>
  <c r="P32" i="70"/>
  <c r="N33" i="70"/>
  <c r="V33" i="70"/>
  <c r="T34" i="70"/>
  <c r="R35" i="70"/>
  <c r="P36" i="70"/>
  <c r="N37" i="70"/>
  <c r="V37" i="70"/>
  <c r="T38" i="70"/>
  <c r="R39" i="70"/>
  <c r="P40" i="70"/>
  <c r="N41" i="70"/>
  <c r="V41" i="70"/>
  <c r="T42" i="70"/>
  <c r="R43" i="70"/>
  <c r="P44" i="70"/>
  <c r="N45" i="70"/>
  <c r="V45" i="70"/>
  <c r="T46" i="70"/>
  <c r="R47" i="70"/>
  <c r="P48" i="70"/>
  <c r="N49" i="70"/>
  <c r="V49" i="70"/>
  <c r="T50" i="70"/>
  <c r="R51" i="70"/>
  <c r="P52" i="70"/>
  <c r="N53" i="70"/>
  <c r="V53" i="70"/>
  <c r="P56" i="70"/>
  <c r="N57" i="70"/>
  <c r="V57" i="70"/>
  <c r="Q70" i="70"/>
  <c r="V71" i="70"/>
  <c r="Q78" i="70"/>
  <c r="Y78" i="70"/>
  <c r="S80" i="70"/>
  <c r="AA80" i="70"/>
  <c r="X83" i="70"/>
  <c r="P83" i="70"/>
  <c r="V83" i="70"/>
  <c r="N83" i="70"/>
  <c r="Y83" i="70"/>
  <c r="D90" i="70"/>
  <c r="C90" i="70" s="1"/>
  <c r="X91" i="70"/>
  <c r="P91" i="70"/>
  <c r="V91" i="70"/>
  <c r="N91" i="70"/>
  <c r="Q91" i="70"/>
  <c r="AA91" i="70"/>
  <c r="U94" i="70"/>
  <c r="D95" i="70"/>
  <c r="C95" i="70" s="1"/>
  <c r="O96" i="70"/>
  <c r="K99" i="70"/>
  <c r="B99" i="70"/>
  <c r="D100" i="70"/>
  <c r="C100" i="70" s="1"/>
  <c r="T101" i="70"/>
  <c r="K103" i="70"/>
  <c r="D106" i="70"/>
  <c r="C106" i="70" s="1"/>
  <c r="B110" i="70"/>
  <c r="K110" i="70"/>
  <c r="Y111" i="70"/>
  <c r="O132" i="70"/>
  <c r="U137" i="70"/>
  <c r="M137" i="70"/>
  <c r="R137" i="70"/>
  <c r="Q137" i="70"/>
  <c r="P137" i="70"/>
  <c r="W137" i="70"/>
  <c r="D140" i="70"/>
  <c r="C140" i="70" s="1"/>
  <c r="D148" i="70"/>
  <c r="C148" i="70" s="1"/>
  <c r="D152" i="70"/>
  <c r="C152" i="70" s="1"/>
  <c r="S54" i="71"/>
  <c r="S50" i="71"/>
  <c r="S46" i="71"/>
  <c r="S42" i="71"/>
  <c r="S38" i="71"/>
  <c r="S34" i="71"/>
  <c r="S30" i="71"/>
  <c r="S26" i="71"/>
  <c r="P22" i="71"/>
  <c r="P27" i="71"/>
  <c r="Q16" i="70"/>
  <c r="M22" i="70"/>
  <c r="Q28" i="70"/>
  <c r="Q36" i="70"/>
  <c r="Q40" i="70"/>
  <c r="M42" i="70"/>
  <c r="U42" i="70"/>
  <c r="Q44" i="70"/>
  <c r="O45" i="70"/>
  <c r="W45" i="70"/>
  <c r="M46" i="70"/>
  <c r="U46" i="70"/>
  <c r="Q48" i="70"/>
  <c r="O49" i="70"/>
  <c r="W49" i="70"/>
  <c r="M50" i="70"/>
  <c r="U50" i="70"/>
  <c r="Q52" i="70"/>
  <c r="O53" i="70"/>
  <c r="W53" i="70"/>
  <c r="M54" i="70"/>
  <c r="U54" i="70"/>
  <c r="Q56" i="70"/>
  <c r="O57" i="70"/>
  <c r="W57" i="70"/>
  <c r="R70" i="70"/>
  <c r="O71" i="70"/>
  <c r="W71" i="70"/>
  <c r="D76" i="70"/>
  <c r="C76" i="70" s="1"/>
  <c r="R78" i="70"/>
  <c r="Z78" i="70"/>
  <c r="T80" i="70"/>
  <c r="O83" i="70"/>
  <c r="D86" i="70"/>
  <c r="C86" i="70" s="1"/>
  <c r="S90" i="70"/>
  <c r="V94" i="70"/>
  <c r="X96" i="70"/>
  <c r="U96" i="70"/>
  <c r="M96" i="70"/>
  <c r="AA96" i="70"/>
  <c r="S96" i="70"/>
  <c r="P96" i="70"/>
  <c r="B97" i="70"/>
  <c r="Z98" i="70"/>
  <c r="R98" i="70"/>
  <c r="W98" i="70"/>
  <c r="O98" i="70"/>
  <c r="U98" i="70"/>
  <c r="M98" i="70"/>
  <c r="Q98" i="70"/>
  <c r="V101" i="70"/>
  <c r="Y105" i="70"/>
  <c r="Q105" i="70"/>
  <c r="V105" i="70"/>
  <c r="N105" i="70"/>
  <c r="U105" i="70"/>
  <c r="M105" i="70"/>
  <c r="T105" i="70"/>
  <c r="S105" i="70"/>
  <c r="M111" i="70"/>
  <c r="P124" i="70"/>
  <c r="U124" i="70"/>
  <c r="T124" i="70"/>
  <c r="S124" i="70"/>
  <c r="V124" i="70"/>
  <c r="S131" i="70"/>
  <c r="K131" i="70"/>
  <c r="P131" i="70"/>
  <c r="W131" i="70"/>
  <c r="O131" i="70"/>
  <c r="V131" i="70"/>
  <c r="N131" i="70"/>
  <c r="U131" i="70"/>
  <c r="O139" i="70"/>
  <c r="O143" i="70"/>
  <c r="O151" i="70"/>
  <c r="S154" i="70"/>
  <c r="R154" i="70"/>
  <c r="P154" i="70"/>
  <c r="W154" i="70"/>
  <c r="O154" i="70"/>
  <c r="V154" i="70"/>
  <c r="N154" i="70"/>
  <c r="W156" i="70"/>
  <c r="O156" i="70"/>
  <c r="V156" i="70"/>
  <c r="N156" i="70"/>
  <c r="T156" i="70"/>
  <c r="S156" i="70"/>
  <c r="R156" i="70"/>
  <c r="S158" i="70"/>
  <c r="R158" i="70"/>
  <c r="P158" i="70"/>
  <c r="W158" i="70"/>
  <c r="O158" i="70"/>
  <c r="V158" i="70"/>
  <c r="N158" i="70"/>
  <c r="W160" i="70"/>
  <c r="O160" i="70"/>
  <c r="V160" i="70"/>
  <c r="N160" i="70"/>
  <c r="T160" i="70"/>
  <c r="S160" i="70"/>
  <c r="R160" i="70"/>
  <c r="S162" i="70"/>
  <c r="R162" i="70"/>
  <c r="P162" i="70"/>
  <c r="W162" i="70"/>
  <c r="O162" i="70"/>
  <c r="V162" i="70"/>
  <c r="N162" i="70"/>
  <c r="W164" i="70"/>
  <c r="O164" i="70"/>
  <c r="V164" i="70"/>
  <c r="N164" i="70"/>
  <c r="T164" i="70"/>
  <c r="S164" i="70"/>
  <c r="R164" i="70"/>
  <c r="S166" i="70"/>
  <c r="R166" i="70"/>
  <c r="P166" i="70"/>
  <c r="W166" i="70"/>
  <c r="O166" i="70"/>
  <c r="V166" i="70"/>
  <c r="N166" i="70"/>
  <c r="T54" i="71"/>
  <c r="T50" i="71"/>
  <c r="T46" i="71"/>
  <c r="T42" i="71"/>
  <c r="T38" i="71"/>
  <c r="T34" i="71"/>
  <c r="T30" i="71"/>
  <c r="T26" i="71"/>
  <c r="T22" i="71"/>
  <c r="P30" i="71"/>
  <c r="Q14" i="70"/>
  <c r="U14" i="70"/>
  <c r="Q20" i="70"/>
  <c r="U38" i="70"/>
  <c r="R16" i="70"/>
  <c r="N18" i="70"/>
  <c r="V18" i="70"/>
  <c r="T19" i="70"/>
  <c r="R20" i="70"/>
  <c r="P21" i="70"/>
  <c r="N22" i="70"/>
  <c r="L23" i="70"/>
  <c r="T23" i="70"/>
  <c r="R24" i="70"/>
  <c r="P25" i="70"/>
  <c r="N26" i="70"/>
  <c r="V26" i="70"/>
  <c r="T27" i="70"/>
  <c r="R28" i="70"/>
  <c r="P29" i="70"/>
  <c r="N30" i="70"/>
  <c r="V30" i="70"/>
  <c r="T31" i="70"/>
  <c r="R32" i="70"/>
  <c r="P33" i="70"/>
  <c r="N34" i="70"/>
  <c r="V34" i="70"/>
  <c r="T35" i="70"/>
  <c r="R36" i="70"/>
  <c r="P37" i="70"/>
  <c r="N38" i="70"/>
  <c r="V38" i="70"/>
  <c r="T39" i="70"/>
  <c r="R40" i="70"/>
  <c r="P41" i="70"/>
  <c r="N42" i="70"/>
  <c r="V42" i="70"/>
  <c r="T43" i="70"/>
  <c r="R44" i="70"/>
  <c r="P45" i="70"/>
  <c r="N46" i="70"/>
  <c r="V46" i="70"/>
  <c r="T47" i="70"/>
  <c r="R48" i="70"/>
  <c r="D159" i="70"/>
  <c r="C159" i="70" s="1"/>
  <c r="D104" i="70"/>
  <c r="C104" i="70" s="1"/>
  <c r="P49" i="70"/>
  <c r="N50" i="70"/>
  <c r="V50" i="70"/>
  <c r="T51" i="70"/>
  <c r="R52" i="70"/>
  <c r="D163" i="70"/>
  <c r="C163" i="70" s="1"/>
  <c r="D108" i="70"/>
  <c r="C108" i="70" s="1"/>
  <c r="P53" i="70"/>
  <c r="N54" i="70"/>
  <c r="V54" i="70"/>
  <c r="T55" i="70"/>
  <c r="R56" i="70"/>
  <c r="D167" i="70"/>
  <c r="C167" i="70" s="1"/>
  <c r="D112" i="70"/>
  <c r="C112" i="70" s="1"/>
  <c r="P57" i="70"/>
  <c r="S70" i="70"/>
  <c r="P71" i="70"/>
  <c r="K78" i="70"/>
  <c r="S78" i="70"/>
  <c r="AA78" i="70"/>
  <c r="M80" i="70"/>
  <c r="U80" i="70"/>
  <c r="D83" i="70"/>
  <c r="C83" i="70" s="1"/>
  <c r="Q83" i="70"/>
  <c r="AA83" i="70"/>
  <c r="D87" i="70"/>
  <c r="C87" i="70" s="1"/>
  <c r="T90" i="70"/>
  <c r="S91" i="70"/>
  <c r="M94" i="70"/>
  <c r="W94" i="70"/>
  <c r="Q96" i="70"/>
  <c r="D98" i="70"/>
  <c r="C98" i="70" s="1"/>
  <c r="S98" i="70"/>
  <c r="K100" i="70"/>
  <c r="W101" i="70"/>
  <c r="W105" i="70"/>
  <c r="D110" i="70"/>
  <c r="C110" i="70" s="1"/>
  <c r="N111" i="70"/>
  <c r="W124" i="70"/>
  <c r="B127" i="70"/>
  <c r="P139" i="70"/>
  <c r="S142" i="70"/>
  <c r="P142" i="70"/>
  <c r="W142" i="70"/>
  <c r="O142" i="70"/>
  <c r="V142" i="70"/>
  <c r="N142" i="70"/>
  <c r="T142" i="70"/>
  <c r="P143" i="70"/>
  <c r="S146" i="70"/>
  <c r="P146" i="70"/>
  <c r="W146" i="70"/>
  <c r="O146" i="70"/>
  <c r="V146" i="70"/>
  <c r="N146" i="70"/>
  <c r="T146" i="70"/>
  <c r="S150" i="70"/>
  <c r="P150" i="70"/>
  <c r="W150" i="70"/>
  <c r="O150" i="70"/>
  <c r="V150" i="70"/>
  <c r="N150" i="70"/>
  <c r="T150" i="70"/>
  <c r="P151" i="70"/>
  <c r="D154" i="70"/>
  <c r="C154" i="70" s="1"/>
  <c r="Q155" i="70"/>
  <c r="P155" i="70"/>
  <c r="V155" i="70"/>
  <c r="N155" i="70"/>
  <c r="U155" i="70"/>
  <c r="M155" i="70"/>
  <c r="T155" i="70"/>
  <c r="B157" i="70"/>
  <c r="B161" i="70"/>
  <c r="D162" i="70"/>
  <c r="C162" i="70" s="1"/>
  <c r="Q163" i="70"/>
  <c r="P163" i="70"/>
  <c r="V163" i="70"/>
  <c r="N163" i="70"/>
  <c r="U163" i="70"/>
  <c r="M163" i="70"/>
  <c r="T163" i="70"/>
  <c r="B165" i="70"/>
  <c r="P35" i="71"/>
  <c r="T37" i="71"/>
  <c r="T45" i="71"/>
  <c r="Q18" i="70"/>
  <c r="Q38" i="70"/>
  <c r="Q24" i="70"/>
  <c r="M26" i="70"/>
  <c r="U26" i="70"/>
  <c r="M30" i="70"/>
  <c r="U30" i="70"/>
  <c r="M34" i="70"/>
  <c r="U34" i="70"/>
  <c r="M38" i="70"/>
  <c r="P13" i="70"/>
  <c r="N14" i="70"/>
  <c r="V14" i="70"/>
  <c r="T15" i="70"/>
  <c r="P17" i="70"/>
  <c r="Q13" i="70"/>
  <c r="O14" i="70"/>
  <c r="U15" i="70"/>
  <c r="S16" i="70"/>
  <c r="Q17" i="70"/>
  <c r="O18" i="70"/>
  <c r="W18" i="70"/>
  <c r="U19" i="70"/>
  <c r="S20" i="70"/>
  <c r="Q21" i="70"/>
  <c r="O22" i="70"/>
  <c r="W22" i="70"/>
  <c r="M23" i="70"/>
  <c r="U23" i="70"/>
  <c r="S24" i="70"/>
  <c r="Q25" i="70"/>
  <c r="O26" i="70"/>
  <c r="W26" i="70"/>
  <c r="M27" i="70"/>
  <c r="U27" i="70"/>
  <c r="S28" i="70"/>
  <c r="Q29" i="70"/>
  <c r="O30" i="70"/>
  <c r="W30" i="70"/>
  <c r="M31" i="70"/>
  <c r="U31" i="70"/>
  <c r="S32" i="70"/>
  <c r="Q33" i="70"/>
  <c r="O34" i="70"/>
  <c r="W34" i="70"/>
  <c r="M35" i="70"/>
  <c r="U35" i="70"/>
  <c r="S36" i="70"/>
  <c r="Q37" i="70"/>
  <c r="O38" i="70"/>
  <c r="W38" i="70"/>
  <c r="M39" i="70"/>
  <c r="U39" i="70"/>
  <c r="S40" i="70"/>
  <c r="Q41" i="70"/>
  <c r="O42" i="70"/>
  <c r="W42" i="70"/>
  <c r="M43" i="70"/>
  <c r="U43" i="70"/>
  <c r="S44" i="70"/>
  <c r="Q45" i="70"/>
  <c r="O46" i="70"/>
  <c r="W46" i="70"/>
  <c r="M47" i="70"/>
  <c r="U47" i="70"/>
  <c r="S48" i="70"/>
  <c r="Q49" i="70"/>
  <c r="O50" i="70"/>
  <c r="W50" i="70"/>
  <c r="M51" i="70"/>
  <c r="U51" i="70"/>
  <c r="S52" i="70"/>
  <c r="Q53" i="70"/>
  <c r="U55" i="70"/>
  <c r="S56" i="70"/>
  <c r="Q57" i="70"/>
  <c r="T70" i="70"/>
  <c r="Q71" i="70"/>
  <c r="L78" i="70"/>
  <c r="T78" i="70"/>
  <c r="N80" i="70"/>
  <c r="V80" i="70"/>
  <c r="D82" i="70"/>
  <c r="C82" i="70" s="1"/>
  <c r="D92" i="70"/>
  <c r="C92" i="70" s="1"/>
  <c r="N94" i="70"/>
  <c r="X94" i="70"/>
  <c r="K95" i="70"/>
  <c r="D96" i="70"/>
  <c r="C96" i="70" s="1"/>
  <c r="R96" i="70"/>
  <c r="T98" i="70"/>
  <c r="Y101" i="70"/>
  <c r="D105" i="70"/>
  <c r="C105" i="70" s="1"/>
  <c r="X105" i="70"/>
  <c r="P111" i="70"/>
  <c r="P132" i="70"/>
  <c r="U132" i="70"/>
  <c r="M132" i="70"/>
  <c r="T132" i="70"/>
  <c r="L132" i="70"/>
  <c r="S132" i="70"/>
  <c r="K132" i="70"/>
  <c r="V132" i="70"/>
  <c r="R139" i="70"/>
  <c r="U142" i="70"/>
  <c r="R143" i="70"/>
  <c r="D146" i="70"/>
  <c r="C146" i="70" s="1"/>
  <c r="U146" i="70"/>
  <c r="R151" i="70"/>
  <c r="D156" i="70"/>
  <c r="C156" i="70" s="1"/>
  <c r="D164" i="70"/>
  <c r="C164" i="70" s="1"/>
  <c r="P23" i="71"/>
  <c r="P43" i="71"/>
  <c r="T53" i="71"/>
  <c r="Q22" i="70"/>
  <c r="Q30" i="70"/>
  <c r="U18" i="70"/>
  <c r="P14" i="70"/>
  <c r="N15" i="70"/>
  <c r="N19" i="70"/>
  <c r="N23" i="70"/>
  <c r="N27" i="70"/>
  <c r="N31" i="70"/>
  <c r="N35" i="70"/>
  <c r="N39" i="70"/>
  <c r="N43" i="70"/>
  <c r="N47" i="70"/>
  <c r="N51" i="70"/>
  <c r="N55" i="70"/>
  <c r="D77" i="70"/>
  <c r="C77" i="70" s="1"/>
  <c r="M78" i="70"/>
  <c r="O80" i="70"/>
  <c r="S83" i="70"/>
  <c r="B89" i="70"/>
  <c r="K91" i="70"/>
  <c r="U91" i="70"/>
  <c r="O94" i="70"/>
  <c r="Z94" i="70"/>
  <c r="T96" i="70"/>
  <c r="V98" i="70"/>
  <c r="N101" i="70"/>
  <c r="AA101" i="70"/>
  <c r="B103" i="70"/>
  <c r="Z105" i="70"/>
  <c r="K107" i="70"/>
  <c r="B107" i="70"/>
  <c r="K111" i="70"/>
  <c r="Q111" i="70"/>
  <c r="U125" i="70"/>
  <c r="R125" i="70"/>
  <c r="Q125" i="70"/>
  <c r="P125" i="70"/>
  <c r="V125" i="70"/>
  <c r="L131" i="70"/>
  <c r="W132" i="70"/>
  <c r="O137" i="70"/>
  <c r="S139" i="70"/>
  <c r="S143" i="70"/>
  <c r="S151" i="70"/>
  <c r="P26" i="71"/>
  <c r="P51" i="71"/>
  <c r="T57" i="71"/>
  <c r="Q57" i="72"/>
  <c r="Q53" i="72"/>
  <c r="AT53" i="72" s="1"/>
  <c r="Q54" i="72"/>
  <c r="Q50" i="72"/>
  <c r="AT50" i="72" s="1"/>
  <c r="Q42" i="72"/>
  <c r="AT42" i="72" s="1"/>
  <c r="Q34" i="72"/>
  <c r="AT34" i="72" s="1"/>
  <c r="Q15" i="72"/>
  <c r="AT15" i="72" s="1"/>
  <c r="Q18" i="72"/>
  <c r="AT18" i="72" s="1"/>
  <c r="Q25" i="72"/>
  <c r="AT25" i="72" s="1"/>
  <c r="Q31" i="72"/>
  <c r="AT31" i="72" s="1"/>
  <c r="AN49" i="72"/>
  <c r="P52" i="73"/>
  <c r="AS52" i="73" s="1"/>
  <c r="P44" i="73"/>
  <c r="AS44" i="73" s="1"/>
  <c r="P36" i="73"/>
  <c r="AS36" i="73" s="1"/>
  <c r="P33" i="73"/>
  <c r="AS33" i="73" s="1"/>
  <c r="P25" i="73"/>
  <c r="AS25" i="73" s="1"/>
  <c r="P14" i="73"/>
  <c r="AS14" i="73" s="1"/>
  <c r="P51" i="73"/>
  <c r="AS51" i="73" s="1"/>
  <c r="P43" i="73"/>
  <c r="AS43" i="73" s="1"/>
  <c r="P35" i="73"/>
  <c r="AS35" i="73" s="1"/>
  <c r="P32" i="73"/>
  <c r="AS32" i="73" s="1"/>
  <c r="P24" i="73"/>
  <c r="AS24" i="73" s="1"/>
  <c r="P18" i="73"/>
  <c r="AS18" i="73" s="1"/>
  <c r="P15" i="73"/>
  <c r="AS15" i="73" s="1"/>
  <c r="P50" i="73"/>
  <c r="AS50" i="73" s="1"/>
  <c r="P34" i="73"/>
  <c r="AS34" i="73" s="1"/>
  <c r="P23" i="73"/>
  <c r="AS23" i="73" s="1"/>
  <c r="P57" i="73"/>
  <c r="P55" i="73"/>
  <c r="P42" i="73"/>
  <c r="AS42" i="73" s="1"/>
  <c r="P31" i="73"/>
  <c r="AS31" i="73" s="1"/>
  <c r="U13" i="73"/>
  <c r="T13" i="73"/>
  <c r="R13" i="73"/>
  <c r="P13" i="73"/>
  <c r="W13" i="73"/>
  <c r="O13" i="73"/>
  <c r="V13" i="73"/>
  <c r="S13" i="73"/>
  <c r="Q13" i="73"/>
  <c r="P28" i="73"/>
  <c r="AS28" i="73" s="1"/>
  <c r="W23" i="71"/>
  <c r="O23" i="71"/>
  <c r="U23" i="71"/>
  <c r="M23" i="71"/>
  <c r="Q23" i="71"/>
  <c r="U25" i="71"/>
  <c r="W27" i="71"/>
  <c r="O27" i="71"/>
  <c r="U27" i="71"/>
  <c r="M27" i="71"/>
  <c r="Q27" i="71"/>
  <c r="U29" i="71"/>
  <c r="W31" i="71"/>
  <c r="O31" i="71"/>
  <c r="U31" i="71"/>
  <c r="M31" i="71"/>
  <c r="Q31" i="71"/>
  <c r="U33" i="71"/>
  <c r="W35" i="71"/>
  <c r="O35" i="71"/>
  <c r="U35" i="71"/>
  <c r="M35" i="71"/>
  <c r="Q35" i="71"/>
  <c r="U37" i="71"/>
  <c r="W39" i="71"/>
  <c r="O39" i="71"/>
  <c r="U39" i="71"/>
  <c r="M39" i="71"/>
  <c r="Q39" i="71"/>
  <c r="U41" i="71"/>
  <c r="W43" i="71"/>
  <c r="O43" i="71"/>
  <c r="U43" i="71"/>
  <c r="M43" i="71"/>
  <c r="Q43" i="71"/>
  <c r="U45" i="71"/>
  <c r="W47" i="71"/>
  <c r="O47" i="71"/>
  <c r="U47" i="71"/>
  <c r="M47" i="71"/>
  <c r="Q47" i="71"/>
  <c r="W51" i="71"/>
  <c r="O51" i="71"/>
  <c r="U51" i="71"/>
  <c r="M51" i="71"/>
  <c r="Q51" i="71"/>
  <c r="U53" i="71"/>
  <c r="M54" i="71"/>
  <c r="W55" i="71"/>
  <c r="O55" i="71"/>
  <c r="U55" i="71"/>
  <c r="M55" i="71"/>
  <c r="Q55" i="71"/>
  <c r="R56" i="71"/>
  <c r="U57" i="71"/>
  <c r="R53" i="72"/>
  <c r="AU53" i="72" s="1"/>
  <c r="R45" i="72"/>
  <c r="AU45" i="72" s="1"/>
  <c r="R37" i="72"/>
  <c r="AU37" i="72" s="1"/>
  <c r="R50" i="72"/>
  <c r="AU50" i="72" s="1"/>
  <c r="R55" i="72"/>
  <c r="R47" i="72"/>
  <c r="AU47" i="72" s="1"/>
  <c r="R39" i="72"/>
  <c r="AU39" i="72" s="1"/>
  <c r="R15" i="72"/>
  <c r="AU15" i="72" s="1"/>
  <c r="R18" i="72"/>
  <c r="AU18" i="72" s="1"/>
  <c r="S27" i="72"/>
  <c r="AV27" i="72" s="1"/>
  <c r="R27" i="72"/>
  <c r="AU27" i="72" s="1"/>
  <c r="Q27" i="72"/>
  <c r="AT27" i="72" s="1"/>
  <c r="P27" i="72"/>
  <c r="AS27" i="72" s="1"/>
  <c r="O27" i="72"/>
  <c r="AR27" i="72" s="1"/>
  <c r="R30" i="72"/>
  <c r="AU30" i="72" s="1"/>
  <c r="Q30" i="72"/>
  <c r="AT30" i="72" s="1"/>
  <c r="P30" i="72"/>
  <c r="AS30" i="72" s="1"/>
  <c r="W30" i="72"/>
  <c r="O30" i="72"/>
  <c r="AR30" i="72" s="1"/>
  <c r="S30" i="72"/>
  <c r="AV30" i="72" s="1"/>
  <c r="R31" i="72"/>
  <c r="AU31" i="72" s="1"/>
  <c r="Q36" i="72"/>
  <c r="AT36" i="72" s="1"/>
  <c r="Q37" i="72"/>
  <c r="AT37" i="72" s="1"/>
  <c r="Q47" i="72"/>
  <c r="AT47" i="72" s="1"/>
  <c r="Q56" i="72"/>
  <c r="U126" i="70"/>
  <c r="L21" i="71"/>
  <c r="V21" i="71"/>
  <c r="N22" i="71"/>
  <c r="R23" i="71"/>
  <c r="T24" i="71"/>
  <c r="V25" i="71"/>
  <c r="N26" i="71"/>
  <c r="R27" i="71"/>
  <c r="T28" i="71"/>
  <c r="V29" i="71"/>
  <c r="N30" i="71"/>
  <c r="R31" i="71"/>
  <c r="T32" i="71"/>
  <c r="V33" i="71"/>
  <c r="N34" i="71"/>
  <c r="R35" i="71"/>
  <c r="T36" i="71"/>
  <c r="V37" i="71"/>
  <c r="R39" i="71"/>
  <c r="T40" i="71"/>
  <c r="V41" i="71"/>
  <c r="R43" i="71"/>
  <c r="T44" i="71"/>
  <c r="V45" i="71"/>
  <c r="R47" i="71"/>
  <c r="T48" i="71"/>
  <c r="V49" i="71"/>
  <c r="R51" i="71"/>
  <c r="T52" i="71"/>
  <c r="V53" i="71"/>
  <c r="R55" i="71"/>
  <c r="T56" i="71"/>
  <c r="V57" i="71"/>
  <c r="S53" i="72"/>
  <c r="AV53" i="72" s="1"/>
  <c r="S45" i="72"/>
  <c r="AV45" i="72" s="1"/>
  <c r="S37" i="72"/>
  <c r="AV37" i="72" s="1"/>
  <c r="S26" i="72"/>
  <c r="AV26" i="72" s="1"/>
  <c r="S50" i="72"/>
  <c r="AV50" i="72" s="1"/>
  <c r="S42" i="72"/>
  <c r="AV42" i="72" s="1"/>
  <c r="S34" i="72"/>
  <c r="AV34" i="72" s="1"/>
  <c r="S55" i="72"/>
  <c r="S54" i="72"/>
  <c r="S57" i="72"/>
  <c r="S56" i="72"/>
  <c r="S52" i="72"/>
  <c r="AV52" i="72" s="1"/>
  <c r="S44" i="72"/>
  <c r="AV44" i="72" s="1"/>
  <c r="S36" i="72"/>
  <c r="AV36" i="72" s="1"/>
  <c r="S33" i="72"/>
  <c r="AV33" i="72" s="1"/>
  <c r="W13" i="72"/>
  <c r="N14" i="72"/>
  <c r="AQ14" i="72" s="1"/>
  <c r="S15" i="72"/>
  <c r="AV15" i="72" s="1"/>
  <c r="L16" i="72"/>
  <c r="W16" i="72"/>
  <c r="Q17" i="72"/>
  <c r="AT17" i="72" s="1"/>
  <c r="S18" i="72"/>
  <c r="AV18" i="72" s="1"/>
  <c r="L19" i="72"/>
  <c r="W19" i="72"/>
  <c r="Q20" i="72"/>
  <c r="AT20" i="72" s="1"/>
  <c r="W21" i="72"/>
  <c r="P23" i="72"/>
  <c r="AS23" i="72" s="1"/>
  <c r="T27" i="72"/>
  <c r="AW27" i="72" s="1"/>
  <c r="T30" i="72"/>
  <c r="AW30" i="72" s="1"/>
  <c r="S31" i="72"/>
  <c r="AV31" i="72" s="1"/>
  <c r="T32" i="72"/>
  <c r="AW32" i="72" s="1"/>
  <c r="S32" i="72"/>
  <c r="AV32" i="72" s="1"/>
  <c r="R32" i="72"/>
  <c r="AU32" i="72" s="1"/>
  <c r="Q32" i="72"/>
  <c r="AT32" i="72" s="1"/>
  <c r="O32" i="72"/>
  <c r="AR32" i="72" s="1"/>
  <c r="AN39" i="72"/>
  <c r="N40" i="72"/>
  <c r="AQ40" i="72" s="1"/>
  <c r="AN41" i="72"/>
  <c r="P42" i="72"/>
  <c r="AS42" i="72" s="1"/>
  <c r="S47" i="72"/>
  <c r="AV47" i="72" s="1"/>
  <c r="U48" i="72"/>
  <c r="AX48" i="72" s="1"/>
  <c r="M48" i="72"/>
  <c r="T48" i="72"/>
  <c r="AW48" i="72" s="1"/>
  <c r="S48" i="72"/>
  <c r="AV48" i="72" s="1"/>
  <c r="R48" i="72"/>
  <c r="AU48" i="72" s="1"/>
  <c r="Q48" i="72"/>
  <c r="AT48" i="72" s="1"/>
  <c r="W48" i="72"/>
  <c r="O48" i="72"/>
  <c r="AR48" i="72" s="1"/>
  <c r="P17" i="73"/>
  <c r="AS17" i="73" s="1"/>
  <c r="N126" i="70"/>
  <c r="V126" i="70"/>
  <c r="M21" i="71"/>
  <c r="W21" i="71"/>
  <c r="S23" i="71"/>
  <c r="V24" i="71"/>
  <c r="M25" i="71"/>
  <c r="W25" i="71"/>
  <c r="S27" i="71"/>
  <c r="V28" i="71"/>
  <c r="M29" i="71"/>
  <c r="W29" i="71"/>
  <c r="S31" i="71"/>
  <c r="V32" i="71"/>
  <c r="M33" i="71"/>
  <c r="W33" i="71"/>
  <c r="S35" i="71"/>
  <c r="V36" i="71"/>
  <c r="M37" i="71"/>
  <c r="W37" i="71"/>
  <c r="S39" i="71"/>
  <c r="V40" i="71"/>
  <c r="M41" i="71"/>
  <c r="W41" i="71"/>
  <c r="S43" i="71"/>
  <c r="V44" i="71"/>
  <c r="M45" i="71"/>
  <c r="W45" i="71"/>
  <c r="S47" i="71"/>
  <c r="V48" i="71"/>
  <c r="M49" i="71"/>
  <c r="W49" i="71"/>
  <c r="S51" i="71"/>
  <c r="V52" i="71"/>
  <c r="M53" i="71"/>
  <c r="W53" i="71"/>
  <c r="S55" i="71"/>
  <c r="V56" i="71"/>
  <c r="M57" i="71"/>
  <c r="W57" i="71"/>
  <c r="T50" i="72"/>
  <c r="AW50" i="72" s="1"/>
  <c r="T42" i="72"/>
  <c r="AW42" i="72" s="1"/>
  <c r="T34" i="72"/>
  <c r="AW34" i="72" s="1"/>
  <c r="T31" i="72"/>
  <c r="AW31" i="72" s="1"/>
  <c r="T23" i="72"/>
  <c r="AW23" i="72" s="1"/>
  <c r="T55" i="72"/>
  <c r="T47" i="72"/>
  <c r="AW47" i="72" s="1"/>
  <c r="T39" i="72"/>
  <c r="AW39" i="72" s="1"/>
  <c r="T57" i="72"/>
  <c r="T52" i="72"/>
  <c r="AW52" i="72" s="1"/>
  <c r="J59" i="72"/>
  <c r="I61" i="72" s="1"/>
  <c r="R14" i="72"/>
  <c r="AU14" i="72" s="1"/>
  <c r="R17" i="72"/>
  <c r="AU17" i="72" s="1"/>
  <c r="R20" i="72"/>
  <c r="AU20" i="72" s="1"/>
  <c r="Q23" i="72"/>
  <c r="AT23" i="72" s="1"/>
  <c r="M24" i="72"/>
  <c r="U27" i="72"/>
  <c r="AX27" i="72" s="1"/>
  <c r="Q28" i="72"/>
  <c r="AT28" i="72" s="1"/>
  <c r="U30" i="72"/>
  <c r="AX30" i="72" s="1"/>
  <c r="P32" i="72"/>
  <c r="AS32" i="72" s="1"/>
  <c r="R33" i="72"/>
  <c r="AU33" i="72" s="1"/>
  <c r="T38" i="72"/>
  <c r="AW38" i="72" s="1"/>
  <c r="P40" i="72"/>
  <c r="AS40" i="72" s="1"/>
  <c r="R42" i="72"/>
  <c r="AU42" i="72" s="1"/>
  <c r="S46" i="72"/>
  <c r="AV46" i="72" s="1"/>
  <c r="R46" i="72"/>
  <c r="AU46" i="72" s="1"/>
  <c r="Q46" i="72"/>
  <c r="AT46" i="72" s="1"/>
  <c r="P46" i="72"/>
  <c r="AS46" i="72" s="1"/>
  <c r="W46" i="72"/>
  <c r="O46" i="72"/>
  <c r="AR46" i="72" s="1"/>
  <c r="U46" i="72"/>
  <c r="AX46" i="72" s="1"/>
  <c r="M46" i="72"/>
  <c r="AP46" i="72" s="1"/>
  <c r="V46" i="72"/>
  <c r="AY46" i="72" s="1"/>
  <c r="S49" i="72"/>
  <c r="AV49" i="72" s="1"/>
  <c r="Q47" i="75"/>
  <c r="W47" i="75"/>
  <c r="O47" i="75"/>
  <c r="S47" i="75"/>
  <c r="K47" i="75"/>
  <c r="R47" i="75"/>
  <c r="P47" i="75"/>
  <c r="N47" i="75"/>
  <c r="M47" i="75"/>
  <c r="V47" i="75"/>
  <c r="U47" i="75"/>
  <c r="T47" i="75"/>
  <c r="O126" i="70"/>
  <c r="W126" i="70"/>
  <c r="K156" i="70"/>
  <c r="K160" i="70"/>
  <c r="K164" i="70"/>
  <c r="Q22" i="71"/>
  <c r="W22" i="71"/>
  <c r="O22" i="71"/>
  <c r="R22" i="71"/>
  <c r="T23" i="71"/>
  <c r="Q26" i="71"/>
  <c r="W26" i="71"/>
  <c r="O26" i="71"/>
  <c r="R26" i="71"/>
  <c r="T27" i="71"/>
  <c r="Q30" i="71"/>
  <c r="W30" i="71"/>
  <c r="O30" i="71"/>
  <c r="R30" i="71"/>
  <c r="T31" i="71"/>
  <c r="Q34" i="71"/>
  <c r="W34" i="71"/>
  <c r="O34" i="71"/>
  <c r="R34" i="71"/>
  <c r="T35" i="71"/>
  <c r="Q38" i="71"/>
  <c r="W38" i="71"/>
  <c r="O38" i="71"/>
  <c r="R38" i="71"/>
  <c r="T39" i="71"/>
  <c r="Q42" i="71"/>
  <c r="W42" i="71"/>
  <c r="O42" i="71"/>
  <c r="R42" i="71"/>
  <c r="T43" i="71"/>
  <c r="Q46" i="71"/>
  <c r="W46" i="71"/>
  <c r="O46" i="71"/>
  <c r="R46" i="71"/>
  <c r="T47" i="71"/>
  <c r="Q50" i="71"/>
  <c r="W50" i="71"/>
  <c r="O50" i="71"/>
  <c r="R50" i="71"/>
  <c r="T51" i="71"/>
  <c r="Q54" i="71"/>
  <c r="W54" i="71"/>
  <c r="O54" i="71"/>
  <c r="R54" i="71"/>
  <c r="T55" i="71"/>
  <c r="S17" i="72"/>
  <c r="AV17" i="72" s="1"/>
  <c r="S20" i="72"/>
  <c r="AV20" i="72" s="1"/>
  <c r="R22" i="72"/>
  <c r="AU22" i="72" s="1"/>
  <c r="Q22" i="72"/>
  <c r="AT22" i="72" s="1"/>
  <c r="P22" i="72"/>
  <c r="AS22" i="72" s="1"/>
  <c r="W22" i="72"/>
  <c r="O22" i="72"/>
  <c r="AR22" i="72" s="1"/>
  <c r="S22" i="72"/>
  <c r="AV22" i="72" s="1"/>
  <c r="R23" i="72"/>
  <c r="AU23" i="72" s="1"/>
  <c r="V27" i="72"/>
  <c r="AY27" i="72" s="1"/>
  <c r="R28" i="72"/>
  <c r="AU28" i="72" s="1"/>
  <c r="V30" i="72"/>
  <c r="AY30" i="72" s="1"/>
  <c r="U32" i="72"/>
  <c r="AX32" i="72" s="1"/>
  <c r="T33" i="72"/>
  <c r="AW33" i="72" s="1"/>
  <c r="P34" i="72"/>
  <c r="AS34" i="72" s="1"/>
  <c r="S38" i="72"/>
  <c r="AV38" i="72" s="1"/>
  <c r="R38" i="72"/>
  <c r="AU38" i="72" s="1"/>
  <c r="Q38" i="72"/>
  <c r="AT38" i="72" s="1"/>
  <c r="P38" i="72"/>
  <c r="AS38" i="72" s="1"/>
  <c r="W38" i="72"/>
  <c r="O38" i="72"/>
  <c r="AR38" i="72" s="1"/>
  <c r="U38" i="72"/>
  <c r="AX38" i="72" s="1"/>
  <c r="M38" i="72"/>
  <c r="AP38" i="72" s="1"/>
  <c r="V38" i="72"/>
  <c r="AY38" i="72" s="1"/>
  <c r="Q39" i="72"/>
  <c r="AT39" i="72" s="1"/>
  <c r="R49" i="72"/>
  <c r="AU49" i="72" s="1"/>
  <c r="R52" i="72"/>
  <c r="AU52" i="72" s="1"/>
  <c r="P54" i="72"/>
  <c r="P39" i="73"/>
  <c r="AS39" i="73" s="1"/>
  <c r="S25" i="71"/>
  <c r="Q25" i="71"/>
  <c r="O25" i="71"/>
  <c r="S29" i="71"/>
  <c r="Q29" i="71"/>
  <c r="O29" i="71"/>
  <c r="S33" i="71"/>
  <c r="Q33" i="71"/>
  <c r="O33" i="71"/>
  <c r="S37" i="71"/>
  <c r="Q37" i="71"/>
  <c r="O37" i="71"/>
  <c r="V39" i="71"/>
  <c r="S41" i="71"/>
  <c r="Q41" i="71"/>
  <c r="O41" i="71"/>
  <c r="V43" i="71"/>
  <c r="S45" i="71"/>
  <c r="Q45" i="71"/>
  <c r="O45" i="71"/>
  <c r="V47" i="71"/>
  <c r="S49" i="71"/>
  <c r="Q49" i="71"/>
  <c r="O49" i="71"/>
  <c r="V51" i="71"/>
  <c r="S53" i="71"/>
  <c r="Q53" i="71"/>
  <c r="O53" i="71"/>
  <c r="V55" i="71"/>
  <c r="S57" i="71"/>
  <c r="Q57" i="71"/>
  <c r="O57" i="71"/>
  <c r="Q14" i="72"/>
  <c r="AT14" i="72" s="1"/>
  <c r="P14" i="72"/>
  <c r="AS14" i="72" s="1"/>
  <c r="W14" i="72"/>
  <c r="O14" i="72"/>
  <c r="AR14" i="72" s="1"/>
  <c r="T14" i="72"/>
  <c r="AW14" i="72" s="1"/>
  <c r="T20" i="72"/>
  <c r="AW20" i="72" s="1"/>
  <c r="T22" i="72"/>
  <c r="AW22" i="72" s="1"/>
  <c r="T24" i="72"/>
  <c r="AW24" i="72" s="1"/>
  <c r="S24" i="72"/>
  <c r="AV24" i="72" s="1"/>
  <c r="R24" i="72"/>
  <c r="AU24" i="72" s="1"/>
  <c r="Q24" i="72"/>
  <c r="AT24" i="72" s="1"/>
  <c r="O24" i="72"/>
  <c r="AR24" i="72" s="1"/>
  <c r="W27" i="72"/>
  <c r="S28" i="72"/>
  <c r="AV28" i="72" s="1"/>
  <c r="U29" i="72"/>
  <c r="AX29" i="72" s="1"/>
  <c r="M29" i="72"/>
  <c r="T29" i="72"/>
  <c r="AW29" i="72" s="1"/>
  <c r="S29" i="72"/>
  <c r="AV29" i="72" s="1"/>
  <c r="R29" i="72"/>
  <c r="AU29" i="72" s="1"/>
  <c r="O29" i="72"/>
  <c r="AR29" i="72" s="1"/>
  <c r="AN30" i="72"/>
  <c r="Q33" i="72"/>
  <c r="AT33" i="72" s="1"/>
  <c r="R34" i="72"/>
  <c r="AU34" i="72" s="1"/>
  <c r="S39" i="72"/>
  <c r="AV39" i="72" s="1"/>
  <c r="U40" i="72"/>
  <c r="AX40" i="72" s="1"/>
  <c r="M40" i="72"/>
  <c r="T40" i="72"/>
  <c r="AW40" i="72" s="1"/>
  <c r="S40" i="72"/>
  <c r="AV40" i="72" s="1"/>
  <c r="R40" i="72"/>
  <c r="AU40" i="72" s="1"/>
  <c r="Q40" i="72"/>
  <c r="AT40" i="72" s="1"/>
  <c r="W40" i="72"/>
  <c r="O40" i="72"/>
  <c r="AR40" i="72" s="1"/>
  <c r="S41" i="72"/>
  <c r="AV41" i="72" s="1"/>
  <c r="T43" i="72"/>
  <c r="AW43" i="72" s="1"/>
  <c r="R44" i="72"/>
  <c r="AU44" i="72" s="1"/>
  <c r="R57" i="72"/>
  <c r="S21" i="71"/>
  <c r="K21" i="71"/>
  <c r="Q21" i="71"/>
  <c r="P21" i="71"/>
  <c r="L23" i="71"/>
  <c r="U24" i="71"/>
  <c r="M24" i="71"/>
  <c r="S24" i="71"/>
  <c r="O24" i="71"/>
  <c r="P25" i="71"/>
  <c r="U28" i="71"/>
  <c r="M28" i="71"/>
  <c r="S28" i="71"/>
  <c r="O28" i="71"/>
  <c r="P29" i="71"/>
  <c r="U32" i="71"/>
  <c r="M32" i="71"/>
  <c r="S32" i="71"/>
  <c r="O32" i="71"/>
  <c r="P33" i="71"/>
  <c r="U36" i="71"/>
  <c r="M36" i="71"/>
  <c r="S36" i="71"/>
  <c r="O36" i="71"/>
  <c r="P37" i="71"/>
  <c r="U40" i="71"/>
  <c r="M40" i="71"/>
  <c r="S40" i="71"/>
  <c r="O40" i="71"/>
  <c r="P41" i="71"/>
  <c r="U44" i="71"/>
  <c r="M44" i="71"/>
  <c r="S44" i="71"/>
  <c r="O44" i="71"/>
  <c r="P45" i="71"/>
  <c r="U48" i="71"/>
  <c r="M48" i="71"/>
  <c r="S48" i="71"/>
  <c r="O48" i="71"/>
  <c r="P49" i="71"/>
  <c r="U52" i="71"/>
  <c r="M52" i="71"/>
  <c r="S52" i="71"/>
  <c r="O52" i="71"/>
  <c r="P53" i="71"/>
  <c r="U56" i="71"/>
  <c r="M56" i="71"/>
  <c r="S56" i="71"/>
  <c r="O56" i="71"/>
  <c r="P57" i="71"/>
  <c r="U14" i="72"/>
  <c r="AX14" i="72" s="1"/>
  <c r="S16" i="72"/>
  <c r="AV16" i="72" s="1"/>
  <c r="K16" i="72"/>
  <c r="R16" i="72"/>
  <c r="AU16" i="72" s="1"/>
  <c r="Q16" i="72"/>
  <c r="AT16" i="72" s="1"/>
  <c r="P16" i="72"/>
  <c r="AS16" i="72" s="1"/>
  <c r="S19" i="72"/>
  <c r="AV19" i="72" s="1"/>
  <c r="K19" i="72"/>
  <c r="R19" i="72"/>
  <c r="AU19" i="72" s="1"/>
  <c r="Q19" i="72"/>
  <c r="AT19" i="72" s="1"/>
  <c r="P19" i="72"/>
  <c r="AS19" i="72" s="1"/>
  <c r="P21" i="72"/>
  <c r="AS21" i="72" s="1"/>
  <c r="P24" i="72"/>
  <c r="AS24" i="72" s="1"/>
  <c r="R25" i="72"/>
  <c r="AU25" i="72" s="1"/>
  <c r="T28" i="72"/>
  <c r="AW28" i="72" s="1"/>
  <c r="AN28" i="72"/>
  <c r="P29" i="72"/>
  <c r="AS29" i="72" s="1"/>
  <c r="R41" i="72"/>
  <c r="AU41" i="72" s="1"/>
  <c r="Q44" i="72"/>
  <c r="AT44" i="72" s="1"/>
  <c r="T44" i="72"/>
  <c r="AW44" i="72" s="1"/>
  <c r="Q52" i="72"/>
  <c r="AT52" i="72" s="1"/>
  <c r="R21" i="71"/>
  <c r="K22" i="71"/>
  <c r="U22" i="71"/>
  <c r="N23" i="71"/>
  <c r="P24" i="71"/>
  <c r="R25" i="71"/>
  <c r="U26" i="71"/>
  <c r="N27" i="71"/>
  <c r="P28" i="71"/>
  <c r="R29" i="71"/>
  <c r="U30" i="71"/>
  <c r="N31" i="71"/>
  <c r="P32" i="71"/>
  <c r="R33" i="71"/>
  <c r="U34" i="71"/>
  <c r="N35" i="71"/>
  <c r="P36" i="71"/>
  <c r="R37" i="71"/>
  <c r="U38" i="71"/>
  <c r="N39" i="71"/>
  <c r="P40" i="71"/>
  <c r="R41" i="71"/>
  <c r="U42" i="71"/>
  <c r="N43" i="71"/>
  <c r="P44" i="71"/>
  <c r="R45" i="71"/>
  <c r="U46" i="71"/>
  <c r="N47" i="71"/>
  <c r="P48" i="71"/>
  <c r="R49" i="71"/>
  <c r="U50" i="71"/>
  <c r="N51" i="71"/>
  <c r="P52" i="71"/>
  <c r="R53" i="71"/>
  <c r="N55" i="71"/>
  <c r="P56" i="71"/>
  <c r="R57" i="71"/>
  <c r="P56" i="72"/>
  <c r="P47" i="72"/>
  <c r="AS47" i="72" s="1"/>
  <c r="P39" i="72"/>
  <c r="AS39" i="72" s="1"/>
  <c r="P28" i="72"/>
  <c r="AS28" i="72" s="1"/>
  <c r="P20" i="72"/>
  <c r="AS20" i="72" s="1"/>
  <c r="P17" i="72"/>
  <c r="AS17" i="72" s="1"/>
  <c r="P35" i="72"/>
  <c r="AS35" i="72" s="1"/>
  <c r="P53" i="72"/>
  <c r="AS53" i="72" s="1"/>
  <c r="P45" i="72"/>
  <c r="AS45" i="72" s="1"/>
  <c r="P37" i="72"/>
  <c r="AS37" i="72" s="1"/>
  <c r="U13" i="72"/>
  <c r="T13" i="72"/>
  <c r="L13" i="72"/>
  <c r="S13" i="72"/>
  <c r="K13" i="72"/>
  <c r="Q13" i="72"/>
  <c r="K14" i="72"/>
  <c r="V14" i="72"/>
  <c r="AY14" i="72" s="1"/>
  <c r="P15" i="72"/>
  <c r="AS15" i="72" s="1"/>
  <c r="T16" i="72"/>
  <c r="AW16" i="72" s="1"/>
  <c r="P18" i="72"/>
  <c r="AS18" i="72" s="1"/>
  <c r="T19" i="72"/>
  <c r="AW19" i="72" s="1"/>
  <c r="U21" i="72"/>
  <c r="AX21" i="72" s="1"/>
  <c r="M21" i="72"/>
  <c r="AP21" i="72" s="1"/>
  <c r="T21" i="72"/>
  <c r="AW21" i="72" s="1"/>
  <c r="L21" i="72"/>
  <c r="S21" i="72"/>
  <c r="AV21" i="72" s="1"/>
  <c r="K21" i="72"/>
  <c r="Q21" i="72"/>
  <c r="AT21" i="72" s="1"/>
  <c r="U24" i="72"/>
  <c r="AX24" i="72" s="1"/>
  <c r="S25" i="72"/>
  <c r="AV25" i="72" s="1"/>
  <c r="Q26" i="72"/>
  <c r="AT26" i="72" s="1"/>
  <c r="M27" i="72"/>
  <c r="AP27" i="72" s="1"/>
  <c r="Q29" i="72"/>
  <c r="AT29" i="72" s="1"/>
  <c r="M30" i="72"/>
  <c r="AP30" i="72" s="1"/>
  <c r="P31" i="72"/>
  <c r="AS31" i="72" s="1"/>
  <c r="R36" i="72"/>
  <c r="AU36" i="72" s="1"/>
  <c r="Q45" i="72"/>
  <c r="AT45" i="72" s="1"/>
  <c r="AN47" i="72"/>
  <c r="N48" i="72"/>
  <c r="AQ48" i="72" s="1"/>
  <c r="Q55" i="72"/>
  <c r="P16" i="73"/>
  <c r="AS16" i="73" s="1"/>
  <c r="N35" i="72"/>
  <c r="AQ35" i="72" s="1"/>
  <c r="V35" i="72"/>
  <c r="AY35" i="72" s="1"/>
  <c r="T41" i="72"/>
  <c r="AW41" i="72" s="1"/>
  <c r="N43" i="72"/>
  <c r="AQ43" i="72" s="1"/>
  <c r="V43" i="72"/>
  <c r="AY43" i="72" s="1"/>
  <c r="T49" i="72"/>
  <c r="AW49" i="72" s="1"/>
  <c r="N51" i="72"/>
  <c r="AQ51" i="72" s="1"/>
  <c r="V51" i="72"/>
  <c r="AY51" i="72" s="1"/>
  <c r="AH55" i="72"/>
  <c r="X55" i="72" s="1"/>
  <c r="Q52" i="73"/>
  <c r="AT52" i="73" s="1"/>
  <c r="Q44" i="73"/>
  <c r="AT44" i="73" s="1"/>
  <c r="Q36" i="73"/>
  <c r="AT36" i="73" s="1"/>
  <c r="Q33" i="73"/>
  <c r="AT33" i="73" s="1"/>
  <c r="Q25" i="73"/>
  <c r="AT25" i="73" s="1"/>
  <c r="Q14" i="73"/>
  <c r="AT14" i="73" s="1"/>
  <c r="Q56" i="73"/>
  <c r="Q54" i="73"/>
  <c r="Q46" i="73"/>
  <c r="AT46" i="73" s="1"/>
  <c r="Q38" i="73"/>
  <c r="AT38" i="73" s="1"/>
  <c r="Q27" i="73"/>
  <c r="AT27" i="73" s="1"/>
  <c r="Q19" i="73"/>
  <c r="AT19" i="73" s="1"/>
  <c r="Q16" i="73"/>
  <c r="AT16" i="73" s="1"/>
  <c r="Q23" i="73"/>
  <c r="AT23" i="73" s="1"/>
  <c r="P20" i="73"/>
  <c r="AS20" i="73" s="1"/>
  <c r="S24" i="73"/>
  <c r="AV24" i="73" s="1"/>
  <c r="I30" i="74"/>
  <c r="H30" i="74"/>
  <c r="G30" i="74"/>
  <c r="I46" i="74"/>
  <c r="H46" i="74"/>
  <c r="G46" i="74"/>
  <c r="I58" i="74"/>
  <c r="H58" i="74"/>
  <c r="G58" i="74"/>
  <c r="P150" i="75"/>
  <c r="P134" i="75"/>
  <c r="P162" i="75"/>
  <c r="P146" i="75"/>
  <c r="P154" i="75"/>
  <c r="P138" i="75"/>
  <c r="U29" i="73"/>
  <c r="AX29" i="73" s="1"/>
  <c r="M29" i="73"/>
  <c r="AP29" i="73" s="1"/>
  <c r="T29" i="73"/>
  <c r="AW29" i="73" s="1"/>
  <c r="L29" i="73"/>
  <c r="S29" i="73"/>
  <c r="AV29" i="73" s="1"/>
  <c r="K29" i="73"/>
  <c r="R29" i="73"/>
  <c r="AU29" i="73" s="1"/>
  <c r="Q29" i="73"/>
  <c r="AT29" i="73" s="1"/>
  <c r="P29" i="73"/>
  <c r="AS29" i="73" s="1"/>
  <c r="W29" i="73"/>
  <c r="O29" i="73"/>
  <c r="AR29" i="73" s="1"/>
  <c r="U40" i="73"/>
  <c r="AX40" i="73" s="1"/>
  <c r="M40" i="73"/>
  <c r="AP40" i="73" s="1"/>
  <c r="T40" i="73"/>
  <c r="AW40" i="73" s="1"/>
  <c r="L40" i="73"/>
  <c r="S40" i="73"/>
  <c r="AV40" i="73" s="1"/>
  <c r="K40" i="73"/>
  <c r="R40" i="73"/>
  <c r="AU40" i="73" s="1"/>
  <c r="Q40" i="73"/>
  <c r="AT40" i="73" s="1"/>
  <c r="P40" i="73"/>
  <c r="AS40" i="73" s="1"/>
  <c r="W40" i="73"/>
  <c r="O40" i="73"/>
  <c r="AR40" i="73" s="1"/>
  <c r="P46" i="73"/>
  <c r="AS46" i="73" s="1"/>
  <c r="W52" i="75"/>
  <c r="O52" i="75"/>
  <c r="U52" i="75"/>
  <c r="M52" i="75"/>
  <c r="Q52" i="75"/>
  <c r="R52" i="75"/>
  <c r="P52" i="75"/>
  <c r="N52" i="75"/>
  <c r="K52" i="75"/>
  <c r="V52" i="75"/>
  <c r="T52" i="75"/>
  <c r="Q96" i="75"/>
  <c r="Q95" i="75"/>
  <c r="Q111" i="75"/>
  <c r="Q101" i="75"/>
  <c r="Q112" i="75"/>
  <c r="Y112" i="75"/>
  <c r="Y111" i="75"/>
  <c r="Y98" i="75"/>
  <c r="Y97" i="75"/>
  <c r="Y96" i="75"/>
  <c r="Y95" i="75"/>
  <c r="Y85" i="75"/>
  <c r="N41" i="72"/>
  <c r="AQ41" i="72" s="1"/>
  <c r="V41" i="72"/>
  <c r="AY41" i="72" s="1"/>
  <c r="P43" i="72"/>
  <c r="AS43" i="72" s="1"/>
  <c r="N49" i="72"/>
  <c r="AQ49" i="72" s="1"/>
  <c r="V49" i="72"/>
  <c r="AY49" i="72" s="1"/>
  <c r="P51" i="72"/>
  <c r="AS51" i="72" s="1"/>
  <c r="M52" i="72"/>
  <c r="AP52" i="72" s="1"/>
  <c r="U52" i="72"/>
  <c r="AX52" i="72" s="1"/>
  <c r="U54" i="72"/>
  <c r="V56" i="72"/>
  <c r="U57" i="72"/>
  <c r="K56" i="73"/>
  <c r="K54" i="73"/>
  <c r="K46" i="73"/>
  <c r="K38" i="73"/>
  <c r="K27" i="73"/>
  <c r="K51" i="73"/>
  <c r="K57" i="73"/>
  <c r="K55" i="73"/>
  <c r="K50" i="73"/>
  <c r="K42" i="73"/>
  <c r="K34" i="73"/>
  <c r="K31" i="73"/>
  <c r="K23" i="73"/>
  <c r="K52" i="73"/>
  <c r="K44" i="73"/>
  <c r="K36" i="73"/>
  <c r="K33" i="73"/>
  <c r="K25" i="73"/>
  <c r="S56" i="73"/>
  <c r="S54" i="73"/>
  <c r="S46" i="73"/>
  <c r="AV46" i="73" s="1"/>
  <c r="S38" i="73"/>
  <c r="AV38" i="73" s="1"/>
  <c r="S27" i="73"/>
  <c r="AV27" i="73" s="1"/>
  <c r="S19" i="73"/>
  <c r="AV19" i="73" s="1"/>
  <c r="S16" i="73"/>
  <c r="AV16" i="73" s="1"/>
  <c r="S51" i="73"/>
  <c r="AV51" i="73" s="1"/>
  <c r="S57" i="73"/>
  <c r="S55" i="73"/>
  <c r="S50" i="73"/>
  <c r="AV50" i="73" s="1"/>
  <c r="S42" i="73"/>
  <c r="AV42" i="73" s="1"/>
  <c r="S34" i="73"/>
  <c r="AV34" i="73" s="1"/>
  <c r="S31" i="73"/>
  <c r="AV31" i="73" s="1"/>
  <c r="S23" i="73"/>
  <c r="AV23" i="73" s="1"/>
  <c r="S52" i="73"/>
  <c r="AV52" i="73" s="1"/>
  <c r="S44" i="73"/>
  <c r="AV44" i="73" s="1"/>
  <c r="S36" i="73"/>
  <c r="AV36" i="73" s="1"/>
  <c r="S33" i="73"/>
  <c r="AV33" i="73" s="1"/>
  <c r="S25" i="73"/>
  <c r="AV25" i="73" s="1"/>
  <c r="S14" i="73"/>
  <c r="AV14" i="73" s="1"/>
  <c r="P19" i="73"/>
  <c r="AS19" i="73" s="1"/>
  <c r="K49" i="73"/>
  <c r="H55" i="74"/>
  <c r="I55" i="74"/>
  <c r="G55" i="74"/>
  <c r="D136" i="75"/>
  <c r="C136" i="75" s="1"/>
  <c r="D81" i="75"/>
  <c r="C81" i="75" s="1"/>
  <c r="C26" i="75"/>
  <c r="Q102" i="75"/>
  <c r="B104" i="75"/>
  <c r="K104" i="75"/>
  <c r="N25" i="72"/>
  <c r="AQ25" i="72" s="1"/>
  <c r="V25" i="72"/>
  <c r="AY25" i="72" s="1"/>
  <c r="N33" i="72"/>
  <c r="AQ33" i="72" s="1"/>
  <c r="V33" i="72"/>
  <c r="AY33" i="72" s="1"/>
  <c r="Q35" i="72"/>
  <c r="AT35" i="72" s="1"/>
  <c r="N36" i="72"/>
  <c r="AQ36" i="72" s="1"/>
  <c r="V36" i="72"/>
  <c r="AY36" i="72" s="1"/>
  <c r="M39" i="72"/>
  <c r="U39" i="72"/>
  <c r="AX39" i="72" s="1"/>
  <c r="O41" i="72"/>
  <c r="AR41" i="72" s="1"/>
  <c r="W41" i="72"/>
  <c r="Q43" i="72"/>
  <c r="AT43" i="72" s="1"/>
  <c r="N44" i="72"/>
  <c r="AQ44" i="72" s="1"/>
  <c r="V44" i="72"/>
  <c r="AY44" i="72" s="1"/>
  <c r="M47" i="72"/>
  <c r="U47" i="72"/>
  <c r="AX47" i="72" s="1"/>
  <c r="O49" i="72"/>
  <c r="AR49" i="72" s="1"/>
  <c r="W49" i="72"/>
  <c r="Q51" i="72"/>
  <c r="AT51" i="72" s="1"/>
  <c r="N52" i="72"/>
  <c r="AQ52" i="72" s="1"/>
  <c r="V52" i="72"/>
  <c r="AY52" i="72" s="1"/>
  <c r="U55" i="72"/>
  <c r="M56" i="72"/>
  <c r="W56" i="72"/>
  <c r="W57" i="72"/>
  <c r="Q17" i="73"/>
  <c r="AT17" i="73" s="1"/>
  <c r="U21" i="73"/>
  <c r="AX21" i="73" s="1"/>
  <c r="M21" i="73"/>
  <c r="AP21" i="73" s="1"/>
  <c r="T21" i="73"/>
  <c r="AW21" i="73" s="1"/>
  <c r="L21" i="73"/>
  <c r="S21" i="73"/>
  <c r="AV21" i="73" s="1"/>
  <c r="K21" i="73"/>
  <c r="R21" i="73"/>
  <c r="AU21" i="73" s="1"/>
  <c r="Q21" i="73"/>
  <c r="AT21" i="73" s="1"/>
  <c r="P21" i="73"/>
  <c r="AS21" i="73" s="1"/>
  <c r="W21" i="73"/>
  <c r="O21" i="73"/>
  <c r="AR21" i="73" s="1"/>
  <c r="Q28" i="73"/>
  <c r="AT28" i="73" s="1"/>
  <c r="Q39" i="73"/>
  <c r="AT39" i="73" s="1"/>
  <c r="P47" i="73"/>
  <c r="AS47" i="73" s="1"/>
  <c r="S49" i="73"/>
  <c r="AV49" i="73" s="1"/>
  <c r="I23" i="74"/>
  <c r="H23" i="74"/>
  <c r="G23" i="74"/>
  <c r="D142" i="75"/>
  <c r="C142" i="75" s="1"/>
  <c r="D87" i="75"/>
  <c r="C87" i="75" s="1"/>
  <c r="C32" i="75"/>
  <c r="L15" i="72"/>
  <c r="T15" i="72"/>
  <c r="AW15" i="72" s="1"/>
  <c r="N17" i="72"/>
  <c r="AQ17" i="72" s="1"/>
  <c r="L18" i="72"/>
  <c r="T18" i="72"/>
  <c r="AW18" i="72" s="1"/>
  <c r="N20" i="72"/>
  <c r="AQ20" i="72" s="1"/>
  <c r="M23" i="72"/>
  <c r="AP23" i="72" s="1"/>
  <c r="U23" i="72"/>
  <c r="AX23" i="72" s="1"/>
  <c r="O25" i="72"/>
  <c r="AR25" i="72" s="1"/>
  <c r="W25" i="72"/>
  <c r="T26" i="72"/>
  <c r="AW26" i="72" s="1"/>
  <c r="N28" i="72"/>
  <c r="AQ28" i="72" s="1"/>
  <c r="M31" i="72"/>
  <c r="AP31" i="72" s="1"/>
  <c r="U31" i="72"/>
  <c r="AX31" i="72" s="1"/>
  <c r="O33" i="72"/>
  <c r="AR33" i="72" s="1"/>
  <c r="W33" i="72"/>
  <c r="AZ33" i="72" s="1"/>
  <c r="M34" i="72"/>
  <c r="AP34" i="72" s="1"/>
  <c r="U34" i="72"/>
  <c r="AX34" i="72" s="1"/>
  <c r="R35" i="72"/>
  <c r="AU35" i="72" s="1"/>
  <c r="O36" i="72"/>
  <c r="AR36" i="72" s="1"/>
  <c r="W36" i="72"/>
  <c r="T37" i="72"/>
  <c r="AW37" i="72" s="1"/>
  <c r="N39" i="72"/>
  <c r="AQ39" i="72" s="1"/>
  <c r="P41" i="72"/>
  <c r="AS41" i="72" s="1"/>
  <c r="M42" i="72"/>
  <c r="AP42" i="72" s="1"/>
  <c r="U42" i="72"/>
  <c r="AX42" i="72" s="1"/>
  <c r="R43" i="72"/>
  <c r="AU43" i="72" s="1"/>
  <c r="O44" i="72"/>
  <c r="AR44" i="72" s="1"/>
  <c r="W44" i="72"/>
  <c r="T45" i="72"/>
  <c r="AW45" i="72" s="1"/>
  <c r="N47" i="72"/>
  <c r="AQ47" i="72" s="1"/>
  <c r="V47" i="72"/>
  <c r="AY47" i="72" s="1"/>
  <c r="P49" i="72"/>
  <c r="AS49" i="72" s="1"/>
  <c r="M50" i="72"/>
  <c r="AP50" i="72" s="1"/>
  <c r="U50" i="72"/>
  <c r="AX50" i="72" s="1"/>
  <c r="R51" i="72"/>
  <c r="AU51" i="72" s="1"/>
  <c r="O52" i="72"/>
  <c r="AR52" i="72" s="1"/>
  <c r="W52" i="72"/>
  <c r="T53" i="72"/>
  <c r="AW53" i="72" s="1"/>
  <c r="M54" i="72"/>
  <c r="W54" i="72"/>
  <c r="W55" i="72"/>
  <c r="T56" i="72"/>
  <c r="R56" i="72"/>
  <c r="N56" i="72"/>
  <c r="X56" i="72"/>
  <c r="M57" i="72"/>
  <c r="M53" i="73"/>
  <c r="AP53" i="73" s="1"/>
  <c r="M57" i="73"/>
  <c r="M55" i="73"/>
  <c r="M50" i="73"/>
  <c r="AP50" i="73" s="1"/>
  <c r="M42" i="73"/>
  <c r="AP42" i="73" s="1"/>
  <c r="M34" i="73"/>
  <c r="AP34" i="73" s="1"/>
  <c r="M31" i="73"/>
  <c r="AP31" i="73" s="1"/>
  <c r="M23" i="73"/>
  <c r="AP23" i="73" s="1"/>
  <c r="M52" i="73"/>
  <c r="AP52" i="73" s="1"/>
  <c r="M44" i="73"/>
  <c r="AP44" i="73" s="1"/>
  <c r="M36" i="73"/>
  <c r="AP36" i="73" s="1"/>
  <c r="M33" i="73"/>
  <c r="AP33" i="73" s="1"/>
  <c r="M25" i="73"/>
  <c r="AP25" i="73" s="1"/>
  <c r="M56" i="73"/>
  <c r="M54" i="73"/>
  <c r="M46" i="73"/>
  <c r="AP46" i="73" s="1"/>
  <c r="M38" i="73"/>
  <c r="AP38" i="73" s="1"/>
  <c r="M27" i="73"/>
  <c r="AP27" i="73" s="1"/>
  <c r="U53" i="73"/>
  <c r="AX53" i="73" s="1"/>
  <c r="U15" i="73"/>
  <c r="AX15" i="73" s="1"/>
  <c r="U57" i="73"/>
  <c r="U55" i="73"/>
  <c r="U50" i="73"/>
  <c r="AX50" i="73" s="1"/>
  <c r="U42" i="73"/>
  <c r="AX42" i="73" s="1"/>
  <c r="U34" i="73"/>
  <c r="AX34" i="73" s="1"/>
  <c r="U31" i="73"/>
  <c r="AX31" i="73" s="1"/>
  <c r="U23" i="73"/>
  <c r="AX23" i="73" s="1"/>
  <c r="U52" i="73"/>
  <c r="AX52" i="73" s="1"/>
  <c r="U44" i="73"/>
  <c r="AX44" i="73" s="1"/>
  <c r="U36" i="73"/>
  <c r="AX36" i="73" s="1"/>
  <c r="U33" i="73"/>
  <c r="AX33" i="73" s="1"/>
  <c r="U25" i="73"/>
  <c r="AX25" i="73" s="1"/>
  <c r="U56" i="73"/>
  <c r="U54" i="73"/>
  <c r="U46" i="73"/>
  <c r="AX46" i="73" s="1"/>
  <c r="U38" i="73"/>
  <c r="AX38" i="73" s="1"/>
  <c r="U27" i="73"/>
  <c r="AX27" i="73" s="1"/>
  <c r="U19" i="73"/>
  <c r="AX19" i="73" s="1"/>
  <c r="U16" i="73"/>
  <c r="AX16" i="73" s="1"/>
  <c r="Q20" i="73"/>
  <c r="AT20" i="73" s="1"/>
  <c r="U24" i="73"/>
  <c r="AX24" i="73" s="1"/>
  <c r="M35" i="73"/>
  <c r="AP35" i="73" s="1"/>
  <c r="I38" i="74"/>
  <c r="H38" i="74"/>
  <c r="G38" i="74"/>
  <c r="I54" i="74"/>
  <c r="H54" i="74"/>
  <c r="G54" i="74"/>
  <c r="G56" i="74"/>
  <c r="I56" i="74"/>
  <c r="H56" i="74"/>
  <c r="D164" i="75"/>
  <c r="C164" i="75" s="1"/>
  <c r="C54" i="75"/>
  <c r="D109" i="75"/>
  <c r="C109" i="75" s="1"/>
  <c r="N23" i="72"/>
  <c r="AQ23" i="72" s="1"/>
  <c r="V23" i="72"/>
  <c r="AY23" i="72" s="1"/>
  <c r="P25" i="72"/>
  <c r="AS25" i="72" s="1"/>
  <c r="M26" i="72"/>
  <c r="U26" i="72"/>
  <c r="AX26" i="72" s="1"/>
  <c r="O28" i="72"/>
  <c r="AR28" i="72" s="1"/>
  <c r="W28" i="72"/>
  <c r="N31" i="72"/>
  <c r="AQ31" i="72" s="1"/>
  <c r="V31" i="72"/>
  <c r="AY31" i="72" s="1"/>
  <c r="P33" i="72"/>
  <c r="AS33" i="72" s="1"/>
  <c r="X33" i="72"/>
  <c r="N34" i="72"/>
  <c r="AQ34" i="72" s="1"/>
  <c r="V34" i="72"/>
  <c r="AY34" i="72" s="1"/>
  <c r="S35" i="72"/>
  <c r="AV35" i="72" s="1"/>
  <c r="P36" i="72"/>
  <c r="AS36" i="72" s="1"/>
  <c r="M37" i="72"/>
  <c r="O39" i="72"/>
  <c r="AR39" i="72" s="1"/>
  <c r="W39" i="72"/>
  <c r="Q41" i="72"/>
  <c r="AT41" i="72" s="1"/>
  <c r="N42" i="72"/>
  <c r="AQ42" i="72" s="1"/>
  <c r="S43" i="72"/>
  <c r="AV43" i="72" s="1"/>
  <c r="P44" i="72"/>
  <c r="AS44" i="72" s="1"/>
  <c r="M45" i="72"/>
  <c r="U45" i="72"/>
  <c r="AX45" i="72" s="1"/>
  <c r="O47" i="72"/>
  <c r="AR47" i="72" s="1"/>
  <c r="Q49" i="72"/>
  <c r="AT49" i="72" s="1"/>
  <c r="N50" i="72"/>
  <c r="AQ50" i="72" s="1"/>
  <c r="S51" i="72"/>
  <c r="AV51" i="72" s="1"/>
  <c r="P52" i="72"/>
  <c r="AS52" i="72" s="1"/>
  <c r="M53" i="72"/>
  <c r="U53" i="72"/>
  <c r="AX53" i="72" s="1"/>
  <c r="T54" i="72"/>
  <c r="R54" i="72"/>
  <c r="N54" i="72"/>
  <c r="X54" i="72"/>
  <c r="O56" i="72"/>
  <c r="P57" i="72"/>
  <c r="O57" i="72"/>
  <c r="P27" i="73"/>
  <c r="AS27" i="73" s="1"/>
  <c r="N29" i="73"/>
  <c r="AQ29" i="73" s="1"/>
  <c r="U35" i="73"/>
  <c r="AX35" i="73" s="1"/>
  <c r="P38" i="73"/>
  <c r="AS38" i="73" s="1"/>
  <c r="N40" i="73"/>
  <c r="AQ40" i="73" s="1"/>
  <c r="U48" i="73"/>
  <c r="AX48" i="73" s="1"/>
  <c r="M48" i="73"/>
  <c r="AP48" i="73" s="1"/>
  <c r="T48" i="73"/>
  <c r="AW48" i="73" s="1"/>
  <c r="L48" i="73"/>
  <c r="S48" i="73"/>
  <c r="AV48" i="73" s="1"/>
  <c r="K48" i="73"/>
  <c r="R48" i="73"/>
  <c r="AU48" i="73" s="1"/>
  <c r="Q48" i="73"/>
  <c r="AT48" i="73" s="1"/>
  <c r="P48" i="73"/>
  <c r="AS48" i="73" s="1"/>
  <c r="W48" i="73"/>
  <c r="O48" i="73"/>
  <c r="AR48" i="73" s="1"/>
  <c r="M51" i="73"/>
  <c r="AP51" i="73" s="1"/>
  <c r="P54" i="73"/>
  <c r="P56" i="73"/>
  <c r="G16" i="74"/>
  <c r="I16" i="74"/>
  <c r="H16" i="74"/>
  <c r="Q22" i="75"/>
  <c r="U22" i="75"/>
  <c r="M22" i="75"/>
  <c r="O22" i="75"/>
  <c r="N22" i="75"/>
  <c r="W22" i="75"/>
  <c r="L22" i="75"/>
  <c r="V22" i="75"/>
  <c r="K22" i="75"/>
  <c r="T22" i="75"/>
  <c r="S22" i="75"/>
  <c r="R22" i="75"/>
  <c r="D147" i="75"/>
  <c r="C147" i="75" s="1"/>
  <c r="D92" i="75"/>
  <c r="C92" i="75" s="1"/>
  <c r="C37" i="75"/>
  <c r="S52" i="75"/>
  <c r="N15" i="72"/>
  <c r="AQ15" i="72" s="1"/>
  <c r="N18" i="72"/>
  <c r="AQ18" i="72" s="1"/>
  <c r="O23" i="72"/>
  <c r="AR23" i="72" s="1"/>
  <c r="N26" i="72"/>
  <c r="AQ26" i="72" s="1"/>
  <c r="O31" i="72"/>
  <c r="AR31" i="72" s="1"/>
  <c r="O34" i="72"/>
  <c r="AR34" i="72" s="1"/>
  <c r="N37" i="72"/>
  <c r="AQ37" i="72" s="1"/>
  <c r="O42" i="72"/>
  <c r="AR42" i="72" s="1"/>
  <c r="W42" i="72"/>
  <c r="N45" i="72"/>
  <c r="AQ45" i="72" s="1"/>
  <c r="O50" i="72"/>
  <c r="AR50" i="72" s="1"/>
  <c r="N53" i="72"/>
  <c r="AQ53" i="72" s="1"/>
  <c r="O54" i="72"/>
  <c r="P55" i="72"/>
  <c r="V29" i="73"/>
  <c r="AY29" i="73" s="1"/>
  <c r="K30" i="73"/>
  <c r="V40" i="73"/>
  <c r="AY40" i="73" s="1"/>
  <c r="K41" i="73"/>
  <c r="U51" i="73"/>
  <c r="AX51" i="73" s="1"/>
  <c r="I57" i="74"/>
  <c r="H57" i="74"/>
  <c r="G57" i="74"/>
  <c r="S30" i="75"/>
  <c r="K30" i="75"/>
  <c r="Q30" i="75"/>
  <c r="U30" i="75"/>
  <c r="M30" i="75"/>
  <c r="P30" i="75"/>
  <c r="O30" i="75"/>
  <c r="N30" i="75"/>
  <c r="W30" i="75"/>
  <c r="V30" i="75"/>
  <c r="T30" i="75"/>
  <c r="R17" i="73"/>
  <c r="AU17" i="73" s="1"/>
  <c r="R20" i="73"/>
  <c r="AU20" i="73" s="1"/>
  <c r="L22" i="73"/>
  <c r="T22" i="73"/>
  <c r="AW22" i="73" s="1"/>
  <c r="N24" i="73"/>
  <c r="AQ24" i="73" s="1"/>
  <c r="V24" i="73"/>
  <c r="AY24" i="73" s="1"/>
  <c r="P26" i="73"/>
  <c r="AS26" i="73" s="1"/>
  <c r="R28" i="73"/>
  <c r="AU28" i="73" s="1"/>
  <c r="L30" i="73"/>
  <c r="T30" i="73"/>
  <c r="AW30" i="73" s="1"/>
  <c r="Q31" i="73"/>
  <c r="AT31" i="73" s="1"/>
  <c r="N32" i="73"/>
  <c r="AQ32" i="73" s="1"/>
  <c r="V32" i="73"/>
  <c r="AY32" i="73" s="1"/>
  <c r="Q34" i="73"/>
  <c r="AT34" i="73" s="1"/>
  <c r="N35" i="73"/>
  <c r="AQ35" i="73" s="1"/>
  <c r="V35" i="73"/>
  <c r="AY35" i="73" s="1"/>
  <c r="P37" i="73"/>
  <c r="AS37" i="73" s="1"/>
  <c r="R39" i="73"/>
  <c r="AU39" i="73" s="1"/>
  <c r="L41" i="73"/>
  <c r="T41" i="73"/>
  <c r="AW41" i="73" s="1"/>
  <c r="Q42" i="73"/>
  <c r="AT42" i="73" s="1"/>
  <c r="N43" i="73"/>
  <c r="AQ43" i="73" s="1"/>
  <c r="V43" i="73"/>
  <c r="AY43" i="73" s="1"/>
  <c r="P45" i="73"/>
  <c r="AS45" i="73" s="1"/>
  <c r="R47" i="73"/>
  <c r="AU47" i="73" s="1"/>
  <c r="L49" i="73"/>
  <c r="T49" i="73"/>
  <c r="AW49" i="73" s="1"/>
  <c r="Q50" i="73"/>
  <c r="AT50" i="73" s="1"/>
  <c r="N51" i="73"/>
  <c r="AQ51" i="73" s="1"/>
  <c r="V51" i="73"/>
  <c r="AY51" i="73" s="1"/>
  <c r="P53" i="73"/>
  <c r="AS53" i="73" s="1"/>
  <c r="Q55" i="73"/>
  <c r="Q57" i="73"/>
  <c r="I19" i="74"/>
  <c r="H25" i="74"/>
  <c r="H33" i="74"/>
  <c r="H41" i="74"/>
  <c r="H49" i="74"/>
  <c r="E58" i="74"/>
  <c r="D58" i="74" s="1"/>
  <c r="N21" i="75"/>
  <c r="U23" i="75"/>
  <c r="N24" i="75"/>
  <c r="S25" i="75"/>
  <c r="K25" i="75"/>
  <c r="W25" i="75"/>
  <c r="O25" i="75"/>
  <c r="Q25" i="75"/>
  <c r="T26" i="75"/>
  <c r="W28" i="75"/>
  <c r="O28" i="75"/>
  <c r="U28" i="75"/>
  <c r="M28" i="75"/>
  <c r="Q28" i="75"/>
  <c r="R28" i="75"/>
  <c r="N31" i="75"/>
  <c r="V32" i="75"/>
  <c r="Q35" i="75"/>
  <c r="W35" i="75"/>
  <c r="O35" i="75"/>
  <c r="S35" i="75"/>
  <c r="K35" i="75"/>
  <c r="T35" i="75"/>
  <c r="N36" i="75"/>
  <c r="V37" i="75"/>
  <c r="P38" i="75"/>
  <c r="W40" i="75"/>
  <c r="O40" i="75"/>
  <c r="U40" i="75"/>
  <c r="M40" i="75"/>
  <c r="Q40" i="75"/>
  <c r="S40" i="75"/>
  <c r="N41" i="75"/>
  <c r="V42" i="75"/>
  <c r="P43" i="75"/>
  <c r="K44" i="75"/>
  <c r="U45" i="75"/>
  <c r="M45" i="75"/>
  <c r="S45" i="75"/>
  <c r="K45" i="75"/>
  <c r="W45" i="75"/>
  <c r="O45" i="75"/>
  <c r="R45" i="75"/>
  <c r="N46" i="75"/>
  <c r="D157" i="75"/>
  <c r="C157" i="75" s="1"/>
  <c r="C47" i="75"/>
  <c r="D102" i="75"/>
  <c r="C102" i="75" s="1"/>
  <c r="P48" i="75"/>
  <c r="S50" i="75"/>
  <c r="K50" i="75"/>
  <c r="Q50" i="75"/>
  <c r="U50" i="75"/>
  <c r="M50" i="75"/>
  <c r="R50" i="75"/>
  <c r="M51" i="75"/>
  <c r="D162" i="75"/>
  <c r="C162" i="75" s="1"/>
  <c r="D107" i="75"/>
  <c r="C107" i="75" s="1"/>
  <c r="C52" i="75"/>
  <c r="P53" i="75"/>
  <c r="W54" i="75"/>
  <c r="T55" i="75"/>
  <c r="P56" i="75"/>
  <c r="R96" i="75"/>
  <c r="R82" i="75"/>
  <c r="R95" i="75"/>
  <c r="R107" i="75"/>
  <c r="R111" i="75"/>
  <c r="R85" i="75"/>
  <c r="R112" i="75"/>
  <c r="D79" i="75"/>
  <c r="C79" i="75" s="1"/>
  <c r="Q80" i="75"/>
  <c r="W89" i="75"/>
  <c r="O89" i="75"/>
  <c r="U89" i="75"/>
  <c r="Z89" i="75"/>
  <c r="Q89" i="75"/>
  <c r="P89" i="75"/>
  <c r="AA89" i="75"/>
  <c r="N89" i="75"/>
  <c r="Y89" i="75"/>
  <c r="M89" i="75"/>
  <c r="X89" i="75"/>
  <c r="V89" i="75"/>
  <c r="T89" i="75"/>
  <c r="S89" i="75"/>
  <c r="Q92" i="75"/>
  <c r="V95" i="75"/>
  <c r="AA101" i="75"/>
  <c r="S101" i="75"/>
  <c r="R101" i="75"/>
  <c r="W101" i="75"/>
  <c r="N101" i="75"/>
  <c r="P101" i="75"/>
  <c r="Z101" i="75"/>
  <c r="O101" i="75"/>
  <c r="Y101" i="75"/>
  <c r="M101" i="75"/>
  <c r="X101" i="75"/>
  <c r="V101" i="75"/>
  <c r="U101" i="75"/>
  <c r="T101" i="75"/>
  <c r="N55" i="72"/>
  <c r="V55" i="72"/>
  <c r="N57" i="72"/>
  <c r="V57" i="72"/>
  <c r="T14" i="73"/>
  <c r="AW14" i="73" s="1"/>
  <c r="Q15" i="73"/>
  <c r="AT15" i="73" s="1"/>
  <c r="V16" i="73"/>
  <c r="AY16" i="73" s="1"/>
  <c r="S17" i="73"/>
  <c r="AV17" i="73" s="1"/>
  <c r="Q18" i="73"/>
  <c r="AT18" i="73" s="1"/>
  <c r="V19" i="73"/>
  <c r="AY19" i="73" s="1"/>
  <c r="S20" i="73"/>
  <c r="AV20" i="73" s="1"/>
  <c r="M22" i="73"/>
  <c r="AP22" i="73" s="1"/>
  <c r="U22" i="73"/>
  <c r="AX22" i="73" s="1"/>
  <c r="R23" i="73"/>
  <c r="AU23" i="73" s="1"/>
  <c r="O24" i="73"/>
  <c r="AR24" i="73" s="1"/>
  <c r="W24" i="73"/>
  <c r="L25" i="73"/>
  <c r="T25" i="73"/>
  <c r="AW25" i="73" s="1"/>
  <c r="Q26" i="73"/>
  <c r="AT26" i="73" s="1"/>
  <c r="N27" i="73"/>
  <c r="AQ27" i="73" s="1"/>
  <c r="V27" i="73"/>
  <c r="AY27" i="73" s="1"/>
  <c r="K28" i="73"/>
  <c r="S28" i="73"/>
  <c r="AV28" i="73" s="1"/>
  <c r="M30" i="73"/>
  <c r="AP30" i="73" s="1"/>
  <c r="U30" i="73"/>
  <c r="AX30" i="73" s="1"/>
  <c r="R31" i="73"/>
  <c r="AU31" i="73" s="1"/>
  <c r="O32" i="73"/>
  <c r="AR32" i="73" s="1"/>
  <c r="W32" i="73"/>
  <c r="L33" i="73"/>
  <c r="T33" i="73"/>
  <c r="AW33" i="73" s="1"/>
  <c r="R34" i="73"/>
  <c r="AU34" i="73" s="1"/>
  <c r="O35" i="73"/>
  <c r="AR35" i="73" s="1"/>
  <c r="W35" i="73"/>
  <c r="L36" i="73"/>
  <c r="T36" i="73"/>
  <c r="AW36" i="73" s="1"/>
  <c r="Q37" i="73"/>
  <c r="AT37" i="73" s="1"/>
  <c r="N38" i="73"/>
  <c r="AQ38" i="73" s="1"/>
  <c r="V38" i="73"/>
  <c r="AY38" i="73" s="1"/>
  <c r="K39" i="73"/>
  <c r="S39" i="73"/>
  <c r="AV39" i="73" s="1"/>
  <c r="M41" i="73"/>
  <c r="AP41" i="73" s="1"/>
  <c r="U41" i="73"/>
  <c r="AX41" i="73" s="1"/>
  <c r="R42" i="73"/>
  <c r="AU42" i="73" s="1"/>
  <c r="O43" i="73"/>
  <c r="AR43" i="73" s="1"/>
  <c r="W43" i="73"/>
  <c r="L44" i="73"/>
  <c r="T44" i="73"/>
  <c r="AW44" i="73" s="1"/>
  <c r="Q45" i="73"/>
  <c r="AT45" i="73" s="1"/>
  <c r="N46" i="73"/>
  <c r="AQ46" i="73" s="1"/>
  <c r="V46" i="73"/>
  <c r="AY46" i="73" s="1"/>
  <c r="K47" i="73"/>
  <c r="S47" i="73"/>
  <c r="AV47" i="73" s="1"/>
  <c r="M49" i="73"/>
  <c r="AP49" i="73" s="1"/>
  <c r="U49" i="73"/>
  <c r="AX49" i="73" s="1"/>
  <c r="R50" i="73"/>
  <c r="AU50" i="73" s="1"/>
  <c r="O51" i="73"/>
  <c r="AR51" i="73" s="1"/>
  <c r="W51" i="73"/>
  <c r="L52" i="73"/>
  <c r="T52" i="73"/>
  <c r="AW52" i="73" s="1"/>
  <c r="Q53" i="73"/>
  <c r="AT53" i="73" s="1"/>
  <c r="N54" i="73"/>
  <c r="V54" i="73"/>
  <c r="R55" i="73"/>
  <c r="N56" i="73"/>
  <c r="V56" i="73"/>
  <c r="R57" i="73"/>
  <c r="H17" i="74"/>
  <c r="I18" i="74"/>
  <c r="H24" i="74"/>
  <c r="G31" i="74"/>
  <c r="H32" i="74"/>
  <c r="G39" i="74"/>
  <c r="H40" i="74"/>
  <c r="G47" i="74"/>
  <c r="H48" i="74"/>
  <c r="E55" i="74"/>
  <c r="D55" i="74" s="1"/>
  <c r="E56" i="74"/>
  <c r="D56" i="74" s="1"/>
  <c r="D77" i="75"/>
  <c r="C77" i="75" s="1"/>
  <c r="D132" i="75"/>
  <c r="C132" i="75" s="1"/>
  <c r="L23" i="75"/>
  <c r="V23" i="75"/>
  <c r="D135" i="75"/>
  <c r="C135" i="75" s="1"/>
  <c r="D80" i="75"/>
  <c r="C80" i="75" s="1"/>
  <c r="C25" i="75"/>
  <c r="R25" i="75"/>
  <c r="K26" i="75"/>
  <c r="V26" i="75"/>
  <c r="N27" i="75"/>
  <c r="S28" i="75"/>
  <c r="N29" i="75"/>
  <c r="D85" i="75"/>
  <c r="C85" i="75" s="1"/>
  <c r="D140" i="75"/>
  <c r="C140" i="75" s="1"/>
  <c r="K32" i="75"/>
  <c r="U33" i="75"/>
  <c r="M33" i="75"/>
  <c r="S33" i="75"/>
  <c r="K33" i="75"/>
  <c r="W33" i="75"/>
  <c r="O33" i="75"/>
  <c r="R33" i="75"/>
  <c r="N34" i="75"/>
  <c r="D90" i="75"/>
  <c r="C90" i="75" s="1"/>
  <c r="D145" i="75"/>
  <c r="C145" i="75" s="1"/>
  <c r="C35" i="75"/>
  <c r="U35" i="75"/>
  <c r="P36" i="75"/>
  <c r="S38" i="75"/>
  <c r="K38" i="75"/>
  <c r="Q38" i="75"/>
  <c r="U38" i="75"/>
  <c r="M38" i="75"/>
  <c r="R38" i="75"/>
  <c r="M39" i="75"/>
  <c r="D150" i="75"/>
  <c r="C150" i="75" s="1"/>
  <c r="C40" i="75"/>
  <c r="D95" i="75"/>
  <c r="C95" i="75" s="1"/>
  <c r="T40" i="75"/>
  <c r="P41" i="75"/>
  <c r="W42" i="75"/>
  <c r="R43" i="75"/>
  <c r="D155" i="75"/>
  <c r="C155" i="75" s="1"/>
  <c r="D100" i="75"/>
  <c r="C100" i="75" s="1"/>
  <c r="C45" i="75"/>
  <c r="T45" i="75"/>
  <c r="O46" i="75"/>
  <c r="R48" i="75"/>
  <c r="T50" i="75"/>
  <c r="N51" i="75"/>
  <c r="Q55" i="75"/>
  <c r="P55" i="75"/>
  <c r="W55" i="75"/>
  <c r="O55" i="75"/>
  <c r="S55" i="75"/>
  <c r="K55" i="75"/>
  <c r="U55" i="75"/>
  <c r="R56" i="75"/>
  <c r="N57" i="75"/>
  <c r="B74" i="75"/>
  <c r="Y78" i="75"/>
  <c r="U78" i="75"/>
  <c r="Z78" i="75"/>
  <c r="P78" i="75"/>
  <c r="X78" i="75"/>
  <c r="O78" i="75"/>
  <c r="W78" i="75"/>
  <c r="N78" i="75"/>
  <c r="V78" i="75"/>
  <c r="M78" i="75"/>
  <c r="S78" i="75"/>
  <c r="K78" i="75"/>
  <c r="R78" i="75"/>
  <c r="Q97" i="75"/>
  <c r="R152" i="75"/>
  <c r="P152" i="75"/>
  <c r="V152" i="75"/>
  <c r="N152" i="75"/>
  <c r="S152" i="75"/>
  <c r="Q152" i="75"/>
  <c r="O152" i="75"/>
  <c r="M152" i="75"/>
  <c r="W152" i="75"/>
  <c r="U152" i="75"/>
  <c r="T152" i="75"/>
  <c r="N22" i="73"/>
  <c r="AQ22" i="73" s="1"/>
  <c r="V22" i="73"/>
  <c r="AY22" i="73" s="1"/>
  <c r="O27" i="73"/>
  <c r="AR27" i="73" s="1"/>
  <c r="W27" i="73"/>
  <c r="L28" i="73"/>
  <c r="T28" i="73"/>
  <c r="AW28" i="73" s="1"/>
  <c r="N30" i="73"/>
  <c r="AQ30" i="73" s="1"/>
  <c r="V30" i="73"/>
  <c r="AY30" i="73" s="1"/>
  <c r="R37" i="73"/>
  <c r="AU37" i="73" s="1"/>
  <c r="O38" i="73"/>
  <c r="AR38" i="73" s="1"/>
  <c r="W38" i="73"/>
  <c r="L39" i="73"/>
  <c r="T39" i="73"/>
  <c r="AW39" i="73" s="1"/>
  <c r="N41" i="73"/>
  <c r="AQ41" i="73" s="1"/>
  <c r="V41" i="73"/>
  <c r="AY41" i="73" s="1"/>
  <c r="R45" i="73"/>
  <c r="AU45" i="73" s="1"/>
  <c r="O46" i="73"/>
  <c r="AR46" i="73" s="1"/>
  <c r="W46" i="73"/>
  <c r="L47" i="73"/>
  <c r="T47" i="73"/>
  <c r="AW47" i="73" s="1"/>
  <c r="N49" i="73"/>
  <c r="AQ49" i="73" s="1"/>
  <c r="V49" i="73"/>
  <c r="AY49" i="73" s="1"/>
  <c r="R53" i="73"/>
  <c r="AU53" i="73" s="1"/>
  <c r="O54" i="73"/>
  <c r="W54" i="73"/>
  <c r="O56" i="73"/>
  <c r="W56" i="73"/>
  <c r="S21" i="75"/>
  <c r="K21" i="75"/>
  <c r="W21" i="75"/>
  <c r="O21" i="75"/>
  <c r="Q21" i="75"/>
  <c r="M23" i="75"/>
  <c r="U24" i="75"/>
  <c r="M24" i="75"/>
  <c r="Q24" i="75"/>
  <c r="P24" i="75"/>
  <c r="T25" i="75"/>
  <c r="W26" i="75"/>
  <c r="D138" i="75"/>
  <c r="C138" i="75" s="1"/>
  <c r="D83" i="75"/>
  <c r="C83" i="75" s="1"/>
  <c r="T28" i="75"/>
  <c r="P29" i="75"/>
  <c r="R31" i="75"/>
  <c r="D143" i="75"/>
  <c r="C143" i="75" s="1"/>
  <c r="C33" i="75"/>
  <c r="T33" i="75"/>
  <c r="O34" i="75"/>
  <c r="V35" i="75"/>
  <c r="T38" i="75"/>
  <c r="N39" i="75"/>
  <c r="V40" i="75"/>
  <c r="Q43" i="75"/>
  <c r="W43" i="75"/>
  <c r="O43" i="75"/>
  <c r="S43" i="75"/>
  <c r="K43" i="75"/>
  <c r="T43" i="75"/>
  <c r="N44" i="75"/>
  <c r="V45" i="75"/>
  <c r="W48" i="75"/>
  <c r="O48" i="75"/>
  <c r="U48" i="75"/>
  <c r="M48" i="75"/>
  <c r="Q48" i="75"/>
  <c r="S48" i="75"/>
  <c r="N49" i="75"/>
  <c r="D160" i="75"/>
  <c r="C160" i="75" s="1"/>
  <c r="D105" i="75"/>
  <c r="C105" i="75" s="1"/>
  <c r="V50" i="75"/>
  <c r="P51" i="75"/>
  <c r="U53" i="75"/>
  <c r="M53" i="75"/>
  <c r="S53" i="75"/>
  <c r="K53" i="75"/>
  <c r="W53" i="75"/>
  <c r="O53" i="75"/>
  <c r="R53" i="75"/>
  <c r="N54" i="75"/>
  <c r="V55" i="75"/>
  <c r="S56" i="75"/>
  <c r="P57" i="75"/>
  <c r="B81" i="75"/>
  <c r="R91" i="75"/>
  <c r="D97" i="75"/>
  <c r="C97" i="75" s="1"/>
  <c r="U103" i="75"/>
  <c r="M103" i="75"/>
  <c r="Z103" i="75"/>
  <c r="Q103" i="75"/>
  <c r="V103" i="75"/>
  <c r="AA103" i="75"/>
  <c r="O103" i="75"/>
  <c r="Y103" i="75"/>
  <c r="N103" i="75"/>
  <c r="X103" i="75"/>
  <c r="W103" i="75"/>
  <c r="T103" i="75"/>
  <c r="S103" i="75"/>
  <c r="R103" i="75"/>
  <c r="S15" i="73"/>
  <c r="AV15" i="73" s="1"/>
  <c r="U17" i="73"/>
  <c r="AX17" i="73" s="1"/>
  <c r="S18" i="73"/>
  <c r="AV18" i="73" s="1"/>
  <c r="U20" i="73"/>
  <c r="AX20" i="73" s="1"/>
  <c r="O22" i="73"/>
  <c r="AR22" i="73" s="1"/>
  <c r="W22" i="73"/>
  <c r="L23" i="73"/>
  <c r="T23" i="73"/>
  <c r="AW23" i="73" s="1"/>
  <c r="Q24" i="73"/>
  <c r="AT24" i="73" s="1"/>
  <c r="N25" i="73"/>
  <c r="AQ25" i="73" s="1"/>
  <c r="K26" i="73"/>
  <c r="S26" i="73"/>
  <c r="AV26" i="73" s="1"/>
  <c r="M28" i="73"/>
  <c r="AP28" i="73" s="1"/>
  <c r="U28" i="73"/>
  <c r="AX28" i="73" s="1"/>
  <c r="O30" i="73"/>
  <c r="AR30" i="73" s="1"/>
  <c r="W30" i="73"/>
  <c r="L31" i="73"/>
  <c r="T31" i="73"/>
  <c r="AW31" i="73" s="1"/>
  <c r="Q32" i="73"/>
  <c r="AT32" i="73" s="1"/>
  <c r="N33" i="73"/>
  <c r="AQ33" i="73" s="1"/>
  <c r="L34" i="73"/>
  <c r="T34" i="73"/>
  <c r="AW34" i="73" s="1"/>
  <c r="Q35" i="73"/>
  <c r="AT35" i="73" s="1"/>
  <c r="N36" i="73"/>
  <c r="AQ36" i="73" s="1"/>
  <c r="K37" i="73"/>
  <c r="S37" i="73"/>
  <c r="AV37" i="73" s="1"/>
  <c r="M39" i="73"/>
  <c r="AP39" i="73" s="1"/>
  <c r="U39" i="73"/>
  <c r="AX39" i="73" s="1"/>
  <c r="O41" i="73"/>
  <c r="AR41" i="73" s="1"/>
  <c r="W41" i="73"/>
  <c r="L42" i="73"/>
  <c r="T42" i="73"/>
  <c r="AW42" i="73" s="1"/>
  <c r="Q43" i="73"/>
  <c r="AT43" i="73" s="1"/>
  <c r="N44" i="73"/>
  <c r="AQ44" i="73" s="1"/>
  <c r="K45" i="73"/>
  <c r="S45" i="73"/>
  <c r="AV45" i="73" s="1"/>
  <c r="M47" i="73"/>
  <c r="AP47" i="73" s="1"/>
  <c r="U47" i="73"/>
  <c r="AX47" i="73" s="1"/>
  <c r="O49" i="73"/>
  <c r="AR49" i="73" s="1"/>
  <c r="W49" i="73"/>
  <c r="L50" i="73"/>
  <c r="T50" i="73"/>
  <c r="AW50" i="73" s="1"/>
  <c r="Q51" i="73"/>
  <c r="AT51" i="73" s="1"/>
  <c r="N52" i="73"/>
  <c r="AQ52" i="73" s="1"/>
  <c r="K53" i="73"/>
  <c r="S53" i="73"/>
  <c r="AV53" i="73" s="1"/>
  <c r="L55" i="73"/>
  <c r="Y55" i="73" s="1"/>
  <c r="T55" i="73"/>
  <c r="L57" i="73"/>
  <c r="Y57" i="73" s="1"/>
  <c r="T57" i="73"/>
  <c r="H15" i="74"/>
  <c r="G22" i="74"/>
  <c r="G29" i="74"/>
  <c r="G37" i="74"/>
  <c r="G45" i="74"/>
  <c r="G53" i="74"/>
  <c r="D131" i="75"/>
  <c r="C131" i="75" s="1"/>
  <c r="D76" i="75"/>
  <c r="C76" i="75" s="1"/>
  <c r="C21" i="75"/>
  <c r="R21" i="75"/>
  <c r="C24" i="75"/>
  <c r="R24" i="75"/>
  <c r="U25" i="75"/>
  <c r="W27" i="75"/>
  <c r="O27" i="75"/>
  <c r="S27" i="75"/>
  <c r="K27" i="75"/>
  <c r="Q27" i="75"/>
  <c r="V28" i="75"/>
  <c r="Q31" i="75"/>
  <c r="W31" i="75"/>
  <c r="O31" i="75"/>
  <c r="S31" i="75"/>
  <c r="K31" i="75"/>
  <c r="T31" i="75"/>
  <c r="N32" i="75"/>
  <c r="V33" i="75"/>
  <c r="W36" i="75"/>
  <c r="O36" i="75"/>
  <c r="U36" i="75"/>
  <c r="M36" i="75"/>
  <c r="Q36" i="75"/>
  <c r="S36" i="75"/>
  <c r="N37" i="75"/>
  <c r="D148" i="75"/>
  <c r="C148" i="75" s="1"/>
  <c r="D93" i="75"/>
  <c r="C93" i="75" s="1"/>
  <c r="V38" i="75"/>
  <c r="P39" i="75"/>
  <c r="K40" i="75"/>
  <c r="U41" i="75"/>
  <c r="M41" i="75"/>
  <c r="S41" i="75"/>
  <c r="K41" i="75"/>
  <c r="W41" i="75"/>
  <c r="O41" i="75"/>
  <c r="R41" i="75"/>
  <c r="N42" i="75"/>
  <c r="D98" i="75"/>
  <c r="C98" i="75" s="1"/>
  <c r="D153" i="75"/>
  <c r="C153" i="75" s="1"/>
  <c r="C43" i="75"/>
  <c r="U43" i="75"/>
  <c r="P44" i="75"/>
  <c r="S46" i="75"/>
  <c r="K46" i="75"/>
  <c r="Q46" i="75"/>
  <c r="U46" i="75"/>
  <c r="M46" i="75"/>
  <c r="R46" i="75"/>
  <c r="D158" i="75"/>
  <c r="C158" i="75" s="1"/>
  <c r="D103" i="75"/>
  <c r="C103" i="75" s="1"/>
  <c r="C48" i="75"/>
  <c r="T48" i="75"/>
  <c r="P49" i="75"/>
  <c r="W50" i="75"/>
  <c r="D163" i="75"/>
  <c r="C163" i="75" s="1"/>
  <c r="D108" i="75"/>
  <c r="C108" i="75" s="1"/>
  <c r="C53" i="75"/>
  <c r="T53" i="75"/>
  <c r="O54" i="75"/>
  <c r="W56" i="75"/>
  <c r="T56" i="75"/>
  <c r="V76" i="75"/>
  <c r="N76" i="75"/>
  <c r="U76" i="75"/>
  <c r="M76" i="75"/>
  <c r="T76" i="75"/>
  <c r="L76" i="75"/>
  <c r="S76" i="75"/>
  <c r="K76" i="75"/>
  <c r="Q76" i="75"/>
  <c r="P76" i="75"/>
  <c r="L78" i="75"/>
  <c r="K81" i="75"/>
  <c r="V86" i="75"/>
  <c r="D88" i="75"/>
  <c r="C88" i="75" s="1"/>
  <c r="R89" i="75"/>
  <c r="Z100" i="75"/>
  <c r="R100" i="75"/>
  <c r="W100" i="75"/>
  <c r="N100" i="75"/>
  <c r="S100" i="75"/>
  <c r="P100" i="75"/>
  <c r="AA100" i="75"/>
  <c r="O100" i="75"/>
  <c r="Y100" i="75"/>
  <c r="M100" i="75"/>
  <c r="X100" i="75"/>
  <c r="V100" i="75"/>
  <c r="U100" i="75"/>
  <c r="T100" i="75"/>
  <c r="V17" i="73"/>
  <c r="AY17" i="73" s="1"/>
  <c r="V20" i="73"/>
  <c r="AY20" i="73" s="1"/>
  <c r="P22" i="73"/>
  <c r="AS22" i="73" s="1"/>
  <c r="R24" i="73"/>
  <c r="AU24" i="73" s="1"/>
  <c r="O25" i="73"/>
  <c r="AR25" i="73" s="1"/>
  <c r="W25" i="73"/>
  <c r="L26" i="73"/>
  <c r="T26" i="73"/>
  <c r="AW26" i="73" s="1"/>
  <c r="N28" i="73"/>
  <c r="AQ28" i="73" s="1"/>
  <c r="V28" i="73"/>
  <c r="AY28" i="73" s="1"/>
  <c r="P30" i="73"/>
  <c r="AS30" i="73" s="1"/>
  <c r="R32" i="73"/>
  <c r="AU32" i="73" s="1"/>
  <c r="O33" i="73"/>
  <c r="AR33" i="73" s="1"/>
  <c r="W33" i="73"/>
  <c r="AZ33" i="73" s="1"/>
  <c r="R35" i="73"/>
  <c r="AU35" i="73" s="1"/>
  <c r="O36" i="73"/>
  <c r="AR36" i="73" s="1"/>
  <c r="W36" i="73"/>
  <c r="L37" i="73"/>
  <c r="T37" i="73"/>
  <c r="AW37" i="73" s="1"/>
  <c r="N39" i="73"/>
  <c r="AQ39" i="73" s="1"/>
  <c r="V39" i="73"/>
  <c r="AY39" i="73" s="1"/>
  <c r="P41" i="73"/>
  <c r="AS41" i="73" s="1"/>
  <c r="R43" i="73"/>
  <c r="AU43" i="73" s="1"/>
  <c r="O44" i="73"/>
  <c r="AR44" i="73" s="1"/>
  <c r="W44" i="73"/>
  <c r="L45" i="73"/>
  <c r="T45" i="73"/>
  <c r="AW45" i="73" s="1"/>
  <c r="N47" i="73"/>
  <c r="AQ47" i="73" s="1"/>
  <c r="V47" i="73"/>
  <c r="AY47" i="73" s="1"/>
  <c r="P49" i="73"/>
  <c r="AS49" i="73" s="1"/>
  <c r="R51" i="73"/>
  <c r="AU51" i="73" s="1"/>
  <c r="O52" i="73"/>
  <c r="AR52" i="73" s="1"/>
  <c r="W52" i="73"/>
  <c r="L53" i="73"/>
  <c r="T53" i="73"/>
  <c r="AW53" i="73" s="1"/>
  <c r="T21" i="75"/>
  <c r="P23" i="75"/>
  <c r="S24" i="75"/>
  <c r="V25" i="75"/>
  <c r="O26" i="75"/>
  <c r="D137" i="75"/>
  <c r="C137" i="75" s="1"/>
  <c r="C27" i="75"/>
  <c r="R27" i="75"/>
  <c r="K28" i="75"/>
  <c r="U29" i="75"/>
  <c r="M29" i="75"/>
  <c r="S29" i="75"/>
  <c r="K29" i="75"/>
  <c r="W29" i="75"/>
  <c r="O29" i="75"/>
  <c r="R29" i="75"/>
  <c r="D141" i="75"/>
  <c r="C141" i="75" s="1"/>
  <c r="D86" i="75"/>
  <c r="C86" i="75" s="1"/>
  <c r="C31" i="75"/>
  <c r="P32" i="75"/>
  <c r="S34" i="75"/>
  <c r="K34" i="75"/>
  <c r="Q34" i="75"/>
  <c r="U34" i="75"/>
  <c r="M34" i="75"/>
  <c r="R34" i="75"/>
  <c r="D146" i="75"/>
  <c r="C146" i="75" s="1"/>
  <c r="C36" i="75"/>
  <c r="T36" i="75"/>
  <c r="P37" i="75"/>
  <c r="W38" i="75"/>
  <c r="D151" i="75"/>
  <c r="C151" i="75" s="1"/>
  <c r="D96" i="75"/>
  <c r="C96" i="75" s="1"/>
  <c r="C41" i="75"/>
  <c r="T41" i="75"/>
  <c r="O42" i="75"/>
  <c r="V43" i="75"/>
  <c r="T46" i="75"/>
  <c r="V48" i="75"/>
  <c r="Q51" i="75"/>
  <c r="W51" i="75"/>
  <c r="O51" i="75"/>
  <c r="S51" i="75"/>
  <c r="K51" i="75"/>
  <c r="T51" i="75"/>
  <c r="V53" i="75"/>
  <c r="D166" i="75"/>
  <c r="C166" i="75" s="1"/>
  <c r="C56" i="75"/>
  <c r="D111" i="75"/>
  <c r="C111" i="75" s="1"/>
  <c r="U57" i="75"/>
  <c r="M57" i="75"/>
  <c r="T57" i="75"/>
  <c r="S57" i="75"/>
  <c r="K57" i="75"/>
  <c r="W57" i="75"/>
  <c r="O57" i="75"/>
  <c r="R57" i="75"/>
  <c r="N91" i="75"/>
  <c r="N82" i="75"/>
  <c r="N95" i="75"/>
  <c r="N92" i="75"/>
  <c r="N107" i="75"/>
  <c r="V111" i="75"/>
  <c r="V98" i="75"/>
  <c r="V88" i="75"/>
  <c r="V97" i="75"/>
  <c r="V82" i="75"/>
  <c r="Q78" i="75"/>
  <c r="K84" i="75"/>
  <c r="B84" i="75"/>
  <c r="R98" i="75"/>
  <c r="N111" i="75"/>
  <c r="B132" i="75"/>
  <c r="P166" i="75"/>
  <c r="O17" i="73"/>
  <c r="AR17" i="73" s="1"/>
  <c r="W17" i="73"/>
  <c r="U18" i="73"/>
  <c r="AX18" i="73" s="1"/>
  <c r="R19" i="73"/>
  <c r="AU19" i="73" s="1"/>
  <c r="O20" i="73"/>
  <c r="AR20" i="73" s="1"/>
  <c r="W20" i="73"/>
  <c r="Q22" i="73"/>
  <c r="AT22" i="73" s="1"/>
  <c r="N23" i="73"/>
  <c r="AQ23" i="73" s="1"/>
  <c r="K24" i="73"/>
  <c r="M26" i="73"/>
  <c r="AP26" i="73" s="1"/>
  <c r="U26" i="73"/>
  <c r="AX26" i="73" s="1"/>
  <c r="R27" i="73"/>
  <c r="AU27" i="73" s="1"/>
  <c r="O28" i="73"/>
  <c r="AR28" i="73" s="1"/>
  <c r="W28" i="73"/>
  <c r="Q30" i="73"/>
  <c r="AT30" i="73" s="1"/>
  <c r="N31" i="73"/>
  <c r="AQ31" i="73" s="1"/>
  <c r="V31" i="73"/>
  <c r="AY31" i="73" s="1"/>
  <c r="K32" i="73"/>
  <c r="S32" i="73"/>
  <c r="AV32" i="73" s="1"/>
  <c r="N34" i="73"/>
  <c r="AQ34" i="73" s="1"/>
  <c r="K35" i="73"/>
  <c r="M37" i="73"/>
  <c r="AP37" i="73" s="1"/>
  <c r="U37" i="73"/>
  <c r="AX37" i="73" s="1"/>
  <c r="R38" i="73"/>
  <c r="AU38" i="73" s="1"/>
  <c r="O39" i="73"/>
  <c r="AR39" i="73" s="1"/>
  <c r="W39" i="73"/>
  <c r="Q41" i="73"/>
  <c r="AT41" i="73" s="1"/>
  <c r="N42" i="73"/>
  <c r="AQ42" i="73" s="1"/>
  <c r="V42" i="73"/>
  <c r="AY42" i="73" s="1"/>
  <c r="K43" i="73"/>
  <c r="S43" i="73"/>
  <c r="AV43" i="73" s="1"/>
  <c r="M45" i="73"/>
  <c r="AP45" i="73" s="1"/>
  <c r="U45" i="73"/>
  <c r="AX45" i="73" s="1"/>
  <c r="R46" i="73"/>
  <c r="AU46" i="73" s="1"/>
  <c r="O47" i="73"/>
  <c r="AR47" i="73" s="1"/>
  <c r="W47" i="73"/>
  <c r="Q49" i="73"/>
  <c r="AT49" i="73" s="1"/>
  <c r="N50" i="73"/>
  <c r="AQ50" i="73" s="1"/>
  <c r="V50" i="73"/>
  <c r="AY50" i="73" s="1"/>
  <c r="R54" i="73"/>
  <c r="N55" i="73"/>
  <c r="V55" i="73"/>
  <c r="N57" i="73"/>
  <c r="H21" i="74"/>
  <c r="G27" i="74"/>
  <c r="G35" i="74"/>
  <c r="G43" i="74"/>
  <c r="G51" i="74"/>
  <c r="W23" i="75"/>
  <c r="O23" i="75"/>
  <c r="S23" i="75"/>
  <c r="K23" i="75"/>
  <c r="Q23" i="75"/>
  <c r="T24" i="75"/>
  <c r="M25" i="75"/>
  <c r="Q26" i="75"/>
  <c r="U26" i="75"/>
  <c r="M26" i="75"/>
  <c r="P26" i="75"/>
  <c r="T27" i="75"/>
  <c r="D139" i="75"/>
  <c r="C139" i="75" s="1"/>
  <c r="D84" i="75"/>
  <c r="C84" i="75" s="1"/>
  <c r="C29" i="75"/>
  <c r="T29" i="75"/>
  <c r="V31" i="75"/>
  <c r="T34" i="75"/>
  <c r="N35" i="75"/>
  <c r="V36" i="75"/>
  <c r="Q39" i="75"/>
  <c r="W39" i="75"/>
  <c r="O39" i="75"/>
  <c r="S39" i="75"/>
  <c r="K39" i="75"/>
  <c r="T39" i="75"/>
  <c r="N40" i="75"/>
  <c r="V41" i="75"/>
  <c r="W44" i="75"/>
  <c r="O44" i="75"/>
  <c r="U44" i="75"/>
  <c r="M44" i="75"/>
  <c r="Q44" i="75"/>
  <c r="S44" i="75"/>
  <c r="N45" i="75"/>
  <c r="D156" i="75"/>
  <c r="C156" i="75" s="1"/>
  <c r="D101" i="75"/>
  <c r="C101" i="75" s="1"/>
  <c r="V46" i="75"/>
  <c r="K48" i="75"/>
  <c r="U49" i="75"/>
  <c r="M49" i="75"/>
  <c r="S49" i="75"/>
  <c r="K49" i="75"/>
  <c r="W49" i="75"/>
  <c r="O49" i="75"/>
  <c r="R49" i="75"/>
  <c r="N50" i="75"/>
  <c r="D106" i="75"/>
  <c r="C106" i="75" s="1"/>
  <c r="D161" i="75"/>
  <c r="C161" i="75" s="1"/>
  <c r="C51" i="75"/>
  <c r="S54" i="75"/>
  <c r="K54" i="75"/>
  <c r="Q54" i="75"/>
  <c r="U54" i="75"/>
  <c r="M54" i="75"/>
  <c r="R54" i="75"/>
  <c r="D167" i="75"/>
  <c r="C167" i="75" s="1"/>
  <c r="D112" i="75"/>
  <c r="C112" i="75" s="1"/>
  <c r="C57" i="75"/>
  <c r="V57" i="75"/>
  <c r="X90" i="75"/>
  <c r="P90" i="75"/>
  <c r="Z90" i="75"/>
  <c r="Q90" i="75"/>
  <c r="U90" i="75"/>
  <c r="R90" i="75"/>
  <c r="O90" i="75"/>
  <c r="AA90" i="75"/>
  <c r="N90" i="75"/>
  <c r="Y90" i="75"/>
  <c r="M90" i="75"/>
  <c r="W90" i="75"/>
  <c r="V90" i="75"/>
  <c r="T90" i="75"/>
  <c r="T102" i="75"/>
  <c r="W102" i="75"/>
  <c r="N102" i="75"/>
  <c r="AA102" i="75"/>
  <c r="R102" i="75"/>
  <c r="P102" i="75"/>
  <c r="Z102" i="75"/>
  <c r="O102" i="75"/>
  <c r="Y102" i="75"/>
  <c r="M102" i="75"/>
  <c r="X102" i="75"/>
  <c r="V102" i="75"/>
  <c r="U102" i="75"/>
  <c r="S102" i="75"/>
  <c r="O23" i="73"/>
  <c r="AR23" i="73" s="1"/>
  <c r="W23" i="73"/>
  <c r="L24" i="73"/>
  <c r="T24" i="73"/>
  <c r="AW24" i="73" s="1"/>
  <c r="N26" i="73"/>
  <c r="AQ26" i="73" s="1"/>
  <c r="O31" i="73"/>
  <c r="AR31" i="73" s="1"/>
  <c r="L32" i="73"/>
  <c r="O34" i="73"/>
  <c r="AR34" i="73" s="1"/>
  <c r="W34" i="73"/>
  <c r="L35" i="73"/>
  <c r="N37" i="73"/>
  <c r="AQ37" i="73" s="1"/>
  <c r="O42" i="73"/>
  <c r="AR42" i="73" s="1"/>
  <c r="L43" i="73"/>
  <c r="N45" i="73"/>
  <c r="AQ45" i="73" s="1"/>
  <c r="O50" i="73"/>
  <c r="AR50" i="73" s="1"/>
  <c r="N53" i="73"/>
  <c r="AQ53" i="73" s="1"/>
  <c r="O55" i="73"/>
  <c r="I21" i="74"/>
  <c r="H27" i="74"/>
  <c r="H35" i="74"/>
  <c r="H43" i="74"/>
  <c r="H51" i="74"/>
  <c r="V21" i="75"/>
  <c r="D133" i="75"/>
  <c r="C133" i="75" s="1"/>
  <c r="D78" i="75"/>
  <c r="C78" i="75" s="1"/>
  <c r="C23" i="75"/>
  <c r="R23" i="75"/>
  <c r="K24" i="75"/>
  <c r="V24" i="75"/>
  <c r="N25" i="75"/>
  <c r="N28" i="75"/>
  <c r="V29" i="75"/>
  <c r="W32" i="75"/>
  <c r="O32" i="75"/>
  <c r="U32" i="75"/>
  <c r="M32" i="75"/>
  <c r="Q32" i="75"/>
  <c r="S32" i="75"/>
  <c r="N33" i="75"/>
  <c r="D144" i="75"/>
  <c r="C144" i="75" s="1"/>
  <c r="D89" i="75"/>
  <c r="C89" i="75" s="1"/>
  <c r="V34" i="75"/>
  <c r="P35" i="75"/>
  <c r="K36" i="75"/>
  <c r="U37" i="75"/>
  <c r="M37" i="75"/>
  <c r="S37" i="75"/>
  <c r="K37" i="75"/>
  <c r="W37" i="75"/>
  <c r="O37" i="75"/>
  <c r="R37" i="75"/>
  <c r="N38" i="75"/>
  <c r="D149" i="75"/>
  <c r="C149" i="75" s="1"/>
  <c r="D94" i="75"/>
  <c r="C94" i="75" s="1"/>
  <c r="C39" i="75"/>
  <c r="P40" i="75"/>
  <c r="S42" i="75"/>
  <c r="K42" i="75"/>
  <c r="Q42" i="75"/>
  <c r="U42" i="75"/>
  <c r="M42" i="75"/>
  <c r="R42" i="75"/>
  <c r="D154" i="75"/>
  <c r="C154" i="75" s="1"/>
  <c r="C44" i="75"/>
  <c r="D99" i="75"/>
  <c r="C99" i="75" s="1"/>
  <c r="T44" i="75"/>
  <c r="D159" i="75"/>
  <c r="C159" i="75" s="1"/>
  <c r="D104" i="75"/>
  <c r="C104" i="75" s="1"/>
  <c r="C49" i="75"/>
  <c r="T49" i="75"/>
  <c r="AA80" i="75"/>
  <c r="S80" i="75"/>
  <c r="W80" i="75"/>
  <c r="O80" i="75"/>
  <c r="V80" i="75"/>
  <c r="U80" i="75"/>
  <c r="T80" i="75"/>
  <c r="R80" i="75"/>
  <c r="Z80" i="75"/>
  <c r="P80" i="75"/>
  <c r="Y80" i="75"/>
  <c r="N80" i="75"/>
  <c r="R88" i="75"/>
  <c r="Y99" i="75"/>
  <c r="Q99" i="75"/>
  <c r="S99" i="75"/>
  <c r="W99" i="75"/>
  <c r="N99" i="75"/>
  <c r="P99" i="75"/>
  <c r="AA99" i="75"/>
  <c r="O99" i="75"/>
  <c r="Z99" i="75"/>
  <c r="M99" i="75"/>
  <c r="X99" i="75"/>
  <c r="V99" i="75"/>
  <c r="U99" i="75"/>
  <c r="T99" i="75"/>
  <c r="Q100" i="75"/>
  <c r="P103" i="75"/>
  <c r="Q56" i="75"/>
  <c r="M77" i="75"/>
  <c r="U77" i="75"/>
  <c r="B79" i="75"/>
  <c r="T82" i="75"/>
  <c r="O85" i="75"/>
  <c r="W86" i="75"/>
  <c r="T88" i="75"/>
  <c r="V91" i="75"/>
  <c r="W92" i="75"/>
  <c r="W95" i="75"/>
  <c r="U96" i="75"/>
  <c r="U97" i="75"/>
  <c r="T98" i="75"/>
  <c r="AA107" i="75"/>
  <c r="S108" i="75"/>
  <c r="S111" i="75"/>
  <c r="P111" i="75"/>
  <c r="S155" i="75"/>
  <c r="N77" i="75"/>
  <c r="V77" i="75"/>
  <c r="X85" i="75"/>
  <c r="P85" i="75"/>
  <c r="T85" i="75"/>
  <c r="Q85" i="75"/>
  <c r="AA85" i="75"/>
  <c r="N86" i="75"/>
  <c r="U88" i="75"/>
  <c r="W91" i="75"/>
  <c r="M92" i="75"/>
  <c r="X92" i="75"/>
  <c r="W96" i="75"/>
  <c r="U98" i="75"/>
  <c r="X106" i="75"/>
  <c r="P106" i="75"/>
  <c r="U106" i="75"/>
  <c r="AA106" i="75"/>
  <c r="R106" i="75"/>
  <c r="Z106" i="75"/>
  <c r="Q106" i="75"/>
  <c r="V106" i="75"/>
  <c r="T112" i="75"/>
  <c r="T143" i="75"/>
  <c r="R143" i="75"/>
  <c r="P143" i="75"/>
  <c r="S143" i="75"/>
  <c r="Q143" i="75"/>
  <c r="O143" i="75"/>
  <c r="N143" i="75"/>
  <c r="M143" i="75"/>
  <c r="W143" i="75"/>
  <c r="V143" i="75"/>
  <c r="P145" i="75"/>
  <c r="V145" i="75"/>
  <c r="N145" i="75"/>
  <c r="T145" i="75"/>
  <c r="Q145" i="75"/>
  <c r="O145" i="75"/>
  <c r="M145" i="75"/>
  <c r="W145" i="75"/>
  <c r="U145" i="75"/>
  <c r="S145" i="75"/>
  <c r="S148" i="75"/>
  <c r="P158" i="75"/>
  <c r="S160" i="75"/>
  <c r="R161" i="75"/>
  <c r="Z86" i="75"/>
  <c r="M91" i="75"/>
  <c r="X91" i="75"/>
  <c r="K94" i="75"/>
  <c r="Z95" i="75"/>
  <c r="W106" i="75"/>
  <c r="O107" i="75"/>
  <c r="Z108" i="75"/>
  <c r="R108" i="75"/>
  <c r="U108" i="75"/>
  <c r="AA108" i="75"/>
  <c r="Q108" i="75"/>
  <c r="Y108" i="75"/>
  <c r="P108" i="75"/>
  <c r="V108" i="75"/>
  <c r="K110" i="75"/>
  <c r="K133" i="75"/>
  <c r="S162" i="75"/>
  <c r="S146" i="75"/>
  <c r="S158" i="75"/>
  <c r="S142" i="75"/>
  <c r="S166" i="75"/>
  <c r="S149" i="75"/>
  <c r="S133" i="75"/>
  <c r="S154" i="75"/>
  <c r="S138" i="75"/>
  <c r="R136" i="75"/>
  <c r="P136" i="75"/>
  <c r="V136" i="75"/>
  <c r="N136" i="75"/>
  <c r="S136" i="75"/>
  <c r="Q136" i="75"/>
  <c r="O136" i="75"/>
  <c r="M136" i="75"/>
  <c r="W136" i="75"/>
  <c r="U136" i="75"/>
  <c r="O149" i="75"/>
  <c r="S163" i="75"/>
  <c r="P165" i="75"/>
  <c r="V165" i="75"/>
  <c r="N165" i="75"/>
  <c r="T165" i="75"/>
  <c r="S165" i="75"/>
  <c r="Q165" i="75"/>
  <c r="O165" i="75"/>
  <c r="M165" i="75"/>
  <c r="W165" i="75"/>
  <c r="U165" i="75"/>
  <c r="P77" i="75"/>
  <c r="X82" i="75"/>
  <c r="Y86" i="75"/>
  <c r="Q86" i="75"/>
  <c r="U86" i="75"/>
  <c r="M86" i="75"/>
  <c r="P86" i="75"/>
  <c r="AA86" i="75"/>
  <c r="M88" i="75"/>
  <c r="K93" i="75"/>
  <c r="B94" i="75"/>
  <c r="P95" i="75"/>
  <c r="M96" i="75"/>
  <c r="Z96" i="75"/>
  <c r="M97" i="75"/>
  <c r="Z97" i="75"/>
  <c r="Y106" i="75"/>
  <c r="W108" i="75"/>
  <c r="B110" i="75"/>
  <c r="W112" i="75"/>
  <c r="S139" i="75"/>
  <c r="S151" i="75"/>
  <c r="M56" i="75"/>
  <c r="U56" i="75"/>
  <c r="Q77" i="75"/>
  <c r="K79" i="75"/>
  <c r="O82" i="75"/>
  <c r="U85" i="75"/>
  <c r="R86" i="75"/>
  <c r="B87" i="75"/>
  <c r="N88" i="75"/>
  <c r="Y88" i="75"/>
  <c r="O91" i="75"/>
  <c r="B93" i="75"/>
  <c r="S96" i="75"/>
  <c r="P96" i="75"/>
  <c r="AA96" i="75"/>
  <c r="P97" i="75"/>
  <c r="AA97" i="75"/>
  <c r="M98" i="75"/>
  <c r="Z98" i="75"/>
  <c r="B105" i="75"/>
  <c r="M106" i="75"/>
  <c r="K108" i="75"/>
  <c r="X108" i="75"/>
  <c r="Z112" i="75"/>
  <c r="O133" i="75"/>
  <c r="S134" i="75"/>
  <c r="P142" i="75"/>
  <c r="S144" i="75"/>
  <c r="R145" i="75"/>
  <c r="S156" i="75"/>
  <c r="D110" i="75"/>
  <c r="C110" i="75" s="1"/>
  <c r="D165" i="75"/>
  <c r="C165" i="75" s="1"/>
  <c r="N56" i="75"/>
  <c r="V56" i="75"/>
  <c r="R77" i="75"/>
  <c r="U82" i="75"/>
  <c r="M82" i="75"/>
  <c r="Y82" i="75"/>
  <c r="Q82" i="75"/>
  <c r="P82" i="75"/>
  <c r="AA82" i="75"/>
  <c r="V85" i="75"/>
  <c r="S86" i="75"/>
  <c r="P88" i="75"/>
  <c r="Z92" i="75"/>
  <c r="R92" i="75"/>
  <c r="Y92" i="75"/>
  <c r="P92" i="75"/>
  <c r="U92" i="75"/>
  <c r="S92" i="75"/>
  <c r="O98" i="75"/>
  <c r="N106" i="75"/>
  <c r="Y107" i="75"/>
  <c r="Q107" i="75"/>
  <c r="Z107" i="75"/>
  <c r="P107" i="75"/>
  <c r="V107" i="75"/>
  <c r="M107" i="75"/>
  <c r="U107" i="75"/>
  <c r="T107" i="75"/>
  <c r="M108" i="75"/>
  <c r="K109" i="75"/>
  <c r="T136" i="75"/>
  <c r="S147" i="75"/>
  <c r="O150" i="75"/>
  <c r="R165" i="75"/>
  <c r="O56" i="75"/>
  <c r="K77" i="75"/>
  <c r="B83" i="75"/>
  <c r="M85" i="75"/>
  <c r="W85" i="75"/>
  <c r="T86" i="75"/>
  <c r="AA88" i="75"/>
  <c r="S88" i="75"/>
  <c r="W88" i="75"/>
  <c r="O88" i="75"/>
  <c r="Q88" i="75"/>
  <c r="Y91" i="75"/>
  <c r="Q91" i="75"/>
  <c r="U91" i="75"/>
  <c r="Z91" i="75"/>
  <c r="P91" i="75"/>
  <c r="S91" i="75"/>
  <c r="T92" i="75"/>
  <c r="T95" i="75"/>
  <c r="W97" i="75"/>
  <c r="O97" i="75"/>
  <c r="S97" i="75"/>
  <c r="X97" i="75"/>
  <c r="N97" i="75"/>
  <c r="R97" i="75"/>
  <c r="X98" i="75"/>
  <c r="P98" i="75"/>
  <c r="W98" i="75"/>
  <c r="N98" i="75"/>
  <c r="S98" i="75"/>
  <c r="Q98" i="75"/>
  <c r="O106" i="75"/>
  <c r="W107" i="75"/>
  <c r="N108" i="75"/>
  <c r="B109" i="75"/>
  <c r="O163" i="75"/>
  <c r="O156" i="75"/>
  <c r="O154" i="75"/>
  <c r="O147" i="75"/>
  <c r="O140" i="75"/>
  <c r="O138" i="75"/>
  <c r="O162" i="75"/>
  <c r="O146" i="75"/>
  <c r="S135" i="75"/>
  <c r="T159" i="75"/>
  <c r="R159" i="75"/>
  <c r="P159" i="75"/>
  <c r="S159" i="75"/>
  <c r="Q159" i="75"/>
  <c r="O159" i="75"/>
  <c r="N159" i="75"/>
  <c r="M159" i="75"/>
  <c r="W159" i="75"/>
  <c r="V159" i="75"/>
  <c r="P161" i="75"/>
  <c r="V161" i="75"/>
  <c r="N161" i="75"/>
  <c r="T161" i="75"/>
  <c r="Q161" i="75"/>
  <c r="O161" i="75"/>
  <c r="M161" i="75"/>
  <c r="W161" i="75"/>
  <c r="U161" i="75"/>
  <c r="S161" i="75"/>
  <c r="T164" i="75"/>
  <c r="U95" i="75"/>
  <c r="M95" i="75"/>
  <c r="O95" i="75"/>
  <c r="X95" i="75"/>
  <c r="V112" i="75"/>
  <c r="N112" i="75"/>
  <c r="O112" i="75"/>
  <c r="X112" i="75"/>
  <c r="U134" i="75"/>
  <c r="O135" i="75"/>
  <c r="M137" i="75"/>
  <c r="V138" i="75"/>
  <c r="N138" i="75"/>
  <c r="T138" i="75"/>
  <c r="R138" i="75"/>
  <c r="Q138" i="75"/>
  <c r="M139" i="75"/>
  <c r="W141" i="75"/>
  <c r="O142" i="75"/>
  <c r="O144" i="75"/>
  <c r="U150" i="75"/>
  <c r="O151" i="75"/>
  <c r="M153" i="75"/>
  <c r="V154" i="75"/>
  <c r="N154" i="75"/>
  <c r="T154" i="75"/>
  <c r="R154" i="75"/>
  <c r="Q154" i="75"/>
  <c r="M155" i="75"/>
  <c r="W157" i="75"/>
  <c r="O158" i="75"/>
  <c r="O160" i="75"/>
  <c r="O166" i="75"/>
  <c r="O15" i="76"/>
  <c r="R34" i="76"/>
  <c r="B131" i="75"/>
  <c r="P133" i="75"/>
  <c r="V133" i="75"/>
  <c r="N133" i="75"/>
  <c r="T133" i="75"/>
  <c r="L133" i="75"/>
  <c r="R133" i="75"/>
  <c r="W134" i="75"/>
  <c r="Q135" i="75"/>
  <c r="O137" i="75"/>
  <c r="N139" i="75"/>
  <c r="R140" i="75"/>
  <c r="P140" i="75"/>
  <c r="V140" i="75"/>
  <c r="N140" i="75"/>
  <c r="T140" i="75"/>
  <c r="Q144" i="75"/>
  <c r="T147" i="75"/>
  <c r="R147" i="75"/>
  <c r="P147" i="75"/>
  <c r="U147" i="75"/>
  <c r="M148" i="75"/>
  <c r="P149" i="75"/>
  <c r="V149" i="75"/>
  <c r="N149" i="75"/>
  <c r="T149" i="75"/>
  <c r="R149" i="75"/>
  <c r="W150" i="75"/>
  <c r="Q151" i="75"/>
  <c r="O153" i="75"/>
  <c r="N155" i="75"/>
  <c r="R156" i="75"/>
  <c r="P156" i="75"/>
  <c r="V156" i="75"/>
  <c r="N156" i="75"/>
  <c r="T156" i="75"/>
  <c r="Q160" i="75"/>
  <c r="T163" i="75"/>
  <c r="R163" i="75"/>
  <c r="P163" i="75"/>
  <c r="U163" i="75"/>
  <c r="O164" i="75"/>
  <c r="O13" i="76"/>
  <c r="P15" i="76"/>
  <c r="R46" i="76"/>
  <c r="X85" i="76"/>
  <c r="P85" i="76"/>
  <c r="V85" i="76"/>
  <c r="N85" i="76"/>
  <c r="AA85" i="76"/>
  <c r="S85" i="76"/>
  <c r="Q85" i="76"/>
  <c r="AB85" i="76"/>
  <c r="O85" i="76"/>
  <c r="Z85" i="76"/>
  <c r="Y85" i="76"/>
  <c r="W85" i="76"/>
  <c r="U85" i="76"/>
  <c r="T85" i="76"/>
  <c r="W142" i="76"/>
  <c r="O142" i="76"/>
  <c r="V142" i="76"/>
  <c r="N142" i="76"/>
  <c r="U142" i="76"/>
  <c r="T142" i="76"/>
  <c r="S142" i="76"/>
  <c r="R142" i="76"/>
  <c r="Q142" i="76"/>
  <c r="X142" i="76"/>
  <c r="P142" i="76"/>
  <c r="O139" i="75"/>
  <c r="M141" i="75"/>
  <c r="V142" i="75"/>
  <c r="N142" i="75"/>
  <c r="T142" i="75"/>
  <c r="R142" i="75"/>
  <c r="Q142" i="75"/>
  <c r="V147" i="75"/>
  <c r="O148" i="75"/>
  <c r="O155" i="75"/>
  <c r="M157" i="75"/>
  <c r="V158" i="75"/>
  <c r="N158" i="75"/>
  <c r="T158" i="75"/>
  <c r="R158" i="75"/>
  <c r="Q158" i="75"/>
  <c r="Q164" i="75"/>
  <c r="Q51" i="76"/>
  <c r="Q50" i="76"/>
  <c r="Q47" i="76"/>
  <c r="Q46" i="76"/>
  <c r="Q42" i="76"/>
  <c r="Q38" i="76"/>
  <c r="Q34" i="76"/>
  <c r="Q30" i="76"/>
  <c r="Q26" i="76"/>
  <c r="Q54" i="76"/>
  <c r="Q44" i="76"/>
  <c r="Q40" i="76"/>
  <c r="Q36" i="76"/>
  <c r="Q32" i="76"/>
  <c r="Q28" i="76"/>
  <c r="Q24" i="76"/>
  <c r="Q20" i="76"/>
  <c r="S13" i="76"/>
  <c r="Q14" i="76"/>
  <c r="Q16" i="76"/>
  <c r="R37" i="76"/>
  <c r="T135" i="75"/>
  <c r="R135" i="75"/>
  <c r="P135" i="75"/>
  <c r="U135" i="75"/>
  <c r="P137" i="75"/>
  <c r="V137" i="75"/>
  <c r="N137" i="75"/>
  <c r="T137" i="75"/>
  <c r="R137" i="75"/>
  <c r="W138" i="75"/>
  <c r="Q139" i="75"/>
  <c r="W140" i="75"/>
  <c r="O141" i="75"/>
  <c r="R144" i="75"/>
  <c r="P144" i="75"/>
  <c r="V144" i="75"/>
  <c r="N144" i="75"/>
  <c r="T144" i="75"/>
  <c r="W147" i="75"/>
  <c r="Q148" i="75"/>
  <c r="M150" i="75"/>
  <c r="T151" i="75"/>
  <c r="R151" i="75"/>
  <c r="P151" i="75"/>
  <c r="U151" i="75"/>
  <c r="P153" i="75"/>
  <c r="V153" i="75"/>
  <c r="N153" i="75"/>
  <c r="T153" i="75"/>
  <c r="R153" i="75"/>
  <c r="W154" i="75"/>
  <c r="Q155" i="75"/>
  <c r="W156" i="75"/>
  <c r="O157" i="75"/>
  <c r="R160" i="75"/>
  <c r="P160" i="75"/>
  <c r="V160" i="75"/>
  <c r="N160" i="75"/>
  <c r="T160" i="75"/>
  <c r="W163" i="75"/>
  <c r="S164" i="75"/>
  <c r="V166" i="75"/>
  <c r="N166" i="75"/>
  <c r="T166" i="75"/>
  <c r="R166" i="75"/>
  <c r="Q166" i="75"/>
  <c r="U166" i="75"/>
  <c r="R54" i="76"/>
  <c r="R53" i="76"/>
  <c r="R52" i="76"/>
  <c r="R49" i="76"/>
  <c r="R48" i="76"/>
  <c r="R56" i="76"/>
  <c r="R44" i="76"/>
  <c r="R40" i="76"/>
  <c r="R57" i="76"/>
  <c r="T13" i="76"/>
  <c r="R14" i="76"/>
  <c r="W15" i="76"/>
  <c r="U16" i="76"/>
  <c r="U20" i="76"/>
  <c r="R42" i="76"/>
  <c r="D157" i="76"/>
  <c r="C157" i="76" s="1"/>
  <c r="D102" i="76"/>
  <c r="C102" i="76" s="1"/>
  <c r="C47" i="76"/>
  <c r="L82" i="76"/>
  <c r="B82" i="76"/>
  <c r="S95" i="75"/>
  <c r="V96" i="75"/>
  <c r="N96" i="75"/>
  <c r="O96" i="75"/>
  <c r="X96" i="75"/>
  <c r="U111" i="75"/>
  <c r="M111" i="75"/>
  <c r="O111" i="75"/>
  <c r="X111" i="75"/>
  <c r="S112" i="75"/>
  <c r="W133" i="75"/>
  <c r="V135" i="75"/>
  <c r="S137" i="75"/>
  <c r="U142" i="75"/>
  <c r="U144" i="75"/>
  <c r="V146" i="75"/>
  <c r="N146" i="75"/>
  <c r="T146" i="75"/>
  <c r="R146" i="75"/>
  <c r="Q146" i="75"/>
  <c r="M147" i="75"/>
  <c r="W149" i="75"/>
  <c r="V151" i="75"/>
  <c r="S153" i="75"/>
  <c r="U158" i="75"/>
  <c r="U160" i="75"/>
  <c r="V162" i="75"/>
  <c r="N162" i="75"/>
  <c r="T162" i="75"/>
  <c r="R162" i="75"/>
  <c r="Q162" i="75"/>
  <c r="M163" i="75"/>
  <c r="W166" i="75"/>
  <c r="U14" i="76"/>
  <c r="R26" i="76"/>
  <c r="R33" i="76"/>
  <c r="R45" i="76"/>
  <c r="R50" i="76"/>
  <c r="U107" i="76"/>
  <c r="U71" i="76"/>
  <c r="U80" i="76"/>
  <c r="U96" i="76"/>
  <c r="U109" i="76"/>
  <c r="U104" i="76"/>
  <c r="B68" i="76"/>
  <c r="B102" i="76"/>
  <c r="L102" i="76"/>
  <c r="W135" i="75"/>
  <c r="T139" i="75"/>
  <c r="R139" i="75"/>
  <c r="P139" i="75"/>
  <c r="U139" i="75"/>
  <c r="P141" i="75"/>
  <c r="V141" i="75"/>
  <c r="N141" i="75"/>
  <c r="T141" i="75"/>
  <c r="R141" i="75"/>
  <c r="W142" i="75"/>
  <c r="W144" i="75"/>
  <c r="N147" i="75"/>
  <c r="R148" i="75"/>
  <c r="P148" i="75"/>
  <c r="V148" i="75"/>
  <c r="N148" i="75"/>
  <c r="T148" i="75"/>
  <c r="W151" i="75"/>
  <c r="T155" i="75"/>
  <c r="R155" i="75"/>
  <c r="P155" i="75"/>
  <c r="U155" i="75"/>
  <c r="P157" i="75"/>
  <c r="V157" i="75"/>
  <c r="N157" i="75"/>
  <c r="T157" i="75"/>
  <c r="R157" i="75"/>
  <c r="W160" i="75"/>
  <c r="R164" i="75"/>
  <c r="P164" i="75"/>
  <c r="V164" i="75"/>
  <c r="N164" i="75"/>
  <c r="U164" i="75"/>
  <c r="M164" i="75"/>
  <c r="W164" i="75"/>
  <c r="K167" i="75"/>
  <c r="B167" i="75"/>
  <c r="V15" i="76"/>
  <c r="U15" i="76"/>
  <c r="T15" i="76"/>
  <c r="R15" i="76"/>
  <c r="Q15" i="76"/>
  <c r="R17" i="76"/>
  <c r="R21" i="76"/>
  <c r="B84" i="76"/>
  <c r="L84" i="76"/>
  <c r="L97" i="76"/>
  <c r="B97" i="76"/>
  <c r="V134" i="75"/>
  <c r="N134" i="75"/>
  <c r="T134" i="75"/>
  <c r="R134" i="75"/>
  <c r="Q134" i="75"/>
  <c r="M135" i="75"/>
  <c r="W137" i="75"/>
  <c r="V139" i="75"/>
  <c r="S141" i="75"/>
  <c r="U148" i="75"/>
  <c r="V150" i="75"/>
  <c r="N150" i="75"/>
  <c r="T150" i="75"/>
  <c r="R150" i="75"/>
  <c r="Q150" i="75"/>
  <c r="M151" i="75"/>
  <c r="W153" i="75"/>
  <c r="V155" i="75"/>
  <c r="S157" i="75"/>
  <c r="U44" i="76"/>
  <c r="U40" i="76"/>
  <c r="U36" i="76"/>
  <c r="U32" i="76"/>
  <c r="U28" i="76"/>
  <c r="U57" i="76"/>
  <c r="U42" i="76"/>
  <c r="U38" i="76"/>
  <c r="U34" i="76"/>
  <c r="U30" i="76"/>
  <c r="U26" i="76"/>
  <c r="U22" i="76"/>
  <c r="U18" i="76"/>
  <c r="U53" i="76"/>
  <c r="U52" i="76"/>
  <c r="U51" i="76"/>
  <c r="U50" i="76"/>
  <c r="U49" i="76"/>
  <c r="U48" i="76"/>
  <c r="U47" i="76"/>
  <c r="U46" i="76"/>
  <c r="U54" i="76"/>
  <c r="R13" i="76"/>
  <c r="Q13" i="76"/>
  <c r="X13" i="76"/>
  <c r="P13" i="76"/>
  <c r="V13" i="76"/>
  <c r="U13" i="76"/>
  <c r="Q18" i="76"/>
  <c r="Q22" i="76"/>
  <c r="R29" i="76"/>
  <c r="R38" i="76"/>
  <c r="D161" i="76"/>
  <c r="C161" i="76" s="1"/>
  <c r="D106" i="76"/>
  <c r="C106" i="76" s="1"/>
  <c r="C51" i="76"/>
  <c r="S14" i="76"/>
  <c r="O16" i="76"/>
  <c r="W16" i="76"/>
  <c r="U17" i="76"/>
  <c r="S18" i="76"/>
  <c r="O20" i="76"/>
  <c r="W20" i="76"/>
  <c r="U21" i="76"/>
  <c r="S22" i="76"/>
  <c r="O24" i="76"/>
  <c r="W24" i="76"/>
  <c r="U25" i="76"/>
  <c r="S26" i="76"/>
  <c r="Q27" i="76"/>
  <c r="O28" i="76"/>
  <c r="W28" i="76"/>
  <c r="U29" i="76"/>
  <c r="S30" i="76"/>
  <c r="Q31" i="76"/>
  <c r="O32" i="76"/>
  <c r="W32" i="76"/>
  <c r="U33" i="76"/>
  <c r="S34" i="76"/>
  <c r="Q35" i="76"/>
  <c r="O36" i="76"/>
  <c r="W36" i="76"/>
  <c r="U37" i="76"/>
  <c r="S38" i="76"/>
  <c r="Q39" i="76"/>
  <c r="O40" i="76"/>
  <c r="W40" i="76"/>
  <c r="U41" i="76"/>
  <c r="S42" i="76"/>
  <c r="D153" i="76"/>
  <c r="C153" i="76" s="1"/>
  <c r="D98" i="76"/>
  <c r="C98" i="76" s="1"/>
  <c r="Q43" i="76"/>
  <c r="O44" i="76"/>
  <c r="W44" i="76"/>
  <c r="U45" i="76"/>
  <c r="T53" i="76"/>
  <c r="W55" i="76"/>
  <c r="V57" i="76"/>
  <c r="N57" i="76"/>
  <c r="Q57" i="76"/>
  <c r="P57" i="76"/>
  <c r="X71" i="76"/>
  <c r="O79" i="76"/>
  <c r="AB79" i="76"/>
  <c r="O80" i="76"/>
  <c r="D85" i="76"/>
  <c r="C85" i="76" s="1"/>
  <c r="L87" i="76"/>
  <c r="B94" i="76"/>
  <c r="L94" i="76"/>
  <c r="P96" i="76"/>
  <c r="D97" i="76"/>
  <c r="C97" i="76" s="1"/>
  <c r="O103" i="76"/>
  <c r="R104" i="76"/>
  <c r="X107" i="76"/>
  <c r="R109" i="76"/>
  <c r="T124" i="76"/>
  <c r="T139" i="76"/>
  <c r="S148" i="76"/>
  <c r="R148" i="76"/>
  <c r="Q148" i="76"/>
  <c r="X148" i="76"/>
  <c r="P148" i="76"/>
  <c r="W148" i="76"/>
  <c r="O148" i="76"/>
  <c r="V148" i="76"/>
  <c r="N148" i="76"/>
  <c r="U148" i="76"/>
  <c r="T153" i="76"/>
  <c r="T161" i="76"/>
  <c r="T167" i="76"/>
  <c r="T14" i="76"/>
  <c r="P16" i="76"/>
  <c r="X16" i="76"/>
  <c r="V17" i="76"/>
  <c r="T18" i="76"/>
  <c r="P20" i="76"/>
  <c r="X20" i="76"/>
  <c r="V21" i="76"/>
  <c r="T22" i="76"/>
  <c r="C24" i="76"/>
  <c r="P24" i="76"/>
  <c r="X24" i="76"/>
  <c r="N25" i="76"/>
  <c r="V25" i="76"/>
  <c r="T26" i="76"/>
  <c r="R27" i="76"/>
  <c r="N29" i="76"/>
  <c r="V29" i="76"/>
  <c r="T30" i="76"/>
  <c r="R31" i="76"/>
  <c r="C32" i="76"/>
  <c r="N33" i="76"/>
  <c r="V33" i="76"/>
  <c r="T34" i="76"/>
  <c r="R35" i="76"/>
  <c r="N37" i="76"/>
  <c r="V37" i="76"/>
  <c r="T38" i="76"/>
  <c r="R39" i="76"/>
  <c r="P40" i="76"/>
  <c r="X40" i="76"/>
  <c r="N41" i="76"/>
  <c r="V41" i="76"/>
  <c r="T42" i="76"/>
  <c r="R43" i="76"/>
  <c r="P44" i="76"/>
  <c r="X44" i="76"/>
  <c r="N45" i="76"/>
  <c r="V45" i="76"/>
  <c r="V54" i="76"/>
  <c r="N55" i="76"/>
  <c r="X55" i="76"/>
  <c r="O56" i="76"/>
  <c r="Q79" i="76"/>
  <c r="P80" i="76"/>
  <c r="L81" i="76"/>
  <c r="B81" i="76"/>
  <c r="D82" i="76"/>
  <c r="C82" i="76" s="1"/>
  <c r="D84" i="76"/>
  <c r="C84" i="76" s="1"/>
  <c r="V91" i="76"/>
  <c r="N91" i="76"/>
  <c r="AB91" i="76"/>
  <c r="T91" i="76"/>
  <c r="Z91" i="76"/>
  <c r="R91" i="76"/>
  <c r="Y91" i="76"/>
  <c r="Q91" i="76"/>
  <c r="U91" i="76"/>
  <c r="O93" i="76"/>
  <c r="O95" i="76"/>
  <c r="R96" i="76"/>
  <c r="AA104" i="76"/>
  <c r="W107" i="76"/>
  <c r="AA107" i="76"/>
  <c r="W126" i="76"/>
  <c r="W131" i="76"/>
  <c r="S136" i="76"/>
  <c r="R136" i="76"/>
  <c r="Q136" i="76"/>
  <c r="X136" i="76"/>
  <c r="P136" i="76"/>
  <c r="W136" i="76"/>
  <c r="O136" i="76"/>
  <c r="V136" i="76"/>
  <c r="N136" i="76"/>
  <c r="U136" i="76"/>
  <c r="Q141" i="76"/>
  <c r="X141" i="76"/>
  <c r="P141" i="76"/>
  <c r="W141" i="76"/>
  <c r="O141" i="76"/>
  <c r="V141" i="76"/>
  <c r="N141" i="76"/>
  <c r="U141" i="76"/>
  <c r="T141" i="76"/>
  <c r="S141" i="76"/>
  <c r="R34" i="77"/>
  <c r="Q34" i="77"/>
  <c r="X34" i="77"/>
  <c r="P34" i="77"/>
  <c r="V34" i="77"/>
  <c r="N34" i="77"/>
  <c r="T34" i="77"/>
  <c r="U34" i="77"/>
  <c r="S34" i="77"/>
  <c r="O34" i="77"/>
  <c r="O17" i="76"/>
  <c r="W17" i="76"/>
  <c r="O21" i="76"/>
  <c r="W21" i="76"/>
  <c r="O25" i="76"/>
  <c r="W25" i="76"/>
  <c r="S27" i="76"/>
  <c r="D138" i="76"/>
  <c r="C138" i="76" s="1"/>
  <c r="D83" i="76"/>
  <c r="C83" i="76" s="1"/>
  <c r="O29" i="76"/>
  <c r="W29" i="76"/>
  <c r="S31" i="76"/>
  <c r="O33" i="76"/>
  <c r="W33" i="76"/>
  <c r="S35" i="76"/>
  <c r="D146" i="76"/>
  <c r="C146" i="76" s="1"/>
  <c r="D91" i="76"/>
  <c r="C91" i="76" s="1"/>
  <c r="O37" i="76"/>
  <c r="W37" i="76"/>
  <c r="S39" i="76"/>
  <c r="O41" i="76"/>
  <c r="W41" i="76"/>
  <c r="S43" i="76"/>
  <c r="D154" i="76"/>
  <c r="C154" i="76" s="1"/>
  <c r="D99" i="76"/>
  <c r="C99" i="76" s="1"/>
  <c r="O45" i="76"/>
  <c r="W45" i="76"/>
  <c r="V46" i="76"/>
  <c r="V47" i="76"/>
  <c r="V48" i="76"/>
  <c r="W49" i="76"/>
  <c r="V50" i="76"/>
  <c r="V51" i="76"/>
  <c r="V52" i="76"/>
  <c r="X54" i="76"/>
  <c r="X56" i="76"/>
  <c r="P56" i="76"/>
  <c r="S56" i="76"/>
  <c r="Q56" i="76"/>
  <c r="S57" i="76"/>
  <c r="AA80" i="76"/>
  <c r="S80" i="76"/>
  <c r="Y80" i="76"/>
  <c r="Q80" i="76"/>
  <c r="V80" i="76"/>
  <c r="N80" i="76"/>
  <c r="R80" i="76"/>
  <c r="B90" i="76"/>
  <c r="W91" i="76"/>
  <c r="AA96" i="76"/>
  <c r="T96" i="76"/>
  <c r="X104" i="76"/>
  <c r="O106" i="76"/>
  <c r="Z109" i="76"/>
  <c r="W138" i="76"/>
  <c r="O138" i="76"/>
  <c r="V138" i="76"/>
  <c r="N138" i="76"/>
  <c r="U138" i="76"/>
  <c r="T138" i="76"/>
  <c r="S138" i="76"/>
  <c r="R138" i="76"/>
  <c r="Q138" i="76"/>
  <c r="D141" i="76"/>
  <c r="C141" i="76" s="1"/>
  <c r="T148" i="76"/>
  <c r="Q57" i="77"/>
  <c r="Q53" i="77"/>
  <c r="Q49" i="77"/>
  <c r="Q45" i="77"/>
  <c r="Q47" i="77"/>
  <c r="Q37" i="77"/>
  <c r="Q36" i="77"/>
  <c r="Q27" i="77"/>
  <c r="Q39" i="77"/>
  <c r="Q35" i="77"/>
  <c r="Q41" i="77"/>
  <c r="Q33" i="77"/>
  <c r="Q26" i="77"/>
  <c r="Q43" i="77"/>
  <c r="Q32" i="77"/>
  <c r="Q31" i="77"/>
  <c r="Q25" i="77"/>
  <c r="Q55" i="77"/>
  <c r="Q29" i="77"/>
  <c r="V14" i="76"/>
  <c r="R16" i="76"/>
  <c r="P17" i="76"/>
  <c r="X17" i="76"/>
  <c r="V18" i="76"/>
  <c r="R20" i="76"/>
  <c r="P21" i="76"/>
  <c r="X21" i="76"/>
  <c r="V22" i="76"/>
  <c r="R24" i="76"/>
  <c r="P25" i="76"/>
  <c r="X25" i="76"/>
  <c r="N26" i="76"/>
  <c r="V26" i="76"/>
  <c r="T27" i="76"/>
  <c r="R28" i="76"/>
  <c r="C29" i="76"/>
  <c r="P29" i="76"/>
  <c r="X29" i="76"/>
  <c r="N30" i="76"/>
  <c r="V30" i="76"/>
  <c r="T31" i="76"/>
  <c r="R32" i="76"/>
  <c r="P33" i="76"/>
  <c r="X33" i="76"/>
  <c r="N34" i="76"/>
  <c r="V34" i="76"/>
  <c r="T35" i="76"/>
  <c r="R36" i="76"/>
  <c r="C37" i="76"/>
  <c r="P37" i="76"/>
  <c r="X37" i="76"/>
  <c r="N38" i="76"/>
  <c r="V38" i="76"/>
  <c r="T39" i="76"/>
  <c r="P41" i="76"/>
  <c r="X41" i="76"/>
  <c r="N42" i="76"/>
  <c r="V42" i="76"/>
  <c r="T43" i="76"/>
  <c r="P45" i="76"/>
  <c r="X45" i="76"/>
  <c r="N46" i="76"/>
  <c r="W46" i="76"/>
  <c r="N47" i="76"/>
  <c r="W47" i="76"/>
  <c r="N48" i="76"/>
  <c r="W48" i="76"/>
  <c r="O49" i="76"/>
  <c r="X49" i="76"/>
  <c r="N50" i="76"/>
  <c r="W50" i="76"/>
  <c r="N51" i="76"/>
  <c r="W51" i="76"/>
  <c r="N52" i="76"/>
  <c r="W52" i="76"/>
  <c r="O53" i="76"/>
  <c r="X53" i="76"/>
  <c r="R55" i="76"/>
  <c r="U55" i="76"/>
  <c r="P55" i="76"/>
  <c r="C56" i="76"/>
  <c r="D111" i="76"/>
  <c r="C111" i="76" s="1"/>
  <c r="D166" i="76"/>
  <c r="C166" i="76" s="1"/>
  <c r="T57" i="76"/>
  <c r="V71" i="76"/>
  <c r="Q71" i="76"/>
  <c r="R71" i="76"/>
  <c r="Z79" i="76"/>
  <c r="R79" i="76"/>
  <c r="X79" i="76"/>
  <c r="P79" i="76"/>
  <c r="U79" i="76"/>
  <c r="T79" i="76"/>
  <c r="T80" i="76"/>
  <c r="D81" i="76"/>
  <c r="C81" i="76" s="1"/>
  <c r="L89" i="76"/>
  <c r="B89" i="76"/>
  <c r="X91" i="76"/>
  <c r="X93" i="76"/>
  <c r="P93" i="76"/>
  <c r="V93" i="76"/>
  <c r="N93" i="76"/>
  <c r="AB93" i="76"/>
  <c r="T93" i="76"/>
  <c r="AA93" i="76"/>
  <c r="S93" i="76"/>
  <c r="R93" i="76"/>
  <c r="D101" i="76"/>
  <c r="C101" i="76" s="1"/>
  <c r="T103" i="76"/>
  <c r="Z104" i="76"/>
  <c r="R106" i="76"/>
  <c r="D108" i="76"/>
  <c r="C108" i="76" s="1"/>
  <c r="B110" i="76"/>
  <c r="L110" i="76"/>
  <c r="S127" i="76"/>
  <c r="R127" i="76"/>
  <c r="Q127" i="76"/>
  <c r="X127" i="76"/>
  <c r="P127" i="76"/>
  <c r="V127" i="76"/>
  <c r="U127" i="76"/>
  <c r="T136" i="76"/>
  <c r="S144" i="76"/>
  <c r="R144" i="76"/>
  <c r="Q144" i="76"/>
  <c r="X144" i="76"/>
  <c r="P144" i="76"/>
  <c r="W144" i="76"/>
  <c r="O144" i="76"/>
  <c r="V144" i="76"/>
  <c r="N144" i="76"/>
  <c r="U144" i="76"/>
  <c r="Q149" i="76"/>
  <c r="X149" i="76"/>
  <c r="P149" i="76"/>
  <c r="W149" i="76"/>
  <c r="O149" i="76"/>
  <c r="V149" i="76"/>
  <c r="N149" i="76"/>
  <c r="U149" i="76"/>
  <c r="T149" i="76"/>
  <c r="S149" i="76"/>
  <c r="L164" i="76"/>
  <c r="B164" i="76"/>
  <c r="O14" i="76"/>
  <c r="W14" i="76"/>
  <c r="S16" i="76"/>
  <c r="Q17" i="76"/>
  <c r="O18" i="76"/>
  <c r="W18" i="76"/>
  <c r="S20" i="76"/>
  <c r="Q21" i="76"/>
  <c r="O22" i="76"/>
  <c r="W22" i="76"/>
  <c r="S24" i="76"/>
  <c r="D135" i="76"/>
  <c r="C135" i="76" s="1"/>
  <c r="D80" i="76"/>
  <c r="C80" i="76" s="1"/>
  <c r="Q25" i="76"/>
  <c r="O26" i="76"/>
  <c r="W26" i="76"/>
  <c r="U27" i="76"/>
  <c r="S28" i="76"/>
  <c r="Q29" i="76"/>
  <c r="O30" i="76"/>
  <c r="W30" i="76"/>
  <c r="U31" i="76"/>
  <c r="S32" i="76"/>
  <c r="D143" i="76"/>
  <c r="C143" i="76" s="1"/>
  <c r="D88" i="76"/>
  <c r="C88" i="76" s="1"/>
  <c r="Q33" i="76"/>
  <c r="O34" i="76"/>
  <c r="W34" i="76"/>
  <c r="U35" i="76"/>
  <c r="S36" i="76"/>
  <c r="Q37" i="76"/>
  <c r="O38" i="76"/>
  <c r="W38" i="76"/>
  <c r="U39" i="76"/>
  <c r="S40" i="76"/>
  <c r="D151" i="76"/>
  <c r="C151" i="76" s="1"/>
  <c r="D96" i="76"/>
  <c r="C96" i="76" s="1"/>
  <c r="Q41" i="76"/>
  <c r="O42" i="76"/>
  <c r="W42" i="76"/>
  <c r="U43" i="76"/>
  <c r="S44" i="76"/>
  <c r="Q45" i="76"/>
  <c r="T46" i="76"/>
  <c r="O46" i="76"/>
  <c r="X46" i="76"/>
  <c r="O47" i="76"/>
  <c r="X47" i="76"/>
  <c r="O48" i="76"/>
  <c r="V49" i="76"/>
  <c r="N49" i="76"/>
  <c r="P49" i="76"/>
  <c r="T50" i="76"/>
  <c r="O50" i="76"/>
  <c r="X50" i="76"/>
  <c r="O51" i="76"/>
  <c r="X51" i="76"/>
  <c r="V53" i="76"/>
  <c r="N53" i="76"/>
  <c r="P53" i="76"/>
  <c r="T54" i="76"/>
  <c r="Q55" i="76"/>
  <c r="T56" i="76"/>
  <c r="S71" i="76"/>
  <c r="D79" i="76"/>
  <c r="C79" i="76" s="1"/>
  <c r="V79" i="76"/>
  <c r="AA91" i="76"/>
  <c r="D93" i="76"/>
  <c r="C93" i="76" s="1"/>
  <c r="U93" i="76"/>
  <c r="B100" i="76"/>
  <c r="Z103" i="76"/>
  <c r="R103" i="76"/>
  <c r="X103" i="76"/>
  <c r="P103" i="76"/>
  <c r="V103" i="76"/>
  <c r="N103" i="76"/>
  <c r="U103" i="76"/>
  <c r="W103" i="76"/>
  <c r="L105" i="76"/>
  <c r="B105" i="76"/>
  <c r="T106" i="76"/>
  <c r="Q137" i="76"/>
  <c r="X137" i="76"/>
  <c r="P137" i="76"/>
  <c r="W137" i="76"/>
  <c r="O137" i="76"/>
  <c r="V137" i="76"/>
  <c r="N137" i="76"/>
  <c r="U137" i="76"/>
  <c r="T137" i="76"/>
  <c r="S137" i="76"/>
  <c r="W146" i="76"/>
  <c r="O146" i="76"/>
  <c r="V146" i="76"/>
  <c r="N146" i="76"/>
  <c r="U146" i="76"/>
  <c r="T146" i="76"/>
  <c r="S146" i="76"/>
  <c r="R146" i="76"/>
  <c r="Q146" i="76"/>
  <c r="D149" i="76"/>
  <c r="C149" i="76" s="1"/>
  <c r="L156" i="76"/>
  <c r="B156" i="76"/>
  <c r="L160" i="76"/>
  <c r="B160" i="76"/>
  <c r="V40" i="77"/>
  <c r="N40" i="77"/>
  <c r="U40" i="77"/>
  <c r="T40" i="77"/>
  <c r="R40" i="77"/>
  <c r="Q40" i="77"/>
  <c r="X40" i="77"/>
  <c r="P40" i="77"/>
  <c r="W40" i="77"/>
  <c r="S40" i="77"/>
  <c r="O40" i="77"/>
  <c r="V48" i="77"/>
  <c r="N48" i="77"/>
  <c r="U48" i="77"/>
  <c r="T48" i="77"/>
  <c r="S48" i="77"/>
  <c r="R48" i="77"/>
  <c r="Q48" i="77"/>
  <c r="X48" i="77"/>
  <c r="P48" i="77"/>
  <c r="W48" i="77"/>
  <c r="O48" i="77"/>
  <c r="P14" i="76"/>
  <c r="P18" i="76"/>
  <c r="P22" i="76"/>
  <c r="C26" i="76"/>
  <c r="P26" i="76"/>
  <c r="N27" i="76"/>
  <c r="V27" i="76"/>
  <c r="C30" i="76"/>
  <c r="P30" i="76"/>
  <c r="N31" i="76"/>
  <c r="V31" i="76"/>
  <c r="C34" i="76"/>
  <c r="P34" i="76"/>
  <c r="N35" i="76"/>
  <c r="V35" i="76"/>
  <c r="C38" i="76"/>
  <c r="P38" i="76"/>
  <c r="N39" i="76"/>
  <c r="V39" i="76"/>
  <c r="C42" i="76"/>
  <c r="P42" i="76"/>
  <c r="N43" i="76"/>
  <c r="V43" i="76"/>
  <c r="C46" i="76"/>
  <c r="P46" i="76"/>
  <c r="R47" i="76"/>
  <c r="P47" i="76"/>
  <c r="X48" i="76"/>
  <c r="P48" i="76"/>
  <c r="Q48" i="76"/>
  <c r="Q49" i="76"/>
  <c r="C50" i="76"/>
  <c r="P50" i="76"/>
  <c r="R51" i="76"/>
  <c r="P51" i="76"/>
  <c r="X52" i="76"/>
  <c r="P52" i="76"/>
  <c r="Q52" i="76"/>
  <c r="C53" i="76"/>
  <c r="Q53" i="76"/>
  <c r="D165" i="76"/>
  <c r="C165" i="76" s="1"/>
  <c r="D110" i="76"/>
  <c r="C110" i="76" s="1"/>
  <c r="S55" i="76"/>
  <c r="U56" i="76"/>
  <c r="T71" i="76"/>
  <c r="W79" i="76"/>
  <c r="W80" i="76"/>
  <c r="B87" i="76"/>
  <c r="D89" i="76"/>
  <c r="C89" i="76" s="1"/>
  <c r="B92" i="76"/>
  <c r="W93" i="76"/>
  <c r="Z95" i="76"/>
  <c r="R95" i="76"/>
  <c r="X95" i="76"/>
  <c r="P95" i="76"/>
  <c r="V95" i="76"/>
  <c r="N95" i="76"/>
  <c r="U95" i="76"/>
  <c r="W95" i="76"/>
  <c r="Z96" i="76"/>
  <c r="Y103" i="76"/>
  <c r="D105" i="76"/>
  <c r="C105" i="76" s="1"/>
  <c r="V126" i="76"/>
  <c r="U126" i="76"/>
  <c r="T126" i="76"/>
  <c r="S126" i="76"/>
  <c r="Q126" i="76"/>
  <c r="X126" i="76"/>
  <c r="P126" i="76"/>
  <c r="P138" i="76"/>
  <c r="R141" i="76"/>
  <c r="T143" i="76"/>
  <c r="T144" i="76"/>
  <c r="O27" i="76"/>
  <c r="S29" i="76"/>
  <c r="O31" i="76"/>
  <c r="S33" i="76"/>
  <c r="O35" i="76"/>
  <c r="S37" i="76"/>
  <c r="O39" i="76"/>
  <c r="S41" i="76"/>
  <c r="O43" i="76"/>
  <c r="C48" i="76"/>
  <c r="D158" i="76"/>
  <c r="C158" i="76" s="1"/>
  <c r="D159" i="76"/>
  <c r="C159" i="76" s="1"/>
  <c r="D104" i="76"/>
  <c r="C104" i="76" s="1"/>
  <c r="C52" i="76"/>
  <c r="D162" i="76"/>
  <c r="C162" i="76" s="1"/>
  <c r="D107" i="76"/>
  <c r="C107" i="76" s="1"/>
  <c r="D109" i="76"/>
  <c r="C109" i="76" s="1"/>
  <c r="D164" i="76"/>
  <c r="C164" i="76" s="1"/>
  <c r="T104" i="76"/>
  <c r="AB104" i="76"/>
  <c r="B86" i="76"/>
  <c r="L86" i="76"/>
  <c r="D87" i="76"/>
  <c r="C87" i="76" s="1"/>
  <c r="D95" i="76"/>
  <c r="C95" i="76" s="1"/>
  <c r="AB96" i="76"/>
  <c r="D100" i="76"/>
  <c r="C100" i="76" s="1"/>
  <c r="V106" i="76"/>
  <c r="N106" i="76"/>
  <c r="U106" i="76"/>
  <c r="AA106" i="76"/>
  <c r="S106" i="76"/>
  <c r="Y106" i="76"/>
  <c r="Q106" i="76"/>
  <c r="X106" i="76"/>
  <c r="P106" i="76"/>
  <c r="Z106" i="76"/>
  <c r="O127" i="76"/>
  <c r="B129" i="76"/>
  <c r="S140" i="76"/>
  <c r="R140" i="76"/>
  <c r="Q140" i="76"/>
  <c r="X140" i="76"/>
  <c r="P140" i="76"/>
  <c r="W140" i="76"/>
  <c r="O140" i="76"/>
  <c r="V140" i="76"/>
  <c r="N140" i="76"/>
  <c r="U140" i="76"/>
  <c r="Q145" i="76"/>
  <c r="X145" i="76"/>
  <c r="P145" i="76"/>
  <c r="W145" i="76"/>
  <c r="O145" i="76"/>
  <c r="V145" i="76"/>
  <c r="N145" i="76"/>
  <c r="U145" i="76"/>
  <c r="T145" i="76"/>
  <c r="S145" i="76"/>
  <c r="W34" i="77"/>
  <c r="O54" i="76"/>
  <c r="W54" i="76"/>
  <c r="N96" i="76"/>
  <c r="V96" i="76"/>
  <c r="N104" i="76"/>
  <c r="V104" i="76"/>
  <c r="Q107" i="76"/>
  <c r="Y107" i="76"/>
  <c r="S109" i="76"/>
  <c r="AA109" i="76"/>
  <c r="Q123" i="76"/>
  <c r="V124" i="76"/>
  <c r="S125" i="76"/>
  <c r="Q131" i="76"/>
  <c r="L136" i="76"/>
  <c r="O139" i="76"/>
  <c r="W139" i="76"/>
  <c r="L140" i="76"/>
  <c r="O143" i="76"/>
  <c r="W143" i="76"/>
  <c r="L144" i="76"/>
  <c r="L148" i="76"/>
  <c r="N153" i="76"/>
  <c r="N155" i="76"/>
  <c r="W158" i="76"/>
  <c r="O158" i="76"/>
  <c r="U158" i="76"/>
  <c r="Q158" i="76"/>
  <c r="T158" i="76"/>
  <c r="N159" i="76"/>
  <c r="N161" i="76"/>
  <c r="N163" i="76"/>
  <c r="W166" i="76"/>
  <c r="O166" i="76"/>
  <c r="U166" i="76"/>
  <c r="Q166" i="76"/>
  <c r="T166" i="76"/>
  <c r="N167" i="76"/>
  <c r="Q24" i="77"/>
  <c r="X27" i="77"/>
  <c r="P27" i="77"/>
  <c r="V27" i="77"/>
  <c r="N27" i="77"/>
  <c r="T27" i="77"/>
  <c r="R27" i="77"/>
  <c r="U27" i="77"/>
  <c r="Q28" i="77"/>
  <c r="V36" i="77"/>
  <c r="N36" i="77"/>
  <c r="U36" i="77"/>
  <c r="T36" i="77"/>
  <c r="R36" i="77"/>
  <c r="X36" i="77"/>
  <c r="P36" i="77"/>
  <c r="W36" i="77"/>
  <c r="R38" i="77"/>
  <c r="Q38" i="77"/>
  <c r="X38" i="77"/>
  <c r="P38" i="77"/>
  <c r="V38" i="77"/>
  <c r="N38" i="77"/>
  <c r="U38" i="77"/>
  <c r="T38" i="77"/>
  <c r="V52" i="77"/>
  <c r="N52" i="77"/>
  <c r="U52" i="77"/>
  <c r="T52" i="77"/>
  <c r="S52" i="77"/>
  <c r="R52" i="77"/>
  <c r="Q52" i="77"/>
  <c r="X52" i="77"/>
  <c r="P52" i="77"/>
  <c r="O96" i="76"/>
  <c r="W96" i="76"/>
  <c r="O104" i="76"/>
  <c r="W104" i="76"/>
  <c r="R107" i="76"/>
  <c r="Z107" i="76"/>
  <c r="T109" i="76"/>
  <c r="AB109" i="76"/>
  <c r="R123" i="76"/>
  <c r="O124" i="76"/>
  <c r="W124" i="76"/>
  <c r="T125" i="76"/>
  <c r="R131" i="76"/>
  <c r="P139" i="76"/>
  <c r="X139" i="76"/>
  <c r="P143" i="76"/>
  <c r="X143" i="76"/>
  <c r="P153" i="76"/>
  <c r="P155" i="76"/>
  <c r="V158" i="76"/>
  <c r="P159" i="76"/>
  <c r="P161" i="76"/>
  <c r="P163" i="76"/>
  <c r="V166" i="76"/>
  <c r="P167" i="76"/>
  <c r="S55" i="77"/>
  <c r="S51" i="77"/>
  <c r="S47" i="77"/>
  <c r="S43" i="77"/>
  <c r="S39" i="77"/>
  <c r="O25" i="77"/>
  <c r="W27" i="77"/>
  <c r="O30" i="77"/>
  <c r="S50" i="77"/>
  <c r="W57" i="77"/>
  <c r="Q139" i="76"/>
  <c r="Q143" i="76"/>
  <c r="Q155" i="76"/>
  <c r="Q159" i="76"/>
  <c r="V24" i="77"/>
  <c r="N24" i="77"/>
  <c r="T24" i="77"/>
  <c r="R24" i="77"/>
  <c r="X24" i="77"/>
  <c r="P24" i="77"/>
  <c r="U24" i="77"/>
  <c r="V28" i="77"/>
  <c r="N28" i="77"/>
  <c r="U28" i="77"/>
  <c r="T28" i="77"/>
  <c r="R28" i="77"/>
  <c r="X28" i="77"/>
  <c r="P28" i="77"/>
  <c r="W28" i="77"/>
  <c r="U29" i="77"/>
  <c r="S30" i="77"/>
  <c r="O44" i="77"/>
  <c r="V56" i="77"/>
  <c r="N56" i="77"/>
  <c r="U56" i="77"/>
  <c r="T56" i="77"/>
  <c r="S56" i="77"/>
  <c r="R56" i="77"/>
  <c r="Q56" i="77"/>
  <c r="X56" i="77"/>
  <c r="P56" i="77"/>
  <c r="S17" i="78"/>
  <c r="BA17" i="78" s="1"/>
  <c r="R17" i="78"/>
  <c r="AZ17" i="78" s="1"/>
  <c r="Q17" i="78"/>
  <c r="AY17" i="78" s="1"/>
  <c r="X17" i="78"/>
  <c r="P17" i="78"/>
  <c r="AX17" i="78" s="1"/>
  <c r="U17" i="78"/>
  <c r="BC17" i="78" s="1"/>
  <c r="T17" i="78"/>
  <c r="BB17" i="78" s="1"/>
  <c r="W17" i="78"/>
  <c r="BE17" i="78" s="1"/>
  <c r="V17" i="78"/>
  <c r="BD17" i="78" s="1"/>
  <c r="O17" i="78"/>
  <c r="AW17" i="78" s="1"/>
  <c r="Q96" i="76"/>
  <c r="Y96" i="76"/>
  <c r="Q104" i="76"/>
  <c r="Y104" i="76"/>
  <c r="T107" i="76"/>
  <c r="AB107" i="76"/>
  <c r="N109" i="76"/>
  <c r="V109" i="76"/>
  <c r="D112" i="76"/>
  <c r="C112" i="76" s="1"/>
  <c r="T123" i="76"/>
  <c r="Q124" i="76"/>
  <c r="V125" i="76"/>
  <c r="T131" i="76"/>
  <c r="R139" i="76"/>
  <c r="R143" i="76"/>
  <c r="U55" i="77"/>
  <c r="U51" i="77"/>
  <c r="U47" i="77"/>
  <c r="W24" i="77"/>
  <c r="O26" i="77"/>
  <c r="T29" i="77"/>
  <c r="S29" i="77"/>
  <c r="R29" i="77"/>
  <c r="X29" i="77"/>
  <c r="P29" i="77"/>
  <c r="V29" i="77"/>
  <c r="N29" i="77"/>
  <c r="W29" i="77"/>
  <c r="S31" i="77"/>
  <c r="O33" i="77"/>
  <c r="O42" i="77"/>
  <c r="S44" i="77"/>
  <c r="U49" i="77"/>
  <c r="S54" i="77"/>
  <c r="O109" i="76"/>
  <c r="W109" i="76"/>
  <c r="O125" i="76"/>
  <c r="W125" i="76"/>
  <c r="S139" i="76"/>
  <c r="S143" i="76"/>
  <c r="Q153" i="76"/>
  <c r="W153" i="76"/>
  <c r="O153" i="76"/>
  <c r="S153" i="76"/>
  <c r="U153" i="76"/>
  <c r="U155" i="76"/>
  <c r="S155" i="76"/>
  <c r="W155" i="76"/>
  <c r="O155" i="76"/>
  <c r="T155" i="76"/>
  <c r="N158" i="76"/>
  <c r="U159" i="76"/>
  <c r="S159" i="76"/>
  <c r="W159" i="76"/>
  <c r="O159" i="76"/>
  <c r="T159" i="76"/>
  <c r="Q161" i="76"/>
  <c r="W161" i="76"/>
  <c r="O161" i="76"/>
  <c r="S161" i="76"/>
  <c r="U161" i="76"/>
  <c r="U163" i="76"/>
  <c r="S163" i="76"/>
  <c r="W163" i="76"/>
  <c r="O163" i="76"/>
  <c r="T163" i="76"/>
  <c r="U167" i="76"/>
  <c r="S167" i="76"/>
  <c r="Q167" i="76"/>
  <c r="W167" i="76"/>
  <c r="O167" i="76"/>
  <c r="V167" i="76"/>
  <c r="T25" i="77"/>
  <c r="R25" i="77"/>
  <c r="X25" i="77"/>
  <c r="P25" i="77"/>
  <c r="V25" i="77"/>
  <c r="N25" i="77"/>
  <c r="U25" i="77"/>
  <c r="R30" i="77"/>
  <c r="Q30" i="77"/>
  <c r="X30" i="77"/>
  <c r="P30" i="77"/>
  <c r="V30" i="77"/>
  <c r="N30" i="77"/>
  <c r="T30" i="77"/>
  <c r="W30" i="77"/>
  <c r="U31" i="77"/>
  <c r="S32" i="77"/>
  <c r="S42" i="77"/>
  <c r="U43" i="77"/>
  <c r="W44" i="77"/>
  <c r="U53" i="77"/>
  <c r="W55" i="77"/>
  <c r="S96" i="76"/>
  <c r="S104" i="76"/>
  <c r="N107" i="76"/>
  <c r="V107" i="76"/>
  <c r="P109" i="76"/>
  <c r="X109" i="76"/>
  <c r="V123" i="76"/>
  <c r="P125" i="76"/>
  <c r="X125" i="76"/>
  <c r="V131" i="76"/>
  <c r="V153" i="76"/>
  <c r="V155" i="76"/>
  <c r="P158" i="76"/>
  <c r="V159" i="76"/>
  <c r="V161" i="76"/>
  <c r="V163" i="76"/>
  <c r="P166" i="76"/>
  <c r="X167" i="76"/>
  <c r="W25" i="77"/>
  <c r="O27" i="77"/>
  <c r="V32" i="77"/>
  <c r="N32" i="77"/>
  <c r="U32" i="77"/>
  <c r="T32" i="77"/>
  <c r="R32" i="77"/>
  <c r="X32" i="77"/>
  <c r="P32" i="77"/>
  <c r="W32" i="77"/>
  <c r="O36" i="77"/>
  <c r="O38" i="77"/>
  <c r="U41" i="77"/>
  <c r="V44" i="77"/>
  <c r="N44" i="77"/>
  <c r="U44" i="77"/>
  <c r="T44" i="77"/>
  <c r="R44" i="77"/>
  <c r="Q44" i="77"/>
  <c r="X44" i="77"/>
  <c r="P44" i="77"/>
  <c r="O107" i="76"/>
  <c r="Q109" i="76"/>
  <c r="O123" i="76"/>
  <c r="O131" i="76"/>
  <c r="X153" i="76"/>
  <c r="X155" i="76"/>
  <c r="R158" i="76"/>
  <c r="X159" i="76"/>
  <c r="X161" i="76"/>
  <c r="X163" i="76"/>
  <c r="R26" i="77"/>
  <c r="X26" i="77"/>
  <c r="P26" i="77"/>
  <c r="V26" i="77"/>
  <c r="N26" i="77"/>
  <c r="T26" i="77"/>
  <c r="U26" i="77"/>
  <c r="T33" i="77"/>
  <c r="S33" i="77"/>
  <c r="R33" i="77"/>
  <c r="X33" i="77"/>
  <c r="P33" i="77"/>
  <c r="V33" i="77"/>
  <c r="N33" i="77"/>
  <c r="W33" i="77"/>
  <c r="S35" i="77"/>
  <c r="S38" i="77"/>
  <c r="U39" i="77"/>
  <c r="R42" i="77"/>
  <c r="Q42" i="77"/>
  <c r="X42" i="77"/>
  <c r="P42" i="77"/>
  <c r="V42" i="77"/>
  <c r="N42" i="77"/>
  <c r="U42" i="77"/>
  <c r="T42" i="77"/>
  <c r="R31" i="77"/>
  <c r="R35" i="77"/>
  <c r="N37" i="77"/>
  <c r="V37" i="77"/>
  <c r="R39" i="77"/>
  <c r="N41" i="77"/>
  <c r="V41" i="77"/>
  <c r="R43" i="77"/>
  <c r="N45" i="77"/>
  <c r="V45" i="77"/>
  <c r="T46" i="77"/>
  <c r="R47" i="77"/>
  <c r="N49" i="77"/>
  <c r="V49" i="77"/>
  <c r="T50" i="77"/>
  <c r="R51" i="77"/>
  <c r="N53" i="77"/>
  <c r="V53" i="77"/>
  <c r="T54" i="77"/>
  <c r="R55" i="77"/>
  <c r="N57" i="77"/>
  <c r="W14" i="78"/>
  <c r="BE14" i="78" s="1"/>
  <c r="V16" i="78"/>
  <c r="BD16" i="78" s="1"/>
  <c r="O25" i="78"/>
  <c r="AW25" i="78" s="1"/>
  <c r="U36" i="78"/>
  <c r="BC36" i="78" s="1"/>
  <c r="Q39" i="78"/>
  <c r="AY39" i="78" s="1"/>
  <c r="V39" i="78"/>
  <c r="BD39" i="78" s="1"/>
  <c r="N39" i="78"/>
  <c r="U39" i="78"/>
  <c r="BC39" i="78" s="1"/>
  <c r="S39" i="78"/>
  <c r="BA39" i="78" s="1"/>
  <c r="X39" i="78"/>
  <c r="W39" i="78"/>
  <c r="BE39" i="78" s="1"/>
  <c r="T39" i="78"/>
  <c r="BB39" i="78" s="1"/>
  <c r="R39" i="78"/>
  <c r="AZ39" i="78" s="1"/>
  <c r="O39" i="78"/>
  <c r="AW39" i="78" s="1"/>
  <c r="O37" i="77"/>
  <c r="W37" i="77"/>
  <c r="O41" i="77"/>
  <c r="W41" i="77"/>
  <c r="O45" i="77"/>
  <c r="W45" i="77"/>
  <c r="U46" i="77"/>
  <c r="O49" i="77"/>
  <c r="W49" i="77"/>
  <c r="U50" i="77"/>
  <c r="O53" i="77"/>
  <c r="W53" i="77"/>
  <c r="U54" i="77"/>
  <c r="U57" i="77"/>
  <c r="O57" i="77"/>
  <c r="X57" i="77"/>
  <c r="S41" i="78"/>
  <c r="BA41" i="78" s="1"/>
  <c r="S51" i="78"/>
  <c r="BA51" i="78" s="1"/>
  <c r="S55" i="78"/>
  <c r="S44" i="78"/>
  <c r="BA44" i="78" s="1"/>
  <c r="S43" i="78"/>
  <c r="BA43" i="78" s="1"/>
  <c r="S35" i="78"/>
  <c r="BA35" i="78" s="1"/>
  <c r="S32" i="78"/>
  <c r="BA32" i="78" s="1"/>
  <c r="S24" i="78"/>
  <c r="BA24" i="78" s="1"/>
  <c r="S36" i="78"/>
  <c r="BA36" i="78" s="1"/>
  <c r="S26" i="78"/>
  <c r="BA26" i="78" s="1"/>
  <c r="S52" i="78"/>
  <c r="BA52" i="78" s="1"/>
  <c r="S34" i="78"/>
  <c r="BA34" i="78" s="1"/>
  <c r="S31" i="78"/>
  <c r="BA31" i="78" s="1"/>
  <c r="AT26" i="78"/>
  <c r="V27" i="78"/>
  <c r="BD27" i="78" s="1"/>
  <c r="N41" i="78"/>
  <c r="AV41" i="78" s="1"/>
  <c r="T31" i="77"/>
  <c r="T35" i="77"/>
  <c r="P37" i="77"/>
  <c r="X37" i="77"/>
  <c r="T39" i="77"/>
  <c r="P41" i="77"/>
  <c r="X41" i="77"/>
  <c r="T43" i="77"/>
  <c r="P45" i="77"/>
  <c r="X45" i="77"/>
  <c r="N46" i="77"/>
  <c r="V46" i="77"/>
  <c r="T47" i="77"/>
  <c r="P49" i="77"/>
  <c r="X49" i="77"/>
  <c r="N50" i="77"/>
  <c r="V50" i="77"/>
  <c r="T51" i="77"/>
  <c r="P53" i="77"/>
  <c r="X53" i="77"/>
  <c r="N54" i="77"/>
  <c r="V54" i="77"/>
  <c r="P57" i="77"/>
  <c r="T25" i="78"/>
  <c r="BB25" i="78" s="1"/>
  <c r="S25" i="78"/>
  <c r="BA25" i="78" s="1"/>
  <c r="R25" i="78"/>
  <c r="AZ25" i="78" s="1"/>
  <c r="Q25" i="78"/>
  <c r="AY25" i="78" s="1"/>
  <c r="X25" i="78"/>
  <c r="P25" i="78"/>
  <c r="AX25" i="78" s="1"/>
  <c r="V25" i="78"/>
  <c r="BD25" i="78" s="1"/>
  <c r="N25" i="78"/>
  <c r="AV25" i="78" s="1"/>
  <c r="U25" i="78"/>
  <c r="BC25" i="78" s="1"/>
  <c r="O46" i="77"/>
  <c r="W46" i="77"/>
  <c r="O50" i="77"/>
  <c r="W50" i="77"/>
  <c r="O54" i="77"/>
  <c r="W54" i="77"/>
  <c r="U51" i="78"/>
  <c r="BC51" i="78" s="1"/>
  <c r="U43" i="78"/>
  <c r="BC43" i="78" s="1"/>
  <c r="U53" i="78"/>
  <c r="BC53" i="78" s="1"/>
  <c r="U52" i="78"/>
  <c r="BC52" i="78" s="1"/>
  <c r="U44" i="78"/>
  <c r="BC44" i="78" s="1"/>
  <c r="U54" i="78"/>
  <c r="U46" i="78"/>
  <c r="BC46" i="78" s="1"/>
  <c r="U45" i="78"/>
  <c r="BC45" i="78" s="1"/>
  <c r="U29" i="78"/>
  <c r="BC29" i="78" s="1"/>
  <c r="U13" i="78"/>
  <c r="U37" i="78"/>
  <c r="BC37" i="78" s="1"/>
  <c r="U26" i="78"/>
  <c r="BC26" i="78" s="1"/>
  <c r="T14" i="78"/>
  <c r="BB14" i="78" s="1"/>
  <c r="S14" i="78"/>
  <c r="BA14" i="78" s="1"/>
  <c r="R14" i="78"/>
  <c r="AZ14" i="78" s="1"/>
  <c r="Q14" i="78"/>
  <c r="AY14" i="78" s="1"/>
  <c r="V14" i="78"/>
  <c r="BD14" i="78" s="1"/>
  <c r="U14" i="78"/>
  <c r="BC14" i="78" s="1"/>
  <c r="S38" i="78"/>
  <c r="BA38" i="78" s="1"/>
  <c r="AT49" i="78"/>
  <c r="U56" i="78"/>
  <c r="N31" i="77"/>
  <c r="V31" i="77"/>
  <c r="N35" i="77"/>
  <c r="V35" i="77"/>
  <c r="R37" i="77"/>
  <c r="N39" i="77"/>
  <c r="V39" i="77"/>
  <c r="R41" i="77"/>
  <c r="N43" i="77"/>
  <c r="V43" i="77"/>
  <c r="R45" i="77"/>
  <c r="P46" i="77"/>
  <c r="X46" i="77"/>
  <c r="N47" i="77"/>
  <c r="V47" i="77"/>
  <c r="R49" i="77"/>
  <c r="P50" i="77"/>
  <c r="X50" i="77"/>
  <c r="N51" i="77"/>
  <c r="V51" i="77"/>
  <c r="R53" i="77"/>
  <c r="P54" i="77"/>
  <c r="X54" i="77"/>
  <c r="R57" i="77"/>
  <c r="N53" i="78"/>
  <c r="N45" i="78"/>
  <c r="N57" i="78"/>
  <c r="N55" i="78"/>
  <c r="N50" i="78"/>
  <c r="AV50" i="78" s="1"/>
  <c r="N49" i="78"/>
  <c r="AV49" i="78" s="1"/>
  <c r="N29" i="78"/>
  <c r="N51" i="78"/>
  <c r="AV51" i="78" s="1"/>
  <c r="N34" i="78"/>
  <c r="AV34" i="78" s="1"/>
  <c r="N31" i="78"/>
  <c r="AV31" i="78" s="1"/>
  <c r="N42" i="78"/>
  <c r="AV42" i="78" s="1"/>
  <c r="N37" i="78"/>
  <c r="N30" i="78"/>
  <c r="AV30" i="78" s="1"/>
  <c r="V53" i="78"/>
  <c r="BD53" i="78" s="1"/>
  <c r="V45" i="78"/>
  <c r="BD45" i="78" s="1"/>
  <c r="V57" i="78"/>
  <c r="V55" i="78"/>
  <c r="V50" i="78"/>
  <c r="BD50" i="78" s="1"/>
  <c r="V49" i="78"/>
  <c r="BD49" i="78" s="1"/>
  <c r="V41" i="78"/>
  <c r="BD41" i="78" s="1"/>
  <c r="V42" i="78"/>
  <c r="BD42" i="78" s="1"/>
  <c r="V29" i="78"/>
  <c r="BD29" i="78" s="1"/>
  <c r="V21" i="78"/>
  <c r="BD21" i="78" s="1"/>
  <c r="V13" i="78"/>
  <c r="V51" i="78"/>
  <c r="BD51" i="78" s="1"/>
  <c r="V43" i="78"/>
  <c r="BD43" i="78" s="1"/>
  <c r="V37" i="78"/>
  <c r="BD37" i="78" s="1"/>
  <c r="V34" i="78"/>
  <c r="BD34" i="78" s="1"/>
  <c r="V31" i="78"/>
  <c r="BD31" i="78" s="1"/>
  <c r="V30" i="78"/>
  <c r="BD30" i="78" s="1"/>
  <c r="V22" i="78"/>
  <c r="BD22" i="78" s="1"/>
  <c r="V28" i="78"/>
  <c r="BD28" i="78" s="1"/>
  <c r="U30" i="78"/>
  <c r="BC30" i="78" s="1"/>
  <c r="T33" i="78"/>
  <c r="BB33" i="78" s="1"/>
  <c r="S33" i="78"/>
  <c r="BA33" i="78" s="1"/>
  <c r="R33" i="78"/>
  <c r="AZ33" i="78" s="1"/>
  <c r="Q33" i="78"/>
  <c r="AY33" i="78" s="1"/>
  <c r="X33" i="78"/>
  <c r="BF33" i="78" s="1"/>
  <c r="P33" i="78"/>
  <c r="AX33" i="78" s="1"/>
  <c r="V33" i="78"/>
  <c r="BD33" i="78" s="1"/>
  <c r="N33" i="78"/>
  <c r="AV33" i="78" s="1"/>
  <c r="U33" i="78"/>
  <c r="BC33" i="78" s="1"/>
  <c r="O31" i="77"/>
  <c r="W31" i="77"/>
  <c r="O35" i="77"/>
  <c r="W35" i="77"/>
  <c r="S37" i="77"/>
  <c r="O39" i="77"/>
  <c r="W39" i="77"/>
  <c r="S41" i="77"/>
  <c r="O43" i="77"/>
  <c r="W43" i="77"/>
  <c r="S45" i="77"/>
  <c r="Q46" i="77"/>
  <c r="O47" i="77"/>
  <c r="W47" i="77"/>
  <c r="S49" i="77"/>
  <c r="Q50" i="77"/>
  <c r="O51" i="77"/>
  <c r="W51" i="77"/>
  <c r="S53" i="77"/>
  <c r="Q54" i="77"/>
  <c r="O55" i="77"/>
  <c r="S57" i="77"/>
  <c r="N43" i="78"/>
  <c r="AV43" i="78" s="1"/>
  <c r="P31" i="77"/>
  <c r="P35" i="77"/>
  <c r="P39" i="77"/>
  <c r="P43" i="77"/>
  <c r="P47" i="77"/>
  <c r="P51" i="77"/>
  <c r="T57" i="77"/>
  <c r="S13" i="78"/>
  <c r="O14" i="78"/>
  <c r="AW14" i="78" s="1"/>
  <c r="S28" i="78"/>
  <c r="BA28" i="78" s="1"/>
  <c r="S29" i="78"/>
  <c r="BA29" i="78" s="1"/>
  <c r="U34" i="78"/>
  <c r="BC34" i="78" s="1"/>
  <c r="T38" i="78"/>
  <c r="BB38" i="78" s="1"/>
  <c r="Q38" i="78"/>
  <c r="AY38" i="78" s="1"/>
  <c r="X38" i="78"/>
  <c r="P38" i="78"/>
  <c r="AX38" i="78" s="1"/>
  <c r="V38" i="78"/>
  <c r="BD38" i="78" s="1"/>
  <c r="N38" i="78"/>
  <c r="AV38" i="78" s="1"/>
  <c r="W38" i="78"/>
  <c r="BE38" i="78" s="1"/>
  <c r="U38" i="78"/>
  <c r="BC38" i="78" s="1"/>
  <c r="R38" i="78"/>
  <c r="AZ38" i="78" s="1"/>
  <c r="O38" i="78"/>
  <c r="AW38" i="78" s="1"/>
  <c r="P39" i="78"/>
  <c r="AX39" i="78" s="1"/>
  <c r="O16" i="78"/>
  <c r="AW16" i="78" s="1"/>
  <c r="W16" i="78"/>
  <c r="BE16" i="78" s="1"/>
  <c r="T20" i="78"/>
  <c r="BB20" i="78" s="1"/>
  <c r="P24" i="78"/>
  <c r="AX24" i="78" s="1"/>
  <c r="X24" i="78"/>
  <c r="R26" i="78"/>
  <c r="AZ26" i="78" s="1"/>
  <c r="O27" i="78"/>
  <c r="AW27" i="78" s="1"/>
  <c r="W27" i="78"/>
  <c r="BE27" i="78" s="1"/>
  <c r="T28" i="78"/>
  <c r="BB28" i="78" s="1"/>
  <c r="Q29" i="78"/>
  <c r="AY29" i="78" s="1"/>
  <c r="P32" i="78"/>
  <c r="AX32" i="78" s="1"/>
  <c r="X32" i="78"/>
  <c r="P35" i="78"/>
  <c r="AX35" i="78" s="1"/>
  <c r="X35" i="78"/>
  <c r="R36" i="78"/>
  <c r="AZ36" i="78" s="1"/>
  <c r="V48" i="78"/>
  <c r="BD48" i="78" s="1"/>
  <c r="N48" i="78"/>
  <c r="AV48" i="78" s="1"/>
  <c r="U48" i="78"/>
  <c r="BC48" i="78" s="1"/>
  <c r="S48" i="78"/>
  <c r="BA48" i="78" s="1"/>
  <c r="R48" i="78"/>
  <c r="AZ48" i="78" s="1"/>
  <c r="Q48" i="78"/>
  <c r="AY48" i="78" s="1"/>
  <c r="X48" i="78"/>
  <c r="P48" i="78"/>
  <c r="AX48" i="78" s="1"/>
  <c r="V14" i="79"/>
  <c r="AY14" i="79" s="1"/>
  <c r="U14" i="79"/>
  <c r="AX14" i="79" s="1"/>
  <c r="T14" i="79"/>
  <c r="AW14" i="79" s="1"/>
  <c r="S14" i="79"/>
  <c r="AV14" i="79" s="1"/>
  <c r="R14" i="79"/>
  <c r="AU14" i="79" s="1"/>
  <c r="Q14" i="79"/>
  <c r="AT14" i="79" s="1"/>
  <c r="X14" i="79"/>
  <c r="P14" i="79"/>
  <c r="AS14" i="79" s="1"/>
  <c r="T51" i="78"/>
  <c r="BB51" i="78" s="1"/>
  <c r="T43" i="78"/>
  <c r="BB43" i="78" s="1"/>
  <c r="S15" i="78"/>
  <c r="BA15" i="78" s="1"/>
  <c r="P16" i="78"/>
  <c r="AX16" i="78" s="1"/>
  <c r="X16" i="78"/>
  <c r="S18" i="78"/>
  <c r="BA18" i="78" s="1"/>
  <c r="U20" i="78"/>
  <c r="BC20" i="78" s="1"/>
  <c r="R21" i="78"/>
  <c r="AZ21" i="78" s="1"/>
  <c r="O22" i="78"/>
  <c r="AW22" i="78" s="1"/>
  <c r="W22" i="78"/>
  <c r="BE22" i="78" s="1"/>
  <c r="Q24" i="78"/>
  <c r="AY24" i="78" s="1"/>
  <c r="P27" i="78"/>
  <c r="AX27" i="78" s="1"/>
  <c r="X27" i="78"/>
  <c r="U28" i="78"/>
  <c r="BC28" i="78" s="1"/>
  <c r="R29" i="78"/>
  <c r="AZ29" i="78" s="1"/>
  <c r="O30" i="78"/>
  <c r="AW30" i="78" s="1"/>
  <c r="W30" i="78"/>
  <c r="BE30" i="78" s="1"/>
  <c r="T31" i="78"/>
  <c r="BB31" i="78" s="1"/>
  <c r="Q32" i="78"/>
  <c r="AY32" i="78" s="1"/>
  <c r="T34" i="78"/>
  <c r="BB34" i="78" s="1"/>
  <c r="Q35" i="78"/>
  <c r="AY35" i="78" s="1"/>
  <c r="W37" i="78"/>
  <c r="BE37" i="78" s="1"/>
  <c r="P37" i="78"/>
  <c r="AX37" i="78" s="1"/>
  <c r="O40" i="78"/>
  <c r="AW40" i="78" s="1"/>
  <c r="X50" i="78"/>
  <c r="T54" i="78"/>
  <c r="O20" i="78"/>
  <c r="AW20" i="78" s="1"/>
  <c r="W20" i="78"/>
  <c r="BE20" i="78" s="1"/>
  <c r="T21" i="78"/>
  <c r="BB21" i="78" s="1"/>
  <c r="R27" i="78"/>
  <c r="AZ27" i="78" s="1"/>
  <c r="O28" i="78"/>
  <c r="AW28" i="78" s="1"/>
  <c r="W28" i="78"/>
  <c r="BE28" i="78" s="1"/>
  <c r="T29" i="78"/>
  <c r="BB29" i="78" s="1"/>
  <c r="Q30" i="78"/>
  <c r="AY30" i="78" s="1"/>
  <c r="W36" i="78"/>
  <c r="BE36" i="78" s="1"/>
  <c r="T40" i="78"/>
  <c r="BB40" i="78" s="1"/>
  <c r="Q41" i="78"/>
  <c r="AY41" i="78" s="1"/>
  <c r="Q42" i="78"/>
  <c r="AY42" i="78" s="1"/>
  <c r="P45" i="78"/>
  <c r="AX45" i="78" s="1"/>
  <c r="R46" i="78"/>
  <c r="AZ46" i="78" s="1"/>
  <c r="AT48" i="78"/>
  <c r="V15" i="78"/>
  <c r="BD15" i="78" s="1"/>
  <c r="S16" i="78"/>
  <c r="BA16" i="78" s="1"/>
  <c r="V18" i="78"/>
  <c r="BD18" i="78" s="1"/>
  <c r="P20" i="78"/>
  <c r="AX20" i="78" s="1"/>
  <c r="X20" i="78"/>
  <c r="U21" i="78"/>
  <c r="BC21" i="78" s="1"/>
  <c r="R22" i="78"/>
  <c r="AZ22" i="78" s="1"/>
  <c r="T24" i="78"/>
  <c r="BB24" i="78" s="1"/>
  <c r="N26" i="78"/>
  <c r="AV26" i="78" s="1"/>
  <c r="V26" i="78"/>
  <c r="BD26" i="78" s="1"/>
  <c r="S27" i="78"/>
  <c r="BA27" i="78" s="1"/>
  <c r="P28" i="78"/>
  <c r="AX28" i="78" s="1"/>
  <c r="X28" i="78"/>
  <c r="R30" i="78"/>
  <c r="AZ30" i="78" s="1"/>
  <c r="O31" i="78"/>
  <c r="AW31" i="78" s="1"/>
  <c r="W31" i="78"/>
  <c r="BE31" i="78" s="1"/>
  <c r="T32" i="78"/>
  <c r="BB32" i="78" s="1"/>
  <c r="Y33" i="78"/>
  <c r="O34" i="78"/>
  <c r="AW34" i="78" s="1"/>
  <c r="W34" i="78"/>
  <c r="BE34" i="78" s="1"/>
  <c r="T35" i="78"/>
  <c r="BB35" i="78" s="1"/>
  <c r="X36" i="78"/>
  <c r="V40" i="78"/>
  <c r="BD40" i="78" s="1"/>
  <c r="N40" i="78"/>
  <c r="AV40" i="78" s="1"/>
  <c r="S40" i="78"/>
  <c r="BA40" i="78" s="1"/>
  <c r="R40" i="78"/>
  <c r="AZ40" i="78" s="1"/>
  <c r="X40" i="78"/>
  <c r="P40" i="78"/>
  <c r="AX40" i="78" s="1"/>
  <c r="U40" i="78"/>
  <c r="BC40" i="78" s="1"/>
  <c r="W41" i="78"/>
  <c r="BE41" i="78" s="1"/>
  <c r="X42" i="78"/>
  <c r="P42" i="78"/>
  <c r="AX42" i="78" s="1"/>
  <c r="U42" i="78"/>
  <c r="BC42" i="78" s="1"/>
  <c r="T42" i="78"/>
  <c r="BB42" i="78" s="1"/>
  <c r="R42" i="78"/>
  <c r="AZ42" i="78" s="1"/>
  <c r="S42" i="78"/>
  <c r="BA42" i="78" s="1"/>
  <c r="Q43" i="78"/>
  <c r="AY43" i="78" s="1"/>
  <c r="R44" i="78"/>
  <c r="X44" i="78"/>
  <c r="T49" i="78"/>
  <c r="BB49" i="78" s="1"/>
  <c r="T56" i="78"/>
  <c r="M52" i="79"/>
  <c r="M53" i="79"/>
  <c r="M45" i="79"/>
  <c r="M46" i="79"/>
  <c r="M44" i="79"/>
  <c r="M41" i="79"/>
  <c r="M36" i="79"/>
  <c r="M24" i="79"/>
  <c r="M26" i="79"/>
  <c r="M33" i="79"/>
  <c r="M29" i="79"/>
  <c r="U53" i="79"/>
  <c r="AX53" i="79" s="1"/>
  <c r="U44" i="79"/>
  <c r="AX44" i="79" s="1"/>
  <c r="U52" i="79"/>
  <c r="AX52" i="79" s="1"/>
  <c r="U36" i="79"/>
  <c r="AX36" i="79" s="1"/>
  <c r="U33" i="79"/>
  <c r="AX33" i="79" s="1"/>
  <c r="U45" i="79"/>
  <c r="AX45" i="79" s="1"/>
  <c r="U24" i="79"/>
  <c r="AX24" i="79" s="1"/>
  <c r="U26" i="79"/>
  <c r="AX26" i="79" s="1"/>
  <c r="U35" i="79"/>
  <c r="AX35" i="79" s="1"/>
  <c r="U41" i="79"/>
  <c r="AX41" i="79" s="1"/>
  <c r="U20" i="79"/>
  <c r="AX20" i="79" s="1"/>
  <c r="U17" i="79"/>
  <c r="AX17" i="79" s="1"/>
  <c r="U21" i="79"/>
  <c r="AX21" i="79" s="1"/>
  <c r="U29" i="79"/>
  <c r="AX29" i="79" s="1"/>
  <c r="U13" i="79"/>
  <c r="P52" i="78"/>
  <c r="AX52" i="78" s="1"/>
  <c r="P41" i="78"/>
  <c r="AX41" i="78" s="1"/>
  <c r="P51" i="78"/>
  <c r="AX51" i="78" s="1"/>
  <c r="P43" i="78"/>
  <c r="AX43" i="78" s="1"/>
  <c r="X52" i="78"/>
  <c r="X41" i="78"/>
  <c r="X51" i="78"/>
  <c r="X43" i="78"/>
  <c r="O15" i="78"/>
  <c r="W15" i="78"/>
  <c r="BE15" i="78" s="1"/>
  <c r="T16" i="78"/>
  <c r="BB16" i="78" s="1"/>
  <c r="O18" i="78"/>
  <c r="AW18" i="78" s="1"/>
  <c r="W18" i="78"/>
  <c r="BE18" i="78" s="1"/>
  <c r="Q20" i="78"/>
  <c r="S22" i="78"/>
  <c r="BA22" i="78" s="1"/>
  <c r="U24" i="78"/>
  <c r="BC24" i="78" s="1"/>
  <c r="O26" i="78"/>
  <c r="AW26" i="78" s="1"/>
  <c r="W26" i="78"/>
  <c r="BE26" i="78" s="1"/>
  <c r="T27" i="78"/>
  <c r="BB27" i="78" s="1"/>
  <c r="Q28" i="78"/>
  <c r="AY28" i="78" s="1"/>
  <c r="S30" i="78"/>
  <c r="BA30" i="78" s="1"/>
  <c r="P31" i="78"/>
  <c r="AX31" i="78" s="1"/>
  <c r="X31" i="78"/>
  <c r="U32" i="78"/>
  <c r="BC32" i="78" s="1"/>
  <c r="P34" i="78"/>
  <c r="AX34" i="78" s="1"/>
  <c r="X34" i="78"/>
  <c r="U35" i="78"/>
  <c r="BC35" i="78" s="1"/>
  <c r="O36" i="78"/>
  <c r="AW36" i="78" s="1"/>
  <c r="X37" i="78"/>
  <c r="W40" i="78"/>
  <c r="BE40" i="78" s="1"/>
  <c r="T41" i="78"/>
  <c r="BB41" i="78" s="1"/>
  <c r="W45" i="78"/>
  <c r="BE45" i="78" s="1"/>
  <c r="X45" i="78"/>
  <c r="T46" i="78"/>
  <c r="BB46" i="78" s="1"/>
  <c r="O48" i="78"/>
  <c r="AW48" i="78" s="1"/>
  <c r="W51" i="78"/>
  <c r="BE51" i="78" s="1"/>
  <c r="W53" i="78"/>
  <c r="BE53" i="78" s="1"/>
  <c r="Q52" i="78"/>
  <c r="AY52" i="78" s="1"/>
  <c r="Q44" i="78"/>
  <c r="AY44" i="78" s="1"/>
  <c r="Q49" i="78"/>
  <c r="AY49" i="78" s="1"/>
  <c r="Q51" i="78"/>
  <c r="AY51" i="78" s="1"/>
  <c r="O13" i="78"/>
  <c r="P15" i="78"/>
  <c r="AX15" i="78" s="1"/>
  <c r="X15" i="78"/>
  <c r="U16" i="78"/>
  <c r="BC16" i="78" s="1"/>
  <c r="P18" i="78"/>
  <c r="X18" i="78"/>
  <c r="R20" i="78"/>
  <c r="AZ20" i="78" s="1"/>
  <c r="O21" i="78"/>
  <c r="AW21" i="78" s="1"/>
  <c r="T22" i="78"/>
  <c r="BB22" i="78" s="1"/>
  <c r="N24" i="78"/>
  <c r="V24" i="78"/>
  <c r="BD24" i="78" s="1"/>
  <c r="P26" i="78"/>
  <c r="AX26" i="78" s="1"/>
  <c r="X26" i="78"/>
  <c r="U27" i="78"/>
  <c r="BC27" i="78" s="1"/>
  <c r="R28" i="78"/>
  <c r="AZ28" i="78" s="1"/>
  <c r="O29" i="78"/>
  <c r="AW29" i="78" s="1"/>
  <c r="T30" i="78"/>
  <c r="BB30" i="78" s="1"/>
  <c r="N32" i="78"/>
  <c r="V32" i="78"/>
  <c r="BD32" i="78" s="1"/>
  <c r="N35" i="78"/>
  <c r="V35" i="78"/>
  <c r="BD35" i="78" s="1"/>
  <c r="V36" i="78"/>
  <c r="BD36" i="78" s="1"/>
  <c r="N36" i="78"/>
  <c r="AV36" i="78" s="1"/>
  <c r="T36" i="78"/>
  <c r="BB36" i="78" s="1"/>
  <c r="P36" i="78"/>
  <c r="AX36" i="78" s="1"/>
  <c r="W42" i="78"/>
  <c r="BE42" i="78" s="1"/>
  <c r="Q47" i="78"/>
  <c r="AY47" i="78" s="1"/>
  <c r="X47" i="78"/>
  <c r="P47" i="78"/>
  <c r="AX47" i="78" s="1"/>
  <c r="V47" i="78"/>
  <c r="BD47" i="78" s="1"/>
  <c r="N47" i="78"/>
  <c r="U47" i="78"/>
  <c r="BC47" i="78" s="1"/>
  <c r="T47" i="78"/>
  <c r="BB47" i="78" s="1"/>
  <c r="S47" i="78"/>
  <c r="BA47" i="78" s="1"/>
  <c r="R47" i="78"/>
  <c r="AZ47" i="78" s="1"/>
  <c r="T48" i="78"/>
  <c r="BB48" i="78" s="1"/>
  <c r="Q50" i="78"/>
  <c r="AY50" i="78" s="1"/>
  <c r="X57" i="78"/>
  <c r="U25" i="79"/>
  <c r="AX25" i="79" s="1"/>
  <c r="R49" i="78"/>
  <c r="AZ49" i="78" s="1"/>
  <c r="R56" i="78"/>
  <c r="R54" i="78"/>
  <c r="R51" i="78"/>
  <c r="AZ51" i="78" s="1"/>
  <c r="R43" i="78"/>
  <c r="AZ43" i="78" s="1"/>
  <c r="R53" i="78"/>
  <c r="AZ53" i="78" s="1"/>
  <c r="R45" i="78"/>
  <c r="AZ45" i="78" s="1"/>
  <c r="P13" i="78"/>
  <c r="X13" i="78"/>
  <c r="P21" i="78"/>
  <c r="AX21" i="78" s="1"/>
  <c r="X21" i="78"/>
  <c r="O24" i="78"/>
  <c r="AW24" i="78" s="1"/>
  <c r="N27" i="78"/>
  <c r="P29" i="78"/>
  <c r="AX29" i="78" s="1"/>
  <c r="X29" i="78"/>
  <c r="R31" i="78"/>
  <c r="AZ31" i="78" s="1"/>
  <c r="O32" i="78"/>
  <c r="AW32" i="78" s="1"/>
  <c r="R34" i="78"/>
  <c r="AZ34" i="78" s="1"/>
  <c r="O35" i="78"/>
  <c r="AW35" i="78" s="1"/>
  <c r="Q36" i="78"/>
  <c r="AY36" i="78" s="1"/>
  <c r="AT39" i="78"/>
  <c r="AT40" i="78"/>
  <c r="W48" i="78"/>
  <c r="BE48" i="78" s="1"/>
  <c r="S49" i="78"/>
  <c r="BA49" i="78" s="1"/>
  <c r="AI54" i="78"/>
  <c r="Y54" i="78" s="1"/>
  <c r="Q55" i="78"/>
  <c r="Q37" i="78"/>
  <c r="AY37" i="78" s="1"/>
  <c r="U41" i="78"/>
  <c r="BC41" i="78" s="1"/>
  <c r="O43" i="78"/>
  <c r="AW43" i="78" s="1"/>
  <c r="W43" i="78"/>
  <c r="BE43" i="78" s="1"/>
  <c r="T44" i="78"/>
  <c r="BB44" i="78" s="1"/>
  <c r="Q45" i="78"/>
  <c r="AY45" i="78" s="1"/>
  <c r="N46" i="78"/>
  <c r="AV46" i="78" s="1"/>
  <c r="V46" i="78"/>
  <c r="BD46" i="78" s="1"/>
  <c r="AT47" i="78"/>
  <c r="U49" i="78"/>
  <c r="BC49" i="78" s="1"/>
  <c r="R50" i="78"/>
  <c r="AZ50" i="78" s="1"/>
  <c r="O51" i="78"/>
  <c r="AW51" i="78" s="1"/>
  <c r="T52" i="78"/>
  <c r="BB52" i="78" s="1"/>
  <c r="Q53" i="78"/>
  <c r="AY53" i="78" s="1"/>
  <c r="N54" i="78"/>
  <c r="V54" i="78"/>
  <c r="R55" i="78"/>
  <c r="N56" i="78"/>
  <c r="V56" i="78"/>
  <c r="R57" i="78"/>
  <c r="N52" i="79"/>
  <c r="AQ52" i="79" s="1"/>
  <c r="N49" i="79"/>
  <c r="AQ49" i="79" s="1"/>
  <c r="N40" i="79"/>
  <c r="AQ40" i="79" s="1"/>
  <c r="N53" i="79"/>
  <c r="AQ53" i="79" s="1"/>
  <c r="N55" i="79"/>
  <c r="N42" i="79"/>
  <c r="AQ42" i="79" s="1"/>
  <c r="N51" i="79"/>
  <c r="AQ51" i="79" s="1"/>
  <c r="N45" i="79"/>
  <c r="AQ45" i="79" s="1"/>
  <c r="N44" i="79"/>
  <c r="AQ44" i="79" s="1"/>
  <c r="N41" i="79"/>
  <c r="AQ41" i="79" s="1"/>
  <c r="N32" i="79"/>
  <c r="AQ32" i="79" s="1"/>
  <c r="N38" i="79"/>
  <c r="AQ38" i="79" s="1"/>
  <c r="N43" i="79"/>
  <c r="AQ43" i="79" s="1"/>
  <c r="N28" i="79"/>
  <c r="AQ28" i="79" s="1"/>
  <c r="N34" i="79"/>
  <c r="AQ34" i="79" s="1"/>
  <c r="N33" i="79"/>
  <c r="AQ33" i="79" s="1"/>
  <c r="V52" i="79"/>
  <c r="AY52" i="79" s="1"/>
  <c r="V51" i="79"/>
  <c r="AY51" i="79" s="1"/>
  <c r="V43" i="79"/>
  <c r="AY43" i="79" s="1"/>
  <c r="V40" i="79"/>
  <c r="AY40" i="79" s="1"/>
  <c r="V49" i="79"/>
  <c r="AY49" i="79" s="1"/>
  <c r="V45" i="79"/>
  <c r="AY45" i="79" s="1"/>
  <c r="V41" i="79"/>
  <c r="AY41" i="79" s="1"/>
  <c r="V32" i="79"/>
  <c r="AY32" i="79" s="1"/>
  <c r="V38" i="79"/>
  <c r="AY38" i="79" s="1"/>
  <c r="V34" i="79"/>
  <c r="AY34" i="79" s="1"/>
  <c r="V44" i="79"/>
  <c r="AY44" i="79" s="1"/>
  <c r="V28" i="79"/>
  <c r="AY28" i="79" s="1"/>
  <c r="T13" i="79"/>
  <c r="U15" i="79"/>
  <c r="AX15" i="79" s="1"/>
  <c r="R16" i="79"/>
  <c r="AU16" i="79" s="1"/>
  <c r="W17" i="79"/>
  <c r="AZ17" i="79" s="1"/>
  <c r="U18" i="79"/>
  <c r="AX18" i="79" s="1"/>
  <c r="W20" i="79"/>
  <c r="AZ20" i="79" s="1"/>
  <c r="X21" i="79"/>
  <c r="P21" i="79"/>
  <c r="AS21" i="79" s="1"/>
  <c r="Q21" i="79"/>
  <c r="AT21" i="79" s="1"/>
  <c r="V22" i="79"/>
  <c r="AY22" i="79" s="1"/>
  <c r="AT23" i="79"/>
  <c r="X24" i="79"/>
  <c r="M25" i="79"/>
  <c r="P26" i="79"/>
  <c r="AS26" i="79" s="1"/>
  <c r="M27" i="79"/>
  <c r="V53" i="79"/>
  <c r="AY53" i="79" s="1"/>
  <c r="O46" i="78"/>
  <c r="AW46" i="78" s="1"/>
  <c r="W46" i="78"/>
  <c r="BE46" i="78" s="1"/>
  <c r="S50" i="78"/>
  <c r="BA50" i="78" s="1"/>
  <c r="O54" i="78"/>
  <c r="W54" i="78"/>
  <c r="O56" i="78"/>
  <c r="W56" i="78"/>
  <c r="S57" i="78"/>
  <c r="O55" i="79"/>
  <c r="O43" i="79"/>
  <c r="AR43" i="79" s="1"/>
  <c r="O57" i="79"/>
  <c r="W42" i="79"/>
  <c r="AZ42" i="79" s="1"/>
  <c r="W55" i="79"/>
  <c r="W46" i="79"/>
  <c r="AZ46" i="79" s="1"/>
  <c r="W50" i="79"/>
  <c r="AZ50" i="79" s="1"/>
  <c r="S16" i="79"/>
  <c r="AV16" i="79" s="1"/>
  <c r="X17" i="79"/>
  <c r="V18" i="79"/>
  <c r="AY18" i="79" s="1"/>
  <c r="P20" i="79"/>
  <c r="AS20" i="79" s="1"/>
  <c r="X20" i="79"/>
  <c r="R21" i="79"/>
  <c r="AU21" i="79" s="1"/>
  <c r="O25" i="79"/>
  <c r="AR25" i="79" s="1"/>
  <c r="R26" i="79"/>
  <c r="AU26" i="79" s="1"/>
  <c r="O27" i="79"/>
  <c r="AR27" i="79" s="1"/>
  <c r="N30" i="79"/>
  <c r="AQ30" i="79" s="1"/>
  <c r="S37" i="78"/>
  <c r="BA37" i="78" s="1"/>
  <c r="O41" i="78"/>
  <c r="AW41" i="78" s="1"/>
  <c r="N44" i="78"/>
  <c r="AV44" i="78" s="1"/>
  <c r="V44" i="78"/>
  <c r="BD44" i="78" s="1"/>
  <c r="S45" i="78"/>
  <c r="BA45" i="78" s="1"/>
  <c r="P46" i="78"/>
  <c r="AX46" i="78" s="1"/>
  <c r="X46" i="78"/>
  <c r="O49" i="78"/>
  <c r="AW49" i="78" s="1"/>
  <c r="W49" i="78"/>
  <c r="BE49" i="78" s="1"/>
  <c r="T50" i="78"/>
  <c r="BB50" i="78" s="1"/>
  <c r="N52" i="78"/>
  <c r="AV52" i="78" s="1"/>
  <c r="V52" i="78"/>
  <c r="BD52" i="78" s="1"/>
  <c r="S53" i="78"/>
  <c r="BA53" i="78" s="1"/>
  <c r="P54" i="78"/>
  <c r="X54" i="78"/>
  <c r="T55" i="78"/>
  <c r="P56" i="78"/>
  <c r="X56" i="78"/>
  <c r="T57" i="78"/>
  <c r="P53" i="79"/>
  <c r="AS53" i="79" s="1"/>
  <c r="P42" i="79"/>
  <c r="AS42" i="79" s="1"/>
  <c r="P51" i="79"/>
  <c r="AS51" i="79" s="1"/>
  <c r="P45" i="79"/>
  <c r="AS45" i="79" s="1"/>
  <c r="P36" i="79"/>
  <c r="AS36" i="79" s="1"/>
  <c r="P44" i="79"/>
  <c r="AS44" i="79" s="1"/>
  <c r="P40" i="79"/>
  <c r="AS40" i="79" s="1"/>
  <c r="P34" i="79"/>
  <c r="AS34" i="79" s="1"/>
  <c r="P33" i="79"/>
  <c r="AS33" i="79" s="1"/>
  <c r="P30" i="79"/>
  <c r="AS30" i="79" s="1"/>
  <c r="P52" i="79"/>
  <c r="AS52" i="79" s="1"/>
  <c r="X53" i="79"/>
  <c r="X36" i="79"/>
  <c r="X52" i="79"/>
  <c r="X45" i="79"/>
  <c r="X44" i="79"/>
  <c r="X40" i="79"/>
  <c r="X34" i="79"/>
  <c r="X43" i="79"/>
  <c r="X35" i="79"/>
  <c r="X51" i="79"/>
  <c r="X30" i="79"/>
  <c r="X33" i="79"/>
  <c r="BA33" i="79" s="1"/>
  <c r="W15" i="79"/>
  <c r="AZ15" i="79" s="1"/>
  <c r="T16" i="79"/>
  <c r="AW16" i="79" s="1"/>
  <c r="S21" i="79"/>
  <c r="AV21" i="79" s="1"/>
  <c r="AU23" i="79"/>
  <c r="AS23" i="79"/>
  <c r="AW23" i="79"/>
  <c r="AX23" i="79"/>
  <c r="L24" i="79"/>
  <c r="Q25" i="79"/>
  <c r="AT25" i="79" s="1"/>
  <c r="Q26" i="79"/>
  <c r="AT26" i="79" s="1"/>
  <c r="V26" i="79"/>
  <c r="AY26" i="79" s="1"/>
  <c r="S27" i="79"/>
  <c r="AV27" i="79" s="1"/>
  <c r="R30" i="79"/>
  <c r="AU30" i="79" s="1"/>
  <c r="R31" i="79"/>
  <c r="AU31" i="79" s="1"/>
  <c r="Q31" i="79"/>
  <c r="AT31" i="79" s="1"/>
  <c r="X31" i="79"/>
  <c r="P31" i="79"/>
  <c r="AS31" i="79" s="1"/>
  <c r="V31" i="79"/>
  <c r="AY31" i="79" s="1"/>
  <c r="N31" i="79"/>
  <c r="AQ31" i="79" s="1"/>
  <c r="U31" i="79"/>
  <c r="AX31" i="79" s="1"/>
  <c r="M31" i="79"/>
  <c r="T31" i="79"/>
  <c r="AW31" i="79" s="1"/>
  <c r="L31" i="79"/>
  <c r="R33" i="79"/>
  <c r="AU33" i="79" s="1"/>
  <c r="T37" i="78"/>
  <c r="BB37" i="78" s="1"/>
  <c r="O44" i="78"/>
  <c r="AW44" i="78" s="1"/>
  <c r="W44" i="78"/>
  <c r="BE44" i="78" s="1"/>
  <c r="T45" i="78"/>
  <c r="BB45" i="78" s="1"/>
  <c r="Q46" i="78"/>
  <c r="AY46" i="78" s="1"/>
  <c r="P49" i="78"/>
  <c r="AX49" i="78" s="1"/>
  <c r="X49" i="78"/>
  <c r="U50" i="78"/>
  <c r="BC50" i="78" s="1"/>
  <c r="O52" i="78"/>
  <c r="AW52" i="78" s="1"/>
  <c r="W52" i="78"/>
  <c r="BE52" i="78" s="1"/>
  <c r="T53" i="78"/>
  <c r="BB53" i="78" s="1"/>
  <c r="Q54" i="78"/>
  <c r="U55" i="78"/>
  <c r="Q56" i="78"/>
  <c r="U57" i="78"/>
  <c r="Q53" i="79"/>
  <c r="AT53" i="79" s="1"/>
  <c r="Q49" i="79"/>
  <c r="AT49" i="79" s="1"/>
  <c r="Q39" i="79"/>
  <c r="AT39" i="79" s="1"/>
  <c r="Q45" i="79"/>
  <c r="AT45" i="79" s="1"/>
  <c r="Q44" i="79"/>
  <c r="AT44" i="79" s="1"/>
  <c r="Q41" i="79"/>
  <c r="AT41" i="79" s="1"/>
  <c r="Q52" i="79"/>
  <c r="AT52" i="79" s="1"/>
  <c r="Q40" i="79"/>
  <c r="AT40" i="79" s="1"/>
  <c r="Q33" i="79"/>
  <c r="AT33" i="79" s="1"/>
  <c r="Q30" i="79"/>
  <c r="AT30" i="79" s="1"/>
  <c r="Q37" i="79"/>
  <c r="AT37" i="79" s="1"/>
  <c r="P15" i="79"/>
  <c r="U16" i="79"/>
  <c r="AX16" i="79" s="1"/>
  <c r="R17" i="79"/>
  <c r="AU17" i="79" s="1"/>
  <c r="P18" i="79"/>
  <c r="X18" i="79"/>
  <c r="BA18" i="79" s="1"/>
  <c r="T21" i="79"/>
  <c r="AW21" i="79" s="1"/>
  <c r="AY23" i="79"/>
  <c r="N24" i="79"/>
  <c r="AQ24" i="79" s="1"/>
  <c r="S25" i="79"/>
  <c r="AV25" i="79" s="1"/>
  <c r="X26" i="79"/>
  <c r="U27" i="79"/>
  <c r="AX27" i="79" s="1"/>
  <c r="L28" i="79"/>
  <c r="V30" i="79"/>
  <c r="AY30" i="79" s="1"/>
  <c r="L32" i="79"/>
  <c r="V33" i="79"/>
  <c r="AY33" i="79" s="1"/>
  <c r="O35" i="79"/>
  <c r="AR35" i="79" s="1"/>
  <c r="S47" i="79"/>
  <c r="AV47" i="79" s="1"/>
  <c r="Q47" i="79"/>
  <c r="AT47" i="79" s="1"/>
  <c r="V47" i="79"/>
  <c r="AY47" i="79" s="1"/>
  <c r="N47" i="79"/>
  <c r="AQ47" i="79" s="1"/>
  <c r="U47" i="79"/>
  <c r="AX47" i="79" s="1"/>
  <c r="M47" i="79"/>
  <c r="P47" i="79"/>
  <c r="AS47" i="79" s="1"/>
  <c r="O47" i="79"/>
  <c r="AR47" i="79" s="1"/>
  <c r="L47" i="79"/>
  <c r="X47" i="79"/>
  <c r="W47" i="79"/>
  <c r="AZ47" i="79" s="1"/>
  <c r="T47" i="79"/>
  <c r="AW47" i="79" s="1"/>
  <c r="R47" i="79"/>
  <c r="AU47" i="79" s="1"/>
  <c r="R44" i="79"/>
  <c r="AU44" i="79" s="1"/>
  <c r="R53" i="79"/>
  <c r="AU53" i="79" s="1"/>
  <c r="R45" i="79"/>
  <c r="AU45" i="79" s="1"/>
  <c r="R40" i="79"/>
  <c r="AU40" i="79" s="1"/>
  <c r="R54" i="79"/>
  <c r="R36" i="79"/>
  <c r="AU36" i="79" s="1"/>
  <c r="R28" i="79"/>
  <c r="AU28" i="79" s="1"/>
  <c r="R49" i="79"/>
  <c r="AU49" i="79" s="1"/>
  <c r="R34" i="79"/>
  <c r="AU34" i="79" s="1"/>
  <c r="R42" i="79"/>
  <c r="AU42" i="79" s="1"/>
  <c r="R32" i="79"/>
  <c r="AU32" i="79" s="1"/>
  <c r="S17" i="79"/>
  <c r="AV17" i="79" s="1"/>
  <c r="P22" i="79"/>
  <c r="AS22" i="79" s="1"/>
  <c r="AZ23" i="79"/>
  <c r="P24" i="79"/>
  <c r="AS24" i="79" s="1"/>
  <c r="P28" i="79"/>
  <c r="AS28" i="79" s="1"/>
  <c r="P32" i="79"/>
  <c r="AS32" i="79" s="1"/>
  <c r="S46" i="78"/>
  <c r="BA46" i="78" s="1"/>
  <c r="O50" i="78"/>
  <c r="AW50" i="78" s="1"/>
  <c r="W50" i="78"/>
  <c r="BE50" i="78" s="1"/>
  <c r="S54" i="78"/>
  <c r="O55" i="78"/>
  <c r="W55" i="78"/>
  <c r="S56" i="78"/>
  <c r="O57" i="78"/>
  <c r="W57" i="78"/>
  <c r="S52" i="79"/>
  <c r="AV52" i="79" s="1"/>
  <c r="S53" i="79"/>
  <c r="AV53" i="79" s="1"/>
  <c r="S45" i="79"/>
  <c r="AV45" i="79" s="1"/>
  <c r="S41" i="79"/>
  <c r="AV41" i="79" s="1"/>
  <c r="S51" i="79"/>
  <c r="AV51" i="79" s="1"/>
  <c r="S44" i="79"/>
  <c r="AV44" i="79" s="1"/>
  <c r="S43" i="79"/>
  <c r="AV43" i="79" s="1"/>
  <c r="S54" i="79"/>
  <c r="S42" i="79"/>
  <c r="AV42" i="79" s="1"/>
  <c r="S33" i="79"/>
  <c r="AV33" i="79" s="1"/>
  <c r="S39" i="79"/>
  <c r="AV39" i="79" s="1"/>
  <c r="S34" i="79"/>
  <c r="AV34" i="79" s="1"/>
  <c r="S32" i="79"/>
  <c r="AV32" i="79" s="1"/>
  <c r="S24" i="79"/>
  <c r="AV24" i="79" s="1"/>
  <c r="R15" i="79"/>
  <c r="AU15" i="79" s="1"/>
  <c r="W16" i="79"/>
  <c r="AZ16" i="79" s="1"/>
  <c r="T17" i="79"/>
  <c r="AW17" i="79" s="1"/>
  <c r="R18" i="79"/>
  <c r="AU18" i="79" s="1"/>
  <c r="T20" i="79"/>
  <c r="AW20" i="79" s="1"/>
  <c r="V21" i="79"/>
  <c r="AY21" i="79" s="1"/>
  <c r="U22" i="79"/>
  <c r="AX22" i="79" s="1"/>
  <c r="Q22" i="79"/>
  <c r="AT22" i="79" s="1"/>
  <c r="W24" i="79"/>
  <c r="AZ24" i="79" s="1"/>
  <c r="R24" i="79"/>
  <c r="AU24" i="79" s="1"/>
  <c r="T25" i="79"/>
  <c r="AW25" i="79" s="1"/>
  <c r="L25" i="79"/>
  <c r="R25" i="79"/>
  <c r="AU25" i="79" s="1"/>
  <c r="X25" i="79"/>
  <c r="P25" i="79"/>
  <c r="AS25" i="79" s="1"/>
  <c r="V25" i="79"/>
  <c r="AY25" i="79" s="1"/>
  <c r="N25" i="79"/>
  <c r="AQ25" i="79" s="1"/>
  <c r="W25" i="79"/>
  <c r="AZ25" i="79" s="1"/>
  <c r="V27" i="79"/>
  <c r="AY27" i="79" s="1"/>
  <c r="N27" i="79"/>
  <c r="AQ27" i="79" s="1"/>
  <c r="T27" i="79"/>
  <c r="AW27" i="79" s="1"/>
  <c r="L27" i="79"/>
  <c r="R27" i="79"/>
  <c r="AU27" i="79" s="1"/>
  <c r="Q27" i="79"/>
  <c r="AT27" i="79" s="1"/>
  <c r="X27" i="79"/>
  <c r="P27" i="79"/>
  <c r="AS27" i="79" s="1"/>
  <c r="T28" i="79"/>
  <c r="AW28" i="79" s="1"/>
  <c r="U30" i="79"/>
  <c r="AX30" i="79" s="1"/>
  <c r="O31" i="79"/>
  <c r="AR31" i="79" s="1"/>
  <c r="O37" i="78"/>
  <c r="O45" i="78"/>
  <c r="AW45" i="78" s="1"/>
  <c r="P50" i="78"/>
  <c r="AX50" i="78" s="1"/>
  <c r="O53" i="78"/>
  <c r="AW53" i="78" s="1"/>
  <c r="P55" i="78"/>
  <c r="P57" i="78"/>
  <c r="L52" i="79"/>
  <c r="L49" i="79"/>
  <c r="L40" i="79"/>
  <c r="L51" i="79"/>
  <c r="L42" i="79"/>
  <c r="L39" i="79"/>
  <c r="L33" i="79"/>
  <c r="L30" i="79"/>
  <c r="L36" i="79"/>
  <c r="L44" i="79"/>
  <c r="L26" i="79"/>
  <c r="T52" i="79"/>
  <c r="AW52" i="79" s="1"/>
  <c r="T51" i="79"/>
  <c r="AW51" i="79" s="1"/>
  <c r="T44" i="79"/>
  <c r="AW44" i="79" s="1"/>
  <c r="T40" i="79"/>
  <c r="AW40" i="79" s="1"/>
  <c r="T42" i="79"/>
  <c r="AW42" i="79" s="1"/>
  <c r="T49" i="79"/>
  <c r="AW49" i="79" s="1"/>
  <c r="T39" i="79"/>
  <c r="AW39" i="79" s="1"/>
  <c r="T36" i="79"/>
  <c r="AW36" i="79" s="1"/>
  <c r="T33" i="79"/>
  <c r="AW33" i="79" s="1"/>
  <c r="T30" i="79"/>
  <c r="AW30" i="79" s="1"/>
  <c r="T48" i="79"/>
  <c r="AW48" i="79" s="1"/>
  <c r="T26" i="79"/>
  <c r="AW26" i="79" s="1"/>
  <c r="R13" i="79"/>
  <c r="S15" i="79"/>
  <c r="AV15" i="79" s="1"/>
  <c r="P16" i="79"/>
  <c r="AS16" i="79" s="1"/>
  <c r="S18" i="79"/>
  <c r="AV18" i="79" s="1"/>
  <c r="W21" i="79"/>
  <c r="AZ21" i="79" s="1"/>
  <c r="R22" i="79"/>
  <c r="AU22" i="79" s="1"/>
  <c r="T24" i="79"/>
  <c r="AW24" i="79" s="1"/>
  <c r="X28" i="79"/>
  <c r="X29" i="79"/>
  <c r="S31" i="79"/>
  <c r="AV31" i="79" s="1"/>
  <c r="X32" i="79"/>
  <c r="W22" i="79"/>
  <c r="AZ22" i="79" s="1"/>
  <c r="Q24" i="79"/>
  <c r="AT24" i="79" s="1"/>
  <c r="S26" i="79"/>
  <c r="AV26" i="79" s="1"/>
  <c r="M28" i="79"/>
  <c r="U28" i="79"/>
  <c r="AX28" i="79" s="1"/>
  <c r="R29" i="79"/>
  <c r="AU29" i="79" s="1"/>
  <c r="O30" i="79"/>
  <c r="AR30" i="79" s="1"/>
  <c r="W30" i="79"/>
  <c r="AZ30" i="79" s="1"/>
  <c r="Q32" i="79"/>
  <c r="AT32" i="79" s="1"/>
  <c r="U38" i="79"/>
  <c r="AX38" i="79" s="1"/>
  <c r="R39" i="79"/>
  <c r="AU39" i="79" s="1"/>
  <c r="O46" i="79"/>
  <c r="AR46" i="79" s="1"/>
  <c r="S29" i="79"/>
  <c r="AV29" i="79" s="1"/>
  <c r="W33" i="79"/>
  <c r="AZ33" i="79" s="1"/>
  <c r="W40" i="79"/>
  <c r="AZ40" i="79" s="1"/>
  <c r="O28" i="79"/>
  <c r="AR28" i="79" s="1"/>
  <c r="W28" i="79"/>
  <c r="AZ28" i="79" s="1"/>
  <c r="L29" i="79"/>
  <c r="T29" i="79"/>
  <c r="AW29" i="79" s="1"/>
  <c r="V35" i="79"/>
  <c r="AY35" i="79" s="1"/>
  <c r="N35" i="79"/>
  <c r="AQ35" i="79" s="1"/>
  <c r="T35" i="79"/>
  <c r="AW35" i="79" s="1"/>
  <c r="L35" i="79"/>
  <c r="S35" i="79"/>
  <c r="AV35" i="79" s="1"/>
  <c r="R35" i="79"/>
  <c r="AU35" i="79" s="1"/>
  <c r="Q35" i="79"/>
  <c r="AT35" i="79" s="1"/>
  <c r="W35" i="79"/>
  <c r="AZ35" i="79" s="1"/>
  <c r="S56" i="79"/>
  <c r="W57" i="79"/>
  <c r="Q34" i="79"/>
  <c r="AT34" i="79" s="1"/>
  <c r="T41" i="79"/>
  <c r="AW41" i="79" s="1"/>
  <c r="S22" i="79"/>
  <c r="AV22" i="79" s="1"/>
  <c r="O26" i="79"/>
  <c r="AR26" i="79" s="1"/>
  <c r="W26" i="79"/>
  <c r="AZ26" i="79" s="1"/>
  <c r="Q28" i="79"/>
  <c r="AT28" i="79" s="1"/>
  <c r="N29" i="79"/>
  <c r="AQ29" i="79" s="1"/>
  <c r="V29" i="79"/>
  <c r="AY29" i="79" s="1"/>
  <c r="S30" i="79"/>
  <c r="AV30" i="79" s="1"/>
  <c r="M32" i="79"/>
  <c r="U32" i="79"/>
  <c r="AX32" i="79" s="1"/>
  <c r="V42" i="79"/>
  <c r="AY42" i="79" s="1"/>
  <c r="O29" i="79"/>
  <c r="AR29" i="79" s="1"/>
  <c r="W29" i="79"/>
  <c r="AZ29" i="79" s="1"/>
  <c r="O24" i="79"/>
  <c r="AR24" i="79" s="1"/>
  <c r="P29" i="79"/>
  <c r="AS29" i="79" s="1"/>
  <c r="M30" i="79"/>
  <c r="O32" i="79"/>
  <c r="AR32" i="79" s="1"/>
  <c r="M35" i="79"/>
  <c r="S36" i="79"/>
  <c r="AV36" i="79" s="1"/>
  <c r="X37" i="79"/>
  <c r="P43" i="79"/>
  <c r="AS43" i="79" s="1"/>
  <c r="R50" i="79"/>
  <c r="AU50" i="79" s="1"/>
  <c r="X50" i="79"/>
  <c r="P50" i="79"/>
  <c r="AS50" i="79" s="1"/>
  <c r="U50" i="79"/>
  <c r="AX50" i="79" s="1"/>
  <c r="M50" i="79"/>
  <c r="T50" i="79"/>
  <c r="AW50" i="79" s="1"/>
  <c r="L50" i="79"/>
  <c r="V50" i="79"/>
  <c r="AY50" i="79" s="1"/>
  <c r="S50" i="79"/>
  <c r="AV50" i="79" s="1"/>
  <c r="Q50" i="79"/>
  <c r="AT50" i="79" s="1"/>
  <c r="O50" i="79"/>
  <c r="AR50" i="79" s="1"/>
  <c r="N50" i="79"/>
  <c r="R37" i="79"/>
  <c r="AU37" i="79" s="1"/>
  <c r="O38" i="79"/>
  <c r="AR38" i="79" s="1"/>
  <c r="W38" i="79"/>
  <c r="AZ38" i="79" s="1"/>
  <c r="X48" i="79"/>
  <c r="P48" i="79"/>
  <c r="AS48" i="79" s="1"/>
  <c r="V48" i="79"/>
  <c r="AY48" i="79" s="1"/>
  <c r="N48" i="79"/>
  <c r="AQ48" i="79" s="1"/>
  <c r="S48" i="79"/>
  <c r="AV48" i="79" s="1"/>
  <c r="R48" i="79"/>
  <c r="AU48" i="79" s="1"/>
  <c r="U48" i="79"/>
  <c r="AX48" i="79" s="1"/>
  <c r="U49" i="79"/>
  <c r="AX49" i="79" s="1"/>
  <c r="R55" i="79"/>
  <c r="Q55" i="79"/>
  <c r="X55" i="79"/>
  <c r="P55" i="79"/>
  <c r="U55" i="79"/>
  <c r="M55" i="79"/>
  <c r="Z55" i="79" s="1"/>
  <c r="T55" i="79"/>
  <c r="L55" i="79"/>
  <c r="V57" i="79"/>
  <c r="I31" i="80"/>
  <c r="H31" i="80"/>
  <c r="G31" i="80"/>
  <c r="D147" i="81"/>
  <c r="C147" i="81" s="1"/>
  <c r="D92" i="81"/>
  <c r="C92" i="81" s="1"/>
  <c r="C37" i="81"/>
  <c r="L34" i="79"/>
  <c r="T34" i="79"/>
  <c r="AW34" i="79" s="1"/>
  <c r="N36" i="79"/>
  <c r="AQ36" i="79" s="1"/>
  <c r="V36" i="79"/>
  <c r="AY36" i="79" s="1"/>
  <c r="S37" i="79"/>
  <c r="AV37" i="79" s="1"/>
  <c r="P38" i="79"/>
  <c r="AS38" i="79" s="1"/>
  <c r="X38" i="79"/>
  <c r="M39" i="79"/>
  <c r="U39" i="79"/>
  <c r="AX39" i="79" s="1"/>
  <c r="O41" i="79"/>
  <c r="AR41" i="79" s="1"/>
  <c r="W41" i="79"/>
  <c r="AZ41" i="79" s="1"/>
  <c r="N46" i="79"/>
  <c r="AQ46" i="79" s="1"/>
  <c r="W48" i="79"/>
  <c r="AZ48" i="79" s="1"/>
  <c r="V54" i="79"/>
  <c r="N54" i="79"/>
  <c r="U54" i="79"/>
  <c r="M54" i="79"/>
  <c r="Z54" i="79" s="1"/>
  <c r="T54" i="79"/>
  <c r="L54" i="79"/>
  <c r="Q54" i="79"/>
  <c r="X54" i="79"/>
  <c r="P54" i="79"/>
  <c r="W54" i="79"/>
  <c r="O56" i="79"/>
  <c r="I19" i="80"/>
  <c r="H19" i="80"/>
  <c r="G19" i="80"/>
  <c r="O33" i="79"/>
  <c r="AR33" i="79" s="1"/>
  <c r="M34" i="79"/>
  <c r="U34" i="79"/>
  <c r="AX34" i="79" s="1"/>
  <c r="O36" i="79"/>
  <c r="AR36" i="79" s="1"/>
  <c r="W36" i="79"/>
  <c r="AZ36" i="79" s="1"/>
  <c r="L37" i="79"/>
  <c r="T37" i="79"/>
  <c r="AW37" i="79" s="1"/>
  <c r="Q38" i="79"/>
  <c r="AT38" i="79" s="1"/>
  <c r="N39" i="79"/>
  <c r="AQ39" i="79" s="1"/>
  <c r="V39" i="79"/>
  <c r="AY39" i="79" s="1"/>
  <c r="S40" i="79"/>
  <c r="AV40" i="79" s="1"/>
  <c r="P41" i="79"/>
  <c r="AS41" i="79" s="1"/>
  <c r="X41" i="79"/>
  <c r="M42" i="79"/>
  <c r="U43" i="79"/>
  <c r="AX43" i="79" s="1"/>
  <c r="M43" i="79"/>
  <c r="R43" i="79"/>
  <c r="AU43" i="79" s="1"/>
  <c r="Q43" i="79"/>
  <c r="AT43" i="79" s="1"/>
  <c r="R52" i="79"/>
  <c r="AU52" i="79" s="1"/>
  <c r="R56" i="79"/>
  <c r="M37" i="79"/>
  <c r="U37" i="79"/>
  <c r="AX37" i="79" s="1"/>
  <c r="R38" i="79"/>
  <c r="AU38" i="79" s="1"/>
  <c r="O39" i="79"/>
  <c r="AR39" i="79" s="1"/>
  <c r="W39" i="79"/>
  <c r="AZ39" i="79" s="1"/>
  <c r="W44" i="79"/>
  <c r="AZ44" i="79" s="1"/>
  <c r="T46" i="79"/>
  <c r="AW46" i="79" s="1"/>
  <c r="L46" i="79"/>
  <c r="Q46" i="79"/>
  <c r="AT46" i="79" s="1"/>
  <c r="X46" i="79"/>
  <c r="P46" i="79"/>
  <c r="AS46" i="79" s="1"/>
  <c r="R46" i="79"/>
  <c r="AU46" i="79" s="1"/>
  <c r="L48" i="79"/>
  <c r="S57" i="79"/>
  <c r="R57" i="79"/>
  <c r="Q57" i="79"/>
  <c r="X57" i="79"/>
  <c r="P57" i="79"/>
  <c r="U57" i="79"/>
  <c r="M57" i="79"/>
  <c r="Z57" i="79" s="1"/>
  <c r="T57" i="79"/>
  <c r="L57" i="79"/>
  <c r="V28" i="81"/>
  <c r="N28" i="81"/>
  <c r="U28" i="81"/>
  <c r="L28" i="81"/>
  <c r="T28" i="81"/>
  <c r="S28" i="81"/>
  <c r="R28" i="81"/>
  <c r="Q28" i="81"/>
  <c r="X28" i="81"/>
  <c r="O28" i="81"/>
  <c r="W28" i="81"/>
  <c r="P28" i="81"/>
  <c r="S38" i="81"/>
  <c r="O34" i="79"/>
  <c r="AR34" i="79" s="1"/>
  <c r="W34" i="79"/>
  <c r="AZ34" i="79" s="1"/>
  <c r="Q36" i="79"/>
  <c r="AT36" i="79" s="1"/>
  <c r="N37" i="79"/>
  <c r="AQ37" i="79" s="1"/>
  <c r="V37" i="79"/>
  <c r="AY37" i="79" s="1"/>
  <c r="S38" i="79"/>
  <c r="AV38" i="79" s="1"/>
  <c r="P39" i="79"/>
  <c r="AS39" i="79" s="1"/>
  <c r="X39" i="79"/>
  <c r="M40" i="79"/>
  <c r="U40" i="79"/>
  <c r="AX40" i="79" s="1"/>
  <c r="R41" i="79"/>
  <c r="AU41" i="79" s="1"/>
  <c r="U42" i="79"/>
  <c r="AX42" i="79" s="1"/>
  <c r="O42" i="79"/>
  <c r="AR42" i="79" s="1"/>
  <c r="X42" i="79"/>
  <c r="T43" i="79"/>
  <c r="AW43" i="79" s="1"/>
  <c r="W45" i="79"/>
  <c r="AZ45" i="79" s="1"/>
  <c r="S46" i="79"/>
  <c r="AV46" i="79" s="1"/>
  <c r="M48" i="79"/>
  <c r="V56" i="79"/>
  <c r="N56" i="79"/>
  <c r="U56" i="79"/>
  <c r="M56" i="79"/>
  <c r="Z56" i="79" s="1"/>
  <c r="T56" i="79"/>
  <c r="L56" i="79"/>
  <c r="Q56" i="79"/>
  <c r="X56" i="79"/>
  <c r="P56" i="79"/>
  <c r="W56" i="79"/>
  <c r="S57" i="81"/>
  <c r="S55" i="81"/>
  <c r="S49" i="81"/>
  <c r="S25" i="81"/>
  <c r="S56" i="81"/>
  <c r="S27" i="81"/>
  <c r="S26" i="81"/>
  <c r="S47" i="81"/>
  <c r="S33" i="81"/>
  <c r="S32" i="81"/>
  <c r="S45" i="81"/>
  <c r="S44" i="81"/>
  <c r="S52" i="81"/>
  <c r="S51" i="81"/>
  <c r="S48" i="81"/>
  <c r="S41" i="81"/>
  <c r="S40" i="81"/>
  <c r="S39" i="81"/>
  <c r="O37" i="79"/>
  <c r="AR37" i="79" s="1"/>
  <c r="W37" i="79"/>
  <c r="AZ37" i="79" s="1"/>
  <c r="L38" i="79"/>
  <c r="T38" i="79"/>
  <c r="AW38" i="79" s="1"/>
  <c r="U46" i="79"/>
  <c r="AX46" i="79" s="1"/>
  <c r="O48" i="79"/>
  <c r="AR48" i="79" s="1"/>
  <c r="W51" i="79"/>
  <c r="AZ51" i="79" s="1"/>
  <c r="S55" i="79"/>
  <c r="P37" i="79"/>
  <c r="AS37" i="79" s="1"/>
  <c r="M38" i="79"/>
  <c r="O40" i="79"/>
  <c r="AR40" i="79" s="1"/>
  <c r="L41" i="79"/>
  <c r="Q42" i="79"/>
  <c r="AT42" i="79" s="1"/>
  <c r="L43" i="79"/>
  <c r="W43" i="79"/>
  <c r="AZ43" i="79" s="1"/>
  <c r="V46" i="79"/>
  <c r="AY46" i="79" s="1"/>
  <c r="Q48" i="79"/>
  <c r="AT48" i="79" s="1"/>
  <c r="W53" i="79"/>
  <c r="AZ53" i="79" s="1"/>
  <c r="O54" i="79"/>
  <c r="V55" i="79"/>
  <c r="N57" i="79"/>
  <c r="I18" i="80"/>
  <c r="H18" i="80"/>
  <c r="G18" i="80"/>
  <c r="I25" i="80"/>
  <c r="H25" i="80"/>
  <c r="G25" i="80"/>
  <c r="G56" i="80"/>
  <c r="I56" i="80"/>
  <c r="H56" i="80"/>
  <c r="D154" i="81"/>
  <c r="C154" i="81" s="1"/>
  <c r="D99" i="81"/>
  <c r="C99" i="81" s="1"/>
  <c r="C44" i="81"/>
  <c r="O49" i="79"/>
  <c r="AR49" i="79" s="1"/>
  <c r="W49" i="79"/>
  <c r="AZ49" i="79" s="1"/>
  <c r="Q51" i="79"/>
  <c r="AT51" i="79" s="1"/>
  <c r="H16" i="80"/>
  <c r="I24" i="80"/>
  <c r="G35" i="80"/>
  <c r="I36" i="80"/>
  <c r="G40" i="80"/>
  <c r="H41" i="80"/>
  <c r="H49" i="80"/>
  <c r="Q55" i="81"/>
  <c r="Q56" i="81"/>
  <c r="Q45" i="81"/>
  <c r="Q44" i="81"/>
  <c r="Q26" i="81"/>
  <c r="Q25" i="81"/>
  <c r="Q24" i="81"/>
  <c r="Q51" i="81"/>
  <c r="O24" i="81"/>
  <c r="O25" i="81"/>
  <c r="O26" i="81"/>
  <c r="T29" i="81"/>
  <c r="L29" i="81"/>
  <c r="V29" i="81"/>
  <c r="U29" i="81"/>
  <c r="S29" i="81"/>
  <c r="R29" i="81"/>
  <c r="Q29" i="81"/>
  <c r="X29" i="81"/>
  <c r="O29" i="81"/>
  <c r="D148" i="81"/>
  <c r="C148" i="81" s="1"/>
  <c r="D93" i="81"/>
  <c r="C93" i="81" s="1"/>
  <c r="C38" i="81"/>
  <c r="D155" i="81"/>
  <c r="C155" i="81" s="1"/>
  <c r="D100" i="81"/>
  <c r="C100" i="81" s="1"/>
  <c r="C45" i="81"/>
  <c r="O44" i="79"/>
  <c r="AR44" i="79" s="1"/>
  <c r="L45" i="79"/>
  <c r="T45" i="79"/>
  <c r="AW45" i="79" s="1"/>
  <c r="P49" i="79"/>
  <c r="AS49" i="79" s="1"/>
  <c r="X49" i="79"/>
  <c r="R51" i="79"/>
  <c r="AU51" i="79" s="1"/>
  <c r="O52" i="79"/>
  <c r="AR52" i="79" s="1"/>
  <c r="W52" i="79"/>
  <c r="AZ52" i="79" s="1"/>
  <c r="L53" i="79"/>
  <c r="T53" i="79"/>
  <c r="AW53" i="79" s="1"/>
  <c r="I29" i="80"/>
  <c r="G45" i="80"/>
  <c r="I49" i="80"/>
  <c r="G53" i="80"/>
  <c r="G58" i="80"/>
  <c r="V25" i="81"/>
  <c r="V26" i="81"/>
  <c r="T37" i="81"/>
  <c r="L37" i="81"/>
  <c r="X37" i="81"/>
  <c r="O37" i="81"/>
  <c r="W37" i="81"/>
  <c r="N37" i="81"/>
  <c r="V37" i="81"/>
  <c r="U37" i="81"/>
  <c r="S37" i="81"/>
  <c r="Q37" i="81"/>
  <c r="Q42" i="81"/>
  <c r="D158" i="81"/>
  <c r="C158" i="81" s="1"/>
  <c r="D103" i="81"/>
  <c r="C103" i="81" s="1"/>
  <c r="C48" i="81"/>
  <c r="D161" i="81"/>
  <c r="C161" i="81" s="1"/>
  <c r="D106" i="81"/>
  <c r="C106" i="81" s="1"/>
  <c r="C51" i="81"/>
  <c r="W52" i="81"/>
  <c r="V36" i="81"/>
  <c r="N36" i="81"/>
  <c r="X36" i="81"/>
  <c r="O36" i="81"/>
  <c r="W36" i="81"/>
  <c r="U36" i="81"/>
  <c r="L36" i="81"/>
  <c r="T36" i="81"/>
  <c r="S36" i="81"/>
  <c r="Q36" i="81"/>
  <c r="O45" i="79"/>
  <c r="AR45" i="79" s="1"/>
  <c r="S49" i="79"/>
  <c r="AV49" i="79" s="1"/>
  <c r="M51" i="79"/>
  <c r="U51" i="79"/>
  <c r="AX51" i="79" s="1"/>
  <c r="O53" i="79"/>
  <c r="AR53" i="79" s="1"/>
  <c r="H38" i="80"/>
  <c r="J57" i="80"/>
  <c r="P30" i="81"/>
  <c r="W31" i="81"/>
  <c r="D146" i="81"/>
  <c r="C146" i="81" s="1"/>
  <c r="D91" i="81"/>
  <c r="C91" i="81" s="1"/>
  <c r="C36" i="81"/>
  <c r="D153" i="81"/>
  <c r="C153" i="81" s="1"/>
  <c r="C43" i="81"/>
  <c r="D98" i="81"/>
  <c r="C98" i="81" s="1"/>
  <c r="G37" i="80"/>
  <c r="G43" i="80"/>
  <c r="I46" i="80"/>
  <c r="G46" i="80"/>
  <c r="G51" i="80"/>
  <c r="I54" i="80"/>
  <c r="G54" i="80"/>
  <c r="N55" i="81"/>
  <c r="N54" i="81"/>
  <c r="N35" i="81"/>
  <c r="N34" i="81"/>
  <c r="N33" i="81"/>
  <c r="N57" i="81"/>
  <c r="N45" i="81"/>
  <c r="N27" i="81"/>
  <c r="N26" i="81"/>
  <c r="V55" i="81"/>
  <c r="V50" i="81"/>
  <c r="V49" i="81"/>
  <c r="V46" i="81"/>
  <c r="P29" i="81"/>
  <c r="P37" i="81"/>
  <c r="X39" i="81"/>
  <c r="P39" i="81"/>
  <c r="O39" i="81"/>
  <c r="W39" i="81"/>
  <c r="N39" i="81"/>
  <c r="V39" i="81"/>
  <c r="U39" i="81"/>
  <c r="L39" i="81"/>
  <c r="T39" i="81"/>
  <c r="R39" i="81"/>
  <c r="Q46" i="81"/>
  <c r="M49" i="79"/>
  <c r="O51" i="79"/>
  <c r="AR51" i="79" s="1"/>
  <c r="D16" i="80"/>
  <c r="I37" i="80"/>
  <c r="H43" i="80"/>
  <c r="H51" i="80"/>
  <c r="G55" i="80"/>
  <c r="O51" i="81"/>
  <c r="O52" i="81"/>
  <c r="O49" i="81"/>
  <c r="O46" i="81"/>
  <c r="O47" i="81"/>
  <c r="O54" i="81"/>
  <c r="W57" i="81"/>
  <c r="W53" i="81"/>
  <c r="W47" i="81"/>
  <c r="W35" i="81"/>
  <c r="W34" i="81"/>
  <c r="W33" i="81"/>
  <c r="W32" i="81"/>
  <c r="W45" i="81"/>
  <c r="W44" i="81"/>
  <c r="W27" i="81"/>
  <c r="W26" i="81"/>
  <c r="W50" i="81"/>
  <c r="W29" i="81"/>
  <c r="X31" i="81"/>
  <c r="P31" i="81"/>
  <c r="V31" i="81"/>
  <c r="U31" i="81"/>
  <c r="L31" i="81"/>
  <c r="T31" i="81"/>
  <c r="S31" i="81"/>
  <c r="R31" i="81"/>
  <c r="O31" i="81"/>
  <c r="D145" i="81"/>
  <c r="C145" i="81" s="1"/>
  <c r="C35" i="81"/>
  <c r="D90" i="81"/>
  <c r="C90" i="81" s="1"/>
  <c r="R37" i="81"/>
  <c r="V54" i="81"/>
  <c r="I55" i="80"/>
  <c r="O27" i="81"/>
  <c r="R30" i="81"/>
  <c r="V30" i="81"/>
  <c r="U30" i="81"/>
  <c r="L30" i="81"/>
  <c r="T30" i="81"/>
  <c r="S30" i="81"/>
  <c r="Q30" i="81"/>
  <c r="X30" i="81"/>
  <c r="O30" i="81"/>
  <c r="P36" i="81"/>
  <c r="R38" i="81"/>
  <c r="X38" i="81"/>
  <c r="O38" i="81"/>
  <c r="W38" i="81"/>
  <c r="N38" i="81"/>
  <c r="V38" i="81"/>
  <c r="U38" i="81"/>
  <c r="L38" i="81"/>
  <c r="T38" i="81"/>
  <c r="Q38" i="81"/>
  <c r="Q47" i="81"/>
  <c r="O50" i="81"/>
  <c r="O53" i="81"/>
  <c r="V48" i="81"/>
  <c r="N48" i="81"/>
  <c r="T48" i="81"/>
  <c r="L48" i="81"/>
  <c r="Q48" i="81"/>
  <c r="D159" i="81"/>
  <c r="C159" i="81" s="1"/>
  <c r="D104" i="81"/>
  <c r="C104" i="81" s="1"/>
  <c r="D162" i="81"/>
  <c r="C162" i="81" s="1"/>
  <c r="D107" i="81"/>
  <c r="C107" i="81" s="1"/>
  <c r="L55" i="81"/>
  <c r="L79" i="81"/>
  <c r="K79" i="81"/>
  <c r="B79" i="81"/>
  <c r="N25" i="81"/>
  <c r="V32" i="81"/>
  <c r="N32" i="81"/>
  <c r="P32" i="81"/>
  <c r="T33" i="81"/>
  <c r="L33" i="81"/>
  <c r="P33" i="81"/>
  <c r="R34" i="81"/>
  <c r="P34" i="81"/>
  <c r="X35" i="81"/>
  <c r="P35" i="81"/>
  <c r="Q35" i="81"/>
  <c r="D149" i="81"/>
  <c r="C149" i="81" s="1"/>
  <c r="D94" i="81"/>
  <c r="C94" i="81" s="1"/>
  <c r="C39" i="81"/>
  <c r="R40" i="81"/>
  <c r="D151" i="81"/>
  <c r="C151" i="81" s="1"/>
  <c r="D96" i="81"/>
  <c r="C96" i="81" s="1"/>
  <c r="R41" i="81"/>
  <c r="D152" i="81"/>
  <c r="C152" i="81" s="1"/>
  <c r="D97" i="81"/>
  <c r="C97" i="81" s="1"/>
  <c r="S42" i="81"/>
  <c r="S43" i="81"/>
  <c r="L46" i="81"/>
  <c r="R48" i="81"/>
  <c r="N50" i="81"/>
  <c r="X51" i="81"/>
  <c r="P51" i="81"/>
  <c r="V51" i="81"/>
  <c r="N51" i="81"/>
  <c r="R51" i="81"/>
  <c r="U52" i="81"/>
  <c r="N53" i="81"/>
  <c r="S54" i="81"/>
  <c r="R54" i="81"/>
  <c r="Q54" i="81"/>
  <c r="X54" i="81"/>
  <c r="P54" i="81"/>
  <c r="U54" i="81"/>
  <c r="T54" i="81"/>
  <c r="B76" i="81"/>
  <c r="D79" i="81"/>
  <c r="C79" i="81" s="1"/>
  <c r="K103" i="81"/>
  <c r="B103" i="81"/>
  <c r="L103" i="81"/>
  <c r="D150" i="81"/>
  <c r="C150" i="81" s="1"/>
  <c r="V24" i="81"/>
  <c r="N24" i="81"/>
  <c r="P24" i="81"/>
  <c r="T25" i="81"/>
  <c r="L25" i="81"/>
  <c r="P25" i="81"/>
  <c r="R26" i="81"/>
  <c r="P26" i="81"/>
  <c r="X27" i="81"/>
  <c r="P27" i="81"/>
  <c r="Q27" i="81"/>
  <c r="C30" i="81"/>
  <c r="D141" i="81"/>
  <c r="C141" i="81" s="1"/>
  <c r="D86" i="81"/>
  <c r="C86" i="81" s="1"/>
  <c r="C31" i="81"/>
  <c r="D87" i="81"/>
  <c r="C87" i="81" s="1"/>
  <c r="D142" i="81"/>
  <c r="C142" i="81" s="1"/>
  <c r="R32" i="81"/>
  <c r="D88" i="81"/>
  <c r="C88" i="81" s="1"/>
  <c r="D143" i="81"/>
  <c r="C143" i="81" s="1"/>
  <c r="R33" i="81"/>
  <c r="D144" i="81"/>
  <c r="C144" i="81" s="1"/>
  <c r="D89" i="81"/>
  <c r="C89" i="81" s="1"/>
  <c r="S34" i="81"/>
  <c r="S35" i="81"/>
  <c r="T40" i="81"/>
  <c r="U41" i="81"/>
  <c r="L42" i="81"/>
  <c r="U42" i="81"/>
  <c r="L43" i="81"/>
  <c r="U43" i="81"/>
  <c r="L44" i="81"/>
  <c r="U44" i="81"/>
  <c r="V45" i="81"/>
  <c r="N46" i="81"/>
  <c r="X47" i="81"/>
  <c r="P47" i="81"/>
  <c r="V47" i="81"/>
  <c r="N47" i="81"/>
  <c r="R47" i="81"/>
  <c r="U48" i="81"/>
  <c r="N49" i="81"/>
  <c r="X49" i="81"/>
  <c r="T51" i="81"/>
  <c r="X52" i="81"/>
  <c r="W54" i="81"/>
  <c r="T55" i="81"/>
  <c r="P56" i="81"/>
  <c r="B68" i="81"/>
  <c r="D85" i="81"/>
  <c r="C85" i="81" s="1"/>
  <c r="U143" i="81"/>
  <c r="P143" i="81"/>
  <c r="X143" i="81"/>
  <c r="O143" i="81"/>
  <c r="W143" i="81"/>
  <c r="N143" i="81"/>
  <c r="V143" i="81"/>
  <c r="T143" i="81"/>
  <c r="R143" i="81"/>
  <c r="S143" i="81"/>
  <c r="Q143" i="81"/>
  <c r="D137" i="81"/>
  <c r="C137" i="81" s="1"/>
  <c r="C27" i="81"/>
  <c r="D138" i="81"/>
  <c r="C138" i="81" s="1"/>
  <c r="D83" i="81"/>
  <c r="C83" i="81" s="1"/>
  <c r="D139" i="81"/>
  <c r="C139" i="81" s="1"/>
  <c r="D84" i="81"/>
  <c r="C84" i="81" s="1"/>
  <c r="T34" i="81"/>
  <c r="T35" i="81"/>
  <c r="L40" i="81"/>
  <c r="U40" i="81"/>
  <c r="V41" i="81"/>
  <c r="V42" i="81"/>
  <c r="V43" i="81"/>
  <c r="D157" i="81"/>
  <c r="C157" i="81" s="1"/>
  <c r="D102" i="81"/>
  <c r="C102" i="81" s="1"/>
  <c r="C47" i="81"/>
  <c r="W48" i="81"/>
  <c r="R50" i="81"/>
  <c r="X50" i="81"/>
  <c r="P50" i="81"/>
  <c r="S50" i="81"/>
  <c r="U51" i="81"/>
  <c r="T53" i="81"/>
  <c r="L53" i="81"/>
  <c r="S53" i="81"/>
  <c r="R53" i="81"/>
  <c r="Q53" i="81"/>
  <c r="X55" i="81"/>
  <c r="U55" i="81"/>
  <c r="R56" i="81"/>
  <c r="L81" i="81"/>
  <c r="B81" i="81"/>
  <c r="K81" i="81"/>
  <c r="R24" i="81"/>
  <c r="D135" i="81"/>
  <c r="C135" i="81" s="1"/>
  <c r="D80" i="81"/>
  <c r="C80" i="81" s="1"/>
  <c r="R25" i="81"/>
  <c r="D136" i="81"/>
  <c r="C136" i="81" s="1"/>
  <c r="D81" i="81"/>
  <c r="C81" i="81" s="1"/>
  <c r="T32" i="81"/>
  <c r="U33" i="81"/>
  <c r="L34" i="81"/>
  <c r="U34" i="81"/>
  <c r="L35" i="81"/>
  <c r="U35" i="81"/>
  <c r="W40" i="81"/>
  <c r="N41" i="81"/>
  <c r="W41" i="81"/>
  <c r="N42" i="81"/>
  <c r="W42" i="81"/>
  <c r="N43" i="81"/>
  <c r="W43" i="81"/>
  <c r="O44" i="81"/>
  <c r="O45" i="81"/>
  <c r="T47" i="81"/>
  <c r="X48" i="81"/>
  <c r="D160" i="81"/>
  <c r="C160" i="81" s="1"/>
  <c r="D105" i="81"/>
  <c r="C105" i="81" s="1"/>
  <c r="C50" i="81"/>
  <c r="T50" i="81"/>
  <c r="L51" i="81"/>
  <c r="W51" i="81"/>
  <c r="P52" i="81"/>
  <c r="U53" i="81"/>
  <c r="L54" i="81"/>
  <c r="W56" i="81"/>
  <c r="D108" i="81"/>
  <c r="C108" i="81" s="1"/>
  <c r="S24" i="81"/>
  <c r="T26" i="81"/>
  <c r="T27" i="81"/>
  <c r="L32" i="81"/>
  <c r="U32" i="81"/>
  <c r="V33" i="81"/>
  <c r="V34" i="81"/>
  <c r="V35" i="81"/>
  <c r="O40" i="81"/>
  <c r="O41" i="81"/>
  <c r="O42" i="81"/>
  <c r="V44" i="81"/>
  <c r="N44" i="81"/>
  <c r="P44" i="81"/>
  <c r="T45" i="81"/>
  <c r="L45" i="81"/>
  <c r="P45" i="81"/>
  <c r="R46" i="81"/>
  <c r="X46" i="81"/>
  <c r="P46" i="81"/>
  <c r="S46" i="81"/>
  <c r="U47" i="81"/>
  <c r="O48" i="81"/>
  <c r="T49" i="81"/>
  <c r="L49" i="81"/>
  <c r="R49" i="81"/>
  <c r="Q49" i="81"/>
  <c r="U50" i="81"/>
  <c r="V52" i="81"/>
  <c r="N52" i="81"/>
  <c r="T52" i="81"/>
  <c r="L52" i="81"/>
  <c r="Q52" i="81"/>
  <c r="V53" i="81"/>
  <c r="R57" i="81"/>
  <c r="T24" i="81"/>
  <c r="U25" i="81"/>
  <c r="L26" i="81"/>
  <c r="U26" i="81"/>
  <c r="L27" i="81"/>
  <c r="V40" i="81"/>
  <c r="N40" i="81"/>
  <c r="P40" i="81"/>
  <c r="T41" i="81"/>
  <c r="L41" i="81"/>
  <c r="P41" i="81"/>
  <c r="R42" i="81"/>
  <c r="P42" i="81"/>
  <c r="X43" i="81"/>
  <c r="P43" i="81"/>
  <c r="Q43" i="81"/>
  <c r="D156" i="81"/>
  <c r="C156" i="81" s="1"/>
  <c r="D101" i="81"/>
  <c r="C101" i="81" s="1"/>
  <c r="C46" i="81"/>
  <c r="T46" i="81"/>
  <c r="L47" i="81"/>
  <c r="P48" i="81"/>
  <c r="C49" i="81"/>
  <c r="L50" i="81"/>
  <c r="C52" i="81"/>
  <c r="K82" i="81"/>
  <c r="L82" i="81"/>
  <c r="B82" i="81"/>
  <c r="Q57" i="81"/>
  <c r="O57" i="81"/>
  <c r="X57" i="81"/>
  <c r="L89" i="81"/>
  <c r="B89" i="81"/>
  <c r="L97" i="81"/>
  <c r="B97" i="81"/>
  <c r="R157" i="81"/>
  <c r="R137" i="81"/>
  <c r="B129" i="81"/>
  <c r="B92" i="81"/>
  <c r="L92" i="81"/>
  <c r="T157" i="81"/>
  <c r="T162" i="81"/>
  <c r="B87" i="81"/>
  <c r="L111" i="81"/>
  <c r="K111" i="81"/>
  <c r="B111" i="81"/>
  <c r="D164" i="81"/>
  <c r="C164" i="81" s="1"/>
  <c r="D109" i="81"/>
  <c r="C109" i="81" s="1"/>
  <c r="O55" i="81"/>
  <c r="W55" i="81"/>
  <c r="U56" i="81"/>
  <c r="T57" i="81"/>
  <c r="B86" i="81"/>
  <c r="L86" i="81"/>
  <c r="D111" i="81"/>
  <c r="C111" i="81" s="1"/>
  <c r="P55" i="81"/>
  <c r="N56" i="81"/>
  <c r="V56" i="81"/>
  <c r="L57" i="81"/>
  <c r="U57" i="81"/>
  <c r="K87" i="81"/>
  <c r="K92" i="81"/>
  <c r="K95" i="81"/>
  <c r="B95" i="81"/>
  <c r="T137" i="81"/>
  <c r="D165" i="81"/>
  <c r="C165" i="81" s="1"/>
  <c r="D110" i="81"/>
  <c r="C110" i="81" s="1"/>
  <c r="O56" i="81"/>
  <c r="V57" i="81"/>
  <c r="B84" i="81"/>
  <c r="L87" i="81"/>
  <c r="K90" i="81"/>
  <c r="L105" i="81"/>
  <c r="K105" i="81"/>
  <c r="B105" i="81"/>
  <c r="Q141" i="81"/>
  <c r="P141" i="81"/>
  <c r="X141" i="81"/>
  <c r="O141" i="81"/>
  <c r="W141" i="81"/>
  <c r="N141" i="81"/>
  <c r="V141" i="81"/>
  <c r="U141" i="81"/>
  <c r="S141" i="81"/>
  <c r="T141" i="81"/>
  <c r="R141" i="81"/>
  <c r="D167" i="81"/>
  <c r="C167" i="81" s="1"/>
  <c r="D112" i="81"/>
  <c r="C112" i="81" s="1"/>
  <c r="L94" i="81"/>
  <c r="L102" i="81"/>
  <c r="L110" i="81"/>
  <c r="L100" i="81"/>
  <c r="L108" i="81"/>
  <c r="S136" i="81"/>
  <c r="P136" i="81"/>
  <c r="X136" i="81"/>
  <c r="O136" i="81"/>
  <c r="W136" i="81"/>
  <c r="N136" i="81"/>
  <c r="U136" i="81"/>
  <c r="R136" i="81"/>
  <c r="Q137" i="81"/>
  <c r="P137" i="81"/>
  <c r="X137" i="81"/>
  <c r="O137" i="81"/>
  <c r="W137" i="81"/>
  <c r="N137" i="81"/>
  <c r="U137" i="81"/>
  <c r="S137" i="81"/>
  <c r="W138" i="81"/>
  <c r="O138" i="81"/>
  <c r="P138" i="81"/>
  <c r="X138" i="81"/>
  <c r="N138" i="81"/>
  <c r="V138" i="81"/>
  <c r="T138" i="81"/>
  <c r="R138" i="81"/>
  <c r="U157" i="81"/>
  <c r="K98" i="81"/>
  <c r="K106" i="81"/>
  <c r="N157" i="81"/>
  <c r="V157" i="81"/>
  <c r="S152" i="81"/>
  <c r="P152" i="81"/>
  <c r="X152" i="81"/>
  <c r="O152" i="81"/>
  <c r="W152" i="81"/>
  <c r="N152" i="81"/>
  <c r="V152" i="81"/>
  <c r="U152" i="81"/>
  <c r="R152" i="81"/>
  <c r="L106" i="81"/>
  <c r="O157" i="81"/>
  <c r="B130" i="81"/>
  <c r="Q136" i="81"/>
  <c r="Q138" i="81"/>
  <c r="L155" i="81"/>
  <c r="K155" i="81"/>
  <c r="Q157" i="81"/>
  <c r="S162" i="81"/>
  <c r="L159" i="81"/>
  <c r="K159" i="81"/>
  <c r="B159" i="81"/>
  <c r="X162" i="81"/>
  <c r="L163" i="81"/>
  <c r="K163" i="81"/>
  <c r="B163" i="81"/>
  <c r="L167" i="81"/>
  <c r="K167" i="81"/>
  <c r="B167" i="81"/>
  <c r="B156" i="81"/>
  <c r="L164" i="81"/>
  <c r="R162" i="81"/>
  <c r="U162" i="81"/>
  <c r="P157" i="81"/>
  <c r="X157" i="81"/>
  <c r="N162" i="81"/>
  <c r="V162" i="81"/>
  <c r="O162" i="81"/>
  <c r="W162" i="81"/>
  <c r="P162" i="81"/>
  <c r="BF22" i="78" l="1"/>
  <c r="BF18" i="78"/>
  <c r="BF14" i="78"/>
  <c r="G114" i="81"/>
  <c r="G115" i="81"/>
  <c r="F137" i="81"/>
  <c r="F136" i="81"/>
  <c r="F138" i="81"/>
  <c r="F157" i="81"/>
  <c r="F141" i="81"/>
  <c r="F152" i="81"/>
  <c r="F162" i="81"/>
  <c r="F143" i="81"/>
  <c r="F38" i="79"/>
  <c r="F27" i="79"/>
  <c r="F41" i="79"/>
  <c r="F57" i="79"/>
  <c r="F36" i="79"/>
  <c r="F52" i="79"/>
  <c r="F25" i="79"/>
  <c r="F48" i="79"/>
  <c r="F30" i="79"/>
  <c r="F47" i="79"/>
  <c r="F54" i="79"/>
  <c r="F33" i="79"/>
  <c r="F56" i="79"/>
  <c r="F39" i="79"/>
  <c r="F37" i="79"/>
  <c r="F34" i="79"/>
  <c r="F55" i="79"/>
  <c r="F50" i="79"/>
  <c r="F29" i="79"/>
  <c r="F42" i="79"/>
  <c r="F32" i="79"/>
  <c r="F51" i="79"/>
  <c r="F24" i="79"/>
  <c r="F45" i="79"/>
  <c r="F46" i="79"/>
  <c r="F26" i="79"/>
  <c r="F40" i="79"/>
  <c r="F28" i="79"/>
  <c r="F31" i="79"/>
  <c r="F53" i="79"/>
  <c r="F43" i="79"/>
  <c r="F35" i="79"/>
  <c r="F44" i="79"/>
  <c r="F49" i="79"/>
  <c r="F142" i="76"/>
  <c r="F163" i="76"/>
  <c r="F155" i="76"/>
  <c r="F161" i="76"/>
  <c r="F153" i="76"/>
  <c r="F149" i="76"/>
  <c r="F144" i="76"/>
  <c r="F148" i="76"/>
  <c r="F167" i="76"/>
  <c r="F159" i="76"/>
  <c r="F141" i="76"/>
  <c r="F136" i="76"/>
  <c r="F138" i="76"/>
  <c r="F143" i="76"/>
  <c r="F137" i="76"/>
  <c r="F166" i="76"/>
  <c r="F158" i="76"/>
  <c r="F145" i="76"/>
  <c r="F140" i="76"/>
  <c r="F146" i="76"/>
  <c r="F139" i="76"/>
  <c r="T70" i="76"/>
  <c r="O155" i="81"/>
  <c r="W155" i="81"/>
  <c r="P155" i="81"/>
  <c r="N155" i="81"/>
  <c r="Q155" i="81"/>
  <c r="S83" i="76"/>
  <c r="AB83" i="76"/>
  <c r="X155" i="81"/>
  <c r="Q112" i="81"/>
  <c r="X112" i="81"/>
  <c r="W112" i="81"/>
  <c r="U98" i="76"/>
  <c r="V135" i="76"/>
  <c r="O112" i="81"/>
  <c r="N154" i="81"/>
  <c r="S109" i="81"/>
  <c r="Y109" i="81"/>
  <c r="Q98" i="81"/>
  <c r="T98" i="81"/>
  <c r="T155" i="81"/>
  <c r="U155" i="81"/>
  <c r="R155" i="81"/>
  <c r="V155" i="81"/>
  <c r="AB109" i="81"/>
  <c r="V154" i="81"/>
  <c r="X109" i="81"/>
  <c r="P98" i="81"/>
  <c r="U98" i="81"/>
  <c r="T109" i="81"/>
  <c r="W98" i="81"/>
  <c r="O154" i="81"/>
  <c r="W154" i="81"/>
  <c r="V109" i="81"/>
  <c r="U109" i="81"/>
  <c r="X98" i="81"/>
  <c r="N98" i="81"/>
  <c r="R135" i="76"/>
  <c r="X135" i="76"/>
  <c r="Q109" i="81"/>
  <c r="P154" i="81"/>
  <c r="W109" i="81"/>
  <c r="N109" i="81"/>
  <c r="Z109" i="81"/>
  <c r="T154" i="81"/>
  <c r="R154" i="81"/>
  <c r="R98" i="81"/>
  <c r="V98" i="81"/>
  <c r="Q135" i="76"/>
  <c r="P135" i="76"/>
  <c r="T135" i="76"/>
  <c r="U135" i="76"/>
  <c r="W135" i="76"/>
  <c r="X154" i="81"/>
  <c r="Z98" i="81"/>
  <c r="S98" i="81"/>
  <c r="O135" i="76"/>
  <c r="P109" i="81"/>
  <c r="AB98" i="81"/>
  <c r="O109" i="81"/>
  <c r="Q154" i="81"/>
  <c r="R109" i="81"/>
  <c r="S154" i="81"/>
  <c r="O98" i="81"/>
  <c r="AA98" i="81"/>
  <c r="S135" i="76"/>
  <c r="X147" i="76"/>
  <c r="P98" i="76"/>
  <c r="R98" i="76"/>
  <c r="V83" i="76"/>
  <c r="P147" i="76"/>
  <c r="W147" i="76"/>
  <c r="W98" i="76"/>
  <c r="X98" i="76"/>
  <c r="Q147" i="76"/>
  <c r="O147" i="76"/>
  <c r="Q98" i="76"/>
  <c r="O98" i="76"/>
  <c r="R83" i="76"/>
  <c r="U83" i="76"/>
  <c r="AA112" i="81"/>
  <c r="P112" i="81"/>
  <c r="V112" i="81"/>
  <c r="O83" i="76"/>
  <c r="Y98" i="76"/>
  <c r="W83" i="76"/>
  <c r="Q83" i="76"/>
  <c r="S112" i="81"/>
  <c r="T112" i="81"/>
  <c r="Z112" i="81"/>
  <c r="Z83" i="76"/>
  <c r="S98" i="76"/>
  <c r="T147" i="76"/>
  <c r="Y83" i="76"/>
  <c r="AB112" i="81"/>
  <c r="AB98" i="76"/>
  <c r="Z98" i="76"/>
  <c r="X83" i="76"/>
  <c r="AA98" i="76"/>
  <c r="T83" i="76"/>
  <c r="T98" i="76"/>
  <c r="R112" i="81"/>
  <c r="Y112" i="81"/>
  <c r="N112" i="81"/>
  <c r="V98" i="76"/>
  <c r="N83" i="76"/>
  <c r="X158" i="81"/>
  <c r="Y90" i="81"/>
  <c r="U158" i="81"/>
  <c r="R90" i="81"/>
  <c r="O158" i="81"/>
  <c r="T158" i="81"/>
  <c r="W90" i="81"/>
  <c r="Z90" i="81"/>
  <c r="V158" i="81"/>
  <c r="P158" i="81"/>
  <c r="N158" i="81"/>
  <c r="N90" i="81"/>
  <c r="S90" i="81"/>
  <c r="Q158" i="81"/>
  <c r="AB90" i="81"/>
  <c r="AA90" i="81"/>
  <c r="O90" i="81"/>
  <c r="U90" i="81"/>
  <c r="W158" i="81"/>
  <c r="Q90" i="81"/>
  <c r="T90" i="81"/>
  <c r="P90" i="81"/>
  <c r="S158" i="81"/>
  <c r="V90" i="81"/>
  <c r="T165" i="76"/>
  <c r="V77" i="76"/>
  <c r="U165" i="76"/>
  <c r="X165" i="81"/>
  <c r="R165" i="81"/>
  <c r="V165" i="76"/>
  <c r="S165" i="76"/>
  <c r="O153" i="81"/>
  <c r="X153" i="81"/>
  <c r="V153" i="81"/>
  <c r="T153" i="81"/>
  <c r="Q165" i="76"/>
  <c r="P165" i="76"/>
  <c r="W153" i="81"/>
  <c r="V165" i="81"/>
  <c r="W165" i="81"/>
  <c r="N165" i="81"/>
  <c r="P165" i="81"/>
  <c r="P153" i="81"/>
  <c r="S77" i="76"/>
  <c r="Q153" i="81"/>
  <c r="X165" i="76"/>
  <c r="N165" i="76"/>
  <c r="W77" i="76"/>
  <c r="U77" i="76"/>
  <c r="P77" i="76"/>
  <c r="H169" i="81"/>
  <c r="O165" i="76"/>
  <c r="R77" i="76"/>
  <c r="R165" i="76"/>
  <c r="Q165" i="81"/>
  <c r="N153" i="81"/>
  <c r="T165" i="81"/>
  <c r="O165" i="81"/>
  <c r="T77" i="76"/>
  <c r="U153" i="81"/>
  <c r="S153" i="81"/>
  <c r="U165" i="81"/>
  <c r="Q77" i="76"/>
  <c r="T69" i="76"/>
  <c r="R101" i="76"/>
  <c r="U76" i="76"/>
  <c r="X101" i="76"/>
  <c r="S101" i="76"/>
  <c r="P162" i="76"/>
  <c r="N162" i="76"/>
  <c r="W162" i="76"/>
  <c r="Q69" i="76"/>
  <c r="Y78" i="76"/>
  <c r="Q76" i="76"/>
  <c r="V101" i="76"/>
  <c r="P69" i="76"/>
  <c r="W76" i="76"/>
  <c r="X162" i="76"/>
  <c r="Y101" i="76"/>
  <c r="W69" i="76"/>
  <c r="W101" i="76"/>
  <c r="S76" i="76"/>
  <c r="R76" i="76"/>
  <c r="P101" i="76"/>
  <c r="T162" i="76"/>
  <c r="AA101" i="76"/>
  <c r="U101" i="76"/>
  <c r="R162" i="76"/>
  <c r="Q162" i="76"/>
  <c r="AB78" i="76"/>
  <c r="T101" i="76"/>
  <c r="V162" i="76"/>
  <c r="U162" i="76"/>
  <c r="Z101" i="76"/>
  <c r="T76" i="76"/>
  <c r="AB101" i="76"/>
  <c r="X69" i="76"/>
  <c r="Z78" i="76"/>
  <c r="O162" i="76"/>
  <c r="V76" i="76"/>
  <c r="N101" i="76"/>
  <c r="O101" i="76"/>
  <c r="Y99" i="76"/>
  <c r="Q161" i="81"/>
  <c r="N139" i="81"/>
  <c r="V161" i="81"/>
  <c r="W130" i="76"/>
  <c r="AA99" i="76"/>
  <c r="Q139" i="81"/>
  <c r="W139" i="81"/>
  <c r="V132" i="76"/>
  <c r="T132" i="76"/>
  <c r="R99" i="76"/>
  <c r="X161" i="81"/>
  <c r="X99" i="76"/>
  <c r="W99" i="76"/>
  <c r="Z99" i="76"/>
  <c r="P132" i="76"/>
  <c r="U161" i="81"/>
  <c r="R161" i="81"/>
  <c r="P161" i="81"/>
  <c r="X139" i="81"/>
  <c r="P99" i="76"/>
  <c r="T99" i="76"/>
  <c r="X132" i="76"/>
  <c r="O161" i="81"/>
  <c r="P139" i="81"/>
  <c r="AB99" i="76"/>
  <c r="U139" i="81"/>
  <c r="Q132" i="76"/>
  <c r="W132" i="76"/>
  <c r="N99" i="76"/>
  <c r="O139" i="81"/>
  <c r="S161" i="81"/>
  <c r="W161" i="81"/>
  <c r="R139" i="81"/>
  <c r="O132" i="76"/>
  <c r="O99" i="76"/>
  <c r="U99" i="76"/>
  <c r="V99" i="76"/>
  <c r="V139" i="81"/>
  <c r="N161" i="81"/>
  <c r="T139" i="81"/>
  <c r="Q99" i="76"/>
  <c r="R69" i="76"/>
  <c r="H170" i="81"/>
  <c r="S69" i="76"/>
  <c r="V69" i="76"/>
  <c r="X76" i="76"/>
  <c r="AA78" i="76"/>
  <c r="H114" i="81"/>
  <c r="H115" i="81"/>
  <c r="L60" i="80"/>
  <c r="L61" i="80"/>
  <c r="N60" i="80"/>
  <c r="N61" i="80"/>
  <c r="M61" i="80"/>
  <c r="M60" i="80"/>
  <c r="T154" i="76"/>
  <c r="O154" i="76"/>
  <c r="N154" i="76"/>
  <c r="Q130" i="76"/>
  <c r="R130" i="76"/>
  <c r="T130" i="76"/>
  <c r="U130" i="76"/>
  <c r="O130" i="76"/>
  <c r="P130" i="76"/>
  <c r="X130" i="76"/>
  <c r="V154" i="76"/>
  <c r="Q154" i="76"/>
  <c r="P70" i="76"/>
  <c r="R154" i="76"/>
  <c r="U154" i="76"/>
  <c r="U70" i="76"/>
  <c r="S130" i="76"/>
  <c r="R132" i="76"/>
  <c r="U132" i="76"/>
  <c r="W154" i="76"/>
  <c r="P154" i="76"/>
  <c r="Q70" i="76"/>
  <c r="W70" i="76"/>
  <c r="S154" i="76"/>
  <c r="X70" i="76"/>
  <c r="R70" i="76"/>
  <c r="S70" i="76"/>
  <c r="W111" i="76"/>
  <c r="R147" i="76"/>
  <c r="AA83" i="76"/>
  <c r="V147" i="76"/>
  <c r="N147" i="76"/>
  <c r="S147" i="76"/>
  <c r="S111" i="76"/>
  <c r="T88" i="76"/>
  <c r="W134" i="76"/>
  <c r="O111" i="76"/>
  <c r="N111" i="76"/>
  <c r="N150" i="76"/>
  <c r="X150" i="76"/>
  <c r="X111" i="76"/>
  <c r="Q88" i="76"/>
  <c r="U152" i="76"/>
  <c r="O88" i="76"/>
  <c r="AA88" i="76"/>
  <c r="X152" i="76"/>
  <c r="Q134" i="76"/>
  <c r="T134" i="76"/>
  <c r="S150" i="76"/>
  <c r="V134" i="76"/>
  <c r="N88" i="76"/>
  <c r="P152" i="76"/>
  <c r="R111" i="76"/>
  <c r="Q150" i="76"/>
  <c r="W150" i="76"/>
  <c r="Z88" i="76"/>
  <c r="O134" i="76"/>
  <c r="V88" i="76"/>
  <c r="R152" i="76"/>
  <c r="U111" i="76"/>
  <c r="Z111" i="76"/>
  <c r="R150" i="76"/>
  <c r="AB88" i="76"/>
  <c r="T111" i="76"/>
  <c r="R134" i="76"/>
  <c r="Y88" i="76"/>
  <c r="V152" i="76"/>
  <c r="Q152" i="76"/>
  <c r="V111" i="76"/>
  <c r="AA111" i="76"/>
  <c r="T150" i="76"/>
  <c r="U88" i="76"/>
  <c r="T152" i="76"/>
  <c r="S134" i="76"/>
  <c r="S88" i="76"/>
  <c r="W152" i="76"/>
  <c r="S152" i="76"/>
  <c r="P111" i="76"/>
  <c r="U150" i="76"/>
  <c r="X134" i="76"/>
  <c r="W88" i="76"/>
  <c r="U134" i="76"/>
  <c r="N152" i="76"/>
  <c r="Q111" i="76"/>
  <c r="V150" i="76"/>
  <c r="X88" i="76"/>
  <c r="P134" i="76"/>
  <c r="P150" i="76"/>
  <c r="R88" i="76"/>
  <c r="Y111" i="76"/>
  <c r="T112" i="76"/>
  <c r="T157" i="76"/>
  <c r="O151" i="76"/>
  <c r="Z112" i="76"/>
  <c r="U151" i="76"/>
  <c r="S75" i="76"/>
  <c r="O157" i="76"/>
  <c r="Y112" i="76"/>
  <c r="O108" i="76"/>
  <c r="U112" i="76"/>
  <c r="V157" i="76"/>
  <c r="W157" i="76"/>
  <c r="R151" i="76"/>
  <c r="AB112" i="76"/>
  <c r="R108" i="76"/>
  <c r="W108" i="76"/>
  <c r="X112" i="76"/>
  <c r="U75" i="76"/>
  <c r="V151" i="76"/>
  <c r="P112" i="76"/>
  <c r="R112" i="76"/>
  <c r="I115" i="76"/>
  <c r="I114" i="76"/>
  <c r="H169" i="76"/>
  <c r="H170" i="76"/>
  <c r="I170" i="76"/>
  <c r="I169" i="76"/>
  <c r="Q157" i="76"/>
  <c r="S151" i="76"/>
  <c r="T72" i="76"/>
  <c r="Z108" i="76"/>
  <c r="P108" i="76"/>
  <c r="R75" i="76"/>
  <c r="R157" i="76"/>
  <c r="H115" i="76"/>
  <c r="H114" i="76"/>
  <c r="V75" i="76"/>
  <c r="P72" i="76"/>
  <c r="P151" i="76"/>
  <c r="Q108" i="76"/>
  <c r="Q151" i="76"/>
  <c r="R72" i="76"/>
  <c r="S108" i="76"/>
  <c r="X157" i="76"/>
  <c r="Q112" i="76"/>
  <c r="W112" i="76"/>
  <c r="N157" i="76"/>
  <c r="AA112" i="76"/>
  <c r="AA108" i="76"/>
  <c r="Q72" i="76"/>
  <c r="W75" i="76"/>
  <c r="AB108" i="76"/>
  <c r="T108" i="76"/>
  <c r="W72" i="76"/>
  <c r="X72" i="76"/>
  <c r="X151" i="76"/>
  <c r="S112" i="76"/>
  <c r="P157" i="76"/>
  <c r="O112" i="76"/>
  <c r="U108" i="76"/>
  <c r="V72" i="76"/>
  <c r="T151" i="76"/>
  <c r="X75" i="76"/>
  <c r="Y108" i="76"/>
  <c r="T75" i="76"/>
  <c r="N151" i="76"/>
  <c r="U157" i="76"/>
  <c r="V112" i="76"/>
  <c r="U72" i="76"/>
  <c r="N108" i="76"/>
  <c r="P75" i="76"/>
  <c r="X108" i="76"/>
  <c r="F35" i="73"/>
  <c r="F48" i="73"/>
  <c r="F24" i="73"/>
  <c r="F43" i="73"/>
  <c r="F31" i="73"/>
  <c r="F38" i="73"/>
  <c r="F37" i="73"/>
  <c r="F21" i="73"/>
  <c r="F34" i="73"/>
  <c r="F46" i="73"/>
  <c r="F39" i="73"/>
  <c r="F25" i="73"/>
  <c r="F42" i="73"/>
  <c r="F54" i="73"/>
  <c r="F28" i="73"/>
  <c r="F49" i="73"/>
  <c r="F33" i="73"/>
  <c r="F50" i="73"/>
  <c r="F56" i="73"/>
  <c r="F32" i="73"/>
  <c r="F41" i="73"/>
  <c r="F36" i="73"/>
  <c r="F55" i="73"/>
  <c r="F40" i="73"/>
  <c r="F53" i="73"/>
  <c r="F44" i="73"/>
  <c r="F57" i="73"/>
  <c r="F47" i="73"/>
  <c r="F30" i="73"/>
  <c r="F52" i="73"/>
  <c r="F51" i="73"/>
  <c r="AN22" i="73"/>
  <c r="F22" i="73"/>
  <c r="F45" i="73"/>
  <c r="F26" i="73"/>
  <c r="F23" i="73"/>
  <c r="F27" i="73"/>
  <c r="F29" i="73"/>
  <c r="O128" i="70"/>
  <c r="U128" i="70"/>
  <c r="V128" i="70"/>
  <c r="W128" i="70"/>
  <c r="P128" i="70"/>
  <c r="N128" i="70"/>
  <c r="Q128" i="70"/>
  <c r="R128" i="70"/>
  <c r="T128" i="70"/>
  <c r="M61" i="74"/>
  <c r="M60" i="74"/>
  <c r="K60" i="74"/>
  <c r="K61" i="74"/>
  <c r="N129" i="70"/>
  <c r="O129" i="70"/>
  <c r="V129" i="70"/>
  <c r="R129" i="70"/>
  <c r="Q129" i="70"/>
  <c r="P129" i="70"/>
  <c r="S129" i="70"/>
  <c r="W129" i="70"/>
  <c r="T129" i="70"/>
  <c r="T72" i="70"/>
  <c r="R72" i="70"/>
  <c r="U72" i="70"/>
  <c r="Q72" i="70"/>
  <c r="W72" i="70"/>
  <c r="H114" i="75"/>
  <c r="H115" i="75"/>
  <c r="V72" i="70"/>
  <c r="G114" i="75"/>
  <c r="G115" i="75"/>
  <c r="O72" i="70"/>
  <c r="S72" i="70"/>
  <c r="S75" i="70"/>
  <c r="T75" i="70"/>
  <c r="U75" i="70"/>
  <c r="O75" i="70"/>
  <c r="V75" i="70"/>
  <c r="W75" i="70"/>
  <c r="P75" i="70"/>
  <c r="Q75" i="70"/>
  <c r="V85" i="70"/>
  <c r="R85" i="70"/>
  <c r="M85" i="70"/>
  <c r="T167" i="70"/>
  <c r="N167" i="70"/>
  <c r="P74" i="70"/>
  <c r="U74" i="70"/>
  <c r="V74" i="70"/>
  <c r="Q106" i="70"/>
  <c r="S74" i="70"/>
  <c r="W74" i="70"/>
  <c r="O74" i="70"/>
  <c r="T74" i="70"/>
  <c r="R74" i="70"/>
  <c r="H114" i="70"/>
  <c r="H115" i="70"/>
  <c r="G115" i="70"/>
  <c r="G114" i="70"/>
  <c r="H170" i="70"/>
  <c r="H169" i="70"/>
  <c r="G169" i="70"/>
  <c r="G170" i="70"/>
  <c r="O82" i="70"/>
  <c r="T82" i="70"/>
  <c r="AA112" i="70"/>
  <c r="T112" i="70"/>
  <c r="N112" i="70"/>
  <c r="X106" i="70"/>
  <c r="Z112" i="70"/>
  <c r="Y106" i="70"/>
  <c r="R82" i="70"/>
  <c r="T138" i="70"/>
  <c r="F135" i="75"/>
  <c r="F151" i="75"/>
  <c r="F164" i="75"/>
  <c r="F155" i="75"/>
  <c r="F136" i="75"/>
  <c r="F162" i="75"/>
  <c r="F160" i="75"/>
  <c r="F134" i="75"/>
  <c r="F144" i="75"/>
  <c r="F161" i="75"/>
  <c r="F133" i="75"/>
  <c r="F166" i="75"/>
  <c r="F158" i="75"/>
  <c r="F163" i="75"/>
  <c r="F150" i="75"/>
  <c r="F157" i="75"/>
  <c r="F137" i="75"/>
  <c r="F159" i="75"/>
  <c r="F149" i="75"/>
  <c r="F141" i="75"/>
  <c r="F145" i="75"/>
  <c r="F154" i="75"/>
  <c r="F142" i="75"/>
  <c r="F139" i="75"/>
  <c r="F165" i="75"/>
  <c r="F143" i="75"/>
  <c r="F146" i="75"/>
  <c r="F140" i="75"/>
  <c r="F147" i="75"/>
  <c r="F148" i="75"/>
  <c r="F153" i="75"/>
  <c r="F152" i="75"/>
  <c r="F156" i="75"/>
  <c r="F138" i="75"/>
  <c r="F77" i="75"/>
  <c r="F78" i="75"/>
  <c r="F76" i="75"/>
  <c r="F22" i="75"/>
  <c r="F23" i="75"/>
  <c r="F21" i="75"/>
  <c r="V138" i="70"/>
  <c r="W138" i="70"/>
  <c r="W141" i="70"/>
  <c r="M134" i="70"/>
  <c r="N141" i="70"/>
  <c r="P134" i="70"/>
  <c r="O138" i="70"/>
  <c r="N138" i="70"/>
  <c r="P141" i="70"/>
  <c r="W134" i="70"/>
  <c r="V134" i="70"/>
  <c r="P138" i="70"/>
  <c r="Q141" i="70"/>
  <c r="Q134" i="70"/>
  <c r="S134" i="70"/>
  <c r="O134" i="70"/>
  <c r="N134" i="70"/>
  <c r="U134" i="70"/>
  <c r="R141" i="70"/>
  <c r="T141" i="70"/>
  <c r="O141" i="70"/>
  <c r="M141" i="70"/>
  <c r="M138" i="70"/>
  <c r="U141" i="70"/>
  <c r="U138" i="70"/>
  <c r="T134" i="70"/>
  <c r="S141" i="70"/>
  <c r="S138" i="70"/>
  <c r="Q138" i="70"/>
  <c r="T135" i="70"/>
  <c r="W147" i="70"/>
  <c r="R149" i="70"/>
  <c r="N149" i="70"/>
  <c r="M135" i="70"/>
  <c r="M149" i="70"/>
  <c r="T147" i="70"/>
  <c r="O149" i="70"/>
  <c r="V149" i="70"/>
  <c r="S147" i="70"/>
  <c r="U135" i="70"/>
  <c r="U149" i="70"/>
  <c r="M147" i="70"/>
  <c r="P135" i="70"/>
  <c r="N135" i="70"/>
  <c r="O147" i="70"/>
  <c r="U147" i="70"/>
  <c r="V135" i="70"/>
  <c r="N147" i="70"/>
  <c r="Q135" i="70"/>
  <c r="R147" i="70"/>
  <c r="W149" i="70"/>
  <c r="V147" i="70"/>
  <c r="P149" i="70"/>
  <c r="T149" i="70"/>
  <c r="Q147" i="70"/>
  <c r="S135" i="70"/>
  <c r="W135" i="70"/>
  <c r="Q149" i="70"/>
  <c r="O135" i="70"/>
  <c r="AN22" i="72"/>
  <c r="F22" i="72"/>
  <c r="F23" i="72"/>
  <c r="AN15" i="72"/>
  <c r="AN20" i="72"/>
  <c r="AN18" i="72"/>
  <c r="F21" i="72"/>
  <c r="M167" i="70"/>
  <c r="S167" i="70"/>
  <c r="S85" i="70"/>
  <c r="U167" i="70"/>
  <c r="U85" i="70"/>
  <c r="Y85" i="70"/>
  <c r="V167" i="70"/>
  <c r="T85" i="70"/>
  <c r="N85" i="70"/>
  <c r="P167" i="70"/>
  <c r="Q85" i="70"/>
  <c r="W85" i="70"/>
  <c r="Q167" i="70"/>
  <c r="R167" i="70"/>
  <c r="F22" i="71"/>
  <c r="F23" i="71"/>
  <c r="F21" i="71"/>
  <c r="O106" i="70"/>
  <c r="R112" i="70"/>
  <c r="Z82" i="70"/>
  <c r="S112" i="70"/>
  <c r="W82" i="70"/>
  <c r="Y82" i="70"/>
  <c r="V106" i="70"/>
  <c r="Q82" i="70"/>
  <c r="M112" i="70"/>
  <c r="Q112" i="70"/>
  <c r="V82" i="70"/>
  <c r="S106" i="70"/>
  <c r="V112" i="70"/>
  <c r="AA106" i="70"/>
  <c r="N106" i="70"/>
  <c r="U106" i="70"/>
  <c r="W112" i="70"/>
  <c r="U112" i="70"/>
  <c r="N82" i="70"/>
  <c r="Z106" i="70"/>
  <c r="AA82" i="70"/>
  <c r="M106" i="70"/>
  <c r="X82" i="70"/>
  <c r="P112" i="70"/>
  <c r="T106" i="70"/>
  <c r="U82" i="70"/>
  <c r="S82" i="70"/>
  <c r="Y112" i="70"/>
  <c r="O112" i="70"/>
  <c r="R106" i="70"/>
  <c r="W106" i="70"/>
  <c r="P82" i="70"/>
  <c r="F155" i="70"/>
  <c r="P153" i="70"/>
  <c r="P93" i="70"/>
  <c r="AA104" i="70"/>
  <c r="T93" i="70"/>
  <c r="M88" i="70"/>
  <c r="F146" i="70"/>
  <c r="F156" i="70"/>
  <c r="F142" i="70"/>
  <c r="F154" i="70"/>
  <c r="F139" i="70"/>
  <c r="F132" i="70"/>
  <c r="F143" i="70"/>
  <c r="F131" i="70"/>
  <c r="F166" i="70"/>
  <c r="F164" i="70"/>
  <c r="F151" i="70"/>
  <c r="F162" i="70"/>
  <c r="F163" i="70"/>
  <c r="F137" i="70"/>
  <c r="F150" i="70"/>
  <c r="F160" i="70"/>
  <c r="F158" i="70"/>
  <c r="F78" i="70"/>
  <c r="F77" i="70"/>
  <c r="F22" i="70"/>
  <c r="F23" i="70"/>
  <c r="F21" i="70"/>
  <c r="Z91" i="81"/>
  <c r="AA85" i="70"/>
  <c r="O85" i="70"/>
  <c r="P85" i="70"/>
  <c r="Z85" i="70"/>
  <c r="O167" i="70"/>
  <c r="M93" i="70"/>
  <c r="T104" i="70"/>
  <c r="X93" i="70"/>
  <c r="N104" i="70"/>
  <c r="AA88" i="70"/>
  <c r="V93" i="70"/>
  <c r="W88" i="70"/>
  <c r="U145" i="70"/>
  <c r="T145" i="70"/>
  <c r="S145" i="70"/>
  <c r="W145" i="70"/>
  <c r="P145" i="70"/>
  <c r="Q145" i="70"/>
  <c r="N145" i="70"/>
  <c r="R145" i="70"/>
  <c r="M145" i="70"/>
  <c r="V145" i="70"/>
  <c r="Q159" i="70"/>
  <c r="M104" i="70"/>
  <c r="R93" i="70"/>
  <c r="U88" i="70"/>
  <c r="Q153" i="70"/>
  <c r="V153" i="70"/>
  <c r="Y88" i="70"/>
  <c r="Q104" i="70"/>
  <c r="W93" i="70"/>
  <c r="U104" i="70"/>
  <c r="Q88" i="70"/>
  <c r="Z93" i="70"/>
  <c r="N93" i="70"/>
  <c r="R153" i="70"/>
  <c r="Y104" i="70"/>
  <c r="T88" i="70"/>
  <c r="S93" i="70"/>
  <c r="Y93" i="70"/>
  <c r="X88" i="70"/>
  <c r="P104" i="70"/>
  <c r="T153" i="70"/>
  <c r="W104" i="70"/>
  <c r="O153" i="70"/>
  <c r="X104" i="70"/>
  <c r="Z88" i="70"/>
  <c r="M153" i="70"/>
  <c r="U93" i="70"/>
  <c r="V88" i="70"/>
  <c r="S153" i="70"/>
  <c r="O104" i="70"/>
  <c r="R88" i="70"/>
  <c r="N153" i="70"/>
  <c r="R104" i="70"/>
  <c r="Q93" i="70"/>
  <c r="AA93" i="70"/>
  <c r="P88" i="70"/>
  <c r="O88" i="70"/>
  <c r="U153" i="70"/>
  <c r="N88" i="70"/>
  <c r="S104" i="70"/>
  <c r="Z104" i="70"/>
  <c r="AA87" i="70"/>
  <c r="T159" i="70"/>
  <c r="Y87" i="70"/>
  <c r="M87" i="70"/>
  <c r="U87" i="70"/>
  <c r="S87" i="70"/>
  <c r="M159" i="70"/>
  <c r="O87" i="70"/>
  <c r="R159" i="70"/>
  <c r="U159" i="70"/>
  <c r="R87" i="70"/>
  <c r="S159" i="70"/>
  <c r="W87" i="70"/>
  <c r="N159" i="70"/>
  <c r="Z87" i="70"/>
  <c r="N87" i="70"/>
  <c r="P87" i="70"/>
  <c r="V159" i="70"/>
  <c r="Q87" i="70"/>
  <c r="T87" i="70"/>
  <c r="W159" i="70"/>
  <c r="V87" i="70"/>
  <c r="P159" i="70"/>
  <c r="N133" i="70"/>
  <c r="W109" i="70"/>
  <c r="P108" i="70"/>
  <c r="Z109" i="70"/>
  <c r="P133" i="70"/>
  <c r="K133" i="70"/>
  <c r="T133" i="70"/>
  <c r="M109" i="70"/>
  <c r="X108" i="70"/>
  <c r="W133" i="70"/>
  <c r="Q133" i="70"/>
  <c r="S108" i="70"/>
  <c r="T109" i="70"/>
  <c r="U109" i="70"/>
  <c r="Q108" i="70"/>
  <c r="R133" i="70"/>
  <c r="P109" i="70"/>
  <c r="N108" i="70"/>
  <c r="L133" i="70"/>
  <c r="Y108" i="70"/>
  <c r="M133" i="70"/>
  <c r="Z108" i="70"/>
  <c r="S133" i="70"/>
  <c r="X109" i="70"/>
  <c r="O133" i="70"/>
  <c r="T108" i="70"/>
  <c r="U133" i="70"/>
  <c r="U108" i="70"/>
  <c r="R108" i="70"/>
  <c r="M108" i="70"/>
  <c r="Q109" i="70"/>
  <c r="V108" i="70"/>
  <c r="Y109" i="70"/>
  <c r="AA108" i="70"/>
  <c r="O108" i="70"/>
  <c r="N109" i="70"/>
  <c r="V109" i="70"/>
  <c r="S109" i="70"/>
  <c r="R109" i="70"/>
  <c r="AA109" i="70"/>
  <c r="P166" i="81"/>
  <c r="Q145" i="81"/>
  <c r="Q88" i="81"/>
  <c r="V85" i="81"/>
  <c r="O148" i="81"/>
  <c r="T148" i="81"/>
  <c r="X102" i="81"/>
  <c r="P151" i="81"/>
  <c r="V102" i="81"/>
  <c r="R96" i="81"/>
  <c r="R142" i="81"/>
  <c r="O102" i="81"/>
  <c r="AB96" i="81"/>
  <c r="Z102" i="81"/>
  <c r="Q101" i="81"/>
  <c r="N134" i="81"/>
  <c r="X134" i="81"/>
  <c r="T145" i="81"/>
  <c r="Q150" i="81"/>
  <c r="W150" i="81"/>
  <c r="R150" i="81"/>
  <c r="S145" i="81"/>
  <c r="O150" i="81"/>
  <c r="U145" i="81"/>
  <c r="X88" i="81"/>
  <c r="V88" i="81"/>
  <c r="Z88" i="81"/>
  <c r="U88" i="81"/>
  <c r="O85" i="81"/>
  <c r="Y91" i="81"/>
  <c r="S166" i="81"/>
  <c r="V166" i="81"/>
  <c r="X148" i="81"/>
  <c r="P85" i="81"/>
  <c r="S91" i="81"/>
  <c r="T94" i="81"/>
  <c r="R94" i="81"/>
  <c r="P94" i="81"/>
  <c r="O91" i="81"/>
  <c r="N166" i="81"/>
  <c r="R166" i="81"/>
  <c r="Q166" i="81"/>
  <c r="P148" i="81"/>
  <c r="X85" i="81"/>
  <c r="AA91" i="81"/>
  <c r="AB94" i="81"/>
  <c r="Z94" i="81"/>
  <c r="X94" i="81"/>
  <c r="R148" i="81"/>
  <c r="S148" i="81"/>
  <c r="T91" i="81"/>
  <c r="N94" i="81"/>
  <c r="W166" i="81"/>
  <c r="O166" i="81"/>
  <c r="U148" i="81"/>
  <c r="T85" i="81"/>
  <c r="AB91" i="81"/>
  <c r="V94" i="81"/>
  <c r="U94" i="81"/>
  <c r="V148" i="81"/>
  <c r="S85" i="81"/>
  <c r="N91" i="81"/>
  <c r="O94" i="81"/>
  <c r="Y94" i="81"/>
  <c r="X166" i="81"/>
  <c r="N148" i="81"/>
  <c r="AA85" i="81"/>
  <c r="R91" i="81"/>
  <c r="V91" i="81"/>
  <c r="W94" i="81"/>
  <c r="Q85" i="81"/>
  <c r="U85" i="81"/>
  <c r="W85" i="81"/>
  <c r="AA94" i="81"/>
  <c r="Q148" i="81"/>
  <c r="P91" i="81"/>
  <c r="U166" i="81"/>
  <c r="U91" i="81"/>
  <c r="N85" i="81"/>
  <c r="Q91" i="81"/>
  <c r="Q94" i="81"/>
  <c r="AB85" i="81"/>
  <c r="X91" i="81"/>
  <c r="Y85" i="81"/>
  <c r="R85" i="81"/>
  <c r="P160" i="81"/>
  <c r="Q160" i="81"/>
  <c r="W160" i="81"/>
  <c r="N147" i="81"/>
  <c r="AB106" i="81"/>
  <c r="O149" i="81"/>
  <c r="Q140" i="81"/>
  <c r="R160" i="81"/>
  <c r="X147" i="81"/>
  <c r="Q149" i="81"/>
  <c r="W140" i="81"/>
  <c r="S160" i="81"/>
  <c r="P140" i="81"/>
  <c r="O160" i="81"/>
  <c r="T160" i="81"/>
  <c r="N160" i="81"/>
  <c r="V160" i="81"/>
  <c r="S106" i="81"/>
  <c r="S149" i="81"/>
  <c r="N107" i="81"/>
  <c r="S80" i="81"/>
  <c r="S101" i="81"/>
  <c r="R80" i="81"/>
  <c r="R146" i="81"/>
  <c r="AA99" i="81"/>
  <c r="T99" i="81"/>
  <c r="T142" i="81"/>
  <c r="V96" i="81"/>
  <c r="V151" i="81"/>
  <c r="N142" i="81"/>
  <c r="P96" i="81"/>
  <c r="X151" i="81"/>
  <c r="N99" i="81"/>
  <c r="W142" i="81"/>
  <c r="Y96" i="81"/>
  <c r="Z96" i="81"/>
  <c r="P107" i="81"/>
  <c r="AA80" i="81"/>
  <c r="T101" i="81"/>
  <c r="AA101" i="81"/>
  <c r="Z80" i="81"/>
  <c r="W101" i="81"/>
  <c r="N80" i="81"/>
  <c r="AB80" i="81"/>
  <c r="R101" i="81"/>
  <c r="X101" i="81"/>
  <c r="O101" i="81"/>
  <c r="U101" i="81"/>
  <c r="U80" i="81"/>
  <c r="AB101" i="81"/>
  <c r="V80" i="81"/>
  <c r="Z101" i="81"/>
  <c r="P101" i="81"/>
  <c r="V101" i="81"/>
  <c r="W80" i="81"/>
  <c r="Q80" i="81"/>
  <c r="Y101" i="81"/>
  <c r="X80" i="81"/>
  <c r="T80" i="81"/>
  <c r="Y80" i="81"/>
  <c r="O80" i="81"/>
  <c r="U160" i="81"/>
  <c r="U108" i="81"/>
  <c r="U150" i="81"/>
  <c r="N145" i="81"/>
  <c r="O134" i="81"/>
  <c r="S88" i="81"/>
  <c r="P88" i="81"/>
  <c r="V150" i="81"/>
  <c r="W145" i="81"/>
  <c r="W134" i="81"/>
  <c r="AA88" i="81"/>
  <c r="S134" i="81"/>
  <c r="N150" i="81"/>
  <c r="O145" i="81"/>
  <c r="R134" i="81"/>
  <c r="R145" i="81"/>
  <c r="X150" i="81"/>
  <c r="X145" i="81"/>
  <c r="T134" i="81"/>
  <c r="W88" i="81"/>
  <c r="T88" i="81"/>
  <c r="AB88" i="81"/>
  <c r="P150" i="81"/>
  <c r="P145" i="81"/>
  <c r="V134" i="81"/>
  <c r="N88" i="81"/>
  <c r="S150" i="81"/>
  <c r="P134" i="81"/>
  <c r="Y88" i="81"/>
  <c r="R88" i="81"/>
  <c r="O106" i="81"/>
  <c r="P147" i="81"/>
  <c r="P106" i="81"/>
  <c r="U106" i="81"/>
  <c r="U149" i="81"/>
  <c r="T140" i="81"/>
  <c r="S140" i="81"/>
  <c r="R147" i="81"/>
  <c r="U147" i="81"/>
  <c r="X106" i="81"/>
  <c r="N106" i="81"/>
  <c r="V149" i="81"/>
  <c r="R140" i="81"/>
  <c r="T147" i="81"/>
  <c r="R106" i="81"/>
  <c r="V106" i="81"/>
  <c r="N149" i="81"/>
  <c r="U140" i="81"/>
  <c r="V147" i="81"/>
  <c r="Z106" i="81"/>
  <c r="W149" i="81"/>
  <c r="N140" i="81"/>
  <c r="W147" i="81"/>
  <c r="AA106" i="81"/>
  <c r="R149" i="81"/>
  <c r="X149" i="81"/>
  <c r="O140" i="81"/>
  <c r="W106" i="81"/>
  <c r="Q106" i="81"/>
  <c r="Q147" i="81"/>
  <c r="O147" i="81"/>
  <c r="T106" i="81"/>
  <c r="T149" i="81"/>
  <c r="V140" i="81"/>
  <c r="W146" i="81"/>
  <c r="W107" i="81"/>
  <c r="O107" i="81"/>
  <c r="O164" i="81"/>
  <c r="AA107" i="81"/>
  <c r="U164" i="81"/>
  <c r="S107" i="81"/>
  <c r="U134" i="81"/>
  <c r="Z104" i="81"/>
  <c r="W144" i="81"/>
  <c r="N164" i="81"/>
  <c r="V146" i="81"/>
  <c r="R164" i="81"/>
  <c r="O146" i="81"/>
  <c r="S151" i="81"/>
  <c r="X99" i="81"/>
  <c r="V164" i="81"/>
  <c r="R151" i="81"/>
  <c r="U151" i="81"/>
  <c r="T146" i="81"/>
  <c r="U142" i="81"/>
  <c r="Y99" i="81"/>
  <c r="S102" i="81"/>
  <c r="W102" i="81"/>
  <c r="X96" i="81"/>
  <c r="X107" i="81"/>
  <c r="U102" i="81"/>
  <c r="Z99" i="81"/>
  <c r="Q164" i="81"/>
  <c r="T151" i="81"/>
  <c r="V107" i="81"/>
  <c r="Q142" i="81"/>
  <c r="U107" i="81"/>
  <c r="U146" i="81"/>
  <c r="AB99" i="81"/>
  <c r="V142" i="81"/>
  <c r="Q99" i="81"/>
  <c r="P102" i="81"/>
  <c r="O96" i="81"/>
  <c r="Q96" i="81"/>
  <c r="X164" i="81"/>
  <c r="P99" i="81"/>
  <c r="Q146" i="81"/>
  <c r="S164" i="81"/>
  <c r="N151" i="81"/>
  <c r="N146" i="81"/>
  <c r="AB107" i="81"/>
  <c r="S99" i="81"/>
  <c r="Y107" i="81"/>
  <c r="U96" i="81"/>
  <c r="AA102" i="81"/>
  <c r="T102" i="81"/>
  <c r="S96" i="81"/>
  <c r="T164" i="81"/>
  <c r="O99" i="81"/>
  <c r="W151" i="81"/>
  <c r="S142" i="81"/>
  <c r="X146" i="81"/>
  <c r="T107" i="81"/>
  <c r="W164" i="81"/>
  <c r="Q151" i="81"/>
  <c r="P142" i="81"/>
  <c r="Q107" i="81"/>
  <c r="AB102" i="81"/>
  <c r="Y102" i="81"/>
  <c r="R99" i="81"/>
  <c r="W96" i="81"/>
  <c r="AA96" i="81"/>
  <c r="X142" i="81"/>
  <c r="Q102" i="81"/>
  <c r="V99" i="81"/>
  <c r="U99" i="81"/>
  <c r="P146" i="81"/>
  <c r="N102" i="81"/>
  <c r="N96" i="81"/>
  <c r="R107" i="81"/>
  <c r="I115" i="81"/>
  <c r="T108" i="81"/>
  <c r="X108" i="81"/>
  <c r="S108" i="81"/>
  <c r="Y104" i="81"/>
  <c r="O104" i="81"/>
  <c r="Y108" i="81"/>
  <c r="V144" i="81"/>
  <c r="N144" i="81"/>
  <c r="AB108" i="81"/>
  <c r="R104" i="81"/>
  <c r="AA108" i="81"/>
  <c r="O144" i="81"/>
  <c r="N108" i="81"/>
  <c r="N104" i="81"/>
  <c r="S104" i="81"/>
  <c r="Q144" i="81"/>
  <c r="X144" i="81"/>
  <c r="V108" i="81"/>
  <c r="V104" i="81"/>
  <c r="AA104" i="81"/>
  <c r="P144" i="81"/>
  <c r="O108" i="81"/>
  <c r="W104" i="81"/>
  <c r="P104" i="81"/>
  <c r="T104" i="81"/>
  <c r="R144" i="81"/>
  <c r="S144" i="81"/>
  <c r="R108" i="81"/>
  <c r="W108" i="81"/>
  <c r="U104" i="81"/>
  <c r="T144" i="81"/>
  <c r="X104" i="81"/>
  <c r="AB104" i="81"/>
  <c r="Z108" i="81"/>
  <c r="P108" i="81"/>
  <c r="AB83" i="81"/>
  <c r="S93" i="81"/>
  <c r="N135" i="81"/>
  <c r="U110" i="81"/>
  <c r="AA110" i="81"/>
  <c r="Y100" i="81"/>
  <c r="S135" i="81"/>
  <c r="V100" i="81"/>
  <c r="X83" i="81"/>
  <c r="W135" i="81"/>
  <c r="Z83" i="81"/>
  <c r="O135" i="81"/>
  <c r="X110" i="81"/>
  <c r="AB110" i="81"/>
  <c r="R100" i="81"/>
  <c r="W100" i="81"/>
  <c r="O83" i="81"/>
  <c r="V83" i="81"/>
  <c r="W93" i="81"/>
  <c r="U93" i="81"/>
  <c r="AA100" i="81"/>
  <c r="V110" i="81"/>
  <c r="V135" i="81"/>
  <c r="T110" i="81"/>
  <c r="X135" i="81"/>
  <c r="P110" i="81"/>
  <c r="O110" i="81"/>
  <c r="Z100" i="81"/>
  <c r="P100" i="81"/>
  <c r="AA83" i="81"/>
  <c r="Z93" i="81"/>
  <c r="N93" i="81"/>
  <c r="R83" i="81"/>
  <c r="W110" i="81"/>
  <c r="U83" i="81"/>
  <c r="Q135" i="81"/>
  <c r="T100" i="81"/>
  <c r="P83" i="81"/>
  <c r="AB93" i="81"/>
  <c r="AB100" i="81"/>
  <c r="Q83" i="81"/>
  <c r="O93" i="81"/>
  <c r="P93" i="81"/>
  <c r="O100" i="81"/>
  <c r="AA93" i="81"/>
  <c r="P135" i="81"/>
  <c r="X100" i="81"/>
  <c r="V93" i="81"/>
  <c r="U135" i="81"/>
  <c r="Q110" i="81"/>
  <c r="R135" i="81"/>
  <c r="Z110" i="81"/>
  <c r="Q100" i="81"/>
  <c r="U100" i="81"/>
  <c r="S83" i="81"/>
  <c r="Y83" i="81"/>
  <c r="Q93" i="81"/>
  <c r="X93" i="81"/>
  <c r="N110" i="81"/>
  <c r="S110" i="81"/>
  <c r="N83" i="81"/>
  <c r="Y110" i="81"/>
  <c r="T93" i="81"/>
  <c r="N100" i="81"/>
  <c r="Y93" i="81"/>
  <c r="W83" i="81"/>
  <c r="I114" i="81"/>
  <c r="I170" i="81"/>
  <c r="I169" i="81"/>
  <c r="J60" i="76"/>
  <c r="K60" i="76"/>
  <c r="K59" i="76"/>
  <c r="K59" i="78"/>
  <c r="J59" i="78"/>
  <c r="K59" i="79"/>
  <c r="J59" i="79"/>
  <c r="J59" i="76"/>
  <c r="I60" i="74"/>
  <c r="H61" i="74"/>
  <c r="H61" i="80"/>
  <c r="H60" i="74"/>
  <c r="I61" i="74"/>
  <c r="AV37" i="78"/>
  <c r="AV45" i="78"/>
  <c r="AV53" i="78"/>
  <c r="AV29" i="78"/>
  <c r="AJ55" i="78"/>
  <c r="Z54" i="73"/>
  <c r="AA54" i="73" s="1"/>
  <c r="Z57" i="73"/>
  <c r="AA57" i="73" s="1"/>
  <c r="Z55" i="73"/>
  <c r="AA55" i="73" s="1"/>
  <c r="AI17" i="72"/>
  <c r="Z56" i="73"/>
  <c r="AA56" i="73" s="1"/>
  <c r="AJ33" i="78"/>
  <c r="AA57" i="79"/>
  <c r="AB57" i="79" s="1"/>
  <c r="T59" i="70"/>
  <c r="BA23" i="72"/>
  <c r="AC23" i="72" s="1"/>
  <c r="O60" i="70"/>
  <c r="AA55" i="79"/>
  <c r="AB55" i="79" s="1"/>
  <c r="S60" i="70"/>
  <c r="W60" i="70"/>
  <c r="R60" i="70"/>
  <c r="AP49" i="79"/>
  <c r="AP40" i="79"/>
  <c r="BA29" i="79"/>
  <c r="AO26" i="79"/>
  <c r="AO40" i="79"/>
  <c r="AW37" i="78"/>
  <c r="AO27" i="79"/>
  <c r="BA25" i="79"/>
  <c r="BA30" i="79"/>
  <c r="BA52" i="79"/>
  <c r="T156" i="81"/>
  <c r="S156" i="81"/>
  <c r="R156" i="81"/>
  <c r="V156" i="81"/>
  <c r="X156" i="81"/>
  <c r="W156" i="81"/>
  <c r="U156" i="81"/>
  <c r="Q156" i="81"/>
  <c r="P156" i="81"/>
  <c r="N156" i="81"/>
  <c r="O156" i="81"/>
  <c r="Z87" i="81"/>
  <c r="R87" i="81"/>
  <c r="X87" i="81"/>
  <c r="P87" i="81"/>
  <c r="U87" i="81"/>
  <c r="Y87" i="81"/>
  <c r="W87" i="81"/>
  <c r="V87" i="81"/>
  <c r="T87" i="81"/>
  <c r="S87" i="81"/>
  <c r="AB87" i="81"/>
  <c r="O87" i="81"/>
  <c r="Q87" i="81"/>
  <c r="N87" i="81"/>
  <c r="AA87" i="81"/>
  <c r="AP51" i="79"/>
  <c r="G60" i="80"/>
  <c r="AY20" i="78"/>
  <c r="Q59" i="78"/>
  <c r="AW15" i="78"/>
  <c r="AP26" i="79"/>
  <c r="AP52" i="79"/>
  <c r="AA95" i="81"/>
  <c r="S95" i="81"/>
  <c r="Z95" i="81"/>
  <c r="R95" i="81"/>
  <c r="X95" i="81"/>
  <c r="P95" i="81"/>
  <c r="W95" i="81"/>
  <c r="O95" i="81"/>
  <c r="U95" i="81"/>
  <c r="AB95" i="81"/>
  <c r="Y95" i="81"/>
  <c r="V95" i="81"/>
  <c r="T95" i="81"/>
  <c r="N95" i="81"/>
  <c r="Q95" i="81"/>
  <c r="AB81" i="81"/>
  <c r="T81" i="81"/>
  <c r="Z81" i="81"/>
  <c r="R81" i="81"/>
  <c r="W81" i="81"/>
  <c r="O81" i="81"/>
  <c r="AA81" i="81"/>
  <c r="N81" i="81"/>
  <c r="Y81" i="81"/>
  <c r="X81" i="81"/>
  <c r="V81" i="81"/>
  <c r="U81" i="81"/>
  <c r="Q81" i="81"/>
  <c r="S81" i="81"/>
  <c r="P81" i="81"/>
  <c r="I61" i="80"/>
  <c r="Y86" i="81"/>
  <c r="Q86" i="81"/>
  <c r="W86" i="81"/>
  <c r="O86" i="81"/>
  <c r="AB86" i="81"/>
  <c r="T86" i="81"/>
  <c r="V86" i="81"/>
  <c r="U86" i="81"/>
  <c r="S86" i="81"/>
  <c r="R86" i="81"/>
  <c r="P86" i="81"/>
  <c r="Z86" i="81"/>
  <c r="AA86" i="81"/>
  <c r="X86" i="81"/>
  <c r="N86" i="81"/>
  <c r="I60" i="80"/>
  <c r="BA41" i="79"/>
  <c r="AS15" i="79"/>
  <c r="P59" i="79"/>
  <c r="W84" i="81"/>
  <c r="O84" i="81"/>
  <c r="U84" i="81"/>
  <c r="Z84" i="81"/>
  <c r="R84" i="81"/>
  <c r="S84" i="81"/>
  <c r="Q84" i="81"/>
  <c r="AB84" i="81"/>
  <c r="P84" i="81"/>
  <c r="AA84" i="81"/>
  <c r="N84" i="81"/>
  <c r="Y84" i="81"/>
  <c r="V84" i="81"/>
  <c r="T84" i="81"/>
  <c r="X84" i="81"/>
  <c r="X111" i="81"/>
  <c r="P111" i="81"/>
  <c r="W111" i="81"/>
  <c r="N111" i="81"/>
  <c r="V111" i="81"/>
  <c r="U111" i="81"/>
  <c r="T111" i="81"/>
  <c r="AB111" i="81"/>
  <c r="S111" i="81"/>
  <c r="Z111" i="81"/>
  <c r="Q111" i="81"/>
  <c r="R111" i="81"/>
  <c r="O111" i="81"/>
  <c r="AA111" i="81"/>
  <c r="Y111" i="81"/>
  <c r="U97" i="81"/>
  <c r="AB97" i="81"/>
  <c r="T97" i="81"/>
  <c r="AA97" i="81"/>
  <c r="Z97" i="81"/>
  <c r="R97" i="81"/>
  <c r="Y97" i="81"/>
  <c r="Q97" i="81"/>
  <c r="W97" i="81"/>
  <c r="O97" i="81"/>
  <c r="V97" i="81"/>
  <c r="S97" i="81"/>
  <c r="P97" i="81"/>
  <c r="N97" i="81"/>
  <c r="X97" i="81"/>
  <c r="BF42" i="78"/>
  <c r="U82" i="81"/>
  <c r="AA82" i="81"/>
  <c r="S82" i="81"/>
  <c r="X82" i="81"/>
  <c r="P82" i="81"/>
  <c r="Q82" i="81"/>
  <c r="AB82" i="81"/>
  <c r="O82" i="81"/>
  <c r="Z82" i="81"/>
  <c r="N82" i="81"/>
  <c r="Y82" i="81"/>
  <c r="W82" i="81"/>
  <c r="T82" i="81"/>
  <c r="R82" i="81"/>
  <c r="V82" i="81"/>
  <c r="AO41" i="79"/>
  <c r="AQ50" i="79"/>
  <c r="AZ44" i="78"/>
  <c r="AP31" i="79"/>
  <c r="V163" i="81"/>
  <c r="N163" i="81"/>
  <c r="U163" i="81"/>
  <c r="T163" i="81"/>
  <c r="S163" i="81"/>
  <c r="X163" i="81"/>
  <c r="P163" i="81"/>
  <c r="W163" i="81"/>
  <c r="Q163" i="81"/>
  <c r="R163" i="81"/>
  <c r="O163" i="81"/>
  <c r="U105" i="81"/>
  <c r="AB105" i="81"/>
  <c r="T105" i="81"/>
  <c r="AA105" i="81"/>
  <c r="S105" i="81"/>
  <c r="Z105" i="81"/>
  <c r="R105" i="81"/>
  <c r="Y105" i="81"/>
  <c r="Q105" i="81"/>
  <c r="W105" i="81"/>
  <c r="O105" i="81"/>
  <c r="X105" i="81"/>
  <c r="V105" i="81"/>
  <c r="N105" i="81"/>
  <c r="P105" i="81"/>
  <c r="AA103" i="81"/>
  <c r="S103" i="81"/>
  <c r="Z103" i="81"/>
  <c r="R103" i="81"/>
  <c r="Y103" i="81"/>
  <c r="Q103" i="81"/>
  <c r="X103" i="81"/>
  <c r="P103" i="81"/>
  <c r="W103" i="81"/>
  <c r="O103" i="81"/>
  <c r="U103" i="81"/>
  <c r="AB103" i="81"/>
  <c r="V103" i="81"/>
  <c r="T103" i="81"/>
  <c r="N103" i="81"/>
  <c r="AJ57" i="79"/>
  <c r="Y57" i="79"/>
  <c r="V167" i="81"/>
  <c r="N167" i="81"/>
  <c r="U167" i="81"/>
  <c r="T167" i="81"/>
  <c r="S167" i="81"/>
  <c r="R167" i="81"/>
  <c r="X167" i="81"/>
  <c r="P167" i="81"/>
  <c r="O167" i="81"/>
  <c r="W167" i="81"/>
  <c r="Q167" i="81"/>
  <c r="V159" i="81"/>
  <c r="N159" i="81"/>
  <c r="U159" i="81"/>
  <c r="T159" i="81"/>
  <c r="S159" i="81"/>
  <c r="X159" i="81"/>
  <c r="P159" i="81"/>
  <c r="O159" i="81"/>
  <c r="R159" i="81"/>
  <c r="W159" i="81"/>
  <c r="Q159" i="81"/>
  <c r="W92" i="81"/>
  <c r="O92" i="81"/>
  <c r="U92" i="81"/>
  <c r="AB92" i="81"/>
  <c r="T92" i="81"/>
  <c r="Z92" i="81"/>
  <c r="R92" i="81"/>
  <c r="N92" i="81"/>
  <c r="AA92" i="81"/>
  <c r="Y92" i="81"/>
  <c r="X92" i="81"/>
  <c r="V92" i="81"/>
  <c r="Q92" i="81"/>
  <c r="S92" i="81"/>
  <c r="P92" i="81"/>
  <c r="AB89" i="81"/>
  <c r="T89" i="81"/>
  <c r="Z89" i="81"/>
  <c r="R89" i="81"/>
  <c r="W89" i="81"/>
  <c r="O89" i="81"/>
  <c r="P89" i="81"/>
  <c r="AA89" i="81"/>
  <c r="N89" i="81"/>
  <c r="Y89" i="81"/>
  <c r="X89" i="81"/>
  <c r="V89" i="81"/>
  <c r="S89" i="81"/>
  <c r="U89" i="81"/>
  <c r="Q89" i="81"/>
  <c r="BA20" i="79"/>
  <c r="X59" i="79"/>
  <c r="U59" i="78"/>
  <c r="BC13" i="78"/>
  <c r="U90" i="76"/>
  <c r="AA90" i="76"/>
  <c r="S90" i="76"/>
  <c r="Y90" i="76"/>
  <c r="X90" i="76"/>
  <c r="P90" i="76"/>
  <c r="Z90" i="76"/>
  <c r="W90" i="76"/>
  <c r="V90" i="76"/>
  <c r="T90" i="76"/>
  <c r="R90" i="76"/>
  <c r="Q90" i="76"/>
  <c r="O90" i="76"/>
  <c r="AB90" i="76"/>
  <c r="N90" i="76"/>
  <c r="W59" i="78"/>
  <c r="AB97" i="76"/>
  <c r="T97" i="76"/>
  <c r="Z97" i="76"/>
  <c r="R97" i="76"/>
  <c r="X97" i="76"/>
  <c r="P97" i="76"/>
  <c r="W97" i="76"/>
  <c r="O97" i="76"/>
  <c r="U97" i="76"/>
  <c r="S97" i="76"/>
  <c r="Q97" i="76"/>
  <c r="N97" i="76"/>
  <c r="AA97" i="76"/>
  <c r="Y97" i="76"/>
  <c r="V97" i="76"/>
  <c r="U82" i="76"/>
  <c r="AA82" i="76"/>
  <c r="S82" i="76"/>
  <c r="X82" i="76"/>
  <c r="P82" i="76"/>
  <c r="AB82" i="76"/>
  <c r="O82" i="76"/>
  <c r="Z82" i="76"/>
  <c r="N82" i="76"/>
  <c r="Y82" i="76"/>
  <c r="W82" i="76"/>
  <c r="V82" i="76"/>
  <c r="T82" i="76"/>
  <c r="R82" i="76"/>
  <c r="Q82" i="76"/>
  <c r="W105" i="75"/>
  <c r="O105" i="75"/>
  <c r="Z105" i="75"/>
  <c r="Q105" i="75"/>
  <c r="V105" i="75"/>
  <c r="M105" i="75"/>
  <c r="U105" i="75"/>
  <c r="Y105" i="75"/>
  <c r="X105" i="75"/>
  <c r="T105" i="75"/>
  <c r="S105" i="75"/>
  <c r="R105" i="75"/>
  <c r="P105" i="75"/>
  <c r="N105" i="75"/>
  <c r="AA105" i="75"/>
  <c r="AA93" i="75"/>
  <c r="S93" i="75"/>
  <c r="U93" i="75"/>
  <c r="Y93" i="75"/>
  <c r="P93" i="75"/>
  <c r="V93" i="75"/>
  <c r="T93" i="75"/>
  <c r="R93" i="75"/>
  <c r="Q93" i="75"/>
  <c r="O93" i="75"/>
  <c r="Z93" i="75"/>
  <c r="N93" i="75"/>
  <c r="X93" i="75"/>
  <c r="M93" i="75"/>
  <c r="W93" i="75"/>
  <c r="AZ39" i="73"/>
  <c r="AN32" i="73"/>
  <c r="AZ52" i="73"/>
  <c r="AZ44" i="73"/>
  <c r="AZ36" i="73"/>
  <c r="AZ41" i="73"/>
  <c r="AZ22" i="73"/>
  <c r="AO44" i="73"/>
  <c r="AN28" i="73"/>
  <c r="AO49" i="73"/>
  <c r="AN30" i="73"/>
  <c r="AP53" i="72"/>
  <c r="AP45" i="72"/>
  <c r="AP37" i="72"/>
  <c r="AP39" i="72"/>
  <c r="AN49" i="73"/>
  <c r="AN44" i="73"/>
  <c r="AI57" i="73"/>
  <c r="X57" i="73"/>
  <c r="AI56" i="73"/>
  <c r="X56" i="73"/>
  <c r="AZ40" i="73"/>
  <c r="AZ40" i="72"/>
  <c r="AZ14" i="72"/>
  <c r="AZ38" i="72"/>
  <c r="AP24" i="72"/>
  <c r="AZ30" i="72"/>
  <c r="P59" i="73"/>
  <c r="AS13" i="73"/>
  <c r="W103" i="70"/>
  <c r="O103" i="70"/>
  <c r="T103" i="70"/>
  <c r="Z103" i="70"/>
  <c r="R103" i="70"/>
  <c r="Q103" i="70"/>
  <c r="P103" i="70"/>
  <c r="AA103" i="70"/>
  <c r="N103" i="70"/>
  <c r="Y103" i="70"/>
  <c r="M103" i="70"/>
  <c r="X103" i="70"/>
  <c r="V103" i="70"/>
  <c r="U103" i="70"/>
  <c r="S103" i="70"/>
  <c r="W59" i="70"/>
  <c r="V130" i="70"/>
  <c r="N130" i="70"/>
  <c r="S130" i="70"/>
  <c r="R130" i="70"/>
  <c r="Q130" i="70"/>
  <c r="O130" i="70"/>
  <c r="W130" i="70"/>
  <c r="U130" i="70"/>
  <c r="T130" i="70"/>
  <c r="P130" i="70"/>
  <c r="W152" i="70"/>
  <c r="O152" i="70"/>
  <c r="T152" i="70"/>
  <c r="S152" i="70"/>
  <c r="R152" i="70"/>
  <c r="P152" i="70"/>
  <c r="N152" i="70"/>
  <c r="M152" i="70"/>
  <c r="V152" i="70"/>
  <c r="U152" i="70"/>
  <c r="Q152" i="70"/>
  <c r="R59" i="70"/>
  <c r="BA49" i="79"/>
  <c r="Y56" i="79"/>
  <c r="AJ56" i="79"/>
  <c r="BA39" i="79"/>
  <c r="AO48" i="79"/>
  <c r="AO34" i="79"/>
  <c r="G61" i="80"/>
  <c r="AP30" i="79"/>
  <c r="AP28" i="79"/>
  <c r="BA28" i="79"/>
  <c r="AO44" i="79"/>
  <c r="AO49" i="79"/>
  <c r="AO28" i="79"/>
  <c r="BA51" i="79"/>
  <c r="BA36" i="79"/>
  <c r="AV27" i="78"/>
  <c r="X59" i="78"/>
  <c r="BF13" i="78"/>
  <c r="BF47" i="78"/>
  <c r="BF15" i="78"/>
  <c r="BF43" i="78"/>
  <c r="AP24" i="79"/>
  <c r="R59" i="78"/>
  <c r="BF32" i="78"/>
  <c r="BF24" i="78"/>
  <c r="Y86" i="76"/>
  <c r="Q86" i="76"/>
  <c r="W86" i="76"/>
  <c r="O86" i="76"/>
  <c r="AB86" i="76"/>
  <c r="T86" i="76"/>
  <c r="S86" i="76"/>
  <c r="R86" i="76"/>
  <c r="P86" i="76"/>
  <c r="AA86" i="76"/>
  <c r="N86" i="76"/>
  <c r="Z86" i="76"/>
  <c r="X86" i="76"/>
  <c r="V86" i="76"/>
  <c r="U86" i="76"/>
  <c r="W92" i="76"/>
  <c r="O92" i="76"/>
  <c r="U92" i="76"/>
  <c r="AA92" i="76"/>
  <c r="S92" i="76"/>
  <c r="Z92" i="76"/>
  <c r="R92" i="76"/>
  <c r="V92" i="76"/>
  <c r="T92" i="76"/>
  <c r="Q92" i="76"/>
  <c r="P92" i="76"/>
  <c r="N92" i="76"/>
  <c r="AB92" i="76"/>
  <c r="Y92" i="76"/>
  <c r="X92" i="76"/>
  <c r="V60" i="76"/>
  <c r="V59" i="76"/>
  <c r="T110" i="75"/>
  <c r="U110" i="75"/>
  <c r="Z110" i="75"/>
  <c r="Q110" i="75"/>
  <c r="Y110" i="75"/>
  <c r="P110" i="75"/>
  <c r="AA110" i="75"/>
  <c r="M110" i="75"/>
  <c r="X110" i="75"/>
  <c r="W110" i="75"/>
  <c r="V110" i="75"/>
  <c r="S110" i="75"/>
  <c r="R110" i="75"/>
  <c r="O110" i="75"/>
  <c r="N110" i="75"/>
  <c r="T94" i="75"/>
  <c r="Y94" i="75"/>
  <c r="P94" i="75"/>
  <c r="U94" i="75"/>
  <c r="W94" i="75"/>
  <c r="V94" i="75"/>
  <c r="S94" i="75"/>
  <c r="R94" i="75"/>
  <c r="Q94" i="75"/>
  <c r="AA94" i="75"/>
  <c r="O94" i="75"/>
  <c r="Z94" i="75"/>
  <c r="N94" i="75"/>
  <c r="X94" i="75"/>
  <c r="M94" i="75"/>
  <c r="AO32" i="73"/>
  <c r="AN24" i="73"/>
  <c r="AZ17" i="73"/>
  <c r="AN53" i="73"/>
  <c r="AO34" i="73"/>
  <c r="AZ43" i="73"/>
  <c r="Y33" i="73"/>
  <c r="AO33" i="73"/>
  <c r="Z33" i="73"/>
  <c r="AA33" i="73" s="1"/>
  <c r="AO30" i="73"/>
  <c r="AO48" i="73"/>
  <c r="AZ25" i="72"/>
  <c r="AP47" i="72"/>
  <c r="AN52" i="73"/>
  <c r="AN51" i="73"/>
  <c r="AI57" i="72"/>
  <c r="Q59" i="72"/>
  <c r="AT13" i="72"/>
  <c r="P59" i="72"/>
  <c r="R59" i="73"/>
  <c r="AU13" i="73"/>
  <c r="N59" i="72"/>
  <c r="W127" i="70"/>
  <c r="O127" i="70"/>
  <c r="T127" i="70"/>
  <c r="S127" i="70"/>
  <c r="R127" i="70"/>
  <c r="V127" i="70"/>
  <c r="U127" i="70"/>
  <c r="Q127" i="70"/>
  <c r="P127" i="70"/>
  <c r="N127" i="70"/>
  <c r="O59" i="70"/>
  <c r="Y97" i="70"/>
  <c r="Q97" i="70"/>
  <c r="V97" i="70"/>
  <c r="N97" i="70"/>
  <c r="T97" i="70"/>
  <c r="W97" i="70"/>
  <c r="U97" i="70"/>
  <c r="S97" i="70"/>
  <c r="R97" i="70"/>
  <c r="P97" i="70"/>
  <c r="AA97" i="70"/>
  <c r="O97" i="70"/>
  <c r="Z97" i="70"/>
  <c r="M97" i="70"/>
  <c r="X97" i="70"/>
  <c r="T95" i="70"/>
  <c r="Z95" i="70"/>
  <c r="R95" i="70"/>
  <c r="W95" i="70"/>
  <c r="M95" i="70"/>
  <c r="V95" i="70"/>
  <c r="U95" i="70"/>
  <c r="S95" i="70"/>
  <c r="Q95" i="70"/>
  <c r="AA95" i="70"/>
  <c r="P95" i="70"/>
  <c r="Y95" i="70"/>
  <c r="O95" i="70"/>
  <c r="X95" i="70"/>
  <c r="N95" i="70"/>
  <c r="X79" i="81"/>
  <c r="P79" i="81"/>
  <c r="U79" i="81"/>
  <c r="Z79" i="81"/>
  <c r="O79" i="81"/>
  <c r="Y79" i="81"/>
  <c r="N79" i="81"/>
  <c r="W79" i="81"/>
  <c r="V79" i="81"/>
  <c r="T79" i="81"/>
  <c r="AB79" i="81"/>
  <c r="R79" i="81"/>
  <c r="AA79" i="81"/>
  <c r="S79" i="81"/>
  <c r="Q79" i="81"/>
  <c r="AP38" i="79"/>
  <c r="AP39" i="79"/>
  <c r="BA50" i="79"/>
  <c r="AO36" i="79"/>
  <c r="AO52" i="79"/>
  <c r="AO25" i="79"/>
  <c r="Q59" i="79"/>
  <c r="BA23" i="79"/>
  <c r="BA35" i="79"/>
  <c r="BA53" i="79"/>
  <c r="AJ54" i="78"/>
  <c r="P59" i="78"/>
  <c r="AX13" i="78"/>
  <c r="BF26" i="78"/>
  <c r="BF37" i="78"/>
  <c r="BF31" i="78"/>
  <c r="BF51" i="78"/>
  <c r="U59" i="79"/>
  <c r="AX13" i="79"/>
  <c r="AP29" i="79"/>
  <c r="AP36" i="79"/>
  <c r="BF27" i="78"/>
  <c r="S59" i="78"/>
  <c r="BA13" i="78"/>
  <c r="W100" i="76"/>
  <c r="O100" i="76"/>
  <c r="U100" i="76"/>
  <c r="AA100" i="76"/>
  <c r="S100" i="76"/>
  <c r="Z100" i="76"/>
  <c r="R100" i="76"/>
  <c r="X100" i="76"/>
  <c r="V100" i="76"/>
  <c r="T100" i="76"/>
  <c r="Q100" i="76"/>
  <c r="P100" i="76"/>
  <c r="N100" i="76"/>
  <c r="AB100" i="76"/>
  <c r="Y100" i="76"/>
  <c r="Z110" i="76"/>
  <c r="R110" i="76"/>
  <c r="Y110" i="76"/>
  <c r="Q110" i="76"/>
  <c r="X110" i="76"/>
  <c r="P110" i="76"/>
  <c r="W110" i="76"/>
  <c r="O110" i="76"/>
  <c r="U110" i="76"/>
  <c r="AB110" i="76"/>
  <c r="T110" i="76"/>
  <c r="S110" i="76"/>
  <c r="N110" i="76"/>
  <c r="AA110" i="76"/>
  <c r="V110" i="76"/>
  <c r="P60" i="76"/>
  <c r="P59" i="76"/>
  <c r="T167" i="75"/>
  <c r="R167" i="75"/>
  <c r="P167" i="75"/>
  <c r="W167" i="75"/>
  <c r="O167" i="75"/>
  <c r="V167" i="75"/>
  <c r="U167" i="75"/>
  <c r="S167" i="75"/>
  <c r="Q167" i="75"/>
  <c r="N167" i="75"/>
  <c r="M167" i="75"/>
  <c r="S60" i="76"/>
  <c r="S59" i="76"/>
  <c r="Z79" i="75"/>
  <c r="R79" i="75"/>
  <c r="V79" i="75"/>
  <c r="N79" i="75"/>
  <c r="X79" i="75"/>
  <c r="M79" i="75"/>
  <c r="W79" i="75"/>
  <c r="U79" i="75"/>
  <c r="T79" i="75"/>
  <c r="Q79" i="75"/>
  <c r="AA79" i="75"/>
  <c r="P79" i="75"/>
  <c r="Y79" i="75"/>
  <c r="S79" i="75"/>
  <c r="O79" i="75"/>
  <c r="AO26" i="73"/>
  <c r="AZ32" i="73"/>
  <c r="AO15" i="72"/>
  <c r="AN23" i="73"/>
  <c r="AN29" i="73"/>
  <c r="K59" i="72"/>
  <c r="AN13" i="72"/>
  <c r="AZ27" i="72"/>
  <c r="AZ16" i="72"/>
  <c r="V59" i="72"/>
  <c r="W148" i="70"/>
  <c r="O148" i="70"/>
  <c r="T148" i="70"/>
  <c r="S148" i="70"/>
  <c r="R148" i="70"/>
  <c r="P148" i="70"/>
  <c r="N148" i="70"/>
  <c r="M148" i="70"/>
  <c r="V148" i="70"/>
  <c r="U148" i="70"/>
  <c r="Q148" i="70"/>
  <c r="BA42" i="79"/>
  <c r="AP34" i="79"/>
  <c r="BA38" i="79"/>
  <c r="AP32" i="79"/>
  <c r="AO29" i="79"/>
  <c r="R59" i="79"/>
  <c r="AU13" i="79"/>
  <c r="AO30" i="79"/>
  <c r="BA47" i="79"/>
  <c r="BA26" i="79"/>
  <c r="BA43" i="79"/>
  <c r="BF46" i="78"/>
  <c r="AP27" i="79"/>
  <c r="BA21" i="79"/>
  <c r="AV32" i="78"/>
  <c r="O59" i="78"/>
  <c r="AW13" i="78"/>
  <c r="BF41" i="78"/>
  <c r="AA33" i="79"/>
  <c r="AB33" i="79" s="1"/>
  <c r="Z33" i="79"/>
  <c r="AP33" i="79"/>
  <c r="AP41" i="79"/>
  <c r="BF20" i="78"/>
  <c r="BF50" i="78"/>
  <c r="BF39" i="78"/>
  <c r="S160" i="76"/>
  <c r="Q160" i="76"/>
  <c r="U160" i="76"/>
  <c r="R160" i="76"/>
  <c r="P160" i="76"/>
  <c r="O160" i="76"/>
  <c r="N160" i="76"/>
  <c r="X160" i="76"/>
  <c r="W160" i="76"/>
  <c r="V160" i="76"/>
  <c r="T160" i="76"/>
  <c r="S164" i="76"/>
  <c r="Q164" i="76"/>
  <c r="U164" i="76"/>
  <c r="R164" i="76"/>
  <c r="P164" i="76"/>
  <c r="O164" i="76"/>
  <c r="N164" i="76"/>
  <c r="X164" i="76"/>
  <c r="W164" i="76"/>
  <c r="V164" i="76"/>
  <c r="T164" i="76"/>
  <c r="AB89" i="76"/>
  <c r="T89" i="76"/>
  <c r="Z89" i="76"/>
  <c r="R89" i="76"/>
  <c r="W89" i="76"/>
  <c r="O89" i="76"/>
  <c r="X89" i="76"/>
  <c r="V89" i="76"/>
  <c r="U89" i="76"/>
  <c r="S89" i="76"/>
  <c r="Q89" i="76"/>
  <c r="P89" i="76"/>
  <c r="AA89" i="76"/>
  <c r="N89" i="76"/>
  <c r="Y89" i="76"/>
  <c r="Y94" i="76"/>
  <c r="Q94" i="76"/>
  <c r="W94" i="76"/>
  <c r="O94" i="76"/>
  <c r="U94" i="76"/>
  <c r="AB94" i="76"/>
  <c r="T94" i="76"/>
  <c r="R94" i="76"/>
  <c r="P94" i="76"/>
  <c r="N94" i="76"/>
  <c r="AA94" i="76"/>
  <c r="Z94" i="76"/>
  <c r="X94" i="76"/>
  <c r="V94" i="76"/>
  <c r="S94" i="76"/>
  <c r="X60" i="76"/>
  <c r="X59" i="76"/>
  <c r="Y102" i="76"/>
  <c r="Q102" i="76"/>
  <c r="W102" i="76"/>
  <c r="O102" i="76"/>
  <c r="U102" i="76"/>
  <c r="AB102" i="76"/>
  <c r="T102" i="76"/>
  <c r="S102" i="76"/>
  <c r="R102" i="76"/>
  <c r="P102" i="76"/>
  <c r="N102" i="76"/>
  <c r="AA102" i="76"/>
  <c r="Z102" i="76"/>
  <c r="X102" i="76"/>
  <c r="V102" i="76"/>
  <c r="W68" i="76"/>
  <c r="R68" i="76"/>
  <c r="P68" i="76"/>
  <c r="X68" i="76"/>
  <c r="V68" i="76"/>
  <c r="U68" i="76"/>
  <c r="T68" i="76"/>
  <c r="S68" i="76"/>
  <c r="Q68" i="76"/>
  <c r="V83" i="75"/>
  <c r="N83" i="75"/>
  <c r="Z83" i="75"/>
  <c r="R83" i="75"/>
  <c r="AA83" i="75"/>
  <c r="P83" i="75"/>
  <c r="Y83" i="75"/>
  <c r="O83" i="75"/>
  <c r="X83" i="75"/>
  <c r="M83" i="75"/>
  <c r="W83" i="75"/>
  <c r="U83" i="75"/>
  <c r="T83" i="75"/>
  <c r="S83" i="75"/>
  <c r="Q83" i="75"/>
  <c r="AO43" i="73"/>
  <c r="W84" i="75"/>
  <c r="O84" i="75"/>
  <c r="AA84" i="75"/>
  <c r="S84" i="75"/>
  <c r="Y84" i="75"/>
  <c r="N84" i="75"/>
  <c r="X84" i="75"/>
  <c r="M84" i="75"/>
  <c r="V84" i="75"/>
  <c r="U84" i="75"/>
  <c r="T84" i="75"/>
  <c r="R84" i="75"/>
  <c r="Q84" i="75"/>
  <c r="Z84" i="75"/>
  <c r="P84" i="75"/>
  <c r="AZ25" i="73"/>
  <c r="AN45" i="73"/>
  <c r="AN26" i="73"/>
  <c r="AO28" i="73"/>
  <c r="AN47" i="73"/>
  <c r="AZ42" i="72"/>
  <c r="G60" i="74"/>
  <c r="AZ48" i="73"/>
  <c r="AZ28" i="72"/>
  <c r="AZ52" i="72"/>
  <c r="AN21" i="73"/>
  <c r="V104" i="75"/>
  <c r="N104" i="75"/>
  <c r="U104" i="75"/>
  <c r="AA104" i="75"/>
  <c r="R104" i="75"/>
  <c r="Z104" i="75"/>
  <c r="Q104" i="75"/>
  <c r="S104" i="75"/>
  <c r="P104" i="75"/>
  <c r="O104" i="75"/>
  <c r="M104" i="75"/>
  <c r="Y104" i="75"/>
  <c r="X104" i="75"/>
  <c r="W104" i="75"/>
  <c r="T104" i="75"/>
  <c r="AN31" i="73"/>
  <c r="AN21" i="72"/>
  <c r="S59" i="72"/>
  <c r="AV13" i="72"/>
  <c r="O59" i="72"/>
  <c r="AZ22" i="72"/>
  <c r="AI54" i="72"/>
  <c r="AP48" i="72"/>
  <c r="AO16" i="72"/>
  <c r="Q59" i="73"/>
  <c r="AT13" i="73"/>
  <c r="T59" i="73"/>
  <c r="AW13" i="73"/>
  <c r="T100" i="70"/>
  <c r="Y100" i="70"/>
  <c r="Q100" i="70"/>
  <c r="W100" i="70"/>
  <c r="O100" i="70"/>
  <c r="AA100" i="70"/>
  <c r="N100" i="70"/>
  <c r="Z100" i="70"/>
  <c r="M100" i="70"/>
  <c r="X100" i="70"/>
  <c r="V100" i="70"/>
  <c r="U100" i="70"/>
  <c r="S100" i="70"/>
  <c r="R100" i="70"/>
  <c r="P100" i="70"/>
  <c r="D17" i="80"/>
  <c r="D18" i="80" s="1"/>
  <c r="AO45" i="79"/>
  <c r="BA46" i="79"/>
  <c r="AA54" i="79"/>
  <c r="AB54" i="79" s="1"/>
  <c r="AJ55" i="79"/>
  <c r="Y55" i="79"/>
  <c r="BA48" i="79"/>
  <c r="Y33" i="79"/>
  <c r="AO33" i="79"/>
  <c r="AJ33" i="79"/>
  <c r="AO47" i="79"/>
  <c r="AS18" i="79"/>
  <c r="BA34" i="79"/>
  <c r="S59" i="79"/>
  <c r="BF52" i="78"/>
  <c r="AP44" i="79"/>
  <c r="BF36" i="78"/>
  <c r="BA14" i="79"/>
  <c r="BF48" i="78"/>
  <c r="BF38" i="78"/>
  <c r="V59" i="78"/>
  <c r="BD13" i="78"/>
  <c r="BF25" i="78"/>
  <c r="Q59" i="76"/>
  <c r="Q60" i="76"/>
  <c r="W84" i="76"/>
  <c r="O84" i="76"/>
  <c r="U84" i="76"/>
  <c r="Z84" i="76"/>
  <c r="R84" i="76"/>
  <c r="Q84" i="76"/>
  <c r="AB84" i="76"/>
  <c r="P84" i="76"/>
  <c r="AA84" i="76"/>
  <c r="N84" i="76"/>
  <c r="Y84" i="76"/>
  <c r="X84" i="76"/>
  <c r="V84" i="76"/>
  <c r="T84" i="76"/>
  <c r="S84" i="76"/>
  <c r="AN43" i="73"/>
  <c r="AZ28" i="73"/>
  <c r="AZ20" i="73"/>
  <c r="T81" i="75"/>
  <c r="X81" i="75"/>
  <c r="P81" i="75"/>
  <c r="U81" i="75"/>
  <c r="S81" i="75"/>
  <c r="R81" i="75"/>
  <c r="AA81" i="75"/>
  <c r="Q81" i="75"/>
  <c r="Y81" i="75"/>
  <c r="N81" i="75"/>
  <c r="W81" i="75"/>
  <c r="M81" i="75"/>
  <c r="Z81" i="75"/>
  <c r="V81" i="75"/>
  <c r="O81" i="75"/>
  <c r="AO39" i="73"/>
  <c r="AZ27" i="73"/>
  <c r="AO52" i="73"/>
  <c r="AO36" i="73"/>
  <c r="AN34" i="73"/>
  <c r="AN27" i="73"/>
  <c r="AN40" i="73"/>
  <c r="AO29" i="73"/>
  <c r="AO13" i="72"/>
  <c r="AN16" i="72"/>
  <c r="AZ21" i="72"/>
  <c r="S59" i="73"/>
  <c r="AV13" i="73"/>
  <c r="R59" i="72"/>
  <c r="AA86" i="70"/>
  <c r="S86" i="70"/>
  <c r="Y86" i="70"/>
  <c r="Q86" i="70"/>
  <c r="W86" i="70"/>
  <c r="M86" i="70"/>
  <c r="V86" i="70"/>
  <c r="U86" i="70"/>
  <c r="T86" i="70"/>
  <c r="R86" i="70"/>
  <c r="P86" i="70"/>
  <c r="Z86" i="70"/>
  <c r="O86" i="70"/>
  <c r="X86" i="70"/>
  <c r="N86" i="70"/>
  <c r="W144" i="70"/>
  <c r="O144" i="70"/>
  <c r="T144" i="70"/>
  <c r="S144" i="70"/>
  <c r="R144" i="70"/>
  <c r="P144" i="70"/>
  <c r="N144" i="70"/>
  <c r="M144" i="70"/>
  <c r="V144" i="70"/>
  <c r="U144" i="70"/>
  <c r="Q144" i="70"/>
  <c r="S59" i="70"/>
  <c r="AO53" i="79"/>
  <c r="AP37" i="79"/>
  <c r="AP43" i="79"/>
  <c r="AO50" i="79"/>
  <c r="BA37" i="79"/>
  <c r="AO39" i="79"/>
  <c r="BA27" i="79"/>
  <c r="BF49" i="78"/>
  <c r="BA31" i="79"/>
  <c r="AO24" i="79"/>
  <c r="V59" i="79"/>
  <c r="BA40" i="79"/>
  <c r="BA17" i="79"/>
  <c r="AP25" i="79"/>
  <c r="BF21" i="78"/>
  <c r="AV24" i="78"/>
  <c r="BF45" i="78"/>
  <c r="BF34" i="78"/>
  <c r="AP46" i="79"/>
  <c r="Z87" i="76"/>
  <c r="R87" i="76"/>
  <c r="X87" i="76"/>
  <c r="P87" i="76"/>
  <c r="U87" i="76"/>
  <c r="V87" i="76"/>
  <c r="T87" i="76"/>
  <c r="S87" i="76"/>
  <c r="Q87" i="76"/>
  <c r="AB87" i="76"/>
  <c r="O87" i="76"/>
  <c r="AA87" i="76"/>
  <c r="N87" i="76"/>
  <c r="Y87" i="76"/>
  <c r="W87" i="76"/>
  <c r="U105" i="76"/>
  <c r="AB105" i="76"/>
  <c r="T105" i="76"/>
  <c r="Z105" i="76"/>
  <c r="R105" i="76"/>
  <c r="X105" i="76"/>
  <c r="P105" i="76"/>
  <c r="W105" i="76"/>
  <c r="O105" i="76"/>
  <c r="AA105" i="76"/>
  <c r="Y105" i="76"/>
  <c r="V105" i="76"/>
  <c r="S105" i="76"/>
  <c r="Q105" i="76"/>
  <c r="N105" i="76"/>
  <c r="W60" i="76"/>
  <c r="AB81" i="76"/>
  <c r="T81" i="76"/>
  <c r="Z81" i="76"/>
  <c r="R81" i="76"/>
  <c r="W81" i="76"/>
  <c r="O81" i="76"/>
  <c r="AA81" i="76"/>
  <c r="N81" i="76"/>
  <c r="Y81" i="76"/>
  <c r="X81" i="76"/>
  <c r="V81" i="76"/>
  <c r="U81" i="76"/>
  <c r="S81" i="76"/>
  <c r="Q81" i="76"/>
  <c r="P81" i="76"/>
  <c r="R60" i="76"/>
  <c r="R59" i="76"/>
  <c r="O59" i="76"/>
  <c r="O60" i="76"/>
  <c r="AO24" i="73"/>
  <c r="AN35" i="73"/>
  <c r="AO50" i="73"/>
  <c r="AN37" i="73"/>
  <c r="AO31" i="73"/>
  <c r="AO47" i="73"/>
  <c r="AZ38" i="73"/>
  <c r="AZ51" i="73"/>
  <c r="AZ35" i="73"/>
  <c r="AO25" i="73"/>
  <c r="AO21" i="73"/>
  <c r="AZ41" i="72"/>
  <c r="AN25" i="73"/>
  <c r="AN42" i="73"/>
  <c r="AN38" i="73"/>
  <c r="AI56" i="72"/>
  <c r="AO21" i="72"/>
  <c r="T59" i="72"/>
  <c r="AW13" i="72"/>
  <c r="AN19" i="72"/>
  <c r="AP40" i="72"/>
  <c r="AY13" i="73"/>
  <c r="V59" i="73"/>
  <c r="AX13" i="73"/>
  <c r="U59" i="73"/>
  <c r="AA107" i="70"/>
  <c r="S107" i="70"/>
  <c r="X107" i="70"/>
  <c r="P107" i="70"/>
  <c r="W107" i="70"/>
  <c r="O107" i="70"/>
  <c r="V107" i="70"/>
  <c r="N107" i="70"/>
  <c r="U107" i="70"/>
  <c r="T107" i="70"/>
  <c r="R107" i="70"/>
  <c r="Q107" i="70"/>
  <c r="M107" i="70"/>
  <c r="Z107" i="70"/>
  <c r="Y107" i="70"/>
  <c r="V89" i="70"/>
  <c r="N89" i="70"/>
  <c r="T89" i="70"/>
  <c r="Z89" i="70"/>
  <c r="P89" i="70"/>
  <c r="Y89" i="70"/>
  <c r="O89" i="70"/>
  <c r="X89" i="70"/>
  <c r="M89" i="70"/>
  <c r="W89" i="70"/>
  <c r="U89" i="70"/>
  <c r="S89" i="70"/>
  <c r="R89" i="70"/>
  <c r="AA89" i="70"/>
  <c r="Q89" i="70"/>
  <c r="P60" i="70"/>
  <c r="P59" i="70"/>
  <c r="V102" i="70"/>
  <c r="N102" i="70"/>
  <c r="AA102" i="70"/>
  <c r="S102" i="70"/>
  <c r="Y102" i="70"/>
  <c r="Q102" i="70"/>
  <c r="P102" i="70"/>
  <c r="O102" i="70"/>
  <c r="Z102" i="70"/>
  <c r="M102" i="70"/>
  <c r="X102" i="70"/>
  <c r="W102" i="70"/>
  <c r="U102" i="70"/>
  <c r="T102" i="70"/>
  <c r="R102" i="70"/>
  <c r="T60" i="70"/>
  <c r="AO43" i="79"/>
  <c r="AO38" i="79"/>
  <c r="AO46" i="79"/>
  <c r="H60" i="80"/>
  <c r="Y54" i="79"/>
  <c r="AJ54" i="79"/>
  <c r="AO35" i="79"/>
  <c r="BA32" i="79"/>
  <c r="AO42" i="79"/>
  <c r="AO31" i="79"/>
  <c r="BA44" i="79"/>
  <c r="BA24" i="79"/>
  <c r="T59" i="79"/>
  <c r="AW13" i="79"/>
  <c r="AV47" i="78"/>
  <c r="AX18" i="78"/>
  <c r="AP45" i="79"/>
  <c r="BF40" i="78"/>
  <c r="AJ57" i="78"/>
  <c r="BF16" i="78"/>
  <c r="AV39" i="78"/>
  <c r="BF17" i="78"/>
  <c r="S156" i="76"/>
  <c r="Q156" i="76"/>
  <c r="U156" i="76"/>
  <c r="R156" i="76"/>
  <c r="P156" i="76"/>
  <c r="O156" i="76"/>
  <c r="N156" i="76"/>
  <c r="X156" i="76"/>
  <c r="W156" i="76"/>
  <c r="V156" i="76"/>
  <c r="T156" i="76"/>
  <c r="T60" i="76"/>
  <c r="T59" i="76"/>
  <c r="V131" i="75"/>
  <c r="N131" i="75"/>
  <c r="T131" i="75"/>
  <c r="L131" i="75"/>
  <c r="R131" i="75"/>
  <c r="M131" i="75"/>
  <c r="W131" i="75"/>
  <c r="U131" i="75"/>
  <c r="S131" i="75"/>
  <c r="Q131" i="75"/>
  <c r="P131" i="75"/>
  <c r="O131" i="75"/>
  <c r="K131" i="75"/>
  <c r="AA109" i="75"/>
  <c r="S109" i="75"/>
  <c r="Y109" i="75"/>
  <c r="P109" i="75"/>
  <c r="V109" i="75"/>
  <c r="M109" i="75"/>
  <c r="U109" i="75"/>
  <c r="T109" i="75"/>
  <c r="R109" i="75"/>
  <c r="Q109" i="75"/>
  <c r="O109" i="75"/>
  <c r="N109" i="75"/>
  <c r="Z109" i="75"/>
  <c r="X109" i="75"/>
  <c r="W109" i="75"/>
  <c r="Z87" i="75"/>
  <c r="R87" i="75"/>
  <c r="V87" i="75"/>
  <c r="N87" i="75"/>
  <c r="S87" i="75"/>
  <c r="Q87" i="75"/>
  <c r="AA87" i="75"/>
  <c r="P87" i="75"/>
  <c r="Y87" i="75"/>
  <c r="O87" i="75"/>
  <c r="X87" i="75"/>
  <c r="M87" i="75"/>
  <c r="W87" i="75"/>
  <c r="U87" i="75"/>
  <c r="T87" i="75"/>
  <c r="AO35" i="73"/>
  <c r="AZ23" i="73"/>
  <c r="AZ47" i="73"/>
  <c r="S132" i="75"/>
  <c r="K132" i="75"/>
  <c r="Q132" i="75"/>
  <c r="W132" i="75"/>
  <c r="O132" i="75"/>
  <c r="T132" i="75"/>
  <c r="R132" i="75"/>
  <c r="P132" i="75"/>
  <c r="N132" i="75"/>
  <c r="M132" i="75"/>
  <c r="L132" i="75"/>
  <c r="V132" i="75"/>
  <c r="U132" i="75"/>
  <c r="AZ49" i="73"/>
  <c r="AZ30" i="73"/>
  <c r="AZ46" i="73"/>
  <c r="AZ24" i="73"/>
  <c r="AN41" i="73"/>
  <c r="AZ39" i="72"/>
  <c r="AI33" i="72"/>
  <c r="AP26" i="72"/>
  <c r="G61" i="74"/>
  <c r="AZ44" i="72"/>
  <c r="AZ36" i="72"/>
  <c r="AZ49" i="72"/>
  <c r="AN33" i="73"/>
  <c r="AI33" i="73"/>
  <c r="X33" i="73"/>
  <c r="AN50" i="73"/>
  <c r="AN46" i="73"/>
  <c r="AO40" i="73"/>
  <c r="AZ29" i="73"/>
  <c r="AP29" i="72"/>
  <c r="AZ48" i="72"/>
  <c r="AZ19" i="72"/>
  <c r="W59" i="72"/>
  <c r="AZ13" i="72"/>
  <c r="O59" i="73"/>
  <c r="AR13" i="73"/>
  <c r="U165" i="70"/>
  <c r="M165" i="70"/>
  <c r="T165" i="70"/>
  <c r="R165" i="70"/>
  <c r="Q165" i="70"/>
  <c r="P165" i="70"/>
  <c r="N165" i="70"/>
  <c r="W165" i="70"/>
  <c r="V165" i="70"/>
  <c r="S165" i="70"/>
  <c r="O165" i="70"/>
  <c r="AA99" i="70"/>
  <c r="S99" i="70"/>
  <c r="X99" i="70"/>
  <c r="P99" i="70"/>
  <c r="V99" i="70"/>
  <c r="N99" i="70"/>
  <c r="Y99" i="70"/>
  <c r="W99" i="70"/>
  <c r="U99" i="70"/>
  <c r="T99" i="70"/>
  <c r="R99" i="70"/>
  <c r="Q99" i="70"/>
  <c r="O99" i="70"/>
  <c r="Z99" i="70"/>
  <c r="M99" i="70"/>
  <c r="V60" i="70"/>
  <c r="V59" i="70"/>
  <c r="S68" i="70"/>
  <c r="R68" i="70"/>
  <c r="Q68" i="70"/>
  <c r="P68" i="70"/>
  <c r="W68" i="70"/>
  <c r="O68" i="70"/>
  <c r="V68" i="70"/>
  <c r="U68" i="70"/>
  <c r="T68" i="70"/>
  <c r="W140" i="70"/>
  <c r="O140" i="70"/>
  <c r="T140" i="70"/>
  <c r="S140" i="70"/>
  <c r="R140" i="70"/>
  <c r="P140" i="70"/>
  <c r="N140" i="70"/>
  <c r="M140" i="70"/>
  <c r="V140" i="70"/>
  <c r="U140" i="70"/>
  <c r="Q140" i="70"/>
  <c r="W136" i="70"/>
  <c r="O136" i="70"/>
  <c r="T136" i="70"/>
  <c r="S136" i="70"/>
  <c r="R136" i="70"/>
  <c r="Q136" i="70"/>
  <c r="P136" i="70"/>
  <c r="N136" i="70"/>
  <c r="M136" i="70"/>
  <c r="V136" i="70"/>
  <c r="U136" i="70"/>
  <c r="AA56" i="79"/>
  <c r="AB56" i="79" s="1"/>
  <c r="AP48" i="79"/>
  <c r="AP42" i="79"/>
  <c r="AO37" i="79"/>
  <c r="AP50" i="79"/>
  <c r="AP35" i="79"/>
  <c r="AO51" i="79"/>
  <c r="AP47" i="79"/>
  <c r="AO32" i="79"/>
  <c r="BA45" i="79"/>
  <c r="AJ56" i="78"/>
  <c r="BF29" i="78"/>
  <c r="AV35" i="78"/>
  <c r="AP53" i="79"/>
  <c r="BF44" i="78"/>
  <c r="BF28" i="78"/>
  <c r="W59" i="79"/>
  <c r="BF35" i="78"/>
  <c r="T59" i="78"/>
  <c r="U60" i="76"/>
  <c r="U59" i="76"/>
  <c r="W59" i="76"/>
  <c r="AZ34" i="73"/>
  <c r="AO53" i="73"/>
  <c r="AO45" i="73"/>
  <c r="AO37" i="73"/>
  <c r="AO42" i="73"/>
  <c r="AO23" i="73"/>
  <c r="AN39" i="73"/>
  <c r="AO41" i="73"/>
  <c r="AO22" i="73"/>
  <c r="AN48" i="73"/>
  <c r="AO18" i="72"/>
  <c r="AZ21" i="73"/>
  <c r="AI55" i="72"/>
  <c r="AN36" i="73"/>
  <c r="AI55" i="73"/>
  <c r="X55" i="73"/>
  <c r="AI54" i="73"/>
  <c r="X54" i="73"/>
  <c r="AN14" i="72"/>
  <c r="U59" i="72"/>
  <c r="AX13" i="72"/>
  <c r="AZ46" i="72"/>
  <c r="AO19" i="72"/>
  <c r="W59" i="73"/>
  <c r="AZ13" i="73"/>
  <c r="Q60" i="70"/>
  <c r="Q59" i="70"/>
  <c r="U161" i="70"/>
  <c r="M161" i="70"/>
  <c r="T161" i="70"/>
  <c r="R161" i="70"/>
  <c r="Q161" i="70"/>
  <c r="P161" i="70"/>
  <c r="N161" i="70"/>
  <c r="W161" i="70"/>
  <c r="V161" i="70"/>
  <c r="S161" i="70"/>
  <c r="O161" i="70"/>
  <c r="U157" i="70"/>
  <c r="M157" i="70"/>
  <c r="T157" i="70"/>
  <c r="R157" i="70"/>
  <c r="Q157" i="70"/>
  <c r="P157" i="70"/>
  <c r="N157" i="70"/>
  <c r="W157" i="70"/>
  <c r="V157" i="70"/>
  <c r="S157" i="70"/>
  <c r="O157" i="70"/>
  <c r="V110" i="70"/>
  <c r="N110" i="70"/>
  <c r="AA110" i="70"/>
  <c r="S110" i="70"/>
  <c r="Z110" i="70"/>
  <c r="R110" i="70"/>
  <c r="Y110" i="70"/>
  <c r="Q110" i="70"/>
  <c r="X110" i="70"/>
  <c r="W110" i="70"/>
  <c r="U110" i="70"/>
  <c r="T110" i="70"/>
  <c r="P110" i="70"/>
  <c r="O110" i="70"/>
  <c r="M110" i="70"/>
  <c r="N60" i="70"/>
  <c r="N59" i="70"/>
  <c r="S76" i="70"/>
  <c r="K76" i="70"/>
  <c r="R76" i="70"/>
  <c r="Q76" i="70"/>
  <c r="P76" i="70"/>
  <c r="W76" i="70"/>
  <c r="O76" i="70"/>
  <c r="V76" i="70"/>
  <c r="N76" i="70"/>
  <c r="U76" i="70"/>
  <c r="M76" i="70"/>
  <c r="T76" i="70"/>
  <c r="L76" i="70"/>
  <c r="U60" i="70"/>
  <c r="U59" i="70"/>
  <c r="T73" i="70"/>
  <c r="S73" i="70"/>
  <c r="R73" i="70"/>
  <c r="Q73" i="70"/>
  <c r="P73" i="70"/>
  <c r="W73" i="70"/>
  <c r="O73" i="70"/>
  <c r="V73" i="70"/>
  <c r="U73" i="70"/>
  <c r="F149" i="81" l="1"/>
  <c r="F147" i="81"/>
  <c r="F139" i="81"/>
  <c r="F159" i="81"/>
  <c r="F146" i="81"/>
  <c r="F166" i="81"/>
  <c r="F134" i="81"/>
  <c r="F154" i="81"/>
  <c r="F144" i="81"/>
  <c r="F151" i="81"/>
  <c r="F150" i="81"/>
  <c r="F156" i="81"/>
  <c r="F140" i="81"/>
  <c r="F145" i="81"/>
  <c r="F161" i="81"/>
  <c r="F153" i="81"/>
  <c r="F167" i="81"/>
  <c r="F135" i="81"/>
  <c r="F164" i="81"/>
  <c r="F160" i="81"/>
  <c r="F158" i="81"/>
  <c r="F155" i="81"/>
  <c r="F165" i="81"/>
  <c r="F142" i="81"/>
  <c r="F163" i="81"/>
  <c r="F148" i="81"/>
  <c r="F160" i="76"/>
  <c r="F152" i="76"/>
  <c r="F134" i="76"/>
  <c r="F135" i="76"/>
  <c r="F147" i="76"/>
  <c r="F150" i="76"/>
  <c r="F156" i="76"/>
  <c r="F164" i="76"/>
  <c r="F162" i="76"/>
  <c r="F151" i="76"/>
  <c r="F157" i="76"/>
  <c r="F154" i="76"/>
  <c r="F165" i="76"/>
  <c r="F167" i="75"/>
  <c r="F131" i="75"/>
  <c r="F132" i="75"/>
  <c r="F138" i="70"/>
  <c r="F134" i="70"/>
  <c r="F141" i="70"/>
  <c r="BA22" i="72"/>
  <c r="BB22" i="72" s="1"/>
  <c r="F135" i="70"/>
  <c r="F149" i="70"/>
  <c r="F147" i="70"/>
  <c r="J61" i="72"/>
  <c r="F167" i="70"/>
  <c r="F153" i="70"/>
  <c r="F165" i="70"/>
  <c r="F136" i="70"/>
  <c r="F159" i="70"/>
  <c r="F157" i="70"/>
  <c r="F145" i="70"/>
  <c r="F133" i="70"/>
  <c r="F140" i="70"/>
  <c r="F152" i="70"/>
  <c r="F161" i="70"/>
  <c r="F144" i="70"/>
  <c r="F148" i="70"/>
  <c r="F76" i="70"/>
  <c r="I61" i="79"/>
  <c r="I61" i="78"/>
  <c r="J61" i="78"/>
  <c r="J61" i="79"/>
  <c r="BA22" i="73"/>
  <c r="BB22" i="73" s="1"/>
  <c r="U61" i="72"/>
  <c r="Q61" i="73"/>
  <c r="W61" i="79"/>
  <c r="BB23" i="72"/>
  <c r="R61" i="72"/>
  <c r="T61" i="79"/>
  <c r="BB38" i="79"/>
  <c r="AD38" i="79" s="1"/>
  <c r="BA26" i="73"/>
  <c r="BB26" i="73" s="1"/>
  <c r="O61" i="73"/>
  <c r="BA43" i="73"/>
  <c r="AC43" i="73" s="1"/>
  <c r="O61" i="72"/>
  <c r="BB51" i="79"/>
  <c r="BC51" i="79" s="1"/>
  <c r="BA36" i="73"/>
  <c r="BB36" i="73" s="1"/>
  <c r="BB29" i="79"/>
  <c r="AD29" i="79" s="1"/>
  <c r="T61" i="78"/>
  <c r="BB31" i="79"/>
  <c r="BC31" i="79" s="1"/>
  <c r="P61" i="78"/>
  <c r="BB46" i="79"/>
  <c r="BC46" i="79" s="1"/>
  <c r="BA38" i="73"/>
  <c r="BB38" i="73" s="1"/>
  <c r="BA46" i="73"/>
  <c r="BB46" i="73" s="1"/>
  <c r="BA48" i="73"/>
  <c r="AC48" i="73" s="1"/>
  <c r="BB43" i="79"/>
  <c r="AD43" i="79" s="1"/>
  <c r="BB49" i="79"/>
  <c r="BC49" i="79" s="1"/>
  <c r="BA39" i="73"/>
  <c r="AC39" i="73" s="1"/>
  <c r="BB30" i="79"/>
  <c r="AD30" i="79" s="1"/>
  <c r="BB52" i="79"/>
  <c r="BC52" i="79" s="1"/>
  <c r="BA50" i="73"/>
  <c r="BB50" i="73" s="1"/>
  <c r="O61" i="78"/>
  <c r="BB32" i="79"/>
  <c r="AD32" i="79" s="1"/>
  <c r="BB33" i="79"/>
  <c r="BC33" i="79" s="1"/>
  <c r="U169" i="70"/>
  <c r="P170" i="70"/>
  <c r="BA25" i="73"/>
  <c r="BB25" i="73" s="1"/>
  <c r="P61" i="72"/>
  <c r="U61" i="73"/>
  <c r="P169" i="70"/>
  <c r="V170" i="70"/>
  <c r="O170" i="70"/>
  <c r="W170" i="70"/>
  <c r="BB37" i="79"/>
  <c r="AD37" i="79" s="1"/>
  <c r="N169" i="70"/>
  <c r="R170" i="70"/>
  <c r="V61" i="78"/>
  <c r="S170" i="70"/>
  <c r="BA33" i="73"/>
  <c r="BB33" i="73" s="1"/>
  <c r="R169" i="70"/>
  <c r="BA44" i="73"/>
  <c r="BB44" i="73" s="1"/>
  <c r="BB39" i="79"/>
  <c r="BC39" i="79" s="1"/>
  <c r="R115" i="70"/>
  <c r="R114" i="70"/>
  <c r="BB24" i="79"/>
  <c r="V169" i="70"/>
  <c r="S61" i="79"/>
  <c r="BB45" i="79"/>
  <c r="BA21" i="73"/>
  <c r="U170" i="70"/>
  <c r="BA24" i="73"/>
  <c r="BA49" i="73"/>
  <c r="U61" i="78"/>
  <c r="U115" i="70"/>
  <c r="U114" i="70"/>
  <c r="V61" i="73"/>
  <c r="BA40" i="73"/>
  <c r="BA34" i="73"/>
  <c r="V61" i="72"/>
  <c r="R61" i="73"/>
  <c r="W61" i="78"/>
  <c r="BB41" i="79"/>
  <c r="S115" i="70"/>
  <c r="S114" i="70"/>
  <c r="BB42" i="79"/>
  <c r="T61" i="72"/>
  <c r="BA35" i="73"/>
  <c r="S61" i="72"/>
  <c r="S61" i="78"/>
  <c r="BA51" i="73"/>
  <c r="P61" i="73"/>
  <c r="BB27" i="79"/>
  <c r="BB40" i="79"/>
  <c r="V115" i="70"/>
  <c r="V114" i="70"/>
  <c r="BA37" i="73"/>
  <c r="S61" i="73"/>
  <c r="U61" i="79"/>
  <c r="Q61" i="79"/>
  <c r="T170" i="70"/>
  <c r="BA52" i="73"/>
  <c r="BA53" i="73"/>
  <c r="R61" i="78"/>
  <c r="BB28" i="79"/>
  <c r="BB44" i="79"/>
  <c r="O115" i="70"/>
  <c r="O114" i="70"/>
  <c r="V61" i="79"/>
  <c r="BB47" i="79"/>
  <c r="T61" i="73"/>
  <c r="BB25" i="79"/>
  <c r="Q170" i="70"/>
  <c r="BB48" i="79"/>
  <c r="D19" i="80"/>
  <c r="W115" i="70"/>
  <c r="W114" i="70"/>
  <c r="W169" i="70"/>
  <c r="BA41" i="73"/>
  <c r="BB50" i="79"/>
  <c r="BA27" i="73"/>
  <c r="N170" i="70"/>
  <c r="BA21" i="72"/>
  <c r="BA31" i="73"/>
  <c r="R61" i="79"/>
  <c r="BB36" i="79"/>
  <c r="S169" i="70"/>
  <c r="Q61" i="72"/>
  <c r="D20" i="80"/>
  <c r="BA28" i="73"/>
  <c r="BA32" i="73"/>
  <c r="P61" i="79"/>
  <c r="T169" i="70"/>
  <c r="BB26" i="79"/>
  <c r="P115" i="70"/>
  <c r="P114" i="70"/>
  <c r="O169" i="70"/>
  <c r="BA42" i="73"/>
  <c r="BB53" i="79"/>
  <c r="BA47" i="73"/>
  <c r="BA30" i="73"/>
  <c r="Y23" i="72"/>
  <c r="Z23" i="72" s="1"/>
  <c r="AA23" i="72" s="1"/>
  <c r="AH23" i="72"/>
  <c r="T115" i="70"/>
  <c r="T114" i="70"/>
  <c r="Q115" i="70"/>
  <c r="Q114" i="70"/>
  <c r="BB35" i="79"/>
  <c r="BA45" i="73"/>
  <c r="BA29" i="73"/>
  <c r="BA23" i="73"/>
  <c r="Q169" i="70"/>
  <c r="N61" i="72"/>
  <c r="BB34" i="79"/>
  <c r="Q61" i="78"/>
  <c r="AC22" i="72" l="1"/>
  <c r="AH22" i="72" s="1"/>
  <c r="AD51" i="79"/>
  <c r="Z51" i="79" s="1"/>
  <c r="AA51" i="79" s="1"/>
  <c r="AB51" i="79" s="1"/>
  <c r="BB43" i="73"/>
  <c r="AD46" i="79"/>
  <c r="AI46" i="79" s="1"/>
  <c r="AC22" i="73"/>
  <c r="AH22" i="73" s="1"/>
  <c r="AC26" i="73"/>
  <c r="AH26" i="73" s="1"/>
  <c r="AD49" i="79"/>
  <c r="AI49" i="79" s="1"/>
  <c r="AC36" i="73"/>
  <c r="AH36" i="73" s="1"/>
  <c r="AC38" i="73"/>
  <c r="AH38" i="73" s="1"/>
  <c r="AC25" i="73"/>
  <c r="AH25" i="73" s="1"/>
  <c r="BB39" i="73"/>
  <c r="AD31" i="79"/>
  <c r="AI31" i="79" s="1"/>
  <c r="AD52" i="79"/>
  <c r="Z52" i="79" s="1"/>
  <c r="AA52" i="79" s="1"/>
  <c r="AB52" i="79" s="1"/>
  <c r="AC46" i="73"/>
  <c r="AH46" i="73" s="1"/>
  <c r="BC38" i="79"/>
  <c r="BB48" i="73"/>
  <c r="AC50" i="73"/>
  <c r="AH50" i="73" s="1"/>
  <c r="BC43" i="79"/>
  <c r="BC32" i="79"/>
  <c r="BC29" i="79"/>
  <c r="BC30" i="79"/>
  <c r="BC37" i="79"/>
  <c r="AC44" i="73"/>
  <c r="AH44" i="73" s="1"/>
  <c r="AD39" i="79"/>
  <c r="AI39" i="79" s="1"/>
  <c r="AC29" i="73"/>
  <c r="BB29" i="73"/>
  <c r="AC32" i="73"/>
  <c r="BB32" i="73"/>
  <c r="BB27" i="73"/>
  <c r="AC27" i="73"/>
  <c r="AI37" i="79"/>
  <c r="Z37" i="79"/>
  <c r="AA37" i="79" s="1"/>
  <c r="AB37" i="79" s="1"/>
  <c r="AC42" i="73"/>
  <c r="BB42" i="73"/>
  <c r="BB47" i="73"/>
  <c r="AC47" i="73"/>
  <c r="BB28" i="73"/>
  <c r="AC28" i="73"/>
  <c r="BC36" i="79"/>
  <c r="AD36" i="79"/>
  <c r="AD50" i="79"/>
  <c r="BC50" i="79"/>
  <c r="AC53" i="73"/>
  <c r="BB53" i="73"/>
  <c r="BB49" i="73"/>
  <c r="AC49" i="73"/>
  <c r="X23" i="72"/>
  <c r="AI23" i="72"/>
  <c r="BC53" i="79"/>
  <c r="AD53" i="79"/>
  <c r="AC31" i="73"/>
  <c r="BB31" i="73"/>
  <c r="BB52" i="73"/>
  <c r="AC52" i="73"/>
  <c r="AC21" i="73"/>
  <c r="BB21" i="73"/>
  <c r="BC35" i="79"/>
  <c r="AD35" i="79"/>
  <c r="BB30" i="73"/>
  <c r="AC30" i="73"/>
  <c r="AC21" i="72"/>
  <c r="BB21" i="72"/>
  <c r="BC25" i="79"/>
  <c r="AD25" i="79"/>
  <c r="BC47" i="79"/>
  <c r="AD47" i="79"/>
  <c r="AI30" i="79"/>
  <c r="Z30" i="79"/>
  <c r="AA30" i="79" s="1"/>
  <c r="AB30" i="79" s="1"/>
  <c r="AC37" i="73"/>
  <c r="BB37" i="73"/>
  <c r="AH39" i="73"/>
  <c r="Y39" i="73"/>
  <c r="Z39" i="73" s="1"/>
  <c r="AA39" i="73" s="1"/>
  <c r="AH43" i="73"/>
  <c r="Y43" i="73"/>
  <c r="Z43" i="73" s="1"/>
  <c r="AA43" i="73" s="1"/>
  <c r="AI29" i="79"/>
  <c r="Z29" i="79"/>
  <c r="AA29" i="79" s="1"/>
  <c r="AB29" i="79" s="1"/>
  <c r="AD45" i="79"/>
  <c r="BC45" i="79"/>
  <c r="BC26" i="79"/>
  <c r="AD26" i="79"/>
  <c r="BC41" i="79"/>
  <c r="AD41" i="79"/>
  <c r="AC34" i="73"/>
  <c r="BB34" i="73"/>
  <c r="AC45" i="73"/>
  <c r="BB45" i="73"/>
  <c r="BB41" i="73"/>
  <c r="AC41" i="73"/>
  <c r="AD40" i="79"/>
  <c r="BC40" i="79"/>
  <c r="AI38" i="79"/>
  <c r="Z38" i="79"/>
  <c r="AA38" i="79" s="1"/>
  <c r="AB38" i="79" s="1"/>
  <c r="AC40" i="73"/>
  <c r="BB40" i="73"/>
  <c r="AC24" i="73"/>
  <c r="BB24" i="73"/>
  <c r="AD44" i="79"/>
  <c r="BC44" i="79"/>
  <c r="AI43" i="79"/>
  <c r="Z43" i="79"/>
  <c r="AA43" i="79" s="1"/>
  <c r="AB43" i="79" s="1"/>
  <c r="AH48" i="73"/>
  <c r="Y48" i="73"/>
  <c r="Z48" i="73" s="1"/>
  <c r="AA48" i="73" s="1"/>
  <c r="BC27" i="79"/>
  <c r="AD27" i="79"/>
  <c r="AC35" i="73"/>
  <c r="BB35" i="73"/>
  <c r="AD42" i="79"/>
  <c r="BC42" i="79"/>
  <c r="AI32" i="79"/>
  <c r="Z32" i="79"/>
  <c r="AA32" i="79" s="1"/>
  <c r="AB32" i="79" s="1"/>
  <c r="BC34" i="79"/>
  <c r="AD34" i="79"/>
  <c r="AC23" i="73"/>
  <c r="BB23" i="73"/>
  <c r="AD48" i="79"/>
  <c r="BC48" i="79"/>
  <c r="BC28" i="79"/>
  <c r="AD28" i="79"/>
  <c r="AC51" i="73"/>
  <c r="BB51" i="73"/>
  <c r="D21" i="80"/>
  <c r="D22" i="80" s="1"/>
  <c r="AD24" i="79"/>
  <c r="BC24" i="79"/>
  <c r="Y22" i="72" l="1"/>
  <c r="Z22" i="72" s="1"/>
  <c r="AA22" i="72" s="1"/>
  <c r="AI51" i="79"/>
  <c r="Y51" i="79" s="1"/>
  <c r="Z46" i="79"/>
  <c r="AA46" i="79" s="1"/>
  <c r="AB46" i="79" s="1"/>
  <c r="Y22" i="73"/>
  <c r="Z22" i="73" s="1"/>
  <c r="AA22" i="73" s="1"/>
  <c r="Y44" i="73"/>
  <c r="Z44" i="73" s="1"/>
  <c r="AA44" i="73" s="1"/>
  <c r="Z49" i="79"/>
  <c r="AA49" i="79" s="1"/>
  <c r="AB49" i="79" s="1"/>
  <c r="Y46" i="73"/>
  <c r="Z46" i="73" s="1"/>
  <c r="AA46" i="73" s="1"/>
  <c r="Y50" i="73"/>
  <c r="Z50" i="73" s="1"/>
  <c r="AA50" i="73" s="1"/>
  <c r="Y38" i="73"/>
  <c r="Z38" i="73" s="1"/>
  <c r="AA38" i="73" s="1"/>
  <c r="Y25" i="73"/>
  <c r="Z25" i="73" s="1"/>
  <c r="AA25" i="73" s="1"/>
  <c r="Y26" i="73"/>
  <c r="Z26" i="73" s="1"/>
  <c r="AA26" i="73" s="1"/>
  <c r="AI52" i="79"/>
  <c r="Y52" i="79" s="1"/>
  <c r="Y36" i="73"/>
  <c r="Z36" i="73" s="1"/>
  <c r="AA36" i="73" s="1"/>
  <c r="Z31" i="79"/>
  <c r="AA31" i="79" s="1"/>
  <c r="AB31" i="79" s="1"/>
  <c r="Z39" i="79"/>
  <c r="AA39" i="79" s="1"/>
  <c r="AB39" i="79" s="1"/>
  <c r="D23" i="80"/>
  <c r="D60" i="80" s="1"/>
  <c r="D61" i="80" s="1"/>
  <c r="Y38" i="79"/>
  <c r="AJ38" i="79"/>
  <c r="AI46" i="73"/>
  <c r="X46" i="73"/>
  <c r="X22" i="73"/>
  <c r="AI22" i="73"/>
  <c r="X43" i="73"/>
  <c r="AI43" i="73"/>
  <c r="AH37" i="73"/>
  <c r="Y37" i="73"/>
  <c r="Z37" i="73" s="1"/>
  <c r="AA37" i="73" s="1"/>
  <c r="AI48" i="79"/>
  <c r="Z48" i="79"/>
  <c r="AA48" i="79" s="1"/>
  <c r="AB48" i="79" s="1"/>
  <c r="AI42" i="79"/>
  <c r="Z42" i="79"/>
  <c r="AA42" i="79" s="1"/>
  <c r="AB42" i="79" s="1"/>
  <c r="AI48" i="73"/>
  <c r="X48" i="73"/>
  <c r="AH30" i="73"/>
  <c r="Y30" i="73"/>
  <c r="Z30" i="73" s="1"/>
  <c r="AA30" i="73" s="1"/>
  <c r="AH53" i="73"/>
  <c r="Y53" i="73"/>
  <c r="Z53" i="73" s="1"/>
  <c r="AA53" i="73" s="1"/>
  <c r="AI50" i="79"/>
  <c r="Z50" i="79"/>
  <c r="AA50" i="79" s="1"/>
  <c r="AB50" i="79" s="1"/>
  <c r="AH42" i="73"/>
  <c r="Y42" i="73"/>
  <c r="Z42" i="73" s="1"/>
  <c r="AA42" i="73" s="1"/>
  <c r="AJ37" i="79"/>
  <c r="Y37" i="79"/>
  <c r="AH24" i="73"/>
  <c r="Y24" i="73"/>
  <c r="Z24" i="73" s="1"/>
  <c r="AA24" i="73" s="1"/>
  <c r="AJ49" i="79"/>
  <c r="Y49" i="79"/>
  <c r="AH34" i="73"/>
  <c r="Y34" i="73"/>
  <c r="Z34" i="73" s="1"/>
  <c r="AA34" i="73" s="1"/>
  <c r="AI45" i="79"/>
  <c r="Z45" i="79"/>
  <c r="AA45" i="79" s="1"/>
  <c r="AB45" i="79" s="1"/>
  <c r="Y30" i="79"/>
  <c r="AJ30" i="79"/>
  <c r="Y46" i="79"/>
  <c r="AJ46" i="79"/>
  <c r="AJ31" i="79"/>
  <c r="Y31" i="79"/>
  <c r="AI53" i="79"/>
  <c r="Z53" i="79"/>
  <c r="AA53" i="79" s="1"/>
  <c r="AB53" i="79" s="1"/>
  <c r="AH49" i="73"/>
  <c r="Y49" i="73"/>
  <c r="Z49" i="73" s="1"/>
  <c r="AA49" i="73" s="1"/>
  <c r="AI36" i="79"/>
  <c r="Z36" i="79"/>
  <c r="AA36" i="79" s="1"/>
  <c r="AB36" i="79" s="1"/>
  <c r="AH27" i="73"/>
  <c r="Y27" i="73"/>
  <c r="Z27" i="73" s="1"/>
  <c r="AA27" i="73" s="1"/>
  <c r="AH23" i="73"/>
  <c r="Y23" i="73"/>
  <c r="Z23" i="73" s="1"/>
  <c r="AA23" i="73" s="1"/>
  <c r="AH35" i="73"/>
  <c r="Y35" i="73"/>
  <c r="Z35" i="73" s="1"/>
  <c r="AA35" i="73" s="1"/>
  <c r="AJ43" i="79"/>
  <c r="Y43" i="79"/>
  <c r="AH41" i="73"/>
  <c r="Y41" i="73"/>
  <c r="Z41" i="73" s="1"/>
  <c r="AA41" i="73" s="1"/>
  <c r="AI26" i="79"/>
  <c r="Z26" i="79"/>
  <c r="AA26" i="79" s="1"/>
  <c r="AB26" i="79" s="1"/>
  <c r="AH31" i="73"/>
  <c r="Y31" i="73"/>
  <c r="Z31" i="73" s="1"/>
  <c r="AA31" i="73" s="1"/>
  <c r="AI28" i="79"/>
  <c r="Z28" i="79"/>
  <c r="AA28" i="79" s="1"/>
  <c r="AB28" i="79" s="1"/>
  <c r="AI40" i="79"/>
  <c r="Z40" i="79"/>
  <c r="AA40" i="79" s="1"/>
  <c r="AB40" i="79" s="1"/>
  <c r="AJ29" i="79"/>
  <c r="Y29" i="79"/>
  <c r="AH21" i="72"/>
  <c r="Y21" i="72"/>
  <c r="Z21" i="72" s="1"/>
  <c r="AA21" i="72" s="1"/>
  <c r="AH52" i="73"/>
  <c r="Y52" i="73"/>
  <c r="Z52" i="73" s="1"/>
  <c r="AA52" i="73" s="1"/>
  <c r="AH28" i="73"/>
  <c r="Y28" i="73"/>
  <c r="Z28" i="73" s="1"/>
  <c r="AA28" i="73" s="1"/>
  <c r="AJ39" i="79"/>
  <c r="Y39" i="79"/>
  <c r="AI24" i="79"/>
  <c r="Z24" i="79"/>
  <c r="AA24" i="79" s="1"/>
  <c r="AB24" i="79" s="1"/>
  <c r="X38" i="73"/>
  <c r="AI38" i="73"/>
  <c r="AI44" i="79"/>
  <c r="Z44" i="79"/>
  <c r="AA44" i="79" s="1"/>
  <c r="AB44" i="79" s="1"/>
  <c r="AI41" i="79"/>
  <c r="Z41" i="79"/>
  <c r="AA41" i="79" s="1"/>
  <c r="AB41" i="79" s="1"/>
  <c r="AI47" i="79"/>
  <c r="Z47" i="79"/>
  <c r="AA47" i="79" s="1"/>
  <c r="AB47" i="79" s="1"/>
  <c r="AI35" i="79"/>
  <c r="Z35" i="79"/>
  <c r="AA35" i="79" s="1"/>
  <c r="AB35" i="79" s="1"/>
  <c r="AI25" i="73"/>
  <c r="X25" i="73"/>
  <c r="AI26" i="73"/>
  <c r="X26" i="73"/>
  <c r="AH32" i="73"/>
  <c r="Y32" i="73"/>
  <c r="Z32" i="73" s="1"/>
  <c r="AA32" i="73" s="1"/>
  <c r="AI34" i="79"/>
  <c r="Z34" i="79"/>
  <c r="AA34" i="79" s="1"/>
  <c r="AB34" i="79" s="1"/>
  <c r="AI27" i="79"/>
  <c r="Z27" i="79"/>
  <c r="AA27" i="79" s="1"/>
  <c r="AB27" i="79" s="1"/>
  <c r="X22" i="72"/>
  <c r="AI22" i="72"/>
  <c r="AH40" i="73"/>
  <c r="Y40" i="73"/>
  <c r="Z40" i="73" s="1"/>
  <c r="AA40" i="73" s="1"/>
  <c r="AH45" i="73"/>
  <c r="Y45" i="73"/>
  <c r="Z45" i="73" s="1"/>
  <c r="AA45" i="73" s="1"/>
  <c r="AI50" i="73"/>
  <c r="X50" i="73"/>
  <c r="X39" i="73"/>
  <c r="AI39" i="73"/>
  <c r="AH21" i="73"/>
  <c r="Y21" i="73"/>
  <c r="Z21" i="73" s="1"/>
  <c r="AA21" i="73" s="1"/>
  <c r="AH47" i="73"/>
  <c r="Y47" i="73"/>
  <c r="Z47" i="73" s="1"/>
  <c r="AA47" i="73" s="1"/>
  <c r="AH29" i="73"/>
  <c r="Y29" i="73"/>
  <c r="Z29" i="73" s="1"/>
  <c r="AA29" i="73" s="1"/>
  <c r="AH51" i="73"/>
  <c r="Y51" i="73"/>
  <c r="Z51" i="73" s="1"/>
  <c r="AA51" i="73" s="1"/>
  <c r="Y32" i="79"/>
  <c r="AJ32" i="79"/>
  <c r="AI25" i="79"/>
  <c r="Z25" i="79"/>
  <c r="AA25" i="79" s="1"/>
  <c r="AB25" i="79" s="1"/>
  <c r="X36" i="73"/>
  <c r="AI36" i="73"/>
  <c r="AI44" i="73"/>
  <c r="X44" i="73"/>
  <c r="AJ51" i="79" l="1"/>
  <c r="AJ52" i="79"/>
  <c r="Y53" i="79"/>
  <c r="AJ53" i="79"/>
  <c r="AJ50" i="79"/>
  <c r="Y50" i="79"/>
  <c r="AJ48" i="79"/>
  <c r="Y48" i="79"/>
  <c r="AJ27" i="79"/>
  <c r="Y27" i="79"/>
  <c r="X28" i="73"/>
  <c r="AI28" i="73"/>
  <c r="X21" i="72"/>
  <c r="AI21" i="72"/>
  <c r="AI41" i="73"/>
  <c r="X41" i="73"/>
  <c r="AI23" i="73"/>
  <c r="X23" i="73"/>
  <c r="Y45" i="79"/>
  <c r="AJ45" i="79"/>
  <c r="AI24" i="73"/>
  <c r="X24" i="73"/>
  <c r="AI53" i="73"/>
  <c r="X53" i="73"/>
  <c r="AI30" i="73"/>
  <c r="X30" i="73"/>
  <c r="AJ42" i="79"/>
  <c r="Y42" i="79"/>
  <c r="AI29" i="73"/>
  <c r="X29" i="73"/>
  <c r="AI21" i="73"/>
  <c r="X21" i="73"/>
  <c r="X40" i="73"/>
  <c r="AI40" i="73"/>
  <c r="AJ34" i="79"/>
  <c r="Y34" i="79"/>
  <c r="AJ35" i="79"/>
  <c r="Y35" i="79"/>
  <c r="AJ44" i="79"/>
  <c r="Y44" i="79"/>
  <c r="Y24" i="79"/>
  <c r="AJ24" i="79"/>
  <c r="Y40" i="79"/>
  <c r="AJ40" i="79"/>
  <c r="AI31" i="73"/>
  <c r="X31" i="73"/>
  <c r="Y36" i="79"/>
  <c r="AJ36" i="79"/>
  <c r="AI37" i="73"/>
  <c r="X37" i="73"/>
  <c r="AJ25" i="79"/>
  <c r="Y25" i="79"/>
  <c r="AI32" i="73"/>
  <c r="X32" i="73"/>
  <c r="Y47" i="79"/>
  <c r="AJ47" i="79"/>
  <c r="AI52" i="73"/>
  <c r="X52" i="73"/>
  <c r="AJ28" i="79"/>
  <c r="Y28" i="79"/>
  <c r="Y26" i="79"/>
  <c r="AJ26" i="79"/>
  <c r="AI35" i="73"/>
  <c r="X35" i="73"/>
  <c r="AI27" i="73"/>
  <c r="X27" i="73"/>
  <c r="AI49" i="73"/>
  <c r="X49" i="73"/>
  <c r="X34" i="73"/>
  <c r="AI34" i="73"/>
  <c r="AI42" i="73"/>
  <c r="X42" i="73"/>
  <c r="AI51" i="73"/>
  <c r="X51" i="73"/>
  <c r="X47" i="73"/>
  <c r="AI47" i="73"/>
  <c r="AI45" i="73"/>
  <c r="X45" i="73"/>
  <c r="Y41" i="79"/>
  <c r="AJ41" i="79"/>
  <c r="J54" i="30" l="1"/>
  <c r="J55" i="30"/>
  <c r="J56" i="30"/>
  <c r="J57" i="30"/>
  <c r="E8" i="69" l="1"/>
  <c r="D8" i="69" s="1"/>
  <c r="O8" i="69"/>
  <c r="N8" i="69" s="1"/>
  <c r="M8" i="69" s="1"/>
  <c r="L8" i="69" s="1"/>
  <c r="K8" i="69" s="1"/>
  <c r="J8" i="69" s="1"/>
  <c r="I8" i="69" s="1"/>
  <c r="H8" i="69" s="1"/>
  <c r="G8" i="69" s="1"/>
  <c r="F8" i="69" s="1"/>
  <c r="P8" i="69"/>
  <c r="Q8" i="69"/>
  <c r="Q7" i="69"/>
  <c r="P7" i="69"/>
  <c r="Q10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R10" i="69" l="1"/>
  <c r="O7" i="69"/>
  <c r="N7" i="69" l="1"/>
  <c r="R11" i="69" l="1"/>
  <c r="M7" i="69"/>
  <c r="A29" i="56"/>
  <c r="E809" i="58"/>
  <c r="E810" i="58"/>
  <c r="E811" i="58"/>
  <c r="E194" i="57"/>
  <c r="E195" i="57"/>
  <c r="E196" i="57"/>
  <c r="L7" i="69" l="1"/>
  <c r="K7" i="69" l="1"/>
  <c r="AA74" i="67"/>
  <c r="Z74" i="67"/>
  <c r="U74" i="67"/>
  <c r="T74" i="67"/>
  <c r="AD73" i="67"/>
  <c r="AA73" i="67"/>
  <c r="Z73" i="67"/>
  <c r="X73" i="67"/>
  <c r="W73" i="67"/>
  <c r="V73" i="67"/>
  <c r="I73" i="67"/>
  <c r="U73" i="67" s="1"/>
  <c r="E73" i="67"/>
  <c r="B73" i="67"/>
  <c r="A73" i="67" s="1"/>
  <c r="AD72" i="67"/>
  <c r="AA72" i="67"/>
  <c r="Z72" i="67"/>
  <c r="X72" i="67"/>
  <c r="W72" i="67"/>
  <c r="V72" i="67"/>
  <c r="I72" i="67"/>
  <c r="Y72" i="67" s="1"/>
  <c r="E72" i="67"/>
  <c r="B72" i="67"/>
  <c r="A72" i="67" s="1"/>
  <c r="AD71" i="67"/>
  <c r="B71" i="67"/>
  <c r="A71" i="67" s="1"/>
  <c r="AD70" i="67"/>
  <c r="AA70" i="67"/>
  <c r="Z70" i="67"/>
  <c r="X70" i="67"/>
  <c r="W70" i="67"/>
  <c r="V70" i="67"/>
  <c r="B70" i="67"/>
  <c r="A70" i="67" s="1"/>
  <c r="AD69" i="67"/>
  <c r="B69" i="67"/>
  <c r="A69" i="67" s="1"/>
  <c r="AD68" i="67"/>
  <c r="AA68" i="67"/>
  <c r="Z68" i="67"/>
  <c r="K50" i="49" s="1"/>
  <c r="X68" i="67"/>
  <c r="I178" i="30" s="1"/>
  <c r="W68" i="67"/>
  <c r="V68" i="67"/>
  <c r="J53" i="30" s="1"/>
  <c r="Y68" i="67"/>
  <c r="B68" i="67"/>
  <c r="A68" i="67" s="1"/>
  <c r="AD67" i="67"/>
  <c r="AA67" i="67"/>
  <c r="Z67" i="67"/>
  <c r="K47" i="49" s="1"/>
  <c r="X67" i="67"/>
  <c r="I173" i="30" s="1"/>
  <c r="W67" i="67"/>
  <c r="V67" i="67"/>
  <c r="J48" i="30" s="1"/>
  <c r="Y67" i="67"/>
  <c r="B67" i="67"/>
  <c r="A67" i="67" s="1"/>
  <c r="AD66" i="67"/>
  <c r="AA66" i="67"/>
  <c r="Z66" i="67"/>
  <c r="K44" i="49" s="1"/>
  <c r="X66" i="67"/>
  <c r="I169" i="30" s="1"/>
  <c r="W66" i="67"/>
  <c r="V66" i="67"/>
  <c r="J44" i="30" s="1"/>
  <c r="Y66" i="67"/>
  <c r="B66" i="67"/>
  <c r="A66" i="67" s="1"/>
  <c r="AD65" i="67"/>
  <c r="AA65" i="67"/>
  <c r="Z65" i="67"/>
  <c r="K43" i="49" s="1"/>
  <c r="X65" i="67"/>
  <c r="I168" i="30" s="1"/>
  <c r="W65" i="67"/>
  <c r="V65" i="67"/>
  <c r="J43" i="30" s="1"/>
  <c r="Y65" i="67"/>
  <c r="B65" i="67"/>
  <c r="A65" i="67" s="1"/>
  <c r="AD64" i="67"/>
  <c r="AA64" i="67"/>
  <c r="Z64" i="67"/>
  <c r="K42" i="49" s="1"/>
  <c r="X64" i="67"/>
  <c r="I167" i="30" s="1"/>
  <c r="W64" i="67"/>
  <c r="V64" i="67"/>
  <c r="J42" i="30" s="1"/>
  <c r="Y64" i="67"/>
  <c r="B64" i="67"/>
  <c r="A64" i="67" s="1"/>
  <c r="AD63" i="67"/>
  <c r="AA63" i="67"/>
  <c r="Z63" i="67"/>
  <c r="K39" i="49" s="1"/>
  <c r="Y63" i="67"/>
  <c r="X63" i="67"/>
  <c r="I164" i="30" s="1"/>
  <c r="W63" i="67"/>
  <c r="V63" i="67"/>
  <c r="J39" i="30" s="1"/>
  <c r="U63" i="67"/>
  <c r="B63" i="67"/>
  <c r="A63" i="67" s="1"/>
  <c r="AD62" i="67"/>
  <c r="AA62" i="67"/>
  <c r="Z62" i="67"/>
  <c r="K36" i="49" s="1"/>
  <c r="X62" i="67"/>
  <c r="I161" i="30" s="1"/>
  <c r="W62" i="67"/>
  <c r="V62" i="67"/>
  <c r="J36" i="30" s="1"/>
  <c r="T62" i="67"/>
  <c r="B62" i="67"/>
  <c r="A62" i="67" s="1"/>
  <c r="AD61" i="67"/>
  <c r="AA61" i="67"/>
  <c r="Z61" i="67"/>
  <c r="K35" i="49" s="1"/>
  <c r="X61" i="67"/>
  <c r="I160" i="30" s="1"/>
  <c r="W61" i="67"/>
  <c r="V61" i="67"/>
  <c r="J35" i="30" s="1"/>
  <c r="Y61" i="67"/>
  <c r="B61" i="67"/>
  <c r="A61" i="67" s="1"/>
  <c r="AD60" i="67"/>
  <c r="AA60" i="67"/>
  <c r="Z60" i="67"/>
  <c r="K28" i="49" s="1"/>
  <c r="X60" i="67"/>
  <c r="I152" i="30" s="1"/>
  <c r="W60" i="67"/>
  <c r="V60" i="67"/>
  <c r="J27" i="30" s="1"/>
  <c r="U60" i="67"/>
  <c r="B60" i="67"/>
  <c r="AD59" i="67"/>
  <c r="AA59" i="67"/>
  <c r="Z59" i="67"/>
  <c r="K27" i="49" s="1"/>
  <c r="X59" i="67"/>
  <c r="I151" i="30" s="1"/>
  <c r="W59" i="67"/>
  <c r="V59" i="67"/>
  <c r="J26" i="30" s="1"/>
  <c r="B59" i="67"/>
  <c r="A59" i="67" s="1"/>
  <c r="AD58" i="67"/>
  <c r="AA58" i="67"/>
  <c r="Z58" i="67"/>
  <c r="K20" i="49" s="1"/>
  <c r="X58" i="67"/>
  <c r="I144" i="30" s="1"/>
  <c r="W58" i="67"/>
  <c r="V58" i="67"/>
  <c r="J19" i="30" s="1"/>
  <c r="Y58" i="67"/>
  <c r="B58" i="67"/>
  <c r="A58" i="67" s="1"/>
  <c r="AD57" i="67"/>
  <c r="AA57" i="67"/>
  <c r="Z57" i="67"/>
  <c r="K19" i="49" s="1"/>
  <c r="X57" i="67"/>
  <c r="I143" i="30" s="1"/>
  <c r="W57" i="67"/>
  <c r="V57" i="67"/>
  <c r="J18" i="30" s="1"/>
  <c r="Y57" i="67"/>
  <c r="B57" i="67"/>
  <c r="A57" i="67" s="1"/>
  <c r="AD56" i="67"/>
  <c r="AA56" i="67"/>
  <c r="Z56" i="67"/>
  <c r="K49" i="49" s="1"/>
  <c r="X56" i="67"/>
  <c r="I176" i="30" s="1"/>
  <c r="W56" i="67"/>
  <c r="V56" i="67"/>
  <c r="J51" i="30" s="1"/>
  <c r="Y56" i="67"/>
  <c r="B56" i="67"/>
  <c r="A56" i="67" s="1"/>
  <c r="AD55" i="67"/>
  <c r="AA55" i="67"/>
  <c r="Z55" i="67"/>
  <c r="K41" i="49" s="1"/>
  <c r="X55" i="67"/>
  <c r="I166" i="30" s="1"/>
  <c r="W55" i="67"/>
  <c r="V55" i="67"/>
  <c r="J41" i="30" s="1"/>
  <c r="B55" i="67"/>
  <c r="A55" i="67" s="1"/>
  <c r="AD54" i="67"/>
  <c r="AA54" i="67"/>
  <c r="Z54" i="67"/>
  <c r="K40" i="49" s="1"/>
  <c r="X54" i="67"/>
  <c r="I165" i="30" s="1"/>
  <c r="W54" i="67"/>
  <c r="V54" i="67"/>
  <c r="J40" i="30" s="1"/>
  <c r="B54" i="67"/>
  <c r="A54" i="67" s="1"/>
  <c r="AD53" i="67"/>
  <c r="AA53" i="67"/>
  <c r="Z53" i="67"/>
  <c r="K37" i="49" s="1"/>
  <c r="X53" i="67"/>
  <c r="I162" i="30" s="1"/>
  <c r="W53" i="67"/>
  <c r="V53" i="67"/>
  <c r="J37" i="30" s="1"/>
  <c r="B53" i="67"/>
  <c r="A53" i="67" s="1"/>
  <c r="AD52" i="67"/>
  <c r="AA52" i="67"/>
  <c r="Z52" i="67"/>
  <c r="K34" i="49" s="1"/>
  <c r="X52" i="67"/>
  <c r="I158" i="30" s="1"/>
  <c r="W52" i="67"/>
  <c r="V52" i="67"/>
  <c r="J33" i="30" s="1"/>
  <c r="B52" i="67"/>
  <c r="A52" i="67" s="1"/>
  <c r="AD51" i="67"/>
  <c r="AA51" i="67"/>
  <c r="Z51" i="67"/>
  <c r="K31" i="49" s="1"/>
  <c r="X51" i="67"/>
  <c r="I155" i="30" s="1"/>
  <c r="W51" i="67"/>
  <c r="V51" i="67"/>
  <c r="J30" i="30" s="1"/>
  <c r="Y51" i="67"/>
  <c r="B51" i="67"/>
  <c r="A51" i="67" s="1"/>
  <c r="AD50" i="67"/>
  <c r="AA50" i="67"/>
  <c r="Z50" i="67"/>
  <c r="K29" i="49" s="1"/>
  <c r="X50" i="67"/>
  <c r="I153" i="30" s="1"/>
  <c r="W50" i="67"/>
  <c r="V50" i="67"/>
  <c r="J28" i="30" s="1"/>
  <c r="Y50" i="67"/>
  <c r="B50" i="67"/>
  <c r="A50" i="67" s="1"/>
  <c r="AD49" i="67"/>
  <c r="AA49" i="67"/>
  <c r="Z49" i="67"/>
  <c r="K25" i="49" s="1"/>
  <c r="X49" i="67"/>
  <c r="I149" i="30" s="1"/>
  <c r="W49" i="67"/>
  <c r="V49" i="67"/>
  <c r="J24" i="30" s="1"/>
  <c r="T49" i="67"/>
  <c r="B49" i="67"/>
  <c r="A49" i="67" s="1"/>
  <c r="AD48" i="67"/>
  <c r="AA48" i="67"/>
  <c r="Z48" i="67"/>
  <c r="K22" i="49" s="1"/>
  <c r="X48" i="67"/>
  <c r="I146" i="30" s="1"/>
  <c r="W48" i="67"/>
  <c r="V48" i="67"/>
  <c r="J21" i="30" s="1"/>
  <c r="B48" i="67"/>
  <c r="A48" i="67" s="1"/>
  <c r="AD47" i="67"/>
  <c r="AA47" i="67"/>
  <c r="Z47" i="67"/>
  <c r="K21" i="49" s="1"/>
  <c r="X47" i="67"/>
  <c r="I145" i="30" s="1"/>
  <c r="W47" i="67"/>
  <c r="V47" i="67"/>
  <c r="J20" i="30" s="1"/>
  <c r="Y47" i="67"/>
  <c r="B47" i="67"/>
  <c r="A47" i="67" s="1"/>
  <c r="AD46" i="67"/>
  <c r="AA46" i="67"/>
  <c r="Z46" i="67"/>
  <c r="K17" i="49" s="1"/>
  <c r="X46" i="67"/>
  <c r="I141" i="30" s="1"/>
  <c r="W46" i="67"/>
  <c r="V46" i="67"/>
  <c r="J16" i="30" s="1"/>
  <c r="T46" i="67"/>
  <c r="B46" i="67"/>
  <c r="A46" i="67" s="1"/>
  <c r="AD45" i="67"/>
  <c r="AA45" i="67"/>
  <c r="Z45" i="67"/>
  <c r="K16" i="49" s="1"/>
  <c r="X45" i="67"/>
  <c r="I140" i="30" s="1"/>
  <c r="W45" i="67"/>
  <c r="V45" i="67"/>
  <c r="J15" i="30" s="1"/>
  <c r="Y45" i="67"/>
  <c r="B45" i="67"/>
  <c r="A45" i="67" s="1"/>
  <c r="AD44" i="67"/>
  <c r="AA44" i="67"/>
  <c r="Z44" i="67"/>
  <c r="K15" i="49" s="1"/>
  <c r="X44" i="67"/>
  <c r="I139" i="30" s="1"/>
  <c r="W44" i="67"/>
  <c r="V44" i="67"/>
  <c r="J14" i="30" s="1"/>
  <c r="U44" i="67"/>
  <c r="B44" i="67"/>
  <c r="A44" i="67" s="1"/>
  <c r="AD43" i="67"/>
  <c r="AA43" i="67"/>
  <c r="Z43" i="67"/>
  <c r="K14" i="49" s="1"/>
  <c r="X43" i="67"/>
  <c r="W43" i="67"/>
  <c r="V43" i="67"/>
  <c r="J13" i="30" s="1"/>
  <c r="U43" i="67"/>
  <c r="B43" i="67"/>
  <c r="A43" i="67" s="1"/>
  <c r="AD42" i="67"/>
  <c r="AA42" i="67"/>
  <c r="Z42" i="67"/>
  <c r="K23" i="80" s="1"/>
  <c r="X42" i="67"/>
  <c r="J132" i="81" s="1"/>
  <c r="W42" i="67"/>
  <c r="V42" i="67"/>
  <c r="Y42" i="67"/>
  <c r="B42" i="67"/>
  <c r="A42" i="67" s="1"/>
  <c r="AD41" i="67"/>
  <c r="AA41" i="67"/>
  <c r="Z41" i="67"/>
  <c r="K22" i="80" s="1"/>
  <c r="X41" i="67"/>
  <c r="J131" i="81" s="1"/>
  <c r="W41" i="67"/>
  <c r="V41" i="67"/>
  <c r="B41" i="67"/>
  <c r="A41" i="67" s="1"/>
  <c r="AD40" i="67"/>
  <c r="AA40" i="67"/>
  <c r="Z40" i="67"/>
  <c r="K21" i="80" s="1"/>
  <c r="X40" i="67"/>
  <c r="J130" i="81" s="1"/>
  <c r="W40" i="67"/>
  <c r="V40" i="67"/>
  <c r="B40" i="67"/>
  <c r="A40" i="67" s="1"/>
  <c r="AD39" i="67"/>
  <c r="AA39" i="67"/>
  <c r="Z39" i="67"/>
  <c r="X39" i="67"/>
  <c r="W39" i="67"/>
  <c r="V39" i="67"/>
  <c r="Y39" i="67"/>
  <c r="B39" i="67"/>
  <c r="A39" i="67" s="1"/>
  <c r="AD38" i="67"/>
  <c r="AA38" i="67"/>
  <c r="Z38" i="67"/>
  <c r="K19" i="80" s="1"/>
  <c r="X38" i="67"/>
  <c r="J128" i="81" s="1"/>
  <c r="W38" i="67"/>
  <c r="V38" i="67"/>
  <c r="U38" i="67"/>
  <c r="B38" i="67"/>
  <c r="A38" i="67" s="1"/>
  <c r="AD37" i="67"/>
  <c r="AA37" i="67"/>
  <c r="Z37" i="67"/>
  <c r="K18" i="80" s="1"/>
  <c r="X37" i="67"/>
  <c r="J127" i="81" s="1"/>
  <c r="W37" i="67"/>
  <c r="V37" i="67"/>
  <c r="Y37" i="67"/>
  <c r="B37" i="67"/>
  <c r="A37" i="67" s="1"/>
  <c r="AD36" i="67"/>
  <c r="AA36" i="67"/>
  <c r="Z36" i="67"/>
  <c r="K17" i="80" s="1"/>
  <c r="X36" i="67"/>
  <c r="J126" i="81" s="1"/>
  <c r="W36" i="67"/>
  <c r="V36" i="67"/>
  <c r="B36" i="67"/>
  <c r="A36" i="67" s="1"/>
  <c r="AD35" i="67"/>
  <c r="AA35" i="67"/>
  <c r="Z35" i="67"/>
  <c r="K16" i="80" s="1"/>
  <c r="X35" i="67"/>
  <c r="J125" i="81" s="1"/>
  <c r="W35" i="67"/>
  <c r="V35" i="67"/>
  <c r="Y35" i="67"/>
  <c r="B35" i="67"/>
  <c r="A35" i="67" s="1"/>
  <c r="AD34" i="67"/>
  <c r="AA34" i="67"/>
  <c r="Z34" i="67"/>
  <c r="K15" i="80" s="1"/>
  <c r="X34" i="67"/>
  <c r="J124" i="81" s="1"/>
  <c r="W34" i="67"/>
  <c r="V34" i="67"/>
  <c r="Y34" i="67"/>
  <c r="B34" i="67"/>
  <c r="A34" i="67" s="1"/>
  <c r="AD33" i="67"/>
  <c r="AA33" i="67"/>
  <c r="Z33" i="67"/>
  <c r="K14" i="80" s="1"/>
  <c r="X33" i="67"/>
  <c r="J123" i="81" s="1"/>
  <c r="W33" i="67"/>
  <c r="V33" i="67"/>
  <c r="U33" i="67"/>
  <c r="B33" i="67"/>
  <c r="A33" i="67" s="1"/>
  <c r="AD32" i="67"/>
  <c r="AA32" i="67"/>
  <c r="Z32" i="67"/>
  <c r="K48" i="49" s="1"/>
  <c r="Y32" i="67"/>
  <c r="X32" i="67"/>
  <c r="I174" i="30" s="1"/>
  <c r="W32" i="67"/>
  <c r="V32" i="67"/>
  <c r="J49" i="30" s="1"/>
  <c r="U32" i="67"/>
  <c r="T32" i="67"/>
  <c r="B32" i="67"/>
  <c r="A32" i="67" s="1"/>
  <c r="AD31" i="67"/>
  <c r="AA31" i="67"/>
  <c r="Z31" i="67"/>
  <c r="K46" i="49" s="1"/>
  <c r="X31" i="67"/>
  <c r="I171" i="30" s="1"/>
  <c r="W31" i="67"/>
  <c r="V31" i="67"/>
  <c r="J46" i="30" s="1"/>
  <c r="B31" i="67"/>
  <c r="A31" i="67" s="1"/>
  <c r="AD30" i="67"/>
  <c r="AA30" i="67"/>
  <c r="Z30" i="67"/>
  <c r="K45" i="49" s="1"/>
  <c r="X30" i="67"/>
  <c r="I170" i="30" s="1"/>
  <c r="W30" i="67"/>
  <c r="V30" i="67"/>
  <c r="J45" i="30" s="1"/>
  <c r="B30" i="67"/>
  <c r="A30" i="67" s="1"/>
  <c r="AD29" i="67"/>
  <c r="AA29" i="67"/>
  <c r="Z29" i="67"/>
  <c r="K38" i="49" s="1"/>
  <c r="X29" i="67"/>
  <c r="I163" i="30" s="1"/>
  <c r="W29" i="67"/>
  <c r="V29" i="67"/>
  <c r="J38" i="30" s="1"/>
  <c r="U29" i="67"/>
  <c r="B29" i="67"/>
  <c r="A29" i="67" s="1"/>
  <c r="AD28" i="67"/>
  <c r="AA28" i="67"/>
  <c r="Z28" i="67"/>
  <c r="K33" i="49" s="1"/>
  <c r="X28" i="67"/>
  <c r="I157" i="30" s="1"/>
  <c r="W28" i="67"/>
  <c r="V28" i="67"/>
  <c r="J32" i="30" s="1"/>
  <c r="T28" i="67"/>
  <c r="B28" i="67"/>
  <c r="A28" i="67" s="1"/>
  <c r="AD27" i="67"/>
  <c r="AA27" i="67"/>
  <c r="Z27" i="67"/>
  <c r="K32" i="49" s="1"/>
  <c r="X27" i="67"/>
  <c r="I156" i="30" s="1"/>
  <c r="W27" i="67"/>
  <c r="V27" i="67"/>
  <c r="J31" i="30" s="1"/>
  <c r="Y27" i="67"/>
  <c r="B27" i="67"/>
  <c r="A27" i="67" s="1"/>
  <c r="AD26" i="67"/>
  <c r="AA26" i="67"/>
  <c r="Z26" i="67"/>
  <c r="K30" i="49" s="1"/>
  <c r="X26" i="67"/>
  <c r="I154" i="30" s="1"/>
  <c r="W26" i="67"/>
  <c r="V26" i="67"/>
  <c r="J29" i="30" s="1"/>
  <c r="U26" i="67"/>
  <c r="B26" i="67"/>
  <c r="A26" i="67" s="1"/>
  <c r="AD25" i="67"/>
  <c r="AA25" i="67"/>
  <c r="Z25" i="67"/>
  <c r="K26" i="49" s="1"/>
  <c r="X25" i="67"/>
  <c r="I150" i="30" s="1"/>
  <c r="W25" i="67"/>
  <c r="V25" i="67"/>
  <c r="J25" i="30" s="1"/>
  <c r="Y25" i="67"/>
  <c r="B25" i="67"/>
  <c r="A25" i="67" s="1"/>
  <c r="AD24" i="67"/>
  <c r="AA24" i="67"/>
  <c r="Z24" i="67"/>
  <c r="K24" i="49" s="1"/>
  <c r="X24" i="67"/>
  <c r="I148" i="30" s="1"/>
  <c r="W24" i="67"/>
  <c r="V24" i="67"/>
  <c r="J23" i="30" s="1"/>
  <c r="Y24" i="67"/>
  <c r="B24" i="67"/>
  <c r="A24" i="67" s="1"/>
  <c r="AD23" i="67"/>
  <c r="AA23" i="67"/>
  <c r="Z23" i="67"/>
  <c r="K23" i="49" s="1"/>
  <c r="X23" i="67"/>
  <c r="I147" i="30" s="1"/>
  <c r="W23" i="67"/>
  <c r="V23" i="67"/>
  <c r="J22" i="30" s="1"/>
  <c r="U23" i="67"/>
  <c r="B23" i="67"/>
  <c r="A23" i="67" s="1"/>
  <c r="AD22" i="67"/>
  <c r="AA22" i="67"/>
  <c r="Z22" i="67"/>
  <c r="K18" i="49" s="1"/>
  <c r="X22" i="67"/>
  <c r="I142" i="30" s="1"/>
  <c r="W22" i="67"/>
  <c r="V22" i="67"/>
  <c r="J17" i="30" s="1"/>
  <c r="Y22" i="67"/>
  <c r="B22" i="67"/>
  <c r="A22" i="67" s="1"/>
  <c r="AD21" i="67"/>
  <c r="I75" i="75"/>
  <c r="I130" i="70"/>
  <c r="B21" i="67"/>
  <c r="A21" i="67" s="1"/>
  <c r="AD20" i="67"/>
  <c r="AA20" i="67"/>
  <c r="Z20" i="67"/>
  <c r="X20" i="67"/>
  <c r="I128" i="75" s="1"/>
  <c r="W20" i="67"/>
  <c r="I74" i="75" s="1"/>
  <c r="V20" i="67"/>
  <c r="T20" i="67"/>
  <c r="I74" i="70" s="1"/>
  <c r="B20" i="67"/>
  <c r="A20" i="67" s="1"/>
  <c r="AD19" i="67"/>
  <c r="AA19" i="67"/>
  <c r="Z19" i="67"/>
  <c r="X19" i="67"/>
  <c r="I127" i="75" s="1"/>
  <c r="W19" i="67"/>
  <c r="I73" i="75" s="1"/>
  <c r="V19" i="67"/>
  <c r="B19" i="67"/>
  <c r="A19" i="67" s="1"/>
  <c r="AD18" i="67"/>
  <c r="AA18" i="67"/>
  <c r="I72" i="75"/>
  <c r="B18" i="67"/>
  <c r="A18" i="67" s="1"/>
  <c r="AD17" i="67"/>
  <c r="AA17" i="67"/>
  <c r="Z17" i="67"/>
  <c r="X17" i="67"/>
  <c r="I126" i="75" s="1"/>
  <c r="W17" i="67"/>
  <c r="I71" i="75" s="1"/>
  <c r="V17" i="67"/>
  <c r="U17" i="67"/>
  <c r="I126" i="70" s="1"/>
  <c r="B17" i="67"/>
  <c r="A17" i="67" s="1"/>
  <c r="AD16" i="67"/>
  <c r="AA16" i="67"/>
  <c r="Z16" i="67"/>
  <c r="X16" i="67"/>
  <c r="I125" i="75" s="1"/>
  <c r="W16" i="67"/>
  <c r="I70" i="75" s="1"/>
  <c r="V16" i="67"/>
  <c r="Y16" i="67"/>
  <c r="I15" i="71" s="1"/>
  <c r="B16" i="67"/>
  <c r="A16" i="67" s="1"/>
  <c r="AD15" i="67"/>
  <c r="AA15" i="67"/>
  <c r="Z15" i="67"/>
  <c r="X15" i="67"/>
  <c r="I124" i="75" s="1"/>
  <c r="W15" i="67"/>
  <c r="I69" i="75" s="1"/>
  <c r="V15" i="67"/>
  <c r="U15" i="67"/>
  <c r="I124" i="70" s="1"/>
  <c r="B15" i="67"/>
  <c r="A15" i="67" s="1"/>
  <c r="AD14" i="67"/>
  <c r="AA14" i="67"/>
  <c r="Z14" i="67"/>
  <c r="X14" i="67"/>
  <c r="I123" i="75" s="1"/>
  <c r="W14" i="67"/>
  <c r="I68" i="75" s="1"/>
  <c r="V14" i="67"/>
  <c r="I13" i="75" s="1"/>
  <c r="Y14" i="67"/>
  <c r="I13" i="71" s="1"/>
  <c r="B14" i="67"/>
  <c r="A14" i="67" s="1"/>
  <c r="AD13" i="67"/>
  <c r="B13" i="67"/>
  <c r="A13" i="67" s="1"/>
  <c r="AD12" i="67"/>
  <c r="AA12" i="67"/>
  <c r="Z12" i="67"/>
  <c r="X12" i="67"/>
  <c r="W12" i="67"/>
  <c r="V12" i="67"/>
  <c r="T12" i="67"/>
  <c r="B12" i="67"/>
  <c r="A12" i="67" s="1"/>
  <c r="AD11" i="67"/>
  <c r="AA11" i="67"/>
  <c r="Z11" i="67"/>
  <c r="X11" i="67"/>
  <c r="W11" i="67"/>
  <c r="V11" i="67"/>
  <c r="Y11" i="67"/>
  <c r="B11" i="67"/>
  <c r="A11" i="67" s="1"/>
  <c r="AD10" i="67"/>
  <c r="AA10" i="67"/>
  <c r="Z10" i="67"/>
  <c r="X10" i="67"/>
  <c r="W10" i="67"/>
  <c r="V10" i="67"/>
  <c r="U10" i="67"/>
  <c r="B10" i="67"/>
  <c r="A10" i="67" s="1"/>
  <c r="AD9" i="67"/>
  <c r="AA9" i="67"/>
  <c r="Z9" i="67"/>
  <c r="X9" i="67"/>
  <c r="W9" i="67"/>
  <c r="V9" i="67"/>
  <c r="U9" i="67"/>
  <c r="B9" i="67"/>
  <c r="A9" i="67" s="1"/>
  <c r="Z5" i="67"/>
  <c r="Y5" i="67"/>
  <c r="X5" i="67"/>
  <c r="W5" i="67"/>
  <c r="V5" i="67"/>
  <c r="U5" i="67"/>
  <c r="T5" i="67"/>
  <c r="H15" i="75" l="1"/>
  <c r="I15" i="75"/>
  <c r="I17" i="75"/>
  <c r="H17" i="75"/>
  <c r="I20" i="75"/>
  <c r="H20" i="75"/>
  <c r="I16" i="75"/>
  <c r="H16" i="75"/>
  <c r="I18" i="75"/>
  <c r="H18" i="75"/>
  <c r="H19" i="75"/>
  <c r="I19" i="75"/>
  <c r="I14" i="75"/>
  <c r="H14" i="75"/>
  <c r="I114" i="75"/>
  <c r="I115" i="75"/>
  <c r="K60" i="80"/>
  <c r="K61" i="80"/>
  <c r="P60" i="80"/>
  <c r="P61" i="80"/>
  <c r="J59" i="30"/>
  <c r="J60" i="30"/>
  <c r="J169" i="81"/>
  <c r="J170" i="81"/>
  <c r="T43" i="67"/>
  <c r="Y40" i="67"/>
  <c r="U40" i="67"/>
  <c r="T40" i="67"/>
  <c r="T41" i="67"/>
  <c r="Y41" i="67"/>
  <c r="U41" i="67"/>
  <c r="Y55" i="67"/>
  <c r="U55" i="67"/>
  <c r="T55" i="67"/>
  <c r="U62" i="67"/>
  <c r="U72" i="67"/>
  <c r="Y26" i="67"/>
  <c r="T35" i="67"/>
  <c r="Y48" i="67"/>
  <c r="U48" i="67"/>
  <c r="T48" i="67"/>
  <c r="Y30" i="67"/>
  <c r="U30" i="67"/>
  <c r="T30" i="67"/>
  <c r="U35" i="67"/>
  <c r="I17" i="71"/>
  <c r="U59" i="67"/>
  <c r="T59" i="67"/>
  <c r="Y59" i="67"/>
  <c r="Y62" i="67"/>
  <c r="Y54" i="67"/>
  <c r="U54" i="67"/>
  <c r="T54" i="67"/>
  <c r="Y19" i="67"/>
  <c r="U19" i="67"/>
  <c r="I127" i="70" s="1"/>
  <c r="T19" i="67"/>
  <c r="I73" i="70" s="1"/>
  <c r="U52" i="67"/>
  <c r="Y52" i="67"/>
  <c r="T70" i="67"/>
  <c r="U70" i="67"/>
  <c r="Y70" i="67"/>
  <c r="Y73" i="67"/>
  <c r="T31" i="67"/>
  <c r="Y31" i="67"/>
  <c r="U31" i="67"/>
  <c r="Y53" i="67"/>
  <c r="U53" i="67"/>
  <c r="T53" i="67"/>
  <c r="J7" i="69"/>
  <c r="Y17" i="67"/>
  <c r="I16" i="71" s="1"/>
  <c r="U20" i="67"/>
  <c r="I129" i="70" s="1"/>
  <c r="Y43" i="67"/>
  <c r="T26" i="67"/>
  <c r="Y49" i="67"/>
  <c r="T67" i="67"/>
  <c r="T51" i="67"/>
  <c r="U51" i="67"/>
  <c r="Y38" i="67"/>
  <c r="Y23" i="67"/>
  <c r="U14" i="67"/>
  <c r="I123" i="70" s="1"/>
  <c r="Y9" i="67"/>
  <c r="T25" i="67"/>
  <c r="Y46" i="67"/>
  <c r="U25" i="67"/>
  <c r="T10" i="67"/>
  <c r="T22" i="67"/>
  <c r="U28" i="67"/>
  <c r="U46" i="67"/>
  <c r="T9" i="67"/>
  <c r="U12" i="67"/>
  <c r="T57" i="67"/>
  <c r="U57" i="67"/>
  <c r="Y29" i="67"/>
  <c r="T17" i="67"/>
  <c r="I71" i="70" s="1"/>
  <c r="Y36" i="67"/>
  <c r="T37" i="67"/>
  <c r="T65" i="67"/>
  <c r="T68" i="67"/>
  <c r="Y33" i="67"/>
  <c r="U37" i="67"/>
  <c r="U65" i="67"/>
  <c r="U68" i="67"/>
  <c r="T73" i="67"/>
  <c r="Y12" i="67"/>
  <c r="Y20" i="67"/>
  <c r="I19" i="71" s="1"/>
  <c r="Y28" i="67"/>
  <c r="U49" i="67"/>
  <c r="T61" i="67"/>
  <c r="T42" i="67"/>
  <c r="Y60" i="67"/>
  <c r="T64" i="67"/>
  <c r="W84" i="67"/>
  <c r="Y10" i="67"/>
  <c r="I20" i="71"/>
  <c r="T45" i="67"/>
  <c r="T56" i="67"/>
  <c r="U64" i="67"/>
  <c r="T14" i="67"/>
  <c r="I68" i="70" s="1"/>
  <c r="U22" i="67"/>
  <c r="Y44" i="67"/>
  <c r="U45" i="67"/>
  <c r="U56" i="67"/>
  <c r="U67" i="67"/>
  <c r="T72" i="67"/>
  <c r="T27" i="67"/>
  <c r="Q78" i="67"/>
  <c r="V82" i="67"/>
  <c r="J83" i="67"/>
  <c r="U11" i="67"/>
  <c r="Y15" i="67"/>
  <c r="I14" i="71" s="1"/>
  <c r="T16" i="67"/>
  <c r="I70" i="70" s="1"/>
  <c r="T24" i="67"/>
  <c r="U27" i="67"/>
  <c r="U34" i="67"/>
  <c r="T39" i="67"/>
  <c r="U42" i="67"/>
  <c r="T47" i="67"/>
  <c r="T50" i="67"/>
  <c r="T58" i="67"/>
  <c r="U61" i="67"/>
  <c r="T66" i="67"/>
  <c r="D77" i="67"/>
  <c r="M77" i="67"/>
  <c r="V77" i="67"/>
  <c r="J78" i="67"/>
  <c r="R78" i="67"/>
  <c r="G79" i="67"/>
  <c r="O79" i="67"/>
  <c r="X79" i="67"/>
  <c r="L80" i="67"/>
  <c r="Q81" i="67"/>
  <c r="F82" i="67"/>
  <c r="N82" i="67"/>
  <c r="W82" i="67"/>
  <c r="K83" i="67"/>
  <c r="H84" i="67"/>
  <c r="P84" i="67"/>
  <c r="T11" i="67"/>
  <c r="T34" i="67"/>
  <c r="N79" i="67"/>
  <c r="H81" i="67"/>
  <c r="X84" i="67"/>
  <c r="U16" i="67"/>
  <c r="I125" i="70" s="1"/>
  <c r="I75" i="70"/>
  <c r="U24" i="67"/>
  <c r="T29" i="67"/>
  <c r="T36" i="67"/>
  <c r="U39" i="67"/>
  <c r="T44" i="67"/>
  <c r="U47" i="67"/>
  <c r="U50" i="67"/>
  <c r="U58" i="67"/>
  <c r="T63" i="67"/>
  <c r="U66" i="67"/>
  <c r="F77" i="67"/>
  <c r="N77" i="67"/>
  <c r="W77" i="67"/>
  <c r="K78" i="67"/>
  <c r="H79" i="67"/>
  <c r="P79" i="67"/>
  <c r="D80" i="67"/>
  <c r="M80" i="67"/>
  <c r="V80" i="67"/>
  <c r="J81" i="67"/>
  <c r="R81" i="67"/>
  <c r="G82" i="67"/>
  <c r="O82" i="67"/>
  <c r="X82" i="67"/>
  <c r="L83" i="67"/>
  <c r="Q84" i="67"/>
  <c r="W79" i="67"/>
  <c r="M82" i="67"/>
  <c r="R83" i="67"/>
  <c r="T52" i="67"/>
  <c r="T60" i="67"/>
  <c r="G77" i="67"/>
  <c r="O77" i="67"/>
  <c r="X77" i="67"/>
  <c r="L78" i="67"/>
  <c r="Q79" i="67"/>
  <c r="F80" i="67"/>
  <c r="N80" i="67"/>
  <c r="W80" i="67"/>
  <c r="K81" i="67"/>
  <c r="H82" i="67"/>
  <c r="P82" i="67"/>
  <c r="D83" i="67"/>
  <c r="M83" i="67"/>
  <c r="V83" i="67"/>
  <c r="J84" i="67"/>
  <c r="R84" i="67"/>
  <c r="L77" i="67"/>
  <c r="K80" i="67"/>
  <c r="D82" i="67"/>
  <c r="O84" i="67"/>
  <c r="T15" i="67"/>
  <c r="I69" i="70" s="1"/>
  <c r="T23" i="67"/>
  <c r="T33" i="67"/>
  <c r="T38" i="67"/>
  <c r="H77" i="67"/>
  <c r="P77" i="67"/>
  <c r="D78" i="67"/>
  <c r="M78" i="67"/>
  <c r="V78" i="67"/>
  <c r="J79" i="67"/>
  <c r="R79" i="67"/>
  <c r="G80" i="67"/>
  <c r="O80" i="67"/>
  <c r="X80" i="67"/>
  <c r="L81" i="67"/>
  <c r="Q82" i="67"/>
  <c r="F83" i="67"/>
  <c r="N83" i="67"/>
  <c r="W83" i="67"/>
  <c r="K84" i="67"/>
  <c r="F79" i="67"/>
  <c r="P81" i="67"/>
  <c r="G84" i="67"/>
  <c r="Q77" i="67"/>
  <c r="F78" i="67"/>
  <c r="N78" i="67"/>
  <c r="W78" i="67"/>
  <c r="K79" i="67"/>
  <c r="H80" i="67"/>
  <c r="P80" i="67"/>
  <c r="D81" i="67"/>
  <c r="M81" i="67"/>
  <c r="V81" i="67"/>
  <c r="J82" i="67"/>
  <c r="R82" i="67"/>
  <c r="G83" i="67"/>
  <c r="O83" i="67"/>
  <c r="X83" i="67"/>
  <c r="L84" i="67"/>
  <c r="J77" i="67"/>
  <c r="R77" i="67"/>
  <c r="G78" i="67"/>
  <c r="O78" i="67"/>
  <c r="X78" i="67"/>
  <c r="L79" i="67"/>
  <c r="Q80" i="67"/>
  <c r="F81" i="67"/>
  <c r="N81" i="67"/>
  <c r="W81" i="67"/>
  <c r="K82" i="67"/>
  <c r="H83" i="67"/>
  <c r="P83" i="67"/>
  <c r="D84" i="67"/>
  <c r="M84" i="67"/>
  <c r="V84" i="67"/>
  <c r="K77" i="67"/>
  <c r="H78" i="67"/>
  <c r="P78" i="67"/>
  <c r="D79" i="67"/>
  <c r="M79" i="67"/>
  <c r="V79" i="67"/>
  <c r="J80" i="67"/>
  <c r="R80" i="67"/>
  <c r="G81" i="67"/>
  <c r="O81" i="67"/>
  <c r="X81" i="67"/>
  <c r="L82" i="67"/>
  <c r="Q83" i="67"/>
  <c r="F84" i="67"/>
  <c r="N84" i="67"/>
  <c r="E805" i="58"/>
  <c r="E806" i="58"/>
  <c r="E807" i="58"/>
  <c r="E808" i="58"/>
  <c r="E190" i="57"/>
  <c r="E191" i="57"/>
  <c r="E192" i="57"/>
  <c r="E193" i="57"/>
  <c r="I18" i="71" l="1"/>
  <c r="I60" i="71" s="1"/>
  <c r="I72" i="70"/>
  <c r="I114" i="70" s="1"/>
  <c r="I128" i="70"/>
  <c r="I170" i="70" s="1"/>
  <c r="I59" i="75"/>
  <c r="I60" i="75"/>
  <c r="H59" i="75"/>
  <c r="H60" i="75"/>
  <c r="I169" i="70"/>
  <c r="I169" i="75"/>
  <c r="I170" i="75"/>
  <c r="I115" i="70"/>
  <c r="U80" i="67"/>
  <c r="U84" i="67"/>
  <c r="I7" i="69"/>
  <c r="U82" i="67"/>
  <c r="T82" i="67"/>
  <c r="U78" i="67"/>
  <c r="U79" i="67"/>
  <c r="U77" i="67"/>
  <c r="I81" i="67"/>
  <c r="I78" i="67"/>
  <c r="U83" i="67"/>
  <c r="T84" i="67"/>
  <c r="T77" i="67"/>
  <c r="T79" i="67"/>
  <c r="T80" i="67"/>
  <c r="I84" i="67"/>
  <c r="U81" i="67"/>
  <c r="T78" i="67"/>
  <c r="I82" i="67"/>
  <c r="I80" i="67"/>
  <c r="T81" i="67"/>
  <c r="T83" i="67"/>
  <c r="I77" i="67"/>
  <c r="I79" i="67"/>
  <c r="I83" i="67"/>
  <c r="I65" i="10"/>
  <c r="I64" i="10"/>
  <c r="I63" i="10"/>
  <c r="I61" i="10"/>
  <c r="I49" i="10"/>
  <c r="I47" i="10"/>
  <c r="I46" i="10"/>
  <c r="I44" i="10"/>
  <c r="I22" i="10"/>
  <c r="I16" i="10"/>
  <c r="I59" i="71" l="1"/>
  <c r="I73" i="71" s="1"/>
  <c r="H7" i="69"/>
  <c r="E9" i="10"/>
  <c r="I9" i="10"/>
  <c r="E10" i="10"/>
  <c r="I10" i="10"/>
  <c r="I11" i="10"/>
  <c r="I12" i="10"/>
  <c r="E13" i="10"/>
  <c r="I13" i="10"/>
  <c r="E14" i="10"/>
  <c r="I14" i="10"/>
  <c r="I15" i="10"/>
  <c r="E16" i="10"/>
  <c r="E17" i="10"/>
  <c r="I17" i="10"/>
  <c r="E18" i="10"/>
  <c r="I18" i="10"/>
  <c r="E19" i="10"/>
  <c r="I19" i="10"/>
  <c r="I20" i="10"/>
  <c r="E21" i="10"/>
  <c r="I21" i="10"/>
  <c r="E22" i="10"/>
  <c r="E23" i="10"/>
  <c r="I23" i="10"/>
  <c r="I24" i="10"/>
  <c r="E25" i="10"/>
  <c r="I25" i="10"/>
  <c r="I26" i="10"/>
  <c r="E27" i="10"/>
  <c r="I27" i="10"/>
  <c r="E28" i="10"/>
  <c r="I28" i="10"/>
  <c r="E29" i="10"/>
  <c r="I29" i="10"/>
  <c r="E30" i="10"/>
  <c r="I30" i="10"/>
  <c r="E31" i="10"/>
  <c r="I31" i="10"/>
  <c r="E33" i="10"/>
  <c r="I33" i="10"/>
  <c r="I34" i="10"/>
  <c r="E35" i="10"/>
  <c r="I35" i="10"/>
  <c r="E36" i="10"/>
  <c r="I36" i="10"/>
  <c r="E37" i="10"/>
  <c r="I37" i="10"/>
  <c r="E38" i="10"/>
  <c r="I38" i="10"/>
  <c r="E39" i="10"/>
  <c r="I39" i="10"/>
  <c r="E40" i="10"/>
  <c r="I40" i="10"/>
  <c r="E41" i="10"/>
  <c r="I41" i="10"/>
  <c r="E42" i="10"/>
  <c r="I42" i="10"/>
  <c r="I43" i="10"/>
  <c r="E44" i="10"/>
  <c r="E45" i="10"/>
  <c r="E46" i="10"/>
  <c r="E47" i="10"/>
  <c r="D48" i="10"/>
  <c r="E48" i="10"/>
  <c r="I48" i="10"/>
  <c r="E49" i="10"/>
  <c r="E50" i="10"/>
  <c r="I50" i="10"/>
  <c r="E51" i="10"/>
  <c r="I51" i="10"/>
  <c r="E52" i="10"/>
  <c r="I52" i="10"/>
  <c r="E53" i="10"/>
  <c r="I53" i="10"/>
  <c r="E54" i="10"/>
  <c r="I54" i="10"/>
  <c r="E55" i="10"/>
  <c r="I55" i="10"/>
  <c r="E56" i="10"/>
  <c r="I56" i="10"/>
  <c r="E57" i="10"/>
  <c r="I57" i="10"/>
  <c r="E58" i="10"/>
  <c r="I58" i="10"/>
  <c r="E59" i="10"/>
  <c r="I59" i="10"/>
  <c r="I60" i="10"/>
  <c r="E61" i="10"/>
  <c r="E62" i="10"/>
  <c r="I62" i="10"/>
  <c r="E63" i="10"/>
  <c r="E64" i="10"/>
  <c r="E65" i="10"/>
  <c r="E66" i="10"/>
  <c r="I66" i="10"/>
  <c r="E67" i="10"/>
  <c r="I67" i="10"/>
  <c r="E68" i="10"/>
  <c r="I68" i="10"/>
  <c r="E69" i="10"/>
  <c r="I69" i="10"/>
  <c r="E70" i="10"/>
  <c r="I70" i="10"/>
  <c r="I71" i="10"/>
  <c r="D18" i="81" l="1"/>
  <c r="D18" i="79"/>
  <c r="D18" i="78"/>
  <c r="D18" i="77"/>
  <c r="D18" i="76"/>
  <c r="D15" i="81"/>
  <c r="D15" i="79"/>
  <c r="D15" i="78"/>
  <c r="D15" i="77"/>
  <c r="D15" i="76"/>
  <c r="D14" i="81"/>
  <c r="D14" i="79"/>
  <c r="D14" i="78"/>
  <c r="D14" i="77"/>
  <c r="D14" i="76"/>
  <c r="D13" i="81"/>
  <c r="D13" i="79"/>
  <c r="C13" i="79" s="1"/>
  <c r="D13" i="78"/>
  <c r="C13" i="78" s="1"/>
  <c r="D13" i="77"/>
  <c r="C13" i="77" s="1"/>
  <c r="D13" i="76"/>
  <c r="D22" i="81"/>
  <c r="D22" i="79"/>
  <c r="D22" i="78"/>
  <c r="D22" i="77"/>
  <c r="D22" i="76"/>
  <c r="D17" i="81"/>
  <c r="D17" i="79"/>
  <c r="D17" i="78"/>
  <c r="D17" i="77"/>
  <c r="D17" i="76"/>
  <c r="D21" i="81"/>
  <c r="D21" i="79"/>
  <c r="D21" i="78"/>
  <c r="D21" i="77"/>
  <c r="D21" i="76"/>
  <c r="D16" i="81"/>
  <c r="D16" i="79"/>
  <c r="D16" i="78"/>
  <c r="D16" i="77"/>
  <c r="D16" i="76"/>
  <c r="D20" i="81"/>
  <c r="D20" i="79"/>
  <c r="D20" i="78"/>
  <c r="D20" i="76"/>
  <c r="D20" i="77"/>
  <c r="G7" i="69"/>
  <c r="E803" i="58"/>
  <c r="E804" i="58"/>
  <c r="E188" i="57"/>
  <c r="E189" i="57"/>
  <c r="C14" i="77" l="1"/>
  <c r="D126" i="76"/>
  <c r="D71" i="76"/>
  <c r="D131" i="81"/>
  <c r="D76" i="81"/>
  <c r="D127" i="76"/>
  <c r="D72" i="76"/>
  <c r="D132" i="81"/>
  <c r="D77" i="81"/>
  <c r="D130" i="81"/>
  <c r="D75" i="81"/>
  <c r="D124" i="76"/>
  <c r="D69" i="76"/>
  <c r="D130" i="76"/>
  <c r="D75" i="76"/>
  <c r="D126" i="81"/>
  <c r="D71" i="81"/>
  <c r="D125" i="81"/>
  <c r="D70" i="81"/>
  <c r="D131" i="76"/>
  <c r="D76" i="76"/>
  <c r="D127" i="81"/>
  <c r="D72" i="81"/>
  <c r="D123" i="81"/>
  <c r="D68" i="81"/>
  <c r="C13" i="81"/>
  <c r="C14" i="78"/>
  <c r="D128" i="76"/>
  <c r="D73" i="76"/>
  <c r="D132" i="76"/>
  <c r="D77" i="76"/>
  <c r="C14" i="79"/>
  <c r="D124" i="81"/>
  <c r="D69" i="81"/>
  <c r="D125" i="76"/>
  <c r="D70" i="76"/>
  <c r="D123" i="76"/>
  <c r="C13" i="76"/>
  <c r="D68" i="76"/>
  <c r="D128" i="81"/>
  <c r="D73" i="81"/>
  <c r="F7" i="69"/>
  <c r="E7" i="69" s="1"/>
  <c r="D7" i="69" s="1"/>
  <c r="C15" i="77" l="1"/>
  <c r="C16" i="77" s="1"/>
  <c r="C14" i="81"/>
  <c r="C15" i="78"/>
  <c r="C16" i="78" s="1"/>
  <c r="C15" i="79"/>
  <c r="C14" i="76"/>
  <c r="D7" i="24"/>
  <c r="I2" i="24"/>
  <c r="E7" i="24"/>
  <c r="K2" i="24"/>
  <c r="J2" i="24"/>
  <c r="D8" i="24"/>
  <c r="E8" i="24"/>
  <c r="D11" i="24"/>
  <c r="E11" i="24"/>
  <c r="D16" i="24"/>
  <c r="E16" i="24"/>
  <c r="D22" i="24"/>
  <c r="E22" i="24"/>
  <c r="D24" i="24"/>
  <c r="E24" i="24"/>
  <c r="D44" i="24"/>
  <c r="E44" i="24"/>
  <c r="D63" i="24"/>
  <c r="E63" i="24"/>
  <c r="D78" i="24"/>
  <c r="E78" i="24"/>
  <c r="D7" i="23"/>
  <c r="I2" i="23"/>
  <c r="E7" i="23"/>
  <c r="K2" i="23"/>
  <c r="J2" i="23"/>
  <c r="D8" i="23"/>
  <c r="E8" i="23"/>
  <c r="D11" i="23"/>
  <c r="E11" i="23"/>
  <c r="D16" i="23"/>
  <c r="E16" i="23"/>
  <c r="D22" i="23"/>
  <c r="E22" i="23"/>
  <c r="D24" i="23"/>
  <c r="E24" i="23"/>
  <c r="D44" i="23"/>
  <c r="E44" i="23"/>
  <c r="D63" i="23"/>
  <c r="E63" i="23"/>
  <c r="D78" i="23"/>
  <c r="E78" i="23"/>
  <c r="D7" i="22"/>
  <c r="I2" i="22"/>
  <c r="E7" i="22"/>
  <c r="K2" i="22"/>
  <c r="J2" i="22"/>
  <c r="D8" i="22"/>
  <c r="E8" i="22"/>
  <c r="D11" i="22"/>
  <c r="E11" i="22"/>
  <c r="D16" i="22"/>
  <c r="E16" i="22"/>
  <c r="D22" i="22"/>
  <c r="E22" i="22"/>
  <c r="D24" i="22"/>
  <c r="E24" i="22"/>
  <c r="D45" i="22"/>
  <c r="E45" i="22"/>
  <c r="D64" i="22"/>
  <c r="E64" i="22"/>
  <c r="D79" i="22"/>
  <c r="E79" i="22"/>
  <c r="L2" i="24"/>
  <c r="M2" i="24"/>
  <c r="N2" i="24"/>
  <c r="O2" i="24"/>
  <c r="P2" i="24"/>
  <c r="Q2" i="24"/>
  <c r="R2" i="24"/>
  <c r="S2" i="24"/>
  <c r="T2" i="24"/>
  <c r="U2" i="24"/>
  <c r="L2" i="23"/>
  <c r="M2" i="23"/>
  <c r="N2" i="23"/>
  <c r="O2" i="23"/>
  <c r="P2" i="23"/>
  <c r="Q2" i="23"/>
  <c r="R2" i="23"/>
  <c r="S2" i="23"/>
  <c r="T2" i="23"/>
  <c r="U2" i="23"/>
  <c r="L2" i="22"/>
  <c r="M2" i="22"/>
  <c r="N2" i="22"/>
  <c r="O2" i="22"/>
  <c r="P2" i="22"/>
  <c r="Q2" i="22"/>
  <c r="R2" i="22"/>
  <c r="S2" i="22"/>
  <c r="T2" i="22"/>
  <c r="U2" i="22"/>
  <c r="D7" i="38"/>
  <c r="J2" i="38"/>
  <c r="E7" i="38"/>
  <c r="K2" i="38"/>
  <c r="L2" i="38"/>
  <c r="M2" i="38"/>
  <c r="N2" i="38"/>
  <c r="O2" i="38"/>
  <c r="P2" i="38"/>
  <c r="Q2" i="38"/>
  <c r="R2" i="38"/>
  <c r="S2" i="38"/>
  <c r="T2" i="38"/>
  <c r="D8" i="38"/>
  <c r="E8" i="38"/>
  <c r="D11" i="38"/>
  <c r="E11" i="38"/>
  <c r="D16" i="38"/>
  <c r="E16" i="38"/>
  <c r="D22" i="38"/>
  <c r="E22" i="38"/>
  <c r="D24" i="38"/>
  <c r="E24" i="38"/>
  <c r="D44" i="38"/>
  <c r="E44" i="38"/>
  <c r="D63" i="38"/>
  <c r="E63" i="38"/>
  <c r="D78" i="38"/>
  <c r="E78" i="38"/>
  <c r="D12" i="38"/>
  <c r="E12" i="38"/>
  <c r="D19" i="38"/>
  <c r="E19" i="38"/>
  <c r="D45" i="38"/>
  <c r="E45" i="38"/>
  <c r="D47" i="38"/>
  <c r="E47" i="38"/>
  <c r="D48" i="38"/>
  <c r="E48" i="38"/>
  <c r="D51" i="38"/>
  <c r="E51" i="38"/>
  <c r="D64" i="38"/>
  <c r="E64" i="38"/>
  <c r="D66" i="38"/>
  <c r="E66" i="38"/>
  <c r="D67" i="38"/>
  <c r="E67" i="38"/>
  <c r="D69" i="38"/>
  <c r="E69" i="38"/>
  <c r="D76" i="38"/>
  <c r="E76" i="38"/>
  <c r="U2" i="38"/>
  <c r="D7" i="15"/>
  <c r="I2" i="15"/>
  <c r="E7" i="15"/>
  <c r="D8" i="15"/>
  <c r="E8" i="15"/>
  <c r="D11" i="15"/>
  <c r="E11" i="15"/>
  <c r="D16" i="15"/>
  <c r="E16" i="15"/>
  <c r="D22" i="15"/>
  <c r="E22" i="15"/>
  <c r="D24" i="15"/>
  <c r="E24" i="15"/>
  <c r="D44" i="15"/>
  <c r="E44" i="15"/>
  <c r="D63" i="15"/>
  <c r="E63" i="15"/>
  <c r="D78" i="15"/>
  <c r="E78" i="15"/>
  <c r="J2" i="15"/>
  <c r="K2" i="15"/>
  <c r="D7" i="3"/>
  <c r="E7" i="3"/>
  <c r="D8" i="3"/>
  <c r="E8" i="3"/>
  <c r="D11" i="3"/>
  <c r="E11" i="3"/>
  <c r="D16" i="3"/>
  <c r="E16" i="3"/>
  <c r="D22" i="3"/>
  <c r="E22" i="3"/>
  <c r="D24" i="3"/>
  <c r="E24" i="3"/>
  <c r="D44" i="3"/>
  <c r="E44" i="3"/>
  <c r="D63" i="3"/>
  <c r="E63" i="3"/>
  <c r="D78" i="3"/>
  <c r="E78" i="3"/>
  <c r="D12" i="22"/>
  <c r="E12" i="22"/>
  <c r="D19" i="22"/>
  <c r="E19" i="22"/>
  <c r="D46" i="22"/>
  <c r="E46" i="22"/>
  <c r="D48" i="22"/>
  <c r="E48" i="22"/>
  <c r="D49" i="22"/>
  <c r="E49" i="22"/>
  <c r="D52" i="22"/>
  <c r="E52" i="22"/>
  <c r="D65" i="22"/>
  <c r="E65" i="22"/>
  <c r="D67" i="22"/>
  <c r="E67" i="22"/>
  <c r="D68" i="22"/>
  <c r="E68" i="22"/>
  <c r="D70" i="22"/>
  <c r="E70" i="22"/>
  <c r="D77" i="22"/>
  <c r="E77" i="22"/>
  <c r="D12" i="15"/>
  <c r="E12" i="15"/>
  <c r="D19" i="15"/>
  <c r="E19" i="15"/>
  <c r="D45" i="15"/>
  <c r="E45" i="15"/>
  <c r="D47" i="15"/>
  <c r="E47" i="15"/>
  <c r="D48" i="15"/>
  <c r="E48" i="15"/>
  <c r="D51" i="15"/>
  <c r="E51" i="15"/>
  <c r="D64" i="15"/>
  <c r="E64" i="15"/>
  <c r="D66" i="15"/>
  <c r="E66" i="15"/>
  <c r="D67" i="15"/>
  <c r="E67" i="15"/>
  <c r="D69" i="15"/>
  <c r="E69" i="15"/>
  <c r="D76" i="15"/>
  <c r="E76" i="15"/>
  <c r="D12" i="3"/>
  <c r="E12" i="3"/>
  <c r="D19" i="3"/>
  <c r="E19" i="3"/>
  <c r="D45" i="3"/>
  <c r="E45" i="3"/>
  <c r="D47" i="3"/>
  <c r="E47" i="3"/>
  <c r="D48" i="3"/>
  <c r="E48" i="3"/>
  <c r="D51" i="3"/>
  <c r="E51" i="3"/>
  <c r="D64" i="3"/>
  <c r="E64" i="3"/>
  <c r="D66" i="3"/>
  <c r="E66" i="3"/>
  <c r="D67" i="3"/>
  <c r="E67" i="3"/>
  <c r="D69" i="3"/>
  <c r="E69" i="3"/>
  <c r="D76" i="3"/>
  <c r="E76" i="3"/>
  <c r="D12" i="24"/>
  <c r="E12" i="24"/>
  <c r="D19" i="24"/>
  <c r="E19" i="24"/>
  <c r="D45" i="24"/>
  <c r="E45" i="24"/>
  <c r="D47" i="24"/>
  <c r="E47" i="24"/>
  <c r="D48" i="24"/>
  <c r="E48" i="24"/>
  <c r="D51" i="24"/>
  <c r="E51" i="24"/>
  <c r="D64" i="24"/>
  <c r="E64" i="24"/>
  <c r="D66" i="24"/>
  <c r="E66" i="24"/>
  <c r="D67" i="24"/>
  <c r="E67" i="24"/>
  <c r="D69" i="24"/>
  <c r="E69" i="24"/>
  <c r="D76" i="24"/>
  <c r="E76" i="24"/>
  <c r="D12" i="23"/>
  <c r="E12" i="23"/>
  <c r="D19" i="23"/>
  <c r="E19" i="23"/>
  <c r="D45" i="23"/>
  <c r="E45" i="23"/>
  <c r="D47" i="23"/>
  <c r="E47" i="23"/>
  <c r="D48" i="23"/>
  <c r="E48" i="23"/>
  <c r="D51" i="23"/>
  <c r="E51" i="23"/>
  <c r="D64" i="23"/>
  <c r="E64" i="23"/>
  <c r="D66" i="23"/>
  <c r="E66" i="23"/>
  <c r="D67" i="23"/>
  <c r="E67" i="23"/>
  <c r="D69" i="23"/>
  <c r="E69" i="23"/>
  <c r="D76" i="23"/>
  <c r="E76" i="23"/>
  <c r="E796" i="58"/>
  <c r="E797" i="58"/>
  <c r="E798" i="58"/>
  <c r="E799" i="58"/>
  <c r="E800" i="58"/>
  <c r="E801" i="58"/>
  <c r="E802" i="58"/>
  <c r="E181" i="57"/>
  <c r="E182" i="57"/>
  <c r="E183" i="57"/>
  <c r="E184" i="57"/>
  <c r="E185" i="57"/>
  <c r="E186" i="57"/>
  <c r="E187" i="57"/>
  <c r="L2" i="15"/>
  <c r="M2" i="15"/>
  <c r="N2" i="15"/>
  <c r="O2" i="15"/>
  <c r="P2" i="15"/>
  <c r="Q2" i="15"/>
  <c r="R2" i="15"/>
  <c r="S2" i="15"/>
  <c r="T2" i="15"/>
  <c r="U2" i="15"/>
  <c r="AA68" i="10"/>
  <c r="Z68" i="10"/>
  <c r="X68" i="10"/>
  <c r="W68" i="10"/>
  <c r="V68" i="10"/>
  <c r="AA66" i="10"/>
  <c r="Z66" i="10"/>
  <c r="X66" i="10"/>
  <c r="W66" i="10"/>
  <c r="V66" i="10"/>
  <c r="AA58" i="10"/>
  <c r="Z58" i="10"/>
  <c r="X58" i="10"/>
  <c r="W58" i="10"/>
  <c r="V58" i="10"/>
  <c r="AA39" i="10"/>
  <c r="Z39" i="10"/>
  <c r="X39" i="10"/>
  <c r="W39" i="10"/>
  <c r="V39" i="10"/>
  <c r="V40" i="10"/>
  <c r="W40" i="10"/>
  <c r="X40" i="10"/>
  <c r="Z40" i="10"/>
  <c r="J35" i="49" s="1"/>
  <c r="AA40" i="10"/>
  <c r="A51" i="49"/>
  <c r="A52" i="49"/>
  <c r="A53" i="49"/>
  <c r="A5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8" i="49"/>
  <c r="B39" i="49"/>
  <c r="B40" i="49"/>
  <c r="B41" i="49"/>
  <c r="B42" i="49"/>
  <c r="B43" i="49"/>
  <c r="B44" i="49"/>
  <c r="B45" i="49"/>
  <c r="B46" i="49"/>
  <c r="B47" i="49"/>
  <c r="B48" i="49"/>
  <c r="B49" i="49"/>
  <c r="B50" i="49"/>
  <c r="B14" i="49"/>
  <c r="M12" i="50"/>
  <c r="P11" i="69"/>
  <c r="B58" i="10"/>
  <c r="A58" i="10" s="1"/>
  <c r="Y58" i="10"/>
  <c r="AD58" i="10"/>
  <c r="K11" i="30"/>
  <c r="L11" i="30" s="1"/>
  <c r="M11" i="30" s="1"/>
  <c r="N11" i="30" s="1"/>
  <c r="O11" i="30" s="1"/>
  <c r="P11" i="30" s="1"/>
  <c r="Q11" i="30" s="1"/>
  <c r="R11" i="30" s="1"/>
  <c r="S11" i="30" s="1"/>
  <c r="T11" i="30" s="1"/>
  <c r="U11" i="30" s="1"/>
  <c r="V11" i="30" s="1"/>
  <c r="W11" i="30" s="1"/>
  <c r="L137" i="30"/>
  <c r="L74" i="30"/>
  <c r="M74" i="30"/>
  <c r="L12" i="30"/>
  <c r="M12" i="30"/>
  <c r="J12" i="49"/>
  <c r="K12" i="49" s="1"/>
  <c r="L12" i="49" s="1"/>
  <c r="B52" i="49"/>
  <c r="L12" i="61"/>
  <c r="M12" i="61"/>
  <c r="L12" i="50"/>
  <c r="L13" i="46"/>
  <c r="L138" i="29"/>
  <c r="L74" i="29"/>
  <c r="G6" i="2"/>
  <c r="G7" i="2"/>
  <c r="K13" i="70" s="1"/>
  <c r="G8" i="2"/>
  <c r="K14" i="70" s="1"/>
  <c r="G9" i="2"/>
  <c r="G10" i="2"/>
  <c r="G11" i="2"/>
  <c r="G12" i="2"/>
  <c r="L13" i="76" s="1"/>
  <c r="G13" i="2"/>
  <c r="G14" i="2"/>
  <c r="G15" i="2"/>
  <c r="G16" i="2"/>
  <c r="K16" i="70" s="1"/>
  <c r="G17" i="2"/>
  <c r="G18" i="2"/>
  <c r="G19" i="2"/>
  <c r="L14" i="76" s="1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L37" i="29" s="1"/>
  <c r="G45" i="2"/>
  <c r="G46" i="2"/>
  <c r="L15" i="76" s="1"/>
  <c r="G47" i="2"/>
  <c r="G48" i="2"/>
  <c r="L16" i="76" s="1"/>
  <c r="G49" i="2"/>
  <c r="L17" i="76" s="1"/>
  <c r="G50" i="2"/>
  <c r="G51" i="2"/>
  <c r="G52" i="2"/>
  <c r="L18" i="76" s="1"/>
  <c r="G53" i="2"/>
  <c r="G54" i="2"/>
  <c r="G55" i="2"/>
  <c r="G56" i="2"/>
  <c r="G57" i="2"/>
  <c r="G58" i="2"/>
  <c r="G59" i="2"/>
  <c r="G60" i="2"/>
  <c r="G61" i="2"/>
  <c r="G62" i="2"/>
  <c r="G63" i="2"/>
  <c r="G64" i="2"/>
  <c r="K19" i="70" s="1"/>
  <c r="G65" i="2"/>
  <c r="G66" i="2"/>
  <c r="G67" i="2"/>
  <c r="L20" i="76" s="1"/>
  <c r="G68" i="2"/>
  <c r="L21" i="76" s="1"/>
  <c r="G69" i="2"/>
  <c r="G70" i="2"/>
  <c r="L22" i="76" s="1"/>
  <c r="G71" i="2"/>
  <c r="G72" i="2"/>
  <c r="G73" i="2"/>
  <c r="G74" i="2"/>
  <c r="G75" i="2"/>
  <c r="G76" i="2"/>
  <c r="G77" i="2"/>
  <c r="G78" i="2"/>
  <c r="G79" i="2"/>
  <c r="K20" i="70" s="1"/>
  <c r="H13" i="2"/>
  <c r="H18" i="2"/>
  <c r="H20" i="2"/>
  <c r="H23" i="2"/>
  <c r="H25" i="2"/>
  <c r="H27" i="2"/>
  <c r="H30" i="2"/>
  <c r="H32" i="2"/>
  <c r="H33" i="2"/>
  <c r="H34" i="2"/>
  <c r="H37" i="2"/>
  <c r="H41" i="2"/>
  <c r="H42" i="2"/>
  <c r="H43" i="2"/>
  <c r="H54" i="2"/>
  <c r="H63" i="2"/>
  <c r="H69" i="2"/>
  <c r="H71" i="2"/>
  <c r="H72" i="2"/>
  <c r="G5" i="2"/>
  <c r="I6" i="2"/>
  <c r="I7" i="2"/>
  <c r="M13" i="70" s="1"/>
  <c r="I8" i="2"/>
  <c r="M14" i="70" s="1"/>
  <c r="I9" i="2"/>
  <c r="I10" i="2"/>
  <c r="I11" i="2"/>
  <c r="I12" i="2"/>
  <c r="N13" i="76" s="1"/>
  <c r="I13" i="2"/>
  <c r="I14" i="2"/>
  <c r="I15" i="2"/>
  <c r="I16" i="2"/>
  <c r="M16" i="70" s="1"/>
  <c r="I17" i="2"/>
  <c r="I18" i="2"/>
  <c r="I19" i="2"/>
  <c r="N14" i="76" s="1"/>
  <c r="I20" i="2"/>
  <c r="L20" i="2" s="1"/>
  <c r="O20" i="2" s="1"/>
  <c r="R20" i="2" s="1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L37" i="2" s="1"/>
  <c r="O37" i="2" s="1"/>
  <c r="R37" i="2" s="1"/>
  <c r="I38" i="2"/>
  <c r="I39" i="2"/>
  <c r="I40" i="2"/>
  <c r="I41" i="2"/>
  <c r="I42" i="2"/>
  <c r="I43" i="2"/>
  <c r="I44" i="2"/>
  <c r="N37" i="29" s="1"/>
  <c r="I45" i="2"/>
  <c r="I46" i="2"/>
  <c r="N15" i="76" s="1"/>
  <c r="I47" i="2"/>
  <c r="I48" i="2"/>
  <c r="N16" i="76" s="1"/>
  <c r="I49" i="2"/>
  <c r="N17" i="76" s="1"/>
  <c r="I50" i="2"/>
  <c r="I51" i="2"/>
  <c r="I52" i="2"/>
  <c r="N18" i="76" s="1"/>
  <c r="I53" i="2"/>
  <c r="I54" i="2"/>
  <c r="L54" i="2" s="1"/>
  <c r="O54" i="2" s="1"/>
  <c r="R54" i="2" s="1"/>
  <c r="I55" i="2"/>
  <c r="I56" i="2"/>
  <c r="I57" i="2"/>
  <c r="I58" i="2"/>
  <c r="I59" i="2"/>
  <c r="I60" i="2"/>
  <c r="I61" i="2"/>
  <c r="I62" i="2"/>
  <c r="I63" i="2"/>
  <c r="L63" i="2" s="1"/>
  <c r="O63" i="2" s="1"/>
  <c r="R63" i="2" s="1"/>
  <c r="I64" i="2"/>
  <c r="M19" i="70" s="1"/>
  <c r="I65" i="2"/>
  <c r="I66" i="2"/>
  <c r="I67" i="2"/>
  <c r="N20" i="76" s="1"/>
  <c r="I68" i="2"/>
  <c r="N21" i="76" s="1"/>
  <c r="I69" i="2"/>
  <c r="I70" i="2"/>
  <c r="N22" i="76" s="1"/>
  <c r="I71" i="2"/>
  <c r="L71" i="2" s="1"/>
  <c r="O71" i="2" s="1"/>
  <c r="R71" i="2" s="1"/>
  <c r="I72" i="2"/>
  <c r="L72" i="2" s="1"/>
  <c r="O72" i="2" s="1"/>
  <c r="R72" i="2" s="1"/>
  <c r="I73" i="2"/>
  <c r="I74" i="2"/>
  <c r="I75" i="2"/>
  <c r="I76" i="2"/>
  <c r="I77" i="2"/>
  <c r="I78" i="2"/>
  <c r="I79" i="2"/>
  <c r="M20" i="70" s="1"/>
  <c r="I5" i="2"/>
  <c r="F2" i="14"/>
  <c r="E2" i="14"/>
  <c r="F2" i="20"/>
  <c r="E2" i="20"/>
  <c r="F2" i="18"/>
  <c r="E2" i="18"/>
  <c r="F2" i="19"/>
  <c r="E2" i="19"/>
  <c r="F2" i="11"/>
  <c r="E2" i="11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4" i="14"/>
  <c r="F31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4" i="14"/>
  <c r="E5" i="20"/>
  <c r="E6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4" i="20"/>
  <c r="E5" i="18"/>
  <c r="E6" i="18"/>
  <c r="E7" i="18"/>
  <c r="E8" i="18"/>
  <c r="E9" i="18"/>
  <c r="E10" i="18"/>
  <c r="E11" i="18"/>
  <c r="E12" i="18"/>
  <c r="E13" i="18"/>
  <c r="E14" i="18"/>
  <c r="L13" i="78" s="1"/>
  <c r="E15" i="18"/>
  <c r="E16" i="18"/>
  <c r="E17" i="18"/>
  <c r="E18" i="18"/>
  <c r="E19" i="18"/>
  <c r="E20" i="18"/>
  <c r="L14" i="78" s="1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L15" i="78" s="1"/>
  <c r="E44" i="18"/>
  <c r="L16" i="78" s="1"/>
  <c r="E45" i="18"/>
  <c r="L17" i="78" s="1"/>
  <c r="E46" i="18"/>
  <c r="E47" i="18"/>
  <c r="E48" i="18"/>
  <c r="L18" i="78" s="1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L20" i="78" s="1"/>
  <c r="E63" i="18"/>
  <c r="L21" i="78" s="1"/>
  <c r="E64" i="18"/>
  <c r="E65" i="18"/>
  <c r="L22" i="78" s="1"/>
  <c r="E66" i="18"/>
  <c r="E67" i="18"/>
  <c r="E68" i="18"/>
  <c r="E69" i="18"/>
  <c r="E70" i="18"/>
  <c r="E71" i="18"/>
  <c r="E72" i="18"/>
  <c r="E4" i="18"/>
  <c r="G5" i="18"/>
  <c r="G6" i="18"/>
  <c r="G7" i="18"/>
  <c r="G8" i="18"/>
  <c r="M13" i="72" s="1"/>
  <c r="F13" i="72" s="1"/>
  <c r="G9" i="18"/>
  <c r="M14" i="72" s="1"/>
  <c r="F14" i="72" s="1"/>
  <c r="G10" i="18"/>
  <c r="G11" i="18"/>
  <c r="G12" i="18"/>
  <c r="M15" i="72" s="1"/>
  <c r="F15" i="72" s="1"/>
  <c r="G13" i="18"/>
  <c r="G14" i="18"/>
  <c r="N13" i="78" s="1"/>
  <c r="G15" i="18"/>
  <c r="G16" i="18"/>
  <c r="G17" i="18"/>
  <c r="G18" i="18"/>
  <c r="M16" i="72" s="1"/>
  <c r="F16" i="72" s="1"/>
  <c r="G19" i="18"/>
  <c r="G20" i="18"/>
  <c r="N14" i="78" s="1"/>
  <c r="AV14" i="78" s="1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N15" i="78" s="1"/>
  <c r="AV15" i="78" s="1"/>
  <c r="G44" i="18"/>
  <c r="N16" i="78" s="1"/>
  <c r="AV16" i="78" s="1"/>
  <c r="G45" i="18"/>
  <c r="N17" i="78" s="1"/>
  <c r="AV17" i="78" s="1"/>
  <c r="G46" i="18"/>
  <c r="G47" i="18"/>
  <c r="G48" i="18"/>
  <c r="N18" i="78" s="1"/>
  <c r="AV18" i="78" s="1"/>
  <c r="G49" i="18"/>
  <c r="G50" i="18"/>
  <c r="G51" i="18"/>
  <c r="G52" i="18"/>
  <c r="G53" i="18"/>
  <c r="G54" i="18"/>
  <c r="G55" i="18"/>
  <c r="G56" i="18"/>
  <c r="G57" i="18"/>
  <c r="G58" i="18"/>
  <c r="G59" i="18"/>
  <c r="M19" i="72" s="1"/>
  <c r="F19" i="72" s="1"/>
  <c r="G60" i="18"/>
  <c r="G61" i="18"/>
  <c r="G62" i="18"/>
  <c r="N20" i="78" s="1"/>
  <c r="AV20" i="78" s="1"/>
  <c r="G63" i="18"/>
  <c r="N21" i="78" s="1"/>
  <c r="AV21" i="78" s="1"/>
  <c r="G64" i="18"/>
  <c r="G65" i="18"/>
  <c r="N22" i="78" s="1"/>
  <c r="AV22" i="78" s="1"/>
  <c r="G66" i="18"/>
  <c r="G67" i="18"/>
  <c r="G68" i="18"/>
  <c r="G69" i="18"/>
  <c r="G70" i="18"/>
  <c r="G71" i="18"/>
  <c r="G72" i="18"/>
  <c r="M20" i="72" s="1"/>
  <c r="F20" i="72" s="1"/>
  <c r="G4" i="18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4" i="19"/>
  <c r="G5" i="19"/>
  <c r="S6" i="59" s="1"/>
  <c r="G6" i="19"/>
  <c r="S7" i="59" s="1"/>
  <c r="G7" i="19"/>
  <c r="S8" i="59" s="1"/>
  <c r="G8" i="19"/>
  <c r="N13" i="73" s="1"/>
  <c r="G9" i="19"/>
  <c r="N14" i="73" s="1"/>
  <c r="AQ14" i="73" s="1"/>
  <c r="G10" i="19"/>
  <c r="G11" i="19"/>
  <c r="S12" i="59" s="1"/>
  <c r="G12" i="19"/>
  <c r="N15" i="73" s="1"/>
  <c r="AQ15" i="73" s="1"/>
  <c r="G13" i="19"/>
  <c r="S14" i="59" s="1"/>
  <c r="G14" i="19"/>
  <c r="O13" i="79" s="1"/>
  <c r="G15" i="19"/>
  <c r="S16" i="59" s="1"/>
  <c r="G16" i="19"/>
  <c r="G17" i="19"/>
  <c r="G18" i="19"/>
  <c r="N16" i="73" s="1"/>
  <c r="AQ16" i="73" s="1"/>
  <c r="G19" i="19"/>
  <c r="S20" i="59" s="1"/>
  <c r="G20" i="19"/>
  <c r="O14" i="79" s="1"/>
  <c r="AR14" i="79" s="1"/>
  <c r="G21" i="19"/>
  <c r="S22" i="59" s="1"/>
  <c r="G22" i="19"/>
  <c r="S23" i="59" s="1"/>
  <c r="G23" i="19"/>
  <c r="S24" i="59" s="1"/>
  <c r="G24" i="19"/>
  <c r="N17" i="73" s="1"/>
  <c r="AQ17" i="73" s="1"/>
  <c r="G25" i="19"/>
  <c r="S26" i="59" s="1"/>
  <c r="G26" i="19"/>
  <c r="G27" i="19"/>
  <c r="S28" i="59" s="1"/>
  <c r="G28" i="19"/>
  <c r="G29" i="19"/>
  <c r="S30" i="59" s="1"/>
  <c r="G30" i="19"/>
  <c r="S31" i="59" s="1"/>
  <c r="G31" i="19"/>
  <c r="S32" i="59" s="1"/>
  <c r="G32" i="19"/>
  <c r="S33" i="59" s="1"/>
  <c r="G33" i="19"/>
  <c r="S34" i="59" s="1"/>
  <c r="G34" i="19"/>
  <c r="G35" i="19"/>
  <c r="G36" i="19"/>
  <c r="G37" i="19"/>
  <c r="S38" i="59" s="1"/>
  <c r="G38" i="19"/>
  <c r="S39" i="59" s="1"/>
  <c r="G39" i="19"/>
  <c r="S40" i="59" s="1"/>
  <c r="G40" i="19"/>
  <c r="S41" i="59" s="1"/>
  <c r="G41" i="19"/>
  <c r="N18" i="73" s="1"/>
  <c r="AQ18" i="73" s="1"/>
  <c r="G42" i="19"/>
  <c r="O15" i="79" s="1"/>
  <c r="AR15" i="79" s="1"/>
  <c r="G44" i="19"/>
  <c r="O16" i="79" s="1"/>
  <c r="AR16" i="79" s="1"/>
  <c r="G45" i="19"/>
  <c r="O17" i="79" s="1"/>
  <c r="AR17" i="79" s="1"/>
  <c r="G46" i="19"/>
  <c r="S47" i="59" s="1"/>
  <c r="G47" i="19"/>
  <c r="S48" i="59" s="1"/>
  <c r="G48" i="19"/>
  <c r="O18" i="79" s="1"/>
  <c r="AR18" i="79" s="1"/>
  <c r="G49" i="19"/>
  <c r="S50" i="59" s="1"/>
  <c r="G50" i="19"/>
  <c r="S51" i="59" s="1"/>
  <c r="G51" i="19"/>
  <c r="G52" i="19"/>
  <c r="S53" i="59" s="1"/>
  <c r="G53" i="19"/>
  <c r="G54" i="19"/>
  <c r="S55" i="59" s="1"/>
  <c r="G55" i="19"/>
  <c r="S56" i="59" s="1"/>
  <c r="G56" i="19"/>
  <c r="S57" i="59" s="1"/>
  <c r="G57" i="19"/>
  <c r="S58" i="59" s="1"/>
  <c r="G58" i="19"/>
  <c r="S59" i="59" s="1"/>
  <c r="G59" i="19"/>
  <c r="N19" i="73" s="1"/>
  <c r="AQ19" i="73" s="1"/>
  <c r="G60" i="19"/>
  <c r="G61" i="19"/>
  <c r="G62" i="19"/>
  <c r="O20" i="79" s="1"/>
  <c r="AR20" i="79" s="1"/>
  <c r="G63" i="19"/>
  <c r="O21" i="79" s="1"/>
  <c r="AR21" i="79" s="1"/>
  <c r="G64" i="19"/>
  <c r="S65" i="59" s="1"/>
  <c r="G65" i="19"/>
  <c r="O22" i="79" s="1"/>
  <c r="AR22" i="79" s="1"/>
  <c r="G66" i="19"/>
  <c r="S67" i="59" s="1"/>
  <c r="G67" i="19"/>
  <c r="G68" i="19"/>
  <c r="S69" i="59" s="1"/>
  <c r="G69" i="19"/>
  <c r="G70" i="19"/>
  <c r="AR23" i="79" s="1"/>
  <c r="G71" i="19"/>
  <c r="S72" i="59" s="1"/>
  <c r="G72" i="19"/>
  <c r="N20" i="73" s="1"/>
  <c r="AQ20" i="73" s="1"/>
  <c r="G4" i="19"/>
  <c r="S5" i="59" s="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4" i="11"/>
  <c r="F31" i="11"/>
  <c r="G2" i="19"/>
  <c r="E5" i="13"/>
  <c r="S5" i="13" s="1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4" i="13"/>
  <c r="E2" i="13"/>
  <c r="F2" i="13"/>
  <c r="F31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4" i="13"/>
  <c r="L8" i="66"/>
  <c r="L7" i="66"/>
  <c r="L6" i="66"/>
  <c r="P6" i="66"/>
  <c r="Q7" i="66"/>
  <c r="P8" i="66"/>
  <c r="N8" i="66"/>
  <c r="Q9" i="66"/>
  <c r="P11" i="66"/>
  <c r="Q11" i="66"/>
  <c r="P12" i="66"/>
  <c r="N12" i="66"/>
  <c r="P13" i="66"/>
  <c r="Q13" i="66"/>
  <c r="L15" i="66"/>
  <c r="Q15" i="66"/>
  <c r="N16" i="66"/>
  <c r="P17" i="66"/>
  <c r="L18" i="66"/>
  <c r="L19" i="66"/>
  <c r="O19" i="66"/>
  <c r="O20" i="66"/>
  <c r="L22" i="66"/>
  <c r="N23" i="66"/>
  <c r="O24" i="66"/>
  <c r="Q25" i="66"/>
  <c r="P26" i="66"/>
  <c r="Q27" i="66"/>
  <c r="P28" i="66"/>
  <c r="O28" i="66"/>
  <c r="Q29" i="66"/>
  <c r="P31" i="66"/>
  <c r="Q31" i="66"/>
  <c r="P32" i="66"/>
  <c r="N32" i="66"/>
  <c r="P33" i="66"/>
  <c r="Q33" i="66"/>
  <c r="L35" i="66"/>
  <c r="Q35" i="66"/>
  <c r="O36" i="66"/>
  <c r="P37" i="66"/>
  <c r="L38" i="66"/>
  <c r="Q39" i="66"/>
  <c r="O40" i="66"/>
  <c r="P41" i="66"/>
  <c r="L42" i="66"/>
  <c r="L43" i="66"/>
  <c r="O43" i="66"/>
  <c r="N44" i="66"/>
  <c r="Q45" i="66"/>
  <c r="P46" i="66"/>
  <c r="Q47" i="66"/>
  <c r="P48" i="66"/>
  <c r="O48" i="66"/>
  <c r="Q49" i="66"/>
  <c r="P51" i="66"/>
  <c r="N51" i="66"/>
  <c r="P52" i="66"/>
  <c r="N52" i="66"/>
  <c r="P53" i="66"/>
  <c r="P55" i="66"/>
  <c r="Q55" i="66"/>
  <c r="P56" i="66"/>
  <c r="P59" i="66"/>
  <c r="Q59" i="66"/>
  <c r="P60" i="66"/>
  <c r="N60" i="66"/>
  <c r="P61" i="66"/>
  <c r="Q61" i="66"/>
  <c r="L63" i="66"/>
  <c r="Q63" i="66"/>
  <c r="N64" i="66"/>
  <c r="P65" i="66"/>
  <c r="Q65" i="66"/>
  <c r="L66" i="66"/>
  <c r="L67" i="66"/>
  <c r="Q67" i="66"/>
  <c r="P67" i="66"/>
  <c r="N67" i="66"/>
  <c r="M66" i="66"/>
  <c r="O64" i="66"/>
  <c r="P64" i="66"/>
  <c r="P63" i="66"/>
  <c r="L62" i="66"/>
  <c r="P62" i="66"/>
  <c r="M62" i="66"/>
  <c r="L59" i="66"/>
  <c r="O59" i="66"/>
  <c r="M59" i="66"/>
  <c r="L58" i="66"/>
  <c r="P58" i="66"/>
  <c r="M58" i="66"/>
  <c r="P57" i="66"/>
  <c r="O56" i="66"/>
  <c r="N56" i="66"/>
  <c r="M55" i="66"/>
  <c r="L54" i="66"/>
  <c r="P54" i="66"/>
  <c r="M54" i="66"/>
  <c r="L51" i="66"/>
  <c r="O51" i="66"/>
  <c r="L50" i="66"/>
  <c r="P50" i="66"/>
  <c r="M50" i="66"/>
  <c r="P49" i="66"/>
  <c r="N48" i="66"/>
  <c r="L47" i="66"/>
  <c r="P47" i="66"/>
  <c r="M47" i="66"/>
  <c r="L46" i="66"/>
  <c r="M46" i="66"/>
  <c r="P45" i="66"/>
  <c r="P44" i="66"/>
  <c r="Q43" i="66"/>
  <c r="P43" i="66"/>
  <c r="P42" i="66"/>
  <c r="M42" i="66"/>
  <c r="Q41" i="66"/>
  <c r="P40" i="66"/>
  <c r="O39" i="66"/>
  <c r="P39" i="66"/>
  <c r="M39" i="66"/>
  <c r="P38" i="66"/>
  <c r="M38" i="66"/>
  <c r="N36" i="66"/>
  <c r="P36" i="66"/>
  <c r="P35" i="66"/>
  <c r="L34" i="66"/>
  <c r="P34" i="66"/>
  <c r="M34" i="66"/>
  <c r="L31" i="66"/>
  <c r="O31" i="66"/>
  <c r="M31" i="66"/>
  <c r="L30" i="66"/>
  <c r="P30" i="66"/>
  <c r="M30" i="66"/>
  <c r="P29" i="66"/>
  <c r="N28" i="66"/>
  <c r="L27" i="66"/>
  <c r="P27" i="66"/>
  <c r="N27" i="66"/>
  <c r="L26" i="66"/>
  <c r="M26" i="66"/>
  <c r="P25" i="66"/>
  <c r="P24" i="66"/>
  <c r="Q23" i="66"/>
  <c r="P23" i="66"/>
  <c r="M23" i="66"/>
  <c r="P22" i="66"/>
  <c r="M22" i="66"/>
  <c r="P21" i="66"/>
  <c r="P20" i="66"/>
  <c r="Q19" i="66"/>
  <c r="P19" i="66"/>
  <c r="N19" i="66"/>
  <c r="M18" i="66"/>
  <c r="Q17" i="66"/>
  <c r="O16" i="66"/>
  <c r="P16" i="66"/>
  <c r="P15" i="66"/>
  <c r="L14" i="66"/>
  <c r="P14" i="66"/>
  <c r="M14" i="66"/>
  <c r="O12" i="66"/>
  <c r="L11" i="66"/>
  <c r="O11" i="66"/>
  <c r="M11" i="66"/>
  <c r="L10" i="66"/>
  <c r="P10" i="66"/>
  <c r="M10" i="66"/>
  <c r="P9" i="66"/>
  <c r="O8" i="66"/>
  <c r="O7" i="66"/>
  <c r="P7" i="66"/>
  <c r="M7" i="66"/>
  <c r="M6" i="66"/>
  <c r="A2" i="66"/>
  <c r="N24" i="66"/>
  <c r="N39" i="66"/>
  <c r="O44" i="66"/>
  <c r="Q51" i="66"/>
  <c r="O67" i="66"/>
  <c r="N7" i="66"/>
  <c r="N15" i="66"/>
  <c r="O27" i="66"/>
  <c r="N35" i="66"/>
  <c r="O47" i="66"/>
  <c r="N63" i="66"/>
  <c r="O15" i="66"/>
  <c r="O35" i="66"/>
  <c r="N40" i="66"/>
  <c r="O52" i="66"/>
  <c r="O63" i="66"/>
  <c r="P66" i="66"/>
  <c r="O32" i="66"/>
  <c r="N43" i="66"/>
  <c r="O55" i="66"/>
  <c r="O60" i="66"/>
  <c r="N55" i="66"/>
  <c r="P18" i="66"/>
  <c r="N20" i="66"/>
  <c r="O23" i="66"/>
  <c r="Q18" i="66"/>
  <c r="O18" i="66"/>
  <c r="N18" i="66"/>
  <c r="M27" i="66"/>
  <c r="Q34" i="66"/>
  <c r="O34" i="66"/>
  <c r="N34" i="66"/>
  <c r="O53" i="66"/>
  <c r="N53" i="66"/>
  <c r="Q6" i="66"/>
  <c r="O6" i="66"/>
  <c r="N6" i="66"/>
  <c r="N11" i="66"/>
  <c r="N59" i="66"/>
  <c r="M13" i="66"/>
  <c r="L13" i="66"/>
  <c r="M15" i="66"/>
  <c r="Q22" i="66"/>
  <c r="O22" i="66"/>
  <c r="N22" i="66"/>
  <c r="M29" i="66"/>
  <c r="L29" i="66"/>
  <c r="M45" i="66"/>
  <c r="L45" i="66"/>
  <c r="O57" i="66"/>
  <c r="N57" i="66"/>
  <c r="M63" i="66"/>
  <c r="N47" i="66"/>
  <c r="M17" i="66"/>
  <c r="L17" i="66"/>
  <c r="M19" i="66"/>
  <c r="Q26" i="66"/>
  <c r="O26" i="66"/>
  <c r="N26" i="66"/>
  <c r="O29" i="66"/>
  <c r="N29" i="66"/>
  <c r="M33" i="66"/>
  <c r="L33" i="66"/>
  <c r="M35" i="66"/>
  <c r="Q42" i="66"/>
  <c r="O42" i="66"/>
  <c r="N42" i="66"/>
  <c r="O45" i="66"/>
  <c r="N45" i="66"/>
  <c r="M49" i="66"/>
  <c r="L49" i="66"/>
  <c r="M51" i="66"/>
  <c r="Q58" i="66"/>
  <c r="O58" i="66"/>
  <c r="N58" i="66"/>
  <c r="O61" i="66"/>
  <c r="N61" i="66"/>
  <c r="M65" i="66"/>
  <c r="L65" i="66"/>
  <c r="M67" i="66"/>
  <c r="M12" i="66"/>
  <c r="L12" i="66"/>
  <c r="Q12" i="66"/>
  <c r="M28" i="66"/>
  <c r="L28" i="66"/>
  <c r="Q28" i="66"/>
  <c r="M44" i="66"/>
  <c r="Q44" i="66"/>
  <c r="L44" i="66"/>
  <c r="M60" i="66"/>
  <c r="L60" i="66"/>
  <c r="Q60" i="66"/>
  <c r="M9" i="66"/>
  <c r="L9" i="66"/>
  <c r="O21" i="66"/>
  <c r="N21" i="66"/>
  <c r="O37" i="66"/>
  <c r="N37" i="66"/>
  <c r="M43" i="66"/>
  <c r="Q50" i="66"/>
  <c r="O50" i="66"/>
  <c r="N50" i="66"/>
  <c r="M57" i="66"/>
  <c r="L57" i="66"/>
  <c r="Q66" i="66"/>
  <c r="O66" i="66"/>
  <c r="N66" i="66"/>
  <c r="M32" i="66"/>
  <c r="L32" i="66"/>
  <c r="Q32" i="66"/>
  <c r="M64" i="66"/>
  <c r="L64" i="66"/>
  <c r="Q64" i="66"/>
  <c r="Q38" i="66"/>
  <c r="O38" i="66"/>
  <c r="N38" i="66"/>
  <c r="M61" i="66"/>
  <c r="L61" i="66"/>
  <c r="M20" i="66"/>
  <c r="Q20" i="66"/>
  <c r="L20" i="66"/>
  <c r="Q21" i="66"/>
  <c r="N31" i="66"/>
  <c r="M52" i="66"/>
  <c r="L52" i="66"/>
  <c r="Q52" i="66"/>
  <c r="Q53" i="66"/>
  <c r="Q10" i="66"/>
  <c r="O10" i="66"/>
  <c r="N10" i="66"/>
  <c r="O13" i="66"/>
  <c r="N13" i="66"/>
  <c r="M8" i="66"/>
  <c r="Q8" i="66"/>
  <c r="L23" i="66"/>
  <c r="M24" i="66"/>
  <c r="L24" i="66"/>
  <c r="Q24" i="66"/>
  <c r="L39" i="66"/>
  <c r="M40" i="66"/>
  <c r="L40" i="66"/>
  <c r="Q40" i="66"/>
  <c r="L55" i="66"/>
  <c r="M56" i="66"/>
  <c r="L56" i="66"/>
  <c r="Q56" i="66"/>
  <c r="Q57" i="66"/>
  <c r="M25" i="66"/>
  <c r="L25" i="66"/>
  <c r="M41" i="66"/>
  <c r="L41" i="66"/>
  <c r="M16" i="66"/>
  <c r="L16" i="66"/>
  <c r="Q16" i="66"/>
  <c r="M48" i="66"/>
  <c r="Q48" i="66"/>
  <c r="L48" i="66"/>
  <c r="O9" i="66"/>
  <c r="N9" i="66"/>
  <c r="O25" i="66"/>
  <c r="N25" i="66"/>
  <c r="O41" i="66"/>
  <c r="N41" i="66"/>
  <c r="Q54" i="66"/>
  <c r="O54" i="66"/>
  <c r="N54" i="66"/>
  <c r="M36" i="66"/>
  <c r="Q36" i="66"/>
  <c r="L36" i="66"/>
  <c r="Q37" i="66"/>
  <c r="Q14" i="66"/>
  <c r="O14" i="66"/>
  <c r="N14" i="66"/>
  <c r="O17" i="66"/>
  <c r="N17" i="66"/>
  <c r="M21" i="66"/>
  <c r="L21" i="66"/>
  <c r="Q30" i="66"/>
  <c r="O30" i="66"/>
  <c r="N30" i="66"/>
  <c r="O33" i="66"/>
  <c r="N33" i="66"/>
  <c r="M37" i="66"/>
  <c r="L37" i="66"/>
  <c r="Q46" i="66"/>
  <c r="O46" i="66"/>
  <c r="N46" i="66"/>
  <c r="O49" i="66"/>
  <c r="N49" i="66"/>
  <c r="M53" i="66"/>
  <c r="L53" i="66"/>
  <c r="Q62" i="66"/>
  <c r="O62" i="66"/>
  <c r="N62" i="66"/>
  <c r="O65" i="66"/>
  <c r="N65" i="66"/>
  <c r="AA52" i="10"/>
  <c r="Z52" i="10"/>
  <c r="X52" i="10"/>
  <c r="C84" i="46"/>
  <c r="C68" i="46"/>
  <c r="C62" i="46"/>
  <c r="N11" i="69"/>
  <c r="G11" i="69"/>
  <c r="K11" i="69"/>
  <c r="E179" i="57"/>
  <c r="E180" i="57"/>
  <c r="E794" i="58"/>
  <c r="E795" i="58"/>
  <c r="T71" i="10"/>
  <c r="Y70" i="10"/>
  <c r="T67" i="10"/>
  <c r="Y66" i="10"/>
  <c r="T64" i="10"/>
  <c r="Y62" i="10"/>
  <c r="T61" i="10"/>
  <c r="T60" i="10"/>
  <c r="T59" i="10"/>
  <c r="Y57" i="10"/>
  <c r="Y56" i="10"/>
  <c r="T55" i="10"/>
  <c r="U54" i="10"/>
  <c r="Y53" i="10"/>
  <c r="U52" i="10"/>
  <c r="T51" i="10"/>
  <c r="U49" i="10"/>
  <c r="U48" i="10"/>
  <c r="T47" i="10"/>
  <c r="Y46" i="10"/>
  <c r="T45" i="10"/>
  <c r="Y42" i="10"/>
  <c r="Y41" i="10"/>
  <c r="T40" i="10"/>
  <c r="T39" i="10"/>
  <c r="U38" i="10"/>
  <c r="Y36" i="10"/>
  <c r="T35" i="10"/>
  <c r="U34" i="10"/>
  <c r="Y33" i="10"/>
  <c r="Y30" i="10"/>
  <c r="U29" i="10"/>
  <c r="T28" i="10"/>
  <c r="Y26" i="10"/>
  <c r="Y25" i="10"/>
  <c r="Y24" i="10"/>
  <c r="U23" i="10"/>
  <c r="Y22" i="10"/>
  <c r="Y21" i="10"/>
  <c r="U20" i="10"/>
  <c r="U19" i="10"/>
  <c r="U18" i="10"/>
  <c r="Y17" i="10"/>
  <c r="T16" i="10"/>
  <c r="Y15" i="10"/>
  <c r="U14" i="10"/>
  <c r="T13" i="10"/>
  <c r="U12" i="10"/>
  <c r="Y11" i="10"/>
  <c r="T10" i="10"/>
  <c r="E790" i="58"/>
  <c r="E791" i="58"/>
  <c r="E792" i="58"/>
  <c r="E793" i="58"/>
  <c r="E175" i="57"/>
  <c r="E176" i="57"/>
  <c r="E177" i="57"/>
  <c r="E178" i="57"/>
  <c r="D14" i="49"/>
  <c r="B32" i="46"/>
  <c r="B33" i="46"/>
  <c r="B34" i="46"/>
  <c r="B35" i="46"/>
  <c r="B36" i="46"/>
  <c r="B37" i="46"/>
  <c r="B40" i="46"/>
  <c r="B41" i="46"/>
  <c r="B42" i="46"/>
  <c r="B43" i="46"/>
  <c r="B44" i="46"/>
  <c r="B45" i="46"/>
  <c r="B46" i="46"/>
  <c r="B47" i="46"/>
  <c r="B48" i="46"/>
  <c r="B49" i="46"/>
  <c r="B50" i="46"/>
  <c r="B51" i="46"/>
  <c r="B52" i="46"/>
  <c r="B53" i="46"/>
  <c r="B54" i="46"/>
  <c r="B55" i="46"/>
  <c r="B56" i="46"/>
  <c r="B57" i="46"/>
  <c r="B58" i="46"/>
  <c r="B31" i="46"/>
  <c r="B30" i="50"/>
  <c r="A155" i="30"/>
  <c r="A92" i="30"/>
  <c r="E33" i="22"/>
  <c r="D33" i="22"/>
  <c r="A33" i="22"/>
  <c r="B31" i="30"/>
  <c r="B32" i="30"/>
  <c r="B33" i="30"/>
  <c r="B34" i="30"/>
  <c r="B35" i="30"/>
  <c r="B36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K54" i="30" s="1"/>
  <c r="B55" i="30"/>
  <c r="K55" i="30" s="1"/>
  <c r="B56" i="30"/>
  <c r="K56" i="30" s="1"/>
  <c r="B57" i="30"/>
  <c r="K57" i="30" s="1"/>
  <c r="B30" i="30"/>
  <c r="D30" i="30"/>
  <c r="D92" i="30" s="1"/>
  <c r="D54" i="30"/>
  <c r="C54" i="30" s="1"/>
  <c r="D55" i="30"/>
  <c r="D117" i="30" s="1"/>
  <c r="C117" i="30" s="1"/>
  <c r="D56" i="30"/>
  <c r="D118" i="30" s="1"/>
  <c r="C118" i="30" s="1"/>
  <c r="D57" i="30"/>
  <c r="C57" i="30" s="1"/>
  <c r="C58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9" i="61"/>
  <c r="B40" i="61"/>
  <c r="B41" i="61"/>
  <c r="B42" i="61"/>
  <c r="B43" i="61"/>
  <c r="B44" i="61"/>
  <c r="B45" i="61"/>
  <c r="B46" i="61"/>
  <c r="B47" i="61"/>
  <c r="B48" i="61"/>
  <c r="B49" i="61"/>
  <c r="B50" i="61"/>
  <c r="B51" i="61"/>
  <c r="B52" i="61"/>
  <c r="B53" i="61"/>
  <c r="B54" i="61"/>
  <c r="B55" i="61"/>
  <c r="B56" i="61"/>
  <c r="B57" i="61"/>
  <c r="D30" i="61"/>
  <c r="D54" i="61"/>
  <c r="C54" i="61" s="1"/>
  <c r="D55" i="61"/>
  <c r="C55" i="61" s="1"/>
  <c r="D56" i="61"/>
  <c r="C56" i="61" s="1"/>
  <c r="D57" i="61"/>
  <c r="C57" i="61" s="1"/>
  <c r="A33" i="2"/>
  <c r="C58" i="29"/>
  <c r="D30" i="29"/>
  <c r="B30" i="29"/>
  <c r="AA34" i="10"/>
  <c r="Z34" i="10"/>
  <c r="J31" i="49" s="1"/>
  <c r="V34" i="10"/>
  <c r="AD34" i="10"/>
  <c r="X34" i="10"/>
  <c r="W34" i="10"/>
  <c r="B34" i="10"/>
  <c r="A34" i="10" s="1"/>
  <c r="F11" i="5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5" i="10"/>
  <c r="AA36" i="10"/>
  <c r="AA37" i="10"/>
  <c r="AA38" i="10"/>
  <c r="AA41" i="10"/>
  <c r="AA42" i="10"/>
  <c r="AA43" i="10"/>
  <c r="AA44" i="10"/>
  <c r="AA45" i="10"/>
  <c r="AA46" i="10"/>
  <c r="AA47" i="10"/>
  <c r="AA48" i="10"/>
  <c r="AA49" i="10"/>
  <c r="AA50" i="10"/>
  <c r="AA51" i="10"/>
  <c r="AA53" i="10"/>
  <c r="AA54" i="10"/>
  <c r="AA55" i="10"/>
  <c r="AA56" i="10"/>
  <c r="AA57" i="10"/>
  <c r="AA59" i="10"/>
  <c r="AA60" i="10"/>
  <c r="AA61" i="10"/>
  <c r="AA62" i="10"/>
  <c r="AA63" i="10"/>
  <c r="AA64" i="10"/>
  <c r="AA65" i="10"/>
  <c r="AA67" i="10"/>
  <c r="AA70" i="10"/>
  <c r="AA71" i="10"/>
  <c r="AA72" i="10"/>
  <c r="AA73" i="10"/>
  <c r="AA74" i="10"/>
  <c r="AA9" i="10"/>
  <c r="AD57" i="50"/>
  <c r="AD56" i="50"/>
  <c r="AD55" i="50"/>
  <c r="AD54" i="50"/>
  <c r="AA54" i="61"/>
  <c r="AA55" i="61"/>
  <c r="AA56" i="61"/>
  <c r="AA57" i="61"/>
  <c r="S11" i="59"/>
  <c r="S13" i="59"/>
  <c r="S17" i="59"/>
  <c r="S18" i="59"/>
  <c r="S19" i="59"/>
  <c r="S21" i="59"/>
  <c r="S27" i="59"/>
  <c r="S29" i="59"/>
  <c r="S35" i="59"/>
  <c r="S36" i="59"/>
  <c r="S37" i="59"/>
  <c r="S43" i="59"/>
  <c r="S44" i="59"/>
  <c r="S46" i="59"/>
  <c r="S52" i="59"/>
  <c r="S54" i="59"/>
  <c r="S60" i="59"/>
  <c r="S62" i="59"/>
  <c r="S68" i="59"/>
  <c r="S70" i="59"/>
  <c r="B13" i="61"/>
  <c r="X12" i="61"/>
  <c r="W12" i="61"/>
  <c r="V12" i="61"/>
  <c r="U12" i="61"/>
  <c r="T12" i="61"/>
  <c r="S12" i="61"/>
  <c r="R12" i="61"/>
  <c r="Q12" i="61"/>
  <c r="P12" i="61"/>
  <c r="O12" i="61"/>
  <c r="N12" i="61"/>
  <c r="J11" i="61"/>
  <c r="K11" i="61" s="1"/>
  <c r="L11" i="61" s="1"/>
  <c r="M11" i="61" s="1"/>
  <c r="N11" i="61" s="1"/>
  <c r="O11" i="61" s="1"/>
  <c r="P11" i="61" s="1"/>
  <c r="Q11" i="61" s="1"/>
  <c r="R11" i="61" s="1"/>
  <c r="S11" i="61" s="1"/>
  <c r="T11" i="61" s="1"/>
  <c r="U11" i="61" s="1"/>
  <c r="V11" i="61" s="1"/>
  <c r="W11" i="61" s="1"/>
  <c r="X11" i="61" s="1"/>
  <c r="C1" i="61"/>
  <c r="Y68" i="21"/>
  <c r="Y67" i="21"/>
  <c r="Z35" i="10"/>
  <c r="J30" i="49" s="1"/>
  <c r="Z36" i="10"/>
  <c r="J32" i="49" s="1"/>
  <c r="Z37" i="10"/>
  <c r="J33" i="49" s="1"/>
  <c r="Z38" i="10"/>
  <c r="J34" i="49" s="1"/>
  <c r="Z41" i="10"/>
  <c r="J36" i="49" s="1"/>
  <c r="Z42" i="10"/>
  <c r="Z43" i="10"/>
  <c r="Z44" i="10"/>
  <c r="J16" i="80" s="1"/>
  <c r="Z45" i="10"/>
  <c r="J38" i="49" s="1"/>
  <c r="Z46" i="10"/>
  <c r="J17" i="80" s="1"/>
  <c r="Z47" i="10"/>
  <c r="J18" i="80" s="1"/>
  <c r="Z48" i="10"/>
  <c r="J39" i="49" s="1"/>
  <c r="Z49" i="10"/>
  <c r="J19" i="80" s="1"/>
  <c r="Z50" i="10"/>
  <c r="J40" i="49" s="1"/>
  <c r="Z51" i="10"/>
  <c r="J41" i="49" s="1"/>
  <c r="Z53" i="10"/>
  <c r="J42" i="49" s="1"/>
  <c r="Z54" i="10"/>
  <c r="J43" i="49" s="1"/>
  <c r="Z55" i="10"/>
  <c r="J44" i="49" s="1"/>
  <c r="Z56" i="10"/>
  <c r="J45" i="49" s="1"/>
  <c r="Z57" i="10"/>
  <c r="J46" i="49" s="1"/>
  <c r="Z59" i="10"/>
  <c r="J47" i="49" s="1"/>
  <c r="Z60" i="10"/>
  <c r="Z61" i="10"/>
  <c r="Z62" i="10"/>
  <c r="J48" i="49" s="1"/>
  <c r="Z63" i="10"/>
  <c r="J21" i="80" s="1"/>
  <c r="Z64" i="10"/>
  <c r="J22" i="80" s="1"/>
  <c r="Z65" i="10"/>
  <c r="J23" i="80" s="1"/>
  <c r="Z67" i="10"/>
  <c r="J49" i="49" s="1"/>
  <c r="Z70" i="10"/>
  <c r="J50" i="49" s="1"/>
  <c r="Z71" i="10"/>
  <c r="Z72" i="10"/>
  <c r="Z73" i="10"/>
  <c r="Z74" i="10"/>
  <c r="Z33" i="10"/>
  <c r="J29" i="49" s="1"/>
  <c r="Z32" i="10"/>
  <c r="Z10" i="10"/>
  <c r="J15" i="49" s="1"/>
  <c r="Z11" i="10"/>
  <c r="Z12" i="10"/>
  <c r="Z13" i="10"/>
  <c r="J16" i="49" s="1"/>
  <c r="Z14" i="10"/>
  <c r="J17" i="49" s="1"/>
  <c r="Z15" i="10"/>
  <c r="Z16" i="10"/>
  <c r="J14" i="80" s="1"/>
  <c r="Z17" i="10"/>
  <c r="J18" i="49" s="1"/>
  <c r="Z18" i="10"/>
  <c r="J19" i="49" s="1"/>
  <c r="Z19" i="10"/>
  <c r="J20" i="49" s="1"/>
  <c r="Z20" i="10"/>
  <c r="Z21" i="10"/>
  <c r="J21" i="49" s="1"/>
  <c r="Z22" i="10"/>
  <c r="J15" i="80" s="1"/>
  <c r="Z23" i="10"/>
  <c r="J22" i="49" s="1"/>
  <c r="Z24" i="10"/>
  <c r="Z25" i="10"/>
  <c r="J23" i="49" s="1"/>
  <c r="Z26" i="10"/>
  <c r="Z27" i="10"/>
  <c r="J24" i="49" s="1"/>
  <c r="Z28" i="10"/>
  <c r="J25" i="49" s="1"/>
  <c r="Z29" i="10"/>
  <c r="J26" i="49" s="1"/>
  <c r="Z30" i="10"/>
  <c r="J27" i="49" s="1"/>
  <c r="Z31" i="10"/>
  <c r="J28" i="49" s="1"/>
  <c r="Z9" i="10"/>
  <c r="J14" i="49" s="1"/>
  <c r="Z5" i="10"/>
  <c r="P5" i="10"/>
  <c r="N5" i="10"/>
  <c r="O5" i="10"/>
  <c r="M137" i="30"/>
  <c r="N137" i="30"/>
  <c r="N74" i="30"/>
  <c r="N12" i="50"/>
  <c r="W52" i="10"/>
  <c r="V52" i="10"/>
  <c r="E171" i="57"/>
  <c r="E172" i="57"/>
  <c r="E173" i="57"/>
  <c r="E174" i="57"/>
  <c r="E786" i="58"/>
  <c r="E787" i="58"/>
  <c r="E788" i="58"/>
  <c r="E789" i="58"/>
  <c r="M13" i="46"/>
  <c r="N13" i="46"/>
  <c r="N138" i="29"/>
  <c r="N74" i="29"/>
  <c r="G2" i="14"/>
  <c r="G2" i="20"/>
  <c r="G2" i="18"/>
  <c r="G2" i="11"/>
  <c r="G2" i="13"/>
  <c r="H6" i="2"/>
  <c r="D7" i="21"/>
  <c r="F6" i="14" s="1"/>
  <c r="E7" i="21"/>
  <c r="F6" i="11" s="1"/>
  <c r="F7" i="21"/>
  <c r="F6" i="19" s="1"/>
  <c r="G7" i="21"/>
  <c r="H7" i="21"/>
  <c r="F6" i="20" s="1"/>
  <c r="I7" i="21"/>
  <c r="F6" i="18" s="1"/>
  <c r="J7" i="21"/>
  <c r="H10" i="2"/>
  <c r="D8" i="21"/>
  <c r="F7" i="14" s="1"/>
  <c r="E8" i="21"/>
  <c r="F7" i="11" s="1"/>
  <c r="F8" i="21"/>
  <c r="F7" i="19" s="1"/>
  <c r="G8" i="21"/>
  <c r="H8" i="21"/>
  <c r="F7" i="20" s="1"/>
  <c r="I8" i="21"/>
  <c r="F7" i="18" s="1"/>
  <c r="J8" i="21"/>
  <c r="H7" i="2"/>
  <c r="L13" i="70" s="1"/>
  <c r="D9" i="21"/>
  <c r="F8" i="14" s="1"/>
  <c r="E9" i="21"/>
  <c r="F8" i="11" s="1"/>
  <c r="F9" i="21"/>
  <c r="F8" i="19" s="1"/>
  <c r="G9" i="21"/>
  <c r="H9" i="21"/>
  <c r="F8" i="20" s="1"/>
  <c r="I9" i="21"/>
  <c r="F8" i="18" s="1"/>
  <c r="J9" i="21"/>
  <c r="H8" i="2"/>
  <c r="L14" i="70" s="1"/>
  <c r="D10" i="21"/>
  <c r="F9" i="14" s="1"/>
  <c r="E10" i="21"/>
  <c r="F9" i="11" s="1"/>
  <c r="F10" i="21"/>
  <c r="F9" i="19" s="1"/>
  <c r="G10" i="21"/>
  <c r="F9" i="13" s="1"/>
  <c r="H10" i="21"/>
  <c r="F9" i="20" s="1"/>
  <c r="I10" i="21"/>
  <c r="F9" i="18" s="1"/>
  <c r="J10" i="21"/>
  <c r="H9" i="2"/>
  <c r="D11" i="21"/>
  <c r="F10" i="14" s="1"/>
  <c r="E11" i="21"/>
  <c r="F10" i="11" s="1"/>
  <c r="F11" i="21"/>
  <c r="F10" i="19" s="1"/>
  <c r="G11" i="21"/>
  <c r="H11" i="21"/>
  <c r="F10" i="20" s="1"/>
  <c r="I11" i="21"/>
  <c r="F10" i="18" s="1"/>
  <c r="J11" i="21"/>
  <c r="C12" i="21"/>
  <c r="D12" i="21"/>
  <c r="F11" i="14" s="1"/>
  <c r="E12" i="21"/>
  <c r="F11" i="11" s="1"/>
  <c r="F12" i="21"/>
  <c r="F11" i="19" s="1"/>
  <c r="G12" i="21"/>
  <c r="F11" i="13" s="1"/>
  <c r="H12" i="21"/>
  <c r="F11" i="20" s="1"/>
  <c r="I12" i="21"/>
  <c r="F11" i="18" s="1"/>
  <c r="J12" i="21"/>
  <c r="C13" i="21"/>
  <c r="H11" i="2" s="1"/>
  <c r="D13" i="21"/>
  <c r="F12" i="14" s="1"/>
  <c r="E13" i="21"/>
  <c r="F12" i="11" s="1"/>
  <c r="F13" i="21"/>
  <c r="F12" i="19" s="1"/>
  <c r="G13" i="21"/>
  <c r="H13" i="21"/>
  <c r="F12" i="20" s="1"/>
  <c r="I13" i="21"/>
  <c r="F12" i="18" s="1"/>
  <c r="J13" i="21"/>
  <c r="C14" i="21"/>
  <c r="D14" i="21"/>
  <c r="F13" i="14" s="1"/>
  <c r="E14" i="21"/>
  <c r="F13" i="11" s="1"/>
  <c r="F14" i="21"/>
  <c r="F13" i="19" s="1"/>
  <c r="G14" i="21"/>
  <c r="F13" i="13" s="1"/>
  <c r="H14" i="21"/>
  <c r="F13" i="20" s="1"/>
  <c r="I14" i="21"/>
  <c r="F13" i="18" s="1"/>
  <c r="J14" i="21"/>
  <c r="H12" i="2"/>
  <c r="M13" i="76" s="1"/>
  <c r="D15" i="21"/>
  <c r="F14" i="14" s="1"/>
  <c r="E15" i="21"/>
  <c r="F14" i="11" s="1"/>
  <c r="F15" i="21"/>
  <c r="F14" i="19" s="1"/>
  <c r="G15" i="21"/>
  <c r="H15" i="21"/>
  <c r="F14" i="20" s="1"/>
  <c r="I15" i="21"/>
  <c r="F14" i="18" s="1"/>
  <c r="M13" i="78" s="1"/>
  <c r="J15" i="21"/>
  <c r="D16" i="21"/>
  <c r="F15" i="14" s="1"/>
  <c r="E16" i="21"/>
  <c r="F15" i="11" s="1"/>
  <c r="F16" i="21"/>
  <c r="F15" i="19" s="1"/>
  <c r="G16" i="21"/>
  <c r="F15" i="13" s="1"/>
  <c r="H16" i="21"/>
  <c r="F15" i="20" s="1"/>
  <c r="I16" i="21"/>
  <c r="F15" i="18" s="1"/>
  <c r="J16" i="21"/>
  <c r="H14" i="2"/>
  <c r="D17" i="21"/>
  <c r="F16" i="14" s="1"/>
  <c r="E17" i="21"/>
  <c r="F16" i="11" s="1"/>
  <c r="F17" i="21"/>
  <c r="F16" i="19" s="1"/>
  <c r="G17" i="21"/>
  <c r="F16" i="13" s="1"/>
  <c r="H17" i="21"/>
  <c r="F16" i="20" s="1"/>
  <c r="I17" i="21"/>
  <c r="F16" i="18" s="1"/>
  <c r="J17" i="21"/>
  <c r="H15" i="2"/>
  <c r="D18" i="21"/>
  <c r="F17" i="14" s="1"/>
  <c r="E18" i="21"/>
  <c r="F17" i="11" s="1"/>
  <c r="F18" i="21"/>
  <c r="F17" i="19" s="1"/>
  <c r="G18" i="21"/>
  <c r="F17" i="13" s="1"/>
  <c r="H18" i="21"/>
  <c r="F17" i="20" s="1"/>
  <c r="I18" i="21"/>
  <c r="F17" i="18" s="1"/>
  <c r="J18" i="21"/>
  <c r="H16" i="2"/>
  <c r="L16" i="70" s="1"/>
  <c r="D19" i="21"/>
  <c r="F18" i="14" s="1"/>
  <c r="E19" i="21"/>
  <c r="F18" i="11" s="1"/>
  <c r="F19" i="21"/>
  <c r="F18" i="19" s="1"/>
  <c r="G19" i="21"/>
  <c r="F18" i="13" s="1"/>
  <c r="H19" i="21"/>
  <c r="F18" i="20" s="1"/>
  <c r="I19" i="21"/>
  <c r="F18" i="18" s="1"/>
  <c r="J19" i="21"/>
  <c r="H17" i="2"/>
  <c r="D20" i="21"/>
  <c r="F19" i="14" s="1"/>
  <c r="E20" i="21"/>
  <c r="F19" i="11" s="1"/>
  <c r="F20" i="21"/>
  <c r="F19" i="19" s="1"/>
  <c r="G20" i="21"/>
  <c r="F19" i="13" s="1"/>
  <c r="H20" i="21"/>
  <c r="I20" i="21"/>
  <c r="F19" i="18" s="1"/>
  <c r="J20" i="21"/>
  <c r="H19" i="2"/>
  <c r="M14" i="76" s="1"/>
  <c r="D21" i="21"/>
  <c r="F20" i="14" s="1"/>
  <c r="E21" i="21"/>
  <c r="F20" i="11" s="1"/>
  <c r="F21" i="21"/>
  <c r="F20" i="19" s="1"/>
  <c r="G21" i="21"/>
  <c r="F20" i="13" s="1"/>
  <c r="H21" i="21"/>
  <c r="F20" i="20" s="1"/>
  <c r="I21" i="21"/>
  <c r="F20" i="18" s="1"/>
  <c r="M14" i="78" s="1"/>
  <c r="J21" i="21"/>
  <c r="H21" i="2"/>
  <c r="D22" i="21"/>
  <c r="F21" i="14" s="1"/>
  <c r="E22" i="21"/>
  <c r="F21" i="11" s="1"/>
  <c r="F22" i="21"/>
  <c r="F21" i="19" s="1"/>
  <c r="G22" i="21"/>
  <c r="F21" i="13" s="1"/>
  <c r="H22" i="21"/>
  <c r="I22" i="21"/>
  <c r="F21" i="18" s="1"/>
  <c r="J22" i="21"/>
  <c r="C23" i="21"/>
  <c r="H22" i="2" s="1"/>
  <c r="D23" i="21"/>
  <c r="F22" i="14" s="1"/>
  <c r="E23" i="21"/>
  <c r="F22" i="11" s="1"/>
  <c r="F23" i="21"/>
  <c r="F22" i="19" s="1"/>
  <c r="G23" i="21"/>
  <c r="F22" i="13" s="1"/>
  <c r="H23" i="21"/>
  <c r="F22" i="20" s="1"/>
  <c r="I23" i="21"/>
  <c r="F22" i="18" s="1"/>
  <c r="J23" i="21"/>
  <c r="D24" i="21"/>
  <c r="F23" i="14" s="1"/>
  <c r="E24" i="21"/>
  <c r="F23" i="11" s="1"/>
  <c r="F24" i="21"/>
  <c r="F23" i="19" s="1"/>
  <c r="G24" i="21"/>
  <c r="F23" i="13" s="1"/>
  <c r="H24" i="21"/>
  <c r="F23" i="20" s="1"/>
  <c r="I24" i="21"/>
  <c r="J24" i="21"/>
  <c r="C25" i="21"/>
  <c r="H24" i="2" s="1"/>
  <c r="D25" i="21"/>
  <c r="F24" i="14" s="1"/>
  <c r="E25" i="21"/>
  <c r="F24" i="11" s="1"/>
  <c r="F25" i="21"/>
  <c r="F24" i="19" s="1"/>
  <c r="G25" i="21"/>
  <c r="F24" i="13" s="1"/>
  <c r="H25" i="21"/>
  <c r="F24" i="20" s="1"/>
  <c r="I25" i="21"/>
  <c r="J25" i="21"/>
  <c r="C26" i="21"/>
  <c r="D26" i="21"/>
  <c r="F25" i="14" s="1"/>
  <c r="E26" i="21"/>
  <c r="F25" i="11" s="1"/>
  <c r="F26" i="21"/>
  <c r="F25" i="19" s="1"/>
  <c r="G26" i="21"/>
  <c r="F25" i="13" s="1"/>
  <c r="H26" i="21"/>
  <c r="F25" i="20" s="1"/>
  <c r="I26" i="21"/>
  <c r="J26" i="21"/>
  <c r="D27" i="21"/>
  <c r="F26" i="14" s="1"/>
  <c r="E27" i="21"/>
  <c r="F26" i="11" s="1"/>
  <c r="F27" i="21"/>
  <c r="F26" i="19" s="1"/>
  <c r="G27" i="21"/>
  <c r="F26" i="13" s="1"/>
  <c r="H27" i="21"/>
  <c r="F26" i="20" s="1"/>
  <c r="I27" i="21"/>
  <c r="F26" i="18" s="1"/>
  <c r="J27" i="21"/>
  <c r="H26" i="2"/>
  <c r="D28" i="21"/>
  <c r="F27" i="14" s="1"/>
  <c r="E28" i="21"/>
  <c r="F27" i="11" s="1"/>
  <c r="F28" i="21"/>
  <c r="F27" i="19" s="1"/>
  <c r="G28" i="21"/>
  <c r="F27" i="13" s="1"/>
  <c r="H28" i="21"/>
  <c r="F27" i="20" s="1"/>
  <c r="I28" i="21"/>
  <c r="F27" i="18" s="1"/>
  <c r="J28" i="21"/>
  <c r="D29" i="21"/>
  <c r="F28" i="14" s="1"/>
  <c r="E29" i="21"/>
  <c r="F28" i="11" s="1"/>
  <c r="F29" i="21"/>
  <c r="F28" i="19" s="1"/>
  <c r="G29" i="21"/>
  <c r="F28" i="13" s="1"/>
  <c r="H29" i="21"/>
  <c r="F28" i="20" s="1"/>
  <c r="I29" i="21"/>
  <c r="F28" i="18" s="1"/>
  <c r="J29" i="21"/>
  <c r="H28" i="2"/>
  <c r="D30" i="21"/>
  <c r="F29" i="14" s="1"/>
  <c r="E30" i="21"/>
  <c r="F29" i="11" s="1"/>
  <c r="F30" i="21"/>
  <c r="F29" i="19" s="1"/>
  <c r="G30" i="21"/>
  <c r="F29" i="13" s="1"/>
  <c r="H30" i="21"/>
  <c r="F29" i="20" s="1"/>
  <c r="I30" i="21"/>
  <c r="F29" i="18" s="1"/>
  <c r="J30" i="21"/>
  <c r="C31" i="21"/>
  <c r="H29" i="2" s="1"/>
  <c r="D31" i="21"/>
  <c r="F30" i="14" s="1"/>
  <c r="E31" i="21"/>
  <c r="F30" i="11" s="1"/>
  <c r="F31" i="21"/>
  <c r="F30" i="19" s="1"/>
  <c r="G31" i="21"/>
  <c r="F30" i="13" s="1"/>
  <c r="H31" i="21"/>
  <c r="F30" i="20" s="1"/>
  <c r="I31" i="21"/>
  <c r="F30" i="18" s="1"/>
  <c r="J31" i="21"/>
  <c r="H31" i="2"/>
  <c r="D32" i="21"/>
  <c r="F32" i="14" s="1"/>
  <c r="E32" i="21"/>
  <c r="F32" i="11" s="1"/>
  <c r="F32" i="21"/>
  <c r="F31" i="19" s="1"/>
  <c r="G32" i="21"/>
  <c r="H32" i="21"/>
  <c r="F31" i="20" s="1"/>
  <c r="I32" i="21"/>
  <c r="F31" i="18" s="1"/>
  <c r="J32" i="21"/>
  <c r="D33" i="21"/>
  <c r="F33" i="14" s="1"/>
  <c r="E33" i="21"/>
  <c r="F33" i="11" s="1"/>
  <c r="F33" i="21"/>
  <c r="F32" i="19" s="1"/>
  <c r="G33" i="21"/>
  <c r="F33" i="13" s="1"/>
  <c r="H33" i="21"/>
  <c r="F32" i="20" s="1"/>
  <c r="I33" i="21"/>
  <c r="F32" i="18" s="1"/>
  <c r="J33" i="21"/>
  <c r="D34" i="21"/>
  <c r="F34" i="14" s="1"/>
  <c r="E34" i="21"/>
  <c r="F34" i="21"/>
  <c r="F33" i="19" s="1"/>
  <c r="G34" i="21"/>
  <c r="F34" i="13" s="1"/>
  <c r="H34" i="21"/>
  <c r="F33" i="20" s="1"/>
  <c r="I34" i="21"/>
  <c r="F33" i="18" s="1"/>
  <c r="J34" i="21"/>
  <c r="H35" i="2"/>
  <c r="D35" i="21"/>
  <c r="F35" i="14" s="1"/>
  <c r="E35" i="21"/>
  <c r="F35" i="21"/>
  <c r="F34" i="19" s="1"/>
  <c r="G35" i="21"/>
  <c r="F35" i="13" s="1"/>
  <c r="H35" i="21"/>
  <c r="F34" i="20" s="1"/>
  <c r="I35" i="21"/>
  <c r="F34" i="18" s="1"/>
  <c r="J35" i="21"/>
  <c r="H36" i="2"/>
  <c r="D36" i="21"/>
  <c r="F36" i="14" s="1"/>
  <c r="E36" i="21"/>
  <c r="F36" i="21"/>
  <c r="F35" i="19" s="1"/>
  <c r="G36" i="21"/>
  <c r="F36" i="13" s="1"/>
  <c r="H36" i="21"/>
  <c r="F35" i="20" s="1"/>
  <c r="I36" i="21"/>
  <c r="J36" i="21"/>
  <c r="C37" i="21"/>
  <c r="D37" i="21"/>
  <c r="F37" i="14" s="1"/>
  <c r="E37" i="21"/>
  <c r="F37" i="21"/>
  <c r="F36" i="19" s="1"/>
  <c r="G37" i="21"/>
  <c r="F37" i="13" s="1"/>
  <c r="H37" i="21"/>
  <c r="F36" i="20" s="1"/>
  <c r="I37" i="21"/>
  <c r="F36" i="18" s="1"/>
  <c r="J37" i="21"/>
  <c r="C38" i="21"/>
  <c r="H38" i="2" s="1"/>
  <c r="D38" i="21"/>
  <c r="F38" i="14" s="1"/>
  <c r="E38" i="21"/>
  <c r="F38" i="11" s="1"/>
  <c r="F38" i="21"/>
  <c r="F37" i="19" s="1"/>
  <c r="G38" i="21"/>
  <c r="F38" i="13" s="1"/>
  <c r="H38" i="21"/>
  <c r="F37" i="20" s="1"/>
  <c r="I38" i="21"/>
  <c r="F37" i="18" s="1"/>
  <c r="J38" i="21"/>
  <c r="H39" i="2"/>
  <c r="D39" i="21"/>
  <c r="F39" i="14" s="1"/>
  <c r="E39" i="21"/>
  <c r="F39" i="11" s="1"/>
  <c r="F39" i="21"/>
  <c r="F38" i="19" s="1"/>
  <c r="G39" i="21"/>
  <c r="F39" i="13" s="1"/>
  <c r="H39" i="21"/>
  <c r="F38" i="20" s="1"/>
  <c r="I39" i="21"/>
  <c r="F38" i="18" s="1"/>
  <c r="J39" i="21"/>
  <c r="H40" i="2"/>
  <c r="D40" i="21"/>
  <c r="F40" i="14" s="1"/>
  <c r="E40" i="21"/>
  <c r="F40" i="21"/>
  <c r="F39" i="19" s="1"/>
  <c r="G40" i="21"/>
  <c r="F40" i="13" s="1"/>
  <c r="H40" i="21"/>
  <c r="F39" i="20" s="1"/>
  <c r="I40" i="21"/>
  <c r="F39" i="18" s="1"/>
  <c r="J40" i="21"/>
  <c r="H44" i="2"/>
  <c r="M37" i="29" s="1"/>
  <c r="D41" i="21"/>
  <c r="F41" i="14" s="1"/>
  <c r="E41" i="21"/>
  <c r="F41" i="21"/>
  <c r="F40" i="19" s="1"/>
  <c r="G41" i="21"/>
  <c r="F41" i="13" s="1"/>
  <c r="H41" i="21"/>
  <c r="F40" i="20" s="1"/>
  <c r="I41" i="21"/>
  <c r="F40" i="18" s="1"/>
  <c r="J41" i="21"/>
  <c r="H45" i="2"/>
  <c r="D42" i="21"/>
  <c r="F42" i="14" s="1"/>
  <c r="E42" i="21"/>
  <c r="F42" i="21"/>
  <c r="F41" i="19" s="1"/>
  <c r="G42" i="21"/>
  <c r="F42" i="13" s="1"/>
  <c r="H42" i="21"/>
  <c r="F41" i="20" s="1"/>
  <c r="I42" i="21"/>
  <c r="F41" i="18" s="1"/>
  <c r="J42" i="21"/>
  <c r="H46" i="2"/>
  <c r="M15" i="76" s="1"/>
  <c r="D43" i="21"/>
  <c r="F43" i="14" s="1"/>
  <c r="E43" i="21"/>
  <c r="F43" i="21"/>
  <c r="F42" i="19" s="1"/>
  <c r="G43" i="21"/>
  <c r="F43" i="13" s="1"/>
  <c r="H43" i="21"/>
  <c r="F42" i="20" s="1"/>
  <c r="I43" i="21"/>
  <c r="F42" i="18" s="1"/>
  <c r="M15" i="78" s="1"/>
  <c r="J43" i="21"/>
  <c r="H47" i="2"/>
  <c r="D44" i="21"/>
  <c r="E44" i="21"/>
  <c r="F44" i="21"/>
  <c r="G44" i="21"/>
  <c r="H44" i="21"/>
  <c r="I44" i="21"/>
  <c r="Q44" i="21" s="1"/>
  <c r="J44" i="21"/>
  <c r="H48" i="2"/>
  <c r="M16" i="76" s="1"/>
  <c r="D45" i="21"/>
  <c r="F45" i="14" s="1"/>
  <c r="E45" i="21"/>
  <c r="F45" i="21"/>
  <c r="F44" i="19" s="1"/>
  <c r="G45" i="21"/>
  <c r="F45" i="13" s="1"/>
  <c r="H45" i="21"/>
  <c r="F44" i="20" s="1"/>
  <c r="I45" i="21"/>
  <c r="J45" i="21"/>
  <c r="C46" i="21"/>
  <c r="H49" i="2" s="1"/>
  <c r="M17" i="76" s="1"/>
  <c r="D46" i="21"/>
  <c r="F46" i="14" s="1"/>
  <c r="E46" i="21"/>
  <c r="F46" i="21"/>
  <c r="F45" i="19" s="1"/>
  <c r="G46" i="21"/>
  <c r="F46" i="13" s="1"/>
  <c r="H46" i="21"/>
  <c r="F45" i="20" s="1"/>
  <c r="I46" i="21"/>
  <c r="F45" i="18" s="1"/>
  <c r="M17" i="78" s="1"/>
  <c r="J46" i="21"/>
  <c r="H50" i="2"/>
  <c r="D47" i="21"/>
  <c r="F47" i="14" s="1"/>
  <c r="E47" i="21"/>
  <c r="F47" i="11" s="1"/>
  <c r="F47" i="21"/>
  <c r="F46" i="19" s="1"/>
  <c r="G47" i="21"/>
  <c r="F47" i="13" s="1"/>
  <c r="H47" i="21"/>
  <c r="F46" i="20" s="1"/>
  <c r="I47" i="21"/>
  <c r="F46" i="18" s="1"/>
  <c r="J47" i="21"/>
  <c r="H51" i="2"/>
  <c r="D48" i="21"/>
  <c r="F48" i="14" s="1"/>
  <c r="E48" i="21"/>
  <c r="F48" i="21"/>
  <c r="F47" i="19" s="1"/>
  <c r="G48" i="21"/>
  <c r="F48" i="13" s="1"/>
  <c r="H48" i="21"/>
  <c r="F47" i="20" s="1"/>
  <c r="I48" i="21"/>
  <c r="F47" i="18" s="1"/>
  <c r="J48" i="21"/>
  <c r="H52" i="2"/>
  <c r="M18" i="76" s="1"/>
  <c r="D49" i="21"/>
  <c r="F49" i="14" s="1"/>
  <c r="E49" i="21"/>
  <c r="F49" i="21"/>
  <c r="F48" i="19" s="1"/>
  <c r="G49" i="21"/>
  <c r="F49" i="13" s="1"/>
  <c r="H49" i="21"/>
  <c r="F48" i="20" s="1"/>
  <c r="I49" i="21"/>
  <c r="F48" i="18" s="1"/>
  <c r="M18" i="78" s="1"/>
  <c r="J49" i="21"/>
  <c r="H53" i="2"/>
  <c r="D50" i="21"/>
  <c r="F50" i="14" s="1"/>
  <c r="E50" i="21"/>
  <c r="F50" i="21"/>
  <c r="F49" i="19" s="1"/>
  <c r="G50" i="21"/>
  <c r="F50" i="13" s="1"/>
  <c r="H50" i="21"/>
  <c r="F49" i="20" s="1"/>
  <c r="I50" i="21"/>
  <c r="F49" i="18" s="1"/>
  <c r="J50" i="21"/>
  <c r="C51" i="21"/>
  <c r="H55" i="2" s="1"/>
  <c r="D51" i="21"/>
  <c r="F51" i="14" s="1"/>
  <c r="E51" i="21"/>
  <c r="F51" i="21"/>
  <c r="F50" i="19" s="1"/>
  <c r="G51" i="21"/>
  <c r="F51" i="13" s="1"/>
  <c r="H51" i="21"/>
  <c r="F50" i="20" s="1"/>
  <c r="I51" i="21"/>
  <c r="F50" i="18" s="1"/>
  <c r="J51" i="21"/>
  <c r="H56" i="2"/>
  <c r="D52" i="21"/>
  <c r="F52" i="14" s="1"/>
  <c r="E52" i="21"/>
  <c r="F52" i="21"/>
  <c r="F51" i="19" s="1"/>
  <c r="G52" i="21"/>
  <c r="F52" i="13" s="1"/>
  <c r="H52" i="21"/>
  <c r="F51" i="20" s="1"/>
  <c r="I52" i="21"/>
  <c r="F51" i="18" s="1"/>
  <c r="J52" i="21"/>
  <c r="H57" i="2"/>
  <c r="D53" i="21"/>
  <c r="F53" i="14" s="1"/>
  <c r="E53" i="21"/>
  <c r="F53" i="21"/>
  <c r="F52" i="19" s="1"/>
  <c r="G53" i="21"/>
  <c r="F53" i="13" s="1"/>
  <c r="H53" i="21"/>
  <c r="F52" i="20" s="1"/>
  <c r="I53" i="21"/>
  <c r="J53" i="21"/>
  <c r="H58" i="2"/>
  <c r="D54" i="21"/>
  <c r="F54" i="14" s="1"/>
  <c r="E54" i="21"/>
  <c r="F54" i="21"/>
  <c r="F53" i="19" s="1"/>
  <c r="G54" i="21"/>
  <c r="F54" i="13" s="1"/>
  <c r="H54" i="21"/>
  <c r="F53" i="20" s="1"/>
  <c r="I54" i="21"/>
  <c r="F53" i="18" s="1"/>
  <c r="J54" i="21"/>
  <c r="H59" i="2"/>
  <c r="D55" i="21"/>
  <c r="F55" i="14" s="1"/>
  <c r="E55" i="21"/>
  <c r="F55" i="11" s="1"/>
  <c r="F55" i="21"/>
  <c r="F54" i="19" s="1"/>
  <c r="G55" i="21"/>
  <c r="F55" i="13" s="1"/>
  <c r="H55" i="21"/>
  <c r="F54" i="20" s="1"/>
  <c r="I55" i="21"/>
  <c r="F54" i="18" s="1"/>
  <c r="J55" i="21"/>
  <c r="H60" i="2"/>
  <c r="D56" i="21"/>
  <c r="F56" i="14" s="1"/>
  <c r="E56" i="21"/>
  <c r="F56" i="21"/>
  <c r="F55" i="19" s="1"/>
  <c r="G56" i="21"/>
  <c r="F56" i="13" s="1"/>
  <c r="H56" i="21"/>
  <c r="F55" i="20" s="1"/>
  <c r="I56" i="21"/>
  <c r="F55" i="18" s="1"/>
  <c r="J56" i="21"/>
  <c r="C57" i="21"/>
  <c r="D57" i="21"/>
  <c r="F57" i="14" s="1"/>
  <c r="E57" i="21"/>
  <c r="F57" i="21"/>
  <c r="F56" i="19" s="1"/>
  <c r="G57" i="21"/>
  <c r="F57" i="13" s="1"/>
  <c r="H57" i="21"/>
  <c r="F56" i="20" s="1"/>
  <c r="I57" i="21"/>
  <c r="F56" i="18" s="1"/>
  <c r="J57" i="21"/>
  <c r="C58" i="21"/>
  <c r="H61" i="2" s="1"/>
  <c r="D58" i="21"/>
  <c r="F58" i="14" s="1"/>
  <c r="E58" i="21"/>
  <c r="F58" i="21"/>
  <c r="F57" i="19" s="1"/>
  <c r="G58" i="21"/>
  <c r="F58" i="13" s="1"/>
  <c r="H58" i="21"/>
  <c r="F57" i="20" s="1"/>
  <c r="I58" i="21"/>
  <c r="F57" i="18" s="1"/>
  <c r="J58" i="21"/>
  <c r="H62" i="2"/>
  <c r="D59" i="21"/>
  <c r="F59" i="14" s="1"/>
  <c r="E59" i="21"/>
  <c r="F59" i="21"/>
  <c r="F58" i="19" s="1"/>
  <c r="G59" i="21"/>
  <c r="F59" i="13" s="1"/>
  <c r="H59" i="21"/>
  <c r="F58" i="20" s="1"/>
  <c r="I59" i="21"/>
  <c r="F58" i="18" s="1"/>
  <c r="J59" i="21"/>
  <c r="H64" i="2"/>
  <c r="L19" i="70" s="1"/>
  <c r="D60" i="21"/>
  <c r="F60" i="14" s="1"/>
  <c r="E60" i="21"/>
  <c r="F60" i="21"/>
  <c r="F59" i="19" s="1"/>
  <c r="G60" i="21"/>
  <c r="F60" i="13" s="1"/>
  <c r="H60" i="21"/>
  <c r="F59" i="20" s="1"/>
  <c r="I60" i="21"/>
  <c r="F59" i="18" s="1"/>
  <c r="J60" i="21"/>
  <c r="H65" i="2"/>
  <c r="D61" i="21"/>
  <c r="F61" i="14" s="1"/>
  <c r="E61" i="21"/>
  <c r="F61" i="21"/>
  <c r="F60" i="19" s="1"/>
  <c r="G61" i="21"/>
  <c r="F61" i="13" s="1"/>
  <c r="H61" i="21"/>
  <c r="F60" i="20" s="1"/>
  <c r="I61" i="21"/>
  <c r="J61" i="21"/>
  <c r="H66" i="2"/>
  <c r="D62" i="21"/>
  <c r="F62" i="14" s="1"/>
  <c r="E62" i="21"/>
  <c r="F62" i="11" s="1"/>
  <c r="F62" i="21"/>
  <c r="F61" i="19" s="1"/>
  <c r="G62" i="21"/>
  <c r="F62" i="13" s="1"/>
  <c r="H62" i="21"/>
  <c r="F61" i="20" s="1"/>
  <c r="I62" i="21"/>
  <c r="F61" i="18" s="1"/>
  <c r="J62" i="21"/>
  <c r="H67" i="2"/>
  <c r="M20" i="76" s="1"/>
  <c r="D63" i="21"/>
  <c r="F63" i="14" s="1"/>
  <c r="E63" i="21"/>
  <c r="F63" i="11" s="1"/>
  <c r="F63" i="21"/>
  <c r="F62" i="19" s="1"/>
  <c r="G63" i="21"/>
  <c r="F63" i="13" s="1"/>
  <c r="H63" i="21"/>
  <c r="F62" i="20" s="1"/>
  <c r="I63" i="21"/>
  <c r="F62" i="18" s="1"/>
  <c r="M20" i="78" s="1"/>
  <c r="J63" i="21"/>
  <c r="H68" i="2"/>
  <c r="M21" i="76" s="1"/>
  <c r="D64" i="21"/>
  <c r="F64" i="14" s="1"/>
  <c r="E64" i="21"/>
  <c r="F64" i="21"/>
  <c r="F63" i="19" s="1"/>
  <c r="G64" i="21"/>
  <c r="F64" i="13" s="1"/>
  <c r="H64" i="21"/>
  <c r="F63" i="20" s="1"/>
  <c r="I64" i="21"/>
  <c r="F63" i="18" s="1"/>
  <c r="M21" i="78" s="1"/>
  <c r="J64" i="21"/>
  <c r="C65" i="21"/>
  <c r="D65" i="21"/>
  <c r="F65" i="14" s="1"/>
  <c r="E65" i="21"/>
  <c r="F65" i="21"/>
  <c r="F64" i="19" s="1"/>
  <c r="G65" i="21"/>
  <c r="F65" i="13" s="1"/>
  <c r="H65" i="21"/>
  <c r="F64" i="20" s="1"/>
  <c r="I65" i="21"/>
  <c r="F64" i="18" s="1"/>
  <c r="J65" i="21"/>
  <c r="H70" i="2"/>
  <c r="M22" i="76" s="1"/>
  <c r="D66" i="21"/>
  <c r="F66" i="14" s="1"/>
  <c r="E66" i="21"/>
  <c r="F66" i="21"/>
  <c r="F65" i="19" s="1"/>
  <c r="G66" i="21"/>
  <c r="F66" i="13" s="1"/>
  <c r="H66" i="21"/>
  <c r="F65" i="20" s="1"/>
  <c r="I66" i="21"/>
  <c r="F65" i="18" s="1"/>
  <c r="M22" i="78" s="1"/>
  <c r="J66" i="21"/>
  <c r="C67" i="21"/>
  <c r="H73" i="2" s="1"/>
  <c r="D67" i="21"/>
  <c r="F67" i="14" s="1"/>
  <c r="E67" i="21"/>
  <c r="F67" i="21"/>
  <c r="F66" i="19" s="1"/>
  <c r="G67" i="21"/>
  <c r="F67" i="13" s="1"/>
  <c r="H67" i="21"/>
  <c r="F66" i="20" s="1"/>
  <c r="I67" i="21"/>
  <c r="F66" i="18" s="1"/>
  <c r="J67" i="21"/>
  <c r="C68" i="21"/>
  <c r="H74" i="2" s="1"/>
  <c r="D68" i="21"/>
  <c r="F68" i="14" s="1"/>
  <c r="E68" i="21"/>
  <c r="F68" i="21"/>
  <c r="F67" i="19" s="1"/>
  <c r="G68" i="21"/>
  <c r="F68" i="13" s="1"/>
  <c r="H68" i="21"/>
  <c r="F67" i="20" s="1"/>
  <c r="I68" i="21"/>
  <c r="F67" i="18" s="1"/>
  <c r="J68" i="21"/>
  <c r="H75" i="2"/>
  <c r="D69" i="21"/>
  <c r="F69" i="14" s="1"/>
  <c r="E69" i="21"/>
  <c r="F69" i="21"/>
  <c r="F68" i="19" s="1"/>
  <c r="G69" i="21"/>
  <c r="F69" i="13" s="1"/>
  <c r="H69" i="21"/>
  <c r="F68" i="20" s="1"/>
  <c r="I69" i="21"/>
  <c r="F68" i="18" s="1"/>
  <c r="J69" i="21"/>
  <c r="C70" i="21"/>
  <c r="H76" i="2" s="1"/>
  <c r="D70" i="21"/>
  <c r="F70" i="14" s="1"/>
  <c r="E70" i="21"/>
  <c r="F70" i="11" s="1"/>
  <c r="F70" i="21"/>
  <c r="F69" i="19" s="1"/>
  <c r="G70" i="21"/>
  <c r="F70" i="13" s="1"/>
  <c r="H70" i="21"/>
  <c r="F69" i="20" s="1"/>
  <c r="I70" i="21"/>
  <c r="F69" i="18" s="1"/>
  <c r="J70" i="21"/>
  <c r="C71" i="21"/>
  <c r="H77" i="2" s="1"/>
  <c r="D71" i="21"/>
  <c r="F71" i="14" s="1"/>
  <c r="E71" i="21"/>
  <c r="F71" i="11" s="1"/>
  <c r="F71" i="21"/>
  <c r="F70" i="19" s="1"/>
  <c r="G71" i="21"/>
  <c r="F71" i="13" s="1"/>
  <c r="H71" i="21"/>
  <c r="F70" i="20" s="1"/>
  <c r="I71" i="21"/>
  <c r="F70" i="18" s="1"/>
  <c r="J71" i="21"/>
  <c r="H78" i="2"/>
  <c r="D72" i="21"/>
  <c r="F72" i="14" s="1"/>
  <c r="E72" i="21"/>
  <c r="F72" i="21"/>
  <c r="F71" i="19" s="1"/>
  <c r="G72" i="21"/>
  <c r="F72" i="13" s="1"/>
  <c r="H72" i="21"/>
  <c r="F71" i="20" s="1"/>
  <c r="I72" i="21"/>
  <c r="F71" i="18" s="1"/>
  <c r="J72" i="21"/>
  <c r="C73" i="21"/>
  <c r="H79" i="2" s="1"/>
  <c r="L20" i="70" s="1"/>
  <c r="D73" i="21"/>
  <c r="F73" i="14" s="1"/>
  <c r="E73" i="21"/>
  <c r="F73" i="11" s="1"/>
  <c r="F73" i="21"/>
  <c r="F72" i="19" s="1"/>
  <c r="G73" i="21"/>
  <c r="F73" i="13" s="1"/>
  <c r="H73" i="21"/>
  <c r="F72" i="20" s="1"/>
  <c r="I73" i="21"/>
  <c r="F72" i="18" s="1"/>
  <c r="J73" i="21"/>
  <c r="H5" i="2"/>
  <c r="D6" i="21"/>
  <c r="F5" i="14" s="1"/>
  <c r="E6" i="21"/>
  <c r="F6" i="21"/>
  <c r="F5" i="19" s="1"/>
  <c r="G6" i="21"/>
  <c r="F5" i="13" s="1"/>
  <c r="H6" i="21"/>
  <c r="F5" i="20" s="1"/>
  <c r="I6" i="21"/>
  <c r="F5" i="18" s="1"/>
  <c r="J6" i="21"/>
  <c r="E5" i="21"/>
  <c r="F4" i="11" s="1"/>
  <c r="F5" i="21"/>
  <c r="F4" i="19" s="1"/>
  <c r="G5" i="21"/>
  <c r="F4" i="13" s="1"/>
  <c r="H5" i="21"/>
  <c r="F4" i="20" s="1"/>
  <c r="I5" i="21"/>
  <c r="F4" i="18" s="1"/>
  <c r="J5" i="21"/>
  <c r="D5" i="21"/>
  <c r="F4" i="14" s="1"/>
  <c r="C5" i="21"/>
  <c r="D36" i="61"/>
  <c r="Q73" i="59"/>
  <c r="P73" i="59"/>
  <c r="O73" i="59"/>
  <c r="N73" i="59"/>
  <c r="M73" i="59"/>
  <c r="L73" i="59"/>
  <c r="Q72" i="59"/>
  <c r="P72" i="59"/>
  <c r="O72" i="59"/>
  <c r="N72" i="59"/>
  <c r="M72" i="59"/>
  <c r="L72" i="59"/>
  <c r="Q71" i="59"/>
  <c r="P71" i="59"/>
  <c r="O71" i="59"/>
  <c r="N71" i="59"/>
  <c r="M71" i="59"/>
  <c r="L71" i="59"/>
  <c r="Q70" i="59"/>
  <c r="P70" i="59"/>
  <c r="O70" i="59"/>
  <c r="N70" i="59"/>
  <c r="M70" i="59"/>
  <c r="L70" i="59"/>
  <c r="Q69" i="59"/>
  <c r="P69" i="59"/>
  <c r="O69" i="59"/>
  <c r="N69" i="59"/>
  <c r="M69" i="59"/>
  <c r="L69" i="59"/>
  <c r="Q68" i="59"/>
  <c r="P68" i="59"/>
  <c r="O68" i="59"/>
  <c r="N68" i="59"/>
  <c r="M68" i="59"/>
  <c r="L68" i="59"/>
  <c r="Q67" i="59"/>
  <c r="P67" i="59"/>
  <c r="O67" i="59"/>
  <c r="N67" i="59"/>
  <c r="M67" i="59"/>
  <c r="L67" i="59"/>
  <c r="Q66" i="59"/>
  <c r="P66" i="59"/>
  <c r="O66" i="59"/>
  <c r="N66" i="59"/>
  <c r="M66" i="59"/>
  <c r="L66" i="59"/>
  <c r="Q65" i="59"/>
  <c r="P65" i="59"/>
  <c r="O65" i="59"/>
  <c r="N65" i="59"/>
  <c r="M65" i="59"/>
  <c r="L65" i="59"/>
  <c r="Q64" i="59"/>
  <c r="P64" i="59"/>
  <c r="O64" i="59"/>
  <c r="N64" i="59"/>
  <c r="M64" i="59"/>
  <c r="L64" i="59"/>
  <c r="Q63" i="59"/>
  <c r="P63" i="59"/>
  <c r="O63" i="59"/>
  <c r="N63" i="59"/>
  <c r="M63" i="59"/>
  <c r="L63" i="59"/>
  <c r="Q62" i="59"/>
  <c r="P62" i="59"/>
  <c r="O62" i="59"/>
  <c r="N62" i="59"/>
  <c r="M62" i="59"/>
  <c r="L62" i="59"/>
  <c r="Q61" i="59"/>
  <c r="P61" i="59"/>
  <c r="O61" i="59"/>
  <c r="N61" i="59"/>
  <c r="M61" i="59"/>
  <c r="L61" i="59"/>
  <c r="Q60" i="59"/>
  <c r="P60" i="59"/>
  <c r="O60" i="59"/>
  <c r="N60" i="59"/>
  <c r="M60" i="59"/>
  <c r="L60" i="59"/>
  <c r="Q59" i="59"/>
  <c r="P59" i="59"/>
  <c r="O59" i="59"/>
  <c r="N59" i="59"/>
  <c r="M59" i="59"/>
  <c r="L59" i="59"/>
  <c r="Q58" i="59"/>
  <c r="P58" i="59"/>
  <c r="O58" i="59"/>
  <c r="N58" i="59"/>
  <c r="M58" i="59"/>
  <c r="L58" i="59"/>
  <c r="Q57" i="59"/>
  <c r="P57" i="59"/>
  <c r="O57" i="59"/>
  <c r="N57" i="59"/>
  <c r="M57" i="59"/>
  <c r="L57" i="59"/>
  <c r="Q56" i="59"/>
  <c r="P56" i="59"/>
  <c r="O56" i="59"/>
  <c r="N56" i="59"/>
  <c r="M56" i="59"/>
  <c r="L56" i="59"/>
  <c r="Q55" i="59"/>
  <c r="P55" i="59"/>
  <c r="O55" i="59"/>
  <c r="N55" i="59"/>
  <c r="M55" i="59"/>
  <c r="L55" i="59"/>
  <c r="Q54" i="59"/>
  <c r="P54" i="59"/>
  <c r="O54" i="59"/>
  <c r="N54" i="59"/>
  <c r="M54" i="59"/>
  <c r="L54" i="59"/>
  <c r="Q53" i="59"/>
  <c r="P53" i="59"/>
  <c r="O53" i="59"/>
  <c r="N53" i="59"/>
  <c r="M53" i="59"/>
  <c r="L53" i="59"/>
  <c r="Q52" i="59"/>
  <c r="P52" i="59"/>
  <c r="O52" i="59"/>
  <c r="N52" i="59"/>
  <c r="M52" i="59"/>
  <c r="L52" i="59"/>
  <c r="Q51" i="59"/>
  <c r="P51" i="59"/>
  <c r="O51" i="59"/>
  <c r="N51" i="59"/>
  <c r="M51" i="59"/>
  <c r="L51" i="59"/>
  <c r="Q50" i="59"/>
  <c r="P50" i="59"/>
  <c r="O50" i="59"/>
  <c r="N50" i="59"/>
  <c r="M50" i="59"/>
  <c r="L50" i="59"/>
  <c r="Q49" i="59"/>
  <c r="P49" i="59"/>
  <c r="O49" i="59"/>
  <c r="N49" i="59"/>
  <c r="M49" i="59"/>
  <c r="L49" i="59"/>
  <c r="Q48" i="59"/>
  <c r="P48" i="59"/>
  <c r="O48" i="59"/>
  <c r="N48" i="59"/>
  <c r="M48" i="59"/>
  <c r="L48" i="59"/>
  <c r="Q47" i="59"/>
  <c r="P47" i="59"/>
  <c r="O47" i="59"/>
  <c r="N47" i="59"/>
  <c r="M47" i="59"/>
  <c r="L47" i="59"/>
  <c r="Q46" i="59"/>
  <c r="P46" i="59"/>
  <c r="O46" i="59"/>
  <c r="N46" i="59"/>
  <c r="M46" i="59"/>
  <c r="L46" i="59"/>
  <c r="Q45" i="59"/>
  <c r="P45" i="59"/>
  <c r="O45" i="59"/>
  <c r="N45" i="59"/>
  <c r="M45" i="59"/>
  <c r="L45" i="59"/>
  <c r="Q44" i="59"/>
  <c r="P44" i="59"/>
  <c r="O44" i="59"/>
  <c r="N44" i="59"/>
  <c r="M44" i="59"/>
  <c r="L44" i="59"/>
  <c r="Q43" i="59"/>
  <c r="P43" i="59"/>
  <c r="O43" i="59"/>
  <c r="N43" i="59"/>
  <c r="M43" i="59"/>
  <c r="L43" i="59"/>
  <c r="Q42" i="59"/>
  <c r="P42" i="59"/>
  <c r="O42" i="59"/>
  <c r="N42" i="59"/>
  <c r="M42" i="59"/>
  <c r="L42" i="59"/>
  <c r="Q41" i="59"/>
  <c r="P41" i="59"/>
  <c r="O41" i="59"/>
  <c r="N41" i="59"/>
  <c r="M41" i="59"/>
  <c r="L41" i="59"/>
  <c r="Q40" i="59"/>
  <c r="P40" i="59"/>
  <c r="O40" i="59"/>
  <c r="N40" i="59"/>
  <c r="M40" i="59"/>
  <c r="L40" i="59"/>
  <c r="Q39" i="59"/>
  <c r="P39" i="59"/>
  <c r="O39" i="59"/>
  <c r="N39" i="59"/>
  <c r="M39" i="59"/>
  <c r="L39" i="59"/>
  <c r="Q38" i="59"/>
  <c r="P38" i="59"/>
  <c r="O38" i="59"/>
  <c r="N38" i="59"/>
  <c r="M38" i="59"/>
  <c r="L38" i="59"/>
  <c r="Q37" i="59"/>
  <c r="P37" i="59"/>
  <c r="O37" i="59"/>
  <c r="N37" i="59"/>
  <c r="M37" i="59"/>
  <c r="L37" i="59"/>
  <c r="Q36" i="59"/>
  <c r="P36" i="59"/>
  <c r="O36" i="59"/>
  <c r="N36" i="59"/>
  <c r="M36" i="59"/>
  <c r="L36" i="59"/>
  <c r="Q35" i="59"/>
  <c r="P35" i="59"/>
  <c r="O35" i="59"/>
  <c r="N35" i="59"/>
  <c r="M35" i="59"/>
  <c r="L35" i="59"/>
  <c r="Q34" i="59"/>
  <c r="P34" i="59"/>
  <c r="O34" i="59"/>
  <c r="N34" i="59"/>
  <c r="M34" i="59"/>
  <c r="L34" i="59"/>
  <c r="Q33" i="59"/>
  <c r="P33" i="59"/>
  <c r="O33" i="59"/>
  <c r="N33" i="59"/>
  <c r="M33" i="59"/>
  <c r="L33" i="59"/>
  <c r="Q32" i="59"/>
  <c r="P32" i="59"/>
  <c r="O32" i="59"/>
  <c r="N32" i="59"/>
  <c r="M32" i="59"/>
  <c r="L32" i="59"/>
  <c r="Q31" i="59"/>
  <c r="P31" i="59"/>
  <c r="O31" i="59"/>
  <c r="N31" i="59"/>
  <c r="M31" i="59"/>
  <c r="L31" i="59"/>
  <c r="Q30" i="59"/>
  <c r="P30" i="59"/>
  <c r="O30" i="59"/>
  <c r="N30" i="59"/>
  <c r="M30" i="59"/>
  <c r="L30" i="59"/>
  <c r="Q29" i="59"/>
  <c r="P29" i="59"/>
  <c r="O29" i="59"/>
  <c r="N29" i="59"/>
  <c r="M29" i="59"/>
  <c r="L29" i="59"/>
  <c r="Q28" i="59"/>
  <c r="P28" i="59"/>
  <c r="O28" i="59"/>
  <c r="N28" i="59"/>
  <c r="M28" i="59"/>
  <c r="L28" i="59"/>
  <c r="Q27" i="59"/>
  <c r="P27" i="59"/>
  <c r="O27" i="59"/>
  <c r="N27" i="59"/>
  <c r="M27" i="59"/>
  <c r="L27" i="59"/>
  <c r="Q26" i="59"/>
  <c r="P26" i="59"/>
  <c r="O26" i="59"/>
  <c r="N26" i="59"/>
  <c r="M26" i="59"/>
  <c r="L26" i="59"/>
  <c r="Q25" i="59"/>
  <c r="P25" i="59"/>
  <c r="O25" i="59"/>
  <c r="N25" i="59"/>
  <c r="M25" i="59"/>
  <c r="L25" i="59"/>
  <c r="Q24" i="59"/>
  <c r="P24" i="59"/>
  <c r="O24" i="59"/>
  <c r="N24" i="59"/>
  <c r="M24" i="59"/>
  <c r="L24" i="59"/>
  <c r="Q23" i="59"/>
  <c r="P23" i="59"/>
  <c r="O23" i="59"/>
  <c r="N23" i="59"/>
  <c r="M23" i="59"/>
  <c r="L23" i="59"/>
  <c r="Q22" i="59"/>
  <c r="P22" i="59"/>
  <c r="O22" i="59"/>
  <c r="N22" i="59"/>
  <c r="M22" i="59"/>
  <c r="L22" i="59"/>
  <c r="Q21" i="59"/>
  <c r="P21" i="59"/>
  <c r="O21" i="59"/>
  <c r="N21" i="59"/>
  <c r="M21" i="59"/>
  <c r="L21" i="59"/>
  <c r="Q20" i="59"/>
  <c r="P20" i="59"/>
  <c r="O20" i="59"/>
  <c r="N20" i="59"/>
  <c r="M20" i="59"/>
  <c r="L20" i="59"/>
  <c r="Q19" i="59"/>
  <c r="P19" i="59"/>
  <c r="O19" i="59"/>
  <c r="N19" i="59"/>
  <c r="M19" i="59"/>
  <c r="L19" i="59"/>
  <c r="Q18" i="59"/>
  <c r="P18" i="59"/>
  <c r="O18" i="59"/>
  <c r="N18" i="59"/>
  <c r="M18" i="59"/>
  <c r="L18" i="59"/>
  <c r="Q17" i="59"/>
  <c r="P17" i="59"/>
  <c r="O17" i="59"/>
  <c r="N17" i="59"/>
  <c r="M17" i="59"/>
  <c r="L17" i="59"/>
  <c r="Q16" i="59"/>
  <c r="P16" i="59"/>
  <c r="O16" i="59"/>
  <c r="N16" i="59"/>
  <c r="M16" i="59"/>
  <c r="L16" i="59"/>
  <c r="Q15" i="59"/>
  <c r="P15" i="59"/>
  <c r="O15" i="59"/>
  <c r="N15" i="59"/>
  <c r="M15" i="59"/>
  <c r="L15" i="59"/>
  <c r="Q14" i="59"/>
  <c r="P14" i="59"/>
  <c r="O14" i="59"/>
  <c r="N14" i="59"/>
  <c r="M14" i="59"/>
  <c r="L14" i="59"/>
  <c r="Q13" i="59"/>
  <c r="P13" i="59"/>
  <c r="O13" i="59"/>
  <c r="N13" i="59"/>
  <c r="M13" i="59"/>
  <c r="L13" i="59"/>
  <c r="Q12" i="59"/>
  <c r="P12" i="59"/>
  <c r="O12" i="59"/>
  <c r="N12" i="59"/>
  <c r="M12" i="59"/>
  <c r="L12" i="59"/>
  <c r="Q11" i="59"/>
  <c r="P11" i="59"/>
  <c r="O11" i="59"/>
  <c r="N11" i="59"/>
  <c r="M11" i="59"/>
  <c r="L11" i="59"/>
  <c r="Q10" i="59"/>
  <c r="P10" i="59"/>
  <c r="O10" i="59"/>
  <c r="N10" i="59"/>
  <c r="M10" i="59"/>
  <c r="L10" i="59"/>
  <c r="Q9" i="59"/>
  <c r="P9" i="59"/>
  <c r="O9" i="59"/>
  <c r="N9" i="59"/>
  <c r="M9" i="59"/>
  <c r="L9" i="59"/>
  <c r="Q8" i="59"/>
  <c r="P8" i="59"/>
  <c r="O8" i="59"/>
  <c r="N8" i="59"/>
  <c r="M8" i="59"/>
  <c r="L8" i="59"/>
  <c r="Q7" i="59"/>
  <c r="P7" i="59"/>
  <c r="O7" i="59"/>
  <c r="N7" i="59"/>
  <c r="M7" i="59"/>
  <c r="L7" i="59"/>
  <c r="Q6" i="59"/>
  <c r="P6" i="59"/>
  <c r="O6" i="59"/>
  <c r="N6" i="59"/>
  <c r="M6" i="59"/>
  <c r="L6" i="59"/>
  <c r="A2" i="59"/>
  <c r="E785" i="58"/>
  <c r="E784" i="58"/>
  <c r="E783" i="58"/>
  <c r="E782" i="58"/>
  <c r="E781" i="58"/>
  <c r="E780" i="58"/>
  <c r="E779" i="58"/>
  <c r="E778" i="58"/>
  <c r="E777" i="58"/>
  <c r="E776" i="58"/>
  <c r="E775" i="58"/>
  <c r="E774" i="58"/>
  <c r="E773" i="58"/>
  <c r="E772" i="58"/>
  <c r="E771" i="58"/>
  <c r="E770" i="58"/>
  <c r="E769" i="58"/>
  <c r="E768" i="58"/>
  <c r="E767" i="58"/>
  <c r="E766" i="58"/>
  <c r="E765" i="58"/>
  <c r="E764" i="58"/>
  <c r="E763" i="58"/>
  <c r="E762" i="58"/>
  <c r="E761" i="58"/>
  <c r="E760" i="58"/>
  <c r="E759" i="58"/>
  <c r="E758" i="58"/>
  <c r="E757" i="58"/>
  <c r="E756" i="58"/>
  <c r="E755" i="58"/>
  <c r="E754" i="58"/>
  <c r="E753" i="58"/>
  <c r="E752" i="58"/>
  <c r="E751" i="58"/>
  <c r="E750" i="58"/>
  <c r="E749" i="58"/>
  <c r="E748" i="58"/>
  <c r="E747" i="58"/>
  <c r="E746" i="58"/>
  <c r="E745" i="58"/>
  <c r="E744" i="58"/>
  <c r="E743" i="58"/>
  <c r="E742" i="58"/>
  <c r="E741" i="58"/>
  <c r="E740" i="58"/>
  <c r="E739" i="58"/>
  <c r="E738" i="58"/>
  <c r="E737" i="58"/>
  <c r="E736" i="58"/>
  <c r="E735" i="58"/>
  <c r="E734" i="58"/>
  <c r="E733" i="58"/>
  <c r="E732" i="58"/>
  <c r="E731" i="58"/>
  <c r="E730" i="58"/>
  <c r="E729" i="58"/>
  <c r="E728" i="58"/>
  <c r="E727" i="58"/>
  <c r="E726" i="58"/>
  <c r="E725" i="58"/>
  <c r="E724" i="58"/>
  <c r="E723" i="58"/>
  <c r="E722" i="58"/>
  <c r="E721" i="58"/>
  <c r="E720" i="58"/>
  <c r="E719" i="58"/>
  <c r="E718" i="58"/>
  <c r="E717" i="58"/>
  <c r="E716" i="58"/>
  <c r="E715" i="58"/>
  <c r="E714" i="58"/>
  <c r="E713" i="58"/>
  <c r="E712" i="58"/>
  <c r="E711" i="58"/>
  <c r="E710" i="58"/>
  <c r="E709" i="58"/>
  <c r="E708" i="58"/>
  <c r="E707" i="58"/>
  <c r="E706" i="58"/>
  <c r="E705" i="58"/>
  <c r="E704" i="58"/>
  <c r="E703" i="58"/>
  <c r="E702" i="58"/>
  <c r="E701" i="58"/>
  <c r="E700" i="58"/>
  <c r="E699" i="58"/>
  <c r="E698" i="58"/>
  <c r="E697" i="58"/>
  <c r="E696" i="58"/>
  <c r="E695" i="58"/>
  <c r="E694" i="58"/>
  <c r="E693" i="58"/>
  <c r="E692" i="58"/>
  <c r="E691" i="58"/>
  <c r="E690" i="58"/>
  <c r="E689" i="58"/>
  <c r="E688" i="58"/>
  <c r="E687" i="58"/>
  <c r="E686" i="58"/>
  <c r="E685" i="58"/>
  <c r="E684" i="58"/>
  <c r="E683" i="58"/>
  <c r="E682" i="58"/>
  <c r="E681" i="58"/>
  <c r="E680" i="58"/>
  <c r="E679" i="58"/>
  <c r="E678" i="58"/>
  <c r="E677" i="58"/>
  <c r="E676" i="58"/>
  <c r="E675" i="58"/>
  <c r="E674" i="58"/>
  <c r="E673" i="58"/>
  <c r="E672" i="58"/>
  <c r="E671" i="58"/>
  <c r="E670" i="58"/>
  <c r="E669" i="58"/>
  <c r="E668" i="58"/>
  <c r="E667" i="58"/>
  <c r="E666" i="58"/>
  <c r="E665" i="58"/>
  <c r="E664" i="58"/>
  <c r="E663" i="58"/>
  <c r="E662" i="58"/>
  <c r="E661" i="58"/>
  <c r="E660" i="58"/>
  <c r="E659" i="58"/>
  <c r="E658" i="58"/>
  <c r="E657" i="58"/>
  <c r="E656" i="58"/>
  <c r="E655" i="58"/>
  <c r="E654" i="58"/>
  <c r="E653" i="58"/>
  <c r="E652" i="58"/>
  <c r="E651" i="58"/>
  <c r="E650" i="58"/>
  <c r="E649" i="58"/>
  <c r="E648" i="58"/>
  <c r="E647" i="58"/>
  <c r="E646" i="58"/>
  <c r="E645" i="58"/>
  <c r="E644" i="58"/>
  <c r="E643" i="58"/>
  <c r="E642" i="58"/>
  <c r="E641" i="58"/>
  <c r="E640" i="58"/>
  <c r="E639" i="58"/>
  <c r="E638" i="58"/>
  <c r="E637" i="58"/>
  <c r="E636" i="58"/>
  <c r="E635" i="58"/>
  <c r="E634" i="58"/>
  <c r="E633" i="58"/>
  <c r="E632" i="58"/>
  <c r="E631" i="58"/>
  <c r="E630" i="58"/>
  <c r="E629" i="58"/>
  <c r="E628" i="58"/>
  <c r="E627" i="58"/>
  <c r="E626" i="58"/>
  <c r="E625" i="58"/>
  <c r="E624" i="58"/>
  <c r="E623" i="58"/>
  <c r="E616" i="58"/>
  <c r="E615" i="58"/>
  <c r="E614" i="58"/>
  <c r="E613" i="58"/>
  <c r="E612" i="58"/>
  <c r="E611" i="58"/>
  <c r="E610" i="58"/>
  <c r="E609" i="58"/>
  <c r="E608" i="58"/>
  <c r="E607" i="58"/>
  <c r="E606" i="58"/>
  <c r="E605" i="58"/>
  <c r="E604" i="58"/>
  <c r="E603" i="58"/>
  <c r="E602" i="58"/>
  <c r="E601" i="58"/>
  <c r="E600" i="58"/>
  <c r="E599" i="58"/>
  <c r="E598" i="58"/>
  <c r="E597" i="58"/>
  <c r="E596" i="58"/>
  <c r="E595" i="58"/>
  <c r="E594" i="58"/>
  <c r="E593" i="58"/>
  <c r="E592" i="58"/>
  <c r="E591" i="58"/>
  <c r="E590" i="58"/>
  <c r="E589" i="58"/>
  <c r="E588" i="58"/>
  <c r="E587" i="58"/>
  <c r="E586" i="58"/>
  <c r="E585" i="58"/>
  <c r="E584" i="58"/>
  <c r="E583" i="58"/>
  <c r="E582" i="58"/>
  <c r="E581" i="58"/>
  <c r="E580" i="58"/>
  <c r="E579" i="58"/>
  <c r="E578" i="58"/>
  <c r="E577" i="58"/>
  <c r="E576" i="58"/>
  <c r="E575" i="58"/>
  <c r="E574" i="58"/>
  <c r="E573" i="58"/>
  <c r="E572" i="58"/>
  <c r="E571" i="58"/>
  <c r="E570" i="58"/>
  <c r="E569" i="58"/>
  <c r="E568" i="58"/>
  <c r="E567" i="58"/>
  <c r="E566" i="58"/>
  <c r="E565" i="58"/>
  <c r="E564" i="58"/>
  <c r="E563" i="58"/>
  <c r="E562" i="58"/>
  <c r="E561" i="58"/>
  <c r="E560" i="58"/>
  <c r="E559" i="58"/>
  <c r="E558" i="58"/>
  <c r="E557" i="58"/>
  <c r="E556" i="58"/>
  <c r="E555" i="58"/>
  <c r="E554" i="58"/>
  <c r="E553" i="58"/>
  <c r="E552" i="58"/>
  <c r="E551" i="58"/>
  <c r="E550" i="58"/>
  <c r="E549" i="58"/>
  <c r="E548" i="58"/>
  <c r="E547" i="58"/>
  <c r="E546" i="58"/>
  <c r="E545" i="58"/>
  <c r="E544" i="58"/>
  <c r="E543" i="58"/>
  <c r="E542" i="58"/>
  <c r="E541" i="58"/>
  <c r="E540" i="58"/>
  <c r="E539" i="58"/>
  <c r="E538" i="58"/>
  <c r="E537" i="58"/>
  <c r="E536" i="58"/>
  <c r="E535" i="58"/>
  <c r="E534" i="58"/>
  <c r="E533" i="58"/>
  <c r="E532" i="58"/>
  <c r="E531" i="58"/>
  <c r="E530" i="58"/>
  <c r="E529" i="58"/>
  <c r="E528" i="58"/>
  <c r="E527" i="58"/>
  <c r="E526" i="58"/>
  <c r="E525" i="58"/>
  <c r="E524" i="58"/>
  <c r="E523" i="58"/>
  <c r="E522" i="58"/>
  <c r="E521" i="58"/>
  <c r="E520" i="58"/>
  <c r="E519" i="58"/>
  <c r="E518" i="58"/>
  <c r="E517" i="58"/>
  <c r="E516" i="58"/>
  <c r="E515" i="58"/>
  <c r="E514" i="58"/>
  <c r="E513" i="58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E495" i="58"/>
  <c r="E494" i="58"/>
  <c r="E493" i="58"/>
  <c r="E492" i="58"/>
  <c r="E491" i="58"/>
  <c r="E490" i="58"/>
  <c r="E489" i="58"/>
  <c r="E488" i="58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E10" i="58"/>
  <c r="E9" i="58"/>
  <c r="E8" i="58"/>
  <c r="E4" i="58"/>
  <c r="E170" i="57"/>
  <c r="E169" i="57"/>
  <c r="E168" i="57"/>
  <c r="E167" i="57"/>
  <c r="E166" i="57"/>
  <c r="E165" i="57"/>
  <c r="E164" i="57"/>
  <c r="E163" i="57"/>
  <c r="E162" i="57"/>
  <c r="E161" i="57"/>
  <c r="E160" i="57"/>
  <c r="E159" i="57"/>
  <c r="E158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2" i="57"/>
  <c r="E141" i="57"/>
  <c r="E140" i="57"/>
  <c r="E139" i="57"/>
  <c r="E138" i="57"/>
  <c r="E137" i="57"/>
  <c r="E136" i="57"/>
  <c r="E135" i="57"/>
  <c r="E134" i="57"/>
  <c r="E133" i="57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A13" i="56"/>
  <c r="P12" i="50"/>
  <c r="Q12" i="50"/>
  <c r="R12" i="50"/>
  <c r="S12" i="50"/>
  <c r="T12" i="50"/>
  <c r="U12" i="50"/>
  <c r="V12" i="50"/>
  <c r="W12" i="50"/>
  <c r="X12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1" i="50"/>
  <c r="B32" i="50"/>
  <c r="B33" i="50"/>
  <c r="B34" i="50"/>
  <c r="B35" i="50"/>
  <c r="B36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13" i="50"/>
  <c r="O12" i="50"/>
  <c r="C58" i="50"/>
  <c r="C1" i="50"/>
  <c r="E77" i="24"/>
  <c r="D77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8" i="24"/>
  <c r="D68" i="24"/>
  <c r="E65" i="24"/>
  <c r="D65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0" i="24"/>
  <c r="D50" i="24"/>
  <c r="B49" i="24"/>
  <c r="A48" i="24"/>
  <c r="A47" i="24"/>
  <c r="E77" i="23"/>
  <c r="D77" i="23"/>
  <c r="E75" i="23"/>
  <c r="D75" i="23"/>
  <c r="E74" i="23"/>
  <c r="D74" i="23"/>
  <c r="E73" i="23"/>
  <c r="D73" i="23"/>
  <c r="E72" i="23"/>
  <c r="D72" i="23"/>
  <c r="E71" i="23"/>
  <c r="D71" i="23"/>
  <c r="E70" i="23"/>
  <c r="D70" i="23"/>
  <c r="E68" i="23"/>
  <c r="D68" i="23"/>
  <c r="E65" i="23"/>
  <c r="D65" i="23"/>
  <c r="E62" i="23"/>
  <c r="D62" i="23"/>
  <c r="E61" i="23"/>
  <c r="D61" i="23"/>
  <c r="E60" i="23"/>
  <c r="D60" i="23"/>
  <c r="E59" i="23"/>
  <c r="D59" i="23"/>
  <c r="E58" i="23"/>
  <c r="D58" i="23"/>
  <c r="E57" i="23"/>
  <c r="D57" i="23"/>
  <c r="E56" i="23"/>
  <c r="D56" i="23"/>
  <c r="E55" i="23"/>
  <c r="D55" i="23"/>
  <c r="E54" i="23"/>
  <c r="D54" i="23"/>
  <c r="E53" i="23"/>
  <c r="D53" i="23"/>
  <c r="E52" i="23"/>
  <c r="D52" i="23"/>
  <c r="E50" i="23"/>
  <c r="D50" i="23"/>
  <c r="B49" i="23"/>
  <c r="A48" i="23"/>
  <c r="A47" i="23"/>
  <c r="E78" i="22"/>
  <c r="D78" i="22"/>
  <c r="E76" i="22"/>
  <c r="D76" i="22"/>
  <c r="E75" i="22"/>
  <c r="D75" i="22"/>
  <c r="E74" i="22"/>
  <c r="D74" i="22"/>
  <c r="E73" i="22"/>
  <c r="D73" i="22"/>
  <c r="E72" i="22"/>
  <c r="D72" i="22"/>
  <c r="E71" i="22"/>
  <c r="D71" i="22"/>
  <c r="E69" i="22"/>
  <c r="D69" i="22"/>
  <c r="E66" i="22"/>
  <c r="D66" i="22"/>
  <c r="E63" i="22"/>
  <c r="D63" i="22"/>
  <c r="E62" i="22"/>
  <c r="D62" i="22"/>
  <c r="E61" i="22"/>
  <c r="D61" i="22"/>
  <c r="E60" i="22"/>
  <c r="D60" i="22"/>
  <c r="E59" i="22"/>
  <c r="D59" i="22"/>
  <c r="E58" i="22"/>
  <c r="D58" i="22"/>
  <c r="E57" i="22"/>
  <c r="D57" i="22"/>
  <c r="E56" i="22"/>
  <c r="D56" i="22"/>
  <c r="E55" i="22"/>
  <c r="D55" i="22"/>
  <c r="E54" i="22"/>
  <c r="D54" i="22"/>
  <c r="E53" i="22"/>
  <c r="D53" i="22"/>
  <c r="E51" i="22"/>
  <c r="D51" i="22"/>
  <c r="D50" i="22"/>
  <c r="B50" i="22"/>
  <c r="A49" i="22"/>
  <c r="A48" i="22"/>
  <c r="A78" i="38"/>
  <c r="E77" i="38"/>
  <c r="D77" i="38"/>
  <c r="A77" i="38"/>
  <c r="A76" i="38"/>
  <c r="E75" i="38"/>
  <c r="D75" i="38"/>
  <c r="A75" i="38"/>
  <c r="E74" i="38"/>
  <c r="D74" i="38"/>
  <c r="A74" i="38"/>
  <c r="E73" i="38"/>
  <c r="D73" i="38"/>
  <c r="A73" i="38"/>
  <c r="E72" i="38"/>
  <c r="D72" i="38"/>
  <c r="A72" i="38"/>
  <c r="E71" i="38"/>
  <c r="D71" i="38"/>
  <c r="A71" i="38"/>
  <c r="E70" i="38"/>
  <c r="D70" i="38"/>
  <c r="A70" i="38"/>
  <c r="A69" i="38"/>
  <c r="E68" i="38"/>
  <c r="D68" i="38"/>
  <c r="A68" i="38"/>
  <c r="A67" i="38"/>
  <c r="A66" i="38"/>
  <c r="E65" i="38"/>
  <c r="D65" i="38"/>
  <c r="A65" i="38"/>
  <c r="A64" i="38"/>
  <c r="A63" i="38"/>
  <c r="E62" i="38"/>
  <c r="D62" i="38"/>
  <c r="A62" i="38"/>
  <c r="E61" i="38"/>
  <c r="D61" i="38"/>
  <c r="A61" i="38"/>
  <c r="E60" i="38"/>
  <c r="D60" i="38"/>
  <c r="A60" i="38"/>
  <c r="E59" i="38"/>
  <c r="D59" i="38"/>
  <c r="A59" i="38"/>
  <c r="E58" i="38"/>
  <c r="D58" i="38"/>
  <c r="A58" i="38"/>
  <c r="E57" i="38"/>
  <c r="D57" i="38"/>
  <c r="A57" i="38"/>
  <c r="E56" i="38"/>
  <c r="D56" i="38"/>
  <c r="A56" i="38"/>
  <c r="E55" i="38"/>
  <c r="D55" i="38"/>
  <c r="A55" i="38"/>
  <c r="E54" i="38"/>
  <c r="D54" i="38"/>
  <c r="A54" i="38"/>
  <c r="E53" i="38"/>
  <c r="D53" i="38"/>
  <c r="A53" i="38"/>
  <c r="E52" i="38"/>
  <c r="D52" i="38"/>
  <c r="A52" i="38"/>
  <c r="A51" i="38"/>
  <c r="E50" i="38"/>
  <c r="D50" i="38"/>
  <c r="A50" i="38"/>
  <c r="B49" i="38"/>
  <c r="A48" i="38"/>
  <c r="A47" i="38"/>
  <c r="E77" i="15"/>
  <c r="D77" i="15"/>
  <c r="E75" i="15"/>
  <c r="D75" i="15"/>
  <c r="E74" i="15"/>
  <c r="D74" i="15"/>
  <c r="E73" i="15"/>
  <c r="D73" i="15"/>
  <c r="E72" i="15"/>
  <c r="D72" i="15"/>
  <c r="E71" i="15"/>
  <c r="D71" i="15"/>
  <c r="E70" i="15"/>
  <c r="D70" i="15"/>
  <c r="E68" i="15"/>
  <c r="D68" i="15"/>
  <c r="E65" i="15"/>
  <c r="D65" i="15"/>
  <c r="E62" i="15"/>
  <c r="D62" i="15"/>
  <c r="E61" i="15"/>
  <c r="D61" i="15"/>
  <c r="E60" i="15"/>
  <c r="D60" i="15"/>
  <c r="E59" i="15"/>
  <c r="D59" i="15"/>
  <c r="E58" i="15"/>
  <c r="D58" i="15"/>
  <c r="E57" i="15"/>
  <c r="D57" i="15"/>
  <c r="E56" i="15"/>
  <c r="D56" i="15"/>
  <c r="E55" i="15"/>
  <c r="D55" i="15"/>
  <c r="E54" i="15"/>
  <c r="D54" i="15"/>
  <c r="E53" i="15"/>
  <c r="D53" i="15"/>
  <c r="E52" i="15"/>
  <c r="D52" i="15"/>
  <c r="E50" i="15"/>
  <c r="D50" i="15"/>
  <c r="B49" i="15"/>
  <c r="A48" i="15"/>
  <c r="A47" i="15"/>
  <c r="K72" i="2"/>
  <c r="N72" i="2" s="1"/>
  <c r="Q72" i="2" s="1"/>
  <c r="J72" i="2"/>
  <c r="M72" i="2" s="1"/>
  <c r="P72" i="2" s="1"/>
  <c r="S72" i="2" s="1"/>
  <c r="K71" i="2"/>
  <c r="N71" i="2" s="1"/>
  <c r="Q71" i="2" s="1"/>
  <c r="J71" i="2"/>
  <c r="M71" i="2" s="1"/>
  <c r="P71" i="2" s="1"/>
  <c r="S71" i="2" s="1"/>
  <c r="K63" i="2"/>
  <c r="N63" i="2" s="1"/>
  <c r="Q63" i="2" s="1"/>
  <c r="J63" i="2"/>
  <c r="M63" i="2" s="1"/>
  <c r="P63" i="2" s="1"/>
  <c r="S63" i="2" s="1"/>
  <c r="K54" i="2"/>
  <c r="N54" i="2" s="1"/>
  <c r="Q54" i="2" s="1"/>
  <c r="J54" i="2"/>
  <c r="M54" i="2" s="1"/>
  <c r="P54" i="2" s="1"/>
  <c r="S54" i="2" s="1"/>
  <c r="B50" i="2"/>
  <c r="A49" i="2"/>
  <c r="A48" i="2"/>
  <c r="E77" i="3"/>
  <c r="D77" i="3"/>
  <c r="E75" i="3"/>
  <c r="D75" i="3"/>
  <c r="E74" i="3"/>
  <c r="D74" i="3"/>
  <c r="E73" i="3"/>
  <c r="D73" i="3"/>
  <c r="E72" i="3"/>
  <c r="D72" i="3"/>
  <c r="E71" i="3"/>
  <c r="D71" i="3"/>
  <c r="E70" i="3"/>
  <c r="D70" i="3"/>
  <c r="E68" i="3"/>
  <c r="D68" i="3"/>
  <c r="E65" i="3"/>
  <c r="D65" i="3"/>
  <c r="E62" i="3"/>
  <c r="D62" i="3"/>
  <c r="E61" i="3"/>
  <c r="D61" i="3"/>
  <c r="E60" i="3"/>
  <c r="D60" i="3"/>
  <c r="E59" i="3"/>
  <c r="D59" i="3"/>
  <c r="E58" i="3"/>
  <c r="D58" i="3"/>
  <c r="E57" i="3"/>
  <c r="D57" i="3"/>
  <c r="E56" i="3"/>
  <c r="D56" i="3"/>
  <c r="E55" i="3"/>
  <c r="D55" i="3"/>
  <c r="E54" i="3"/>
  <c r="D54" i="3"/>
  <c r="E53" i="3"/>
  <c r="D53" i="3"/>
  <c r="E52" i="3"/>
  <c r="D52" i="3"/>
  <c r="E50" i="3"/>
  <c r="D50" i="3"/>
  <c r="B49" i="3"/>
  <c r="A48" i="3"/>
  <c r="A47" i="3"/>
  <c r="Z12" i="49"/>
  <c r="E51" i="49"/>
  <c r="D51" i="49" s="1"/>
  <c r="AC13" i="49"/>
  <c r="AB13" i="49"/>
  <c r="AA13" i="49"/>
  <c r="Z13" i="49"/>
  <c r="C1" i="49"/>
  <c r="E49" i="3"/>
  <c r="A49" i="38"/>
  <c r="D49" i="38"/>
  <c r="D49" i="23"/>
  <c r="D49" i="15"/>
  <c r="D49" i="24"/>
  <c r="E49" i="24"/>
  <c r="E49" i="23"/>
  <c r="E50" i="22"/>
  <c r="E49" i="38"/>
  <c r="E54" i="49"/>
  <c r="D54" i="49" s="1"/>
  <c r="E53" i="49"/>
  <c r="D53" i="49" s="1"/>
  <c r="E52" i="49"/>
  <c r="D52" i="49" s="1"/>
  <c r="C1" i="46"/>
  <c r="D11" i="69"/>
  <c r="E11" i="69"/>
  <c r="F11" i="69"/>
  <c r="H11" i="69"/>
  <c r="I11" i="69"/>
  <c r="J11" i="69"/>
  <c r="L11" i="69"/>
  <c r="M11" i="69"/>
  <c r="O11" i="69"/>
  <c r="C59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X13" i="46"/>
  <c r="W13" i="46"/>
  <c r="V13" i="46"/>
  <c r="U13" i="46"/>
  <c r="T13" i="46"/>
  <c r="S13" i="46"/>
  <c r="R13" i="46"/>
  <c r="Q13" i="46"/>
  <c r="P13" i="46"/>
  <c r="O13" i="46"/>
  <c r="J12" i="46"/>
  <c r="K12" i="46" s="1"/>
  <c r="L12" i="46" s="1"/>
  <c r="M12" i="46" s="1"/>
  <c r="N12" i="46" s="1"/>
  <c r="O12" i="46" s="1"/>
  <c r="P12" i="46" s="1"/>
  <c r="Q12" i="46" s="1"/>
  <c r="R12" i="46" s="1"/>
  <c r="S12" i="46" s="1"/>
  <c r="T12" i="46" s="1"/>
  <c r="U12" i="46" s="1"/>
  <c r="V12" i="46" s="1"/>
  <c r="W12" i="46" s="1"/>
  <c r="X12" i="46" s="1"/>
  <c r="Y32" i="10"/>
  <c r="Y5" i="10"/>
  <c r="AD9" i="10"/>
  <c r="Q9" i="21"/>
  <c r="Q16" i="21"/>
  <c r="Q17" i="21"/>
  <c r="Q18" i="21"/>
  <c r="Q19" i="21"/>
  <c r="Q20" i="21"/>
  <c r="Q21" i="21"/>
  <c r="Q22" i="21"/>
  <c r="Q23" i="21"/>
  <c r="Q25" i="21"/>
  <c r="Q27" i="21"/>
  <c r="Q28" i="21"/>
  <c r="Q33" i="21"/>
  <c r="Q39" i="21"/>
  <c r="A5" i="38"/>
  <c r="D5" i="38"/>
  <c r="E5" i="38"/>
  <c r="A6" i="38"/>
  <c r="D6" i="38"/>
  <c r="E6" i="38"/>
  <c r="A7" i="38"/>
  <c r="A8" i="38"/>
  <c r="A9" i="38"/>
  <c r="D9" i="38"/>
  <c r="E9" i="38"/>
  <c r="A10" i="38"/>
  <c r="D10" i="38"/>
  <c r="E10" i="38"/>
  <c r="A11" i="38"/>
  <c r="A12" i="38"/>
  <c r="A13" i="38"/>
  <c r="D13" i="38"/>
  <c r="E13" i="38"/>
  <c r="A14" i="38"/>
  <c r="D14" i="38"/>
  <c r="E14" i="38"/>
  <c r="A15" i="38"/>
  <c r="D15" i="38"/>
  <c r="E15" i="38"/>
  <c r="A16" i="38"/>
  <c r="A17" i="38"/>
  <c r="D17" i="38"/>
  <c r="E17" i="38"/>
  <c r="A18" i="38"/>
  <c r="D18" i="38"/>
  <c r="E18" i="38"/>
  <c r="A19" i="38"/>
  <c r="A20" i="38"/>
  <c r="D20" i="38"/>
  <c r="E20" i="38"/>
  <c r="A21" i="38"/>
  <c r="D21" i="38"/>
  <c r="E21" i="38"/>
  <c r="A22" i="38"/>
  <c r="A23" i="38"/>
  <c r="D23" i="38"/>
  <c r="E23" i="38"/>
  <c r="A24" i="38"/>
  <c r="A25" i="38"/>
  <c r="D25" i="38"/>
  <c r="E25" i="38"/>
  <c r="A26" i="38"/>
  <c r="D26" i="38"/>
  <c r="E26" i="38"/>
  <c r="A27" i="38"/>
  <c r="D27" i="38"/>
  <c r="E27" i="38"/>
  <c r="A28" i="38"/>
  <c r="D28" i="38"/>
  <c r="E28" i="38"/>
  <c r="A29" i="38"/>
  <c r="D29" i="38"/>
  <c r="E29" i="38"/>
  <c r="A30" i="38"/>
  <c r="D30" i="38"/>
  <c r="E30" i="38"/>
  <c r="A31" i="38"/>
  <c r="D31" i="38"/>
  <c r="E31" i="38"/>
  <c r="A32" i="38"/>
  <c r="D32" i="38"/>
  <c r="E32" i="38"/>
  <c r="A33" i="38"/>
  <c r="D33" i="38"/>
  <c r="E33" i="38"/>
  <c r="A34" i="38"/>
  <c r="D34" i="38"/>
  <c r="E34" i="38"/>
  <c r="A35" i="38"/>
  <c r="D35" i="38"/>
  <c r="E35" i="38"/>
  <c r="A36" i="38"/>
  <c r="D36" i="38"/>
  <c r="E36" i="38"/>
  <c r="A37" i="38"/>
  <c r="D37" i="38"/>
  <c r="E37" i="38"/>
  <c r="A38" i="38"/>
  <c r="D38" i="38"/>
  <c r="E38" i="38"/>
  <c r="A39" i="38"/>
  <c r="D39" i="38"/>
  <c r="E39" i="38"/>
  <c r="A40" i="38"/>
  <c r="D40" i="38"/>
  <c r="E40" i="38"/>
  <c r="A41" i="38"/>
  <c r="D41" i="38"/>
  <c r="E41" i="38"/>
  <c r="A42" i="38"/>
  <c r="D42" i="38"/>
  <c r="E42" i="38"/>
  <c r="A43" i="38"/>
  <c r="D43" i="38"/>
  <c r="E43" i="38"/>
  <c r="A44" i="38"/>
  <c r="A45" i="38"/>
  <c r="A46" i="38"/>
  <c r="D46" i="38"/>
  <c r="E46" i="38"/>
  <c r="Y138" i="29"/>
  <c r="Y74" i="29"/>
  <c r="Z74" i="29"/>
  <c r="AA74" i="29"/>
  <c r="AB74" i="29"/>
  <c r="Y12" i="29"/>
  <c r="Y37" i="29" s="1"/>
  <c r="Z12" i="29"/>
  <c r="Z37" i="29" s="1"/>
  <c r="AA12" i="29"/>
  <c r="AA37" i="29" s="1"/>
  <c r="AB12" i="29"/>
  <c r="AB37" i="29" s="1"/>
  <c r="O12" i="29"/>
  <c r="O37" i="29" s="1"/>
  <c r="C1" i="30"/>
  <c r="C183" i="30"/>
  <c r="A182" i="30"/>
  <c r="K182" i="30" s="1"/>
  <c r="A181" i="30"/>
  <c r="A180" i="30"/>
  <c r="A179" i="30"/>
  <c r="A178" i="30"/>
  <c r="A177" i="30"/>
  <c r="A176" i="30"/>
  <c r="A175" i="30"/>
  <c r="A174" i="30"/>
  <c r="A173" i="30"/>
  <c r="A172" i="30"/>
  <c r="A171" i="30"/>
  <c r="A170" i="30"/>
  <c r="A169" i="30"/>
  <c r="A168" i="30"/>
  <c r="A167" i="30"/>
  <c r="A166" i="30"/>
  <c r="A165" i="30"/>
  <c r="A164" i="30"/>
  <c r="A163" i="30"/>
  <c r="A161" i="30"/>
  <c r="A160" i="30"/>
  <c r="A159" i="30"/>
  <c r="A158" i="30"/>
  <c r="A157" i="30"/>
  <c r="A156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K136" i="30"/>
  <c r="L136" i="30" s="1"/>
  <c r="M136" i="30" s="1"/>
  <c r="N136" i="30" s="1"/>
  <c r="O136" i="30" s="1"/>
  <c r="P136" i="30" s="1"/>
  <c r="Q136" i="30" s="1"/>
  <c r="R136" i="30" s="1"/>
  <c r="S136" i="30" s="1"/>
  <c r="T136" i="30" s="1"/>
  <c r="U136" i="30" s="1"/>
  <c r="V136" i="30" s="1"/>
  <c r="W136" i="30" s="1"/>
  <c r="C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8" i="30"/>
  <c r="A97" i="30"/>
  <c r="A96" i="30"/>
  <c r="A95" i="30"/>
  <c r="A94" i="30"/>
  <c r="A93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B75" i="30" s="1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L73" i="30"/>
  <c r="M73" i="30" s="1"/>
  <c r="N73" i="30" s="1"/>
  <c r="O73" i="30" s="1"/>
  <c r="P73" i="30" s="1"/>
  <c r="Q73" i="30" s="1"/>
  <c r="R73" i="30" s="1"/>
  <c r="S73" i="30" s="1"/>
  <c r="T73" i="30" s="1"/>
  <c r="U73" i="30" s="1"/>
  <c r="V73" i="30" s="1"/>
  <c r="W73" i="30" s="1"/>
  <c r="C58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C184" i="29"/>
  <c r="A183" i="29"/>
  <c r="H183" i="29" s="1"/>
  <c r="A182" i="29"/>
  <c r="H182" i="29" s="1"/>
  <c r="A181" i="29"/>
  <c r="H181" i="29" s="1"/>
  <c r="A180" i="29"/>
  <c r="H180" i="29" s="1"/>
  <c r="A179" i="29"/>
  <c r="A178" i="29"/>
  <c r="A177" i="29"/>
  <c r="A176" i="29"/>
  <c r="A175" i="29"/>
  <c r="A174" i="29"/>
  <c r="A173" i="29"/>
  <c r="A172" i="29"/>
  <c r="A171" i="29"/>
  <c r="A170" i="29"/>
  <c r="A169" i="29"/>
  <c r="A168" i="29"/>
  <c r="A167" i="29"/>
  <c r="A166" i="29"/>
  <c r="A165" i="29"/>
  <c r="A162" i="29"/>
  <c r="A161" i="29"/>
  <c r="A160" i="29"/>
  <c r="A159" i="29"/>
  <c r="A158" i="29"/>
  <c r="A157" i="29"/>
  <c r="A155" i="29"/>
  <c r="A154" i="29"/>
  <c r="A153" i="29"/>
  <c r="A152" i="29"/>
  <c r="A151" i="29"/>
  <c r="A150" i="29"/>
  <c r="A149" i="29"/>
  <c r="A148" i="29"/>
  <c r="A147" i="29"/>
  <c r="A146" i="29"/>
  <c r="A145" i="29"/>
  <c r="A144" i="29"/>
  <c r="A143" i="29"/>
  <c r="A142" i="29"/>
  <c r="A141" i="29"/>
  <c r="A140" i="29"/>
  <c r="A139" i="29"/>
  <c r="X138" i="29"/>
  <c r="W138" i="29"/>
  <c r="V138" i="29"/>
  <c r="U138" i="29"/>
  <c r="T138" i="29"/>
  <c r="S138" i="29"/>
  <c r="R138" i="29"/>
  <c r="Q138" i="29"/>
  <c r="P138" i="29"/>
  <c r="O138" i="29"/>
  <c r="M138" i="29"/>
  <c r="J137" i="29"/>
  <c r="K137" i="29" s="1"/>
  <c r="L137" i="29" s="1"/>
  <c r="M137" i="29" s="1"/>
  <c r="N137" i="29" s="1"/>
  <c r="O137" i="29" s="1"/>
  <c r="P137" i="29" s="1"/>
  <c r="Q137" i="29" s="1"/>
  <c r="R137" i="29" s="1"/>
  <c r="S137" i="29" s="1"/>
  <c r="T137" i="29" s="1"/>
  <c r="U137" i="29" s="1"/>
  <c r="V137" i="29" s="1"/>
  <c r="W137" i="29" s="1"/>
  <c r="X137" i="29" s="1"/>
  <c r="Y137" i="29" s="1"/>
  <c r="C120" i="29"/>
  <c r="A119" i="29"/>
  <c r="H119" i="29" s="1"/>
  <c r="A118" i="29"/>
  <c r="H118" i="29" s="1"/>
  <c r="A117" i="29"/>
  <c r="H117" i="29" s="1"/>
  <c r="A116" i="29"/>
  <c r="H116" i="29" s="1"/>
  <c r="A115" i="29"/>
  <c r="A114" i="29"/>
  <c r="A113" i="29"/>
  <c r="A112" i="29"/>
  <c r="A111" i="29"/>
  <c r="A110" i="29"/>
  <c r="A109" i="29"/>
  <c r="A108" i="29"/>
  <c r="A107" i="29"/>
  <c r="A106" i="29"/>
  <c r="A105" i="29"/>
  <c r="A104" i="29"/>
  <c r="A103" i="29"/>
  <c r="A102" i="29"/>
  <c r="A98" i="29"/>
  <c r="A97" i="29"/>
  <c r="A96" i="29"/>
  <c r="A95" i="29"/>
  <c r="A94" i="29"/>
  <c r="A93" i="29"/>
  <c r="A91" i="29"/>
  <c r="A90" i="29"/>
  <c r="A89" i="29"/>
  <c r="A88" i="29"/>
  <c r="A87" i="29"/>
  <c r="A86" i="29"/>
  <c r="A85" i="29"/>
  <c r="A84" i="29"/>
  <c r="A83" i="29"/>
  <c r="A82" i="29"/>
  <c r="A81" i="29"/>
  <c r="A80" i="29"/>
  <c r="A79" i="29"/>
  <c r="A78" i="29"/>
  <c r="A77" i="29"/>
  <c r="A76" i="29"/>
  <c r="A75" i="29"/>
  <c r="X74" i="29"/>
  <c r="W74" i="29"/>
  <c r="V74" i="29"/>
  <c r="U74" i="29"/>
  <c r="T74" i="29"/>
  <c r="S74" i="29"/>
  <c r="R74" i="29"/>
  <c r="Q74" i="29"/>
  <c r="P74" i="29"/>
  <c r="O74" i="29"/>
  <c r="M74" i="29"/>
  <c r="J73" i="29"/>
  <c r="K73" i="29" s="1"/>
  <c r="L73" i="29" s="1"/>
  <c r="M73" i="29" s="1"/>
  <c r="N73" i="29" s="1"/>
  <c r="O73" i="29" s="1"/>
  <c r="P73" i="29" s="1"/>
  <c r="Q73" i="29" s="1"/>
  <c r="R73" i="29" s="1"/>
  <c r="S73" i="29" s="1"/>
  <c r="T73" i="29" s="1"/>
  <c r="U73" i="29" s="1"/>
  <c r="V73" i="29" s="1"/>
  <c r="W73" i="29" s="1"/>
  <c r="X73" i="29" s="1"/>
  <c r="Y73" i="29" s="1"/>
  <c r="Z73" i="29" s="1"/>
  <c r="AA73" i="29" s="1"/>
  <c r="AB73" i="29" s="1"/>
  <c r="B57" i="29"/>
  <c r="B56" i="29"/>
  <c r="B55" i="29"/>
  <c r="B54" i="29"/>
  <c r="B53" i="29"/>
  <c r="B52" i="29"/>
  <c r="B51" i="29"/>
  <c r="B50" i="29"/>
  <c r="B49" i="29"/>
  <c r="B48" i="29"/>
  <c r="B47" i="29"/>
  <c r="B46" i="29"/>
  <c r="B45" i="29"/>
  <c r="B44" i="29"/>
  <c r="B43" i="29"/>
  <c r="B42" i="29"/>
  <c r="B41" i="29"/>
  <c r="B40" i="29"/>
  <c r="B39" i="29"/>
  <c r="B36" i="29"/>
  <c r="B35" i="29"/>
  <c r="B34" i="29"/>
  <c r="B33" i="29"/>
  <c r="B32" i="29"/>
  <c r="B31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K13" i="29" s="1"/>
  <c r="X12" i="29"/>
  <c r="X37" i="29" s="1"/>
  <c r="W12" i="29"/>
  <c r="W37" i="29" s="1"/>
  <c r="V12" i="29"/>
  <c r="V37" i="29" s="1"/>
  <c r="U12" i="29"/>
  <c r="U37" i="29" s="1"/>
  <c r="T12" i="29"/>
  <c r="T37" i="29" s="1"/>
  <c r="S12" i="29"/>
  <c r="S37" i="29" s="1"/>
  <c r="R12" i="29"/>
  <c r="R37" i="29" s="1"/>
  <c r="Q12" i="29"/>
  <c r="Q37" i="29" s="1"/>
  <c r="P12" i="29"/>
  <c r="P37" i="29" s="1"/>
  <c r="J11" i="29"/>
  <c r="K11" i="29" s="1"/>
  <c r="L11" i="29" s="1"/>
  <c r="M11" i="29" s="1"/>
  <c r="N11" i="29" s="1"/>
  <c r="O11" i="29" s="1"/>
  <c r="P11" i="29" s="1"/>
  <c r="Q11" i="29" s="1"/>
  <c r="R11" i="29" s="1"/>
  <c r="S11" i="29" s="1"/>
  <c r="T11" i="29" s="1"/>
  <c r="U11" i="29" s="1"/>
  <c r="V11" i="29" s="1"/>
  <c r="W11" i="29" s="1"/>
  <c r="X11" i="29" s="1"/>
  <c r="Y11" i="29" s="1"/>
  <c r="Z11" i="29" s="1"/>
  <c r="AA11" i="29" s="1"/>
  <c r="AB11" i="29" s="1"/>
  <c r="B149" i="30"/>
  <c r="B142" i="29"/>
  <c r="B148" i="29"/>
  <c r="B150" i="29"/>
  <c r="B78" i="30"/>
  <c r="B83" i="30"/>
  <c r="A2" i="21"/>
  <c r="M6" i="21"/>
  <c r="M73" i="21"/>
  <c r="V49" i="10"/>
  <c r="AD49" i="10"/>
  <c r="X49" i="10"/>
  <c r="K128" i="81" s="1"/>
  <c r="W49" i="10"/>
  <c r="B49" i="10"/>
  <c r="A49" i="10" s="1"/>
  <c r="T49" i="10"/>
  <c r="Y4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50" i="10"/>
  <c r="AD51" i="10"/>
  <c r="AD52" i="10"/>
  <c r="AD53" i="10"/>
  <c r="AD54" i="10"/>
  <c r="AD55" i="10"/>
  <c r="AD56" i="10"/>
  <c r="AD57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B32" i="10"/>
  <c r="A32" i="10" s="1"/>
  <c r="B33" i="10"/>
  <c r="A33" i="10" s="1"/>
  <c r="B35" i="10"/>
  <c r="A35" i="10" s="1"/>
  <c r="B36" i="10"/>
  <c r="A36" i="10" s="1"/>
  <c r="B37" i="10"/>
  <c r="A37" i="10" s="1"/>
  <c r="B38" i="10"/>
  <c r="A38" i="10" s="1"/>
  <c r="B39" i="10"/>
  <c r="A39" i="10" s="1"/>
  <c r="B40" i="10"/>
  <c r="A40" i="10" s="1"/>
  <c r="B41" i="10"/>
  <c r="A41" i="10" s="1"/>
  <c r="B42" i="10"/>
  <c r="A42" i="10" s="1"/>
  <c r="B43" i="10"/>
  <c r="A43" i="10" s="1"/>
  <c r="B44" i="10"/>
  <c r="A44" i="10" s="1"/>
  <c r="B45" i="10"/>
  <c r="A45" i="10" s="1"/>
  <c r="B46" i="10"/>
  <c r="A46" i="10" s="1"/>
  <c r="B47" i="10"/>
  <c r="A47" i="10" s="1"/>
  <c r="B48" i="10"/>
  <c r="A48" i="10" s="1"/>
  <c r="B50" i="10"/>
  <c r="A50" i="10" s="1"/>
  <c r="B51" i="10"/>
  <c r="A51" i="10" s="1"/>
  <c r="B52" i="10"/>
  <c r="A52" i="10" s="1"/>
  <c r="B53" i="10"/>
  <c r="A53" i="10" s="1"/>
  <c r="B54" i="10"/>
  <c r="A54" i="10" s="1"/>
  <c r="B55" i="10"/>
  <c r="A55" i="10" s="1"/>
  <c r="B56" i="10"/>
  <c r="A56" i="10" s="1"/>
  <c r="B57" i="10"/>
  <c r="A57" i="10" s="1"/>
  <c r="B59" i="10"/>
  <c r="A59" i="10" s="1"/>
  <c r="B60" i="10"/>
  <c r="A60" i="10" s="1"/>
  <c r="B61" i="10"/>
  <c r="A61" i="10" s="1"/>
  <c r="B62" i="10"/>
  <c r="A62" i="10" s="1"/>
  <c r="B63" i="10"/>
  <c r="A63" i="10" s="1"/>
  <c r="B64" i="10"/>
  <c r="A64" i="10" s="1"/>
  <c r="B65" i="10"/>
  <c r="A65" i="10" s="1"/>
  <c r="B66" i="10"/>
  <c r="A66" i="10" s="1"/>
  <c r="B67" i="10"/>
  <c r="A67" i="10" s="1"/>
  <c r="B68" i="10"/>
  <c r="A68" i="10" s="1"/>
  <c r="B69" i="10"/>
  <c r="A69" i="10" s="1"/>
  <c r="B70" i="10"/>
  <c r="A70" i="10" s="1"/>
  <c r="B71" i="10"/>
  <c r="A71" i="10" s="1"/>
  <c r="B72" i="10"/>
  <c r="A72" i="10" s="1"/>
  <c r="B73" i="10"/>
  <c r="A73" i="10" s="1"/>
  <c r="B10" i="10"/>
  <c r="A10" i="10" s="1"/>
  <c r="B11" i="10"/>
  <c r="A11" i="10" s="1"/>
  <c r="B12" i="10"/>
  <c r="A12" i="10" s="1"/>
  <c r="B13" i="10"/>
  <c r="A13" i="10" s="1"/>
  <c r="B14" i="10"/>
  <c r="A14" i="10" s="1"/>
  <c r="B15" i="10"/>
  <c r="A15" i="10" s="1"/>
  <c r="B16" i="10"/>
  <c r="A16" i="10" s="1"/>
  <c r="B17" i="10"/>
  <c r="A17" i="10" s="1"/>
  <c r="B18" i="10"/>
  <c r="A18" i="10" s="1"/>
  <c r="B19" i="10"/>
  <c r="A19" i="10" s="1"/>
  <c r="B20" i="10"/>
  <c r="A20" i="10" s="1"/>
  <c r="B21" i="10"/>
  <c r="A21" i="10" s="1"/>
  <c r="B22" i="10"/>
  <c r="A22" i="10" s="1"/>
  <c r="B23" i="10"/>
  <c r="A23" i="10" s="1"/>
  <c r="B24" i="10"/>
  <c r="A24" i="10" s="1"/>
  <c r="B25" i="10"/>
  <c r="A25" i="10" s="1"/>
  <c r="B26" i="10"/>
  <c r="A26" i="10" s="1"/>
  <c r="B27" i="10"/>
  <c r="A27" i="10" s="1"/>
  <c r="B28" i="10"/>
  <c r="A28" i="10" s="1"/>
  <c r="B29" i="10"/>
  <c r="A29" i="10" s="1"/>
  <c r="B30" i="10"/>
  <c r="A30" i="10" s="1"/>
  <c r="B31" i="10"/>
  <c r="A31" i="10" s="1"/>
  <c r="B9" i="10"/>
  <c r="A9" i="10" s="1"/>
  <c r="A6" i="24"/>
  <c r="A7" i="24"/>
  <c r="A8" i="24"/>
  <c r="A9" i="24"/>
  <c r="A10" i="24"/>
  <c r="A11" i="24"/>
  <c r="A12" i="24"/>
  <c r="A13" i="24"/>
  <c r="A14" i="24"/>
  <c r="A15" i="24"/>
  <c r="A16" i="24"/>
  <c r="A17" i="24"/>
  <c r="A19" i="24"/>
  <c r="A21" i="24"/>
  <c r="A22" i="24"/>
  <c r="A23" i="24"/>
  <c r="A24" i="24"/>
  <c r="A25" i="24"/>
  <c r="A26" i="24"/>
  <c r="A27" i="24"/>
  <c r="A28" i="24"/>
  <c r="A29" i="24"/>
  <c r="A31" i="24"/>
  <c r="A32" i="24"/>
  <c r="A33" i="24"/>
  <c r="A34" i="24"/>
  <c r="A35" i="24"/>
  <c r="A37" i="24"/>
  <c r="A38" i="24"/>
  <c r="A39" i="24"/>
  <c r="A43" i="24"/>
  <c r="A44" i="24"/>
  <c r="A45" i="24"/>
  <c r="A46" i="24"/>
  <c r="A5" i="24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9" i="23"/>
  <c r="A21" i="23"/>
  <c r="A22" i="23"/>
  <c r="A23" i="23"/>
  <c r="A24" i="23"/>
  <c r="A25" i="23"/>
  <c r="A26" i="23"/>
  <c r="A27" i="23"/>
  <c r="A28" i="23"/>
  <c r="A29" i="23"/>
  <c r="A31" i="23"/>
  <c r="A32" i="23"/>
  <c r="A33" i="23"/>
  <c r="A34" i="23"/>
  <c r="A35" i="23"/>
  <c r="A37" i="23"/>
  <c r="A38" i="23"/>
  <c r="A39" i="23"/>
  <c r="A43" i="23"/>
  <c r="A44" i="23"/>
  <c r="A45" i="23"/>
  <c r="A46" i="23"/>
  <c r="A6" i="22"/>
  <c r="A7" i="22"/>
  <c r="A8" i="22"/>
  <c r="A9" i="22"/>
  <c r="A10" i="22"/>
  <c r="A11" i="22"/>
  <c r="A12" i="22"/>
  <c r="A13" i="22"/>
  <c r="A14" i="22"/>
  <c r="A15" i="22"/>
  <c r="A16" i="22"/>
  <c r="A17" i="22"/>
  <c r="A19" i="22"/>
  <c r="A21" i="22"/>
  <c r="A22" i="22"/>
  <c r="A23" i="22"/>
  <c r="A24" i="22"/>
  <c r="A25" i="22"/>
  <c r="A26" i="22"/>
  <c r="A27" i="22"/>
  <c r="A28" i="22"/>
  <c r="A29" i="22"/>
  <c r="A31" i="22"/>
  <c r="A32" i="22"/>
  <c r="A34" i="22"/>
  <c r="A35" i="22"/>
  <c r="A36" i="22"/>
  <c r="A38" i="22"/>
  <c r="A39" i="22"/>
  <c r="A40" i="22"/>
  <c r="A44" i="22"/>
  <c r="A45" i="22"/>
  <c r="A46" i="22"/>
  <c r="A47" i="22"/>
  <c r="A5" i="22"/>
  <c r="A6" i="15"/>
  <c r="A7" i="15"/>
  <c r="A8" i="15"/>
  <c r="A9" i="15"/>
  <c r="A10" i="15"/>
  <c r="A11" i="15"/>
  <c r="A12" i="15"/>
  <c r="A13" i="15"/>
  <c r="A14" i="15"/>
  <c r="A15" i="15"/>
  <c r="A16" i="15"/>
  <c r="A17" i="15"/>
  <c r="A19" i="15"/>
  <c r="A21" i="15"/>
  <c r="A22" i="15"/>
  <c r="A23" i="15"/>
  <c r="A24" i="15"/>
  <c r="A25" i="15"/>
  <c r="A26" i="15"/>
  <c r="A27" i="15"/>
  <c r="A28" i="15"/>
  <c r="A29" i="15"/>
  <c r="A31" i="15"/>
  <c r="A32" i="15"/>
  <c r="A33" i="15"/>
  <c r="A34" i="15"/>
  <c r="A35" i="15"/>
  <c r="A37" i="15"/>
  <c r="A38" i="15"/>
  <c r="A39" i="15"/>
  <c r="A43" i="15"/>
  <c r="A44" i="15"/>
  <c r="A45" i="15"/>
  <c r="A46" i="15"/>
  <c r="A5" i="15"/>
  <c r="A6" i="3"/>
  <c r="A7" i="3"/>
  <c r="A8" i="3"/>
  <c r="A9" i="3"/>
  <c r="A10" i="3"/>
  <c r="A11" i="3"/>
  <c r="A12" i="3"/>
  <c r="A13" i="3"/>
  <c r="A14" i="3"/>
  <c r="A15" i="3"/>
  <c r="A16" i="3"/>
  <c r="A17" i="3"/>
  <c r="A19" i="3"/>
  <c r="A21" i="3"/>
  <c r="A22" i="3"/>
  <c r="A23" i="3"/>
  <c r="A24" i="3"/>
  <c r="A25" i="3"/>
  <c r="A26" i="3"/>
  <c r="A27" i="3"/>
  <c r="A28" i="3"/>
  <c r="A29" i="3"/>
  <c r="A31" i="3"/>
  <c r="A32" i="3"/>
  <c r="A33" i="3"/>
  <c r="A34" i="3"/>
  <c r="A35" i="3"/>
  <c r="A37" i="3"/>
  <c r="A38" i="3"/>
  <c r="A39" i="3"/>
  <c r="A43" i="3"/>
  <c r="A44" i="3"/>
  <c r="A45" i="3"/>
  <c r="A46" i="3"/>
  <c r="A5" i="3"/>
  <c r="A6" i="2"/>
  <c r="A7" i="2"/>
  <c r="A8" i="2"/>
  <c r="A9" i="2"/>
  <c r="A10" i="2"/>
  <c r="A11" i="2"/>
  <c r="A12" i="2"/>
  <c r="A13" i="2"/>
  <c r="A14" i="2"/>
  <c r="A15" i="2"/>
  <c r="A16" i="2"/>
  <c r="A17" i="2"/>
  <c r="A19" i="2"/>
  <c r="A21" i="2"/>
  <c r="A22" i="2"/>
  <c r="A23" i="2"/>
  <c r="A24" i="2"/>
  <c r="A25" i="2"/>
  <c r="A26" i="2"/>
  <c r="A27" i="2"/>
  <c r="A28" i="2"/>
  <c r="A29" i="2"/>
  <c r="A31" i="2"/>
  <c r="A32" i="2"/>
  <c r="A34" i="2"/>
  <c r="A35" i="2"/>
  <c r="A36" i="2"/>
  <c r="A38" i="2"/>
  <c r="A39" i="2"/>
  <c r="A40" i="2"/>
  <c r="A44" i="2"/>
  <c r="A45" i="2"/>
  <c r="A46" i="2"/>
  <c r="A47" i="2"/>
  <c r="A5" i="2"/>
  <c r="N7" i="21"/>
  <c r="O7" i="21"/>
  <c r="P7" i="21"/>
  <c r="N8" i="21"/>
  <c r="O8" i="21"/>
  <c r="P8" i="21"/>
  <c r="N9" i="21"/>
  <c r="O9" i="21"/>
  <c r="P9" i="21"/>
  <c r="N10" i="21"/>
  <c r="O10" i="21"/>
  <c r="P10" i="21"/>
  <c r="L11" i="21"/>
  <c r="N11" i="21"/>
  <c r="O11" i="21"/>
  <c r="P11" i="21"/>
  <c r="N12" i="21"/>
  <c r="O12" i="21"/>
  <c r="P12" i="21"/>
  <c r="N13" i="21"/>
  <c r="O13" i="21"/>
  <c r="P13" i="21"/>
  <c r="M14" i="21"/>
  <c r="N14" i="21"/>
  <c r="O14" i="21"/>
  <c r="P14" i="21"/>
  <c r="N15" i="21"/>
  <c r="O15" i="21"/>
  <c r="P15" i="21"/>
  <c r="L16" i="21"/>
  <c r="O16" i="21"/>
  <c r="L17" i="21"/>
  <c r="O17" i="21"/>
  <c r="L18" i="21"/>
  <c r="O18" i="21"/>
  <c r="L19" i="21"/>
  <c r="O19" i="21"/>
  <c r="L20" i="21"/>
  <c r="M20" i="21"/>
  <c r="O20" i="21"/>
  <c r="L21" i="21"/>
  <c r="O21" i="21"/>
  <c r="L22" i="21"/>
  <c r="O22" i="21"/>
  <c r="L23" i="21"/>
  <c r="O23" i="21"/>
  <c r="P23" i="21"/>
  <c r="M24" i="21"/>
  <c r="M25" i="21"/>
  <c r="N25" i="21"/>
  <c r="M26" i="21"/>
  <c r="L27" i="21"/>
  <c r="M27" i="21"/>
  <c r="N27" i="21"/>
  <c r="P27" i="21"/>
  <c r="L28" i="21"/>
  <c r="M28" i="21"/>
  <c r="N28" i="21"/>
  <c r="P28" i="21"/>
  <c r="N29" i="21"/>
  <c r="O29" i="21"/>
  <c r="P29" i="21"/>
  <c r="N30" i="21"/>
  <c r="O30" i="21"/>
  <c r="P30" i="21"/>
  <c r="N31" i="21"/>
  <c r="O31" i="21"/>
  <c r="P31" i="21"/>
  <c r="N32" i="21"/>
  <c r="O32" i="21"/>
  <c r="P32" i="21"/>
  <c r="L33" i="21"/>
  <c r="N33" i="21"/>
  <c r="O33" i="21"/>
  <c r="M34" i="21"/>
  <c r="L35" i="21"/>
  <c r="M35" i="21"/>
  <c r="M36" i="21"/>
  <c r="M37" i="21"/>
  <c r="M38" i="21"/>
  <c r="M39" i="21"/>
  <c r="P39" i="21"/>
  <c r="M40" i="21"/>
  <c r="M41" i="21"/>
  <c r="M42" i="21"/>
  <c r="L43" i="21"/>
  <c r="M43" i="21"/>
  <c r="M44" i="21"/>
  <c r="M45" i="21"/>
  <c r="M46" i="21"/>
  <c r="M47" i="21"/>
  <c r="P47" i="21"/>
  <c r="M48" i="21"/>
  <c r="M49" i="21"/>
  <c r="M50" i="21"/>
  <c r="L51" i="21"/>
  <c r="M51" i="21"/>
  <c r="M52" i="21"/>
  <c r="M53" i="21"/>
  <c r="M54" i="21"/>
  <c r="M55" i="21"/>
  <c r="P55" i="21"/>
  <c r="M56" i="21"/>
  <c r="M57" i="21"/>
  <c r="N57" i="21"/>
  <c r="M58" i="21"/>
  <c r="L59" i="21"/>
  <c r="M59" i="21"/>
  <c r="M60" i="21"/>
  <c r="M61" i="21"/>
  <c r="M62" i="21"/>
  <c r="N62" i="21"/>
  <c r="M63" i="21"/>
  <c r="P63" i="21"/>
  <c r="M64" i="21"/>
  <c r="M65" i="21"/>
  <c r="M66" i="21"/>
  <c r="L67" i="21"/>
  <c r="M67" i="21"/>
  <c r="M68" i="21"/>
  <c r="M69" i="21"/>
  <c r="M70" i="21"/>
  <c r="M71" i="21"/>
  <c r="P71" i="21"/>
  <c r="M72" i="21"/>
  <c r="V10" i="10"/>
  <c r="W10" i="10"/>
  <c r="X10" i="10"/>
  <c r="V11" i="10"/>
  <c r="W11" i="10"/>
  <c r="X11" i="10"/>
  <c r="V12" i="10"/>
  <c r="W12" i="10"/>
  <c r="X12" i="10"/>
  <c r="V13" i="10"/>
  <c r="W13" i="10"/>
  <c r="X13" i="10"/>
  <c r="V14" i="10"/>
  <c r="W14" i="10"/>
  <c r="X14" i="10"/>
  <c r="V15" i="10"/>
  <c r="W15" i="10"/>
  <c r="X15" i="10"/>
  <c r="V16" i="10"/>
  <c r="W16" i="10"/>
  <c r="X16" i="10"/>
  <c r="K123" i="81" s="1"/>
  <c r="V17" i="10"/>
  <c r="W17" i="10"/>
  <c r="X17" i="10"/>
  <c r="V18" i="10"/>
  <c r="W18" i="10"/>
  <c r="X18" i="10"/>
  <c r="V19" i="10"/>
  <c r="W19" i="10"/>
  <c r="X19" i="10"/>
  <c r="V20" i="10"/>
  <c r="W20" i="10"/>
  <c r="X20" i="10"/>
  <c r="V21" i="10"/>
  <c r="W21" i="10"/>
  <c r="X21" i="10"/>
  <c r="V22" i="10"/>
  <c r="W22" i="10"/>
  <c r="X22" i="10"/>
  <c r="K124" i="81" s="1"/>
  <c r="V23" i="10"/>
  <c r="W23" i="10"/>
  <c r="X23" i="10"/>
  <c r="V24" i="10"/>
  <c r="W24" i="10"/>
  <c r="X24" i="10"/>
  <c r="V25" i="10"/>
  <c r="W25" i="10"/>
  <c r="X25" i="10"/>
  <c r="V26" i="10"/>
  <c r="W26" i="10"/>
  <c r="X26" i="10"/>
  <c r="V27" i="10"/>
  <c r="W27" i="10"/>
  <c r="X27" i="10"/>
  <c r="V28" i="10"/>
  <c r="W28" i="10"/>
  <c r="X28" i="10"/>
  <c r="V29" i="10"/>
  <c r="W29" i="10"/>
  <c r="X29" i="10"/>
  <c r="V30" i="10"/>
  <c r="W30" i="10"/>
  <c r="X30" i="10"/>
  <c r="V31" i="10"/>
  <c r="W31" i="10"/>
  <c r="X31" i="10"/>
  <c r="T32" i="10"/>
  <c r="U32" i="10"/>
  <c r="V32" i="10"/>
  <c r="W32" i="10"/>
  <c r="X32" i="10"/>
  <c r="V33" i="10"/>
  <c r="W33" i="10"/>
  <c r="X33" i="10"/>
  <c r="V35" i="10"/>
  <c r="W35" i="10"/>
  <c r="X35" i="10"/>
  <c r="V36" i="10"/>
  <c r="W36" i="10"/>
  <c r="X36" i="10"/>
  <c r="V37" i="10"/>
  <c r="W37" i="10"/>
  <c r="X37" i="10"/>
  <c r="V38" i="10"/>
  <c r="W38" i="10"/>
  <c r="X38" i="10"/>
  <c r="V41" i="10"/>
  <c r="W41" i="10"/>
  <c r="X41" i="10"/>
  <c r="V42" i="10"/>
  <c r="W42" i="10"/>
  <c r="X42" i="10"/>
  <c r="V43" i="10"/>
  <c r="W43" i="10"/>
  <c r="X43" i="10"/>
  <c r="V44" i="10"/>
  <c r="W44" i="10"/>
  <c r="X44" i="10"/>
  <c r="K125" i="81" s="1"/>
  <c r="V45" i="10"/>
  <c r="W45" i="10"/>
  <c r="X45" i="10"/>
  <c r="V46" i="10"/>
  <c r="W46" i="10"/>
  <c r="X46" i="10"/>
  <c r="K126" i="81" s="1"/>
  <c r="V47" i="10"/>
  <c r="W47" i="10"/>
  <c r="X47" i="10"/>
  <c r="K127" i="81" s="1"/>
  <c r="V48" i="10"/>
  <c r="W48" i="10"/>
  <c r="X48" i="10"/>
  <c r="V50" i="10"/>
  <c r="W50" i="10"/>
  <c r="X50" i="10"/>
  <c r="V51" i="10"/>
  <c r="W51" i="10"/>
  <c r="X51" i="10"/>
  <c r="V53" i="10"/>
  <c r="W53" i="10"/>
  <c r="X53" i="10"/>
  <c r="V54" i="10"/>
  <c r="W54" i="10"/>
  <c r="X54" i="10"/>
  <c r="V55" i="10"/>
  <c r="W55" i="10"/>
  <c r="X55" i="10"/>
  <c r="V56" i="10"/>
  <c r="W56" i="10"/>
  <c r="X56" i="10"/>
  <c r="V57" i="10"/>
  <c r="W57" i="10"/>
  <c r="X57" i="10"/>
  <c r="V59" i="10"/>
  <c r="W59" i="10"/>
  <c r="X59" i="10"/>
  <c r="V60" i="10"/>
  <c r="W60" i="10"/>
  <c r="X60" i="10"/>
  <c r="V61" i="10"/>
  <c r="W61" i="10"/>
  <c r="X61" i="10"/>
  <c r="V62" i="10"/>
  <c r="W62" i="10"/>
  <c r="X62" i="10"/>
  <c r="V63" i="10"/>
  <c r="W63" i="10"/>
  <c r="X63" i="10"/>
  <c r="K130" i="81" s="1"/>
  <c r="V64" i="10"/>
  <c r="W64" i="10"/>
  <c r="X64" i="10"/>
  <c r="K131" i="81" s="1"/>
  <c r="V65" i="10"/>
  <c r="W65" i="10"/>
  <c r="X65" i="10"/>
  <c r="K132" i="81" s="1"/>
  <c r="V67" i="10"/>
  <c r="W67" i="10"/>
  <c r="X67" i="10"/>
  <c r="V70" i="10"/>
  <c r="W70" i="10"/>
  <c r="X70" i="10"/>
  <c r="V71" i="10"/>
  <c r="W71" i="10"/>
  <c r="X71" i="10"/>
  <c r="V72" i="10"/>
  <c r="W72" i="10"/>
  <c r="X72" i="10"/>
  <c r="V73" i="10"/>
  <c r="W73" i="10"/>
  <c r="X73" i="10"/>
  <c r="X9" i="10"/>
  <c r="W9" i="10"/>
  <c r="V9" i="10"/>
  <c r="X5" i="10"/>
  <c r="V5" i="10"/>
  <c r="W5" i="10"/>
  <c r="U5" i="10"/>
  <c r="I15" i="18"/>
  <c r="J15" i="18" s="1"/>
  <c r="K15" i="18" s="1"/>
  <c r="L15" i="18" s="1"/>
  <c r="M15" i="18" s="1"/>
  <c r="N15" i="18" s="1"/>
  <c r="O15" i="18" s="1"/>
  <c r="P15" i="18" s="1"/>
  <c r="Q15" i="18" s="1"/>
  <c r="M5" i="10"/>
  <c r="L5" i="10"/>
  <c r="J5" i="10"/>
  <c r="K5" i="10"/>
  <c r="D6" i="24"/>
  <c r="E6" i="24"/>
  <c r="D9" i="24"/>
  <c r="E9" i="24"/>
  <c r="D10" i="24"/>
  <c r="E10" i="24"/>
  <c r="D13" i="24"/>
  <c r="E13" i="24"/>
  <c r="D14" i="24"/>
  <c r="E14" i="24"/>
  <c r="D15" i="24"/>
  <c r="E15" i="24"/>
  <c r="D17" i="24"/>
  <c r="E17" i="24"/>
  <c r="D18" i="24"/>
  <c r="E18" i="24"/>
  <c r="D20" i="24"/>
  <c r="E20" i="24"/>
  <c r="D21" i="24"/>
  <c r="E21" i="24"/>
  <c r="D23" i="24"/>
  <c r="E23" i="24"/>
  <c r="D25" i="24"/>
  <c r="E25" i="24"/>
  <c r="D26" i="24"/>
  <c r="E26" i="24"/>
  <c r="D27" i="24"/>
  <c r="E27" i="24"/>
  <c r="D28" i="24"/>
  <c r="E28" i="24"/>
  <c r="D29" i="24"/>
  <c r="E29" i="24"/>
  <c r="D30" i="24"/>
  <c r="E30" i="24"/>
  <c r="D31" i="24"/>
  <c r="E31" i="24"/>
  <c r="D32" i="24"/>
  <c r="E32" i="24"/>
  <c r="D33" i="24"/>
  <c r="E33" i="24"/>
  <c r="D34" i="24"/>
  <c r="E34" i="24"/>
  <c r="D35" i="24"/>
  <c r="E35" i="24"/>
  <c r="D36" i="24"/>
  <c r="E36" i="24"/>
  <c r="D37" i="24"/>
  <c r="E37" i="24"/>
  <c r="D38" i="24"/>
  <c r="E38" i="24"/>
  <c r="D39" i="24"/>
  <c r="E39" i="24"/>
  <c r="D40" i="24"/>
  <c r="E40" i="24"/>
  <c r="D41" i="24"/>
  <c r="E41" i="24"/>
  <c r="D42" i="24"/>
  <c r="E42" i="24"/>
  <c r="D43" i="24"/>
  <c r="E43" i="24"/>
  <c r="D46" i="24"/>
  <c r="E46" i="24"/>
  <c r="E5" i="24"/>
  <c r="D5" i="24"/>
  <c r="E6" i="23"/>
  <c r="E9" i="23"/>
  <c r="E10" i="23"/>
  <c r="E13" i="23"/>
  <c r="E14" i="23"/>
  <c r="E15" i="23"/>
  <c r="E17" i="23"/>
  <c r="E18" i="23"/>
  <c r="E20" i="23"/>
  <c r="E21" i="23"/>
  <c r="E23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6" i="23"/>
  <c r="E5" i="23"/>
  <c r="D6" i="23"/>
  <c r="D9" i="23"/>
  <c r="D10" i="23"/>
  <c r="D13" i="23"/>
  <c r="D14" i="23"/>
  <c r="D15" i="23"/>
  <c r="D17" i="23"/>
  <c r="D18" i="23"/>
  <c r="D20" i="23"/>
  <c r="D21" i="23"/>
  <c r="D23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6" i="23"/>
  <c r="D5" i="23"/>
  <c r="D6" i="22"/>
  <c r="D9" i="22"/>
  <c r="D10" i="22"/>
  <c r="D13" i="22"/>
  <c r="D14" i="22"/>
  <c r="D15" i="22"/>
  <c r="D17" i="22"/>
  <c r="D18" i="22"/>
  <c r="D20" i="22"/>
  <c r="D21" i="22"/>
  <c r="D23" i="22"/>
  <c r="D25" i="22"/>
  <c r="D26" i="22"/>
  <c r="D27" i="22"/>
  <c r="D28" i="22"/>
  <c r="D29" i="22"/>
  <c r="D30" i="22"/>
  <c r="D31" i="22"/>
  <c r="D32" i="22"/>
  <c r="D34" i="22"/>
  <c r="D35" i="22"/>
  <c r="D36" i="22"/>
  <c r="D37" i="22"/>
  <c r="D38" i="22"/>
  <c r="D39" i="22"/>
  <c r="D40" i="22"/>
  <c r="D41" i="22"/>
  <c r="D42" i="22"/>
  <c r="D43" i="22"/>
  <c r="D44" i="22"/>
  <c r="D47" i="22"/>
  <c r="D5" i="22"/>
  <c r="E47" i="22"/>
  <c r="E44" i="22"/>
  <c r="E43" i="22"/>
  <c r="E42" i="22"/>
  <c r="E41" i="22"/>
  <c r="E40" i="22"/>
  <c r="E39" i="22"/>
  <c r="E38" i="22"/>
  <c r="E37" i="22"/>
  <c r="E36" i="22"/>
  <c r="E35" i="22"/>
  <c r="E34" i="22"/>
  <c r="E32" i="22"/>
  <c r="E31" i="22"/>
  <c r="E30" i="22"/>
  <c r="E29" i="22"/>
  <c r="E28" i="22"/>
  <c r="E27" i="22"/>
  <c r="E26" i="22"/>
  <c r="E25" i="22"/>
  <c r="E23" i="22"/>
  <c r="E21" i="22"/>
  <c r="E20" i="22"/>
  <c r="E18" i="22"/>
  <c r="E17" i="22"/>
  <c r="E15" i="22"/>
  <c r="E14" i="22"/>
  <c r="E13" i="22"/>
  <c r="E10" i="22"/>
  <c r="E9" i="22"/>
  <c r="E6" i="22"/>
  <c r="E5" i="22"/>
  <c r="T5" i="10"/>
  <c r="G5" i="10"/>
  <c r="J20" i="2"/>
  <c r="M20" i="2" s="1"/>
  <c r="P20" i="2" s="1"/>
  <c r="S20" i="2" s="1"/>
  <c r="J18" i="2"/>
  <c r="M18" i="2" s="1"/>
  <c r="P18" i="2" s="1"/>
  <c r="S18" i="2" s="1"/>
  <c r="J37" i="2"/>
  <c r="M37" i="2" s="1"/>
  <c r="P37" i="2" s="1"/>
  <c r="S37" i="2" s="1"/>
  <c r="J43" i="2"/>
  <c r="M43" i="2" s="1"/>
  <c r="P43" i="2" s="1"/>
  <c r="S43" i="2" s="1"/>
  <c r="J42" i="2"/>
  <c r="M42" i="2" s="1"/>
  <c r="P42" i="2" s="1"/>
  <c r="S42" i="2" s="1"/>
  <c r="J41" i="2"/>
  <c r="M41" i="2" s="1"/>
  <c r="P41" i="2" s="1"/>
  <c r="S41" i="2" s="1"/>
  <c r="L18" i="2"/>
  <c r="O18" i="2" s="1"/>
  <c r="R18" i="2" s="1"/>
  <c r="L41" i="2"/>
  <c r="O41" i="2" s="1"/>
  <c r="R41" i="2" s="1"/>
  <c r="L42" i="2"/>
  <c r="O42" i="2" s="1"/>
  <c r="R42" i="2" s="1"/>
  <c r="L43" i="2"/>
  <c r="O43" i="2" s="1"/>
  <c r="R43" i="2" s="1"/>
  <c r="D35" i="29"/>
  <c r="D161" i="29" s="1"/>
  <c r="D35" i="46"/>
  <c r="D33" i="61"/>
  <c r="D32" i="61"/>
  <c r="D31" i="50"/>
  <c r="D29" i="61"/>
  <c r="D29" i="46"/>
  <c r="D27" i="29"/>
  <c r="D27" i="46"/>
  <c r="D25" i="61"/>
  <c r="D25" i="46"/>
  <c r="D24" i="46"/>
  <c r="D21" i="50"/>
  <c r="D20" i="61"/>
  <c r="D20" i="46"/>
  <c r="D18" i="30"/>
  <c r="D17" i="30"/>
  <c r="D16" i="30"/>
  <c r="D15" i="29"/>
  <c r="D141" i="29" s="1"/>
  <c r="D14" i="29"/>
  <c r="D140" i="29" s="1"/>
  <c r="D13" i="50"/>
  <c r="C13" i="50" s="1"/>
  <c r="I72" i="10"/>
  <c r="Y72" i="10" s="1"/>
  <c r="I73" i="10"/>
  <c r="Y73" i="10" s="1"/>
  <c r="Y16" i="10"/>
  <c r="B1" i="11"/>
  <c r="M2" i="3" s="1"/>
  <c r="D35" i="15"/>
  <c r="E35" i="15"/>
  <c r="D35" i="3"/>
  <c r="E35" i="3"/>
  <c r="D6" i="15"/>
  <c r="E6" i="15"/>
  <c r="D10" i="15"/>
  <c r="E10" i="15"/>
  <c r="D9" i="15"/>
  <c r="E9" i="15"/>
  <c r="D13" i="15"/>
  <c r="E13" i="15"/>
  <c r="D14" i="15"/>
  <c r="E14" i="15"/>
  <c r="D15" i="15"/>
  <c r="E15" i="15"/>
  <c r="D17" i="15"/>
  <c r="E17" i="15"/>
  <c r="D18" i="15"/>
  <c r="E18" i="15"/>
  <c r="D20" i="15"/>
  <c r="E20" i="15"/>
  <c r="D21" i="15"/>
  <c r="E21" i="15"/>
  <c r="D23" i="15"/>
  <c r="E23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3" i="15"/>
  <c r="E33" i="15"/>
  <c r="D34" i="15"/>
  <c r="E34" i="15"/>
  <c r="D36" i="15"/>
  <c r="E36" i="15"/>
  <c r="D37" i="15"/>
  <c r="E37" i="15"/>
  <c r="D38" i="15"/>
  <c r="E38" i="15"/>
  <c r="D39" i="15"/>
  <c r="E39" i="15"/>
  <c r="D40" i="15"/>
  <c r="E40" i="15"/>
  <c r="D42" i="15"/>
  <c r="E42" i="15"/>
  <c r="D43" i="15"/>
  <c r="E43" i="15"/>
  <c r="D46" i="15"/>
  <c r="E46" i="15"/>
  <c r="D32" i="15"/>
  <c r="E32" i="15"/>
  <c r="D41" i="15"/>
  <c r="E41" i="15"/>
  <c r="E5" i="15"/>
  <c r="D5" i="15"/>
  <c r="K18" i="2"/>
  <c r="N18" i="2" s="1"/>
  <c r="Q18" i="2" s="1"/>
  <c r="K20" i="2"/>
  <c r="N20" i="2" s="1"/>
  <c r="Q20" i="2" s="1"/>
  <c r="K37" i="2"/>
  <c r="N37" i="2" s="1"/>
  <c r="Q37" i="2" s="1"/>
  <c r="K41" i="2"/>
  <c r="N41" i="2" s="1"/>
  <c r="Q41" i="2" s="1"/>
  <c r="K43" i="2"/>
  <c r="N43" i="2" s="1"/>
  <c r="Q43" i="2" s="1"/>
  <c r="K42" i="2"/>
  <c r="N42" i="2" s="1"/>
  <c r="Q42" i="2" s="1"/>
  <c r="D6" i="3"/>
  <c r="E6" i="3"/>
  <c r="D10" i="3"/>
  <c r="E10" i="3"/>
  <c r="D9" i="3"/>
  <c r="E9" i="3"/>
  <c r="D13" i="3"/>
  <c r="E13" i="3"/>
  <c r="D14" i="3"/>
  <c r="E14" i="3"/>
  <c r="D15" i="3"/>
  <c r="E15" i="3"/>
  <c r="D17" i="3"/>
  <c r="E17" i="3"/>
  <c r="D18" i="3"/>
  <c r="E18" i="3"/>
  <c r="D20" i="3"/>
  <c r="E20" i="3"/>
  <c r="D21" i="3"/>
  <c r="E21" i="3"/>
  <c r="D23" i="3"/>
  <c r="E23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3" i="3"/>
  <c r="E33" i="3"/>
  <c r="D34" i="3"/>
  <c r="E34" i="3"/>
  <c r="D36" i="3"/>
  <c r="E36" i="3"/>
  <c r="D37" i="3"/>
  <c r="E37" i="3"/>
  <c r="D38" i="3"/>
  <c r="E38" i="3"/>
  <c r="D39" i="3"/>
  <c r="E39" i="3"/>
  <c r="D40" i="3"/>
  <c r="E40" i="3"/>
  <c r="D42" i="3"/>
  <c r="E42" i="3"/>
  <c r="D43" i="3"/>
  <c r="E43" i="3"/>
  <c r="D46" i="3"/>
  <c r="E46" i="3"/>
  <c r="D32" i="3"/>
  <c r="E32" i="3"/>
  <c r="D41" i="3"/>
  <c r="E41" i="3"/>
  <c r="Q1" i="14"/>
  <c r="P1" i="14"/>
  <c r="O1" i="14"/>
  <c r="N1" i="14"/>
  <c r="M1" i="14"/>
  <c r="L1" i="14"/>
  <c r="K1" i="14"/>
  <c r="J1" i="14"/>
  <c r="I1" i="14"/>
  <c r="H1" i="14"/>
  <c r="G1" i="14"/>
  <c r="Q1" i="13"/>
  <c r="P1" i="13"/>
  <c r="O1" i="13"/>
  <c r="N1" i="13"/>
  <c r="M1" i="13"/>
  <c r="L1" i="13"/>
  <c r="K1" i="13"/>
  <c r="J1" i="13"/>
  <c r="I1" i="13"/>
  <c r="H1" i="13"/>
  <c r="Q1" i="11"/>
  <c r="P1" i="11"/>
  <c r="O1" i="11"/>
  <c r="N1" i="11"/>
  <c r="M1" i="11"/>
  <c r="L1" i="11"/>
  <c r="K1" i="11"/>
  <c r="J1" i="11"/>
  <c r="I1" i="11"/>
  <c r="H1" i="11"/>
  <c r="G1" i="11"/>
  <c r="E5" i="3"/>
  <c r="D5" i="3"/>
  <c r="T74" i="10"/>
  <c r="U74" i="10"/>
  <c r="AF57" i="50"/>
  <c r="AG57" i="50" s="1"/>
  <c r="AH57" i="50" s="1"/>
  <c r="AI57" i="50" s="1"/>
  <c r="AC54" i="61"/>
  <c r="AD54" i="61" s="1"/>
  <c r="AE54" i="61" s="1"/>
  <c r="AF54" i="61" s="1"/>
  <c r="AC55" i="61"/>
  <c r="AD55" i="61" s="1"/>
  <c r="AE55" i="61" s="1"/>
  <c r="AF56" i="50"/>
  <c r="AG56" i="50" s="1"/>
  <c r="AH56" i="50" s="1"/>
  <c r="AF55" i="50"/>
  <c r="AG55" i="50" s="1"/>
  <c r="AH55" i="50" s="1"/>
  <c r="AI55" i="50" s="1"/>
  <c r="AC56" i="61"/>
  <c r="AD56" i="61" s="1"/>
  <c r="AE56" i="61" s="1"/>
  <c r="AF56" i="61" s="1"/>
  <c r="AC57" i="61"/>
  <c r="AD57" i="61" s="1"/>
  <c r="AE57" i="61" s="1"/>
  <c r="AF57" i="61" s="1"/>
  <c r="AF54" i="50"/>
  <c r="AG54" i="50" s="1"/>
  <c r="AH54" i="50" s="1"/>
  <c r="AI54" i="50" s="1"/>
  <c r="K181" i="30"/>
  <c r="D55" i="50"/>
  <c r="C55" i="50" s="1"/>
  <c r="A72" i="24"/>
  <c r="A64" i="24"/>
  <c r="A56" i="24"/>
  <c r="A77" i="23"/>
  <c r="A69" i="23"/>
  <c r="A61" i="23"/>
  <c r="A53" i="23"/>
  <c r="A75" i="22"/>
  <c r="A67" i="22"/>
  <c r="A59" i="22"/>
  <c r="A51" i="22"/>
  <c r="A76" i="15"/>
  <c r="A68" i="15"/>
  <c r="A60" i="15"/>
  <c r="A52" i="15"/>
  <c r="A76" i="2"/>
  <c r="A70" i="2"/>
  <c r="A66" i="2"/>
  <c r="A63" i="2"/>
  <c r="A59" i="2"/>
  <c r="A55" i="2"/>
  <c r="A73" i="3"/>
  <c r="A65" i="3"/>
  <c r="A57" i="3"/>
  <c r="A74" i="24"/>
  <c r="A66" i="24"/>
  <c r="A58" i="24"/>
  <c r="A50" i="24"/>
  <c r="A71" i="23"/>
  <c r="A63" i="23"/>
  <c r="A55" i="23"/>
  <c r="A77" i="22"/>
  <c r="A69" i="22"/>
  <c r="A61" i="22"/>
  <c r="A53" i="22"/>
  <c r="A78" i="15"/>
  <c r="A70" i="15"/>
  <c r="A62" i="15"/>
  <c r="A54" i="15"/>
  <c r="A79" i="2"/>
  <c r="A75" i="2"/>
  <c r="A72" i="2"/>
  <c r="A69" i="2"/>
  <c r="A65" i="2"/>
  <c r="A62" i="2"/>
  <c r="A58" i="2"/>
  <c r="A75" i="3"/>
  <c r="A67" i="3"/>
  <c r="A59" i="3"/>
  <c r="A51" i="3"/>
  <c r="A73" i="24"/>
  <c r="A65" i="24"/>
  <c r="A57" i="24"/>
  <c r="A78" i="23"/>
  <c r="A70" i="23"/>
  <c r="A62" i="23"/>
  <c r="A54" i="23"/>
  <c r="A76" i="22"/>
  <c r="A68" i="22"/>
  <c r="A60" i="22"/>
  <c r="A52" i="22"/>
  <c r="A77" i="15"/>
  <c r="A69" i="15"/>
  <c r="A61" i="15"/>
  <c r="A53" i="15"/>
  <c r="A74" i="3"/>
  <c r="A66" i="3"/>
  <c r="A58" i="3"/>
  <c r="A50" i="3"/>
  <c r="D57" i="50"/>
  <c r="C57" i="50" s="1"/>
  <c r="A75" i="24"/>
  <c r="A76" i="23"/>
  <c r="A67" i="23"/>
  <c r="A58" i="23"/>
  <c r="A66" i="22"/>
  <c r="A57" i="22"/>
  <c r="A59" i="15"/>
  <c r="A50" i="15"/>
  <c r="A67" i="2"/>
  <c r="A57" i="2"/>
  <c r="A64" i="3"/>
  <c r="A55" i="3"/>
  <c r="D56" i="50"/>
  <c r="C56" i="50" s="1"/>
  <c r="A71" i="24"/>
  <c r="A62" i="24"/>
  <c r="A53" i="24"/>
  <c r="A73" i="23"/>
  <c r="A64" i="23"/>
  <c r="A72" i="22"/>
  <c r="A63" i="22"/>
  <c r="A54" i="22"/>
  <c r="A74" i="15"/>
  <c r="A65" i="15"/>
  <c r="A56" i="15"/>
  <c r="A74" i="2"/>
  <c r="A53" i="2"/>
  <c r="A70" i="3"/>
  <c r="A61" i="3"/>
  <c r="A52" i="3"/>
  <c r="A70" i="24"/>
  <c r="A52" i="24"/>
  <c r="A64" i="15"/>
  <c r="A69" i="3"/>
  <c r="A60" i="3"/>
  <c r="D54" i="50"/>
  <c r="C54" i="50" s="1"/>
  <c r="A77" i="24"/>
  <c r="A68" i="24"/>
  <c r="A59" i="24"/>
  <c r="A60" i="23"/>
  <c r="A51" i="23"/>
  <c r="A78" i="22"/>
  <c r="A71" i="15"/>
  <c r="A71" i="2"/>
  <c r="A61" i="2"/>
  <c r="A56" i="2"/>
  <c r="A76" i="3"/>
  <c r="A55" i="24"/>
  <c r="A75" i="23"/>
  <c r="A66" i="23"/>
  <c r="A57" i="23"/>
  <c r="A74" i="22"/>
  <c r="A65" i="22"/>
  <c r="A56" i="22"/>
  <c r="A67" i="15"/>
  <c r="A58" i="15"/>
  <c r="A78" i="2"/>
  <c r="A73" i="2"/>
  <c r="A72" i="3"/>
  <c r="A63" i="3"/>
  <c r="A54" i="3"/>
  <c r="A61" i="24"/>
  <c r="A72" i="23"/>
  <c r="A71" i="22"/>
  <c r="A62" i="22"/>
  <c r="A73" i="15"/>
  <c r="A55" i="15"/>
  <c r="A64" i="2"/>
  <c r="A60" i="2"/>
  <c r="A51" i="2"/>
  <c r="A78" i="3"/>
  <c r="A76" i="24"/>
  <c r="A67" i="24"/>
  <c r="A68" i="23"/>
  <c r="A59" i="23"/>
  <c r="A50" i="23"/>
  <c r="A58" i="22"/>
  <c r="A51" i="15"/>
  <c r="A77" i="2"/>
  <c r="A56" i="3"/>
  <c r="A63" i="24"/>
  <c r="A54" i="24"/>
  <c r="A74" i="23"/>
  <c r="A65" i="23"/>
  <c r="A56" i="23"/>
  <c r="A73" i="22"/>
  <c r="A64" i="22"/>
  <c r="A55" i="22"/>
  <c r="A75" i="15"/>
  <c r="A66" i="15"/>
  <c r="A57" i="15"/>
  <c r="A68" i="2"/>
  <c r="A71" i="3"/>
  <c r="A62" i="3"/>
  <c r="A53" i="3"/>
  <c r="A78" i="24"/>
  <c r="A63" i="15"/>
  <c r="A51" i="24"/>
  <c r="A52" i="23"/>
  <c r="A69" i="24"/>
  <c r="A79" i="22"/>
  <c r="A72" i="15"/>
  <c r="A54" i="2"/>
  <c r="A68" i="3"/>
  <c r="A60" i="24"/>
  <c r="A70" i="22"/>
  <c r="A77" i="3"/>
  <c r="A50" i="22"/>
  <c r="A49" i="24"/>
  <c r="A49" i="23"/>
  <c r="A49" i="15"/>
  <c r="D57" i="46"/>
  <c r="C57" i="46" s="1"/>
  <c r="A50" i="2"/>
  <c r="D56" i="46"/>
  <c r="C56" i="46" s="1"/>
  <c r="D58" i="46"/>
  <c r="C58" i="46" s="1"/>
  <c r="D55" i="46"/>
  <c r="C55" i="46" s="1"/>
  <c r="D56" i="29"/>
  <c r="D118" i="29" s="1"/>
  <c r="C118" i="29" s="1"/>
  <c r="D57" i="29"/>
  <c r="D183" i="29" s="1"/>
  <c r="C183" i="29" s="1"/>
  <c r="D55" i="29"/>
  <c r="C55" i="29" s="1"/>
  <c r="D54" i="29"/>
  <c r="D116" i="29" s="1"/>
  <c r="C116" i="29" s="1"/>
  <c r="U57" i="10"/>
  <c r="A40" i="24"/>
  <c r="A20" i="22"/>
  <c r="A37" i="22"/>
  <c r="A18" i="15"/>
  <c r="A42" i="15"/>
  <c r="A40" i="3"/>
  <c r="A30" i="2"/>
  <c r="A20" i="3"/>
  <c r="A40" i="23"/>
  <c r="A42" i="2"/>
  <c r="A20" i="23"/>
  <c r="A36" i="23"/>
  <c r="A41" i="15"/>
  <c r="A18" i="23"/>
  <c r="A20" i="24"/>
  <c r="A41" i="23"/>
  <c r="A30" i="15"/>
  <c r="A36" i="3"/>
  <c r="A43" i="2"/>
  <c r="A30" i="24"/>
  <c r="A18" i="22"/>
  <c r="A43" i="22"/>
  <c r="A40" i="15"/>
  <c r="A30" i="3"/>
  <c r="A20" i="2"/>
  <c r="A37" i="2"/>
  <c r="A42" i="23"/>
  <c r="A42" i="22"/>
  <c r="A36" i="24"/>
  <c r="A41" i="22"/>
  <c r="A18" i="2"/>
  <c r="A18" i="24"/>
  <c r="A42" i="24"/>
  <c r="A30" i="22"/>
  <c r="A20" i="15"/>
  <c r="A36" i="15"/>
  <c r="A18" i="3"/>
  <c r="A42" i="3"/>
  <c r="A41" i="2"/>
  <c r="A41" i="24"/>
  <c r="A30" i="23"/>
  <c r="A41" i="3"/>
  <c r="T41" i="10"/>
  <c r="D48" i="30"/>
  <c r="D110" i="30" s="1"/>
  <c r="D41" i="29"/>
  <c r="D103" i="29" s="1"/>
  <c r="D46" i="30"/>
  <c r="D171" i="30" s="1"/>
  <c r="D44" i="50"/>
  <c r="D40" i="61"/>
  <c r="D50" i="30"/>
  <c r="D175" i="30" s="1"/>
  <c r="D43" i="29"/>
  <c r="D105" i="29" s="1"/>
  <c r="E72" i="10"/>
  <c r="D39" i="61"/>
  <c r="T15" i="10"/>
  <c r="U15" i="10"/>
  <c r="U61" i="10"/>
  <c r="T19" i="10"/>
  <c r="U45" i="10"/>
  <c r="T37" i="10"/>
  <c r="Y45" i="10"/>
  <c r="T12" i="10"/>
  <c r="Y12" i="10"/>
  <c r="T50" i="10"/>
  <c r="U25" i="10"/>
  <c r="T25" i="10"/>
  <c r="U35" i="10"/>
  <c r="U36" i="10"/>
  <c r="U43" i="10"/>
  <c r="Y52" i="10"/>
  <c r="Y18" i="10"/>
  <c r="T18" i="10"/>
  <c r="Y35" i="10"/>
  <c r="B115" i="29"/>
  <c r="B182" i="29"/>
  <c r="B169" i="29"/>
  <c r="B97" i="29"/>
  <c r="B156" i="29"/>
  <c r="B176" i="29"/>
  <c r="B168" i="29"/>
  <c r="B181" i="29"/>
  <c r="B166" i="29"/>
  <c r="E49" i="15"/>
  <c r="E73" i="10"/>
  <c r="D49" i="3"/>
  <c r="D49" i="61"/>
  <c r="B92" i="29"/>
  <c r="B104" i="29"/>
  <c r="D53" i="30"/>
  <c r="D42" i="50"/>
  <c r="D52" i="30"/>
  <c r="D177" i="30" s="1"/>
  <c r="A49" i="3"/>
  <c r="D51" i="61"/>
  <c r="D47" i="29"/>
  <c r="D16" i="29"/>
  <c r="D78" i="29" s="1"/>
  <c r="D18" i="46"/>
  <c r="D25" i="29"/>
  <c r="D87" i="29" s="1"/>
  <c r="D34" i="30"/>
  <c r="D34" i="50"/>
  <c r="D34" i="29"/>
  <c r="D160" i="29" s="1"/>
  <c r="D34" i="61"/>
  <c r="T24" i="10"/>
  <c r="U17" i="10"/>
  <c r="D13" i="61"/>
  <c r="C13" i="61" s="1"/>
  <c r="D21" i="30"/>
  <c r="D26" i="61"/>
  <c r="D48" i="46"/>
  <c r="D47" i="61"/>
  <c r="D47" i="50"/>
  <c r="D47" i="30"/>
  <c r="D172" i="30" s="1"/>
  <c r="E33" i="56" l="1"/>
  <c r="D32" i="56"/>
  <c r="G62" i="77" s="1"/>
  <c r="G77" i="77" s="1"/>
  <c r="D33" i="56"/>
  <c r="F18" i="78"/>
  <c r="F21" i="78"/>
  <c r="F20" i="78"/>
  <c r="F17" i="78"/>
  <c r="F14" i="78"/>
  <c r="F15" i="78"/>
  <c r="F22" i="78"/>
  <c r="F22" i="76"/>
  <c r="F15" i="76"/>
  <c r="F21" i="76"/>
  <c r="F18" i="76"/>
  <c r="F20" i="76"/>
  <c r="F14" i="76"/>
  <c r="F17" i="76"/>
  <c r="F16" i="76"/>
  <c r="F37" i="29"/>
  <c r="B80" i="29"/>
  <c r="Z80" i="29" s="1"/>
  <c r="H80" i="29"/>
  <c r="H88" i="29"/>
  <c r="H97" i="29"/>
  <c r="H108" i="29"/>
  <c r="H146" i="29"/>
  <c r="H154" i="29"/>
  <c r="H165" i="29"/>
  <c r="H173" i="29"/>
  <c r="H81" i="29"/>
  <c r="H89" i="29"/>
  <c r="H98" i="29"/>
  <c r="H109" i="29"/>
  <c r="H139" i="29"/>
  <c r="H147" i="29"/>
  <c r="H155" i="29"/>
  <c r="H166" i="29"/>
  <c r="H174" i="29"/>
  <c r="H82" i="29"/>
  <c r="H90" i="29"/>
  <c r="H102" i="29"/>
  <c r="H110" i="29"/>
  <c r="H140" i="29"/>
  <c r="H148" i="29"/>
  <c r="H157" i="29"/>
  <c r="H167" i="29"/>
  <c r="H175" i="29"/>
  <c r="B75" i="29"/>
  <c r="S75" i="29" s="1"/>
  <c r="H75" i="29"/>
  <c r="B83" i="29"/>
  <c r="Z83" i="29" s="1"/>
  <c r="H83" i="29"/>
  <c r="H91" i="29"/>
  <c r="H103" i="29"/>
  <c r="H111" i="29"/>
  <c r="H141" i="29"/>
  <c r="H149" i="29"/>
  <c r="H158" i="29"/>
  <c r="H168" i="29"/>
  <c r="H176" i="29"/>
  <c r="H76" i="29"/>
  <c r="H84" i="29"/>
  <c r="H93" i="29"/>
  <c r="H104" i="29"/>
  <c r="H112" i="29"/>
  <c r="H142" i="29"/>
  <c r="H150" i="29"/>
  <c r="H159" i="29"/>
  <c r="H169" i="29"/>
  <c r="H177" i="29"/>
  <c r="H77" i="29"/>
  <c r="H85" i="29"/>
  <c r="H94" i="29"/>
  <c r="H105" i="29"/>
  <c r="H113" i="29"/>
  <c r="H143" i="29"/>
  <c r="H151" i="29"/>
  <c r="H160" i="29"/>
  <c r="H170" i="29"/>
  <c r="H178" i="29"/>
  <c r="H78" i="29"/>
  <c r="H86" i="29"/>
  <c r="H95" i="29"/>
  <c r="H106" i="29"/>
  <c r="H114" i="29"/>
  <c r="B144" i="29"/>
  <c r="Q144" i="29" s="1"/>
  <c r="H144" i="29"/>
  <c r="H152" i="29"/>
  <c r="H161" i="29"/>
  <c r="H171" i="29"/>
  <c r="H179" i="29"/>
  <c r="H79" i="29"/>
  <c r="H87" i="29"/>
  <c r="H96" i="29"/>
  <c r="H107" i="29"/>
  <c r="H115" i="29"/>
  <c r="H145" i="29"/>
  <c r="H153" i="29"/>
  <c r="H162" i="29"/>
  <c r="B172" i="29"/>
  <c r="X172" i="29" s="1"/>
  <c r="H172" i="29"/>
  <c r="M17" i="70"/>
  <c r="M83" i="81"/>
  <c r="F83" i="81" s="1"/>
  <c r="M56" i="78"/>
  <c r="F56" i="78" s="1"/>
  <c r="M51" i="78"/>
  <c r="F51" i="78" s="1"/>
  <c r="M47" i="78"/>
  <c r="F47" i="78" s="1"/>
  <c r="M43" i="78"/>
  <c r="F43" i="78" s="1"/>
  <c r="M39" i="78"/>
  <c r="F39" i="78" s="1"/>
  <c r="M35" i="78"/>
  <c r="F35" i="78" s="1"/>
  <c r="M31" i="78"/>
  <c r="F31" i="78" s="1"/>
  <c r="M27" i="78"/>
  <c r="F27" i="78" s="1"/>
  <c r="M55" i="77"/>
  <c r="F55" i="77" s="1"/>
  <c r="M47" i="77"/>
  <c r="F47" i="77" s="1"/>
  <c r="M39" i="77"/>
  <c r="F39" i="77" s="1"/>
  <c r="M31" i="77"/>
  <c r="F31" i="77" s="1"/>
  <c r="M54" i="76"/>
  <c r="F54" i="76" s="1"/>
  <c r="M46" i="76"/>
  <c r="F46" i="76" s="1"/>
  <c r="M38" i="76"/>
  <c r="F38" i="76" s="1"/>
  <c r="M30" i="76"/>
  <c r="F30" i="76" s="1"/>
  <c r="L95" i="75"/>
  <c r="F95" i="75" s="1"/>
  <c r="L86" i="75"/>
  <c r="F86" i="75" s="1"/>
  <c r="L83" i="75"/>
  <c r="F83" i="75" s="1"/>
  <c r="L56" i="75"/>
  <c r="F56" i="75" s="1"/>
  <c r="L48" i="75"/>
  <c r="F48" i="75" s="1"/>
  <c r="L40" i="75"/>
  <c r="F40" i="75" s="1"/>
  <c r="L32" i="75"/>
  <c r="F32" i="75" s="1"/>
  <c r="L24" i="75"/>
  <c r="F24" i="75" s="1"/>
  <c r="L51" i="72"/>
  <c r="L43" i="72"/>
  <c r="L35" i="72"/>
  <c r="L27" i="72"/>
  <c r="L56" i="71"/>
  <c r="F56" i="71" s="1"/>
  <c r="L54" i="71"/>
  <c r="F54" i="71" s="1"/>
  <c r="L52" i="71"/>
  <c r="F52" i="71" s="1"/>
  <c r="L50" i="71"/>
  <c r="F50" i="71" s="1"/>
  <c r="L48" i="71"/>
  <c r="F48" i="71" s="1"/>
  <c r="L46" i="71"/>
  <c r="F46" i="71" s="1"/>
  <c r="L44" i="71"/>
  <c r="F44" i="71" s="1"/>
  <c r="L42" i="71"/>
  <c r="F42" i="71" s="1"/>
  <c r="L40" i="71"/>
  <c r="F40" i="71" s="1"/>
  <c r="L38" i="71"/>
  <c r="F38" i="71" s="1"/>
  <c r="L36" i="71"/>
  <c r="F36" i="71" s="1"/>
  <c r="L34" i="71"/>
  <c r="F34" i="71" s="1"/>
  <c r="L32" i="71"/>
  <c r="F32" i="71" s="1"/>
  <c r="L30" i="71"/>
  <c r="F30" i="71" s="1"/>
  <c r="L28" i="71"/>
  <c r="F28" i="71" s="1"/>
  <c r="L26" i="71"/>
  <c r="F26" i="71" s="1"/>
  <c r="L24" i="71"/>
  <c r="F24" i="71" s="1"/>
  <c r="L109" i="70"/>
  <c r="F109" i="70" s="1"/>
  <c r="L96" i="70"/>
  <c r="F96" i="70" s="1"/>
  <c r="L92" i="70"/>
  <c r="F92" i="70" s="1"/>
  <c r="L57" i="70"/>
  <c r="F57" i="70" s="1"/>
  <c r="L55" i="70"/>
  <c r="F55" i="70" s="1"/>
  <c r="L53" i="70"/>
  <c r="F53" i="70" s="1"/>
  <c r="L51" i="70"/>
  <c r="F51" i="70" s="1"/>
  <c r="L49" i="70"/>
  <c r="F49" i="70" s="1"/>
  <c r="L47" i="70"/>
  <c r="F47" i="70" s="1"/>
  <c r="L45" i="70"/>
  <c r="F45" i="70" s="1"/>
  <c r="L43" i="70"/>
  <c r="F43" i="70" s="1"/>
  <c r="L41" i="70"/>
  <c r="F41" i="70" s="1"/>
  <c r="L39" i="70"/>
  <c r="F39" i="70" s="1"/>
  <c r="L37" i="70"/>
  <c r="F37" i="70" s="1"/>
  <c r="L35" i="70"/>
  <c r="F35" i="70" s="1"/>
  <c r="L33" i="70"/>
  <c r="F33" i="70" s="1"/>
  <c r="L31" i="70"/>
  <c r="F31" i="70" s="1"/>
  <c r="L29" i="70"/>
  <c r="F29" i="70" s="1"/>
  <c r="L27" i="70"/>
  <c r="F27" i="70" s="1"/>
  <c r="L25" i="70"/>
  <c r="F25" i="70" s="1"/>
  <c r="M57" i="78"/>
  <c r="F57" i="78" s="1"/>
  <c r="M50" i="77"/>
  <c r="F50" i="77" s="1"/>
  <c r="M42" i="77"/>
  <c r="F42" i="77" s="1"/>
  <c r="M34" i="77"/>
  <c r="F34" i="77" s="1"/>
  <c r="M26" i="77"/>
  <c r="F26" i="77" s="1"/>
  <c r="M57" i="76"/>
  <c r="F57" i="76" s="1"/>
  <c r="M49" i="76"/>
  <c r="F49" i="76" s="1"/>
  <c r="M41" i="76"/>
  <c r="F41" i="76" s="1"/>
  <c r="M33" i="76"/>
  <c r="F33" i="76" s="1"/>
  <c r="M25" i="76"/>
  <c r="F25" i="76" s="1"/>
  <c r="L99" i="75"/>
  <c r="F99" i="75" s="1"/>
  <c r="L97" i="75"/>
  <c r="F97" i="75" s="1"/>
  <c r="L53" i="75"/>
  <c r="F53" i="75" s="1"/>
  <c r="L45" i="75"/>
  <c r="F45" i="75" s="1"/>
  <c r="L37" i="75"/>
  <c r="F37" i="75" s="1"/>
  <c r="L29" i="75"/>
  <c r="F29" i="75" s="1"/>
  <c r="L54" i="72"/>
  <c r="L46" i="72"/>
  <c r="L38" i="72"/>
  <c r="L30" i="72"/>
  <c r="M52" i="78"/>
  <c r="F52" i="78" s="1"/>
  <c r="M48" i="78"/>
  <c r="F48" i="78" s="1"/>
  <c r="M44" i="78"/>
  <c r="F44" i="78" s="1"/>
  <c r="M40" i="78"/>
  <c r="F40" i="78" s="1"/>
  <c r="M36" i="78"/>
  <c r="F36" i="78" s="1"/>
  <c r="M32" i="78"/>
  <c r="F32" i="78" s="1"/>
  <c r="M28" i="78"/>
  <c r="F28" i="78" s="1"/>
  <c r="M24" i="78"/>
  <c r="F24" i="78" s="1"/>
  <c r="M53" i="77"/>
  <c r="F53" i="77" s="1"/>
  <c r="M45" i="77"/>
  <c r="F45" i="77" s="1"/>
  <c r="M37" i="77"/>
  <c r="F37" i="77" s="1"/>
  <c r="M29" i="77"/>
  <c r="F29" i="77" s="1"/>
  <c r="M101" i="76"/>
  <c r="F101" i="76" s="1"/>
  <c r="M80" i="76"/>
  <c r="F80" i="76" s="1"/>
  <c r="M52" i="76"/>
  <c r="F52" i="76" s="1"/>
  <c r="M44" i="76"/>
  <c r="F44" i="76" s="1"/>
  <c r="M36" i="76"/>
  <c r="F36" i="76" s="1"/>
  <c r="M28" i="76"/>
  <c r="F28" i="76" s="1"/>
  <c r="L111" i="75"/>
  <c r="F111" i="75" s="1"/>
  <c r="L101" i="75"/>
  <c r="F101" i="75" s="1"/>
  <c r="L88" i="75"/>
  <c r="F88" i="75" s="1"/>
  <c r="L79" i="75"/>
  <c r="F79" i="75" s="1"/>
  <c r="L50" i="75"/>
  <c r="F50" i="75" s="1"/>
  <c r="L42" i="75"/>
  <c r="F42" i="75" s="1"/>
  <c r="L34" i="75"/>
  <c r="F34" i="75" s="1"/>
  <c r="L26" i="75"/>
  <c r="F26" i="75" s="1"/>
  <c r="L49" i="72"/>
  <c r="L41" i="72"/>
  <c r="L33" i="72"/>
  <c r="L25" i="72"/>
  <c r="M56" i="81"/>
  <c r="F56" i="81" s="1"/>
  <c r="M54" i="81"/>
  <c r="F54" i="81" s="1"/>
  <c r="M52" i="81"/>
  <c r="F52" i="81" s="1"/>
  <c r="M50" i="81"/>
  <c r="F50" i="81" s="1"/>
  <c r="M48" i="81"/>
  <c r="F48" i="81" s="1"/>
  <c r="M46" i="81"/>
  <c r="F46" i="81" s="1"/>
  <c r="M44" i="81"/>
  <c r="F44" i="81" s="1"/>
  <c r="M42" i="81"/>
  <c r="F42" i="81" s="1"/>
  <c r="M40" i="81"/>
  <c r="F40" i="81" s="1"/>
  <c r="M38" i="81"/>
  <c r="F38" i="81" s="1"/>
  <c r="M36" i="81"/>
  <c r="F36" i="81" s="1"/>
  <c r="M34" i="81"/>
  <c r="F34" i="81" s="1"/>
  <c r="M32" i="81"/>
  <c r="F32" i="81" s="1"/>
  <c r="M30" i="81"/>
  <c r="F30" i="81" s="1"/>
  <c r="M28" i="81"/>
  <c r="F28" i="81" s="1"/>
  <c r="M26" i="81"/>
  <c r="F26" i="81" s="1"/>
  <c r="M24" i="81"/>
  <c r="F24" i="81" s="1"/>
  <c r="M56" i="77"/>
  <c r="F56" i="77" s="1"/>
  <c r="M48" i="77"/>
  <c r="F48" i="77" s="1"/>
  <c r="M40" i="77"/>
  <c r="F40" i="77" s="1"/>
  <c r="M32" i="77"/>
  <c r="F32" i="77" s="1"/>
  <c r="M24" i="77"/>
  <c r="F24" i="77" s="1"/>
  <c r="M83" i="76"/>
  <c r="F83" i="76" s="1"/>
  <c r="M55" i="76"/>
  <c r="F55" i="76" s="1"/>
  <c r="M47" i="76"/>
  <c r="F47" i="76" s="1"/>
  <c r="M39" i="76"/>
  <c r="F39" i="76" s="1"/>
  <c r="M31" i="76"/>
  <c r="F31" i="76" s="1"/>
  <c r="L103" i="75"/>
  <c r="F103" i="75" s="1"/>
  <c r="L82" i="75"/>
  <c r="F82" i="75" s="1"/>
  <c r="L55" i="75"/>
  <c r="F55" i="75" s="1"/>
  <c r="L47" i="75"/>
  <c r="F47" i="75" s="1"/>
  <c r="L39" i="75"/>
  <c r="F39" i="75" s="1"/>
  <c r="L31" i="75"/>
  <c r="F31" i="75" s="1"/>
  <c r="L55" i="72"/>
  <c r="L52" i="72"/>
  <c r="L44" i="72"/>
  <c r="L36" i="72"/>
  <c r="L28" i="72"/>
  <c r="L83" i="70"/>
  <c r="F83" i="70" s="1"/>
  <c r="M53" i="78"/>
  <c r="F53" i="78" s="1"/>
  <c r="M49" i="78"/>
  <c r="F49" i="78" s="1"/>
  <c r="M45" i="78"/>
  <c r="F45" i="78" s="1"/>
  <c r="M41" i="78"/>
  <c r="F41" i="78" s="1"/>
  <c r="M37" i="78"/>
  <c r="F37" i="78" s="1"/>
  <c r="M33" i="78"/>
  <c r="F33" i="78" s="1"/>
  <c r="M29" i="78"/>
  <c r="F29" i="78" s="1"/>
  <c r="M25" i="78"/>
  <c r="F25" i="78" s="1"/>
  <c r="M51" i="77"/>
  <c r="F51" i="77" s="1"/>
  <c r="M43" i="77"/>
  <c r="F43" i="77" s="1"/>
  <c r="M35" i="77"/>
  <c r="F35" i="77" s="1"/>
  <c r="M27" i="77"/>
  <c r="F27" i="77" s="1"/>
  <c r="M50" i="76"/>
  <c r="F50" i="76" s="1"/>
  <c r="M42" i="76"/>
  <c r="F42" i="76" s="1"/>
  <c r="M34" i="76"/>
  <c r="F34" i="76" s="1"/>
  <c r="M26" i="76"/>
  <c r="F26" i="76" s="1"/>
  <c r="L52" i="75"/>
  <c r="F52" i="75" s="1"/>
  <c r="L44" i="75"/>
  <c r="F44" i="75" s="1"/>
  <c r="L36" i="75"/>
  <c r="F36" i="75" s="1"/>
  <c r="L28" i="75"/>
  <c r="F28" i="75" s="1"/>
  <c r="L47" i="72"/>
  <c r="L39" i="72"/>
  <c r="L31" i="72"/>
  <c r="L57" i="71"/>
  <c r="F57" i="71" s="1"/>
  <c r="L55" i="71"/>
  <c r="F55" i="71" s="1"/>
  <c r="L53" i="71"/>
  <c r="F53" i="71" s="1"/>
  <c r="L51" i="71"/>
  <c r="F51" i="71" s="1"/>
  <c r="L49" i="71"/>
  <c r="F49" i="71" s="1"/>
  <c r="L47" i="71"/>
  <c r="F47" i="71" s="1"/>
  <c r="L45" i="71"/>
  <c r="F45" i="71" s="1"/>
  <c r="L43" i="71"/>
  <c r="F43" i="71" s="1"/>
  <c r="L41" i="71"/>
  <c r="F41" i="71" s="1"/>
  <c r="L39" i="71"/>
  <c r="F39" i="71" s="1"/>
  <c r="L37" i="71"/>
  <c r="F37" i="71" s="1"/>
  <c r="L35" i="71"/>
  <c r="F35" i="71" s="1"/>
  <c r="L33" i="71"/>
  <c r="F33" i="71" s="1"/>
  <c r="L31" i="71"/>
  <c r="F31" i="71" s="1"/>
  <c r="L29" i="71"/>
  <c r="F29" i="71" s="1"/>
  <c r="L27" i="71"/>
  <c r="F27" i="71" s="1"/>
  <c r="L25" i="71"/>
  <c r="F25" i="71" s="1"/>
  <c r="L94" i="70"/>
  <c r="F94" i="70" s="1"/>
  <c r="L56" i="70"/>
  <c r="F56" i="70" s="1"/>
  <c r="L54" i="70"/>
  <c r="F54" i="70" s="1"/>
  <c r="L52" i="70"/>
  <c r="F52" i="70" s="1"/>
  <c r="L50" i="70"/>
  <c r="F50" i="70" s="1"/>
  <c r="L48" i="70"/>
  <c r="F48" i="70" s="1"/>
  <c r="L46" i="70"/>
  <c r="F46" i="70" s="1"/>
  <c r="L44" i="70"/>
  <c r="F44" i="70" s="1"/>
  <c r="L42" i="70"/>
  <c r="F42" i="70" s="1"/>
  <c r="L40" i="70"/>
  <c r="F40" i="70" s="1"/>
  <c r="L38" i="70"/>
  <c r="F38" i="70" s="1"/>
  <c r="L36" i="70"/>
  <c r="F36" i="70" s="1"/>
  <c r="L34" i="70"/>
  <c r="F34" i="70" s="1"/>
  <c r="L32" i="70"/>
  <c r="F32" i="70" s="1"/>
  <c r="L30" i="70"/>
  <c r="F30" i="70" s="1"/>
  <c r="L28" i="70"/>
  <c r="F28" i="70" s="1"/>
  <c r="L26" i="70"/>
  <c r="F26" i="70" s="1"/>
  <c r="L24" i="70"/>
  <c r="F24" i="70" s="1"/>
  <c r="M104" i="81"/>
  <c r="F104" i="81" s="1"/>
  <c r="M54" i="77"/>
  <c r="F54" i="77" s="1"/>
  <c r="M46" i="77"/>
  <c r="F46" i="77" s="1"/>
  <c r="M38" i="77"/>
  <c r="F38" i="77" s="1"/>
  <c r="M30" i="77"/>
  <c r="F30" i="77" s="1"/>
  <c r="M85" i="76"/>
  <c r="F85" i="76" s="1"/>
  <c r="M53" i="76"/>
  <c r="F53" i="76" s="1"/>
  <c r="M45" i="76"/>
  <c r="F45" i="76" s="1"/>
  <c r="M37" i="76"/>
  <c r="F37" i="76" s="1"/>
  <c r="M29" i="76"/>
  <c r="F29" i="76" s="1"/>
  <c r="L100" i="75"/>
  <c r="F100" i="75" s="1"/>
  <c r="L98" i="75"/>
  <c r="F98" i="75" s="1"/>
  <c r="L96" i="75"/>
  <c r="F96" i="75" s="1"/>
  <c r="L87" i="75"/>
  <c r="F87" i="75" s="1"/>
  <c r="L57" i="75"/>
  <c r="F57" i="75" s="1"/>
  <c r="L49" i="75"/>
  <c r="F49" i="75" s="1"/>
  <c r="L41" i="75"/>
  <c r="F41" i="75" s="1"/>
  <c r="L33" i="75"/>
  <c r="F33" i="75" s="1"/>
  <c r="L25" i="75"/>
  <c r="F25" i="75" s="1"/>
  <c r="L56" i="72"/>
  <c r="L50" i="72"/>
  <c r="L42" i="72"/>
  <c r="L34" i="72"/>
  <c r="L26" i="72"/>
  <c r="M54" i="78"/>
  <c r="F54" i="78" s="1"/>
  <c r="M50" i="78"/>
  <c r="F50" i="78" s="1"/>
  <c r="M46" i="78"/>
  <c r="F46" i="78" s="1"/>
  <c r="M42" i="78"/>
  <c r="F42" i="78" s="1"/>
  <c r="M38" i="78"/>
  <c r="F38" i="78" s="1"/>
  <c r="M34" i="78"/>
  <c r="F34" i="78" s="1"/>
  <c r="M30" i="78"/>
  <c r="F30" i="78" s="1"/>
  <c r="M26" i="78"/>
  <c r="F26" i="78" s="1"/>
  <c r="M57" i="77"/>
  <c r="F57" i="77" s="1"/>
  <c r="M49" i="77"/>
  <c r="F49" i="77" s="1"/>
  <c r="M41" i="77"/>
  <c r="F41" i="77" s="1"/>
  <c r="M33" i="77"/>
  <c r="F33" i="77" s="1"/>
  <c r="M25" i="77"/>
  <c r="F25" i="77" s="1"/>
  <c r="M88" i="76"/>
  <c r="F88" i="76" s="1"/>
  <c r="M56" i="76"/>
  <c r="F56" i="76" s="1"/>
  <c r="M48" i="76"/>
  <c r="F48" i="76" s="1"/>
  <c r="M40" i="76"/>
  <c r="F40" i="76" s="1"/>
  <c r="M32" i="76"/>
  <c r="F32" i="76" s="1"/>
  <c r="M24" i="76"/>
  <c r="F24" i="76" s="1"/>
  <c r="L54" i="75"/>
  <c r="F54" i="75" s="1"/>
  <c r="L46" i="75"/>
  <c r="F46" i="75" s="1"/>
  <c r="L38" i="75"/>
  <c r="F38" i="75" s="1"/>
  <c r="L30" i="75"/>
  <c r="F30" i="75" s="1"/>
  <c r="L53" i="72"/>
  <c r="L45" i="72"/>
  <c r="L37" i="72"/>
  <c r="L29" i="72"/>
  <c r="M57" i="81"/>
  <c r="F57" i="81" s="1"/>
  <c r="M55" i="81"/>
  <c r="F55" i="81" s="1"/>
  <c r="M53" i="81"/>
  <c r="F53" i="81" s="1"/>
  <c r="M51" i="81"/>
  <c r="F51" i="81" s="1"/>
  <c r="M49" i="81"/>
  <c r="F49" i="81" s="1"/>
  <c r="M47" i="81"/>
  <c r="F47" i="81" s="1"/>
  <c r="M45" i="81"/>
  <c r="F45" i="81" s="1"/>
  <c r="M43" i="81"/>
  <c r="F43" i="81" s="1"/>
  <c r="M41" i="81"/>
  <c r="F41" i="81" s="1"/>
  <c r="M39" i="81"/>
  <c r="F39" i="81" s="1"/>
  <c r="M37" i="81"/>
  <c r="F37" i="81" s="1"/>
  <c r="M35" i="81"/>
  <c r="F35" i="81" s="1"/>
  <c r="M33" i="81"/>
  <c r="F33" i="81" s="1"/>
  <c r="M31" i="81"/>
  <c r="F31" i="81" s="1"/>
  <c r="M29" i="81"/>
  <c r="F29" i="81" s="1"/>
  <c r="M27" i="81"/>
  <c r="F27" i="81" s="1"/>
  <c r="M25" i="81"/>
  <c r="F25" i="81" s="1"/>
  <c r="M55" i="78"/>
  <c r="F55" i="78" s="1"/>
  <c r="M52" i="77"/>
  <c r="F52" i="77" s="1"/>
  <c r="M44" i="77"/>
  <c r="F44" i="77" s="1"/>
  <c r="M36" i="77"/>
  <c r="F36" i="77" s="1"/>
  <c r="M28" i="77"/>
  <c r="F28" i="77" s="1"/>
  <c r="M109" i="76"/>
  <c r="F109" i="76" s="1"/>
  <c r="M107" i="76"/>
  <c r="F107" i="76" s="1"/>
  <c r="M96" i="76"/>
  <c r="F96" i="76" s="1"/>
  <c r="M51" i="76"/>
  <c r="F51" i="76" s="1"/>
  <c r="M43" i="76"/>
  <c r="F43" i="76" s="1"/>
  <c r="M35" i="76"/>
  <c r="F35" i="76" s="1"/>
  <c r="M27" i="76"/>
  <c r="F27" i="76" s="1"/>
  <c r="L112" i="75"/>
  <c r="F112" i="75" s="1"/>
  <c r="L51" i="75"/>
  <c r="F51" i="75" s="1"/>
  <c r="L43" i="75"/>
  <c r="F43" i="75" s="1"/>
  <c r="L35" i="75"/>
  <c r="F35" i="75" s="1"/>
  <c r="L27" i="75"/>
  <c r="F27" i="75" s="1"/>
  <c r="L57" i="72"/>
  <c r="L48" i="72"/>
  <c r="L40" i="72"/>
  <c r="L32" i="72"/>
  <c r="L24" i="72"/>
  <c r="L82" i="70"/>
  <c r="F82" i="70" s="1"/>
  <c r="L106" i="70"/>
  <c r="F106" i="70" s="1"/>
  <c r="L85" i="70"/>
  <c r="F85" i="70" s="1"/>
  <c r="M107" i="81"/>
  <c r="F107" i="81" s="1"/>
  <c r="M87" i="76"/>
  <c r="F87" i="76" s="1"/>
  <c r="M80" i="81"/>
  <c r="F80" i="81" s="1"/>
  <c r="M106" i="81"/>
  <c r="F106" i="81" s="1"/>
  <c r="M98" i="81"/>
  <c r="F98" i="81" s="1"/>
  <c r="L81" i="70"/>
  <c r="F81" i="70" s="1"/>
  <c r="L110" i="70"/>
  <c r="F110" i="70" s="1"/>
  <c r="L104" i="75"/>
  <c r="F104" i="75" s="1"/>
  <c r="L110" i="75"/>
  <c r="F110" i="75" s="1"/>
  <c r="L109" i="75"/>
  <c r="F109" i="75" s="1"/>
  <c r="M100" i="76"/>
  <c r="F100" i="76" s="1"/>
  <c r="L103" i="70"/>
  <c r="F103" i="70" s="1"/>
  <c r="L107" i="75"/>
  <c r="F107" i="75" s="1"/>
  <c r="L89" i="75"/>
  <c r="F89" i="75" s="1"/>
  <c r="M109" i="81"/>
  <c r="F109" i="81" s="1"/>
  <c r="M111" i="76"/>
  <c r="F111" i="76" s="1"/>
  <c r="M89" i="76"/>
  <c r="F89" i="76" s="1"/>
  <c r="L104" i="70"/>
  <c r="F104" i="70" s="1"/>
  <c r="L97" i="70"/>
  <c r="F97" i="70" s="1"/>
  <c r="L79" i="70"/>
  <c r="F79" i="70" s="1"/>
  <c r="L99" i="70"/>
  <c r="F99" i="70" s="1"/>
  <c r="L111" i="70"/>
  <c r="F111" i="70" s="1"/>
  <c r="M105" i="76"/>
  <c r="F105" i="76" s="1"/>
  <c r="M103" i="81"/>
  <c r="F103" i="81" s="1"/>
  <c r="M81" i="81"/>
  <c r="F81" i="81" s="1"/>
  <c r="M105" i="81"/>
  <c r="F105" i="81" s="1"/>
  <c r="M100" i="81"/>
  <c r="F100" i="81" s="1"/>
  <c r="L106" i="75"/>
  <c r="F106" i="75" s="1"/>
  <c r="M104" i="76"/>
  <c r="F104" i="76" s="1"/>
  <c r="L102" i="75"/>
  <c r="F102" i="75" s="1"/>
  <c r="M85" i="81"/>
  <c r="F85" i="81" s="1"/>
  <c r="M112" i="81"/>
  <c r="F112" i="81" s="1"/>
  <c r="M93" i="76"/>
  <c r="F93" i="76" s="1"/>
  <c r="M90" i="76"/>
  <c r="F90" i="76" s="1"/>
  <c r="M95" i="76"/>
  <c r="F95" i="76" s="1"/>
  <c r="M93" i="81"/>
  <c r="F93" i="81" s="1"/>
  <c r="L102" i="70"/>
  <c r="F102" i="70" s="1"/>
  <c r="L89" i="70"/>
  <c r="F89" i="70" s="1"/>
  <c r="M110" i="76"/>
  <c r="F110" i="76" s="1"/>
  <c r="M81" i="76"/>
  <c r="F81" i="76" s="1"/>
  <c r="M82" i="81"/>
  <c r="F82" i="81" s="1"/>
  <c r="M92" i="81"/>
  <c r="F92" i="81" s="1"/>
  <c r="M110" i="81"/>
  <c r="F110" i="81" s="1"/>
  <c r="L95" i="70"/>
  <c r="F95" i="70" s="1"/>
  <c r="L105" i="75"/>
  <c r="F105" i="75" s="1"/>
  <c r="M103" i="76"/>
  <c r="F103" i="76" s="1"/>
  <c r="L112" i="70"/>
  <c r="F112" i="70" s="1"/>
  <c r="M91" i="81"/>
  <c r="F91" i="81" s="1"/>
  <c r="M87" i="81"/>
  <c r="F87" i="81" s="1"/>
  <c r="L94" i="75"/>
  <c r="F94" i="75" s="1"/>
  <c r="M82" i="76"/>
  <c r="F82" i="76" s="1"/>
  <c r="M97" i="76"/>
  <c r="F97" i="76" s="1"/>
  <c r="M97" i="81"/>
  <c r="F97" i="81" s="1"/>
  <c r="M89" i="81"/>
  <c r="F89" i="81" s="1"/>
  <c r="L85" i="75"/>
  <c r="F85" i="75" s="1"/>
  <c r="L101" i="70"/>
  <c r="F101" i="70" s="1"/>
  <c r="M91" i="76"/>
  <c r="F91" i="76" s="1"/>
  <c r="M98" i="76"/>
  <c r="F98" i="76" s="1"/>
  <c r="M112" i="76"/>
  <c r="F112" i="76" s="1"/>
  <c r="M79" i="76"/>
  <c r="F79" i="76" s="1"/>
  <c r="L93" i="70"/>
  <c r="F93" i="70" s="1"/>
  <c r="M94" i="81"/>
  <c r="F94" i="81" s="1"/>
  <c r="M102" i="81"/>
  <c r="F102" i="81" s="1"/>
  <c r="L81" i="75"/>
  <c r="F81" i="75" s="1"/>
  <c r="L84" i="75"/>
  <c r="F84" i="75" s="1"/>
  <c r="L93" i="75"/>
  <c r="F93" i="75" s="1"/>
  <c r="L92" i="75"/>
  <c r="F92" i="75" s="1"/>
  <c r="L90" i="75"/>
  <c r="F90" i="75" s="1"/>
  <c r="L107" i="70"/>
  <c r="F107" i="70" s="1"/>
  <c r="M99" i="76"/>
  <c r="F99" i="76" s="1"/>
  <c r="L80" i="70"/>
  <c r="F80" i="70" s="1"/>
  <c r="L88" i="70"/>
  <c r="F88" i="70" s="1"/>
  <c r="L91" i="70"/>
  <c r="F91" i="70" s="1"/>
  <c r="M108" i="76"/>
  <c r="F108" i="76" s="1"/>
  <c r="M84" i="81"/>
  <c r="F84" i="81" s="1"/>
  <c r="L87" i="70"/>
  <c r="F87" i="70" s="1"/>
  <c r="L91" i="75"/>
  <c r="F91" i="75" s="1"/>
  <c r="M88" i="81"/>
  <c r="F88" i="81" s="1"/>
  <c r="M96" i="81"/>
  <c r="F96" i="81" s="1"/>
  <c r="L98" i="70"/>
  <c r="F98" i="70" s="1"/>
  <c r="M99" i="81"/>
  <c r="F99" i="81" s="1"/>
  <c r="L84" i="70"/>
  <c r="F84" i="70" s="1"/>
  <c r="L105" i="70"/>
  <c r="F105" i="70" s="1"/>
  <c r="L108" i="75"/>
  <c r="F108" i="75" s="1"/>
  <c r="M92" i="76"/>
  <c r="F92" i="76" s="1"/>
  <c r="M95" i="81"/>
  <c r="F95" i="81" s="1"/>
  <c r="M108" i="81"/>
  <c r="F108" i="81" s="1"/>
  <c r="L100" i="70"/>
  <c r="F100" i="70" s="1"/>
  <c r="L108" i="70"/>
  <c r="F108" i="70" s="1"/>
  <c r="M101" i="81"/>
  <c r="F101" i="81" s="1"/>
  <c r="M86" i="76"/>
  <c r="F86" i="76" s="1"/>
  <c r="M106" i="76"/>
  <c r="F106" i="76" s="1"/>
  <c r="L90" i="70"/>
  <c r="F90" i="70" s="1"/>
  <c r="M86" i="81"/>
  <c r="F86" i="81" s="1"/>
  <c r="L86" i="70"/>
  <c r="F86" i="70" s="1"/>
  <c r="L80" i="75"/>
  <c r="F80" i="75" s="1"/>
  <c r="M102" i="76"/>
  <c r="F102" i="76" s="1"/>
  <c r="M84" i="76"/>
  <c r="F84" i="76" s="1"/>
  <c r="M94" i="76"/>
  <c r="F94" i="76" s="1"/>
  <c r="M79" i="81"/>
  <c r="F79" i="81" s="1"/>
  <c r="M111" i="81"/>
  <c r="F111" i="81" s="1"/>
  <c r="M90" i="81"/>
  <c r="F90" i="81" s="1"/>
  <c r="U30" i="30"/>
  <c r="T30" i="30"/>
  <c r="S30" i="30"/>
  <c r="R30" i="30"/>
  <c r="Q30" i="30"/>
  <c r="X30" i="30"/>
  <c r="P30" i="30"/>
  <c r="W30" i="30"/>
  <c r="O30" i="30"/>
  <c r="V30" i="30"/>
  <c r="N30" i="30"/>
  <c r="M18" i="72"/>
  <c r="F18" i="72" s="1"/>
  <c r="M17" i="72"/>
  <c r="F17" i="72" s="1"/>
  <c r="S45" i="59"/>
  <c r="S61" i="59"/>
  <c r="K15" i="70"/>
  <c r="N61" i="21"/>
  <c r="N53" i="21"/>
  <c r="N45" i="21"/>
  <c r="N36" i="21"/>
  <c r="Q32" i="21"/>
  <c r="L37" i="21"/>
  <c r="L34" i="21"/>
  <c r="L9" i="21"/>
  <c r="L8" i="21"/>
  <c r="L7" i="21"/>
  <c r="M16" i="21"/>
  <c r="Q31" i="21"/>
  <c r="M22" i="21"/>
  <c r="O64" i="21"/>
  <c r="O59" i="21"/>
  <c r="Q71" i="21"/>
  <c r="L40" i="21"/>
  <c r="O69" i="21"/>
  <c r="O37" i="21"/>
  <c r="M18" i="21"/>
  <c r="Q63" i="21"/>
  <c r="O42" i="21"/>
  <c r="L24" i="21"/>
  <c r="Q55" i="21"/>
  <c r="N52" i="21"/>
  <c r="O47" i="21"/>
  <c r="O6" i="21"/>
  <c r="Q47" i="21"/>
  <c r="F60" i="18"/>
  <c r="N69" i="21"/>
  <c r="N64" i="21"/>
  <c r="N59" i="21"/>
  <c r="O54" i="21"/>
  <c r="O49" i="21"/>
  <c r="N47" i="21"/>
  <c r="O44" i="21"/>
  <c r="N42" i="21"/>
  <c r="N37" i="21"/>
  <c r="M31" i="21"/>
  <c r="L26" i="21"/>
  <c r="Q70" i="21"/>
  <c r="Q62" i="21"/>
  <c r="Q54" i="21"/>
  <c r="Q46" i="21"/>
  <c r="Q38" i="21"/>
  <c r="Q30" i="21"/>
  <c r="F52" i="18"/>
  <c r="O71" i="21"/>
  <c r="O66" i="21"/>
  <c r="O61" i="21"/>
  <c r="O56" i="21"/>
  <c r="N54" i="21"/>
  <c r="O51" i="21"/>
  <c r="N49" i="21"/>
  <c r="N44" i="21"/>
  <c r="O39" i="21"/>
  <c r="O34" i="21"/>
  <c r="L31" i="21"/>
  <c r="P25" i="21"/>
  <c r="Q69" i="21"/>
  <c r="Q61" i="21"/>
  <c r="Q53" i="21"/>
  <c r="Q45" i="21"/>
  <c r="Q37" i="21"/>
  <c r="Q29" i="21"/>
  <c r="T5" i="13"/>
  <c r="F44" i="18"/>
  <c r="M16" i="78" s="1"/>
  <c r="F16" i="78" s="1"/>
  <c r="F32" i="13"/>
  <c r="N71" i="21"/>
  <c r="O68" i="21"/>
  <c r="N66" i="21"/>
  <c r="N56" i="21"/>
  <c r="N51" i="21"/>
  <c r="O46" i="21"/>
  <c r="O41" i="21"/>
  <c r="N39" i="21"/>
  <c r="O36" i="21"/>
  <c r="N34" i="21"/>
  <c r="M29" i="21"/>
  <c r="O27" i="21"/>
  <c r="N23" i="21"/>
  <c r="N21" i="21"/>
  <c r="N19" i="21"/>
  <c r="N17" i="21"/>
  <c r="O73" i="21"/>
  <c r="Q68" i="21"/>
  <c r="Q60" i="21"/>
  <c r="Q52" i="21"/>
  <c r="Q36" i="21"/>
  <c r="F35" i="18"/>
  <c r="J35" i="23" s="1"/>
  <c r="N68" i="21"/>
  <c r="O63" i="21"/>
  <c r="O58" i="21"/>
  <c r="O53" i="21"/>
  <c r="O48" i="21"/>
  <c r="N46" i="21"/>
  <c r="O43" i="21"/>
  <c r="N41" i="21"/>
  <c r="M32" i="21"/>
  <c r="L29" i="21"/>
  <c r="M23" i="21"/>
  <c r="M21" i="21"/>
  <c r="M19" i="21"/>
  <c r="M17" i="21"/>
  <c r="N73" i="21"/>
  <c r="Q67" i="21"/>
  <c r="Q59" i="21"/>
  <c r="Q51" i="21"/>
  <c r="Q43" i="21"/>
  <c r="Q35" i="21"/>
  <c r="L6" i="21"/>
  <c r="L72" i="21"/>
  <c r="L69" i="21"/>
  <c r="P68" i="21"/>
  <c r="P67" i="21"/>
  <c r="L66" i="21"/>
  <c r="P65" i="21"/>
  <c r="L64" i="21"/>
  <c r="L61" i="21"/>
  <c r="P60" i="21"/>
  <c r="P59" i="21"/>
  <c r="L58" i="21"/>
  <c r="P57" i="21"/>
  <c r="L56" i="21"/>
  <c r="P54" i="21"/>
  <c r="L53" i="21"/>
  <c r="P52" i="21"/>
  <c r="P51" i="21"/>
  <c r="L50" i="21"/>
  <c r="P49" i="21"/>
  <c r="L48" i="21"/>
  <c r="P46" i="21"/>
  <c r="L45" i="21"/>
  <c r="P44" i="21"/>
  <c r="P43" i="21"/>
  <c r="L42" i="21"/>
  <c r="P41" i="21"/>
  <c r="P36" i="21"/>
  <c r="P35" i="21"/>
  <c r="Q26" i="21"/>
  <c r="O25" i="21"/>
  <c r="N24" i="21"/>
  <c r="P22" i="21"/>
  <c r="P20" i="21"/>
  <c r="L15" i="21"/>
  <c r="L13" i="21"/>
  <c r="M11" i="21"/>
  <c r="O70" i="21"/>
  <c r="O65" i="21"/>
  <c r="N63" i="21"/>
  <c r="O60" i="21"/>
  <c r="N58" i="21"/>
  <c r="N48" i="21"/>
  <c r="N43" i="21"/>
  <c r="O38" i="21"/>
  <c r="P33" i="21"/>
  <c r="L32" i="21"/>
  <c r="L25" i="21"/>
  <c r="Q6" i="21"/>
  <c r="Q66" i="21"/>
  <c r="Q58" i="21"/>
  <c r="Q50" i="21"/>
  <c r="Q42" i="21"/>
  <c r="Q34" i="21"/>
  <c r="O72" i="21"/>
  <c r="N70" i="21"/>
  <c r="O67" i="21"/>
  <c r="N65" i="21"/>
  <c r="N60" i="21"/>
  <c r="O55" i="21"/>
  <c r="O50" i="21"/>
  <c r="O45" i="21"/>
  <c r="O40" i="21"/>
  <c r="N38" i="21"/>
  <c r="O35" i="21"/>
  <c r="M30" i="21"/>
  <c r="O28" i="21"/>
  <c r="P24" i="21"/>
  <c r="Q73" i="21"/>
  <c r="Q65" i="21"/>
  <c r="Q57" i="21"/>
  <c r="Q49" i="21"/>
  <c r="Q41" i="21"/>
  <c r="N72" i="21"/>
  <c r="N67" i="21"/>
  <c r="O62" i="21"/>
  <c r="O57" i="21"/>
  <c r="N55" i="21"/>
  <c r="O52" i="21"/>
  <c r="N50" i="21"/>
  <c r="N40" i="21"/>
  <c r="N35" i="21"/>
  <c r="L30" i="21"/>
  <c r="P26" i="21"/>
  <c r="N22" i="21"/>
  <c r="N20" i="21"/>
  <c r="N18" i="21"/>
  <c r="N16" i="21"/>
  <c r="N6" i="21"/>
  <c r="Q72" i="21"/>
  <c r="Q64" i="21"/>
  <c r="Q56" i="21"/>
  <c r="Q48" i="21"/>
  <c r="Q40" i="21"/>
  <c r="L70" i="21"/>
  <c r="P66" i="21"/>
  <c r="L62" i="21"/>
  <c r="P58" i="21"/>
  <c r="L54" i="21"/>
  <c r="P50" i="21"/>
  <c r="L46" i="21"/>
  <c r="P42" i="21"/>
  <c r="L38" i="21"/>
  <c r="P34" i="21"/>
  <c r="M33" i="21"/>
  <c r="P18" i="21"/>
  <c r="L14" i="21"/>
  <c r="M9" i="21"/>
  <c r="P73" i="21"/>
  <c r="Q24" i="21"/>
  <c r="Q8" i="21"/>
  <c r="F7" i="13"/>
  <c r="F69" i="11"/>
  <c r="F61" i="11"/>
  <c r="F53" i="11"/>
  <c r="F45" i="11"/>
  <c r="K47" i="3" s="1"/>
  <c r="M71" i="76" s="1"/>
  <c r="F36" i="11"/>
  <c r="F8" i="13"/>
  <c r="J7" i="15" s="1"/>
  <c r="L123" i="70" s="1"/>
  <c r="F37" i="11"/>
  <c r="P69" i="21"/>
  <c r="L65" i="21"/>
  <c r="P61" i="21"/>
  <c r="L57" i="21"/>
  <c r="P53" i="21"/>
  <c r="L49" i="21"/>
  <c r="P45" i="21"/>
  <c r="L41" i="21"/>
  <c r="P37" i="21"/>
  <c r="O26" i="21"/>
  <c r="P21" i="21"/>
  <c r="M12" i="21"/>
  <c r="P6" i="21"/>
  <c r="Q15" i="21"/>
  <c r="Q7" i="21"/>
  <c r="F14" i="13"/>
  <c r="F6" i="13"/>
  <c r="F68" i="11"/>
  <c r="F60" i="11"/>
  <c r="F52" i="11"/>
  <c r="F43" i="11"/>
  <c r="J45" i="24" s="1"/>
  <c r="M125" i="81" s="1"/>
  <c r="F35" i="11"/>
  <c r="F25" i="18"/>
  <c r="F21" i="20"/>
  <c r="P72" i="21"/>
  <c r="L68" i="21"/>
  <c r="P64" i="21"/>
  <c r="L60" i="21"/>
  <c r="P56" i="21"/>
  <c r="L52" i="21"/>
  <c r="P48" i="21"/>
  <c r="L44" i="21"/>
  <c r="P40" i="21"/>
  <c r="L36" i="21"/>
  <c r="N26" i="21"/>
  <c r="P16" i="21"/>
  <c r="M15" i="21"/>
  <c r="L12" i="21"/>
  <c r="M7" i="21"/>
  <c r="Q14" i="21"/>
  <c r="F67" i="11"/>
  <c r="F59" i="11"/>
  <c r="F51" i="11"/>
  <c r="F42" i="11"/>
  <c r="F34" i="11"/>
  <c r="J33" i="24" s="1"/>
  <c r="F24" i="18"/>
  <c r="F46" i="11"/>
  <c r="K48" i="3" s="1"/>
  <c r="M72" i="76" s="1"/>
  <c r="F5" i="11"/>
  <c r="L71" i="21"/>
  <c r="L63" i="21"/>
  <c r="L55" i="21"/>
  <c r="L47" i="21"/>
  <c r="L39" i="21"/>
  <c r="O24" i="21"/>
  <c r="P19" i="21"/>
  <c r="M10" i="21"/>
  <c r="Q13" i="21"/>
  <c r="F12" i="13"/>
  <c r="F66" i="11"/>
  <c r="F58" i="11"/>
  <c r="F50" i="11"/>
  <c r="J52" i="24" s="1"/>
  <c r="F41" i="11"/>
  <c r="F23" i="18"/>
  <c r="J23" i="38" s="1"/>
  <c r="M23" i="46" s="1"/>
  <c r="F19" i="20"/>
  <c r="F54" i="11"/>
  <c r="P70" i="21"/>
  <c r="P62" i="21"/>
  <c r="P38" i="21"/>
  <c r="M13" i="21"/>
  <c r="L10" i="21"/>
  <c r="L73" i="21"/>
  <c r="Q12" i="21"/>
  <c r="F65" i="11"/>
  <c r="F57" i="11"/>
  <c r="F49" i="11"/>
  <c r="F40" i="11"/>
  <c r="P17" i="21"/>
  <c r="M8" i="21"/>
  <c r="Q11" i="21"/>
  <c r="F10" i="13"/>
  <c r="F72" i="11"/>
  <c r="F64" i="11"/>
  <c r="F56" i="11"/>
  <c r="F48" i="11"/>
  <c r="Q10" i="21"/>
  <c r="M15" i="70"/>
  <c r="M18" i="70"/>
  <c r="L15" i="70"/>
  <c r="L17" i="70"/>
  <c r="L18" i="70"/>
  <c r="K18" i="70"/>
  <c r="K17" i="70"/>
  <c r="F13" i="78"/>
  <c r="F13" i="76"/>
  <c r="P56" i="49"/>
  <c r="Q38" i="61"/>
  <c r="Q37" i="61"/>
  <c r="R38" i="61"/>
  <c r="R37" i="61"/>
  <c r="S37" i="61"/>
  <c r="S38" i="61"/>
  <c r="T38" i="61"/>
  <c r="T37" i="61"/>
  <c r="U38" i="61"/>
  <c r="U37" i="61"/>
  <c r="N38" i="61"/>
  <c r="N37" i="61"/>
  <c r="V38" i="61"/>
  <c r="V37" i="61"/>
  <c r="M38" i="61"/>
  <c r="M37" i="61"/>
  <c r="O37" i="61"/>
  <c r="O38" i="61"/>
  <c r="W37" i="61"/>
  <c r="W38" i="61"/>
  <c r="L38" i="61"/>
  <c r="L37" i="61"/>
  <c r="P37" i="61"/>
  <c r="P38" i="61"/>
  <c r="X37" i="61"/>
  <c r="X38" i="61"/>
  <c r="V38" i="50"/>
  <c r="V37" i="50"/>
  <c r="U38" i="50"/>
  <c r="U37" i="50"/>
  <c r="T37" i="50"/>
  <c r="T38" i="50"/>
  <c r="O38" i="50"/>
  <c r="O37" i="50"/>
  <c r="S38" i="50"/>
  <c r="S37" i="50"/>
  <c r="M37" i="50"/>
  <c r="M38" i="50"/>
  <c r="Z38" i="50" s="1"/>
  <c r="R37" i="50"/>
  <c r="R38" i="50"/>
  <c r="L37" i="50"/>
  <c r="L38" i="50"/>
  <c r="Q37" i="50"/>
  <c r="Q38" i="50"/>
  <c r="X38" i="50"/>
  <c r="X37" i="50"/>
  <c r="P37" i="50"/>
  <c r="P38" i="50"/>
  <c r="N37" i="50"/>
  <c r="N38" i="50"/>
  <c r="W38" i="50"/>
  <c r="W37" i="50"/>
  <c r="S101" i="29"/>
  <c r="S99" i="29"/>
  <c r="S100" i="29"/>
  <c r="T99" i="29"/>
  <c r="T101" i="29"/>
  <c r="T100" i="29"/>
  <c r="U99" i="29"/>
  <c r="U101" i="29"/>
  <c r="U100" i="29"/>
  <c r="V101" i="29"/>
  <c r="V99" i="29"/>
  <c r="V100" i="29"/>
  <c r="O101" i="29"/>
  <c r="O99" i="29"/>
  <c r="O100" i="29"/>
  <c r="W101" i="29"/>
  <c r="W99" i="29"/>
  <c r="W100" i="29"/>
  <c r="AB99" i="29"/>
  <c r="AB101" i="29"/>
  <c r="AB100" i="29"/>
  <c r="P101" i="29"/>
  <c r="P99" i="29"/>
  <c r="P100" i="29"/>
  <c r="X99" i="29"/>
  <c r="X101" i="29"/>
  <c r="X100" i="29"/>
  <c r="AA99" i="29"/>
  <c r="AA101" i="29"/>
  <c r="AA100" i="29"/>
  <c r="Q99" i="29"/>
  <c r="Q101" i="29"/>
  <c r="Q100" i="29"/>
  <c r="Z101" i="29"/>
  <c r="Z99" i="29"/>
  <c r="Z100" i="29"/>
  <c r="R101" i="29"/>
  <c r="R99" i="29"/>
  <c r="R100" i="29"/>
  <c r="Y99" i="29"/>
  <c r="Y101" i="29"/>
  <c r="Y100" i="29"/>
  <c r="U163" i="29"/>
  <c r="U164" i="29"/>
  <c r="Y163" i="29"/>
  <c r="Y164" i="29"/>
  <c r="V164" i="29"/>
  <c r="V163" i="29"/>
  <c r="O164" i="29"/>
  <c r="O163" i="29"/>
  <c r="W164" i="29"/>
  <c r="W163" i="29"/>
  <c r="P164" i="29"/>
  <c r="P163" i="29"/>
  <c r="X163" i="29"/>
  <c r="X164" i="29"/>
  <c r="Q164" i="29"/>
  <c r="Q163" i="29"/>
  <c r="R163" i="29"/>
  <c r="R164" i="29"/>
  <c r="S164" i="29"/>
  <c r="S163" i="29"/>
  <c r="T164" i="29"/>
  <c r="T163" i="29"/>
  <c r="AI56" i="50"/>
  <c r="E31" i="56"/>
  <c r="G63" i="71" s="1"/>
  <c r="E32" i="56"/>
  <c r="G63" i="46"/>
  <c r="D14" i="56"/>
  <c r="D31" i="56"/>
  <c r="G62" i="71" s="1"/>
  <c r="G77" i="71" s="1"/>
  <c r="F14" i="70"/>
  <c r="F19" i="70"/>
  <c r="F16" i="70"/>
  <c r="F20" i="70"/>
  <c r="F13" i="70"/>
  <c r="I138" i="30"/>
  <c r="J179" i="30"/>
  <c r="B172" i="30"/>
  <c r="J180" i="30"/>
  <c r="J181" i="30"/>
  <c r="J182" i="30"/>
  <c r="K179" i="30"/>
  <c r="I75" i="30"/>
  <c r="B139" i="30"/>
  <c r="B88" i="30"/>
  <c r="Z88" i="30" s="1"/>
  <c r="B138" i="30"/>
  <c r="K180" i="30"/>
  <c r="B89" i="30"/>
  <c r="Z89" i="30" s="1"/>
  <c r="B77" i="30"/>
  <c r="B81" i="30"/>
  <c r="B147" i="30"/>
  <c r="M12" i="49"/>
  <c r="N12" i="49" s="1"/>
  <c r="P12" i="49" s="1"/>
  <c r="AF55" i="61"/>
  <c r="I11" i="50"/>
  <c r="J11" i="50" s="1"/>
  <c r="K11" i="50" s="1"/>
  <c r="L11" i="50" s="1"/>
  <c r="M11" i="50" s="1"/>
  <c r="N11" i="50" s="1"/>
  <c r="O11" i="50" s="1"/>
  <c r="P11" i="50" s="1"/>
  <c r="Q11" i="50" s="1"/>
  <c r="R11" i="50" s="1"/>
  <c r="S11" i="50" s="1"/>
  <c r="T11" i="50" s="1"/>
  <c r="U11" i="50" s="1"/>
  <c r="V11" i="50" s="1"/>
  <c r="W11" i="50" s="1"/>
  <c r="X11" i="50" s="1"/>
  <c r="I76" i="29"/>
  <c r="I84" i="29"/>
  <c r="I93" i="29"/>
  <c r="I108" i="29"/>
  <c r="I116" i="29"/>
  <c r="I146" i="29"/>
  <c r="I154" i="29"/>
  <c r="I170" i="29"/>
  <c r="I178" i="29"/>
  <c r="I77" i="29"/>
  <c r="I85" i="29"/>
  <c r="I94" i="29"/>
  <c r="I102" i="29"/>
  <c r="I109" i="29"/>
  <c r="I117" i="29"/>
  <c r="I139" i="29"/>
  <c r="I147" i="29"/>
  <c r="I155" i="29"/>
  <c r="I171" i="29"/>
  <c r="I179" i="29"/>
  <c r="I78" i="29"/>
  <c r="I86" i="29"/>
  <c r="I95" i="29"/>
  <c r="I103" i="29"/>
  <c r="I110" i="29"/>
  <c r="I118" i="29"/>
  <c r="I140" i="29"/>
  <c r="I148" i="29"/>
  <c r="I157" i="29"/>
  <c r="I165" i="29"/>
  <c r="I172" i="29"/>
  <c r="I180" i="29"/>
  <c r="I79" i="29"/>
  <c r="I87" i="29"/>
  <c r="I96" i="29"/>
  <c r="I111" i="29"/>
  <c r="I119" i="29"/>
  <c r="I141" i="29"/>
  <c r="I149" i="29"/>
  <c r="I158" i="29"/>
  <c r="I166" i="29"/>
  <c r="I173" i="29"/>
  <c r="I181" i="29"/>
  <c r="I80" i="29"/>
  <c r="I88" i="29"/>
  <c r="I97" i="29"/>
  <c r="I104" i="29"/>
  <c r="I112" i="29"/>
  <c r="I142" i="29"/>
  <c r="I150" i="29"/>
  <c r="I159" i="29"/>
  <c r="I167" i="29"/>
  <c r="I174" i="29"/>
  <c r="I182" i="29"/>
  <c r="I81" i="29"/>
  <c r="I89" i="29"/>
  <c r="I98" i="29"/>
  <c r="I105" i="29"/>
  <c r="I113" i="29"/>
  <c r="I143" i="29"/>
  <c r="I151" i="29"/>
  <c r="I160" i="29"/>
  <c r="I175" i="29"/>
  <c r="I183" i="29"/>
  <c r="I82" i="29"/>
  <c r="I90" i="29"/>
  <c r="I106" i="29"/>
  <c r="I114" i="29"/>
  <c r="I144" i="29"/>
  <c r="I152" i="29"/>
  <c r="I161" i="29"/>
  <c r="I168" i="29"/>
  <c r="I176" i="29"/>
  <c r="I75" i="29"/>
  <c r="I83" i="29"/>
  <c r="I91" i="29"/>
  <c r="I107" i="29"/>
  <c r="I115" i="29"/>
  <c r="I145" i="29"/>
  <c r="I153" i="29"/>
  <c r="I162" i="29"/>
  <c r="I169" i="29"/>
  <c r="I177" i="29"/>
  <c r="B114" i="29"/>
  <c r="X114" i="29" s="1"/>
  <c r="B90" i="29"/>
  <c r="AB90" i="29" s="1"/>
  <c r="B78" i="29"/>
  <c r="W78" i="29" s="1"/>
  <c r="B113" i="29"/>
  <c r="Z113" i="29" s="1"/>
  <c r="B117" i="29"/>
  <c r="S117" i="29" s="1"/>
  <c r="B155" i="29"/>
  <c r="U155" i="29" s="1"/>
  <c r="B179" i="29"/>
  <c r="U179" i="29" s="1"/>
  <c r="B109" i="29"/>
  <c r="T109" i="29" s="1"/>
  <c r="B151" i="29"/>
  <c r="W151" i="29" s="1"/>
  <c r="B79" i="30"/>
  <c r="B144" i="30"/>
  <c r="B152" i="30"/>
  <c r="B96" i="29"/>
  <c r="Z96" i="29" s="1"/>
  <c r="B81" i="29"/>
  <c r="P81" i="29" s="1"/>
  <c r="B89" i="29"/>
  <c r="X89" i="29" s="1"/>
  <c r="B174" i="29"/>
  <c r="P174" i="29" s="1"/>
  <c r="B116" i="29"/>
  <c r="AA116" i="29" s="1"/>
  <c r="B103" i="29"/>
  <c r="P103" i="29" s="1"/>
  <c r="B146" i="29"/>
  <c r="P146" i="29" s="1"/>
  <c r="B107" i="29"/>
  <c r="O107" i="29" s="1"/>
  <c r="B108" i="29"/>
  <c r="P108" i="29" s="1"/>
  <c r="B153" i="29"/>
  <c r="W153" i="29" s="1"/>
  <c r="E14" i="56"/>
  <c r="N17" i="79"/>
  <c r="AQ17" i="79" s="1"/>
  <c r="N14" i="79"/>
  <c r="AQ14" i="79" s="1"/>
  <c r="M15" i="73"/>
  <c r="AP15" i="73" s="1"/>
  <c r="M22" i="79"/>
  <c r="AP22" i="79" s="1"/>
  <c r="L22" i="79"/>
  <c r="L17" i="73"/>
  <c r="AO17" i="73" s="1"/>
  <c r="K17" i="73"/>
  <c r="L13" i="73"/>
  <c r="AO13" i="73" s="1"/>
  <c r="K13" i="73"/>
  <c r="N16" i="79"/>
  <c r="AQ16" i="79" s="1"/>
  <c r="L20" i="73"/>
  <c r="AO20" i="73" s="1"/>
  <c r="K20" i="73"/>
  <c r="M18" i="79"/>
  <c r="AP18" i="79" s="1"/>
  <c r="L18" i="79"/>
  <c r="M19" i="73"/>
  <c r="AP19" i="73" s="1"/>
  <c r="N15" i="79"/>
  <c r="AQ15" i="79" s="1"/>
  <c r="M16" i="73"/>
  <c r="AP16" i="73" s="1"/>
  <c r="M21" i="79"/>
  <c r="AP21" i="79" s="1"/>
  <c r="L21" i="79"/>
  <c r="M13" i="79"/>
  <c r="AP13" i="79" s="1"/>
  <c r="L13" i="79"/>
  <c r="M18" i="73"/>
  <c r="AP18" i="73" s="1"/>
  <c r="M14" i="73"/>
  <c r="AP14" i="73" s="1"/>
  <c r="AP23" i="79"/>
  <c r="M20" i="79"/>
  <c r="AP20" i="79" s="1"/>
  <c r="L20" i="79"/>
  <c r="N22" i="79"/>
  <c r="AQ22" i="79" s="1"/>
  <c r="M17" i="73"/>
  <c r="AP17" i="73" s="1"/>
  <c r="M13" i="73"/>
  <c r="AP13" i="73" s="1"/>
  <c r="M17" i="79"/>
  <c r="AP17" i="79" s="1"/>
  <c r="L17" i="79"/>
  <c r="M14" i="79"/>
  <c r="AP14" i="79" s="1"/>
  <c r="L14" i="79"/>
  <c r="L15" i="73"/>
  <c r="AO15" i="73" s="1"/>
  <c r="K15" i="73"/>
  <c r="M20" i="73"/>
  <c r="AP20" i="73" s="1"/>
  <c r="N18" i="79"/>
  <c r="AQ18" i="79" s="1"/>
  <c r="M16" i="79"/>
  <c r="AP16" i="79" s="1"/>
  <c r="L16" i="79"/>
  <c r="N21" i="79"/>
  <c r="AQ21" i="79" s="1"/>
  <c r="N13" i="79"/>
  <c r="AQ13" i="79" s="1"/>
  <c r="L19" i="73"/>
  <c r="AO19" i="73" s="1"/>
  <c r="K19" i="73"/>
  <c r="M15" i="79"/>
  <c r="L15" i="79"/>
  <c r="L16" i="73"/>
  <c r="AO16" i="73" s="1"/>
  <c r="K16" i="73"/>
  <c r="AQ23" i="79"/>
  <c r="N20" i="79"/>
  <c r="AQ20" i="79" s="1"/>
  <c r="L18" i="73"/>
  <c r="AO18" i="73" s="1"/>
  <c r="K18" i="73"/>
  <c r="L14" i="73"/>
  <c r="AO14" i="73" s="1"/>
  <c r="K14" i="73"/>
  <c r="E29" i="56"/>
  <c r="E30" i="56"/>
  <c r="H63" i="71" s="1"/>
  <c r="D29" i="56"/>
  <c r="I62" i="71" s="1"/>
  <c r="D30" i="56"/>
  <c r="H62" i="71" s="1"/>
  <c r="E157" i="77"/>
  <c r="E116" i="46"/>
  <c r="B148" i="30"/>
  <c r="B146" i="30"/>
  <c r="B76" i="30"/>
  <c r="B90" i="30"/>
  <c r="AA90" i="30" s="1"/>
  <c r="B87" i="30"/>
  <c r="AB87" i="30" s="1"/>
  <c r="B145" i="30"/>
  <c r="B119" i="30"/>
  <c r="J119" i="30" s="1"/>
  <c r="B157" i="30"/>
  <c r="B82" i="30"/>
  <c r="B111" i="30"/>
  <c r="Z111" i="30" s="1"/>
  <c r="B96" i="30"/>
  <c r="AA96" i="30" s="1"/>
  <c r="B85" i="30"/>
  <c r="AA85" i="30" s="1"/>
  <c r="B180" i="30"/>
  <c r="X180" i="30" s="1"/>
  <c r="B165" i="30"/>
  <c r="Y11" i="30"/>
  <c r="Z11" i="30" s="1"/>
  <c r="AA11" i="30" s="1"/>
  <c r="AB11" i="30" s="1"/>
  <c r="X11" i="30"/>
  <c r="Y73" i="30"/>
  <c r="Z73" i="30" s="1"/>
  <c r="AA73" i="30" s="1"/>
  <c r="AB73" i="30" s="1"/>
  <c r="X73" i="30"/>
  <c r="Y136" i="30"/>
  <c r="X136" i="30"/>
  <c r="H13" i="23"/>
  <c r="H31" i="23"/>
  <c r="L181" i="29"/>
  <c r="L156" i="29"/>
  <c r="L182" i="29"/>
  <c r="H34" i="23"/>
  <c r="H40" i="23"/>
  <c r="H27" i="23"/>
  <c r="J56" i="50"/>
  <c r="K56" i="50"/>
  <c r="J48" i="50"/>
  <c r="K48" i="50"/>
  <c r="K40" i="50"/>
  <c r="J40" i="50"/>
  <c r="J32" i="50"/>
  <c r="K32" i="50"/>
  <c r="J23" i="50"/>
  <c r="K23" i="50"/>
  <c r="J15" i="50"/>
  <c r="K15" i="50"/>
  <c r="K55" i="50"/>
  <c r="J55" i="50"/>
  <c r="J47" i="50"/>
  <c r="K47" i="50"/>
  <c r="J39" i="50"/>
  <c r="K39" i="50"/>
  <c r="J31" i="50"/>
  <c r="K31" i="50"/>
  <c r="J22" i="50"/>
  <c r="K22" i="50"/>
  <c r="J14" i="50"/>
  <c r="K14" i="50"/>
  <c r="J54" i="50"/>
  <c r="K54" i="50"/>
  <c r="J46" i="50"/>
  <c r="K46" i="50"/>
  <c r="K29" i="50"/>
  <c r="J29" i="50"/>
  <c r="J21" i="50"/>
  <c r="K21" i="50"/>
  <c r="J53" i="50"/>
  <c r="K53" i="50"/>
  <c r="J45" i="50"/>
  <c r="K45" i="50"/>
  <c r="J28" i="50"/>
  <c r="K28" i="50"/>
  <c r="K20" i="50"/>
  <c r="J20" i="50"/>
  <c r="K52" i="50"/>
  <c r="J52" i="50"/>
  <c r="K44" i="50"/>
  <c r="J44" i="50"/>
  <c r="J36" i="50"/>
  <c r="K36" i="50"/>
  <c r="J27" i="50"/>
  <c r="K27" i="50"/>
  <c r="J19" i="50"/>
  <c r="K19" i="50"/>
  <c r="J30" i="50"/>
  <c r="K30" i="50"/>
  <c r="J51" i="50"/>
  <c r="K51" i="50"/>
  <c r="K43" i="50"/>
  <c r="J43" i="50"/>
  <c r="J35" i="50"/>
  <c r="K35" i="50"/>
  <c r="J26" i="50"/>
  <c r="K26" i="50"/>
  <c r="J18" i="50"/>
  <c r="K18" i="50"/>
  <c r="J50" i="50"/>
  <c r="K50" i="50"/>
  <c r="J42" i="50"/>
  <c r="K42" i="50"/>
  <c r="J34" i="50"/>
  <c r="K34" i="50"/>
  <c r="J25" i="50"/>
  <c r="K25" i="50"/>
  <c r="J17" i="50"/>
  <c r="K17" i="50"/>
  <c r="J57" i="50"/>
  <c r="K57" i="50"/>
  <c r="J49" i="50"/>
  <c r="K49" i="50"/>
  <c r="J41" i="50"/>
  <c r="K41" i="50"/>
  <c r="J33" i="50"/>
  <c r="K33" i="50"/>
  <c r="K24" i="50"/>
  <c r="J24" i="50"/>
  <c r="J16" i="50"/>
  <c r="K16" i="50"/>
  <c r="J13" i="50"/>
  <c r="K13" i="50"/>
  <c r="H6" i="23"/>
  <c r="L54" i="49"/>
  <c r="K54" i="49"/>
  <c r="L53" i="49"/>
  <c r="K53" i="49"/>
  <c r="L52" i="49"/>
  <c r="K52" i="49"/>
  <c r="L51" i="49"/>
  <c r="K51" i="49"/>
  <c r="H53" i="24"/>
  <c r="H57" i="24"/>
  <c r="H61" i="24"/>
  <c r="H70" i="24"/>
  <c r="H74" i="24"/>
  <c r="J31" i="61"/>
  <c r="K31" i="61"/>
  <c r="J15" i="61"/>
  <c r="K15" i="61"/>
  <c r="H54" i="24"/>
  <c r="H58" i="24"/>
  <c r="H62" i="24"/>
  <c r="J55" i="61"/>
  <c r="K55" i="61"/>
  <c r="J47" i="61"/>
  <c r="K47" i="61"/>
  <c r="J40" i="61"/>
  <c r="K40" i="61"/>
  <c r="J32" i="61"/>
  <c r="K32" i="61"/>
  <c r="J24" i="61"/>
  <c r="K24" i="61"/>
  <c r="J16" i="61"/>
  <c r="K16" i="61"/>
  <c r="J53" i="61"/>
  <c r="K53" i="61"/>
  <c r="J45" i="61"/>
  <c r="K45" i="61"/>
  <c r="J30" i="61"/>
  <c r="K30" i="61"/>
  <c r="J22" i="61"/>
  <c r="K22" i="61"/>
  <c r="J14" i="61"/>
  <c r="K14" i="61"/>
  <c r="J54" i="61"/>
  <c r="K54" i="61"/>
  <c r="J52" i="61"/>
  <c r="K52" i="61"/>
  <c r="J44" i="61"/>
  <c r="K44" i="61"/>
  <c r="J29" i="61"/>
  <c r="K29" i="61"/>
  <c r="J21" i="61"/>
  <c r="K21" i="61"/>
  <c r="J39" i="61"/>
  <c r="K39" i="61"/>
  <c r="J51" i="61"/>
  <c r="K51" i="61"/>
  <c r="J43" i="61"/>
  <c r="K43" i="61"/>
  <c r="J36" i="61"/>
  <c r="K36" i="61"/>
  <c r="J28" i="61"/>
  <c r="K28" i="61"/>
  <c r="J20" i="61"/>
  <c r="K20" i="61"/>
  <c r="J46" i="61"/>
  <c r="K46" i="61"/>
  <c r="J50" i="61"/>
  <c r="K50" i="61"/>
  <c r="J42" i="61"/>
  <c r="K42" i="61"/>
  <c r="J35" i="61"/>
  <c r="K35" i="61"/>
  <c r="J27" i="61"/>
  <c r="K27" i="61"/>
  <c r="J19" i="61"/>
  <c r="K19" i="61"/>
  <c r="J23" i="61"/>
  <c r="K23" i="61"/>
  <c r="J57" i="61"/>
  <c r="K57" i="61"/>
  <c r="J49" i="61"/>
  <c r="K49" i="61"/>
  <c r="J34" i="61"/>
  <c r="K34" i="61"/>
  <c r="J26" i="61"/>
  <c r="K26" i="61"/>
  <c r="J18" i="61"/>
  <c r="K18" i="61"/>
  <c r="J56" i="61"/>
  <c r="K56" i="61"/>
  <c r="J48" i="61"/>
  <c r="K48" i="61"/>
  <c r="J41" i="61"/>
  <c r="K41" i="61"/>
  <c r="J33" i="61"/>
  <c r="K33" i="61"/>
  <c r="J25" i="61"/>
  <c r="K25" i="61"/>
  <c r="J17" i="61"/>
  <c r="K17" i="61"/>
  <c r="H78" i="24"/>
  <c r="H22" i="24"/>
  <c r="H43" i="24"/>
  <c r="K162" i="30" s="1"/>
  <c r="H39" i="24"/>
  <c r="H35" i="24"/>
  <c r="H31" i="24"/>
  <c r="H27" i="24"/>
  <c r="H21" i="24"/>
  <c r="H15" i="24"/>
  <c r="J13" i="61"/>
  <c r="K13" i="61"/>
  <c r="H71" i="24"/>
  <c r="J58" i="46"/>
  <c r="K58" i="46"/>
  <c r="J57" i="46"/>
  <c r="K57" i="46"/>
  <c r="J55" i="46"/>
  <c r="K55" i="46"/>
  <c r="J56" i="46"/>
  <c r="K56" i="46"/>
  <c r="J31" i="46"/>
  <c r="K31" i="46"/>
  <c r="J181" i="29"/>
  <c r="K181" i="29"/>
  <c r="H33" i="23"/>
  <c r="J156" i="29"/>
  <c r="K156" i="29"/>
  <c r="J182" i="29"/>
  <c r="K182" i="29"/>
  <c r="H5" i="24"/>
  <c r="H46" i="24"/>
  <c r="K163" i="30" s="1"/>
  <c r="H40" i="24"/>
  <c r="H36" i="24"/>
  <c r="H32" i="24"/>
  <c r="H28" i="24"/>
  <c r="H23" i="24"/>
  <c r="H17" i="24"/>
  <c r="H10" i="24"/>
  <c r="J92" i="29"/>
  <c r="K92" i="29"/>
  <c r="H66" i="24"/>
  <c r="H47" i="24"/>
  <c r="H69" i="24"/>
  <c r="H75" i="24"/>
  <c r="H49" i="38"/>
  <c r="K40" i="46" s="1"/>
  <c r="H52" i="38"/>
  <c r="K42" i="46" s="1"/>
  <c r="H60" i="38"/>
  <c r="K48" i="46" s="1"/>
  <c r="H68" i="38"/>
  <c r="H50" i="24"/>
  <c r="H55" i="24"/>
  <c r="H59" i="24"/>
  <c r="H65" i="24"/>
  <c r="H72" i="24"/>
  <c r="H77" i="24"/>
  <c r="H24" i="24"/>
  <c r="H8" i="24"/>
  <c r="J17" i="29"/>
  <c r="K17" i="29"/>
  <c r="H42" i="24"/>
  <c r="H38" i="24"/>
  <c r="H34" i="24"/>
  <c r="H30" i="24"/>
  <c r="H26" i="24"/>
  <c r="K149" i="30" s="1"/>
  <c r="H20" i="24"/>
  <c r="H14" i="24"/>
  <c r="H6" i="24"/>
  <c r="J18" i="29"/>
  <c r="K18" i="29"/>
  <c r="J26" i="29"/>
  <c r="K26" i="29"/>
  <c r="J35" i="29"/>
  <c r="K35" i="29"/>
  <c r="J42" i="29"/>
  <c r="K42" i="29"/>
  <c r="J50" i="29"/>
  <c r="K50" i="29"/>
  <c r="J57" i="29"/>
  <c r="K57" i="29"/>
  <c r="J19" i="29"/>
  <c r="K19" i="29"/>
  <c r="J27" i="29"/>
  <c r="K27" i="29"/>
  <c r="J36" i="29"/>
  <c r="K36" i="29"/>
  <c r="J43" i="29"/>
  <c r="K43" i="29"/>
  <c r="J51" i="29"/>
  <c r="K51" i="29"/>
  <c r="J25" i="29"/>
  <c r="K25" i="29"/>
  <c r="J20" i="29"/>
  <c r="K20" i="29"/>
  <c r="J28" i="29"/>
  <c r="K28" i="29"/>
  <c r="J44" i="29"/>
  <c r="K44" i="29"/>
  <c r="J52" i="29"/>
  <c r="K52" i="29"/>
  <c r="J21" i="29"/>
  <c r="K21" i="29"/>
  <c r="J29" i="29"/>
  <c r="K29" i="29"/>
  <c r="J38" i="29"/>
  <c r="K38" i="29"/>
  <c r="J45" i="29"/>
  <c r="K45" i="29"/>
  <c r="J53" i="29"/>
  <c r="K53" i="29"/>
  <c r="J30" i="29"/>
  <c r="K30" i="29"/>
  <c r="J14" i="29"/>
  <c r="K14" i="29"/>
  <c r="J22" i="29"/>
  <c r="K22" i="29"/>
  <c r="J31" i="29"/>
  <c r="K31" i="29"/>
  <c r="J39" i="29"/>
  <c r="K39" i="29"/>
  <c r="J46" i="29"/>
  <c r="K46" i="29"/>
  <c r="J54" i="29"/>
  <c r="K54" i="29"/>
  <c r="J34" i="29"/>
  <c r="K34" i="29"/>
  <c r="J15" i="29"/>
  <c r="K15" i="29"/>
  <c r="J23" i="29"/>
  <c r="K23" i="29"/>
  <c r="J32" i="29"/>
  <c r="K32" i="29"/>
  <c r="J40" i="29"/>
  <c r="K40" i="29"/>
  <c r="J47" i="29"/>
  <c r="K47" i="29"/>
  <c r="J55" i="29"/>
  <c r="K55" i="29"/>
  <c r="J49" i="29"/>
  <c r="K49" i="29"/>
  <c r="H9" i="24"/>
  <c r="J16" i="29"/>
  <c r="K16" i="29"/>
  <c r="J24" i="29"/>
  <c r="K24" i="29"/>
  <c r="J33" i="29"/>
  <c r="K33" i="29"/>
  <c r="J41" i="29"/>
  <c r="K41" i="29"/>
  <c r="J48" i="29"/>
  <c r="K48" i="29"/>
  <c r="J56" i="29"/>
  <c r="K56" i="29"/>
  <c r="H51" i="24"/>
  <c r="H19" i="24"/>
  <c r="H50" i="23"/>
  <c r="H55" i="23"/>
  <c r="H59" i="23"/>
  <c r="H65" i="23"/>
  <c r="H67" i="24"/>
  <c r="H48" i="24"/>
  <c r="H12" i="24"/>
  <c r="H63" i="24"/>
  <c r="H16" i="24"/>
  <c r="H7" i="24"/>
  <c r="H44" i="24"/>
  <c r="H11" i="24"/>
  <c r="H52" i="24"/>
  <c r="H56" i="24"/>
  <c r="H60" i="24"/>
  <c r="H68" i="24"/>
  <c r="H73" i="24"/>
  <c r="H41" i="24"/>
  <c r="H37" i="24"/>
  <c r="H33" i="24"/>
  <c r="H29" i="24"/>
  <c r="H25" i="24"/>
  <c r="H18" i="24"/>
  <c r="H13" i="24"/>
  <c r="H49" i="24"/>
  <c r="H52" i="23"/>
  <c r="H56" i="23"/>
  <c r="H60" i="23"/>
  <c r="H68" i="23"/>
  <c r="H76" i="24"/>
  <c r="H64" i="24"/>
  <c r="H45" i="24"/>
  <c r="H44" i="23"/>
  <c r="H11" i="23"/>
  <c r="H72" i="23"/>
  <c r="H73" i="23"/>
  <c r="H63" i="23"/>
  <c r="H16" i="23"/>
  <c r="H53" i="23"/>
  <c r="H10" i="23"/>
  <c r="K78" i="30" s="1"/>
  <c r="H77" i="23"/>
  <c r="H69" i="23"/>
  <c r="H51" i="23"/>
  <c r="H19" i="23"/>
  <c r="H67" i="23"/>
  <c r="H48" i="23"/>
  <c r="H12" i="23"/>
  <c r="H54" i="23"/>
  <c r="H58" i="23"/>
  <c r="H62" i="23"/>
  <c r="H71" i="23"/>
  <c r="H75" i="23"/>
  <c r="H74" i="38"/>
  <c r="K52" i="46" s="1"/>
  <c r="G29" i="23"/>
  <c r="H29" i="23"/>
  <c r="G38" i="23"/>
  <c r="H38" i="23"/>
  <c r="G30" i="23"/>
  <c r="H30" i="23"/>
  <c r="G20" i="23"/>
  <c r="H20" i="23"/>
  <c r="H24" i="23"/>
  <c r="H8" i="23"/>
  <c r="G18" i="23"/>
  <c r="H18" i="23"/>
  <c r="G46" i="23"/>
  <c r="J100" i="30" s="1"/>
  <c r="H46" i="23"/>
  <c r="K100" i="30" s="1"/>
  <c r="G36" i="23"/>
  <c r="H36" i="23"/>
  <c r="G28" i="23"/>
  <c r="H28" i="23"/>
  <c r="G17" i="23"/>
  <c r="H17" i="23"/>
  <c r="H55" i="22"/>
  <c r="H59" i="22"/>
  <c r="K45" i="30" s="1"/>
  <c r="H63" i="22"/>
  <c r="H72" i="22"/>
  <c r="H76" i="22"/>
  <c r="K52" i="30" s="1"/>
  <c r="H78" i="23"/>
  <c r="H22" i="23"/>
  <c r="G37" i="23"/>
  <c r="H37" i="23"/>
  <c r="G43" i="23"/>
  <c r="J99" i="30" s="1"/>
  <c r="H43" i="23"/>
  <c r="K99" i="30" s="1"/>
  <c r="G35" i="23"/>
  <c r="H35" i="23"/>
  <c r="G15" i="23"/>
  <c r="H15" i="23"/>
  <c r="G42" i="23"/>
  <c r="H42" i="23"/>
  <c r="G26" i="23"/>
  <c r="H26" i="23"/>
  <c r="G14" i="23"/>
  <c r="H14" i="23"/>
  <c r="H51" i="22"/>
  <c r="K40" i="30" s="1"/>
  <c r="H56" i="22"/>
  <c r="K42" i="30" s="1"/>
  <c r="G41" i="23"/>
  <c r="H41" i="23"/>
  <c r="G25" i="23"/>
  <c r="H25" i="23"/>
  <c r="H49" i="23"/>
  <c r="H57" i="23"/>
  <c r="H61" i="23"/>
  <c r="H70" i="23"/>
  <c r="H74" i="23"/>
  <c r="H66" i="23"/>
  <c r="H47" i="23"/>
  <c r="H7" i="23"/>
  <c r="G32" i="23"/>
  <c r="H32" i="23"/>
  <c r="G23" i="23"/>
  <c r="H23" i="23"/>
  <c r="H53" i="22"/>
  <c r="K41" i="30" s="1"/>
  <c r="H57" i="22"/>
  <c r="K43" i="30" s="1"/>
  <c r="H61" i="22"/>
  <c r="K47" i="30" s="1"/>
  <c r="H69" i="22"/>
  <c r="H74" i="22"/>
  <c r="K50" i="30" s="1"/>
  <c r="G39" i="23"/>
  <c r="H39" i="23"/>
  <c r="G21" i="23"/>
  <c r="J83" i="30" s="1"/>
  <c r="H21" i="23"/>
  <c r="K83" i="30" s="1"/>
  <c r="G9" i="23"/>
  <c r="H9" i="23"/>
  <c r="H76" i="23"/>
  <c r="H64" i="23"/>
  <c r="H45" i="23"/>
  <c r="H39" i="22"/>
  <c r="K35" i="30" s="1"/>
  <c r="H30" i="22"/>
  <c r="H7" i="22"/>
  <c r="H43" i="22"/>
  <c r="H60" i="22"/>
  <c r="K46" i="30" s="1"/>
  <c r="G5" i="23"/>
  <c r="J75" i="30" s="1"/>
  <c r="H5" i="23"/>
  <c r="K75" i="30" s="1"/>
  <c r="H68" i="22"/>
  <c r="K21" i="81" s="1"/>
  <c r="H49" i="22"/>
  <c r="K17" i="81" s="1"/>
  <c r="H12" i="22"/>
  <c r="K13" i="81" s="1"/>
  <c r="H24" i="22"/>
  <c r="H8" i="22"/>
  <c r="G6" i="23"/>
  <c r="H77" i="22"/>
  <c r="H65" i="22"/>
  <c r="H46" i="22"/>
  <c r="K15" i="81" s="1"/>
  <c r="H64" i="22"/>
  <c r="H16" i="22"/>
  <c r="H20" i="22"/>
  <c r="H6" i="22"/>
  <c r="K14" i="30" s="1"/>
  <c r="H54" i="22"/>
  <c r="H58" i="22"/>
  <c r="K44" i="30" s="1"/>
  <c r="H62" i="22"/>
  <c r="K48" i="30" s="1"/>
  <c r="H71" i="22"/>
  <c r="H75" i="22"/>
  <c r="K51" i="30" s="1"/>
  <c r="H59" i="38"/>
  <c r="K47" i="46" s="1"/>
  <c r="H46" i="38"/>
  <c r="K39" i="46" s="1"/>
  <c r="H38" i="22"/>
  <c r="K34" i="30" s="1"/>
  <c r="H29" i="22"/>
  <c r="K27" i="30" s="1"/>
  <c r="H18" i="22"/>
  <c r="H38" i="38"/>
  <c r="K36" i="46" s="1"/>
  <c r="H30" i="38"/>
  <c r="H14" i="38"/>
  <c r="K19" i="46" s="1"/>
  <c r="H10" i="38"/>
  <c r="K17" i="46" s="1"/>
  <c r="H6" i="38"/>
  <c r="K15" i="46" s="1"/>
  <c r="H53" i="38"/>
  <c r="H61" i="38"/>
  <c r="K49" i="46" s="1"/>
  <c r="H65" i="38"/>
  <c r="K50" i="46" s="1"/>
  <c r="H75" i="38"/>
  <c r="K53" i="46" s="1"/>
  <c r="H70" i="22"/>
  <c r="K22" i="81" s="1"/>
  <c r="H52" i="22"/>
  <c r="K18" i="81" s="1"/>
  <c r="H19" i="22"/>
  <c r="K14" i="81" s="1"/>
  <c r="H67" i="38"/>
  <c r="K21" i="77" s="1"/>
  <c r="H48" i="38"/>
  <c r="K17" i="77" s="1"/>
  <c r="H12" i="38"/>
  <c r="K13" i="77" s="1"/>
  <c r="H24" i="38"/>
  <c r="H8" i="38"/>
  <c r="H45" i="22"/>
  <c r="H11" i="22"/>
  <c r="H47" i="22"/>
  <c r="K38" i="30" s="1"/>
  <c r="H37" i="22"/>
  <c r="H28" i="22"/>
  <c r="K26" i="30" s="1"/>
  <c r="H17" i="22"/>
  <c r="K20" i="30" s="1"/>
  <c r="H44" i="22"/>
  <c r="K37" i="30" s="1"/>
  <c r="H36" i="22"/>
  <c r="K33" i="30" s="1"/>
  <c r="H27" i="22"/>
  <c r="K25" i="30" s="1"/>
  <c r="H15" i="22"/>
  <c r="K19" i="30" s="1"/>
  <c r="H50" i="22"/>
  <c r="K39" i="30" s="1"/>
  <c r="H35" i="22"/>
  <c r="K32" i="30" s="1"/>
  <c r="H26" i="22"/>
  <c r="K24" i="30" s="1"/>
  <c r="H14" i="22"/>
  <c r="K18" i="30" s="1"/>
  <c r="H66" i="22"/>
  <c r="K49" i="30" s="1"/>
  <c r="H73" i="22"/>
  <c r="H78" i="22"/>
  <c r="K53" i="30" s="1"/>
  <c r="H42" i="22"/>
  <c r="H34" i="22"/>
  <c r="K31" i="30" s="1"/>
  <c r="H25" i="22"/>
  <c r="K23" i="30" s="1"/>
  <c r="H13" i="22"/>
  <c r="K17" i="30" s="1"/>
  <c r="H77" i="38"/>
  <c r="K54" i="46" s="1"/>
  <c r="H33" i="22"/>
  <c r="K30" i="30" s="1"/>
  <c r="H67" i="22"/>
  <c r="K20" i="81" s="1"/>
  <c r="H48" i="22"/>
  <c r="K16" i="81" s="1"/>
  <c r="H79" i="22"/>
  <c r="H22" i="22"/>
  <c r="H41" i="22"/>
  <c r="H32" i="22"/>
  <c r="K29" i="30" s="1"/>
  <c r="H23" i="22"/>
  <c r="K22" i="30" s="1"/>
  <c r="H10" i="22"/>
  <c r="K16" i="30" s="1"/>
  <c r="H40" i="22"/>
  <c r="K36" i="30" s="1"/>
  <c r="H31" i="22"/>
  <c r="K28" i="30" s="1"/>
  <c r="H21" i="22"/>
  <c r="K21" i="30" s="1"/>
  <c r="H9" i="22"/>
  <c r="K15" i="30" s="1"/>
  <c r="H5" i="22"/>
  <c r="K13" i="30" s="1"/>
  <c r="H40" i="38"/>
  <c r="H32" i="38"/>
  <c r="K30" i="46" s="1"/>
  <c r="H66" i="38"/>
  <c r="K20" i="77" s="1"/>
  <c r="H47" i="38"/>
  <c r="K16" i="77" s="1"/>
  <c r="H78" i="38"/>
  <c r="H22" i="38"/>
  <c r="H39" i="38"/>
  <c r="K37" i="46" s="1"/>
  <c r="H31" i="38"/>
  <c r="K29" i="46" s="1"/>
  <c r="H15" i="38"/>
  <c r="K20" i="46" s="1"/>
  <c r="H73" i="38"/>
  <c r="K51" i="46" s="1"/>
  <c r="H42" i="38"/>
  <c r="H34" i="38"/>
  <c r="K33" i="46" s="1"/>
  <c r="H41" i="38"/>
  <c r="H33" i="38"/>
  <c r="K32" i="46" s="1"/>
  <c r="H25" i="38"/>
  <c r="K24" i="46" s="1"/>
  <c r="H20" i="38"/>
  <c r="H21" i="38"/>
  <c r="K22" i="46" s="1"/>
  <c r="H26" i="38"/>
  <c r="K25" i="46" s="1"/>
  <c r="H58" i="38"/>
  <c r="K46" i="46" s="1"/>
  <c r="H72" i="38"/>
  <c r="H43" i="38"/>
  <c r="K38" i="46" s="1"/>
  <c r="H35" i="38"/>
  <c r="K34" i="46" s="1"/>
  <c r="H27" i="38"/>
  <c r="K26" i="46" s="1"/>
  <c r="H17" i="38"/>
  <c r="K21" i="46" s="1"/>
  <c r="H50" i="38"/>
  <c r="K41" i="46" s="1"/>
  <c r="H56" i="38"/>
  <c r="K44" i="46" s="1"/>
  <c r="H70" i="38"/>
  <c r="H37" i="38"/>
  <c r="K35" i="46" s="1"/>
  <c r="H29" i="38"/>
  <c r="K28" i="46" s="1"/>
  <c r="H23" i="38"/>
  <c r="K23" i="46" s="1"/>
  <c r="H13" i="38"/>
  <c r="K18" i="46" s="1"/>
  <c r="H9" i="38"/>
  <c r="K16" i="46" s="1"/>
  <c r="H5" i="38"/>
  <c r="K14" i="46" s="1"/>
  <c r="H54" i="38"/>
  <c r="H62" i="38"/>
  <c r="H57" i="38"/>
  <c r="K45" i="46" s="1"/>
  <c r="H71" i="38"/>
  <c r="H76" i="38"/>
  <c r="H64" i="38"/>
  <c r="H45" i="38"/>
  <c r="K15" i="77" s="1"/>
  <c r="H63" i="38"/>
  <c r="H16" i="38"/>
  <c r="H7" i="38"/>
  <c r="H36" i="38"/>
  <c r="H28" i="38"/>
  <c r="K27" i="46" s="1"/>
  <c r="H18" i="38"/>
  <c r="H55" i="38"/>
  <c r="K43" i="46" s="1"/>
  <c r="H69" i="38"/>
  <c r="K22" i="77" s="1"/>
  <c r="H51" i="38"/>
  <c r="K18" i="77" s="1"/>
  <c r="H19" i="38"/>
  <c r="K14" i="77" s="1"/>
  <c r="H44" i="38"/>
  <c r="H11" i="38"/>
  <c r="H53" i="15"/>
  <c r="H57" i="15"/>
  <c r="H61" i="15"/>
  <c r="H70" i="15"/>
  <c r="H74" i="15"/>
  <c r="H54" i="15"/>
  <c r="H58" i="15"/>
  <c r="H62" i="15"/>
  <c r="H71" i="15"/>
  <c r="H75" i="15"/>
  <c r="H32" i="15"/>
  <c r="H40" i="15"/>
  <c r="H36" i="15"/>
  <c r="H30" i="15"/>
  <c r="H26" i="15"/>
  <c r="K150" i="29" s="1"/>
  <c r="H20" i="15"/>
  <c r="H52" i="15"/>
  <c r="H56" i="15"/>
  <c r="K169" i="29" s="1"/>
  <c r="H60" i="15"/>
  <c r="H68" i="15"/>
  <c r="H73" i="15"/>
  <c r="K176" i="29" s="1"/>
  <c r="H43" i="15"/>
  <c r="K163" i="29" s="1"/>
  <c r="H38" i="15"/>
  <c r="H33" i="15"/>
  <c r="H28" i="15"/>
  <c r="H23" i="15"/>
  <c r="K148" i="29" s="1"/>
  <c r="H17" i="15"/>
  <c r="H9" i="15"/>
  <c r="H35" i="15"/>
  <c r="H76" i="15"/>
  <c r="H64" i="15"/>
  <c r="H45" i="15"/>
  <c r="K125" i="76" s="1"/>
  <c r="H78" i="15"/>
  <c r="H22" i="15"/>
  <c r="H7" i="15"/>
  <c r="H41" i="15"/>
  <c r="H42" i="15"/>
  <c r="H37" i="15"/>
  <c r="H31" i="15"/>
  <c r="H27" i="15"/>
  <c r="H21" i="15"/>
  <c r="H15" i="15"/>
  <c r="H10" i="15"/>
  <c r="K142" i="29" s="1"/>
  <c r="H69" i="15"/>
  <c r="K132" i="76" s="1"/>
  <c r="H51" i="15"/>
  <c r="K128" i="76" s="1"/>
  <c r="H19" i="15"/>
  <c r="K124" i="76" s="1"/>
  <c r="H63" i="15"/>
  <c r="H16" i="15"/>
  <c r="H49" i="15"/>
  <c r="H50" i="15"/>
  <c r="K166" i="29" s="1"/>
  <c r="H55" i="15"/>
  <c r="K168" i="29" s="1"/>
  <c r="H59" i="15"/>
  <c r="H65" i="15"/>
  <c r="H72" i="15"/>
  <c r="H77" i="15"/>
  <c r="H14" i="15"/>
  <c r="H6" i="15"/>
  <c r="H67" i="15"/>
  <c r="K131" i="76" s="1"/>
  <c r="H48" i="15"/>
  <c r="K127" i="76" s="1"/>
  <c r="H12" i="15"/>
  <c r="K123" i="76" s="1"/>
  <c r="H44" i="15"/>
  <c r="H11" i="15"/>
  <c r="H46" i="15"/>
  <c r="K164" i="29" s="1"/>
  <c r="H39" i="15"/>
  <c r="H34" i="15"/>
  <c r="H29" i="15"/>
  <c r="H25" i="15"/>
  <c r="H18" i="15"/>
  <c r="H13" i="15"/>
  <c r="H66" i="15"/>
  <c r="K130" i="76" s="1"/>
  <c r="H47" i="15"/>
  <c r="K126" i="76" s="1"/>
  <c r="H24" i="15"/>
  <c r="H8" i="15"/>
  <c r="H5" i="15"/>
  <c r="H11" i="3"/>
  <c r="I11" i="3"/>
  <c r="H5" i="3"/>
  <c r="I5" i="3"/>
  <c r="H46" i="3"/>
  <c r="J100" i="29" s="1"/>
  <c r="I46" i="3"/>
  <c r="K100" i="29" s="1"/>
  <c r="H39" i="3"/>
  <c r="I39" i="3"/>
  <c r="H34" i="3"/>
  <c r="I34" i="3"/>
  <c r="H29" i="3"/>
  <c r="I29" i="3"/>
  <c r="H25" i="3"/>
  <c r="I25" i="3"/>
  <c r="H18" i="3"/>
  <c r="I18" i="3"/>
  <c r="H13" i="3"/>
  <c r="I13" i="3"/>
  <c r="H52" i="3"/>
  <c r="I52" i="3"/>
  <c r="H56" i="3"/>
  <c r="I56" i="3"/>
  <c r="H60" i="3"/>
  <c r="I60" i="3"/>
  <c r="H68" i="3"/>
  <c r="I68" i="3"/>
  <c r="H73" i="3"/>
  <c r="I73" i="3"/>
  <c r="H66" i="3"/>
  <c r="J75" i="76" s="1"/>
  <c r="I66" i="3"/>
  <c r="K75" i="76" s="1"/>
  <c r="H43" i="3"/>
  <c r="J99" i="29" s="1"/>
  <c r="I43" i="3"/>
  <c r="K99" i="29" s="1"/>
  <c r="H38" i="3"/>
  <c r="J97" i="29" s="1"/>
  <c r="I38" i="3"/>
  <c r="K97" i="29" s="1"/>
  <c r="H33" i="3"/>
  <c r="I33" i="3"/>
  <c r="H28" i="3"/>
  <c r="I28" i="3"/>
  <c r="H23" i="3"/>
  <c r="I23" i="3"/>
  <c r="H17" i="3"/>
  <c r="I17" i="3"/>
  <c r="H9" i="3"/>
  <c r="I9" i="3"/>
  <c r="H53" i="3"/>
  <c r="I53" i="3"/>
  <c r="H57" i="3"/>
  <c r="I57" i="3"/>
  <c r="H61" i="3"/>
  <c r="I61" i="3"/>
  <c r="H70" i="3"/>
  <c r="I70" i="3"/>
  <c r="H74" i="3"/>
  <c r="I74" i="3"/>
  <c r="H76" i="3"/>
  <c r="I76" i="3"/>
  <c r="H64" i="3"/>
  <c r="I64" i="3"/>
  <c r="H45" i="3"/>
  <c r="J70" i="76" s="1"/>
  <c r="I45" i="3"/>
  <c r="K70" i="76" s="1"/>
  <c r="H24" i="3"/>
  <c r="I24" i="3"/>
  <c r="H8" i="3"/>
  <c r="I8" i="3"/>
  <c r="H41" i="3"/>
  <c r="I41" i="3"/>
  <c r="H42" i="3"/>
  <c r="I42" i="3"/>
  <c r="H37" i="3"/>
  <c r="I37" i="3"/>
  <c r="H31" i="3"/>
  <c r="I31" i="3"/>
  <c r="H27" i="3"/>
  <c r="I27" i="3"/>
  <c r="H21" i="3"/>
  <c r="I21" i="3"/>
  <c r="H15" i="3"/>
  <c r="I15" i="3"/>
  <c r="H10" i="3"/>
  <c r="I10" i="3"/>
  <c r="H54" i="3"/>
  <c r="I54" i="3"/>
  <c r="H58" i="3"/>
  <c r="I58" i="3"/>
  <c r="H62" i="3"/>
  <c r="I62" i="3"/>
  <c r="H71" i="3"/>
  <c r="I71" i="3"/>
  <c r="H75" i="3"/>
  <c r="I75" i="3"/>
  <c r="H47" i="3"/>
  <c r="J71" i="76" s="1"/>
  <c r="I47" i="3"/>
  <c r="K71" i="76" s="1"/>
  <c r="H44" i="3"/>
  <c r="I44" i="3"/>
  <c r="H69" i="3"/>
  <c r="J77" i="76" s="1"/>
  <c r="I69" i="3"/>
  <c r="K77" i="76" s="1"/>
  <c r="H51" i="3"/>
  <c r="J73" i="76" s="1"/>
  <c r="I51" i="3"/>
  <c r="K73" i="76" s="1"/>
  <c r="H19" i="3"/>
  <c r="J69" i="76" s="1"/>
  <c r="I19" i="3"/>
  <c r="K69" i="76" s="1"/>
  <c r="H78" i="3"/>
  <c r="I78" i="3"/>
  <c r="H22" i="3"/>
  <c r="I22" i="3"/>
  <c r="H7" i="3"/>
  <c r="I7" i="3"/>
  <c r="H49" i="3"/>
  <c r="J101" i="29" s="1"/>
  <c r="I49" i="3"/>
  <c r="K101" i="29" s="1"/>
  <c r="I32" i="3"/>
  <c r="H32" i="3"/>
  <c r="H40" i="3"/>
  <c r="I40" i="3"/>
  <c r="H36" i="3"/>
  <c r="I36" i="3"/>
  <c r="H30" i="3"/>
  <c r="I30" i="3"/>
  <c r="H26" i="3"/>
  <c r="I26" i="3"/>
  <c r="H20" i="3"/>
  <c r="I20" i="3"/>
  <c r="H14" i="3"/>
  <c r="I14" i="3"/>
  <c r="H6" i="3"/>
  <c r="I6" i="3"/>
  <c r="H50" i="3"/>
  <c r="I50" i="3"/>
  <c r="H55" i="3"/>
  <c r="J104" i="29" s="1"/>
  <c r="I55" i="3"/>
  <c r="K104" i="29" s="1"/>
  <c r="H59" i="3"/>
  <c r="I59" i="3"/>
  <c r="H65" i="3"/>
  <c r="I65" i="3"/>
  <c r="H72" i="3"/>
  <c r="I72" i="3"/>
  <c r="H77" i="3"/>
  <c r="J115" i="29" s="1"/>
  <c r="I77" i="3"/>
  <c r="K115" i="29" s="1"/>
  <c r="H35" i="3"/>
  <c r="I35" i="3"/>
  <c r="H67" i="3"/>
  <c r="J76" i="76" s="1"/>
  <c r="I67" i="3"/>
  <c r="K76" i="76" s="1"/>
  <c r="H48" i="3"/>
  <c r="J72" i="76" s="1"/>
  <c r="I48" i="3"/>
  <c r="K72" i="76" s="1"/>
  <c r="H12" i="3"/>
  <c r="J68" i="76" s="1"/>
  <c r="I12" i="3"/>
  <c r="K68" i="76" s="1"/>
  <c r="H63" i="3"/>
  <c r="I63" i="3"/>
  <c r="H16" i="3"/>
  <c r="I16" i="3"/>
  <c r="J11" i="3"/>
  <c r="K70" i="70" s="1"/>
  <c r="K11" i="3"/>
  <c r="L70" i="70" s="1"/>
  <c r="L11" i="3"/>
  <c r="M70" i="70" s="1"/>
  <c r="K5" i="3"/>
  <c r="L5" i="3"/>
  <c r="J46" i="3"/>
  <c r="L100" i="29" s="1"/>
  <c r="K46" i="3"/>
  <c r="M100" i="29" s="1"/>
  <c r="L46" i="3"/>
  <c r="N100" i="29" s="1"/>
  <c r="J39" i="3"/>
  <c r="K39" i="3"/>
  <c r="L39" i="3"/>
  <c r="J34" i="3"/>
  <c r="K34" i="3"/>
  <c r="L34" i="3"/>
  <c r="J29" i="3"/>
  <c r="K29" i="3"/>
  <c r="L29" i="3"/>
  <c r="J25" i="3"/>
  <c r="K25" i="3"/>
  <c r="L25" i="3"/>
  <c r="J18" i="3"/>
  <c r="K18" i="3"/>
  <c r="L18" i="3"/>
  <c r="J13" i="3"/>
  <c r="K13" i="3"/>
  <c r="L13" i="3"/>
  <c r="L52" i="3"/>
  <c r="L56" i="3"/>
  <c r="K56" i="3"/>
  <c r="L60" i="3"/>
  <c r="K60" i="3"/>
  <c r="K68" i="3"/>
  <c r="L68" i="3"/>
  <c r="K73" i="3"/>
  <c r="L73" i="3"/>
  <c r="K43" i="3"/>
  <c r="M99" i="29" s="1"/>
  <c r="L43" i="3"/>
  <c r="N99" i="29" s="1"/>
  <c r="K38" i="3"/>
  <c r="M97" i="29" s="1"/>
  <c r="L38" i="3"/>
  <c r="N97" i="29" s="1"/>
  <c r="L33" i="3"/>
  <c r="L28" i="3"/>
  <c r="K28" i="3"/>
  <c r="K23" i="3"/>
  <c r="L23" i="3"/>
  <c r="K17" i="3"/>
  <c r="L17" i="3"/>
  <c r="K9" i="3"/>
  <c r="L9" i="3"/>
  <c r="J53" i="3"/>
  <c r="K53" i="3"/>
  <c r="L53" i="3"/>
  <c r="J57" i="3"/>
  <c r="K57" i="3"/>
  <c r="L57" i="3"/>
  <c r="J61" i="3"/>
  <c r="K61" i="3"/>
  <c r="L61" i="3"/>
  <c r="J70" i="3"/>
  <c r="K70" i="3"/>
  <c r="L70" i="3"/>
  <c r="J74" i="3"/>
  <c r="K74" i="3"/>
  <c r="L74" i="3"/>
  <c r="L76" i="3"/>
  <c r="K76" i="3"/>
  <c r="L64" i="3"/>
  <c r="K64" i="3"/>
  <c r="L45" i="3"/>
  <c r="N70" i="76" s="1"/>
  <c r="L24" i="3"/>
  <c r="K24" i="3"/>
  <c r="K8" i="3"/>
  <c r="L69" i="70" s="1"/>
  <c r="L8" i="3"/>
  <c r="M69" i="70" s="1"/>
  <c r="J41" i="3"/>
  <c r="K41" i="3"/>
  <c r="L41" i="3"/>
  <c r="J42" i="3"/>
  <c r="K42" i="3"/>
  <c r="L42" i="3"/>
  <c r="J37" i="3"/>
  <c r="K37" i="3"/>
  <c r="L37" i="3"/>
  <c r="J31" i="3"/>
  <c r="K31" i="3"/>
  <c r="L31" i="3"/>
  <c r="J27" i="3"/>
  <c r="K27" i="3"/>
  <c r="L27" i="3"/>
  <c r="J21" i="3"/>
  <c r="K21" i="3"/>
  <c r="L21" i="3"/>
  <c r="J15" i="3"/>
  <c r="K15" i="3"/>
  <c r="L15" i="3"/>
  <c r="J10" i="3"/>
  <c r="K10" i="3"/>
  <c r="L10" i="3"/>
  <c r="K54" i="3"/>
  <c r="L54" i="3"/>
  <c r="K58" i="3"/>
  <c r="L58" i="3"/>
  <c r="K62" i="3"/>
  <c r="L62" i="3"/>
  <c r="K71" i="3"/>
  <c r="L71" i="3"/>
  <c r="K75" i="3"/>
  <c r="L75" i="3"/>
  <c r="J47" i="3"/>
  <c r="L71" i="76" s="1"/>
  <c r="L47" i="3"/>
  <c r="N71" i="76" s="1"/>
  <c r="J69" i="3"/>
  <c r="L77" i="76" s="1"/>
  <c r="K69" i="3"/>
  <c r="M77" i="76" s="1"/>
  <c r="L69" i="3"/>
  <c r="N77" i="76" s="1"/>
  <c r="J51" i="3"/>
  <c r="L73" i="76" s="1"/>
  <c r="K51" i="3"/>
  <c r="M73" i="76" s="1"/>
  <c r="L51" i="3"/>
  <c r="N73" i="76" s="1"/>
  <c r="J19" i="3"/>
  <c r="L69" i="76" s="1"/>
  <c r="K19" i="3"/>
  <c r="M69" i="76" s="1"/>
  <c r="L19" i="3"/>
  <c r="N69" i="76" s="1"/>
  <c r="K78" i="3"/>
  <c r="L75" i="70" s="1"/>
  <c r="L78" i="3"/>
  <c r="M75" i="70" s="1"/>
  <c r="K22" i="3"/>
  <c r="L22" i="3"/>
  <c r="K7" i="3"/>
  <c r="L68" i="70" s="1"/>
  <c r="L7" i="3"/>
  <c r="M68" i="70" s="1"/>
  <c r="J49" i="3"/>
  <c r="L101" i="29" s="1"/>
  <c r="K49" i="3"/>
  <c r="M101" i="29" s="1"/>
  <c r="L49" i="3"/>
  <c r="N101" i="29" s="1"/>
  <c r="J32" i="3"/>
  <c r="L32" i="3"/>
  <c r="K32" i="3"/>
  <c r="J40" i="3"/>
  <c r="K40" i="3"/>
  <c r="L40" i="3"/>
  <c r="J36" i="3"/>
  <c r="L36" i="3"/>
  <c r="K36" i="3"/>
  <c r="J30" i="3"/>
  <c r="K30" i="3"/>
  <c r="L30" i="3"/>
  <c r="J26" i="3"/>
  <c r="K26" i="3"/>
  <c r="L26" i="3"/>
  <c r="J20" i="3"/>
  <c r="L20" i="3"/>
  <c r="K20" i="3"/>
  <c r="J14" i="3"/>
  <c r="K14" i="3"/>
  <c r="L14" i="3"/>
  <c r="J6" i="3"/>
  <c r="K6" i="3"/>
  <c r="L6" i="3"/>
  <c r="J50" i="3"/>
  <c r="K50" i="3"/>
  <c r="L50" i="3"/>
  <c r="J55" i="3"/>
  <c r="L104" i="29" s="1"/>
  <c r="K55" i="3"/>
  <c r="M104" i="29" s="1"/>
  <c r="L55" i="3"/>
  <c r="N104" i="29" s="1"/>
  <c r="J59" i="3"/>
  <c r="K59" i="3"/>
  <c r="L59" i="3"/>
  <c r="J65" i="3"/>
  <c r="K65" i="3"/>
  <c r="L65" i="3"/>
  <c r="J72" i="3"/>
  <c r="L72" i="3"/>
  <c r="K72" i="3"/>
  <c r="J77" i="3"/>
  <c r="L115" i="29" s="1"/>
  <c r="K77" i="3"/>
  <c r="M115" i="29" s="1"/>
  <c r="L77" i="3"/>
  <c r="N115" i="29" s="1"/>
  <c r="J66" i="3"/>
  <c r="L75" i="76" s="1"/>
  <c r="K66" i="3"/>
  <c r="M75" i="76" s="1"/>
  <c r="L66" i="3"/>
  <c r="N75" i="76" s="1"/>
  <c r="J44" i="3"/>
  <c r="L44" i="3"/>
  <c r="K44" i="3"/>
  <c r="K35" i="3"/>
  <c r="L35" i="3"/>
  <c r="K67" i="3"/>
  <c r="M76" i="76" s="1"/>
  <c r="L67" i="3"/>
  <c r="N76" i="76" s="1"/>
  <c r="L48" i="3"/>
  <c r="N72" i="76" s="1"/>
  <c r="L12" i="3"/>
  <c r="N68" i="76" s="1"/>
  <c r="K12" i="3"/>
  <c r="M68" i="76" s="1"/>
  <c r="K63" i="3"/>
  <c r="L74" i="70" s="1"/>
  <c r="L63" i="3"/>
  <c r="M74" i="70" s="1"/>
  <c r="L16" i="3"/>
  <c r="M71" i="70" s="1"/>
  <c r="K16" i="3"/>
  <c r="L71" i="70" s="1"/>
  <c r="J33" i="3"/>
  <c r="J9" i="3"/>
  <c r="J5" i="3"/>
  <c r="J52" i="3"/>
  <c r="J56" i="3"/>
  <c r="J60" i="3"/>
  <c r="J68" i="3"/>
  <c r="J73" i="3"/>
  <c r="J28" i="3"/>
  <c r="J76" i="3"/>
  <c r="J64" i="3"/>
  <c r="J45" i="3"/>
  <c r="L70" i="76" s="1"/>
  <c r="J24" i="3"/>
  <c r="J8" i="3"/>
  <c r="K69" i="70" s="1"/>
  <c r="J43" i="3"/>
  <c r="L99" i="29" s="1"/>
  <c r="J54" i="3"/>
  <c r="J58" i="3"/>
  <c r="J62" i="3"/>
  <c r="J71" i="3"/>
  <c r="J75" i="3"/>
  <c r="J23" i="3"/>
  <c r="N75" i="70"/>
  <c r="J78" i="3"/>
  <c r="K75" i="70" s="1"/>
  <c r="J22" i="3"/>
  <c r="N68" i="70"/>
  <c r="J7" i="3"/>
  <c r="K68" i="70" s="1"/>
  <c r="J38" i="3"/>
  <c r="L97" i="29" s="1"/>
  <c r="J17" i="3"/>
  <c r="J35" i="3"/>
  <c r="O76" i="76"/>
  <c r="J67" i="3"/>
  <c r="L76" i="76" s="1"/>
  <c r="O72" i="76"/>
  <c r="J48" i="3"/>
  <c r="L72" i="76" s="1"/>
  <c r="O68" i="76"/>
  <c r="J12" i="3"/>
  <c r="L68" i="76" s="1"/>
  <c r="N74" i="70"/>
  <c r="J63" i="3"/>
  <c r="K74" i="70" s="1"/>
  <c r="N71" i="70"/>
  <c r="J16" i="3"/>
  <c r="K71" i="70" s="1"/>
  <c r="G27" i="23"/>
  <c r="G31" i="23"/>
  <c r="G34" i="23"/>
  <c r="G33" i="23"/>
  <c r="S66" i="59"/>
  <c r="S25" i="59"/>
  <c r="S10" i="59"/>
  <c r="S42" i="59"/>
  <c r="S9" i="59"/>
  <c r="G13" i="23"/>
  <c r="G52" i="23"/>
  <c r="G56" i="23"/>
  <c r="G60" i="23"/>
  <c r="G68" i="23"/>
  <c r="G10" i="23"/>
  <c r="J78" i="30" s="1"/>
  <c r="G78" i="24"/>
  <c r="G22" i="24"/>
  <c r="G73" i="23"/>
  <c r="L13" i="29"/>
  <c r="J13" i="29"/>
  <c r="G44" i="23"/>
  <c r="G11" i="23"/>
  <c r="G52" i="24"/>
  <c r="G56" i="24"/>
  <c r="G60" i="24"/>
  <c r="G68" i="24"/>
  <c r="G73" i="24"/>
  <c r="G66" i="24"/>
  <c r="G47" i="24"/>
  <c r="G44" i="24"/>
  <c r="G11" i="24"/>
  <c r="G53" i="24"/>
  <c r="G57" i="24"/>
  <c r="G61" i="24"/>
  <c r="G70" i="24"/>
  <c r="G74" i="24"/>
  <c r="G42" i="24"/>
  <c r="G38" i="24"/>
  <c r="G34" i="24"/>
  <c r="G30" i="24"/>
  <c r="G26" i="24"/>
  <c r="J149" i="30" s="1"/>
  <c r="G20" i="24"/>
  <c r="G14" i="24"/>
  <c r="G6" i="24"/>
  <c r="G41" i="24"/>
  <c r="G37" i="24"/>
  <c r="G33" i="24"/>
  <c r="G29" i="24"/>
  <c r="G25" i="24"/>
  <c r="G18" i="24"/>
  <c r="G13" i="24"/>
  <c r="G76" i="24"/>
  <c r="G64" i="24"/>
  <c r="G45" i="24"/>
  <c r="G46" i="24"/>
  <c r="J163" i="30" s="1"/>
  <c r="G40" i="24"/>
  <c r="G36" i="24"/>
  <c r="G32" i="24"/>
  <c r="G28" i="24"/>
  <c r="G23" i="24"/>
  <c r="G17" i="24"/>
  <c r="G10" i="24"/>
  <c r="G35" i="24"/>
  <c r="G67" i="24"/>
  <c r="G48" i="24"/>
  <c r="G12" i="24"/>
  <c r="G63" i="24"/>
  <c r="G16" i="24"/>
  <c r="G43" i="24"/>
  <c r="J162" i="30" s="1"/>
  <c r="G9" i="24"/>
  <c r="G54" i="24"/>
  <c r="G58" i="24"/>
  <c r="G62" i="24"/>
  <c r="G71" i="24"/>
  <c r="G75" i="24"/>
  <c r="G7" i="24"/>
  <c r="G39" i="24"/>
  <c r="G31" i="24"/>
  <c r="G5" i="24"/>
  <c r="G50" i="24"/>
  <c r="G55" i="24"/>
  <c r="G59" i="24"/>
  <c r="G65" i="24"/>
  <c r="G72" i="24"/>
  <c r="G77" i="24"/>
  <c r="G21" i="24"/>
  <c r="G24" i="24"/>
  <c r="G8" i="24"/>
  <c r="G15" i="24"/>
  <c r="G49" i="24"/>
  <c r="G27" i="24"/>
  <c r="G69" i="24"/>
  <c r="G51" i="24"/>
  <c r="G19" i="24"/>
  <c r="G40" i="23"/>
  <c r="G53" i="23"/>
  <c r="G54" i="23"/>
  <c r="G58" i="23"/>
  <c r="G62" i="23"/>
  <c r="G71" i="23"/>
  <c r="G75" i="23"/>
  <c r="G66" i="23"/>
  <c r="J75" i="81" s="1"/>
  <c r="G76" i="23"/>
  <c r="G64" i="23"/>
  <c r="G45" i="23"/>
  <c r="J70" i="81" s="1"/>
  <c r="G77" i="22"/>
  <c r="G65" i="22"/>
  <c r="G46" i="22"/>
  <c r="J15" i="81" s="1"/>
  <c r="G24" i="23"/>
  <c r="G8" i="23"/>
  <c r="G67" i="23"/>
  <c r="J76" i="81" s="1"/>
  <c r="G48" i="23"/>
  <c r="J72" i="81" s="1"/>
  <c r="G12" i="23"/>
  <c r="J68" i="81" s="1"/>
  <c r="G69" i="23"/>
  <c r="J77" i="81" s="1"/>
  <c r="G51" i="23"/>
  <c r="J73" i="81" s="1"/>
  <c r="G19" i="23"/>
  <c r="J69" i="81" s="1"/>
  <c r="G52" i="15"/>
  <c r="G63" i="23"/>
  <c r="G16" i="23"/>
  <c r="G47" i="23"/>
  <c r="J71" i="81" s="1"/>
  <c r="G67" i="22"/>
  <c r="J20" i="81" s="1"/>
  <c r="G48" i="22"/>
  <c r="J16" i="81" s="1"/>
  <c r="G50" i="23"/>
  <c r="G55" i="23"/>
  <c r="G59" i="23"/>
  <c r="G65" i="23"/>
  <c r="G72" i="23"/>
  <c r="G49" i="23"/>
  <c r="G51" i="22"/>
  <c r="G56" i="22"/>
  <c r="G60" i="22"/>
  <c r="G66" i="22"/>
  <c r="G78" i="23"/>
  <c r="G22" i="23"/>
  <c r="G57" i="23"/>
  <c r="G61" i="23"/>
  <c r="G70" i="23"/>
  <c r="G74" i="23"/>
  <c r="G56" i="15"/>
  <c r="J169" i="29" s="1"/>
  <c r="G60" i="15"/>
  <c r="G68" i="15"/>
  <c r="G73" i="15"/>
  <c r="J176" i="29" s="1"/>
  <c r="G52" i="38"/>
  <c r="J42" i="46" s="1"/>
  <c r="G60" i="38"/>
  <c r="J48" i="46" s="1"/>
  <c r="G68" i="38"/>
  <c r="G74" i="38"/>
  <c r="J52" i="46" s="1"/>
  <c r="G53" i="22"/>
  <c r="G57" i="22"/>
  <c r="G61" i="22"/>
  <c r="G69" i="22"/>
  <c r="G74" i="22"/>
  <c r="G33" i="22"/>
  <c r="G7" i="23"/>
  <c r="G40" i="38"/>
  <c r="G77" i="23"/>
  <c r="G41" i="22"/>
  <c r="G32" i="22"/>
  <c r="G23" i="22"/>
  <c r="G10" i="22"/>
  <c r="G49" i="38"/>
  <c r="J40" i="46" s="1"/>
  <c r="G59" i="38"/>
  <c r="J47" i="46" s="1"/>
  <c r="G73" i="38"/>
  <c r="J51" i="46" s="1"/>
  <c r="G50" i="22"/>
  <c r="G70" i="22"/>
  <c r="J22" i="81" s="1"/>
  <c r="G52" i="22"/>
  <c r="J18" i="81" s="1"/>
  <c r="G19" i="22"/>
  <c r="J14" i="81" s="1"/>
  <c r="G45" i="22"/>
  <c r="G11" i="22"/>
  <c r="G79" i="22"/>
  <c r="G39" i="22"/>
  <c r="G68" i="22"/>
  <c r="J21" i="81" s="1"/>
  <c r="G24" i="22"/>
  <c r="G22" i="22"/>
  <c r="G42" i="22"/>
  <c r="G34" i="22"/>
  <c r="G25" i="22"/>
  <c r="G13" i="22"/>
  <c r="G46" i="38"/>
  <c r="J39" i="46" s="1"/>
  <c r="G42" i="38"/>
  <c r="G55" i="22"/>
  <c r="G59" i="22"/>
  <c r="G63" i="22"/>
  <c r="G72" i="22"/>
  <c r="G76" i="22"/>
  <c r="G7" i="22"/>
  <c r="G40" i="22"/>
  <c r="G31" i="22"/>
  <c r="G21" i="22"/>
  <c r="G9" i="22"/>
  <c r="G73" i="22"/>
  <c r="G78" i="22"/>
  <c r="G30" i="22"/>
  <c r="G20" i="22"/>
  <c r="G6" i="22"/>
  <c r="G49" i="22"/>
  <c r="J17" i="81" s="1"/>
  <c r="G12" i="22"/>
  <c r="J13" i="81" s="1"/>
  <c r="G8" i="22"/>
  <c r="G38" i="22"/>
  <c r="G29" i="22"/>
  <c r="G18" i="22"/>
  <c r="G47" i="22"/>
  <c r="G37" i="22"/>
  <c r="G28" i="22"/>
  <c r="G17" i="22"/>
  <c r="G44" i="22"/>
  <c r="G36" i="22"/>
  <c r="G27" i="22"/>
  <c r="G15" i="22"/>
  <c r="G54" i="22"/>
  <c r="G58" i="22"/>
  <c r="G62" i="22"/>
  <c r="G71" i="22"/>
  <c r="G75" i="22"/>
  <c r="G43" i="22"/>
  <c r="G35" i="22"/>
  <c r="G26" i="22"/>
  <c r="G14" i="22"/>
  <c r="G64" i="22"/>
  <c r="G16" i="22"/>
  <c r="G5" i="22"/>
  <c r="G34" i="38"/>
  <c r="J33" i="46" s="1"/>
  <c r="G26" i="38"/>
  <c r="J25" i="46" s="1"/>
  <c r="G50" i="38"/>
  <c r="J41" i="46" s="1"/>
  <c r="G56" i="38"/>
  <c r="J44" i="46" s="1"/>
  <c r="G70" i="38"/>
  <c r="G41" i="38"/>
  <c r="G33" i="38"/>
  <c r="J32" i="46" s="1"/>
  <c r="G25" i="38"/>
  <c r="J24" i="46" s="1"/>
  <c r="G21" i="38"/>
  <c r="J22" i="46" s="1"/>
  <c r="G57" i="38"/>
  <c r="J45" i="46" s="1"/>
  <c r="G71" i="38"/>
  <c r="G77" i="38"/>
  <c r="J54" i="46" s="1"/>
  <c r="G66" i="38"/>
  <c r="J20" i="77" s="1"/>
  <c r="G47" i="38"/>
  <c r="J16" i="77" s="1"/>
  <c r="G78" i="38"/>
  <c r="G22" i="38"/>
  <c r="G55" i="38"/>
  <c r="J43" i="46" s="1"/>
  <c r="G37" i="38"/>
  <c r="J35" i="46" s="1"/>
  <c r="G29" i="38"/>
  <c r="J28" i="46" s="1"/>
  <c r="G23" i="38"/>
  <c r="J23" i="46" s="1"/>
  <c r="G13" i="38"/>
  <c r="J18" i="46" s="1"/>
  <c r="G9" i="38"/>
  <c r="J16" i="46" s="1"/>
  <c r="G5" i="38"/>
  <c r="J14" i="46" s="1"/>
  <c r="G66" i="15"/>
  <c r="J130" i="76" s="1"/>
  <c r="G47" i="15"/>
  <c r="J126" i="76" s="1"/>
  <c r="G24" i="15"/>
  <c r="G69" i="38"/>
  <c r="J22" i="77" s="1"/>
  <c r="G51" i="38"/>
  <c r="J18" i="77" s="1"/>
  <c r="G19" i="38"/>
  <c r="J14" i="77" s="1"/>
  <c r="G31" i="38"/>
  <c r="J29" i="46" s="1"/>
  <c r="G76" i="15"/>
  <c r="G64" i="15"/>
  <c r="G45" i="15"/>
  <c r="J125" i="76" s="1"/>
  <c r="G78" i="15"/>
  <c r="G22" i="15"/>
  <c r="G67" i="38"/>
  <c r="J21" i="77" s="1"/>
  <c r="G48" i="38"/>
  <c r="J17" i="77" s="1"/>
  <c r="G12" i="38"/>
  <c r="J13" i="77" s="1"/>
  <c r="G24" i="38"/>
  <c r="G8" i="38"/>
  <c r="G36" i="38"/>
  <c r="G28" i="38"/>
  <c r="J27" i="46" s="1"/>
  <c r="G18" i="38"/>
  <c r="G54" i="38"/>
  <c r="G62" i="38"/>
  <c r="G15" i="38"/>
  <c r="J20" i="46" s="1"/>
  <c r="G38" i="38"/>
  <c r="J36" i="46" s="1"/>
  <c r="G30" i="38"/>
  <c r="G14" i="38"/>
  <c r="J19" i="46" s="1"/>
  <c r="G10" i="38"/>
  <c r="J17" i="46" s="1"/>
  <c r="G6" i="38"/>
  <c r="J15" i="46" s="1"/>
  <c r="G43" i="38"/>
  <c r="J38" i="46" s="1"/>
  <c r="G35" i="38"/>
  <c r="J34" i="46" s="1"/>
  <c r="G27" i="38"/>
  <c r="J26" i="46" s="1"/>
  <c r="G17" i="38"/>
  <c r="J21" i="46" s="1"/>
  <c r="G76" i="38"/>
  <c r="G64" i="38"/>
  <c r="G45" i="38"/>
  <c r="J15" i="77" s="1"/>
  <c r="G63" i="38"/>
  <c r="G16" i="38"/>
  <c r="G39" i="38"/>
  <c r="J37" i="46" s="1"/>
  <c r="G32" i="38"/>
  <c r="J30" i="46" s="1"/>
  <c r="G20" i="38"/>
  <c r="G58" i="38"/>
  <c r="J46" i="46" s="1"/>
  <c r="G72" i="38"/>
  <c r="G7" i="38"/>
  <c r="G53" i="38"/>
  <c r="G61" i="38"/>
  <c r="J49" i="46" s="1"/>
  <c r="G65" i="38"/>
  <c r="J50" i="46" s="1"/>
  <c r="G75" i="38"/>
  <c r="J53" i="46" s="1"/>
  <c r="G44" i="38"/>
  <c r="G11" i="38"/>
  <c r="G8" i="15"/>
  <c r="G50" i="15"/>
  <c r="J166" i="29" s="1"/>
  <c r="G55" i="15"/>
  <c r="J168" i="29" s="1"/>
  <c r="G59" i="15"/>
  <c r="G65" i="15"/>
  <c r="G72" i="15"/>
  <c r="G77" i="15"/>
  <c r="G7" i="15"/>
  <c r="G46" i="15"/>
  <c r="J164" i="29" s="1"/>
  <c r="G39" i="15"/>
  <c r="G34" i="15"/>
  <c r="G27" i="15"/>
  <c r="G42" i="15"/>
  <c r="G15" i="15"/>
  <c r="G67" i="15"/>
  <c r="J131" i="76" s="1"/>
  <c r="G48" i="15"/>
  <c r="J127" i="76" s="1"/>
  <c r="G12" i="15"/>
  <c r="J123" i="76" s="1"/>
  <c r="G37" i="15"/>
  <c r="G10" i="15"/>
  <c r="J142" i="29" s="1"/>
  <c r="G29" i="15"/>
  <c r="G41" i="15"/>
  <c r="G21" i="15"/>
  <c r="G5" i="15"/>
  <c r="G31" i="15"/>
  <c r="G54" i="15"/>
  <c r="G58" i="15"/>
  <c r="G62" i="15"/>
  <c r="G71" i="15"/>
  <c r="G75" i="15"/>
  <c r="G19" i="15"/>
  <c r="J124" i="76" s="1"/>
  <c r="G32" i="15"/>
  <c r="G40" i="15"/>
  <c r="G36" i="15"/>
  <c r="G30" i="15"/>
  <c r="G26" i="15"/>
  <c r="J150" i="29" s="1"/>
  <c r="G20" i="15"/>
  <c r="G14" i="15"/>
  <c r="G6" i="15"/>
  <c r="G69" i="15"/>
  <c r="J132" i="76" s="1"/>
  <c r="G63" i="15"/>
  <c r="G44" i="15"/>
  <c r="G11" i="15"/>
  <c r="G16" i="15"/>
  <c r="G25" i="15"/>
  <c r="G18" i="15"/>
  <c r="G13" i="15"/>
  <c r="G53" i="15"/>
  <c r="G57" i="15"/>
  <c r="G61" i="15"/>
  <c r="G70" i="15"/>
  <c r="G74" i="15"/>
  <c r="G49" i="15"/>
  <c r="G51" i="15"/>
  <c r="J128" i="76" s="1"/>
  <c r="G43" i="15"/>
  <c r="J163" i="29" s="1"/>
  <c r="G38" i="15"/>
  <c r="G33" i="15"/>
  <c r="G28" i="15"/>
  <c r="G23" i="15"/>
  <c r="J148" i="29" s="1"/>
  <c r="G17" i="15"/>
  <c r="G9" i="15"/>
  <c r="G35" i="15"/>
  <c r="M51" i="3"/>
  <c r="O73" i="76" s="1"/>
  <c r="O75" i="76"/>
  <c r="O71" i="76"/>
  <c r="N73" i="70"/>
  <c r="N70" i="70"/>
  <c r="O70" i="76"/>
  <c r="N72" i="70"/>
  <c r="N69" i="70"/>
  <c r="O77" i="76"/>
  <c r="O69" i="76"/>
  <c r="N59" i="76"/>
  <c r="N60" i="76"/>
  <c r="L60" i="76"/>
  <c r="L59" i="76"/>
  <c r="U5" i="13"/>
  <c r="AU21" i="78"/>
  <c r="AP15" i="72"/>
  <c r="BA15" i="72" s="1"/>
  <c r="AU22" i="78"/>
  <c r="AT17" i="78"/>
  <c r="AT14" i="78"/>
  <c r="AP19" i="72"/>
  <c r="BA19" i="72" s="1"/>
  <c r="AP16" i="72"/>
  <c r="BA16" i="72" s="1"/>
  <c r="AT15" i="78"/>
  <c r="AP14" i="72"/>
  <c r="BA14" i="72" s="1"/>
  <c r="AU20" i="78"/>
  <c r="AP13" i="72"/>
  <c r="BA13" i="72" s="1"/>
  <c r="AU17" i="78"/>
  <c r="AU14" i="78"/>
  <c r="AT22" i="78"/>
  <c r="AT16" i="78"/>
  <c r="AP20" i="72"/>
  <c r="BA20" i="72" s="1"/>
  <c r="AT18" i="78"/>
  <c r="AU18" i="78"/>
  <c r="AU13" i="78"/>
  <c r="AV13" i="78"/>
  <c r="N59" i="78"/>
  <c r="N61" i="78" s="1"/>
  <c r="AU15" i="78"/>
  <c r="AT21" i="78"/>
  <c r="L59" i="78"/>
  <c r="AT13" i="78"/>
  <c r="AT20" i="78"/>
  <c r="BG20" i="78" s="1"/>
  <c r="BH20" i="78" s="1"/>
  <c r="S73" i="59"/>
  <c r="AQ13" i="73"/>
  <c r="N59" i="73"/>
  <c r="N61" i="73" s="1"/>
  <c r="S64" i="59"/>
  <c r="S71" i="59"/>
  <c r="S63" i="59"/>
  <c r="S15" i="59"/>
  <c r="O59" i="79"/>
  <c r="O61" i="79" s="1"/>
  <c r="AR13" i="79"/>
  <c r="S49" i="59"/>
  <c r="Q11" i="69"/>
  <c r="Q2" i="3"/>
  <c r="Q51" i="3" s="1"/>
  <c r="S73" i="76" s="1"/>
  <c r="P2" i="3"/>
  <c r="P51" i="3" s="1"/>
  <c r="R73" i="76" s="1"/>
  <c r="O2" i="3"/>
  <c r="O51" i="3" s="1"/>
  <c r="Q73" i="76" s="1"/>
  <c r="V2" i="3"/>
  <c r="V51" i="3" s="1"/>
  <c r="X73" i="76" s="1"/>
  <c r="N2" i="3"/>
  <c r="N51" i="3" s="1"/>
  <c r="P73" i="76" s="1"/>
  <c r="U2" i="3"/>
  <c r="U51" i="3" s="1"/>
  <c r="W73" i="76" s="1"/>
  <c r="E26" i="10"/>
  <c r="E11" i="10"/>
  <c r="E15" i="10"/>
  <c r="E24" i="10"/>
  <c r="E20" i="10"/>
  <c r="E12" i="10"/>
  <c r="E60" i="10"/>
  <c r="E43" i="10"/>
  <c r="E71" i="10"/>
  <c r="R2" i="3"/>
  <c r="R51" i="3" s="1"/>
  <c r="T73" i="76" s="1"/>
  <c r="T2" i="3"/>
  <c r="T51" i="3" s="1"/>
  <c r="V73" i="76" s="1"/>
  <c r="S2" i="3"/>
  <c r="S51" i="3" s="1"/>
  <c r="U73" i="76" s="1"/>
  <c r="J63" i="46"/>
  <c r="K169" i="81"/>
  <c r="K170" i="81"/>
  <c r="J115" i="75"/>
  <c r="J114" i="75"/>
  <c r="J60" i="75"/>
  <c r="J59" i="75"/>
  <c r="J60" i="74"/>
  <c r="J61" i="74"/>
  <c r="J169" i="75"/>
  <c r="J170" i="75"/>
  <c r="J60" i="80"/>
  <c r="J61" i="80"/>
  <c r="B111" i="29"/>
  <c r="B165" i="29"/>
  <c r="B141" i="29"/>
  <c r="B147" i="29"/>
  <c r="B160" i="29"/>
  <c r="B119" i="29"/>
  <c r="B105" i="29"/>
  <c r="B171" i="29"/>
  <c r="B140" i="29"/>
  <c r="B88" i="29"/>
  <c r="B95" i="29"/>
  <c r="B180" i="29"/>
  <c r="B177" i="29"/>
  <c r="B91" i="29"/>
  <c r="B76" i="29"/>
  <c r="B110" i="29"/>
  <c r="B118" i="29"/>
  <c r="B98" i="29"/>
  <c r="B86" i="29"/>
  <c r="B84" i="29"/>
  <c r="B139" i="29"/>
  <c r="B145" i="29"/>
  <c r="B80" i="30"/>
  <c r="B118" i="30"/>
  <c r="B110" i="30"/>
  <c r="B103" i="30"/>
  <c r="B95" i="30"/>
  <c r="B179" i="30"/>
  <c r="M179" i="30" s="1"/>
  <c r="B171" i="30"/>
  <c r="B164" i="30"/>
  <c r="B156" i="30"/>
  <c r="B91" i="30"/>
  <c r="B86" i="30"/>
  <c r="B141" i="30"/>
  <c r="B153" i="30"/>
  <c r="B117" i="30"/>
  <c r="B109" i="30"/>
  <c r="B102" i="30"/>
  <c r="B94" i="30"/>
  <c r="B178" i="30"/>
  <c r="B170" i="30"/>
  <c r="B116" i="30"/>
  <c r="B108" i="30"/>
  <c r="B101" i="30"/>
  <c r="B93" i="30"/>
  <c r="B177" i="30"/>
  <c r="B169" i="30"/>
  <c r="B143" i="30"/>
  <c r="B154" i="30"/>
  <c r="B115" i="30"/>
  <c r="B107" i="30"/>
  <c r="B176" i="30"/>
  <c r="B168" i="30"/>
  <c r="B161" i="30"/>
  <c r="B114" i="30"/>
  <c r="B106" i="30"/>
  <c r="B155" i="30"/>
  <c r="B175" i="30"/>
  <c r="B167" i="30"/>
  <c r="B160" i="30"/>
  <c r="B84" i="30"/>
  <c r="B150" i="30"/>
  <c r="B113" i="30"/>
  <c r="B105" i="30"/>
  <c r="B98" i="30"/>
  <c r="B182" i="30"/>
  <c r="W182" i="30" s="1"/>
  <c r="B174" i="30"/>
  <c r="B159" i="30"/>
  <c r="B151" i="30"/>
  <c r="B142" i="30"/>
  <c r="B140" i="30"/>
  <c r="B92" i="30"/>
  <c r="B112" i="30"/>
  <c r="B104" i="30"/>
  <c r="B97" i="30"/>
  <c r="B181" i="30"/>
  <c r="T181" i="30" s="1"/>
  <c r="B173" i="30"/>
  <c r="B166" i="30"/>
  <c r="B158" i="30"/>
  <c r="B149" i="29"/>
  <c r="B85" i="29"/>
  <c r="B162" i="29"/>
  <c r="B157" i="29"/>
  <c r="B106" i="29"/>
  <c r="B173" i="29"/>
  <c r="B112" i="29"/>
  <c r="B94" i="29"/>
  <c r="B143" i="29"/>
  <c r="B152" i="29"/>
  <c r="B158" i="29"/>
  <c r="B175" i="29"/>
  <c r="B93" i="29"/>
  <c r="B102" i="29"/>
  <c r="B77" i="29"/>
  <c r="B82" i="29"/>
  <c r="B87" i="29"/>
  <c r="B178" i="29"/>
  <c r="B170" i="29"/>
  <c r="B167" i="29"/>
  <c r="B159" i="29"/>
  <c r="B79" i="29"/>
  <c r="B154" i="29"/>
  <c r="B161" i="29"/>
  <c r="B183" i="29"/>
  <c r="C15" i="81"/>
  <c r="C16" i="81" s="1"/>
  <c r="C17" i="81" s="1"/>
  <c r="C17" i="77"/>
  <c r="C17" i="78"/>
  <c r="C15" i="76"/>
  <c r="C16" i="76" s="1"/>
  <c r="C16" i="79"/>
  <c r="A14" i="56"/>
  <c r="D28" i="56"/>
  <c r="D22" i="56"/>
  <c r="E13" i="56"/>
  <c r="E27" i="56"/>
  <c r="T42" i="50"/>
  <c r="U43" i="50"/>
  <c r="D23" i="50"/>
  <c r="D41" i="61"/>
  <c r="D13" i="30"/>
  <c r="C13" i="30" s="1"/>
  <c r="D52" i="46"/>
  <c r="D53" i="61"/>
  <c r="D51" i="50"/>
  <c r="D31" i="30"/>
  <c r="D93" i="30" s="1"/>
  <c r="D40" i="29"/>
  <c r="D166" i="29" s="1"/>
  <c r="D32" i="46"/>
  <c r="Y71" i="10"/>
  <c r="D20" i="50"/>
  <c r="D44" i="46"/>
  <c r="D24" i="61"/>
  <c r="Y29" i="10"/>
  <c r="D16" i="50"/>
  <c r="D47" i="46"/>
  <c r="Y38" i="10"/>
  <c r="T29" i="10"/>
  <c r="T54" i="10"/>
  <c r="D46" i="61"/>
  <c r="Y54" i="10"/>
  <c r="T38" i="10"/>
  <c r="D23" i="61"/>
  <c r="U71" i="10"/>
  <c r="D50" i="46"/>
  <c r="D23" i="30"/>
  <c r="D85" i="30" s="1"/>
  <c r="D26" i="30"/>
  <c r="D151" i="30" s="1"/>
  <c r="D18" i="29"/>
  <c r="D80" i="29" s="1"/>
  <c r="D26" i="29"/>
  <c r="D88" i="29" s="1"/>
  <c r="D23" i="29"/>
  <c r="D149" i="29" s="1"/>
  <c r="T22" i="10"/>
  <c r="U22" i="10"/>
  <c r="D50" i="50"/>
  <c r="D26" i="50"/>
  <c r="D18" i="61"/>
  <c r="D14" i="30"/>
  <c r="U72" i="10"/>
  <c r="T72" i="10"/>
  <c r="D14" i="50"/>
  <c r="C14" i="50" s="1"/>
  <c r="D46" i="29"/>
  <c r="D172" i="29" s="1"/>
  <c r="D15" i="50"/>
  <c r="D14" i="61"/>
  <c r="C14" i="61" s="1"/>
  <c r="D46" i="50"/>
  <c r="Y59" i="10"/>
  <c r="D33" i="50"/>
  <c r="D15" i="61"/>
  <c r="D15" i="46"/>
  <c r="D41" i="30"/>
  <c r="D166" i="30" s="1"/>
  <c r="U59" i="10"/>
  <c r="D40" i="30"/>
  <c r="D102" i="30" s="1"/>
  <c r="D31" i="61"/>
  <c r="D31" i="29"/>
  <c r="D93" i="29" s="1"/>
  <c r="D42" i="46"/>
  <c r="D41" i="50"/>
  <c r="Y13" i="10"/>
  <c r="T52" i="10"/>
  <c r="U51" i="10"/>
  <c r="Y20" i="10"/>
  <c r="U28" i="10"/>
  <c r="T26" i="10"/>
  <c r="D17" i="46"/>
  <c r="D15" i="30"/>
  <c r="D140" i="30" s="1"/>
  <c r="D49" i="29"/>
  <c r="D175" i="29" s="1"/>
  <c r="D21" i="29"/>
  <c r="D83" i="29" s="1"/>
  <c r="D17" i="29"/>
  <c r="D79" i="29" s="1"/>
  <c r="D16" i="61"/>
  <c r="U13" i="10"/>
  <c r="T36" i="10"/>
  <c r="Y28" i="10"/>
  <c r="Y51" i="10"/>
  <c r="U60" i="10"/>
  <c r="D13" i="29"/>
  <c r="C13" i="29" s="1"/>
  <c r="U24" i="10"/>
  <c r="D17" i="50"/>
  <c r="D28" i="61"/>
  <c r="T66" i="10"/>
  <c r="D45" i="46"/>
  <c r="D28" i="46"/>
  <c r="T46" i="10"/>
  <c r="T73" i="10"/>
  <c r="D53" i="50"/>
  <c r="D14" i="46"/>
  <c r="C14" i="46" s="1"/>
  <c r="D27" i="50"/>
  <c r="U16" i="10"/>
  <c r="D17" i="61"/>
  <c r="D28" i="30"/>
  <c r="D90" i="30" s="1"/>
  <c r="U46" i="10"/>
  <c r="Y67" i="10"/>
  <c r="Y40" i="10"/>
  <c r="U53" i="10"/>
  <c r="D44" i="61"/>
  <c r="D36" i="46"/>
  <c r="D44" i="30"/>
  <c r="D169" i="30" s="1"/>
  <c r="D53" i="29"/>
  <c r="D179" i="29" s="1"/>
  <c r="D35" i="30"/>
  <c r="D160" i="30" s="1"/>
  <c r="D27" i="61"/>
  <c r="D27" i="30"/>
  <c r="D89" i="30" s="1"/>
  <c r="D50" i="29"/>
  <c r="D112" i="29" s="1"/>
  <c r="D44" i="29"/>
  <c r="D106" i="29" s="1"/>
  <c r="U67" i="10"/>
  <c r="U73" i="10"/>
  <c r="D50" i="61"/>
  <c r="T20" i="10"/>
  <c r="U58" i="10"/>
  <c r="Y23" i="10"/>
  <c r="D34" i="46"/>
  <c r="T53" i="10"/>
  <c r="Y60" i="10"/>
  <c r="T11" i="10"/>
  <c r="D19" i="61"/>
  <c r="D21" i="46"/>
  <c r="D19" i="50"/>
  <c r="D20" i="30"/>
  <c r="D145" i="30" s="1"/>
  <c r="D19" i="30"/>
  <c r="D144" i="30" s="1"/>
  <c r="T17" i="10"/>
  <c r="D51" i="46"/>
  <c r="U30" i="10"/>
  <c r="D20" i="29"/>
  <c r="D146" i="29" s="1"/>
  <c r="D19" i="29"/>
  <c r="D81" i="29" s="1"/>
  <c r="U11" i="10"/>
  <c r="T23" i="10"/>
  <c r="D15" i="56"/>
  <c r="D23" i="56"/>
  <c r="D16" i="56"/>
  <c r="D24" i="56"/>
  <c r="D17" i="56"/>
  <c r="D25" i="56"/>
  <c r="D13" i="56"/>
  <c r="D18" i="56"/>
  <c r="D26" i="56"/>
  <c r="D19" i="56"/>
  <c r="D20" i="56"/>
  <c r="D27" i="56"/>
  <c r="D21" i="56"/>
  <c r="E15" i="56"/>
  <c r="E23" i="56"/>
  <c r="E26" i="56"/>
  <c r="E16" i="56"/>
  <c r="E24" i="56"/>
  <c r="E17" i="56"/>
  <c r="E25" i="56"/>
  <c r="E18" i="56"/>
  <c r="E19" i="56"/>
  <c r="E28" i="56"/>
  <c r="E20" i="56"/>
  <c r="E21" i="56"/>
  <c r="E22" i="56"/>
  <c r="T57" i="10"/>
  <c r="D24" i="50"/>
  <c r="D54" i="46"/>
  <c r="D51" i="30"/>
  <c r="D176" i="30" s="1"/>
  <c r="D32" i="29"/>
  <c r="D158" i="29" s="1"/>
  <c r="D16" i="46"/>
  <c r="Y34" i="10"/>
  <c r="D40" i="50"/>
  <c r="Y47" i="10"/>
  <c r="D25" i="30"/>
  <c r="D150" i="30" s="1"/>
  <c r="D33" i="30"/>
  <c r="D95" i="30" s="1"/>
  <c r="U26" i="10"/>
  <c r="D39" i="50"/>
  <c r="U41" i="10"/>
  <c r="T48" i="10"/>
  <c r="T70" i="10"/>
  <c r="T58" i="10"/>
  <c r="U66" i="10"/>
  <c r="D53" i="46"/>
  <c r="D32" i="50"/>
  <c r="D43" i="50"/>
  <c r="D24" i="29"/>
  <c r="D86" i="29" s="1"/>
  <c r="T14" i="10"/>
  <c r="U56" i="10"/>
  <c r="D32" i="30"/>
  <c r="D157" i="30" s="1"/>
  <c r="Y61" i="10"/>
  <c r="D42" i="29"/>
  <c r="D104" i="29" s="1"/>
  <c r="U55" i="10"/>
  <c r="D25" i="50"/>
  <c r="D33" i="46"/>
  <c r="D52" i="61"/>
  <c r="D51" i="29"/>
  <c r="D113" i="29" s="1"/>
  <c r="D43" i="30"/>
  <c r="D105" i="30" s="1"/>
  <c r="D43" i="61"/>
  <c r="T34" i="10"/>
  <c r="D26" i="46"/>
  <c r="D41" i="46"/>
  <c r="D33" i="29"/>
  <c r="D159" i="29" s="1"/>
  <c r="D40" i="46"/>
  <c r="Y10" i="10"/>
  <c r="U62" i="10"/>
  <c r="T42" i="10"/>
  <c r="U42" i="10"/>
  <c r="D21" i="61"/>
  <c r="U47" i="10"/>
  <c r="T30" i="10"/>
  <c r="D19" i="46"/>
  <c r="U33" i="10"/>
  <c r="D52" i="50"/>
  <c r="D18" i="50"/>
  <c r="D22" i="46"/>
  <c r="D39" i="29"/>
  <c r="D101" i="29" s="1"/>
  <c r="D39" i="30"/>
  <c r="D164" i="30" s="1"/>
  <c r="U10" i="10"/>
  <c r="T62" i="10"/>
  <c r="T33" i="10"/>
  <c r="Y14" i="10"/>
  <c r="D52" i="29"/>
  <c r="D114" i="29" s="1"/>
  <c r="D24" i="30"/>
  <c r="D149" i="30" s="1"/>
  <c r="T56" i="10"/>
  <c r="S57" i="50"/>
  <c r="S41" i="50"/>
  <c r="S33" i="50"/>
  <c r="T25" i="50"/>
  <c r="U70" i="10"/>
  <c r="Y55" i="10"/>
  <c r="Y48" i="10"/>
  <c r="G79" i="10"/>
  <c r="Q82" i="10"/>
  <c r="R81" i="10"/>
  <c r="Y19" i="10"/>
  <c r="V80" i="10"/>
  <c r="G83" i="10"/>
  <c r="X77" i="10"/>
  <c r="X79" i="10"/>
  <c r="D151" i="29"/>
  <c r="D180" i="29"/>
  <c r="C180" i="29" s="1"/>
  <c r="D77" i="29"/>
  <c r="D112" i="30"/>
  <c r="D179" i="30"/>
  <c r="C179" i="30" s="1"/>
  <c r="D96" i="29"/>
  <c r="D173" i="30"/>
  <c r="C55" i="30"/>
  <c r="D180" i="30"/>
  <c r="C180" i="30" s="1"/>
  <c r="D182" i="30"/>
  <c r="C182" i="30" s="1"/>
  <c r="D97" i="29"/>
  <c r="D119" i="30"/>
  <c r="C119" i="30" s="1"/>
  <c r="D76" i="29"/>
  <c r="D108" i="30"/>
  <c r="D114" i="30"/>
  <c r="D142" i="29"/>
  <c r="D119" i="29"/>
  <c r="C119" i="29" s="1"/>
  <c r="D116" i="30"/>
  <c r="C116" i="30" s="1"/>
  <c r="D181" i="30"/>
  <c r="C181" i="30" s="1"/>
  <c r="D155" i="30"/>
  <c r="D169" i="29"/>
  <c r="C56" i="30"/>
  <c r="D117" i="29"/>
  <c r="C117" i="29" s="1"/>
  <c r="D109" i="30"/>
  <c r="C57" i="29"/>
  <c r="C54" i="29"/>
  <c r="D181" i="29"/>
  <c r="C181" i="29" s="1"/>
  <c r="D78" i="30"/>
  <c r="D22" i="30"/>
  <c r="D22" i="29"/>
  <c r="D22" i="50"/>
  <c r="D23" i="46"/>
  <c r="D89" i="29"/>
  <c r="H78" i="10"/>
  <c r="W79" i="10"/>
  <c r="X82" i="10"/>
  <c r="D96" i="30"/>
  <c r="W82" i="10"/>
  <c r="N83" i="10"/>
  <c r="D146" i="30"/>
  <c r="D83" i="30"/>
  <c r="V77" i="10"/>
  <c r="K80" i="10"/>
  <c r="L82" i="10"/>
  <c r="O83" i="10"/>
  <c r="Q80" i="10"/>
  <c r="D173" i="29"/>
  <c r="D109" i="29"/>
  <c r="Y9" i="10"/>
  <c r="T9" i="10"/>
  <c r="U9" i="10"/>
  <c r="T31" i="10"/>
  <c r="Y31" i="10"/>
  <c r="U31" i="10"/>
  <c r="F84" i="10"/>
  <c r="W84" i="10"/>
  <c r="D37" i="46"/>
  <c r="D36" i="30"/>
  <c r="D36" i="29"/>
  <c r="D36" i="50"/>
  <c r="M78" i="10"/>
  <c r="P77" i="10"/>
  <c r="N81" i="10"/>
  <c r="G78" i="10"/>
  <c r="J80" i="10"/>
  <c r="L79" i="10"/>
  <c r="O79" i="10"/>
  <c r="P78" i="10"/>
  <c r="X80" i="10"/>
  <c r="R80" i="10"/>
  <c r="W80" i="10"/>
  <c r="J78" i="10"/>
  <c r="R82" i="10"/>
  <c r="H82" i="10"/>
  <c r="K77" i="10"/>
  <c r="L80" i="10"/>
  <c r="L78" i="10"/>
  <c r="N80" i="10"/>
  <c r="V79" i="10"/>
  <c r="D82" i="10"/>
  <c r="K78" i="10"/>
  <c r="F82" i="10"/>
  <c r="H79" i="10"/>
  <c r="G82" i="10"/>
  <c r="L84" i="10"/>
  <c r="O84" i="10"/>
  <c r="D77" i="10"/>
  <c r="P79" i="10"/>
  <c r="V78" i="10"/>
  <c r="P82" i="10"/>
  <c r="V81" i="10"/>
  <c r="N82" i="10"/>
  <c r="Q78" i="10"/>
  <c r="F78" i="10"/>
  <c r="H81" i="10"/>
  <c r="P83" i="10"/>
  <c r="J84" i="10"/>
  <c r="V83" i="10"/>
  <c r="P84" i="10"/>
  <c r="R78" i="10"/>
  <c r="Q79" i="10"/>
  <c r="P81" i="10"/>
  <c r="D81" i="10"/>
  <c r="D80" i="10"/>
  <c r="V82" i="10"/>
  <c r="J77" i="10"/>
  <c r="M79" i="10"/>
  <c r="G80" i="10"/>
  <c r="L83" i="10"/>
  <c r="P80" i="10"/>
  <c r="M84" i="10"/>
  <c r="Q77" i="10"/>
  <c r="Q84" i="10"/>
  <c r="R83" i="10"/>
  <c r="F83" i="10"/>
  <c r="M82" i="10"/>
  <c r="D159" i="30"/>
  <c r="O82" i="10"/>
  <c r="D46" i="46"/>
  <c r="D45" i="50"/>
  <c r="D45" i="61"/>
  <c r="D45" i="30"/>
  <c r="D45" i="29"/>
  <c r="D153" i="29"/>
  <c r="D22" i="61"/>
  <c r="N84" i="10"/>
  <c r="K81" i="10"/>
  <c r="K84" i="10"/>
  <c r="D141" i="30"/>
  <c r="D115" i="30"/>
  <c r="D178" i="30"/>
  <c r="D29" i="29"/>
  <c r="D29" i="30"/>
  <c r="D29" i="50"/>
  <c r="D30" i="46"/>
  <c r="W78" i="10"/>
  <c r="W77" i="10"/>
  <c r="W81" i="10"/>
  <c r="W83" i="10"/>
  <c r="T63" i="10"/>
  <c r="U63" i="10"/>
  <c r="Y63" i="10"/>
  <c r="D167" i="29"/>
  <c r="H83" i="10"/>
  <c r="K83" i="10"/>
  <c r="T21" i="10"/>
  <c r="U21" i="10"/>
  <c r="U44" i="10"/>
  <c r="Y44" i="10"/>
  <c r="T44" i="10"/>
  <c r="Y64" i="10"/>
  <c r="U64" i="10"/>
  <c r="D80" i="30"/>
  <c r="D143" i="30"/>
  <c r="D182" i="29"/>
  <c r="C182" i="29" s="1"/>
  <c r="C56" i="29"/>
  <c r="Y37" i="10"/>
  <c r="U37" i="10"/>
  <c r="T65" i="10"/>
  <c r="U65" i="10"/>
  <c r="Y65" i="10"/>
  <c r="D49" i="50"/>
  <c r="D49" i="30"/>
  <c r="D43" i="46"/>
  <c r="D42" i="30"/>
  <c r="D42" i="61"/>
  <c r="X83" i="10"/>
  <c r="M83" i="10"/>
  <c r="D83" i="10"/>
  <c r="Q83" i="10"/>
  <c r="D28" i="29"/>
  <c r="D28" i="50"/>
  <c r="D35" i="50"/>
  <c r="D35" i="61"/>
  <c r="Q81" i="10"/>
  <c r="R84" i="10"/>
  <c r="L81" i="10"/>
  <c r="K82" i="10"/>
  <c r="G84" i="10"/>
  <c r="X84" i="10"/>
  <c r="J81" i="10"/>
  <c r="X81" i="10"/>
  <c r="O81" i="10"/>
  <c r="V84" i="10"/>
  <c r="F81" i="10"/>
  <c r="J82" i="10"/>
  <c r="H84" i="10"/>
  <c r="M81" i="10"/>
  <c r="D84" i="10"/>
  <c r="G81" i="10"/>
  <c r="M77" i="10"/>
  <c r="H80" i="10"/>
  <c r="H77" i="10"/>
  <c r="O78" i="10"/>
  <c r="F77" i="10"/>
  <c r="D78" i="10"/>
  <c r="O77" i="10"/>
  <c r="X78" i="10"/>
  <c r="F79" i="10"/>
  <c r="R79" i="10"/>
  <c r="N77" i="10"/>
  <c r="N79" i="10"/>
  <c r="F80" i="10"/>
  <c r="K79" i="10"/>
  <c r="R77" i="10"/>
  <c r="O80" i="10"/>
  <c r="J79" i="10"/>
  <c r="G77" i="10"/>
  <c r="D79" i="10"/>
  <c r="L77" i="10"/>
  <c r="M80" i="10"/>
  <c r="N78" i="10"/>
  <c r="Y39" i="10"/>
  <c r="U39" i="10"/>
  <c r="Y50" i="10"/>
  <c r="U50" i="10"/>
  <c r="D48" i="29"/>
  <c r="D49" i="46"/>
  <c r="D48" i="61"/>
  <c r="D48" i="50"/>
  <c r="Y27" i="10"/>
  <c r="T27" i="10"/>
  <c r="U27" i="10"/>
  <c r="J83" i="10"/>
  <c r="D79" i="30"/>
  <c r="D142" i="30"/>
  <c r="Y68" i="10"/>
  <c r="U68" i="10"/>
  <c r="Y43" i="10"/>
  <c r="T43" i="10"/>
  <c r="T68" i="10"/>
  <c r="U40" i="10"/>
  <c r="O176" i="29"/>
  <c r="W115" i="29"/>
  <c r="B51" i="49"/>
  <c r="J53" i="49"/>
  <c r="D15" i="49"/>
  <c r="J52" i="49"/>
  <c r="B54" i="49"/>
  <c r="J51" i="49"/>
  <c r="B53" i="49"/>
  <c r="J54" i="49"/>
  <c r="N46" i="50"/>
  <c r="X142" i="29"/>
  <c r="N18" i="29"/>
  <c r="AA26" i="29"/>
  <c r="AB31" i="29"/>
  <c r="AB39" i="29"/>
  <c r="O21" i="29"/>
  <c r="O25" i="29"/>
  <c r="O53" i="29"/>
  <c r="S24" i="50"/>
  <c r="Z56" i="29"/>
  <c r="T30" i="23"/>
  <c r="V27" i="50"/>
  <c r="V36" i="50"/>
  <c r="X21" i="50"/>
  <c r="S16" i="50"/>
  <c r="P38" i="23"/>
  <c r="T15" i="23"/>
  <c r="P34" i="23"/>
  <c r="T33" i="23"/>
  <c r="P23" i="61"/>
  <c r="Q24" i="61"/>
  <c r="X13" i="61"/>
  <c r="K12" i="22"/>
  <c r="N13" i="81" s="1"/>
  <c r="P39" i="50"/>
  <c r="Q22" i="61"/>
  <c r="N46" i="29"/>
  <c r="Q30" i="61"/>
  <c r="R30" i="61"/>
  <c r="K62" i="15"/>
  <c r="V45" i="50"/>
  <c r="R53" i="61"/>
  <c r="O168" i="29"/>
  <c r="T55" i="23"/>
  <c r="K59" i="23"/>
  <c r="N45" i="50"/>
  <c r="P13" i="61"/>
  <c r="X31" i="61"/>
  <c r="K11" i="23"/>
  <c r="M70" i="75" s="1"/>
  <c r="T55" i="30"/>
  <c r="O52" i="29"/>
  <c r="W57" i="46"/>
  <c r="Q52" i="61"/>
  <c r="Q31" i="61"/>
  <c r="W97" i="29"/>
  <c r="W104" i="29"/>
  <c r="O92" i="29"/>
  <c r="T38" i="29"/>
  <c r="W55" i="30"/>
  <c r="R57" i="46"/>
  <c r="K72" i="24"/>
  <c r="M44" i="29"/>
  <c r="Q49" i="61"/>
  <c r="U70" i="38"/>
  <c r="K74" i="24"/>
  <c r="Q44" i="61"/>
  <c r="R23" i="50"/>
  <c r="R15" i="50"/>
  <c r="K28" i="23"/>
  <c r="V44" i="29"/>
  <c r="X97" i="29"/>
  <c r="Y156" i="29"/>
  <c r="Q41" i="29"/>
  <c r="Z13" i="29"/>
  <c r="K37" i="38"/>
  <c r="N35" i="46" s="1"/>
  <c r="J49" i="15"/>
  <c r="S68" i="23"/>
  <c r="S52" i="50"/>
  <c r="P19" i="50"/>
  <c r="U21" i="61"/>
  <c r="T54" i="30"/>
  <c r="U34" i="61"/>
  <c r="U72" i="23"/>
  <c r="N181" i="29"/>
  <c r="S182" i="29"/>
  <c r="W33" i="29"/>
  <c r="S73" i="24"/>
  <c r="N14" i="50"/>
  <c r="X55" i="61"/>
  <c r="Q17" i="29"/>
  <c r="O40" i="23"/>
  <c r="Q54" i="29"/>
  <c r="O35" i="50"/>
  <c r="O26" i="50"/>
  <c r="P57" i="22"/>
  <c r="S43" i="30" s="1"/>
  <c r="S41" i="29"/>
  <c r="Z55" i="29"/>
  <c r="S50" i="61"/>
  <c r="R29" i="61"/>
  <c r="T13" i="29"/>
  <c r="Q36" i="29"/>
  <c r="S17" i="38"/>
  <c r="V21" i="46" s="1"/>
  <c r="K71" i="23"/>
  <c r="Q29" i="29"/>
  <c r="P166" i="29"/>
  <c r="R21" i="61"/>
  <c r="R13" i="61"/>
  <c r="Q36" i="23"/>
  <c r="W56" i="30"/>
  <c r="R18" i="61"/>
  <c r="L21" i="29"/>
  <c r="M34" i="38"/>
  <c r="P33" i="46" s="1"/>
  <c r="K56" i="23"/>
  <c r="S44" i="61"/>
  <c r="T76" i="22"/>
  <c r="W52" i="30" s="1"/>
  <c r="V19" i="50"/>
  <c r="R52" i="61"/>
  <c r="R22" i="29"/>
  <c r="K31" i="38"/>
  <c r="N29" i="46" s="1"/>
  <c r="N73" i="23"/>
  <c r="Q48" i="29"/>
  <c r="Z45" i="29"/>
  <c r="S27" i="50"/>
  <c r="R34" i="61"/>
  <c r="Q21" i="29"/>
  <c r="R31" i="29"/>
  <c r="X169" i="29"/>
  <c r="U13" i="29"/>
  <c r="T104" i="29"/>
  <c r="Y38" i="29"/>
  <c r="Q48" i="61"/>
  <c r="Q41" i="61"/>
  <c r="R33" i="61"/>
  <c r="O48" i="38"/>
  <c r="R17" i="77" s="1"/>
  <c r="I47" i="38"/>
  <c r="T43" i="50"/>
  <c r="Z29" i="29"/>
  <c r="Q32" i="29"/>
  <c r="T41" i="29"/>
  <c r="Z32" i="29"/>
  <c r="R50" i="22"/>
  <c r="U39" i="30" s="1"/>
  <c r="Q27" i="50"/>
  <c r="W36" i="61"/>
  <c r="Q30" i="29"/>
  <c r="S70" i="24"/>
  <c r="Q21" i="61"/>
  <c r="S9" i="23"/>
  <c r="O39" i="29"/>
  <c r="O29" i="29"/>
  <c r="S14" i="29"/>
  <c r="N54" i="30"/>
  <c r="S53" i="23"/>
  <c r="L73" i="38"/>
  <c r="O51" i="46" s="1"/>
  <c r="P13" i="29"/>
  <c r="P44" i="61"/>
  <c r="T36" i="29"/>
  <c r="R58" i="46"/>
  <c r="U36" i="50"/>
  <c r="X104" i="29"/>
  <c r="S166" i="29"/>
  <c r="N36" i="50"/>
  <c r="Z53" i="29"/>
  <c r="M182" i="29"/>
  <c r="L65" i="38"/>
  <c r="O50" i="46" s="1"/>
  <c r="K77" i="23"/>
  <c r="U29" i="50"/>
  <c r="X28" i="61"/>
  <c r="Q54" i="61"/>
  <c r="R46" i="61"/>
  <c r="Q39" i="61"/>
  <c r="U23" i="61"/>
  <c r="T56" i="30"/>
  <c r="W58" i="46"/>
  <c r="K73" i="23"/>
  <c r="L29" i="29"/>
  <c r="T44" i="61"/>
  <c r="T27" i="61"/>
  <c r="T9" i="38"/>
  <c r="W16" i="46" s="1"/>
  <c r="U49" i="50"/>
  <c r="U29" i="61"/>
  <c r="S45" i="50"/>
  <c r="I49" i="15"/>
  <c r="S27" i="24"/>
  <c r="S54" i="30"/>
  <c r="K70" i="38"/>
  <c r="K76" i="22"/>
  <c r="N52" i="30" s="1"/>
  <c r="K57" i="24"/>
  <c r="K61" i="24"/>
  <c r="O26" i="29"/>
  <c r="R53" i="23"/>
  <c r="Q32" i="50"/>
  <c r="S19" i="50"/>
  <c r="T45" i="29"/>
  <c r="AA22" i="29"/>
  <c r="Z25" i="29"/>
  <c r="T53" i="61"/>
  <c r="Z36" i="29"/>
  <c r="U52" i="61"/>
  <c r="Q28" i="23"/>
  <c r="N43" i="22"/>
  <c r="V15" i="29"/>
  <c r="V27" i="29"/>
  <c r="I56" i="15"/>
  <c r="L169" i="29" s="1"/>
  <c r="O55" i="38"/>
  <c r="R43" i="46" s="1"/>
  <c r="Q74" i="38"/>
  <c r="T52" i="46" s="1"/>
  <c r="U54" i="23"/>
  <c r="K58" i="23"/>
  <c r="K62" i="23"/>
  <c r="M71" i="23"/>
  <c r="R50" i="24"/>
  <c r="K77" i="24"/>
  <c r="S48" i="50"/>
  <c r="N32" i="50"/>
  <c r="N27" i="61"/>
  <c r="U25" i="61"/>
  <c r="T48" i="29"/>
  <c r="Z48" i="29"/>
  <c r="P16" i="50"/>
  <c r="N41" i="50"/>
  <c r="I19" i="38"/>
  <c r="S92" i="29"/>
  <c r="U39" i="61"/>
  <c r="R32" i="29"/>
  <c r="O36" i="29"/>
  <c r="T17" i="29"/>
  <c r="S28" i="23"/>
  <c r="U13" i="61"/>
  <c r="Z41" i="29"/>
  <c r="W182" i="29"/>
  <c r="S50" i="38"/>
  <c r="V41" i="46" s="1"/>
  <c r="N28" i="50"/>
  <c r="W52" i="50"/>
  <c r="Q13" i="61"/>
  <c r="Q53" i="61"/>
  <c r="U45" i="61"/>
  <c r="U30" i="61"/>
  <c r="U22" i="61"/>
  <c r="X14" i="61"/>
  <c r="O57" i="46"/>
  <c r="Y166" i="29"/>
  <c r="L27" i="61"/>
  <c r="S54" i="50"/>
  <c r="P57" i="61"/>
  <c r="X15" i="61"/>
  <c r="U15" i="61"/>
  <c r="T32" i="29"/>
  <c r="U27" i="61"/>
  <c r="Z17" i="29"/>
  <c r="S156" i="29"/>
  <c r="S104" i="29"/>
  <c r="W41" i="29"/>
  <c r="N44" i="50"/>
  <c r="O48" i="29"/>
  <c r="U5" i="23"/>
  <c r="X75" i="30" s="1"/>
  <c r="N31" i="29"/>
  <c r="Z35" i="29"/>
  <c r="AA54" i="29"/>
  <c r="O54" i="24"/>
  <c r="S75" i="24"/>
  <c r="U33" i="50"/>
  <c r="T20" i="61"/>
  <c r="N67" i="22"/>
  <c r="Q20" i="81" s="1"/>
  <c r="P33" i="38"/>
  <c r="S32" i="46" s="1"/>
  <c r="P61" i="22"/>
  <c r="S47" i="30" s="1"/>
  <c r="U65" i="24"/>
  <c r="I66" i="38"/>
  <c r="N23" i="50"/>
  <c r="R55" i="24"/>
  <c r="O55" i="24"/>
  <c r="U33" i="61"/>
  <c r="P52" i="38"/>
  <c r="S42" i="46" s="1"/>
  <c r="R40" i="50"/>
  <c r="O40" i="50"/>
  <c r="S181" i="29"/>
  <c r="W181" i="29"/>
  <c r="M181" i="29"/>
  <c r="P181" i="29"/>
  <c r="O181" i="29"/>
  <c r="X181" i="29"/>
  <c r="S68" i="38"/>
  <c r="R97" i="29"/>
  <c r="O97" i="29"/>
  <c r="S97" i="29"/>
  <c r="Z97" i="29"/>
  <c r="Y97" i="29"/>
  <c r="P97" i="29"/>
  <c r="P75" i="22"/>
  <c r="S51" i="30" s="1"/>
  <c r="S168" i="29"/>
  <c r="Q15" i="61"/>
  <c r="P45" i="50"/>
  <c r="N29" i="50"/>
  <c r="O104" i="29"/>
  <c r="O156" i="29"/>
  <c r="T13" i="61"/>
  <c r="W50" i="50"/>
  <c r="N21" i="50"/>
  <c r="Q29" i="61"/>
  <c r="R14" i="61"/>
  <c r="W28" i="50"/>
  <c r="I48" i="38"/>
  <c r="N43" i="23"/>
  <c r="Q99" i="30" s="1"/>
  <c r="U27" i="23"/>
  <c r="J40" i="24"/>
  <c r="O36" i="24"/>
  <c r="U32" i="24"/>
  <c r="R28" i="24"/>
  <c r="U23" i="24"/>
  <c r="N10" i="24"/>
  <c r="U9" i="38"/>
  <c r="X16" i="46" s="1"/>
  <c r="T64" i="38"/>
  <c r="P39" i="61"/>
  <c r="Q46" i="61"/>
  <c r="K8" i="24"/>
  <c r="M124" i="75" s="1"/>
  <c r="O166" i="29"/>
  <c r="Q45" i="61"/>
  <c r="N49" i="50"/>
  <c r="O13" i="61"/>
  <c r="N33" i="50"/>
  <c r="S70" i="38"/>
  <c r="N61" i="23"/>
  <c r="X39" i="61"/>
  <c r="R22" i="61"/>
  <c r="Q42" i="23"/>
  <c r="Q97" i="29"/>
  <c r="Q166" i="29"/>
  <c r="U55" i="30"/>
  <c r="Y181" i="29"/>
  <c r="O26" i="38"/>
  <c r="R25" i="46" s="1"/>
  <c r="P57" i="46"/>
  <c r="K59" i="38"/>
  <c r="N47" i="46" s="1"/>
  <c r="P56" i="22"/>
  <c r="S42" i="30" s="1"/>
  <c r="P66" i="22"/>
  <c r="S49" i="30" s="1"/>
  <c r="P73" i="22"/>
  <c r="Q52" i="23"/>
  <c r="U58" i="24"/>
  <c r="O53" i="50"/>
  <c r="N43" i="50"/>
  <c r="L35" i="50"/>
  <c r="N18" i="50"/>
  <c r="X51" i="61"/>
  <c r="S43" i="61"/>
  <c r="R6" i="23"/>
  <c r="I69" i="38"/>
  <c r="W166" i="29"/>
  <c r="N27" i="50"/>
  <c r="V13" i="61"/>
  <c r="R57" i="24"/>
  <c r="U43" i="24"/>
  <c r="X162" i="30" s="1"/>
  <c r="T40" i="29"/>
  <c r="K77" i="38"/>
  <c r="N54" i="46" s="1"/>
  <c r="T74" i="23"/>
  <c r="U25" i="50"/>
  <c r="N17" i="50"/>
  <c r="T19" i="50"/>
  <c r="N45" i="29"/>
  <c r="R50" i="61"/>
  <c r="U42" i="61"/>
  <c r="P27" i="61"/>
  <c r="N19" i="61"/>
  <c r="M56" i="38"/>
  <c r="P44" i="46" s="1"/>
  <c r="M57" i="22"/>
  <c r="P43" i="30" s="1"/>
  <c r="T58" i="22"/>
  <c r="W44" i="30" s="1"/>
  <c r="N52" i="50"/>
  <c r="Q14" i="61"/>
  <c r="P33" i="29"/>
  <c r="I37" i="15"/>
  <c r="K27" i="15"/>
  <c r="I15" i="15"/>
  <c r="N56" i="23"/>
  <c r="R25" i="29"/>
  <c r="R44" i="29"/>
  <c r="R48" i="29"/>
  <c r="R38" i="29"/>
  <c r="R41" i="29"/>
  <c r="T46" i="29"/>
  <c r="Q46" i="29"/>
  <c r="L46" i="29"/>
  <c r="R46" i="29"/>
  <c r="S42" i="38"/>
  <c r="K42" i="38"/>
  <c r="P42" i="38"/>
  <c r="Q54" i="38"/>
  <c r="U54" i="38"/>
  <c r="O68" i="23"/>
  <c r="K68" i="23"/>
  <c r="Q62" i="24"/>
  <c r="O62" i="24"/>
  <c r="U51" i="50"/>
  <c r="S51" i="50"/>
  <c r="O51" i="50"/>
  <c r="O22" i="50"/>
  <c r="AB14" i="29"/>
  <c r="AA14" i="29"/>
  <c r="S36" i="38"/>
  <c r="K36" i="38"/>
  <c r="P34" i="50"/>
  <c r="O34" i="50"/>
  <c r="U35" i="61"/>
  <c r="L35" i="61"/>
  <c r="T35" i="61"/>
  <c r="Q35" i="61"/>
  <c r="R35" i="61"/>
  <c r="Q51" i="61"/>
  <c r="V18" i="50"/>
  <c r="Q27" i="61"/>
  <c r="P34" i="38"/>
  <c r="S33" i="46" s="1"/>
  <c r="T51" i="61"/>
  <c r="S18" i="50"/>
  <c r="N35" i="29"/>
  <c r="Q104" i="29"/>
  <c r="S20" i="61"/>
  <c r="S25" i="50"/>
  <c r="W34" i="50"/>
  <c r="U56" i="30"/>
  <c r="Q59" i="38"/>
  <c r="T47" i="46" s="1"/>
  <c r="N36" i="29"/>
  <c r="T56" i="22"/>
  <c r="W42" i="30" s="1"/>
  <c r="P56" i="23"/>
  <c r="L39" i="29"/>
  <c r="U39" i="29"/>
  <c r="Q39" i="29"/>
  <c r="Z39" i="29"/>
  <c r="T39" i="29"/>
  <c r="AB36" i="29"/>
  <c r="AB53" i="29"/>
  <c r="AB17" i="29"/>
  <c r="AB48" i="29"/>
  <c r="P46" i="38"/>
  <c r="S39" i="46" s="1"/>
  <c r="Q46" i="38"/>
  <c r="T39" i="46" s="1"/>
  <c r="S62" i="38"/>
  <c r="K62" i="38"/>
  <c r="S73" i="23"/>
  <c r="Q73" i="23"/>
  <c r="T35" i="50"/>
  <c r="U35" i="50"/>
  <c r="U53" i="50"/>
  <c r="U19" i="50"/>
  <c r="U56" i="50"/>
  <c r="AB45" i="29"/>
  <c r="Q31" i="38"/>
  <c r="T29" i="46" s="1"/>
  <c r="K57" i="23"/>
  <c r="R57" i="23"/>
  <c r="O13" i="50"/>
  <c r="T13" i="50"/>
  <c r="X42" i="61"/>
  <c r="R42" i="61"/>
  <c r="L42" i="61"/>
  <c r="Q42" i="61"/>
  <c r="P42" i="61"/>
  <c r="S42" i="61"/>
  <c r="L19" i="61"/>
  <c r="P19" i="61"/>
  <c r="R19" i="61"/>
  <c r="V19" i="61"/>
  <c r="Q19" i="61"/>
  <c r="T19" i="61"/>
  <c r="U19" i="61"/>
  <c r="AB41" i="29"/>
  <c r="V26" i="29"/>
  <c r="O57" i="50"/>
  <c r="R13" i="29"/>
  <c r="U26" i="38"/>
  <c r="X25" i="46" s="1"/>
  <c r="T51" i="50"/>
  <c r="S74" i="24"/>
  <c r="S69" i="24"/>
  <c r="V132" i="81" s="1"/>
  <c r="S31" i="24"/>
  <c r="N35" i="50"/>
  <c r="U18" i="50"/>
  <c r="R36" i="29"/>
  <c r="T42" i="61"/>
  <c r="N39" i="29"/>
  <c r="Y39" i="29"/>
  <c r="O44" i="50"/>
  <c r="R52" i="29"/>
  <c r="AB25" i="29"/>
  <c r="N55" i="30"/>
  <c r="P36" i="24"/>
  <c r="T68" i="23"/>
  <c r="T49" i="22"/>
  <c r="W17" i="81" s="1"/>
  <c r="T72" i="23"/>
  <c r="T34" i="23"/>
  <c r="T65" i="23"/>
  <c r="P52" i="23"/>
  <c r="P73" i="23"/>
  <c r="P75" i="23"/>
  <c r="N52" i="23"/>
  <c r="N68" i="23"/>
  <c r="N60" i="23"/>
  <c r="Z31" i="29"/>
  <c r="S31" i="29"/>
  <c r="Q31" i="29"/>
  <c r="O31" i="29"/>
  <c r="L54" i="29"/>
  <c r="Z54" i="29"/>
  <c r="T54" i="29"/>
  <c r="Q150" i="29"/>
  <c r="Q181" i="29"/>
  <c r="Q142" i="29"/>
  <c r="Y150" i="29"/>
  <c r="Q26" i="38"/>
  <c r="T25" i="46" s="1"/>
  <c r="L26" i="38"/>
  <c r="O25" i="46" s="1"/>
  <c r="K60" i="23"/>
  <c r="S60" i="23"/>
  <c r="U60" i="23"/>
  <c r="S43" i="50"/>
  <c r="V43" i="50"/>
  <c r="U26" i="50"/>
  <c r="S26" i="50"/>
  <c r="P36" i="61"/>
  <c r="S36" i="61"/>
  <c r="X36" i="61"/>
  <c r="R43" i="50"/>
  <c r="N40" i="29"/>
  <c r="R40" i="29"/>
  <c r="R168" i="29"/>
  <c r="R181" i="29"/>
  <c r="N25" i="29"/>
  <c r="N29" i="29"/>
  <c r="N34" i="29"/>
  <c r="N21" i="29"/>
  <c r="N41" i="29"/>
  <c r="N17" i="29"/>
  <c r="N52" i="29"/>
  <c r="T31" i="61"/>
  <c r="T23" i="61"/>
  <c r="T30" i="61"/>
  <c r="T29" i="61"/>
  <c r="T21" i="61"/>
  <c r="T39" i="61"/>
  <c r="R39" i="29"/>
  <c r="W20" i="61"/>
  <c r="K26" i="38"/>
  <c r="N25" i="46" s="1"/>
  <c r="K52" i="23"/>
  <c r="R53" i="29"/>
  <c r="S42" i="24"/>
  <c r="R34" i="23"/>
  <c r="R56" i="23"/>
  <c r="R68" i="23"/>
  <c r="AA35" i="29"/>
  <c r="T35" i="29"/>
  <c r="P35" i="29"/>
  <c r="K73" i="38"/>
  <c r="N51" i="46" s="1"/>
  <c r="P73" i="38"/>
  <c r="S51" i="46" s="1"/>
  <c r="O27" i="50"/>
  <c r="O46" i="50"/>
  <c r="O24" i="50"/>
  <c r="O36" i="50"/>
  <c r="O33" i="50"/>
  <c r="O52" i="50"/>
  <c r="O41" i="50"/>
  <c r="O16" i="50"/>
  <c r="O29" i="50"/>
  <c r="O54" i="50"/>
  <c r="O15" i="50"/>
  <c r="O49" i="50"/>
  <c r="O19" i="50"/>
  <c r="L51" i="61"/>
  <c r="S51" i="61"/>
  <c r="L45" i="61"/>
  <c r="L13" i="61"/>
  <c r="L52" i="61"/>
  <c r="Z46" i="29"/>
  <c r="P26" i="38"/>
  <c r="S25" i="46" s="1"/>
  <c r="R18" i="29"/>
  <c r="Z18" i="29"/>
  <c r="X47" i="29"/>
  <c r="N47" i="29"/>
  <c r="S47" i="29"/>
  <c r="AA56" i="29"/>
  <c r="AA32" i="29"/>
  <c r="AA53" i="29"/>
  <c r="AA41" i="29"/>
  <c r="AA36" i="29"/>
  <c r="K39" i="38"/>
  <c r="N37" i="46" s="1"/>
  <c r="P39" i="38"/>
  <c r="S37" i="46" s="1"/>
  <c r="S39" i="38"/>
  <c r="V37" i="46" s="1"/>
  <c r="S50" i="50"/>
  <c r="Q50" i="50"/>
  <c r="O50" i="50"/>
  <c r="X50" i="50"/>
  <c r="T50" i="61"/>
  <c r="Q50" i="61"/>
  <c r="N50" i="61"/>
  <c r="U59" i="38"/>
  <c r="X47" i="46" s="1"/>
  <c r="U50" i="38"/>
  <c r="X41" i="46" s="1"/>
  <c r="U48" i="38"/>
  <c r="X17" i="77" s="1"/>
  <c r="U28" i="38"/>
  <c r="X27" i="46" s="1"/>
  <c r="N74" i="23"/>
  <c r="T14" i="61"/>
  <c r="S35" i="29"/>
  <c r="AB46" i="29"/>
  <c r="N51" i="50"/>
  <c r="R35" i="29"/>
  <c r="R21" i="29"/>
  <c r="K62" i="24"/>
  <c r="S73" i="38"/>
  <c r="V51" i="46" s="1"/>
  <c r="O56" i="23"/>
  <c r="Q169" i="29"/>
  <c r="P20" i="61"/>
  <c r="O18" i="50"/>
  <c r="S45" i="29"/>
  <c r="U50" i="61"/>
  <c r="R54" i="29"/>
  <c r="T31" i="29"/>
  <c r="R52" i="23"/>
  <c r="K34" i="38"/>
  <c r="N33" i="46" s="1"/>
  <c r="T17" i="61"/>
  <c r="S35" i="50"/>
  <c r="S17" i="29"/>
  <c r="P35" i="61"/>
  <c r="P60" i="23"/>
  <c r="S57" i="24"/>
  <c r="AA104" i="29"/>
  <c r="Y104" i="29"/>
  <c r="Z104" i="29"/>
  <c r="P104" i="29"/>
  <c r="R104" i="29"/>
  <c r="N156" i="29"/>
  <c r="Q156" i="29"/>
  <c r="X166" i="29"/>
  <c r="K28" i="15"/>
  <c r="I35" i="15"/>
  <c r="R35" i="22"/>
  <c r="U32" i="30" s="1"/>
  <c r="P35" i="22"/>
  <c r="S32" i="30" s="1"/>
  <c r="Q34" i="23"/>
  <c r="O34" i="23"/>
  <c r="K34" i="23"/>
  <c r="Q36" i="24"/>
  <c r="U19" i="38"/>
  <c r="X14" i="77" s="1"/>
  <c r="R30" i="23"/>
  <c r="S30" i="23"/>
  <c r="S19" i="29"/>
  <c r="AA23" i="29"/>
  <c r="M33" i="38"/>
  <c r="P32" i="46" s="1"/>
  <c r="K49" i="38"/>
  <c r="N40" i="46" s="1"/>
  <c r="R71" i="23"/>
  <c r="K75" i="23"/>
  <c r="Q75" i="23"/>
  <c r="V14" i="61"/>
  <c r="V30" i="61"/>
  <c r="T25" i="61"/>
  <c r="Q44" i="38"/>
  <c r="T18" i="23"/>
  <c r="AB50" i="29"/>
  <c r="M50" i="22"/>
  <c r="P39" i="30" s="1"/>
  <c r="J70" i="15"/>
  <c r="U72" i="38"/>
  <c r="S71" i="22"/>
  <c r="O14" i="50"/>
  <c r="T55" i="61"/>
  <c r="O55" i="61"/>
  <c r="N57" i="30"/>
  <c r="M76" i="38"/>
  <c r="R72" i="23"/>
  <c r="N48" i="23"/>
  <c r="Q72" i="81" s="1"/>
  <c r="L30" i="22"/>
  <c r="L37" i="22"/>
  <c r="T46" i="23"/>
  <c r="W100" i="30" s="1"/>
  <c r="Q41" i="24"/>
  <c r="R37" i="24"/>
  <c r="N33" i="24"/>
  <c r="K29" i="24"/>
  <c r="P25" i="24"/>
  <c r="R18" i="24"/>
  <c r="P12" i="24"/>
  <c r="S123" i="81" s="1"/>
  <c r="J42" i="15"/>
  <c r="J10" i="15"/>
  <c r="M142" i="29" s="1"/>
  <c r="T40" i="23"/>
  <c r="U32" i="23"/>
  <c r="R50" i="38"/>
  <c r="U41" i="46" s="1"/>
  <c r="U53" i="61"/>
  <c r="L30" i="61"/>
  <c r="U14" i="61"/>
  <c r="O55" i="30"/>
  <c r="O66" i="38"/>
  <c r="R20" i="77" s="1"/>
  <c r="Q176" i="29"/>
  <c r="P21" i="23"/>
  <c r="S83" i="30" s="1"/>
  <c r="N38" i="24"/>
  <c r="O40" i="29"/>
  <c r="K46" i="38"/>
  <c r="N39" i="46" s="1"/>
  <c r="M42" i="38"/>
  <c r="M9" i="38"/>
  <c r="P16" i="46" s="1"/>
  <c r="U73" i="38"/>
  <c r="X51" i="46" s="1"/>
  <c r="S72" i="22"/>
  <c r="S52" i="23"/>
  <c r="U56" i="23"/>
  <c r="Q60" i="23"/>
  <c r="L21" i="61"/>
  <c r="W54" i="30"/>
  <c r="M43" i="61"/>
  <c r="U12" i="23"/>
  <c r="X68" i="81" s="1"/>
  <c r="M67" i="22"/>
  <c r="P20" i="81" s="1"/>
  <c r="X115" i="29"/>
  <c r="O115" i="29"/>
  <c r="U115" i="29"/>
  <c r="P115" i="29"/>
  <c r="Q115" i="29"/>
  <c r="AA115" i="29"/>
  <c r="Y115" i="29"/>
  <c r="N92" i="29"/>
  <c r="P92" i="29"/>
  <c r="T92" i="29"/>
  <c r="W92" i="29"/>
  <c r="T13" i="24"/>
  <c r="P50" i="24"/>
  <c r="P77" i="24"/>
  <c r="P54" i="24"/>
  <c r="P65" i="24"/>
  <c r="Q92" i="29"/>
  <c r="T97" i="29"/>
  <c r="Y53" i="29"/>
  <c r="Y17" i="29"/>
  <c r="M68" i="38"/>
  <c r="K68" i="38"/>
  <c r="Q68" i="38"/>
  <c r="U68" i="38"/>
  <c r="P74" i="22"/>
  <c r="S50" i="30" s="1"/>
  <c r="T74" i="22"/>
  <c r="W50" i="30" s="1"/>
  <c r="Q71" i="23"/>
  <c r="P71" i="23"/>
  <c r="N59" i="24"/>
  <c r="S59" i="24"/>
  <c r="K59" i="24"/>
  <c r="V56" i="50"/>
  <c r="O56" i="50"/>
  <c r="X56" i="50"/>
  <c r="S56" i="50"/>
  <c r="V48" i="61"/>
  <c r="L48" i="61"/>
  <c r="T48" i="61"/>
  <c r="N48" i="61"/>
  <c r="X48" i="61"/>
  <c r="V25" i="61"/>
  <c r="N25" i="61"/>
  <c r="P25" i="61"/>
  <c r="Q25" i="61"/>
  <c r="R25" i="61"/>
  <c r="P42" i="23"/>
  <c r="T42" i="23"/>
  <c r="R42" i="23"/>
  <c r="S42" i="23"/>
  <c r="K42" i="23"/>
  <c r="M42" i="23"/>
  <c r="U42" i="23"/>
  <c r="N42" i="23"/>
  <c r="O42" i="23"/>
  <c r="T14" i="23"/>
  <c r="O14" i="23"/>
  <c r="Q14" i="23"/>
  <c r="P14" i="23"/>
  <c r="R14" i="23"/>
  <c r="N14" i="23"/>
  <c r="S14" i="23"/>
  <c r="M14" i="23"/>
  <c r="M17" i="24"/>
  <c r="U166" i="29"/>
  <c r="O38" i="38"/>
  <c r="R36" i="46" s="1"/>
  <c r="R30" i="38"/>
  <c r="O14" i="38"/>
  <c r="R19" i="46" s="1"/>
  <c r="M10" i="38"/>
  <c r="P17" i="46" s="1"/>
  <c r="N6" i="38"/>
  <c r="Q15" i="46" s="1"/>
  <c r="T57" i="46"/>
  <c r="N71" i="23"/>
  <c r="K60" i="24"/>
  <c r="U60" i="24"/>
  <c r="T68" i="24"/>
  <c r="M68" i="24"/>
  <c r="T55" i="50"/>
  <c r="Q55" i="50"/>
  <c r="O55" i="50"/>
  <c r="S55" i="50"/>
  <c r="Q47" i="50"/>
  <c r="X47" i="50"/>
  <c r="P47" i="50"/>
  <c r="S47" i="50"/>
  <c r="X39" i="50"/>
  <c r="N39" i="50"/>
  <c r="W39" i="50"/>
  <c r="O31" i="50"/>
  <c r="X31" i="50"/>
  <c r="N31" i="50"/>
  <c r="X22" i="50"/>
  <c r="N22" i="50"/>
  <c r="Q22" i="50"/>
  <c r="Q19" i="50"/>
  <c r="Q57" i="50"/>
  <c r="Q18" i="50"/>
  <c r="O42" i="61"/>
  <c r="O44" i="61"/>
  <c r="O36" i="61"/>
  <c r="O22" i="61"/>
  <c r="O19" i="61"/>
  <c r="W23" i="61"/>
  <c r="W29" i="61"/>
  <c r="W22" i="61"/>
  <c r="W50" i="61"/>
  <c r="W13" i="61"/>
  <c r="Q47" i="61"/>
  <c r="S47" i="61"/>
  <c r="V32" i="61"/>
  <c r="O24" i="61"/>
  <c r="V24" i="61"/>
  <c r="L73" i="23"/>
  <c r="L5" i="23"/>
  <c r="O75" i="30" s="1"/>
  <c r="S115" i="29"/>
  <c r="L17" i="23"/>
  <c r="Q17" i="23"/>
  <c r="P17" i="23"/>
  <c r="M70" i="24"/>
  <c r="M77" i="24"/>
  <c r="M14" i="24"/>
  <c r="M65" i="24"/>
  <c r="K60" i="38"/>
  <c r="N48" i="46" s="1"/>
  <c r="M60" i="38"/>
  <c r="P48" i="46" s="1"/>
  <c r="P60" i="38"/>
  <c r="S48" i="46" s="1"/>
  <c r="Q60" i="38"/>
  <c r="T48" i="46" s="1"/>
  <c r="K57" i="22"/>
  <c r="N43" i="30" s="1"/>
  <c r="R57" i="22"/>
  <c r="U43" i="30" s="1"/>
  <c r="N57" i="22"/>
  <c r="Q43" i="30" s="1"/>
  <c r="T57" i="22"/>
  <c r="W43" i="30" s="1"/>
  <c r="M54" i="23"/>
  <c r="K54" i="23"/>
  <c r="T54" i="23"/>
  <c r="Q54" i="23"/>
  <c r="S54" i="23"/>
  <c r="N54" i="23"/>
  <c r="M58" i="23"/>
  <c r="Q58" i="23"/>
  <c r="R58" i="23"/>
  <c r="N58" i="23"/>
  <c r="T58" i="23"/>
  <c r="O50" i="24"/>
  <c r="K50" i="24"/>
  <c r="U50" i="24"/>
  <c r="Q50" i="24"/>
  <c r="S50" i="24"/>
  <c r="S72" i="24"/>
  <c r="Q72" i="24"/>
  <c r="U72" i="24"/>
  <c r="T40" i="50"/>
  <c r="N40" i="50"/>
  <c r="V15" i="50"/>
  <c r="U15" i="50"/>
  <c r="P15" i="50"/>
  <c r="N21" i="61"/>
  <c r="N52" i="61"/>
  <c r="N35" i="61"/>
  <c r="N30" i="61"/>
  <c r="N44" i="61"/>
  <c r="U41" i="61"/>
  <c r="R41" i="61"/>
  <c r="L41" i="61"/>
  <c r="V41" i="61"/>
  <c r="N41" i="61"/>
  <c r="T41" i="61"/>
  <c r="Z115" i="29"/>
  <c r="N28" i="23"/>
  <c r="O40" i="24"/>
  <c r="Q40" i="24"/>
  <c r="R40" i="24"/>
  <c r="K23" i="24"/>
  <c r="V20" i="61"/>
  <c r="N42" i="61"/>
  <c r="M74" i="22"/>
  <c r="P50" i="30" s="1"/>
  <c r="T42" i="22"/>
  <c r="K25" i="22"/>
  <c r="N23" i="30" s="1"/>
  <c r="N41" i="23"/>
  <c r="S41" i="23"/>
  <c r="S25" i="23"/>
  <c r="P25" i="23"/>
  <c r="K25" i="23"/>
  <c r="W14" i="29"/>
  <c r="W56" i="29"/>
  <c r="W21" i="29"/>
  <c r="W44" i="29"/>
  <c r="W35" i="29"/>
  <c r="W25" i="29"/>
  <c r="W54" i="29"/>
  <c r="W17" i="29"/>
  <c r="W22" i="29"/>
  <c r="Y43" i="29"/>
  <c r="AA97" i="29"/>
  <c r="K17" i="38"/>
  <c r="N21" i="46" s="1"/>
  <c r="T57" i="24"/>
  <c r="T50" i="24"/>
  <c r="T53" i="24"/>
  <c r="T70" i="24"/>
  <c r="T72" i="24"/>
  <c r="T62" i="24"/>
  <c r="V49" i="29"/>
  <c r="O49" i="29"/>
  <c r="T156" i="29"/>
  <c r="M52" i="38"/>
  <c r="P42" i="46" s="1"/>
  <c r="U52" i="38"/>
  <c r="X42" i="46" s="1"/>
  <c r="S52" i="38"/>
  <c r="V42" i="46" s="1"/>
  <c r="Q52" i="38"/>
  <c r="T42" i="46" s="1"/>
  <c r="M74" i="38"/>
  <c r="P52" i="46" s="1"/>
  <c r="P74" i="38"/>
  <c r="S52" i="46" s="1"/>
  <c r="K74" i="38"/>
  <c r="N52" i="46" s="1"/>
  <c r="T74" i="38"/>
  <c r="W52" i="46" s="1"/>
  <c r="L74" i="38"/>
  <c r="O52" i="46" s="1"/>
  <c r="P69" i="22"/>
  <c r="T69" i="22"/>
  <c r="K69" i="22"/>
  <c r="S62" i="23"/>
  <c r="R62" i="23"/>
  <c r="Q55" i="24"/>
  <c r="S55" i="24"/>
  <c r="Q77" i="24"/>
  <c r="N77" i="24"/>
  <c r="S77" i="24"/>
  <c r="U77" i="24"/>
  <c r="R77" i="24"/>
  <c r="O77" i="24"/>
  <c r="R32" i="50"/>
  <c r="W32" i="50"/>
  <c r="O32" i="50"/>
  <c r="V32" i="50"/>
  <c r="T32" i="50"/>
  <c r="R41" i="50"/>
  <c r="R24" i="50"/>
  <c r="R16" i="50"/>
  <c r="R49" i="50"/>
  <c r="R33" i="50"/>
  <c r="R51" i="50"/>
  <c r="R18" i="50"/>
  <c r="R36" i="50"/>
  <c r="R34" i="50"/>
  <c r="U56" i="61"/>
  <c r="T56" i="61"/>
  <c r="V56" i="61"/>
  <c r="R56" i="61"/>
  <c r="Q56" i="61"/>
  <c r="Q33" i="61"/>
  <c r="N33" i="61"/>
  <c r="V33" i="61"/>
  <c r="M33" i="61"/>
  <c r="S33" i="61"/>
  <c r="N17" i="61"/>
  <c r="Q17" i="61"/>
  <c r="V17" i="61"/>
  <c r="R17" i="61"/>
  <c r="U28" i="29"/>
  <c r="S15" i="50"/>
  <c r="R75" i="23"/>
  <c r="U39" i="50"/>
  <c r="N19" i="29"/>
  <c r="Q26" i="50"/>
  <c r="O27" i="29"/>
  <c r="V42" i="61"/>
  <c r="V50" i="61"/>
  <c r="W47" i="50"/>
  <c r="O39" i="50"/>
  <c r="U54" i="29"/>
  <c r="R59" i="24"/>
  <c r="O27" i="23"/>
  <c r="U30" i="29"/>
  <c r="T54" i="24"/>
  <c r="K41" i="23"/>
  <c r="O72" i="24"/>
  <c r="N34" i="23"/>
  <c r="U17" i="61"/>
  <c r="X33" i="61"/>
  <c r="O17" i="61"/>
  <c r="R30" i="29"/>
  <c r="N45" i="61"/>
  <c r="S22" i="50"/>
  <c r="T52" i="38"/>
  <c r="W42" i="46" s="1"/>
  <c r="Y92" i="29"/>
  <c r="O57" i="29"/>
  <c r="T57" i="29"/>
  <c r="R57" i="29"/>
  <c r="X57" i="29"/>
  <c r="P55" i="38"/>
  <c r="S43" i="46" s="1"/>
  <c r="L55" i="38"/>
  <c r="O43" i="46" s="1"/>
  <c r="M53" i="22"/>
  <c r="P41" i="30" s="1"/>
  <c r="S53" i="22"/>
  <c r="V41" i="30" s="1"/>
  <c r="K53" i="22"/>
  <c r="N41" i="30" s="1"/>
  <c r="R53" i="22"/>
  <c r="U41" i="30" s="1"/>
  <c r="P53" i="22"/>
  <c r="S41" i="30" s="1"/>
  <c r="K61" i="22"/>
  <c r="N47" i="30" s="1"/>
  <c r="S61" i="22"/>
  <c r="V47" i="30" s="1"/>
  <c r="M61" i="22"/>
  <c r="P47" i="30" s="1"/>
  <c r="Q65" i="24"/>
  <c r="K65" i="24"/>
  <c r="O65" i="24"/>
  <c r="S65" i="24"/>
  <c r="R48" i="50"/>
  <c r="U48" i="50"/>
  <c r="N48" i="50"/>
  <c r="W48" i="50"/>
  <c r="S23" i="50"/>
  <c r="V23" i="50"/>
  <c r="O23" i="50"/>
  <c r="T23" i="50"/>
  <c r="V27" i="61"/>
  <c r="V54" i="61"/>
  <c r="V46" i="61"/>
  <c r="V51" i="61"/>
  <c r="V21" i="61"/>
  <c r="V28" i="61"/>
  <c r="V44" i="61"/>
  <c r="V35" i="61"/>
  <c r="X30" i="50"/>
  <c r="W30" i="50"/>
  <c r="N30" i="50"/>
  <c r="Q30" i="50"/>
  <c r="M41" i="50"/>
  <c r="Z41" i="50" s="1"/>
  <c r="M35" i="50"/>
  <c r="Z35" i="50" s="1"/>
  <c r="N13" i="61"/>
  <c r="O48" i="50"/>
  <c r="M59" i="24"/>
  <c r="S58" i="23"/>
  <c r="T150" i="29"/>
  <c r="O71" i="23"/>
  <c r="S26" i="23"/>
  <c r="Q26" i="23"/>
  <c r="U26" i="23"/>
  <c r="R26" i="23"/>
  <c r="N26" i="23"/>
  <c r="O28" i="24"/>
  <c r="S40" i="50"/>
  <c r="R26" i="50"/>
  <c r="U27" i="29"/>
  <c r="S71" i="23"/>
  <c r="M34" i="23"/>
  <c r="T33" i="61"/>
  <c r="W25" i="61"/>
  <c r="V40" i="50"/>
  <c r="W32" i="61"/>
  <c r="Q32" i="61"/>
  <c r="Q39" i="50"/>
  <c r="V53" i="29"/>
  <c r="Q17" i="24"/>
  <c r="K43" i="23"/>
  <c r="N99" i="30" s="1"/>
  <c r="T55" i="24"/>
  <c r="K52" i="38"/>
  <c r="N42" i="46" s="1"/>
  <c r="O59" i="24"/>
  <c r="N17" i="23"/>
  <c r="R24" i="61"/>
  <c r="U48" i="61"/>
  <c r="V45" i="61"/>
  <c r="O15" i="61"/>
  <c r="S69" i="22"/>
  <c r="M55" i="38"/>
  <c r="P43" i="46" s="1"/>
  <c r="O52" i="38"/>
  <c r="R42" i="46" s="1"/>
  <c r="N53" i="61"/>
  <c r="R22" i="50"/>
  <c r="P55" i="24"/>
  <c r="S10" i="23"/>
  <c r="V78" i="30" s="1"/>
  <c r="M10" i="23"/>
  <c r="P78" i="30" s="1"/>
  <c r="S35" i="24"/>
  <c r="R31" i="24"/>
  <c r="M31" i="24"/>
  <c r="M21" i="24"/>
  <c r="X54" i="29"/>
  <c r="X36" i="29"/>
  <c r="V38" i="29"/>
  <c r="U38" i="29"/>
  <c r="N32" i="38"/>
  <c r="Q30" i="46" s="1"/>
  <c r="M45" i="38"/>
  <c r="P15" i="77" s="1"/>
  <c r="K45" i="38"/>
  <c r="U45" i="38"/>
  <c r="X15" i="77" s="1"/>
  <c r="P68" i="38"/>
  <c r="P64" i="38"/>
  <c r="P70" i="38"/>
  <c r="P77" i="38"/>
  <c r="S54" i="46" s="1"/>
  <c r="L34" i="38"/>
  <c r="O33" i="46" s="1"/>
  <c r="L46" i="38"/>
  <c r="O39" i="46" s="1"/>
  <c r="L69" i="38"/>
  <c r="O22" i="77" s="1"/>
  <c r="Y142" i="29"/>
  <c r="P142" i="29"/>
  <c r="S142" i="29"/>
  <c r="Q56" i="29"/>
  <c r="Q35" i="29"/>
  <c r="O13" i="29"/>
  <c r="Q13" i="29"/>
  <c r="N13" i="29"/>
  <c r="AB13" i="29"/>
  <c r="R17" i="29"/>
  <c r="AA17" i="29"/>
  <c r="O17" i="29"/>
  <c r="Z21" i="29"/>
  <c r="AB21" i="29"/>
  <c r="L25" i="29"/>
  <c r="Y25" i="29"/>
  <c r="Q25" i="29"/>
  <c r="R29" i="29"/>
  <c r="AB29" i="29"/>
  <c r="T29" i="29"/>
  <c r="R45" i="29"/>
  <c r="L45" i="29"/>
  <c r="O45" i="29"/>
  <c r="Q45" i="29"/>
  <c r="N53" i="29"/>
  <c r="Q53" i="29"/>
  <c r="L53" i="29"/>
  <c r="P150" i="29"/>
  <c r="O77" i="23"/>
  <c r="O38" i="23"/>
  <c r="L17" i="29"/>
  <c r="S26" i="38"/>
  <c r="V25" i="46" s="1"/>
  <c r="S34" i="38"/>
  <c r="V33" i="46" s="1"/>
  <c r="S74" i="38"/>
  <c r="V52" i="46" s="1"/>
  <c r="S60" i="38"/>
  <c r="V48" i="46" s="1"/>
  <c r="S46" i="38"/>
  <c r="V39" i="46" s="1"/>
  <c r="O74" i="38"/>
  <c r="R52" i="46" s="1"/>
  <c r="O42" i="38"/>
  <c r="O68" i="38"/>
  <c r="O75" i="38"/>
  <c r="R53" i="46" s="1"/>
  <c r="O46" i="38"/>
  <c r="R39" i="46" s="1"/>
  <c r="I74" i="38"/>
  <c r="L52" i="46" s="1"/>
  <c r="O32" i="29"/>
  <c r="T56" i="23"/>
  <c r="R49" i="24"/>
  <c r="L70" i="38"/>
  <c r="N55" i="22"/>
  <c r="M76" i="22"/>
  <c r="P52" i="30" s="1"/>
  <c r="R76" i="22"/>
  <c r="U52" i="30" s="1"/>
  <c r="M57" i="24"/>
  <c r="Q70" i="24"/>
  <c r="R70" i="24"/>
  <c r="M74" i="24"/>
  <c r="R74" i="24"/>
  <c r="S53" i="50"/>
  <c r="R53" i="50"/>
  <c r="S69" i="38"/>
  <c r="V22" i="77" s="1"/>
  <c r="T23" i="38"/>
  <c r="W23" i="46" s="1"/>
  <c r="M59" i="38"/>
  <c r="P47" i="46" s="1"/>
  <c r="S59" i="38"/>
  <c r="V47" i="46" s="1"/>
  <c r="K50" i="22"/>
  <c r="N39" i="30" s="1"/>
  <c r="U68" i="23"/>
  <c r="P68" i="23"/>
  <c r="M52" i="50"/>
  <c r="Z52" i="50" s="1"/>
  <c r="V42" i="50"/>
  <c r="V51" i="50"/>
  <c r="T52" i="61"/>
  <c r="V52" i="61"/>
  <c r="M44" i="61"/>
  <c r="U44" i="61"/>
  <c r="N29" i="61"/>
  <c r="N56" i="46"/>
  <c r="R12" i="22"/>
  <c r="U13" i="81" s="1"/>
  <c r="I64" i="38"/>
  <c r="M64" i="38"/>
  <c r="O56" i="29"/>
  <c r="U42" i="38"/>
  <c r="U47" i="38"/>
  <c r="X16" i="77" s="1"/>
  <c r="M47" i="38"/>
  <c r="P16" i="77" s="1"/>
  <c r="N69" i="22"/>
  <c r="L19" i="38"/>
  <c r="O14" i="77" s="1"/>
  <c r="M156" i="29"/>
  <c r="M42" i="24"/>
  <c r="T77" i="22"/>
  <c r="U57" i="38"/>
  <c r="X45" i="46" s="1"/>
  <c r="T71" i="38"/>
  <c r="O77" i="38"/>
  <c r="R54" i="46" s="1"/>
  <c r="P70" i="23"/>
  <c r="O69" i="38"/>
  <c r="R22" i="77" s="1"/>
  <c r="O69" i="23"/>
  <c r="R77" i="81" s="1"/>
  <c r="K49" i="15"/>
  <c r="P29" i="22"/>
  <c r="S27" i="30" s="1"/>
  <c r="M37" i="23"/>
  <c r="R18" i="23"/>
  <c r="S5" i="24"/>
  <c r="Q37" i="24"/>
  <c r="M29" i="24"/>
  <c r="O25" i="24"/>
  <c r="K18" i="24"/>
  <c r="P47" i="24"/>
  <c r="S126" i="81" s="1"/>
  <c r="L66" i="38"/>
  <c r="O20" i="77" s="1"/>
  <c r="L56" i="24"/>
  <c r="L28" i="24"/>
  <c r="P38" i="22"/>
  <c r="S34" i="30" s="1"/>
  <c r="R38" i="22"/>
  <c r="U34" i="30" s="1"/>
  <c r="K38" i="22"/>
  <c r="N34" i="30" s="1"/>
  <c r="N38" i="22"/>
  <c r="Q34" i="30" s="1"/>
  <c r="I38" i="22"/>
  <c r="L34" i="30" s="1"/>
  <c r="M38" i="22"/>
  <c r="P34" i="30" s="1"/>
  <c r="L29" i="23"/>
  <c r="R29" i="23"/>
  <c r="T29" i="23"/>
  <c r="M29" i="23"/>
  <c r="U29" i="23"/>
  <c r="P29" i="23"/>
  <c r="L18" i="23"/>
  <c r="X168" i="29"/>
  <c r="W168" i="29"/>
  <c r="Y168" i="29"/>
  <c r="P168" i="29"/>
  <c r="Q168" i="29"/>
  <c r="Q13" i="24"/>
  <c r="T5" i="24"/>
  <c r="S18" i="24"/>
  <c r="L41" i="23"/>
  <c r="L60" i="23"/>
  <c r="L14" i="23"/>
  <c r="L26" i="23"/>
  <c r="L42" i="23"/>
  <c r="L54" i="23"/>
  <c r="L10" i="23"/>
  <c r="O78" i="30" s="1"/>
  <c r="L71" i="23"/>
  <c r="P18" i="22"/>
  <c r="R5" i="23"/>
  <c r="U75" i="30" s="1"/>
  <c r="Q5" i="23"/>
  <c r="T75" i="30" s="1"/>
  <c r="N5" i="23"/>
  <c r="Q75" i="30" s="1"/>
  <c r="S5" i="23"/>
  <c r="V75" i="30" s="1"/>
  <c r="M5" i="23"/>
  <c r="P75" i="30" s="1"/>
  <c r="K5" i="23"/>
  <c r="N75" i="30" s="1"/>
  <c r="O5" i="23"/>
  <c r="R75" i="30" s="1"/>
  <c r="U169" i="29"/>
  <c r="S169" i="29"/>
  <c r="W169" i="29"/>
  <c r="O169" i="29"/>
  <c r="V169" i="29"/>
  <c r="R13" i="24"/>
  <c r="U41" i="24"/>
  <c r="P5" i="23"/>
  <c r="S75" i="30" s="1"/>
  <c r="U57" i="22"/>
  <c r="X43" i="30" s="1"/>
  <c r="U55" i="22"/>
  <c r="U74" i="22"/>
  <c r="X50" i="30" s="1"/>
  <c r="U56" i="22"/>
  <c r="X42" i="30" s="1"/>
  <c r="U73" i="22"/>
  <c r="U63" i="22"/>
  <c r="U77" i="22"/>
  <c r="U50" i="22"/>
  <c r="X39" i="30" s="1"/>
  <c r="L46" i="23"/>
  <c r="O100" i="30" s="1"/>
  <c r="K29" i="22"/>
  <c r="N27" i="30" s="1"/>
  <c r="R29" i="22"/>
  <c r="U27" i="30" s="1"/>
  <c r="P37" i="23"/>
  <c r="O37" i="23"/>
  <c r="Q37" i="23"/>
  <c r="N37" i="23"/>
  <c r="L37" i="23"/>
  <c r="T37" i="23"/>
  <c r="K37" i="23"/>
  <c r="U37" i="23"/>
  <c r="R37" i="23"/>
  <c r="S37" i="23"/>
  <c r="O18" i="23"/>
  <c r="S29" i="23"/>
  <c r="N36" i="23"/>
  <c r="K36" i="23"/>
  <c r="T36" i="23"/>
  <c r="U36" i="23"/>
  <c r="O36" i="23"/>
  <c r="R36" i="23"/>
  <c r="S36" i="23"/>
  <c r="U17" i="23"/>
  <c r="R17" i="23"/>
  <c r="S17" i="23"/>
  <c r="M17" i="23"/>
  <c r="K17" i="23"/>
  <c r="O17" i="23"/>
  <c r="T17" i="23"/>
  <c r="U37" i="24"/>
  <c r="K37" i="24"/>
  <c r="P37" i="24"/>
  <c r="O37" i="24"/>
  <c r="T37" i="24"/>
  <c r="M37" i="24"/>
  <c r="M18" i="24"/>
  <c r="N18" i="24"/>
  <c r="T18" i="24"/>
  <c r="P18" i="24"/>
  <c r="U18" i="24"/>
  <c r="O18" i="24"/>
  <c r="Q18" i="24"/>
  <c r="T169" i="29"/>
  <c r="L53" i="23"/>
  <c r="Q29" i="23"/>
  <c r="N182" i="29"/>
  <c r="P182" i="29"/>
  <c r="O182" i="29"/>
  <c r="X182" i="29"/>
  <c r="Y182" i="29"/>
  <c r="Q182" i="29"/>
  <c r="Q12" i="22"/>
  <c r="T13" i="81" s="1"/>
  <c r="Q53" i="22"/>
  <c r="T41" i="30" s="1"/>
  <c r="Q50" i="22"/>
  <c r="T39" i="30" s="1"/>
  <c r="Q61" i="22"/>
  <c r="T47" i="30" s="1"/>
  <c r="L20" i="23"/>
  <c r="K5" i="22"/>
  <c r="N13" i="30" s="1"/>
  <c r="P5" i="22"/>
  <c r="S13" i="30" s="1"/>
  <c r="R5" i="22"/>
  <c r="U13" i="30" s="1"/>
  <c r="T5" i="22"/>
  <c r="W13" i="30" s="1"/>
  <c r="N18" i="23"/>
  <c r="S18" i="23"/>
  <c r="P18" i="23"/>
  <c r="K18" i="23"/>
  <c r="Q18" i="23"/>
  <c r="U18" i="23"/>
  <c r="U5" i="24"/>
  <c r="M5" i="24"/>
  <c r="Q5" i="24"/>
  <c r="R5" i="24"/>
  <c r="O5" i="24"/>
  <c r="K5" i="24"/>
  <c r="L62" i="23"/>
  <c r="U69" i="22"/>
  <c r="P46" i="23"/>
  <c r="S100" i="30" s="1"/>
  <c r="M46" i="23"/>
  <c r="P100" i="30" s="1"/>
  <c r="Q46" i="23"/>
  <c r="T100" i="30" s="1"/>
  <c r="S46" i="23"/>
  <c r="V100" i="30" s="1"/>
  <c r="N46" i="23"/>
  <c r="Q100" i="30" s="1"/>
  <c r="U46" i="23"/>
  <c r="X100" i="30" s="1"/>
  <c r="O46" i="23"/>
  <c r="R100" i="30" s="1"/>
  <c r="K46" i="23"/>
  <c r="N100" i="30" s="1"/>
  <c r="P28" i="23"/>
  <c r="R28" i="23"/>
  <c r="M28" i="23"/>
  <c r="O28" i="23"/>
  <c r="P41" i="24"/>
  <c r="K41" i="24"/>
  <c r="O41" i="24"/>
  <c r="S41" i="24"/>
  <c r="P33" i="24"/>
  <c r="K33" i="24"/>
  <c r="Q33" i="24"/>
  <c r="S33" i="24"/>
  <c r="U33" i="24"/>
  <c r="U29" i="24"/>
  <c r="S29" i="24"/>
  <c r="P29" i="24"/>
  <c r="R29" i="24"/>
  <c r="T29" i="24"/>
  <c r="O29" i="24"/>
  <c r="T25" i="24"/>
  <c r="Q25" i="24"/>
  <c r="R25" i="24"/>
  <c r="S25" i="24"/>
  <c r="U25" i="24"/>
  <c r="M13" i="24"/>
  <c r="U13" i="24"/>
  <c r="K13" i="24"/>
  <c r="S13" i="24"/>
  <c r="O13" i="24"/>
  <c r="O33" i="24"/>
  <c r="M18" i="23"/>
  <c r="S37" i="24"/>
  <c r="N29" i="23"/>
  <c r="L56" i="30"/>
  <c r="O56" i="30"/>
  <c r="O58" i="46"/>
  <c r="P58" i="46"/>
  <c r="Q48" i="23"/>
  <c r="T72" i="81" s="1"/>
  <c r="T48" i="23"/>
  <c r="W72" i="81" s="1"/>
  <c r="L48" i="23"/>
  <c r="O72" i="81" s="1"/>
  <c r="R48" i="23"/>
  <c r="U72" i="81" s="1"/>
  <c r="I28" i="24"/>
  <c r="AA92" i="29"/>
  <c r="O30" i="50"/>
  <c r="T59" i="24"/>
  <c r="T65" i="24"/>
  <c r="Q49" i="22"/>
  <c r="T17" i="81" s="1"/>
  <c r="R67" i="22"/>
  <c r="U20" i="81" s="1"/>
  <c r="R54" i="23"/>
  <c r="R60" i="23"/>
  <c r="R73" i="23"/>
  <c r="R25" i="23"/>
  <c r="R74" i="23"/>
  <c r="M56" i="23"/>
  <c r="M68" i="23"/>
  <c r="M57" i="23"/>
  <c r="K29" i="15"/>
  <c r="N35" i="23"/>
  <c r="L15" i="23"/>
  <c r="S15" i="23"/>
  <c r="M40" i="50"/>
  <c r="Z40" i="50" s="1"/>
  <c r="M23" i="50"/>
  <c r="Z23" i="50" s="1"/>
  <c r="M24" i="50"/>
  <c r="Z24" i="50" s="1"/>
  <c r="M16" i="50"/>
  <c r="Z16" i="50" s="1"/>
  <c r="R75" i="38"/>
  <c r="U53" i="46" s="1"/>
  <c r="R55" i="38"/>
  <c r="U43" i="46" s="1"/>
  <c r="N55" i="38"/>
  <c r="Q43" i="46" s="1"/>
  <c r="N5" i="38"/>
  <c r="Q14" i="46" s="1"/>
  <c r="N59" i="38"/>
  <c r="Q47" i="46" s="1"/>
  <c r="N56" i="38"/>
  <c r="Q44" i="46" s="1"/>
  <c r="N27" i="38"/>
  <c r="Q26" i="46" s="1"/>
  <c r="X92" i="29"/>
  <c r="X156" i="29"/>
  <c r="Z92" i="29"/>
  <c r="S30" i="50"/>
  <c r="P35" i="23"/>
  <c r="T77" i="24"/>
  <c r="O15" i="23"/>
  <c r="Q28" i="24"/>
  <c r="K40" i="24"/>
  <c r="R34" i="38"/>
  <c r="U33" i="46" s="1"/>
  <c r="M27" i="23"/>
  <c r="U14" i="22"/>
  <c r="X18" i="30" s="1"/>
  <c r="R14" i="22"/>
  <c r="U18" i="30" s="1"/>
  <c r="L34" i="23"/>
  <c r="S34" i="23"/>
  <c r="J34" i="23"/>
  <c r="U34" i="23"/>
  <c r="M26" i="23"/>
  <c r="P26" i="23"/>
  <c r="O26" i="23"/>
  <c r="K26" i="23"/>
  <c r="T26" i="23"/>
  <c r="U14" i="23"/>
  <c r="K14" i="23"/>
  <c r="T46" i="24"/>
  <c r="W163" i="30" s="1"/>
  <c r="Q46" i="24"/>
  <c r="T163" i="30" s="1"/>
  <c r="S46" i="24"/>
  <c r="V163" i="30" s="1"/>
  <c r="T36" i="24"/>
  <c r="Q23" i="24"/>
  <c r="O23" i="24"/>
  <c r="T10" i="24"/>
  <c r="M10" i="24"/>
  <c r="S48" i="23"/>
  <c r="V72" i="81" s="1"/>
  <c r="N51" i="38"/>
  <c r="Q18" i="77" s="1"/>
  <c r="S43" i="23"/>
  <c r="V99" i="30" s="1"/>
  <c r="L35" i="23"/>
  <c r="P45" i="38"/>
  <c r="S15" i="77" s="1"/>
  <c r="I45" i="38"/>
  <c r="Q66" i="38"/>
  <c r="T20" i="77" s="1"/>
  <c r="Q55" i="38"/>
  <c r="T43" i="46" s="1"/>
  <c r="Q42" i="38"/>
  <c r="Q45" i="38"/>
  <c r="T15" i="77" s="1"/>
  <c r="Q37" i="38"/>
  <c r="T35" i="46" s="1"/>
  <c r="Q48" i="38"/>
  <c r="T17" i="77" s="1"/>
  <c r="Q36" i="38"/>
  <c r="Q34" i="38"/>
  <c r="T33" i="46" s="1"/>
  <c r="M66" i="38"/>
  <c r="P20" i="77" s="1"/>
  <c r="M48" i="38"/>
  <c r="P17" i="77" s="1"/>
  <c r="M26" i="38"/>
  <c r="P25" i="46" s="1"/>
  <c r="M46" i="38"/>
  <c r="P39" i="46" s="1"/>
  <c r="M73" i="38"/>
  <c r="P51" i="46" s="1"/>
  <c r="U92" i="29"/>
  <c r="R92" i="29"/>
  <c r="P156" i="29"/>
  <c r="W156" i="29"/>
  <c r="S35" i="23"/>
  <c r="T28" i="24"/>
  <c r="T43" i="23"/>
  <c r="W99" i="30" s="1"/>
  <c r="T74" i="24"/>
  <c r="T58" i="46"/>
  <c r="U43" i="23"/>
  <c r="X99" i="30" s="1"/>
  <c r="N50" i="29"/>
  <c r="Q50" i="29"/>
  <c r="N14" i="38"/>
  <c r="Q19" i="46" s="1"/>
  <c r="T50" i="22"/>
  <c r="W39" i="30" s="1"/>
  <c r="N50" i="22"/>
  <c r="Q39" i="30" s="1"/>
  <c r="S50" i="22"/>
  <c r="V39" i="30" s="1"/>
  <c r="P50" i="22"/>
  <c r="S39" i="30" s="1"/>
  <c r="K55" i="38"/>
  <c r="N43" i="46" s="1"/>
  <c r="S55" i="38"/>
  <c r="V43" i="46" s="1"/>
  <c r="U55" i="38"/>
  <c r="X43" i="46" s="1"/>
  <c r="P54" i="23"/>
  <c r="O54" i="23"/>
  <c r="P58" i="23"/>
  <c r="O58" i="23"/>
  <c r="Q62" i="23"/>
  <c r="N62" i="23"/>
  <c r="N75" i="23"/>
  <c r="O75" i="23"/>
  <c r="S75" i="23"/>
  <c r="U52" i="24"/>
  <c r="T52" i="24"/>
  <c r="R39" i="50"/>
  <c r="S39" i="50"/>
  <c r="V31" i="50"/>
  <c r="S31" i="50"/>
  <c r="M14" i="50"/>
  <c r="Z14" i="50" s="1"/>
  <c r="R14" i="50"/>
  <c r="S14" i="50"/>
  <c r="Q14" i="50"/>
  <c r="Q52" i="50"/>
  <c r="Q16" i="50"/>
  <c r="Q51" i="50"/>
  <c r="Q15" i="50"/>
  <c r="Q36" i="50"/>
  <c r="O21" i="61"/>
  <c r="O33" i="61"/>
  <c r="O47" i="61"/>
  <c r="P47" i="61"/>
  <c r="R47" i="61"/>
  <c r="W47" i="61"/>
  <c r="L47" i="61"/>
  <c r="N40" i="61"/>
  <c r="X40" i="61"/>
  <c r="P19" i="24"/>
  <c r="S124" i="81" s="1"/>
  <c r="O19" i="24"/>
  <c r="R124" i="81" s="1"/>
  <c r="R19" i="24"/>
  <c r="U124" i="81" s="1"/>
  <c r="M46" i="22"/>
  <c r="P15" i="81" s="1"/>
  <c r="R46" i="22"/>
  <c r="U15" i="81" s="1"/>
  <c r="U46" i="22"/>
  <c r="X15" i="81" s="1"/>
  <c r="R13" i="23"/>
  <c r="M35" i="24"/>
  <c r="U31" i="24"/>
  <c r="R64" i="24"/>
  <c r="R23" i="23"/>
  <c r="L39" i="24"/>
  <c r="M27" i="50"/>
  <c r="Z27" i="50" s="1"/>
  <c r="U48" i="22"/>
  <c r="X16" i="81" s="1"/>
  <c r="J78" i="15"/>
  <c r="L130" i="70" s="1"/>
  <c r="S15" i="22"/>
  <c r="V19" i="30" s="1"/>
  <c r="T44" i="22"/>
  <c r="W37" i="30" s="1"/>
  <c r="T9" i="22"/>
  <c r="W15" i="30" s="1"/>
  <c r="M51" i="50"/>
  <c r="Z51" i="50" s="1"/>
  <c r="R45" i="24"/>
  <c r="U125" i="81" s="1"/>
  <c r="Q69" i="38"/>
  <c r="T22" i="77" s="1"/>
  <c r="U69" i="38"/>
  <c r="X22" i="77" s="1"/>
  <c r="T69" i="38"/>
  <c r="W22" i="77" s="1"/>
  <c r="M69" i="38"/>
  <c r="P22" i="77" s="1"/>
  <c r="L59" i="22"/>
  <c r="O45" i="30" s="1"/>
  <c r="J32" i="15"/>
  <c r="K40" i="15"/>
  <c r="K28" i="22"/>
  <c r="N26" i="30" s="1"/>
  <c r="P39" i="22"/>
  <c r="S35" i="30" s="1"/>
  <c r="R6" i="22"/>
  <c r="U14" i="30" s="1"/>
  <c r="R14" i="29"/>
  <c r="N56" i="30"/>
  <c r="M36" i="38"/>
  <c r="P20" i="29"/>
  <c r="M92" i="29"/>
  <c r="R55" i="30"/>
  <c r="T49" i="23"/>
  <c r="J53" i="15"/>
  <c r="K57" i="15"/>
  <c r="I72" i="38"/>
  <c r="M75" i="22"/>
  <c r="P51" i="30" s="1"/>
  <c r="S50" i="23"/>
  <c r="R77" i="23"/>
  <c r="T73" i="24"/>
  <c r="Q47" i="38"/>
  <c r="T16" i="77" s="1"/>
  <c r="T47" i="38"/>
  <c r="W16" i="77" s="1"/>
  <c r="P49" i="22"/>
  <c r="S17" i="81" s="1"/>
  <c r="S45" i="23"/>
  <c r="V70" i="81" s="1"/>
  <c r="S66" i="38"/>
  <c r="V20" i="77" s="1"/>
  <c r="I8" i="38"/>
  <c r="O64" i="22"/>
  <c r="Q19" i="75" s="1"/>
  <c r="S67" i="24"/>
  <c r="V131" i="81" s="1"/>
  <c r="R49" i="22"/>
  <c r="U17" i="81" s="1"/>
  <c r="M53" i="29"/>
  <c r="N51" i="15"/>
  <c r="Q128" i="76" s="1"/>
  <c r="T12" i="22"/>
  <c r="W13" i="81" s="1"/>
  <c r="M44" i="38"/>
  <c r="U53" i="29"/>
  <c r="O15" i="29"/>
  <c r="V19" i="29"/>
  <c r="W49" i="29"/>
  <c r="T176" i="29"/>
  <c r="P56" i="30"/>
  <c r="X57" i="30"/>
  <c r="Y48" i="29"/>
  <c r="K33" i="38"/>
  <c r="N32" i="46" s="1"/>
  <c r="N25" i="38"/>
  <c r="Q24" i="46" s="1"/>
  <c r="K10" i="38"/>
  <c r="N17" i="46" s="1"/>
  <c r="S49" i="38"/>
  <c r="V40" i="46" s="1"/>
  <c r="I55" i="38"/>
  <c r="L43" i="46" s="1"/>
  <c r="O60" i="38"/>
  <c r="R48" i="46" s="1"/>
  <c r="L68" i="38"/>
  <c r="T61" i="22"/>
  <c r="W47" i="30" s="1"/>
  <c r="L58" i="23"/>
  <c r="U71" i="23"/>
  <c r="M56" i="50"/>
  <c r="Z56" i="50" s="1"/>
  <c r="L33" i="61"/>
  <c r="L17" i="61"/>
  <c r="S49" i="22"/>
  <c r="V17" i="81" s="1"/>
  <c r="N49" i="22"/>
  <c r="Q17" i="81" s="1"/>
  <c r="I7" i="23"/>
  <c r="K68" i="75" s="1"/>
  <c r="U7" i="23"/>
  <c r="W68" i="75" s="1"/>
  <c r="Q7" i="23"/>
  <c r="S68" i="75" s="1"/>
  <c r="Q42" i="22"/>
  <c r="O42" i="22"/>
  <c r="L42" i="22"/>
  <c r="R42" i="22"/>
  <c r="P42" i="22"/>
  <c r="K13" i="22"/>
  <c r="N17" i="30" s="1"/>
  <c r="S13" i="22"/>
  <c r="V17" i="30" s="1"/>
  <c r="L13" i="22"/>
  <c r="O17" i="30" s="1"/>
  <c r="R13" i="22"/>
  <c r="U17" i="30" s="1"/>
  <c r="O13" i="22"/>
  <c r="R17" i="30" s="1"/>
  <c r="P13" i="22"/>
  <c r="S17" i="30" s="1"/>
  <c r="I25" i="23"/>
  <c r="U25" i="23"/>
  <c r="L25" i="23"/>
  <c r="Q25" i="23"/>
  <c r="M25" i="23"/>
  <c r="N25" i="23"/>
  <c r="AA27" i="29"/>
  <c r="R27" i="29"/>
  <c r="T27" i="29"/>
  <c r="Y27" i="29"/>
  <c r="Q27" i="29"/>
  <c r="K41" i="38"/>
  <c r="N41" i="38"/>
  <c r="M41" i="38"/>
  <c r="R41" i="38"/>
  <c r="O41" i="38"/>
  <c r="P41" i="38"/>
  <c r="Q21" i="38"/>
  <c r="T22" i="46" s="1"/>
  <c r="R21" i="38"/>
  <c r="U22" i="46" s="1"/>
  <c r="M21" i="38"/>
  <c r="P22" i="46" s="1"/>
  <c r="S21" i="38"/>
  <c r="V22" i="46" s="1"/>
  <c r="K21" i="38"/>
  <c r="N22" i="46" s="1"/>
  <c r="P21" i="38"/>
  <c r="S22" i="46" s="1"/>
  <c r="J29" i="38"/>
  <c r="M28" i="46" s="1"/>
  <c r="J9" i="38"/>
  <c r="M16" i="46" s="1"/>
  <c r="J5" i="38"/>
  <c r="M14" i="46" s="1"/>
  <c r="J52" i="38"/>
  <c r="M42" i="46" s="1"/>
  <c r="J13" i="38"/>
  <c r="M18" i="46" s="1"/>
  <c r="J42" i="38"/>
  <c r="J37" i="38"/>
  <c r="M35" i="46" s="1"/>
  <c r="J59" i="38"/>
  <c r="M47" i="46" s="1"/>
  <c r="K22" i="23"/>
  <c r="L22" i="23"/>
  <c r="N22" i="23"/>
  <c r="T22" i="23"/>
  <c r="N33" i="38"/>
  <c r="Q32" i="46" s="1"/>
  <c r="K25" i="38"/>
  <c r="N24" i="46" s="1"/>
  <c r="N42" i="22"/>
  <c r="T14" i="22"/>
  <c r="W18" i="30" s="1"/>
  <c r="S14" i="22"/>
  <c r="V18" i="30" s="1"/>
  <c r="P14" i="22"/>
  <c r="S18" i="30" s="1"/>
  <c r="M14" i="22"/>
  <c r="P18" i="30" s="1"/>
  <c r="K14" i="22"/>
  <c r="N18" i="30" s="1"/>
  <c r="Q41" i="22"/>
  <c r="N41" i="22"/>
  <c r="T41" i="22"/>
  <c r="K41" i="22"/>
  <c r="U41" i="22"/>
  <c r="P41" i="22"/>
  <c r="M41" i="22"/>
  <c r="R41" i="22"/>
  <c r="Q10" i="22"/>
  <c r="T16" i="30" s="1"/>
  <c r="K10" i="22"/>
  <c r="N16" i="30" s="1"/>
  <c r="U10" i="22"/>
  <c r="X16" i="30" s="1"/>
  <c r="L10" i="22"/>
  <c r="O16" i="30" s="1"/>
  <c r="S10" i="22"/>
  <c r="V16" i="30" s="1"/>
  <c r="N10" i="22"/>
  <c r="Q16" i="30" s="1"/>
  <c r="R10" i="22"/>
  <c r="U16" i="30" s="1"/>
  <c r="P32" i="23"/>
  <c r="K32" i="23"/>
  <c r="Q32" i="23"/>
  <c r="L32" i="23"/>
  <c r="S32" i="23"/>
  <c r="M32" i="23"/>
  <c r="N32" i="23"/>
  <c r="T32" i="23"/>
  <c r="O32" i="23"/>
  <c r="U10" i="23"/>
  <c r="X78" i="30" s="1"/>
  <c r="T10" i="23"/>
  <c r="W78" i="30" s="1"/>
  <c r="R10" i="23"/>
  <c r="U78" i="30" s="1"/>
  <c r="N10" i="23"/>
  <c r="Q78" i="30" s="1"/>
  <c r="P10" i="23"/>
  <c r="S78" i="30" s="1"/>
  <c r="K10" i="23"/>
  <c r="N78" i="30" s="1"/>
  <c r="N35" i="24"/>
  <c r="O35" i="24"/>
  <c r="P35" i="24"/>
  <c r="T35" i="24"/>
  <c r="R35" i="24"/>
  <c r="L15" i="24"/>
  <c r="O15" i="24"/>
  <c r="Q15" i="24"/>
  <c r="U15" i="24"/>
  <c r="P15" i="24"/>
  <c r="R15" i="24"/>
  <c r="M15" i="24"/>
  <c r="K15" i="24"/>
  <c r="M33" i="29"/>
  <c r="L33" i="29"/>
  <c r="U33" i="29"/>
  <c r="R33" i="29"/>
  <c r="Z33" i="29"/>
  <c r="V33" i="29"/>
  <c r="N33" i="29"/>
  <c r="O33" i="29"/>
  <c r="Q33" i="29"/>
  <c r="S33" i="29"/>
  <c r="T33" i="29"/>
  <c r="K38" i="38"/>
  <c r="N36" i="46" s="1"/>
  <c r="R38" i="38"/>
  <c r="U36" i="46" s="1"/>
  <c r="U38" i="38"/>
  <c r="X36" i="46" s="1"/>
  <c r="P38" i="38"/>
  <c r="S36" i="46" s="1"/>
  <c r="M38" i="38"/>
  <c r="P36" i="46" s="1"/>
  <c r="N38" i="38"/>
  <c r="Q36" i="46" s="1"/>
  <c r="U76" i="24"/>
  <c r="N76" i="24"/>
  <c r="V31" i="29"/>
  <c r="W19" i="29"/>
  <c r="U19" i="29"/>
  <c r="T15" i="24"/>
  <c r="O23" i="23"/>
  <c r="L41" i="38"/>
  <c r="S33" i="23"/>
  <c r="L35" i="22"/>
  <c r="O32" i="30" s="1"/>
  <c r="AB27" i="29"/>
  <c r="U35" i="24"/>
  <c r="S42" i="22"/>
  <c r="L74" i="22"/>
  <c r="O50" i="30" s="1"/>
  <c r="P10" i="22"/>
  <c r="S16" i="30" s="1"/>
  <c r="O10" i="22"/>
  <c r="R16" i="30" s="1"/>
  <c r="U27" i="22"/>
  <c r="X25" i="30" s="1"/>
  <c r="T27" i="22"/>
  <c r="W25" i="30" s="1"/>
  <c r="R39" i="23"/>
  <c r="P39" i="23"/>
  <c r="L14" i="24"/>
  <c r="W29" i="29"/>
  <c r="W45" i="29"/>
  <c r="W31" i="29"/>
  <c r="W32" i="29"/>
  <c r="W48" i="29"/>
  <c r="W40" i="29"/>
  <c r="W53" i="29"/>
  <c r="W36" i="29"/>
  <c r="W18" i="29"/>
  <c r="W46" i="29"/>
  <c r="N16" i="29"/>
  <c r="Q16" i="29"/>
  <c r="X16" i="29"/>
  <c r="Q24" i="29"/>
  <c r="V24" i="29"/>
  <c r="W24" i="29"/>
  <c r="O28" i="29"/>
  <c r="W28" i="29"/>
  <c r="X28" i="29"/>
  <c r="Y28" i="29"/>
  <c r="T28" i="29"/>
  <c r="Z43" i="29"/>
  <c r="V43" i="29"/>
  <c r="X51" i="29"/>
  <c r="P51" i="29"/>
  <c r="R51" i="29"/>
  <c r="T43" i="38"/>
  <c r="W38" i="46" s="1"/>
  <c r="M43" i="38"/>
  <c r="P38" i="46" s="1"/>
  <c r="K43" i="38"/>
  <c r="N38" i="46" s="1"/>
  <c r="S43" i="38"/>
  <c r="V38" i="46" s="1"/>
  <c r="M35" i="38"/>
  <c r="P34" i="46" s="1"/>
  <c r="P35" i="38"/>
  <c r="S34" i="46" s="1"/>
  <c r="S35" i="38"/>
  <c r="V34" i="46" s="1"/>
  <c r="K35" i="38"/>
  <c r="N34" i="46" s="1"/>
  <c r="M27" i="38"/>
  <c r="P26" i="46" s="1"/>
  <c r="P27" i="38"/>
  <c r="S26" i="46" s="1"/>
  <c r="R17" i="38"/>
  <c r="U21" i="46" s="1"/>
  <c r="M17" i="38"/>
  <c r="P21" i="46" s="1"/>
  <c r="N17" i="38"/>
  <c r="Q21" i="46" s="1"/>
  <c r="P53" i="38"/>
  <c r="Q53" i="38"/>
  <c r="N53" i="38"/>
  <c r="O53" i="38"/>
  <c r="T53" i="38"/>
  <c r="K61" i="38"/>
  <c r="N49" i="46" s="1"/>
  <c r="O61" i="38"/>
  <c r="R49" i="46" s="1"/>
  <c r="S61" i="38"/>
  <c r="V49" i="46" s="1"/>
  <c r="U61" i="38"/>
  <c r="X49" i="46" s="1"/>
  <c r="N61" i="38"/>
  <c r="Q49" i="46" s="1"/>
  <c r="P65" i="38"/>
  <c r="S50" i="46" s="1"/>
  <c r="J65" i="38"/>
  <c r="M50" i="46" s="1"/>
  <c r="S54" i="22"/>
  <c r="M54" i="22"/>
  <c r="R58" i="22"/>
  <c r="U44" i="30" s="1"/>
  <c r="U58" i="22"/>
  <c r="X44" i="30" s="1"/>
  <c r="U62" i="22"/>
  <c r="X48" i="30" s="1"/>
  <c r="S62" i="22"/>
  <c r="V48" i="30" s="1"/>
  <c r="K71" i="22"/>
  <c r="N71" i="22"/>
  <c r="L55" i="23"/>
  <c r="N55" i="23"/>
  <c r="S59" i="23"/>
  <c r="R59" i="23"/>
  <c r="M65" i="23"/>
  <c r="O65" i="23"/>
  <c r="N72" i="23"/>
  <c r="M72" i="23"/>
  <c r="K72" i="23"/>
  <c r="R52" i="24"/>
  <c r="S52" i="24"/>
  <c r="T56" i="24"/>
  <c r="Q56" i="24"/>
  <c r="S68" i="24"/>
  <c r="Q68" i="24"/>
  <c r="P54" i="50"/>
  <c r="T54" i="50"/>
  <c r="V54" i="50"/>
  <c r="M46" i="50"/>
  <c r="Z46" i="50" s="1"/>
  <c r="L46" i="50"/>
  <c r="U46" i="50"/>
  <c r="S46" i="50"/>
  <c r="P46" i="50"/>
  <c r="W46" i="50"/>
  <c r="Q46" i="50"/>
  <c r="R46" i="50"/>
  <c r="X46" i="50"/>
  <c r="V46" i="50"/>
  <c r="X29" i="50"/>
  <c r="Q29" i="50"/>
  <c r="T29" i="50"/>
  <c r="W29" i="50"/>
  <c r="P29" i="50"/>
  <c r="S29" i="50"/>
  <c r="V29" i="50"/>
  <c r="S21" i="50"/>
  <c r="P21" i="50"/>
  <c r="R21" i="50"/>
  <c r="O21" i="50"/>
  <c r="Q21" i="50"/>
  <c r="V21" i="50"/>
  <c r="X24" i="50"/>
  <c r="X49" i="50"/>
  <c r="X51" i="50"/>
  <c r="X44" i="50"/>
  <c r="X43" i="50"/>
  <c r="X57" i="50"/>
  <c r="X27" i="50"/>
  <c r="X32" i="50"/>
  <c r="X14" i="50"/>
  <c r="X15" i="50"/>
  <c r="X26" i="50"/>
  <c r="X52" i="50"/>
  <c r="X19" i="50"/>
  <c r="X36" i="50"/>
  <c r="X23" i="50"/>
  <c r="X35" i="50"/>
  <c r="P27" i="50"/>
  <c r="P31" i="50"/>
  <c r="P36" i="50"/>
  <c r="P49" i="50"/>
  <c r="P56" i="50"/>
  <c r="P43" i="50"/>
  <c r="P14" i="50"/>
  <c r="P42" i="50"/>
  <c r="O53" i="61"/>
  <c r="O48" i="61"/>
  <c r="O43" i="61"/>
  <c r="O14" i="61"/>
  <c r="O52" i="61"/>
  <c r="O25" i="61"/>
  <c r="O41" i="61"/>
  <c r="O29" i="61"/>
  <c r="O45" i="61"/>
  <c r="O30" i="61"/>
  <c r="O50" i="61"/>
  <c r="O27" i="61"/>
  <c r="O35" i="61"/>
  <c r="O56" i="61"/>
  <c r="W14" i="61"/>
  <c r="W45" i="61"/>
  <c r="W17" i="61"/>
  <c r="W56" i="61"/>
  <c r="W33" i="61"/>
  <c r="W44" i="61"/>
  <c r="W21" i="61"/>
  <c r="W30" i="61"/>
  <c r="W42" i="61"/>
  <c r="W41" i="61"/>
  <c r="W53" i="61"/>
  <c r="W19" i="61"/>
  <c r="W48" i="61"/>
  <c r="W27" i="61"/>
  <c r="W52" i="61"/>
  <c r="W35" i="61"/>
  <c r="O30" i="29"/>
  <c r="Y30" i="29"/>
  <c r="Z30" i="29"/>
  <c r="L30" i="29"/>
  <c r="AB30" i="29"/>
  <c r="V30" i="29"/>
  <c r="N30" i="29"/>
  <c r="T30" i="29"/>
  <c r="W30" i="29"/>
  <c r="L55" i="61"/>
  <c r="U55" i="61"/>
  <c r="W55" i="61"/>
  <c r="Q55" i="61"/>
  <c r="V55" i="61"/>
  <c r="R55" i="61"/>
  <c r="U47" i="61"/>
  <c r="X47" i="61"/>
  <c r="N47" i="61"/>
  <c r="T47" i="61"/>
  <c r="V47" i="61"/>
  <c r="W40" i="61"/>
  <c r="U40" i="61"/>
  <c r="O40" i="61"/>
  <c r="R40" i="61"/>
  <c r="T40" i="61"/>
  <c r="P40" i="61"/>
  <c r="V40" i="61"/>
  <c r="Q40" i="61"/>
  <c r="X32" i="61"/>
  <c r="N32" i="61"/>
  <c r="U32" i="61"/>
  <c r="P32" i="61"/>
  <c r="T32" i="61"/>
  <c r="R32" i="61"/>
  <c r="O32" i="61"/>
  <c r="L24" i="61"/>
  <c r="T24" i="61"/>
  <c r="N24" i="61"/>
  <c r="X24" i="61"/>
  <c r="W24" i="61"/>
  <c r="U24" i="61"/>
  <c r="P24" i="61"/>
  <c r="L16" i="61"/>
  <c r="Q16" i="61"/>
  <c r="X16" i="61"/>
  <c r="U16" i="61"/>
  <c r="T16" i="61"/>
  <c r="R16" i="61"/>
  <c r="O16" i="61"/>
  <c r="P16" i="61"/>
  <c r="W16" i="61"/>
  <c r="V16" i="61"/>
  <c r="N16" i="61"/>
  <c r="T57" i="30"/>
  <c r="S57" i="30"/>
  <c r="Q57" i="30"/>
  <c r="O57" i="30"/>
  <c r="W57" i="30"/>
  <c r="M30" i="50"/>
  <c r="Z30" i="50" s="1"/>
  <c r="R30" i="50"/>
  <c r="U30" i="50"/>
  <c r="L30" i="50"/>
  <c r="P30" i="50"/>
  <c r="I42" i="23"/>
  <c r="I56" i="23"/>
  <c r="I34" i="23"/>
  <c r="I61" i="23"/>
  <c r="I14" i="23"/>
  <c r="I26" i="23"/>
  <c r="I58" i="23"/>
  <c r="I35" i="23"/>
  <c r="I52" i="23"/>
  <c r="K11" i="24"/>
  <c r="M125" i="75" s="1"/>
  <c r="S11" i="24"/>
  <c r="U125" i="75" s="1"/>
  <c r="R34" i="22"/>
  <c r="U31" i="30" s="1"/>
  <c r="S34" i="22"/>
  <c r="V31" i="30" s="1"/>
  <c r="Q34" i="22"/>
  <c r="T31" i="30" s="1"/>
  <c r="M34" i="22"/>
  <c r="P31" i="30" s="1"/>
  <c r="N34" i="22"/>
  <c r="Q31" i="30" s="1"/>
  <c r="L34" i="22"/>
  <c r="O31" i="30" s="1"/>
  <c r="AB15" i="29"/>
  <c r="AA15" i="29"/>
  <c r="Y15" i="29"/>
  <c r="S15" i="29"/>
  <c r="R49" i="29"/>
  <c r="Y49" i="29"/>
  <c r="Z49" i="29"/>
  <c r="Q49" i="29"/>
  <c r="N49" i="29"/>
  <c r="T49" i="29"/>
  <c r="U49" i="29"/>
  <c r="Y54" i="29"/>
  <c r="Y14" i="29"/>
  <c r="Y26" i="29"/>
  <c r="Y31" i="29"/>
  <c r="Y46" i="29"/>
  <c r="Y56" i="29"/>
  <c r="Y35" i="29"/>
  <c r="M30" i="38"/>
  <c r="P30" i="38"/>
  <c r="S30" i="38"/>
  <c r="Q30" i="38"/>
  <c r="U30" i="38"/>
  <c r="S14" i="38"/>
  <c r="V19" i="46" s="1"/>
  <c r="K14" i="38"/>
  <c r="N19" i="46" s="1"/>
  <c r="P14" i="38"/>
  <c r="S19" i="46" s="1"/>
  <c r="U14" i="38"/>
  <c r="X19" i="46" s="1"/>
  <c r="T14" i="38"/>
  <c r="W19" i="46" s="1"/>
  <c r="N66" i="38"/>
  <c r="Q20" i="77" s="1"/>
  <c r="N69" i="38"/>
  <c r="Q22" i="77" s="1"/>
  <c r="N19" i="38"/>
  <c r="Q14" i="77" s="1"/>
  <c r="N46" i="38"/>
  <c r="Q39" i="46" s="1"/>
  <c r="N37" i="38"/>
  <c r="Q35" i="46" s="1"/>
  <c r="N47" i="38"/>
  <c r="Q16" i="77" s="1"/>
  <c r="N58" i="38"/>
  <c r="Q46" i="46" s="1"/>
  <c r="N60" i="38"/>
  <c r="Q48" i="46" s="1"/>
  <c r="N68" i="38"/>
  <c r="N36" i="38"/>
  <c r="N23" i="38"/>
  <c r="Q23" i="46" s="1"/>
  <c r="N10" i="38"/>
  <c r="Q17" i="46" s="1"/>
  <c r="N31" i="38"/>
  <c r="Q29" i="46" s="1"/>
  <c r="N13" i="38"/>
  <c r="Q18" i="46" s="1"/>
  <c r="N9" i="38"/>
  <c r="Q16" i="46" s="1"/>
  <c r="N42" i="38"/>
  <c r="N18" i="38"/>
  <c r="N71" i="38"/>
  <c r="Y22" i="29"/>
  <c r="T142" i="29"/>
  <c r="Z27" i="29"/>
  <c r="M33" i="23"/>
  <c r="U26" i="22"/>
  <c r="X24" i="30" s="1"/>
  <c r="M26" i="22"/>
  <c r="P24" i="30" s="1"/>
  <c r="P26" i="22"/>
  <c r="S24" i="30" s="1"/>
  <c r="S26" i="22"/>
  <c r="V24" i="30" s="1"/>
  <c r="T26" i="22"/>
  <c r="W24" i="30" s="1"/>
  <c r="N26" i="22"/>
  <c r="Q24" i="30" s="1"/>
  <c r="T32" i="22"/>
  <c r="W29" i="30" s="1"/>
  <c r="S32" i="22"/>
  <c r="V29" i="30" s="1"/>
  <c r="N32" i="22"/>
  <c r="Q29" i="30" s="1"/>
  <c r="K32" i="22"/>
  <c r="N29" i="30" s="1"/>
  <c r="R32" i="22"/>
  <c r="U29" i="30" s="1"/>
  <c r="O32" i="22"/>
  <c r="R29" i="30" s="1"/>
  <c r="L32" i="22"/>
  <c r="O29" i="30" s="1"/>
  <c r="Q32" i="22"/>
  <c r="T29" i="30" s="1"/>
  <c r="N43" i="24"/>
  <c r="Q162" i="30" s="1"/>
  <c r="O43" i="24"/>
  <c r="R162" i="30" s="1"/>
  <c r="L43" i="24"/>
  <c r="O162" i="30" s="1"/>
  <c r="Q43" i="24"/>
  <c r="T162" i="30" s="1"/>
  <c r="P43" i="24"/>
  <c r="S162" i="30" s="1"/>
  <c r="R43" i="24"/>
  <c r="U162" i="30" s="1"/>
  <c r="K43" i="24"/>
  <c r="N162" i="30" s="1"/>
  <c r="M43" i="24"/>
  <c r="P162" i="30" s="1"/>
  <c r="S43" i="24"/>
  <c r="V162" i="30" s="1"/>
  <c r="T43" i="24"/>
  <c r="W162" i="30" s="1"/>
  <c r="I27" i="24"/>
  <c r="T27" i="24"/>
  <c r="K27" i="24"/>
  <c r="Q27" i="24"/>
  <c r="U27" i="24"/>
  <c r="O27" i="24"/>
  <c r="R27" i="24"/>
  <c r="L27" i="24"/>
  <c r="M27" i="24"/>
  <c r="N27" i="24"/>
  <c r="N9" i="24"/>
  <c r="K9" i="24"/>
  <c r="O9" i="24"/>
  <c r="T9" i="24"/>
  <c r="S9" i="24"/>
  <c r="O42" i="29"/>
  <c r="Z42" i="29"/>
  <c r="W42" i="29"/>
  <c r="Q42" i="29"/>
  <c r="N42" i="29"/>
  <c r="V42" i="29"/>
  <c r="U42" i="29"/>
  <c r="X42" i="29"/>
  <c r="T42" i="29"/>
  <c r="J30" i="38"/>
  <c r="I60" i="15"/>
  <c r="I52" i="15"/>
  <c r="I34" i="15"/>
  <c r="I46" i="15"/>
  <c r="L164" i="29" s="1"/>
  <c r="L12" i="24"/>
  <c r="O123" i="81" s="1"/>
  <c r="L69" i="24"/>
  <c r="O132" i="81" s="1"/>
  <c r="L13" i="24"/>
  <c r="L72" i="24"/>
  <c r="L23" i="24"/>
  <c r="L55" i="24"/>
  <c r="L18" i="24"/>
  <c r="L10" i="24"/>
  <c r="L65" i="24"/>
  <c r="L5" i="24"/>
  <c r="L32" i="24"/>
  <c r="AB92" i="29"/>
  <c r="T181" i="29"/>
  <c r="M39" i="24"/>
  <c r="U21" i="24"/>
  <c r="AA33" i="29"/>
  <c r="T115" i="29"/>
  <c r="U21" i="38"/>
  <c r="X22" i="46" s="1"/>
  <c r="Q38" i="38"/>
  <c r="T36" i="46" s="1"/>
  <c r="L66" i="22"/>
  <c r="O49" i="30" s="1"/>
  <c r="S38" i="38"/>
  <c r="V36" i="46" s="1"/>
  <c r="Q14" i="38"/>
  <c r="T19" i="46" s="1"/>
  <c r="K42" i="22"/>
  <c r="R42" i="29"/>
  <c r="Q14" i="22"/>
  <c r="T18" i="30" s="1"/>
  <c r="O41" i="22"/>
  <c r="I59" i="23"/>
  <c r="I70" i="24"/>
  <c r="L17" i="22"/>
  <c r="O20" i="30" s="1"/>
  <c r="S17" i="22"/>
  <c r="V20" i="30" s="1"/>
  <c r="R17" i="22"/>
  <c r="U20" i="30" s="1"/>
  <c r="P17" i="22"/>
  <c r="S20" i="30" s="1"/>
  <c r="I37" i="22"/>
  <c r="N37" i="22"/>
  <c r="U37" i="22"/>
  <c r="T30" i="22"/>
  <c r="P30" i="22"/>
  <c r="M20" i="22"/>
  <c r="K20" i="22"/>
  <c r="K38" i="23"/>
  <c r="M38" i="23"/>
  <c r="N30" i="23"/>
  <c r="L30" i="23"/>
  <c r="O30" i="23"/>
  <c r="U30" i="23"/>
  <c r="M30" i="23"/>
  <c r="O20" i="23"/>
  <c r="N20" i="23"/>
  <c r="K6" i="23"/>
  <c r="U6" i="23"/>
  <c r="S6" i="23"/>
  <c r="T34" i="24"/>
  <c r="O30" i="24"/>
  <c r="S26" i="24"/>
  <c r="V149" i="30" s="1"/>
  <c r="P53" i="29"/>
  <c r="P25" i="29"/>
  <c r="P56" i="29"/>
  <c r="P48" i="29"/>
  <c r="X17" i="29"/>
  <c r="X25" i="29"/>
  <c r="X48" i="29"/>
  <c r="X26" i="29"/>
  <c r="X46" i="29"/>
  <c r="M34" i="29"/>
  <c r="P34" i="29"/>
  <c r="L34" i="29"/>
  <c r="O34" i="29"/>
  <c r="Z34" i="29"/>
  <c r="Q34" i="29"/>
  <c r="AB34" i="29"/>
  <c r="U34" i="29"/>
  <c r="T34" i="29"/>
  <c r="V34" i="29"/>
  <c r="M38" i="29"/>
  <c r="L38" i="29"/>
  <c r="N38" i="29"/>
  <c r="O38" i="29"/>
  <c r="W38" i="29"/>
  <c r="Q38" i="29"/>
  <c r="AB38" i="29"/>
  <c r="Z38" i="29"/>
  <c r="S38" i="29"/>
  <c r="AA38" i="29"/>
  <c r="L44" i="29"/>
  <c r="O44" i="29"/>
  <c r="N44" i="29"/>
  <c r="U44" i="29"/>
  <c r="S44" i="29"/>
  <c r="Q44" i="29"/>
  <c r="Z44" i="29"/>
  <c r="AA44" i="29"/>
  <c r="L52" i="29"/>
  <c r="W52" i="29"/>
  <c r="Y52" i="29"/>
  <c r="U52" i="29"/>
  <c r="Q52" i="29"/>
  <c r="T52" i="29"/>
  <c r="S52" i="29"/>
  <c r="AA52" i="29"/>
  <c r="O142" i="29"/>
  <c r="O150" i="29"/>
  <c r="W142" i="29"/>
  <c r="W150" i="29"/>
  <c r="M40" i="38"/>
  <c r="O40" i="38"/>
  <c r="P40" i="38"/>
  <c r="K40" i="38"/>
  <c r="N40" i="38"/>
  <c r="T37" i="38"/>
  <c r="W35" i="46" s="1"/>
  <c r="U37" i="38"/>
  <c r="X35" i="46" s="1"/>
  <c r="S37" i="38"/>
  <c r="V35" i="46" s="1"/>
  <c r="I37" i="38"/>
  <c r="L35" i="46" s="1"/>
  <c r="P37" i="38"/>
  <c r="S35" i="46" s="1"/>
  <c r="M37" i="38"/>
  <c r="P35" i="46" s="1"/>
  <c r="L37" i="38"/>
  <c r="O35" i="46" s="1"/>
  <c r="R32" i="38"/>
  <c r="U30" i="46" s="1"/>
  <c r="T32" i="38"/>
  <c r="W30" i="46" s="1"/>
  <c r="K32" i="38"/>
  <c r="N30" i="46" s="1"/>
  <c r="O32" i="38"/>
  <c r="R30" i="46" s="1"/>
  <c r="M29" i="38"/>
  <c r="P28" i="46" s="1"/>
  <c r="S29" i="38"/>
  <c r="V28" i="46" s="1"/>
  <c r="P29" i="38"/>
  <c r="S28" i="46" s="1"/>
  <c r="K29" i="38"/>
  <c r="N28" i="46" s="1"/>
  <c r="T29" i="38"/>
  <c r="W28" i="46" s="1"/>
  <c r="O29" i="38"/>
  <c r="R28" i="46" s="1"/>
  <c r="I29" i="38"/>
  <c r="L28" i="46" s="1"/>
  <c r="L29" i="38"/>
  <c r="O28" i="46" s="1"/>
  <c r="U29" i="38"/>
  <c r="X28" i="46" s="1"/>
  <c r="I23" i="38"/>
  <c r="L23" i="46" s="1"/>
  <c r="Q23" i="38"/>
  <c r="T23" i="46" s="1"/>
  <c r="O23" i="38"/>
  <c r="R23" i="46" s="1"/>
  <c r="L23" i="38"/>
  <c r="O23" i="46" s="1"/>
  <c r="S23" i="38"/>
  <c r="V23" i="46" s="1"/>
  <c r="M23" i="38"/>
  <c r="P23" i="46" s="1"/>
  <c r="P23" i="38"/>
  <c r="S23" i="46" s="1"/>
  <c r="U23" i="38"/>
  <c r="X23" i="46" s="1"/>
  <c r="K23" i="38"/>
  <c r="N23" i="46" s="1"/>
  <c r="J20" i="38"/>
  <c r="I13" i="38"/>
  <c r="L18" i="46" s="1"/>
  <c r="U13" i="38"/>
  <c r="X18" i="46" s="1"/>
  <c r="L13" i="38"/>
  <c r="O18" i="46" s="1"/>
  <c r="Q13" i="38"/>
  <c r="T18" i="46" s="1"/>
  <c r="S13" i="38"/>
  <c r="V18" i="46" s="1"/>
  <c r="P13" i="38"/>
  <c r="S18" i="46" s="1"/>
  <c r="K13" i="38"/>
  <c r="N18" i="46" s="1"/>
  <c r="T13" i="38"/>
  <c r="W18" i="46" s="1"/>
  <c r="M13" i="38"/>
  <c r="P18" i="46" s="1"/>
  <c r="O13" i="38"/>
  <c r="R18" i="46" s="1"/>
  <c r="I9" i="38"/>
  <c r="L16" i="46" s="1"/>
  <c r="S9" i="38"/>
  <c r="V16" i="46" s="1"/>
  <c r="O9" i="38"/>
  <c r="R16" i="46" s="1"/>
  <c r="L9" i="38"/>
  <c r="O16" i="46" s="1"/>
  <c r="K9" i="38"/>
  <c r="N16" i="46" s="1"/>
  <c r="P9" i="38"/>
  <c r="S16" i="46" s="1"/>
  <c r="K5" i="38"/>
  <c r="N14" i="46" s="1"/>
  <c r="I5" i="38"/>
  <c r="L14" i="46" s="1"/>
  <c r="L5" i="38"/>
  <c r="O14" i="46" s="1"/>
  <c r="O5" i="38"/>
  <c r="R14" i="46" s="1"/>
  <c r="U5" i="38"/>
  <c r="X14" i="46" s="1"/>
  <c r="P5" i="38"/>
  <c r="S14" i="46" s="1"/>
  <c r="S5" i="38"/>
  <c r="V14" i="46" s="1"/>
  <c r="Q5" i="38"/>
  <c r="T14" i="46" s="1"/>
  <c r="T5" i="38"/>
  <c r="W14" i="46" s="1"/>
  <c r="M5" i="38"/>
  <c r="P14" i="46" s="1"/>
  <c r="V56" i="46"/>
  <c r="V57" i="46"/>
  <c r="V58" i="46"/>
  <c r="I49" i="24"/>
  <c r="J49" i="24"/>
  <c r="M49" i="24"/>
  <c r="S49" i="24"/>
  <c r="T49" i="24"/>
  <c r="Q49" i="24"/>
  <c r="L49" i="24"/>
  <c r="K49" i="24"/>
  <c r="N49" i="24"/>
  <c r="U49" i="24"/>
  <c r="O49" i="24"/>
  <c r="J54" i="15"/>
  <c r="K54" i="15"/>
  <c r="I54" i="15"/>
  <c r="J58" i="15"/>
  <c r="K58" i="15"/>
  <c r="I58" i="15"/>
  <c r="J62" i="15"/>
  <c r="I62" i="15"/>
  <c r="J71" i="15"/>
  <c r="I71" i="15"/>
  <c r="K71" i="15"/>
  <c r="J75" i="15"/>
  <c r="K75" i="15"/>
  <c r="I75" i="15"/>
  <c r="I50" i="38"/>
  <c r="L41" i="46" s="1"/>
  <c r="N50" i="38"/>
  <c r="Q41" i="46" s="1"/>
  <c r="J50" i="38"/>
  <c r="M41" i="46" s="1"/>
  <c r="T50" i="38"/>
  <c r="W41" i="46" s="1"/>
  <c r="O50" i="38"/>
  <c r="R41" i="46" s="1"/>
  <c r="L50" i="38"/>
  <c r="O41" i="46" s="1"/>
  <c r="M50" i="38"/>
  <c r="P41" i="46" s="1"/>
  <c r="P50" i="38"/>
  <c r="S41" i="46" s="1"/>
  <c r="Q50" i="38"/>
  <c r="T41" i="46" s="1"/>
  <c r="K50" i="38"/>
  <c r="N41" i="46" s="1"/>
  <c r="I56" i="38"/>
  <c r="L44" i="46" s="1"/>
  <c r="J56" i="38"/>
  <c r="M44" i="46" s="1"/>
  <c r="T56" i="38"/>
  <c r="W44" i="46" s="1"/>
  <c r="L56" i="38"/>
  <c r="O44" i="46" s="1"/>
  <c r="U56" i="38"/>
  <c r="X44" i="46" s="1"/>
  <c r="Q56" i="38"/>
  <c r="T44" i="46" s="1"/>
  <c r="P56" i="38"/>
  <c r="S44" i="46" s="1"/>
  <c r="O56" i="38"/>
  <c r="R44" i="46" s="1"/>
  <c r="S56" i="38"/>
  <c r="V44" i="46" s="1"/>
  <c r="R56" i="38"/>
  <c r="U44" i="46" s="1"/>
  <c r="K56" i="38"/>
  <c r="N44" i="46" s="1"/>
  <c r="R70" i="38"/>
  <c r="Q70" i="38"/>
  <c r="I70" i="38"/>
  <c r="J70" i="38"/>
  <c r="O70" i="38"/>
  <c r="M70" i="38"/>
  <c r="N70" i="38"/>
  <c r="Q55" i="22"/>
  <c r="T55" i="22"/>
  <c r="M55" i="22"/>
  <c r="R55" i="22"/>
  <c r="O55" i="22"/>
  <c r="P55" i="22"/>
  <c r="K55" i="22"/>
  <c r="S55" i="22"/>
  <c r="S59" i="22"/>
  <c r="V45" i="30" s="1"/>
  <c r="Q59" i="22"/>
  <c r="T45" i="30" s="1"/>
  <c r="M59" i="22"/>
  <c r="P45" i="30" s="1"/>
  <c r="T59" i="22"/>
  <c r="W45" i="30" s="1"/>
  <c r="N59" i="22"/>
  <c r="Q45" i="30" s="1"/>
  <c r="P59" i="22"/>
  <c r="S45" i="30" s="1"/>
  <c r="R59" i="22"/>
  <c r="U45" i="30" s="1"/>
  <c r="K59" i="22"/>
  <c r="N45" i="30" s="1"/>
  <c r="U59" i="22"/>
  <c r="X45" i="30" s="1"/>
  <c r="O59" i="22"/>
  <c r="R45" i="30" s="1"/>
  <c r="T63" i="22"/>
  <c r="Q63" i="22"/>
  <c r="M63" i="22"/>
  <c r="S63" i="22"/>
  <c r="O63" i="22"/>
  <c r="L63" i="22"/>
  <c r="K63" i="22"/>
  <c r="R63" i="22"/>
  <c r="P63" i="22"/>
  <c r="N63" i="22"/>
  <c r="I72" i="22"/>
  <c r="K72" i="22"/>
  <c r="M72" i="22"/>
  <c r="N72" i="22"/>
  <c r="O72" i="22"/>
  <c r="L72" i="22"/>
  <c r="R72" i="22"/>
  <c r="P72" i="22"/>
  <c r="Q72" i="22"/>
  <c r="T72" i="22"/>
  <c r="U72" i="22"/>
  <c r="U76" i="22"/>
  <c r="X52" i="30" s="1"/>
  <c r="N76" i="22"/>
  <c r="Q52" i="30" s="1"/>
  <c r="Q76" i="22"/>
  <c r="T52" i="30" s="1"/>
  <c r="P76" i="22"/>
  <c r="S52" i="30" s="1"/>
  <c r="L76" i="22"/>
  <c r="O52" i="30" s="1"/>
  <c r="S76" i="22"/>
  <c r="V52" i="30" s="1"/>
  <c r="O76" i="22"/>
  <c r="R52" i="30" s="1"/>
  <c r="I53" i="24"/>
  <c r="U53" i="24"/>
  <c r="K53" i="24"/>
  <c r="J53" i="24"/>
  <c r="L53" i="24"/>
  <c r="R53" i="24"/>
  <c r="P53" i="24"/>
  <c r="O53" i="24"/>
  <c r="Q53" i="24"/>
  <c r="N53" i="24"/>
  <c r="S53" i="24"/>
  <c r="M53" i="24"/>
  <c r="P57" i="24"/>
  <c r="O57" i="24"/>
  <c r="I57" i="24"/>
  <c r="L57" i="24"/>
  <c r="J57" i="24"/>
  <c r="U57" i="24"/>
  <c r="Q57" i="24"/>
  <c r="N57" i="24"/>
  <c r="J61" i="24"/>
  <c r="L61" i="24"/>
  <c r="P61" i="24"/>
  <c r="M61" i="24"/>
  <c r="R61" i="24"/>
  <c r="U61" i="24"/>
  <c r="O61" i="24"/>
  <c r="Q61" i="24"/>
  <c r="S61" i="24"/>
  <c r="N61" i="24"/>
  <c r="T61" i="24"/>
  <c r="I61" i="24"/>
  <c r="J70" i="24"/>
  <c r="L70" i="24"/>
  <c r="P70" i="24"/>
  <c r="O70" i="24"/>
  <c r="U70" i="24"/>
  <c r="K70" i="24"/>
  <c r="N70" i="24"/>
  <c r="J74" i="24"/>
  <c r="L74" i="24"/>
  <c r="I74" i="24"/>
  <c r="N74" i="24"/>
  <c r="U74" i="24"/>
  <c r="Q74" i="24"/>
  <c r="O74" i="24"/>
  <c r="P74" i="24"/>
  <c r="M53" i="50"/>
  <c r="Z53" i="50" s="1"/>
  <c r="L53" i="50"/>
  <c r="P53" i="50"/>
  <c r="X53" i="50"/>
  <c r="W53" i="50"/>
  <c r="N53" i="50"/>
  <c r="Q53" i="50"/>
  <c r="R45" i="50"/>
  <c r="L45" i="50"/>
  <c r="W45" i="50"/>
  <c r="Q45" i="50"/>
  <c r="T45" i="50"/>
  <c r="O45" i="50"/>
  <c r="Q28" i="50"/>
  <c r="X28" i="50"/>
  <c r="S28" i="50"/>
  <c r="O28" i="50"/>
  <c r="W20" i="50"/>
  <c r="U20" i="50"/>
  <c r="M20" i="50"/>
  <c r="Z20" i="50" s="1"/>
  <c r="X20" i="50"/>
  <c r="S20" i="50"/>
  <c r="R20" i="50"/>
  <c r="N20" i="50"/>
  <c r="O20" i="50"/>
  <c r="W33" i="50"/>
  <c r="W18" i="50"/>
  <c r="W31" i="50"/>
  <c r="W44" i="50"/>
  <c r="W41" i="50"/>
  <c r="W19" i="50"/>
  <c r="W23" i="50"/>
  <c r="W51" i="50"/>
  <c r="W36" i="50"/>
  <c r="W14" i="50"/>
  <c r="W24" i="50"/>
  <c r="W16" i="50"/>
  <c r="W27" i="50"/>
  <c r="W40" i="50"/>
  <c r="W15" i="50"/>
  <c r="N16" i="50"/>
  <c r="N15" i="50"/>
  <c r="N19" i="50"/>
  <c r="N24" i="50"/>
  <c r="N26" i="50"/>
  <c r="P41" i="61"/>
  <c r="P29" i="61"/>
  <c r="P30" i="61"/>
  <c r="P33" i="61"/>
  <c r="P17" i="61"/>
  <c r="P51" i="61"/>
  <c r="P14" i="61"/>
  <c r="P48" i="61"/>
  <c r="P22" i="61"/>
  <c r="P21" i="61"/>
  <c r="P56" i="61"/>
  <c r="P53" i="61"/>
  <c r="P52" i="61"/>
  <c r="P45" i="61"/>
  <c r="P50" i="61"/>
  <c r="X53" i="61"/>
  <c r="X45" i="61"/>
  <c r="X30" i="61"/>
  <c r="X25" i="61"/>
  <c r="X41" i="61"/>
  <c r="X29" i="61"/>
  <c r="X17" i="61"/>
  <c r="X35" i="61"/>
  <c r="X52" i="61"/>
  <c r="X50" i="61"/>
  <c r="X21" i="61"/>
  <c r="X44" i="61"/>
  <c r="X56" i="61"/>
  <c r="X19" i="61"/>
  <c r="X27" i="61"/>
  <c r="W54" i="61"/>
  <c r="P54" i="61"/>
  <c r="T54" i="61"/>
  <c r="S54" i="61"/>
  <c r="U54" i="61"/>
  <c r="R54" i="61"/>
  <c r="X54" i="61"/>
  <c r="O54" i="61"/>
  <c r="L46" i="61"/>
  <c r="U46" i="61"/>
  <c r="P46" i="61"/>
  <c r="N46" i="61"/>
  <c r="W46" i="61"/>
  <c r="T46" i="61"/>
  <c r="O46" i="61"/>
  <c r="X46" i="61"/>
  <c r="V39" i="61"/>
  <c r="L39" i="61"/>
  <c r="W39" i="61"/>
  <c r="O39" i="61"/>
  <c r="R39" i="61"/>
  <c r="N39" i="61"/>
  <c r="L31" i="61"/>
  <c r="R31" i="61"/>
  <c r="V31" i="61"/>
  <c r="N31" i="61"/>
  <c r="U31" i="61"/>
  <c r="P31" i="61"/>
  <c r="W31" i="61"/>
  <c r="O31" i="61"/>
  <c r="V23" i="61"/>
  <c r="O23" i="61"/>
  <c r="Q23" i="61"/>
  <c r="N23" i="61"/>
  <c r="X23" i="61"/>
  <c r="R23" i="61"/>
  <c r="L15" i="61"/>
  <c r="T15" i="61"/>
  <c r="N15" i="61"/>
  <c r="V15" i="61"/>
  <c r="P15" i="61"/>
  <c r="W15" i="61"/>
  <c r="P31" i="46"/>
  <c r="S31" i="46"/>
  <c r="R31" i="46"/>
  <c r="U25" i="22"/>
  <c r="X23" i="30" s="1"/>
  <c r="O25" i="22"/>
  <c r="R23" i="30" s="1"/>
  <c r="Q25" i="22"/>
  <c r="T23" i="30" s="1"/>
  <c r="P25" i="22"/>
  <c r="S23" i="30" s="1"/>
  <c r="R25" i="22"/>
  <c r="U23" i="30" s="1"/>
  <c r="N25" i="22"/>
  <c r="Q23" i="30" s="1"/>
  <c r="R33" i="23"/>
  <c r="P33" i="23"/>
  <c r="N33" i="23"/>
  <c r="L33" i="23"/>
  <c r="U33" i="23"/>
  <c r="T13" i="23"/>
  <c r="O13" i="23"/>
  <c r="L13" i="23"/>
  <c r="M13" i="23"/>
  <c r="S13" i="23"/>
  <c r="U13" i="23"/>
  <c r="K13" i="23"/>
  <c r="U41" i="29"/>
  <c r="U36" i="29"/>
  <c r="U55" i="29"/>
  <c r="U17" i="29"/>
  <c r="U56" i="29"/>
  <c r="U21" i="29"/>
  <c r="U29" i="29"/>
  <c r="U31" i="29"/>
  <c r="U32" i="29"/>
  <c r="U25" i="29"/>
  <c r="U45" i="29"/>
  <c r="L23" i="29"/>
  <c r="Y23" i="29"/>
  <c r="Q23" i="29"/>
  <c r="N23" i="29"/>
  <c r="Z23" i="29"/>
  <c r="O23" i="29"/>
  <c r="R23" i="29"/>
  <c r="T23" i="29"/>
  <c r="U23" i="29"/>
  <c r="Y57" i="29"/>
  <c r="AB57" i="29"/>
  <c r="Q57" i="29"/>
  <c r="W57" i="29"/>
  <c r="U57" i="29"/>
  <c r="J25" i="38"/>
  <c r="M24" i="46" s="1"/>
  <c r="M25" i="38"/>
  <c r="P24" i="46" s="1"/>
  <c r="S25" i="38"/>
  <c r="V24" i="46" s="1"/>
  <c r="O25" i="38"/>
  <c r="R24" i="46" s="1"/>
  <c r="U25" i="38"/>
  <c r="X24" i="46" s="1"/>
  <c r="Q25" i="38"/>
  <c r="T24" i="46" s="1"/>
  <c r="P6" i="38"/>
  <c r="S15" i="46" s="1"/>
  <c r="K6" i="38"/>
  <c r="N15" i="46" s="1"/>
  <c r="O6" i="38"/>
  <c r="R15" i="46" s="1"/>
  <c r="U6" i="38"/>
  <c r="X15" i="46" s="1"/>
  <c r="Q6" i="38"/>
  <c r="T15" i="46" s="1"/>
  <c r="S6" i="38"/>
  <c r="V15" i="46" s="1"/>
  <c r="T51" i="38"/>
  <c r="W18" i="77" s="1"/>
  <c r="U51" i="38"/>
  <c r="X18" i="77" s="1"/>
  <c r="M51" i="38"/>
  <c r="P18" i="77" s="1"/>
  <c r="R51" i="38"/>
  <c r="U18" i="77" s="1"/>
  <c r="Q51" i="38"/>
  <c r="T18" i="77" s="1"/>
  <c r="I51" i="38"/>
  <c r="J8" i="38"/>
  <c r="L46" i="22"/>
  <c r="O15" i="81" s="1"/>
  <c r="L49" i="22"/>
  <c r="O17" i="81" s="1"/>
  <c r="L77" i="22"/>
  <c r="L26" i="22"/>
  <c r="O24" i="30" s="1"/>
  <c r="L60" i="22"/>
  <c r="O46" i="30" s="1"/>
  <c r="L53" i="22"/>
  <c r="O41" i="30" s="1"/>
  <c r="L69" i="22"/>
  <c r="L29" i="22"/>
  <c r="O27" i="30" s="1"/>
  <c r="L14" i="22"/>
  <c r="O18" i="30" s="1"/>
  <c r="L50" i="22"/>
  <c r="O39" i="30" s="1"/>
  <c r="L78" i="22"/>
  <c r="O53" i="30" s="1"/>
  <c r="L38" i="22"/>
  <c r="O34" i="30" s="1"/>
  <c r="L43" i="22"/>
  <c r="T166" i="29"/>
  <c r="R15" i="29"/>
  <c r="N26" i="38"/>
  <c r="Q25" i="46" s="1"/>
  <c r="L25" i="22"/>
  <c r="O23" i="30" s="1"/>
  <c r="U43" i="22"/>
  <c r="M43" i="22"/>
  <c r="Q43" i="22"/>
  <c r="K43" i="22"/>
  <c r="P43" i="22"/>
  <c r="T43" i="22"/>
  <c r="R43" i="22"/>
  <c r="S43" i="22"/>
  <c r="R23" i="22"/>
  <c r="U22" i="30" s="1"/>
  <c r="T23" i="22"/>
  <c r="W22" i="30" s="1"/>
  <c r="L23" i="22"/>
  <c r="O22" i="30" s="1"/>
  <c r="P23" i="22"/>
  <c r="S22" i="30" s="1"/>
  <c r="Q23" i="22"/>
  <c r="T22" i="30" s="1"/>
  <c r="K23" i="22"/>
  <c r="N22" i="30" s="1"/>
  <c r="N23" i="22"/>
  <c r="Q22" i="30" s="1"/>
  <c r="U23" i="22"/>
  <c r="X22" i="30" s="1"/>
  <c r="I23" i="23"/>
  <c r="S23" i="23"/>
  <c r="K23" i="23"/>
  <c r="U23" i="23"/>
  <c r="P23" i="23"/>
  <c r="T23" i="23"/>
  <c r="N23" i="23"/>
  <c r="M23" i="23"/>
  <c r="J39" i="24"/>
  <c r="K39" i="24"/>
  <c r="N39" i="24"/>
  <c r="O39" i="24"/>
  <c r="R39" i="24"/>
  <c r="U39" i="24"/>
  <c r="V41" i="29"/>
  <c r="V48" i="29"/>
  <c r="V45" i="29"/>
  <c r="V13" i="29"/>
  <c r="V35" i="29"/>
  <c r="V29" i="29"/>
  <c r="V54" i="29"/>
  <c r="V17" i="29"/>
  <c r="V18" i="29"/>
  <c r="V56" i="29"/>
  <c r="V21" i="29"/>
  <c r="V39" i="29"/>
  <c r="V36" i="29"/>
  <c r="V55" i="29"/>
  <c r="O50" i="29"/>
  <c r="R50" i="29"/>
  <c r="Z50" i="29"/>
  <c r="U50" i="29"/>
  <c r="T50" i="29"/>
  <c r="Y50" i="29"/>
  <c r="W50" i="29"/>
  <c r="V50" i="29"/>
  <c r="U142" i="29"/>
  <c r="Q56" i="30"/>
  <c r="Q10" i="38"/>
  <c r="T17" i="46" s="1"/>
  <c r="U182" i="29"/>
  <c r="W15" i="29"/>
  <c r="P9" i="24"/>
  <c r="L23" i="23"/>
  <c r="N15" i="29"/>
  <c r="U46" i="29"/>
  <c r="S42" i="29"/>
  <c r="Y21" i="29"/>
  <c r="R9" i="24"/>
  <c r="L25" i="38"/>
  <c r="O24" i="46" s="1"/>
  <c r="Z15" i="29"/>
  <c r="K34" i="22"/>
  <c r="N31" i="30" s="1"/>
  <c r="U104" i="29"/>
  <c r="U181" i="29"/>
  <c r="W23" i="29"/>
  <c r="U35" i="29"/>
  <c r="P31" i="29"/>
  <c r="X44" i="29"/>
  <c r="Y34" i="29"/>
  <c r="V25" i="29"/>
  <c r="Y13" i="29"/>
  <c r="L25" i="24"/>
  <c r="U48" i="29"/>
  <c r="K35" i="24"/>
  <c r="Q10" i="23"/>
  <c r="T78" i="30" s="1"/>
  <c r="S15" i="24"/>
  <c r="T25" i="23"/>
  <c r="N21" i="38"/>
  <c r="Q22" i="46" s="1"/>
  <c r="Q9" i="38"/>
  <c r="T16" i="46" s="1"/>
  <c r="L57" i="22"/>
  <c r="O43" i="30" s="1"/>
  <c r="S41" i="38"/>
  <c r="P54" i="22"/>
  <c r="Q13" i="23"/>
  <c r="P28" i="29"/>
  <c r="T39" i="24"/>
  <c r="Z52" i="29"/>
  <c r="Q29" i="38"/>
  <c r="T28" i="46" s="1"/>
  <c r="P39" i="24"/>
  <c r="N13" i="22"/>
  <c r="Q17" i="30" s="1"/>
  <c r="S20" i="38"/>
  <c r="M10" i="22"/>
  <c r="P16" i="30" s="1"/>
  <c r="W13" i="29"/>
  <c r="Q55" i="30"/>
  <c r="I73" i="23"/>
  <c r="I50" i="24"/>
  <c r="T67" i="38"/>
  <c r="W21" i="77" s="1"/>
  <c r="R67" i="38"/>
  <c r="U21" i="77" s="1"/>
  <c r="M67" i="38"/>
  <c r="P21" i="77" s="1"/>
  <c r="I67" i="38"/>
  <c r="Q67" i="38"/>
  <c r="T21" i="77" s="1"/>
  <c r="L67" i="38"/>
  <c r="O21" i="77" s="1"/>
  <c r="U67" i="38"/>
  <c r="X21" i="77" s="1"/>
  <c r="I41" i="23"/>
  <c r="R41" i="23"/>
  <c r="U41" i="23"/>
  <c r="T41" i="23"/>
  <c r="P41" i="23"/>
  <c r="P148" i="29"/>
  <c r="W148" i="29"/>
  <c r="U148" i="29"/>
  <c r="V148" i="29"/>
  <c r="O148" i="29"/>
  <c r="T148" i="29"/>
  <c r="AB19" i="29"/>
  <c r="Z19" i="29"/>
  <c r="M19" i="29"/>
  <c r="AA19" i="29"/>
  <c r="Q19" i="29"/>
  <c r="O19" i="29"/>
  <c r="R19" i="29"/>
  <c r="T33" i="38"/>
  <c r="W32" i="46" s="1"/>
  <c r="R33" i="38"/>
  <c r="U32" i="46" s="1"/>
  <c r="L33" i="38"/>
  <c r="O32" i="46" s="1"/>
  <c r="S33" i="38"/>
  <c r="V32" i="46" s="1"/>
  <c r="Q33" i="38"/>
  <c r="T32" i="46" s="1"/>
  <c r="U33" i="38"/>
  <c r="X32" i="46" s="1"/>
  <c r="O10" i="38"/>
  <c r="R17" i="46" s="1"/>
  <c r="U10" i="38"/>
  <c r="X17" i="46" s="1"/>
  <c r="L10" i="38"/>
  <c r="O17" i="46" s="1"/>
  <c r="S10" i="38"/>
  <c r="V17" i="46" s="1"/>
  <c r="S58" i="46"/>
  <c r="Q76" i="38"/>
  <c r="T76" i="38"/>
  <c r="U76" i="38"/>
  <c r="O76" i="38"/>
  <c r="I76" i="38"/>
  <c r="Q12" i="38"/>
  <c r="T13" i="77" s="1"/>
  <c r="M12" i="38"/>
  <c r="P13" i="77" s="1"/>
  <c r="R12" i="38"/>
  <c r="U13" i="77" s="1"/>
  <c r="T12" i="38"/>
  <c r="W13" i="77" s="1"/>
  <c r="I12" i="38"/>
  <c r="R69" i="38"/>
  <c r="U22" i="77" s="1"/>
  <c r="R76" i="38"/>
  <c r="R45" i="38"/>
  <c r="U15" i="77" s="1"/>
  <c r="R66" i="38"/>
  <c r="U20" i="77" s="1"/>
  <c r="R52" i="38"/>
  <c r="U42" i="46" s="1"/>
  <c r="R26" i="38"/>
  <c r="U25" i="46" s="1"/>
  <c r="R9" i="38"/>
  <c r="U16" i="46" s="1"/>
  <c r="R29" i="38"/>
  <c r="U28" i="46" s="1"/>
  <c r="R64" i="38"/>
  <c r="R59" i="38"/>
  <c r="U47" i="46" s="1"/>
  <c r="R10" i="38"/>
  <c r="U17" i="46" s="1"/>
  <c r="R60" i="38"/>
  <c r="U48" i="46" s="1"/>
  <c r="R23" i="38"/>
  <c r="U23" i="46" s="1"/>
  <c r="R13" i="38"/>
  <c r="U18" i="46" s="1"/>
  <c r="R6" i="38"/>
  <c r="U15" i="46" s="1"/>
  <c r="R5" i="38"/>
  <c r="U14" i="46" s="1"/>
  <c r="R42" i="38"/>
  <c r="R37" i="38"/>
  <c r="U35" i="46" s="1"/>
  <c r="O7" i="22"/>
  <c r="Q13" i="75" s="1"/>
  <c r="O67" i="22"/>
  <c r="R20" i="81" s="1"/>
  <c r="O26" i="22"/>
  <c r="R24" i="30" s="1"/>
  <c r="O49" i="22"/>
  <c r="R17" i="81" s="1"/>
  <c r="O65" i="22"/>
  <c r="O50" i="22"/>
  <c r="R39" i="30" s="1"/>
  <c r="O17" i="22"/>
  <c r="R20" i="30" s="1"/>
  <c r="O38" i="22"/>
  <c r="R34" i="30" s="1"/>
  <c r="O53" i="22"/>
  <c r="R41" i="30" s="1"/>
  <c r="O69" i="22"/>
  <c r="U26" i="29"/>
  <c r="L14" i="38"/>
  <c r="O19" i="46" s="1"/>
  <c r="Q33" i="23"/>
  <c r="L55" i="22"/>
  <c r="O33" i="23"/>
  <c r="O14" i="22"/>
  <c r="R18" i="30" s="1"/>
  <c r="M35" i="22"/>
  <c r="P32" i="30" s="1"/>
  <c r="K35" i="22"/>
  <c r="N32" i="30" s="1"/>
  <c r="T35" i="22"/>
  <c r="W32" i="30" s="1"/>
  <c r="U35" i="22"/>
  <c r="X32" i="30" s="1"/>
  <c r="S35" i="22"/>
  <c r="V32" i="30" s="1"/>
  <c r="I40" i="23"/>
  <c r="P40" i="23"/>
  <c r="R40" i="23"/>
  <c r="U40" i="23"/>
  <c r="S40" i="23"/>
  <c r="N40" i="23"/>
  <c r="Q40" i="23"/>
  <c r="L40" i="23"/>
  <c r="M40" i="23"/>
  <c r="Q31" i="24"/>
  <c r="P31" i="24"/>
  <c r="L31" i="24"/>
  <c r="K31" i="24"/>
  <c r="T31" i="24"/>
  <c r="O31" i="24"/>
  <c r="N21" i="24"/>
  <c r="P21" i="24"/>
  <c r="R21" i="24"/>
  <c r="T21" i="24"/>
  <c r="K21" i="24"/>
  <c r="O21" i="24"/>
  <c r="S21" i="24"/>
  <c r="P11" i="23"/>
  <c r="R70" i="75" s="1"/>
  <c r="AB97" i="29"/>
  <c r="AB115" i="29"/>
  <c r="V46" i="29"/>
  <c r="V22" i="29"/>
  <c r="AB104" i="29"/>
  <c r="U168" i="29"/>
  <c r="T168" i="29"/>
  <c r="U156" i="29"/>
  <c r="U16" i="29"/>
  <c r="N30" i="38"/>
  <c r="U97" i="29"/>
  <c r="T182" i="29"/>
  <c r="S23" i="29"/>
  <c r="X35" i="29"/>
  <c r="V52" i="29"/>
  <c r="Y44" i="29"/>
  <c r="R34" i="29"/>
  <c r="O51" i="29"/>
  <c r="W39" i="29"/>
  <c r="W34" i="29"/>
  <c r="U15" i="29"/>
  <c r="O10" i="23"/>
  <c r="R78" i="30" s="1"/>
  <c r="S49" i="23"/>
  <c r="O25" i="23"/>
  <c r="K33" i="23"/>
  <c r="U41" i="38"/>
  <c r="N29" i="38"/>
  <c r="Q28" i="46" s="1"/>
  <c r="P10" i="38"/>
  <c r="S17" i="46" s="1"/>
  <c r="L61" i="22"/>
  <c r="O47" i="30" s="1"/>
  <c r="P34" i="22"/>
  <c r="S31" i="30" s="1"/>
  <c r="K30" i="23"/>
  <c r="K40" i="23"/>
  <c r="N13" i="23"/>
  <c r="Z16" i="29"/>
  <c r="P57" i="30"/>
  <c r="T54" i="22"/>
  <c r="M14" i="38"/>
  <c r="P19" i="46" s="1"/>
  <c r="P32" i="22"/>
  <c r="S29" i="30" s="1"/>
  <c r="R73" i="38"/>
  <c r="U51" i="46" s="1"/>
  <c r="O37" i="38"/>
  <c r="R35" i="46" s="1"/>
  <c r="R29" i="50"/>
  <c r="P22" i="50"/>
  <c r="T21" i="38"/>
  <c r="W22" i="46" s="1"/>
  <c r="P49" i="24"/>
  <c r="L20" i="38"/>
  <c r="T70" i="38"/>
  <c r="T10" i="22"/>
  <c r="W16" i="30" s="1"/>
  <c r="I31" i="24"/>
  <c r="J22" i="15"/>
  <c r="J56" i="15"/>
  <c r="M169" i="29" s="1"/>
  <c r="J60" i="15"/>
  <c r="J46" i="15"/>
  <c r="M164" i="29" s="1"/>
  <c r="J73" i="15"/>
  <c r="M176" i="29" s="1"/>
  <c r="J25" i="15"/>
  <c r="I40" i="15"/>
  <c r="I6" i="15"/>
  <c r="T30" i="38"/>
  <c r="L52" i="24"/>
  <c r="U58" i="23"/>
  <c r="M21" i="29"/>
  <c r="J45" i="15"/>
  <c r="M125" i="76" s="1"/>
  <c r="I62" i="23"/>
  <c r="P62" i="23"/>
  <c r="I75" i="23"/>
  <c r="M75" i="23"/>
  <c r="L75" i="23"/>
  <c r="U75" i="23"/>
  <c r="T75" i="23"/>
  <c r="P48" i="50"/>
  <c r="X48" i="50"/>
  <c r="R42" i="50"/>
  <c r="R52" i="50"/>
  <c r="M25" i="29"/>
  <c r="M46" i="29"/>
  <c r="M13" i="29"/>
  <c r="M54" i="29"/>
  <c r="Q64" i="23"/>
  <c r="S64" i="23"/>
  <c r="N64" i="23"/>
  <c r="U64" i="23"/>
  <c r="O70" i="22"/>
  <c r="R22" i="81" s="1"/>
  <c r="S70" i="22"/>
  <c r="V22" i="81" s="1"/>
  <c r="U70" i="22"/>
  <c r="X22" i="81" s="1"/>
  <c r="L19" i="22"/>
  <c r="O14" i="81" s="1"/>
  <c r="R19" i="22"/>
  <c r="U14" i="81" s="1"/>
  <c r="O62" i="22"/>
  <c r="R48" i="30" s="1"/>
  <c r="U71" i="22"/>
  <c r="R71" i="22"/>
  <c r="M60" i="24"/>
  <c r="I68" i="24"/>
  <c r="M55" i="50"/>
  <c r="Z55" i="50" s="1"/>
  <c r="W55" i="50"/>
  <c r="R55" i="50"/>
  <c r="L65" i="22"/>
  <c r="S65" i="22"/>
  <c r="N65" i="22"/>
  <c r="K65" i="22"/>
  <c r="I37" i="23"/>
  <c r="I18" i="23"/>
  <c r="V53" i="61"/>
  <c r="J64" i="15"/>
  <c r="K46" i="15"/>
  <c r="N164" i="29" s="1"/>
  <c r="J34" i="15"/>
  <c r="I29" i="15"/>
  <c r="J13" i="15"/>
  <c r="M41" i="24"/>
  <c r="R33" i="24"/>
  <c r="N13" i="24"/>
  <c r="Q148" i="29"/>
  <c r="I46" i="38"/>
  <c r="L39" i="46" s="1"/>
  <c r="L42" i="38"/>
  <c r="X18" i="50"/>
  <c r="L92" i="29"/>
  <c r="I5" i="15"/>
  <c r="I43" i="15"/>
  <c r="L163" i="29" s="1"/>
  <c r="I17" i="15"/>
  <c r="J9" i="15"/>
  <c r="L17" i="24"/>
  <c r="S43" i="29"/>
  <c r="Y18" i="29"/>
  <c r="S22" i="29"/>
  <c r="R26" i="29"/>
  <c r="U47" i="29"/>
  <c r="P55" i="29"/>
  <c r="AA30" i="29"/>
  <c r="Q39" i="38"/>
  <c r="T37" i="46" s="1"/>
  <c r="P31" i="38"/>
  <c r="S29" i="46" s="1"/>
  <c r="R28" i="38"/>
  <c r="U27" i="46" s="1"/>
  <c r="R18" i="38"/>
  <c r="L15" i="38"/>
  <c r="O20" i="46" s="1"/>
  <c r="L49" i="38"/>
  <c r="O40" i="46" s="1"/>
  <c r="I50" i="15"/>
  <c r="L166" i="29" s="1"/>
  <c r="I55" i="15"/>
  <c r="L168" i="29" s="1"/>
  <c r="I59" i="15"/>
  <c r="I72" i="15"/>
  <c r="I77" i="15"/>
  <c r="S54" i="38"/>
  <c r="R62" i="38"/>
  <c r="R56" i="22"/>
  <c r="U42" i="30" s="1"/>
  <c r="K60" i="22"/>
  <c r="N46" i="30" s="1"/>
  <c r="N66" i="22"/>
  <c r="Q49" i="30" s="1"/>
  <c r="O78" i="22"/>
  <c r="R53" i="30" s="1"/>
  <c r="Q74" i="23"/>
  <c r="S54" i="24"/>
  <c r="M58" i="24"/>
  <c r="U62" i="24"/>
  <c r="K71" i="24"/>
  <c r="U75" i="24"/>
  <c r="P13" i="50"/>
  <c r="Q34" i="50"/>
  <c r="P25" i="50"/>
  <c r="O17" i="50"/>
  <c r="S53" i="61"/>
  <c r="W43" i="61"/>
  <c r="R36" i="61"/>
  <c r="O28" i="61"/>
  <c r="N64" i="24"/>
  <c r="S64" i="24"/>
  <c r="K64" i="24"/>
  <c r="U150" i="29"/>
  <c r="M36" i="29"/>
  <c r="O41" i="29"/>
  <c r="Q41" i="38"/>
  <c r="L21" i="38"/>
  <c r="O22" i="46" s="1"/>
  <c r="I73" i="15"/>
  <c r="L176" i="29" s="1"/>
  <c r="P59" i="24"/>
  <c r="I77" i="24"/>
  <c r="S56" i="30"/>
  <c r="I64" i="24"/>
  <c r="O64" i="24"/>
  <c r="U64" i="24"/>
  <c r="P64" i="24"/>
  <c r="J47" i="15"/>
  <c r="M126" i="76" s="1"/>
  <c r="R48" i="38"/>
  <c r="U17" i="77" s="1"/>
  <c r="U64" i="38"/>
  <c r="Q64" i="38"/>
  <c r="T66" i="38"/>
  <c r="W20" i="77" s="1"/>
  <c r="T45" i="38"/>
  <c r="W15" i="77" s="1"/>
  <c r="U49" i="22"/>
  <c r="X17" i="81" s="1"/>
  <c r="U67" i="22"/>
  <c r="X20" i="81" s="1"/>
  <c r="Q11" i="23"/>
  <c r="S70" i="75" s="1"/>
  <c r="Q67" i="23"/>
  <c r="T76" i="81" s="1"/>
  <c r="N7" i="23"/>
  <c r="P68" i="75" s="1"/>
  <c r="N19" i="23"/>
  <c r="Q69" i="81" s="1"/>
  <c r="J76" i="22"/>
  <c r="M52" i="30" s="1"/>
  <c r="U20" i="61"/>
  <c r="X54" i="30"/>
  <c r="W56" i="46"/>
  <c r="M16" i="61"/>
  <c r="K67" i="24"/>
  <c r="N131" i="81" s="1"/>
  <c r="S77" i="22"/>
  <c r="L52" i="22"/>
  <c r="O18" i="81" s="1"/>
  <c r="O12" i="22"/>
  <c r="R13" i="81" s="1"/>
  <c r="P12" i="22"/>
  <c r="S13" i="81" s="1"/>
  <c r="U12" i="22"/>
  <c r="X13" i="81" s="1"/>
  <c r="K78" i="15"/>
  <c r="M130" i="70" s="1"/>
  <c r="O24" i="22"/>
  <c r="P66" i="23"/>
  <c r="S75" i="81" s="1"/>
  <c r="U51" i="24"/>
  <c r="X128" i="81" s="1"/>
  <c r="T46" i="22"/>
  <c r="W15" i="81" s="1"/>
  <c r="O46" i="22"/>
  <c r="R15" i="81" s="1"/>
  <c r="P46" i="22"/>
  <c r="S15" i="81" s="1"/>
  <c r="S46" i="22"/>
  <c r="V15" i="81" s="1"/>
  <c r="K46" i="22"/>
  <c r="N15" i="81" s="1"/>
  <c r="Q46" i="22"/>
  <c r="T15" i="81" s="1"/>
  <c r="R47" i="38"/>
  <c r="U16" i="77" s="1"/>
  <c r="K12" i="24"/>
  <c r="N123" i="81" s="1"/>
  <c r="K68" i="22"/>
  <c r="N21" i="81" s="1"/>
  <c r="T11" i="23"/>
  <c r="V70" i="75" s="1"/>
  <c r="O48" i="23"/>
  <c r="R72" i="81" s="1"/>
  <c r="J48" i="15"/>
  <c r="M127" i="76" s="1"/>
  <c r="U22" i="23"/>
  <c r="R22" i="23"/>
  <c r="R69" i="24"/>
  <c r="U132" i="81" s="1"/>
  <c r="K22" i="15"/>
  <c r="T48" i="38"/>
  <c r="W17" i="77" s="1"/>
  <c r="L11" i="23"/>
  <c r="N70" i="75" s="1"/>
  <c r="M44" i="23"/>
  <c r="U44" i="23"/>
  <c r="U8" i="23"/>
  <c r="W69" i="75" s="1"/>
  <c r="Q8" i="23"/>
  <c r="S69" i="75" s="1"/>
  <c r="R8" i="23"/>
  <c r="T69" i="75" s="1"/>
  <c r="O36" i="22"/>
  <c r="R33" i="30" s="1"/>
  <c r="R36" i="22"/>
  <c r="U33" i="30" s="1"/>
  <c r="N36" i="22"/>
  <c r="Q33" i="30" s="1"/>
  <c r="P44" i="22"/>
  <c r="S37" i="30" s="1"/>
  <c r="N44" i="22"/>
  <c r="Q37" i="30" s="1"/>
  <c r="K21" i="22"/>
  <c r="N21" i="30" s="1"/>
  <c r="Q21" i="22"/>
  <c r="T21" i="30" s="1"/>
  <c r="M39" i="23"/>
  <c r="K39" i="23"/>
  <c r="O39" i="23"/>
  <c r="N39" i="23"/>
  <c r="S39" i="23"/>
  <c r="U39" i="23"/>
  <c r="L31" i="23"/>
  <c r="T31" i="23"/>
  <c r="N31" i="23"/>
  <c r="Q31" i="23"/>
  <c r="L21" i="23"/>
  <c r="O83" i="30" s="1"/>
  <c r="S21" i="23"/>
  <c r="V83" i="30" s="1"/>
  <c r="Q21" i="23"/>
  <c r="T83" i="30" s="1"/>
  <c r="T21" i="23"/>
  <c r="W83" i="30" s="1"/>
  <c r="I9" i="23"/>
  <c r="N9" i="23"/>
  <c r="L9" i="23"/>
  <c r="P30" i="24"/>
  <c r="T30" i="24"/>
  <c r="R20" i="24"/>
  <c r="P20" i="24"/>
  <c r="R28" i="22"/>
  <c r="U26" i="30" s="1"/>
  <c r="M28" i="22"/>
  <c r="P26" i="30" s="1"/>
  <c r="L28" i="22"/>
  <c r="O26" i="30" s="1"/>
  <c r="P37" i="22"/>
  <c r="K37" i="22"/>
  <c r="J47" i="22"/>
  <c r="M38" i="30" s="1"/>
  <c r="U47" i="22"/>
  <c r="X38" i="30" s="1"/>
  <c r="S47" i="22"/>
  <c r="V38" i="30" s="1"/>
  <c r="N47" i="22"/>
  <c r="Q38" i="30" s="1"/>
  <c r="T39" i="22"/>
  <c r="W35" i="30" s="1"/>
  <c r="O39" i="22"/>
  <c r="R35" i="30" s="1"/>
  <c r="R39" i="22"/>
  <c r="U35" i="30" s="1"/>
  <c r="M39" i="22"/>
  <c r="P35" i="30" s="1"/>
  <c r="U39" i="22"/>
  <c r="X35" i="30" s="1"/>
  <c r="N39" i="22"/>
  <c r="Q35" i="30" s="1"/>
  <c r="L39" i="22"/>
  <c r="O35" i="30" s="1"/>
  <c r="K39" i="22"/>
  <c r="N35" i="30" s="1"/>
  <c r="O30" i="22"/>
  <c r="J30" i="22"/>
  <c r="Q30" i="22"/>
  <c r="K30" i="22"/>
  <c r="T20" i="22"/>
  <c r="Q20" i="22"/>
  <c r="O20" i="22"/>
  <c r="S20" i="22"/>
  <c r="N20" i="22"/>
  <c r="R20" i="22"/>
  <c r="J6" i="22"/>
  <c r="M14" i="30" s="1"/>
  <c r="O6" i="22"/>
  <c r="R14" i="30" s="1"/>
  <c r="T6" i="22"/>
  <c r="W14" i="30" s="1"/>
  <c r="U6" i="22"/>
  <c r="X14" i="30" s="1"/>
  <c r="S6" i="22"/>
  <c r="V14" i="30" s="1"/>
  <c r="Q6" i="22"/>
  <c r="T14" i="30" s="1"/>
  <c r="M6" i="22"/>
  <c r="P14" i="30" s="1"/>
  <c r="Q38" i="23"/>
  <c r="I38" i="23"/>
  <c r="I20" i="23"/>
  <c r="S20" i="23"/>
  <c r="M20" i="23"/>
  <c r="K20" i="23"/>
  <c r="I6" i="23"/>
  <c r="M6" i="23"/>
  <c r="T6" i="23"/>
  <c r="P6" i="23"/>
  <c r="L6" i="23"/>
  <c r="N42" i="24"/>
  <c r="U42" i="24"/>
  <c r="L38" i="24"/>
  <c r="P38" i="24"/>
  <c r="T38" i="24"/>
  <c r="Q34" i="24"/>
  <c r="P34" i="24"/>
  <c r="J30" i="24"/>
  <c r="U30" i="24"/>
  <c r="K26" i="24"/>
  <c r="N149" i="30" s="1"/>
  <c r="M26" i="24"/>
  <c r="P149" i="30" s="1"/>
  <c r="T20" i="24"/>
  <c r="O14" i="24"/>
  <c r="R14" i="24"/>
  <c r="T14" i="24"/>
  <c r="I6" i="24"/>
  <c r="T6" i="24"/>
  <c r="L6" i="24"/>
  <c r="O6" i="24"/>
  <c r="N31" i="46"/>
  <c r="T31" i="46"/>
  <c r="Q31" i="46"/>
  <c r="M31" i="46"/>
  <c r="R166" i="29"/>
  <c r="Y169" i="29"/>
  <c r="R20" i="61"/>
  <c r="W28" i="61"/>
  <c r="T36" i="61"/>
  <c r="O51" i="61"/>
  <c r="S13" i="61"/>
  <c r="P50" i="50"/>
  <c r="N34" i="50"/>
  <c r="S19" i="61"/>
  <c r="W26" i="29"/>
  <c r="O22" i="29"/>
  <c r="O18" i="29"/>
  <c r="O14" i="29"/>
  <c r="S20" i="29"/>
  <c r="S24" i="29"/>
  <c r="AA21" i="29"/>
  <c r="M62" i="24"/>
  <c r="AA18" i="29"/>
  <c r="S58" i="24"/>
  <c r="Q30" i="23"/>
  <c r="U71" i="38"/>
  <c r="Q15" i="38"/>
  <c r="T20" i="46" s="1"/>
  <c r="N62" i="38"/>
  <c r="L20" i="22"/>
  <c r="S28" i="38"/>
  <c r="V27" i="46" s="1"/>
  <c r="P6" i="22"/>
  <c r="S14" i="30" s="1"/>
  <c r="O58" i="24"/>
  <c r="R30" i="24"/>
  <c r="N6" i="23"/>
  <c r="X25" i="50"/>
  <c r="S18" i="29"/>
  <c r="M18" i="38"/>
  <c r="O62" i="38"/>
  <c r="T33" i="50"/>
  <c r="T31" i="50"/>
  <c r="Y47" i="29"/>
  <c r="W31" i="46"/>
  <c r="N30" i="22"/>
  <c r="L71" i="38"/>
  <c r="R13" i="50"/>
  <c r="I54" i="24"/>
  <c r="M34" i="50"/>
  <c r="Z34" i="50" s="1"/>
  <c r="I23" i="15"/>
  <c r="L148" i="29" s="1"/>
  <c r="K23" i="15"/>
  <c r="N148" i="29" s="1"/>
  <c r="S50" i="29"/>
  <c r="S39" i="29"/>
  <c r="S57" i="29"/>
  <c r="Y40" i="29"/>
  <c r="Z40" i="29"/>
  <c r="X40" i="29"/>
  <c r="V40" i="29"/>
  <c r="M40" i="29"/>
  <c r="AA13" i="29"/>
  <c r="AA25" i="29"/>
  <c r="T31" i="38"/>
  <c r="W29" i="46" s="1"/>
  <c r="L31" i="38"/>
  <c r="O29" i="46" s="1"/>
  <c r="U31" i="38"/>
  <c r="X29" i="46" s="1"/>
  <c r="O31" i="38"/>
  <c r="R29" i="46" s="1"/>
  <c r="R51" i="22"/>
  <c r="U40" i="30" s="1"/>
  <c r="T51" i="22"/>
  <c r="W40" i="30" s="1"/>
  <c r="Q53" i="23"/>
  <c r="M53" i="23"/>
  <c r="M61" i="23"/>
  <c r="O61" i="23"/>
  <c r="K61" i="23"/>
  <c r="L42" i="50"/>
  <c r="W42" i="50"/>
  <c r="U42" i="50"/>
  <c r="Q42" i="50"/>
  <c r="S42" i="50"/>
  <c r="S17" i="50"/>
  <c r="X17" i="50"/>
  <c r="U17" i="50"/>
  <c r="W17" i="50"/>
  <c r="L17" i="50"/>
  <c r="R17" i="50"/>
  <c r="M17" i="50"/>
  <c r="Z17" i="50" s="1"/>
  <c r="T17" i="50"/>
  <c r="M51" i="61"/>
  <c r="N51" i="61"/>
  <c r="R51" i="61"/>
  <c r="M28" i="61"/>
  <c r="S28" i="61"/>
  <c r="L28" i="61"/>
  <c r="N28" i="61"/>
  <c r="P28" i="61"/>
  <c r="T28" i="61"/>
  <c r="R28" i="61"/>
  <c r="M56" i="46"/>
  <c r="Q56" i="46"/>
  <c r="T56" i="46"/>
  <c r="P56" i="46"/>
  <c r="K16" i="23"/>
  <c r="M71" i="75" s="1"/>
  <c r="O16" i="23"/>
  <c r="Q71" i="75" s="1"/>
  <c r="P169" i="29"/>
  <c r="R115" i="29"/>
  <c r="R182" i="29"/>
  <c r="T43" i="61"/>
  <c r="U51" i="61"/>
  <c r="N13" i="50"/>
  <c r="N50" i="50"/>
  <c r="T18" i="50"/>
  <c r="S34" i="50"/>
  <c r="V31" i="46"/>
  <c r="S32" i="29"/>
  <c r="O56" i="46"/>
  <c r="T55" i="29"/>
  <c r="AA31" i="29"/>
  <c r="Z26" i="29"/>
  <c r="T26" i="29"/>
  <c r="V14" i="29"/>
  <c r="P14" i="29"/>
  <c r="S27" i="29"/>
  <c r="AA43" i="29"/>
  <c r="S38" i="23"/>
  <c r="S74" i="23"/>
  <c r="AA57" i="29"/>
  <c r="AA16" i="29"/>
  <c r="U20" i="24"/>
  <c r="O6" i="23"/>
  <c r="T38" i="23"/>
  <c r="R61" i="23"/>
  <c r="U49" i="38"/>
  <c r="X40" i="46" s="1"/>
  <c r="K15" i="38"/>
  <c r="N20" i="46" s="1"/>
  <c r="K18" i="38"/>
  <c r="P62" i="38"/>
  <c r="L51" i="22"/>
  <c r="O40" i="30" s="1"/>
  <c r="S18" i="38"/>
  <c r="S71" i="38"/>
  <c r="P78" i="22"/>
  <c r="S53" i="30" s="1"/>
  <c r="O71" i="24"/>
  <c r="P6" i="24"/>
  <c r="L26" i="24"/>
  <c r="O149" i="30" s="1"/>
  <c r="S34" i="24"/>
  <c r="L42" i="24"/>
  <c r="R43" i="61"/>
  <c r="S48" i="29"/>
  <c r="O47" i="29"/>
  <c r="S71" i="24"/>
  <c r="R71" i="38"/>
  <c r="M71" i="38"/>
  <c r="L38" i="23"/>
  <c r="Q28" i="22"/>
  <c r="T26" i="30" s="1"/>
  <c r="O53" i="23"/>
  <c r="N51" i="22"/>
  <c r="Q40" i="30" s="1"/>
  <c r="X22" i="29"/>
  <c r="Z22" i="29"/>
  <c r="T22" i="29"/>
  <c r="T39" i="38"/>
  <c r="W37" i="46" s="1"/>
  <c r="O39" i="38"/>
  <c r="R37" i="46" s="1"/>
  <c r="T57" i="38"/>
  <c r="W45" i="46" s="1"/>
  <c r="O57" i="38"/>
  <c r="R45" i="46" s="1"/>
  <c r="J77" i="38"/>
  <c r="M54" i="46" s="1"/>
  <c r="M77" i="38"/>
  <c r="P54" i="46" s="1"/>
  <c r="L77" i="38"/>
  <c r="O54" i="46" s="1"/>
  <c r="R77" i="38"/>
  <c r="U54" i="46" s="1"/>
  <c r="K73" i="22"/>
  <c r="M73" i="22"/>
  <c r="Q73" i="22"/>
  <c r="U57" i="23"/>
  <c r="O57" i="23"/>
  <c r="P57" i="23"/>
  <c r="N58" i="24"/>
  <c r="P58" i="24"/>
  <c r="R75" i="24"/>
  <c r="N75" i="24"/>
  <c r="O75" i="24"/>
  <c r="M25" i="50"/>
  <c r="Z25" i="50" s="1"/>
  <c r="V25" i="50"/>
  <c r="R25" i="50"/>
  <c r="L25" i="50"/>
  <c r="T28" i="50"/>
  <c r="T20" i="50"/>
  <c r="T46" i="50"/>
  <c r="T39" i="50"/>
  <c r="T16" i="50"/>
  <c r="T52" i="50"/>
  <c r="T41" i="50"/>
  <c r="T56" i="50"/>
  <c r="T30" i="50"/>
  <c r="T24" i="50"/>
  <c r="T21" i="50"/>
  <c r="T44" i="50"/>
  <c r="T22" i="50"/>
  <c r="T36" i="50"/>
  <c r="T49" i="50"/>
  <c r="T53" i="50"/>
  <c r="T14" i="50"/>
  <c r="T27" i="50"/>
  <c r="S17" i="61"/>
  <c r="S31" i="61"/>
  <c r="S41" i="61"/>
  <c r="S46" i="61"/>
  <c r="S55" i="61"/>
  <c r="S27" i="61"/>
  <c r="S48" i="61"/>
  <c r="S25" i="61"/>
  <c r="S45" i="61"/>
  <c r="S29" i="61"/>
  <c r="S40" i="61"/>
  <c r="S24" i="61"/>
  <c r="S16" i="61"/>
  <c r="S21" i="61"/>
  <c r="S30" i="61"/>
  <c r="S39" i="61"/>
  <c r="S52" i="61"/>
  <c r="S32" i="61"/>
  <c r="S22" i="61"/>
  <c r="S15" i="61"/>
  <c r="S23" i="61"/>
  <c r="S56" i="61"/>
  <c r="M36" i="61"/>
  <c r="U36" i="61"/>
  <c r="N36" i="61"/>
  <c r="M20" i="61"/>
  <c r="L20" i="61"/>
  <c r="X20" i="61"/>
  <c r="O20" i="61"/>
  <c r="Q20" i="61"/>
  <c r="J67" i="22"/>
  <c r="M20" i="81" s="1"/>
  <c r="J41" i="22"/>
  <c r="J72" i="22"/>
  <c r="J32" i="22"/>
  <c r="M29" i="30" s="1"/>
  <c r="J63" i="22"/>
  <c r="J50" i="22"/>
  <c r="M39" i="30" s="1"/>
  <c r="J53" i="22"/>
  <c r="M41" i="30" s="1"/>
  <c r="J33" i="22"/>
  <c r="M30" i="30" s="1"/>
  <c r="J55" i="22"/>
  <c r="J37" i="22"/>
  <c r="R156" i="29"/>
  <c r="R169" i="29"/>
  <c r="U28" i="61"/>
  <c r="Q36" i="61"/>
  <c r="W25" i="50"/>
  <c r="S53" i="29"/>
  <c r="AA45" i="29"/>
  <c r="T15" i="50"/>
  <c r="S54" i="29"/>
  <c r="AB26" i="29"/>
  <c r="P26" i="29"/>
  <c r="Q18" i="29"/>
  <c r="Q14" i="29"/>
  <c r="S49" i="29"/>
  <c r="T47" i="29"/>
  <c r="O25" i="50"/>
  <c r="S40" i="29"/>
  <c r="S56" i="29"/>
  <c r="R150" i="29"/>
  <c r="S34" i="29"/>
  <c r="AA34" i="29"/>
  <c r="M75" i="24"/>
  <c r="W47" i="29"/>
  <c r="V55" i="30"/>
  <c r="K20" i="24"/>
  <c r="U38" i="23"/>
  <c r="P71" i="38"/>
  <c r="S31" i="38"/>
  <c r="V29" i="46" s="1"/>
  <c r="S77" i="38"/>
  <c r="V54" i="46" s="1"/>
  <c r="P20" i="22"/>
  <c r="R6" i="24"/>
  <c r="K14" i="24"/>
  <c r="R26" i="24"/>
  <c r="U149" i="30" s="1"/>
  <c r="K34" i="24"/>
  <c r="Q42" i="24"/>
  <c r="K53" i="23"/>
  <c r="W51" i="61"/>
  <c r="Z47" i="29"/>
  <c r="R20" i="23"/>
  <c r="S39" i="22"/>
  <c r="V35" i="30" s="1"/>
  <c r="N77" i="38"/>
  <c r="Q54" i="46" s="1"/>
  <c r="S30" i="29"/>
  <c r="U78" i="22"/>
  <c r="X53" i="30" s="1"/>
  <c r="U77" i="38"/>
  <c r="X54" i="46" s="1"/>
  <c r="S13" i="29"/>
  <c r="J59" i="22"/>
  <c r="M45" i="30" s="1"/>
  <c r="R55" i="29"/>
  <c r="AB55" i="29"/>
  <c r="Q55" i="29"/>
  <c r="T49" i="38"/>
  <c r="W40" i="46" s="1"/>
  <c r="Q49" i="38"/>
  <c r="T40" i="46" s="1"/>
  <c r="O49" i="38"/>
  <c r="R40" i="46" s="1"/>
  <c r="L34" i="50"/>
  <c r="X34" i="50"/>
  <c r="T34" i="50"/>
  <c r="U43" i="61"/>
  <c r="Q43" i="61"/>
  <c r="X43" i="61"/>
  <c r="P43" i="61"/>
  <c r="N43" i="61"/>
  <c r="L54" i="30"/>
  <c r="U54" i="30"/>
  <c r="Q54" i="30"/>
  <c r="O54" i="30"/>
  <c r="P54" i="30"/>
  <c r="M19" i="61"/>
  <c r="M39" i="61"/>
  <c r="M41" i="61"/>
  <c r="M31" i="61"/>
  <c r="M35" i="61"/>
  <c r="M52" i="61"/>
  <c r="M24" i="61"/>
  <c r="M13" i="61"/>
  <c r="M50" i="61"/>
  <c r="M42" i="61"/>
  <c r="M27" i="61"/>
  <c r="O79" i="22"/>
  <c r="Q20" i="75" s="1"/>
  <c r="S79" i="22"/>
  <c r="U20" i="75" s="1"/>
  <c r="L79" i="22"/>
  <c r="N20" i="75" s="1"/>
  <c r="K16" i="22"/>
  <c r="M16" i="75" s="1"/>
  <c r="S16" i="22"/>
  <c r="U16" i="75" s="1"/>
  <c r="O16" i="22"/>
  <c r="Q16" i="75" s="1"/>
  <c r="L16" i="22"/>
  <c r="N16" i="75" s="1"/>
  <c r="M44" i="24"/>
  <c r="N20" i="61"/>
  <c r="Q28" i="61"/>
  <c r="V36" i="61"/>
  <c r="V43" i="61"/>
  <c r="N42" i="50"/>
  <c r="Q25" i="50"/>
  <c r="U34" i="50"/>
  <c r="U40" i="29"/>
  <c r="T26" i="50"/>
  <c r="S35" i="61"/>
  <c r="U22" i="29"/>
  <c r="N26" i="29"/>
  <c r="N22" i="29"/>
  <c r="T14" i="29"/>
  <c r="S36" i="29"/>
  <c r="O42" i="50"/>
  <c r="U14" i="29"/>
  <c r="S56" i="46"/>
  <c r="AA29" i="29"/>
  <c r="S29" i="29"/>
  <c r="S25" i="29"/>
  <c r="K75" i="24"/>
  <c r="T75" i="24"/>
  <c r="S70" i="23"/>
  <c r="AA48" i="29"/>
  <c r="AA49" i="29"/>
  <c r="V56" i="30"/>
  <c r="S20" i="24"/>
  <c r="Q6" i="23"/>
  <c r="P30" i="23"/>
  <c r="R38" i="23"/>
  <c r="U18" i="38"/>
  <c r="U66" i="22"/>
  <c r="X49" i="30" s="1"/>
  <c r="N49" i="38"/>
  <c r="Q40" i="46" s="1"/>
  <c r="N25" i="50"/>
  <c r="K71" i="38"/>
  <c r="P28" i="38"/>
  <c r="S27" i="46" s="1"/>
  <c r="P36" i="38"/>
  <c r="P49" i="38"/>
  <c r="S40" i="46" s="1"/>
  <c r="L6" i="22"/>
  <c r="O14" i="30" s="1"/>
  <c r="S15" i="38"/>
  <c r="V20" i="46" s="1"/>
  <c r="Q6" i="24"/>
  <c r="S14" i="24"/>
  <c r="N26" i="24"/>
  <c r="Q149" i="30" s="1"/>
  <c r="L34" i="24"/>
  <c r="N38" i="23"/>
  <c r="N70" i="23"/>
  <c r="S21" i="29"/>
  <c r="S49" i="61"/>
  <c r="AA42" i="29"/>
  <c r="Q40" i="29"/>
  <c r="Q20" i="23"/>
  <c r="Q61" i="23"/>
  <c r="K56" i="22"/>
  <c r="N42" i="30" s="1"/>
  <c r="T77" i="38"/>
  <c r="W54" i="46" s="1"/>
  <c r="U20" i="22"/>
  <c r="O55" i="29"/>
  <c r="M42" i="50"/>
  <c r="Z42" i="50" s="1"/>
  <c r="M76" i="23"/>
  <c r="U76" i="23"/>
  <c r="N76" i="23"/>
  <c r="L47" i="22"/>
  <c r="O38" i="30" s="1"/>
  <c r="P28" i="22"/>
  <c r="S26" i="30" s="1"/>
  <c r="J17" i="22"/>
  <c r="M20" i="30" s="1"/>
  <c r="J29" i="15"/>
  <c r="K43" i="15"/>
  <c r="N163" i="29" s="1"/>
  <c r="J43" i="15"/>
  <c r="M163" i="29" s="1"/>
  <c r="K38" i="15"/>
  <c r="J38" i="15"/>
  <c r="I38" i="15"/>
  <c r="I33" i="15"/>
  <c r="J33" i="15"/>
  <c r="K33" i="15"/>
  <c r="I28" i="15"/>
  <c r="J23" i="15"/>
  <c r="M148" i="29" s="1"/>
  <c r="J17" i="15"/>
  <c r="I9" i="15"/>
  <c r="K9" i="15"/>
  <c r="AB32" i="29"/>
  <c r="AB56" i="29"/>
  <c r="T28" i="38"/>
  <c r="W27" i="46" s="1"/>
  <c r="P25" i="38"/>
  <c r="S24" i="46" s="1"/>
  <c r="T25" i="38"/>
  <c r="W24" i="46" s="1"/>
  <c r="O18" i="38"/>
  <c r="L52" i="38"/>
  <c r="O42" i="46" s="1"/>
  <c r="N52" i="38"/>
  <c r="Q42" i="46" s="1"/>
  <c r="T60" i="38"/>
  <c r="W48" i="46" s="1"/>
  <c r="U60" i="38"/>
  <c r="X48" i="46" s="1"/>
  <c r="L60" i="38"/>
  <c r="O48" i="46" s="1"/>
  <c r="R68" i="38"/>
  <c r="I68" i="38"/>
  <c r="J57" i="22"/>
  <c r="M43" i="30" s="1"/>
  <c r="O57" i="22"/>
  <c r="R43" i="30" s="1"/>
  <c r="N61" i="22"/>
  <c r="Q47" i="30" s="1"/>
  <c r="U61" i="22"/>
  <c r="X47" i="30" s="1"/>
  <c r="O61" i="22"/>
  <c r="R47" i="30" s="1"/>
  <c r="I69" i="22"/>
  <c r="Q69" i="22"/>
  <c r="O74" i="22"/>
  <c r="R50" i="30" s="1"/>
  <c r="K74" i="22"/>
  <c r="N50" i="30" s="1"/>
  <c r="S74" i="22"/>
  <c r="V50" i="30" s="1"/>
  <c r="N74" i="22"/>
  <c r="Q50" i="30" s="1"/>
  <c r="M55" i="24"/>
  <c r="K55" i="24"/>
  <c r="N65" i="24"/>
  <c r="R65" i="24"/>
  <c r="P72" i="24"/>
  <c r="M72" i="24"/>
  <c r="R72" i="24"/>
  <c r="L57" i="50"/>
  <c r="R57" i="50"/>
  <c r="T57" i="50"/>
  <c r="M49" i="50"/>
  <c r="Z49" i="50" s="1"/>
  <c r="L49" i="50"/>
  <c r="S49" i="50"/>
  <c r="W49" i="50"/>
  <c r="L47" i="23"/>
  <c r="O71" i="81" s="1"/>
  <c r="I47" i="23"/>
  <c r="L71" i="81" s="1"/>
  <c r="T47" i="23"/>
  <c r="W71" i="81" s="1"/>
  <c r="M47" i="23"/>
  <c r="P71" i="81" s="1"/>
  <c r="N47" i="23"/>
  <c r="Q71" i="81" s="1"/>
  <c r="R47" i="23"/>
  <c r="U71" i="81" s="1"/>
  <c r="S47" i="23"/>
  <c r="V71" i="81" s="1"/>
  <c r="K63" i="24"/>
  <c r="M129" i="75" s="1"/>
  <c r="N63" i="24"/>
  <c r="P129" i="75" s="1"/>
  <c r="K17" i="22"/>
  <c r="N20" i="30" s="1"/>
  <c r="P13" i="24"/>
  <c r="O54" i="29"/>
  <c r="U46" i="38"/>
  <c r="X39" i="46" s="1"/>
  <c r="J28" i="15"/>
  <c r="K34" i="15"/>
  <c r="L36" i="29"/>
  <c r="M51" i="23"/>
  <c r="P73" i="81" s="1"/>
  <c r="U51" i="23"/>
  <c r="X73" i="81" s="1"/>
  <c r="P51" i="23"/>
  <c r="S73" i="81" s="1"/>
  <c r="T51" i="23"/>
  <c r="W73" i="81" s="1"/>
  <c r="R22" i="24"/>
  <c r="O5" i="22"/>
  <c r="R13" i="30" s="1"/>
  <c r="J38" i="22"/>
  <c r="M34" i="30" s="1"/>
  <c r="S38" i="22"/>
  <c r="V34" i="30" s="1"/>
  <c r="Q38" i="22"/>
  <c r="T34" i="30" s="1"/>
  <c r="T29" i="22"/>
  <c r="W27" i="30" s="1"/>
  <c r="O29" i="22"/>
  <c r="R27" i="30" s="1"/>
  <c r="U29" i="22"/>
  <c r="X27" i="30" s="1"/>
  <c r="N29" i="22"/>
  <c r="Q27" i="30" s="1"/>
  <c r="Q29" i="22"/>
  <c r="T27" i="30" s="1"/>
  <c r="N18" i="22"/>
  <c r="R18" i="22"/>
  <c r="I5" i="23"/>
  <c r="L75" i="30" s="1"/>
  <c r="T5" i="23"/>
  <c r="W75" i="30" s="1"/>
  <c r="O29" i="23"/>
  <c r="K29" i="23"/>
  <c r="I5" i="24"/>
  <c r="P5" i="24"/>
  <c r="L41" i="24"/>
  <c r="J37" i="24"/>
  <c r="I29" i="24"/>
  <c r="I18" i="24"/>
  <c r="L44" i="50"/>
  <c r="U44" i="50"/>
  <c r="P44" i="50"/>
  <c r="V39" i="50"/>
  <c r="V22" i="50"/>
  <c r="V16" i="50"/>
  <c r="V53" i="50"/>
  <c r="M45" i="61"/>
  <c r="R45" i="61"/>
  <c r="T45" i="61"/>
  <c r="X22" i="61"/>
  <c r="T22" i="61"/>
  <c r="N22" i="61"/>
  <c r="M14" i="61"/>
  <c r="N14" i="61"/>
  <c r="Q58" i="46"/>
  <c r="X58" i="46"/>
  <c r="K39" i="15"/>
  <c r="J39" i="15"/>
  <c r="I39" i="15"/>
  <c r="I25" i="15"/>
  <c r="K25" i="15"/>
  <c r="J18" i="15"/>
  <c r="K18" i="15"/>
  <c r="I18" i="15"/>
  <c r="K13" i="15"/>
  <c r="I13" i="15"/>
  <c r="K47" i="22"/>
  <c r="N38" i="30" s="1"/>
  <c r="M47" i="22"/>
  <c r="P38" i="30" s="1"/>
  <c r="T47" i="22"/>
  <c r="W38" i="30" s="1"/>
  <c r="T37" i="22"/>
  <c r="Q37" i="22"/>
  <c r="O37" i="22"/>
  <c r="U28" i="22"/>
  <c r="X26" i="30" s="1"/>
  <c r="O28" i="22"/>
  <c r="R26" i="30" s="1"/>
  <c r="N28" i="22"/>
  <c r="Q26" i="30" s="1"/>
  <c r="M17" i="22"/>
  <c r="P20" i="30" s="1"/>
  <c r="N17" i="22"/>
  <c r="Q20" i="30" s="1"/>
  <c r="T17" i="22"/>
  <c r="W20" i="30" s="1"/>
  <c r="Q17" i="22"/>
  <c r="T20" i="30" s="1"/>
  <c r="U17" i="22"/>
  <c r="X20" i="30" s="1"/>
  <c r="R46" i="23"/>
  <c r="U100" i="30" s="1"/>
  <c r="I46" i="23"/>
  <c r="L100" i="30" s="1"/>
  <c r="I36" i="23"/>
  <c r="L36" i="23"/>
  <c r="M36" i="23"/>
  <c r="P36" i="23"/>
  <c r="I28" i="23"/>
  <c r="L28" i="23"/>
  <c r="U28" i="23"/>
  <c r="T28" i="23"/>
  <c r="N41" i="24"/>
  <c r="T41" i="24"/>
  <c r="R41" i="24"/>
  <c r="I41" i="24"/>
  <c r="L37" i="24"/>
  <c r="N37" i="24"/>
  <c r="M33" i="24"/>
  <c r="I33" i="24"/>
  <c r="T33" i="24"/>
  <c r="L33" i="24"/>
  <c r="N29" i="24"/>
  <c r="L29" i="24"/>
  <c r="J25" i="24"/>
  <c r="M25" i="24"/>
  <c r="K25" i="24"/>
  <c r="N25" i="24"/>
  <c r="L31" i="29"/>
  <c r="M31" i="29"/>
  <c r="L35" i="29"/>
  <c r="AB35" i="29"/>
  <c r="O35" i="29"/>
  <c r="O46" i="29"/>
  <c r="S46" i="29"/>
  <c r="U57" i="30"/>
  <c r="AB33" i="29"/>
  <c r="J34" i="38"/>
  <c r="M33" i="46" s="1"/>
  <c r="I34" i="38"/>
  <c r="L33" i="46" s="1"/>
  <c r="J77" i="15"/>
  <c r="O54" i="38"/>
  <c r="R54" i="38"/>
  <c r="L59" i="38"/>
  <c r="O47" i="46" s="1"/>
  <c r="O59" i="38"/>
  <c r="R47" i="46" s="1"/>
  <c r="I59" i="38"/>
  <c r="L47" i="46" s="1"/>
  <c r="O73" i="38"/>
  <c r="R51" i="46" s="1"/>
  <c r="Q73" i="38"/>
  <c r="T51" i="46" s="1"/>
  <c r="N73" i="38"/>
  <c r="Q51" i="46" s="1"/>
  <c r="Q51" i="22"/>
  <c r="T40" i="30" s="1"/>
  <c r="J60" i="22"/>
  <c r="M46" i="30" s="1"/>
  <c r="U60" i="22"/>
  <c r="X46" i="30" s="1"/>
  <c r="Q66" i="22"/>
  <c r="T49" i="30" s="1"/>
  <c r="U52" i="23"/>
  <c r="L52" i="23"/>
  <c r="T52" i="23"/>
  <c r="M52" i="23"/>
  <c r="O52" i="23"/>
  <c r="Q56" i="23"/>
  <c r="S56" i="23"/>
  <c r="L56" i="23"/>
  <c r="T60" i="23"/>
  <c r="M60" i="23"/>
  <c r="O60" i="23"/>
  <c r="I60" i="23"/>
  <c r="I68" i="23"/>
  <c r="L68" i="23"/>
  <c r="Q68" i="23"/>
  <c r="O73" i="23"/>
  <c r="T73" i="23"/>
  <c r="M73" i="23"/>
  <c r="U73" i="23"/>
  <c r="Q58" i="24"/>
  <c r="R62" i="24"/>
  <c r="P71" i="24"/>
  <c r="W35" i="50"/>
  <c r="P35" i="50"/>
  <c r="L26" i="50"/>
  <c r="W26" i="50"/>
  <c r="P26" i="50"/>
  <c r="M26" i="50"/>
  <c r="Z26" i="50" s="1"/>
  <c r="U22" i="50"/>
  <c r="U41" i="50"/>
  <c r="U55" i="50"/>
  <c r="U24" i="50"/>
  <c r="U14" i="50"/>
  <c r="U21" i="50"/>
  <c r="U28" i="50"/>
  <c r="U40" i="50"/>
  <c r="U16" i="50"/>
  <c r="U52" i="50"/>
  <c r="U23" i="50"/>
  <c r="R15" i="61"/>
  <c r="R48" i="61"/>
  <c r="R27" i="61"/>
  <c r="R44" i="61"/>
  <c r="L44" i="61"/>
  <c r="M29" i="61"/>
  <c r="V29" i="61"/>
  <c r="M21" i="61"/>
  <c r="L55" i="30"/>
  <c r="X55" i="30"/>
  <c r="S55" i="30"/>
  <c r="X57" i="46"/>
  <c r="N57" i="46"/>
  <c r="L20" i="50"/>
  <c r="L55" i="50"/>
  <c r="L48" i="50"/>
  <c r="L14" i="50"/>
  <c r="L33" i="50"/>
  <c r="L39" i="50"/>
  <c r="L28" i="50"/>
  <c r="L57" i="30"/>
  <c r="P21" i="22"/>
  <c r="S21" i="30" s="1"/>
  <c r="Q44" i="22"/>
  <c r="T37" i="30" s="1"/>
  <c r="U36" i="22"/>
  <c r="X33" i="30" s="1"/>
  <c r="O27" i="22"/>
  <c r="R25" i="30" s="1"/>
  <c r="I41" i="38"/>
  <c r="K56" i="15"/>
  <c r="N169" i="29" s="1"/>
  <c r="K60" i="15"/>
  <c r="I68" i="15"/>
  <c r="K73" i="15"/>
  <c r="N176" i="29" s="1"/>
  <c r="I60" i="38"/>
  <c r="L48" i="46" s="1"/>
  <c r="J69" i="22"/>
  <c r="I59" i="24"/>
  <c r="I65" i="24"/>
  <c r="J72" i="24"/>
  <c r="L41" i="50"/>
  <c r="L24" i="50"/>
  <c r="L16" i="50"/>
  <c r="J35" i="22"/>
  <c r="M32" i="30" s="1"/>
  <c r="S176" i="29"/>
  <c r="J27" i="24"/>
  <c r="L9" i="24"/>
  <c r="L52" i="50"/>
  <c r="M46" i="61"/>
  <c r="M15" i="61"/>
  <c r="U66" i="24"/>
  <c r="X130" i="81" s="1"/>
  <c r="Q66" i="24"/>
  <c r="T130" i="81" s="1"/>
  <c r="L45" i="24"/>
  <c r="O125" i="81" s="1"/>
  <c r="K45" i="24"/>
  <c r="N125" i="81" s="1"/>
  <c r="J76" i="15"/>
  <c r="J12" i="22"/>
  <c r="M13" i="81" s="1"/>
  <c r="N12" i="22"/>
  <c r="Q13" i="81" s="1"/>
  <c r="U66" i="38"/>
  <c r="X20" i="77" s="1"/>
  <c r="L40" i="50"/>
  <c r="L23" i="50"/>
  <c r="O57" i="61"/>
  <c r="W49" i="61"/>
  <c r="T26" i="61"/>
  <c r="R55" i="46"/>
  <c r="U65" i="22"/>
  <c r="P65" i="22"/>
  <c r="Q65" i="22"/>
  <c r="R65" i="22"/>
  <c r="T65" i="22"/>
  <c r="R7" i="23"/>
  <c r="T68" i="75" s="1"/>
  <c r="X49" i="29"/>
  <c r="AA28" i="29"/>
  <c r="N68" i="24"/>
  <c r="M48" i="61"/>
  <c r="M17" i="61"/>
  <c r="S48" i="22"/>
  <c r="V16" i="81" s="1"/>
  <c r="Q48" i="22"/>
  <c r="T16" i="81" s="1"/>
  <c r="L48" i="22"/>
  <c r="O16" i="81" s="1"/>
  <c r="M48" i="22"/>
  <c r="P16" i="81" s="1"/>
  <c r="J12" i="38"/>
  <c r="U12" i="38"/>
  <c r="X13" i="77" s="1"/>
  <c r="Q22" i="24"/>
  <c r="M47" i="61"/>
  <c r="Q52" i="22"/>
  <c r="T18" i="81" s="1"/>
  <c r="T52" i="22"/>
  <c r="W18" i="81" s="1"/>
  <c r="U48" i="23"/>
  <c r="X72" i="81" s="1"/>
  <c r="U11" i="38"/>
  <c r="W15" i="71" s="1"/>
  <c r="I11" i="38"/>
  <c r="U16" i="22"/>
  <c r="W16" i="75" s="1"/>
  <c r="S64" i="22"/>
  <c r="U19" i="75" s="1"/>
  <c r="Q64" i="22"/>
  <c r="S19" i="75" s="1"/>
  <c r="I48" i="23"/>
  <c r="L72" i="81" s="1"/>
  <c r="K48" i="23"/>
  <c r="N72" i="81" s="1"/>
  <c r="M48" i="23"/>
  <c r="P72" i="81" s="1"/>
  <c r="J46" i="22"/>
  <c r="M15" i="81" s="1"/>
  <c r="I69" i="23"/>
  <c r="L77" i="81" s="1"/>
  <c r="L69" i="23"/>
  <c r="O77" i="81" s="1"/>
  <c r="K69" i="23"/>
  <c r="N77" i="81" s="1"/>
  <c r="M69" i="23"/>
  <c r="P77" i="81" s="1"/>
  <c r="M69" i="24"/>
  <c r="P132" i="81" s="1"/>
  <c r="L19" i="24"/>
  <c r="O124" i="81" s="1"/>
  <c r="M19" i="24"/>
  <c r="P124" i="81" s="1"/>
  <c r="L64" i="23"/>
  <c r="K64" i="23"/>
  <c r="I19" i="23"/>
  <c r="L69" i="81" s="1"/>
  <c r="Q64" i="24"/>
  <c r="L64" i="24"/>
  <c r="M64" i="24"/>
  <c r="K49" i="22"/>
  <c r="N17" i="81" s="1"/>
  <c r="J49" i="22"/>
  <c r="M17" i="81" s="1"/>
  <c r="I67" i="24"/>
  <c r="L131" i="81" s="1"/>
  <c r="Q47" i="24"/>
  <c r="T126" i="81" s="1"/>
  <c r="M77" i="22"/>
  <c r="I7" i="38"/>
  <c r="U78" i="23"/>
  <c r="W75" i="75" s="1"/>
  <c r="K79" i="22"/>
  <c r="M20" i="75" s="1"/>
  <c r="Q8" i="38"/>
  <c r="S14" i="71" s="1"/>
  <c r="R8" i="38"/>
  <c r="T14" i="71" s="1"/>
  <c r="K7" i="22"/>
  <c r="M13" i="75" s="1"/>
  <c r="J78" i="24"/>
  <c r="L130" i="75" s="1"/>
  <c r="P67" i="22"/>
  <c r="S20" i="81" s="1"/>
  <c r="K24" i="15"/>
  <c r="U24" i="38"/>
  <c r="M7" i="23"/>
  <c r="O68" i="75" s="1"/>
  <c r="M11" i="23"/>
  <c r="O70" i="75" s="1"/>
  <c r="U11" i="24"/>
  <c r="W125" i="75" s="1"/>
  <c r="J69" i="38"/>
  <c r="T7" i="23"/>
  <c r="V68" i="75" s="1"/>
  <c r="K63" i="23"/>
  <c r="M74" i="75" s="1"/>
  <c r="I44" i="38"/>
  <c r="K69" i="38"/>
  <c r="J64" i="38"/>
  <c r="R22" i="22"/>
  <c r="N11" i="24"/>
  <c r="P125" i="75" s="1"/>
  <c r="L34" i="61"/>
  <c r="M34" i="61"/>
  <c r="W34" i="61"/>
  <c r="N34" i="61"/>
  <c r="X34" i="61"/>
  <c r="M18" i="61"/>
  <c r="P18" i="61"/>
  <c r="N18" i="61"/>
  <c r="T49" i="61"/>
  <c r="U26" i="61"/>
  <c r="V34" i="61"/>
  <c r="N55" i="46"/>
  <c r="K41" i="15"/>
  <c r="J41" i="15"/>
  <c r="I41" i="15"/>
  <c r="O15" i="22"/>
  <c r="R19" i="30" s="1"/>
  <c r="P15" i="22"/>
  <c r="S19" i="30" s="1"/>
  <c r="J43" i="23"/>
  <c r="M99" i="30" s="1"/>
  <c r="I43" i="23"/>
  <c r="L99" i="30" s="1"/>
  <c r="P43" i="23"/>
  <c r="S99" i="30" s="1"/>
  <c r="R43" i="23"/>
  <c r="U99" i="30" s="1"/>
  <c r="I27" i="23"/>
  <c r="J27" i="23"/>
  <c r="R27" i="23"/>
  <c r="P27" i="23"/>
  <c r="L27" i="23"/>
  <c r="T27" i="23"/>
  <c r="Q27" i="23"/>
  <c r="J15" i="23"/>
  <c r="U15" i="23"/>
  <c r="M15" i="23"/>
  <c r="Q15" i="23"/>
  <c r="N15" i="23"/>
  <c r="K15" i="23"/>
  <c r="R15" i="23"/>
  <c r="P46" i="24"/>
  <c r="S163" i="30" s="1"/>
  <c r="R46" i="24"/>
  <c r="U163" i="30" s="1"/>
  <c r="O46" i="24"/>
  <c r="R163" i="30" s="1"/>
  <c r="I36" i="24"/>
  <c r="J36" i="24"/>
  <c r="K36" i="24"/>
  <c r="R36" i="24"/>
  <c r="N36" i="24"/>
  <c r="J28" i="24"/>
  <c r="S28" i="24"/>
  <c r="N28" i="24"/>
  <c r="M28" i="24"/>
  <c r="K28" i="24"/>
  <c r="U28" i="24"/>
  <c r="P23" i="24"/>
  <c r="J23" i="24"/>
  <c r="I23" i="24"/>
  <c r="M23" i="24"/>
  <c r="R23" i="24"/>
  <c r="T23" i="24"/>
  <c r="I10" i="24"/>
  <c r="O10" i="24"/>
  <c r="U10" i="24"/>
  <c r="Q10" i="24"/>
  <c r="P10" i="24"/>
  <c r="P50" i="29"/>
  <c r="P45" i="29"/>
  <c r="P54" i="29"/>
  <c r="P27" i="29"/>
  <c r="P17" i="29"/>
  <c r="L16" i="29"/>
  <c r="Y16" i="29"/>
  <c r="S16" i="29"/>
  <c r="M16" i="29"/>
  <c r="W16" i="29"/>
  <c r="M20" i="29"/>
  <c r="L20" i="29"/>
  <c r="W20" i="29"/>
  <c r="O20" i="29"/>
  <c r="V20" i="29"/>
  <c r="Q20" i="29"/>
  <c r="Z20" i="29"/>
  <c r="R20" i="29"/>
  <c r="Y20" i="29"/>
  <c r="AA20" i="29"/>
  <c r="L24" i="29"/>
  <c r="Z24" i="29"/>
  <c r="R24" i="29"/>
  <c r="T24" i="29"/>
  <c r="X24" i="29"/>
  <c r="L43" i="29"/>
  <c r="N43" i="29"/>
  <c r="O43" i="29"/>
  <c r="R43" i="29"/>
  <c r="Q43" i="29"/>
  <c r="AB43" i="29"/>
  <c r="M51" i="29"/>
  <c r="L51" i="29"/>
  <c r="Q51" i="29"/>
  <c r="N51" i="29"/>
  <c r="W51" i="29"/>
  <c r="T51" i="29"/>
  <c r="AA51" i="29"/>
  <c r="Z51" i="29"/>
  <c r="U51" i="29"/>
  <c r="R56" i="30"/>
  <c r="R54" i="30"/>
  <c r="J40" i="38"/>
  <c r="I40" i="38"/>
  <c r="U40" i="38"/>
  <c r="T40" i="38"/>
  <c r="R40" i="38"/>
  <c r="S40" i="38"/>
  <c r="J32" i="38"/>
  <c r="M30" i="46" s="1"/>
  <c r="I32" i="38"/>
  <c r="L30" i="46" s="1"/>
  <c r="P32" i="38"/>
  <c r="S30" i="46" s="1"/>
  <c r="L32" i="38"/>
  <c r="O30" i="46" s="1"/>
  <c r="M32" i="38"/>
  <c r="P30" i="46" s="1"/>
  <c r="I20" i="38"/>
  <c r="N20" i="38"/>
  <c r="R20" i="38"/>
  <c r="U20" i="38"/>
  <c r="P20" i="38"/>
  <c r="Q20" i="38"/>
  <c r="U31" i="46"/>
  <c r="I49" i="23"/>
  <c r="U49" i="23"/>
  <c r="O49" i="23"/>
  <c r="K70" i="15"/>
  <c r="I70" i="15"/>
  <c r="K74" i="15"/>
  <c r="I74" i="15"/>
  <c r="J74" i="15"/>
  <c r="I58" i="38"/>
  <c r="L46" i="46" s="1"/>
  <c r="P58" i="38"/>
  <c r="S46" i="46" s="1"/>
  <c r="J58" i="38"/>
  <c r="M46" i="46" s="1"/>
  <c r="T58" i="38"/>
  <c r="W46" i="46" s="1"/>
  <c r="L58" i="38"/>
  <c r="O46" i="46" s="1"/>
  <c r="S58" i="38"/>
  <c r="V46" i="46" s="1"/>
  <c r="U58" i="38"/>
  <c r="X46" i="46" s="1"/>
  <c r="J61" i="38"/>
  <c r="M49" i="46" s="1"/>
  <c r="I61" i="38"/>
  <c r="L49" i="46" s="1"/>
  <c r="R61" i="38"/>
  <c r="U49" i="46" s="1"/>
  <c r="Q61" i="38"/>
  <c r="T49" i="46" s="1"/>
  <c r="L61" i="38"/>
  <c r="O49" i="46" s="1"/>
  <c r="J72" i="38"/>
  <c r="Q72" i="38"/>
  <c r="L72" i="38"/>
  <c r="P72" i="38"/>
  <c r="K72" i="38"/>
  <c r="R72" i="38"/>
  <c r="J75" i="38"/>
  <c r="M53" i="46" s="1"/>
  <c r="I75" i="38"/>
  <c r="L53" i="46" s="1"/>
  <c r="T75" i="38"/>
  <c r="W53" i="46" s="1"/>
  <c r="M75" i="38"/>
  <c r="P53" i="46" s="1"/>
  <c r="N75" i="38"/>
  <c r="Q53" i="46" s="1"/>
  <c r="K75" i="38"/>
  <c r="N53" i="46" s="1"/>
  <c r="J58" i="22"/>
  <c r="M44" i="30" s="1"/>
  <c r="O58" i="22"/>
  <c r="R44" i="30" s="1"/>
  <c r="Q58" i="22"/>
  <c r="T44" i="30" s="1"/>
  <c r="M58" i="22"/>
  <c r="P44" i="30" s="1"/>
  <c r="N58" i="22"/>
  <c r="Q44" i="30" s="1"/>
  <c r="S58" i="22"/>
  <c r="V44" i="30" s="1"/>
  <c r="K58" i="22"/>
  <c r="N44" i="30" s="1"/>
  <c r="P58" i="22"/>
  <c r="S44" i="30" s="1"/>
  <c r="M62" i="22"/>
  <c r="P48" i="30" s="1"/>
  <c r="Q62" i="22"/>
  <c r="T48" i="30" s="1"/>
  <c r="R62" i="22"/>
  <c r="U48" i="30" s="1"/>
  <c r="N62" i="22"/>
  <c r="Q48" i="30" s="1"/>
  <c r="K62" i="22"/>
  <c r="N48" i="30" s="1"/>
  <c r="J62" i="22"/>
  <c r="M48" i="30" s="1"/>
  <c r="T62" i="22"/>
  <c r="W48" i="30" s="1"/>
  <c r="P62" i="22"/>
  <c r="S48" i="30" s="1"/>
  <c r="K75" i="22"/>
  <c r="N51" i="30" s="1"/>
  <c r="J75" i="22"/>
  <c r="M51" i="30" s="1"/>
  <c r="T75" i="22"/>
  <c r="W51" i="30" s="1"/>
  <c r="Q75" i="22"/>
  <c r="T51" i="30" s="1"/>
  <c r="O75" i="22"/>
  <c r="R51" i="30" s="1"/>
  <c r="S75" i="22"/>
  <c r="V51" i="30" s="1"/>
  <c r="N75" i="22"/>
  <c r="Q51" i="30" s="1"/>
  <c r="L75" i="22"/>
  <c r="O51" i="30" s="1"/>
  <c r="R75" i="22"/>
  <c r="U51" i="30" s="1"/>
  <c r="U75" i="22"/>
  <c r="X51" i="30" s="1"/>
  <c r="J50" i="23"/>
  <c r="Q50" i="23"/>
  <c r="I50" i="23"/>
  <c r="L50" i="23"/>
  <c r="M50" i="23"/>
  <c r="P50" i="23"/>
  <c r="U50" i="23"/>
  <c r="J59" i="23"/>
  <c r="T59" i="23"/>
  <c r="N59" i="23"/>
  <c r="M59" i="23"/>
  <c r="L59" i="23"/>
  <c r="Q59" i="23"/>
  <c r="J65" i="23"/>
  <c r="L65" i="23"/>
  <c r="U65" i="23"/>
  <c r="I65" i="23"/>
  <c r="Q65" i="23"/>
  <c r="P65" i="23"/>
  <c r="R65" i="23"/>
  <c r="K65" i="23"/>
  <c r="N65" i="23"/>
  <c r="M77" i="23"/>
  <c r="U77" i="23"/>
  <c r="P77" i="23"/>
  <c r="S77" i="23"/>
  <c r="J77" i="23"/>
  <c r="N77" i="23"/>
  <c r="T77" i="23"/>
  <c r="I52" i="24"/>
  <c r="N52" i="24"/>
  <c r="Q52" i="24"/>
  <c r="I56" i="24"/>
  <c r="U56" i="24"/>
  <c r="J56" i="24"/>
  <c r="M56" i="24"/>
  <c r="P56" i="24"/>
  <c r="O56" i="24"/>
  <c r="S56" i="24"/>
  <c r="J60" i="24"/>
  <c r="Q60" i="24"/>
  <c r="I60" i="24"/>
  <c r="N60" i="24"/>
  <c r="L60" i="24"/>
  <c r="P60" i="24"/>
  <c r="R60" i="24"/>
  <c r="S60" i="24"/>
  <c r="T60" i="24"/>
  <c r="I73" i="24"/>
  <c r="L73" i="24"/>
  <c r="N73" i="24"/>
  <c r="Q73" i="24"/>
  <c r="U73" i="24"/>
  <c r="R73" i="24"/>
  <c r="K73" i="24"/>
  <c r="M47" i="50"/>
  <c r="Z47" i="50" s="1"/>
  <c r="L47" i="50"/>
  <c r="U47" i="50"/>
  <c r="V92" i="29"/>
  <c r="V181" i="29"/>
  <c r="V168" i="29"/>
  <c r="U18" i="61"/>
  <c r="N49" i="61"/>
  <c r="S57" i="61"/>
  <c r="X18" i="29"/>
  <c r="X39" i="29"/>
  <c r="X31" i="29"/>
  <c r="X34" i="29"/>
  <c r="V51" i="29"/>
  <c r="X56" i="29"/>
  <c r="R17" i="24"/>
  <c r="T50" i="23"/>
  <c r="N27" i="23"/>
  <c r="R35" i="23"/>
  <c r="Y176" i="29"/>
  <c r="X49" i="61"/>
  <c r="U57" i="61"/>
  <c r="Y24" i="29"/>
  <c r="P15" i="29"/>
  <c r="P57" i="29"/>
  <c r="T16" i="29"/>
  <c r="V47" i="50"/>
  <c r="N47" i="50"/>
  <c r="X29" i="29"/>
  <c r="S51" i="29"/>
  <c r="X43" i="29"/>
  <c r="X55" i="29"/>
  <c r="T17" i="24"/>
  <c r="L77" i="23"/>
  <c r="Q43" i="23"/>
  <c r="T99" i="30" s="1"/>
  <c r="U24" i="29"/>
  <c r="K56" i="24"/>
  <c r="AA24" i="29"/>
  <c r="S23" i="24"/>
  <c r="R32" i="24"/>
  <c r="P32" i="24"/>
  <c r="S36" i="24"/>
  <c r="U40" i="24"/>
  <c r="R49" i="23"/>
  <c r="R55" i="23"/>
  <c r="N43" i="38"/>
  <c r="Q38" i="46" s="1"/>
  <c r="S32" i="38"/>
  <c r="V30" i="46" s="1"/>
  <c r="R10" i="24"/>
  <c r="M46" i="24"/>
  <c r="P163" i="30" s="1"/>
  <c r="K27" i="23"/>
  <c r="K50" i="23"/>
  <c r="K55" i="23"/>
  <c r="T18" i="61"/>
  <c r="N26" i="61"/>
  <c r="S34" i="61"/>
  <c r="O49" i="61"/>
  <c r="N20" i="29"/>
  <c r="R16" i="29"/>
  <c r="K20" i="38"/>
  <c r="I27" i="15"/>
  <c r="I57" i="15"/>
  <c r="O72" i="38"/>
  <c r="R43" i="38"/>
  <c r="U38" i="46" s="1"/>
  <c r="R27" i="38"/>
  <c r="U26" i="46" s="1"/>
  <c r="P44" i="29"/>
  <c r="O43" i="23"/>
  <c r="R99" i="30" s="1"/>
  <c r="O50" i="23"/>
  <c r="U15" i="22"/>
  <c r="X19" i="30" s="1"/>
  <c r="M55" i="23"/>
  <c r="R68" i="24"/>
  <c r="L43" i="23"/>
  <c r="O99" i="30" s="1"/>
  <c r="R58" i="38"/>
  <c r="U46" i="46" s="1"/>
  <c r="I53" i="15"/>
  <c r="L28" i="29"/>
  <c r="L18" i="61"/>
  <c r="M55" i="46"/>
  <c r="X55" i="46"/>
  <c r="Q55" i="46"/>
  <c r="T55" i="46"/>
  <c r="R176" i="29"/>
  <c r="Q26" i="61"/>
  <c r="P49" i="61"/>
  <c r="Q57" i="61"/>
  <c r="V55" i="46"/>
  <c r="Q18" i="61"/>
  <c r="O26" i="61"/>
  <c r="O34" i="61"/>
  <c r="R57" i="61"/>
  <c r="U17" i="24"/>
  <c r="I8" i="22"/>
  <c r="K14" i="75" s="1"/>
  <c r="I16" i="22"/>
  <c r="K16" i="75" s="1"/>
  <c r="I46" i="22"/>
  <c r="L15" i="81" s="1"/>
  <c r="I31" i="22"/>
  <c r="L28" i="30" s="1"/>
  <c r="I65" i="22"/>
  <c r="I30" i="22"/>
  <c r="I62" i="22"/>
  <c r="L48" i="30" s="1"/>
  <c r="I35" i="22"/>
  <c r="L32" i="30" s="1"/>
  <c r="I78" i="22"/>
  <c r="L53" i="30" s="1"/>
  <c r="I51" i="22"/>
  <c r="L40" i="30" s="1"/>
  <c r="I17" i="22"/>
  <c r="L20" i="30" s="1"/>
  <c r="I50" i="22"/>
  <c r="L39" i="30" s="1"/>
  <c r="I33" i="22"/>
  <c r="L30" i="30" s="1"/>
  <c r="I75" i="22"/>
  <c r="L51" i="30" s="1"/>
  <c r="I29" i="22"/>
  <c r="L27" i="30" s="1"/>
  <c r="I58" i="22"/>
  <c r="L44" i="30" s="1"/>
  <c r="I59" i="22"/>
  <c r="L45" i="30" s="1"/>
  <c r="I56" i="22"/>
  <c r="L42" i="30" s="1"/>
  <c r="I66" i="22"/>
  <c r="L49" i="30" s="1"/>
  <c r="I63" i="22"/>
  <c r="I10" i="22"/>
  <c r="L16" i="30" s="1"/>
  <c r="I76" i="22"/>
  <c r="L52" i="30" s="1"/>
  <c r="I47" i="22"/>
  <c r="L38" i="30" s="1"/>
  <c r="I71" i="22"/>
  <c r="P24" i="23"/>
  <c r="Q24" i="23"/>
  <c r="M24" i="23"/>
  <c r="T24" i="23"/>
  <c r="U24" i="23"/>
  <c r="J48" i="23"/>
  <c r="M72" i="81" s="1"/>
  <c r="J69" i="23"/>
  <c r="M77" i="81" s="1"/>
  <c r="J64" i="23"/>
  <c r="J49" i="23"/>
  <c r="J60" i="23"/>
  <c r="J46" i="23"/>
  <c r="M100" i="30" s="1"/>
  <c r="J68" i="23"/>
  <c r="J21" i="23"/>
  <c r="M83" i="30" s="1"/>
  <c r="J36" i="23"/>
  <c r="J42" i="23"/>
  <c r="J56" i="23"/>
  <c r="J25" i="23"/>
  <c r="J71" i="23"/>
  <c r="J52" i="23"/>
  <c r="J73" i="23"/>
  <c r="V166" i="29"/>
  <c r="V156" i="29"/>
  <c r="U176" i="29"/>
  <c r="V176" i="29"/>
  <c r="X176" i="29"/>
  <c r="V115" i="29"/>
  <c r="V182" i="29"/>
  <c r="W57" i="61"/>
  <c r="P49" i="29"/>
  <c r="P42" i="29"/>
  <c r="P23" i="29"/>
  <c r="P24" i="29"/>
  <c r="P18" i="29"/>
  <c r="O47" i="50"/>
  <c r="X52" i="29"/>
  <c r="P29" i="29"/>
  <c r="X21" i="29"/>
  <c r="U43" i="29"/>
  <c r="P43" i="29"/>
  <c r="S27" i="23"/>
  <c r="M43" i="23"/>
  <c r="P99" i="30" s="1"/>
  <c r="U20" i="29"/>
  <c r="Q32" i="24"/>
  <c r="S40" i="24"/>
  <c r="Q40" i="38"/>
  <c r="N72" i="38"/>
  <c r="K53" i="38"/>
  <c r="P75" i="38"/>
  <c r="S53" i="46" s="1"/>
  <c r="P43" i="38"/>
  <c r="S38" i="46" s="1"/>
  <c r="O52" i="24"/>
  <c r="K10" i="24"/>
  <c r="N46" i="24"/>
  <c r="Q163" i="30" s="1"/>
  <c r="L46" i="24"/>
  <c r="O163" i="30" s="1"/>
  <c r="O44" i="22"/>
  <c r="R37" i="30" s="1"/>
  <c r="O24" i="29"/>
  <c r="W18" i="61"/>
  <c r="V26" i="61"/>
  <c r="T34" i="61"/>
  <c r="T57" i="61"/>
  <c r="N24" i="29"/>
  <c r="P32" i="29"/>
  <c r="O18" i="61"/>
  <c r="X53" i="29"/>
  <c r="P16" i="29"/>
  <c r="Q49" i="23"/>
  <c r="I10" i="15"/>
  <c r="L142" i="29" s="1"/>
  <c r="M53" i="38"/>
  <c r="M58" i="38"/>
  <c r="P46" i="46" s="1"/>
  <c r="M20" i="38"/>
  <c r="O20" i="38"/>
  <c r="P28" i="24"/>
  <c r="M35" i="23"/>
  <c r="O16" i="29"/>
  <c r="Q71" i="22"/>
  <c r="T71" i="22"/>
  <c r="L40" i="38"/>
  <c r="N65" i="38"/>
  <c r="Q50" i="46" s="1"/>
  <c r="U54" i="22"/>
  <c r="X38" i="29"/>
  <c r="T27" i="38"/>
  <c r="W26" i="46" s="1"/>
  <c r="U27" i="38"/>
  <c r="X26" i="46" s="1"/>
  <c r="Q58" i="38"/>
  <c r="T46" i="46" s="1"/>
  <c r="AB20" i="29"/>
  <c r="M52" i="24"/>
  <c r="I55" i="22"/>
  <c r="I55" i="23"/>
  <c r="I77" i="23"/>
  <c r="M26" i="61"/>
  <c r="S150" i="29"/>
  <c r="X150" i="29"/>
  <c r="T21" i="29"/>
  <c r="T15" i="29"/>
  <c r="T19" i="29"/>
  <c r="T53" i="29"/>
  <c r="T56" i="29"/>
  <c r="T25" i="29"/>
  <c r="T44" i="29"/>
  <c r="N14" i="29"/>
  <c r="M14" i="29"/>
  <c r="L14" i="29"/>
  <c r="Z14" i="29"/>
  <c r="T18" i="29"/>
  <c r="AB18" i="29"/>
  <c r="U18" i="29"/>
  <c r="Q22" i="29"/>
  <c r="P22" i="29"/>
  <c r="M26" i="29"/>
  <c r="L26" i="29"/>
  <c r="S26" i="29"/>
  <c r="Q26" i="29"/>
  <c r="L40" i="29"/>
  <c r="AB40" i="29"/>
  <c r="P40" i="29"/>
  <c r="AA40" i="29"/>
  <c r="L47" i="29"/>
  <c r="M47" i="29"/>
  <c r="AB47" i="29"/>
  <c r="R47" i="29"/>
  <c r="Q47" i="29"/>
  <c r="AA47" i="29"/>
  <c r="P47" i="29"/>
  <c r="V47" i="29"/>
  <c r="S55" i="29"/>
  <c r="W55" i="29"/>
  <c r="AA55" i="29"/>
  <c r="R142" i="29"/>
  <c r="V57" i="30"/>
  <c r="V54" i="30"/>
  <c r="AA50" i="29"/>
  <c r="AA39" i="29"/>
  <c r="AA46" i="29"/>
  <c r="J39" i="38"/>
  <c r="M37" i="46" s="1"/>
  <c r="L39" i="38"/>
  <c r="O37" i="46" s="1"/>
  <c r="M39" i="38"/>
  <c r="P37" i="46" s="1"/>
  <c r="R39" i="38"/>
  <c r="U37" i="46" s="1"/>
  <c r="N39" i="38"/>
  <c r="Q37" i="46" s="1"/>
  <c r="U39" i="38"/>
  <c r="X37" i="46" s="1"/>
  <c r="L36" i="38"/>
  <c r="U36" i="38"/>
  <c r="T36" i="38"/>
  <c r="O36" i="38"/>
  <c r="R36" i="38"/>
  <c r="I31" i="38"/>
  <c r="L29" i="46" s="1"/>
  <c r="J31" i="38"/>
  <c r="M29" i="46" s="1"/>
  <c r="R31" i="38"/>
  <c r="U29" i="46" s="1"/>
  <c r="M31" i="38"/>
  <c r="P29" i="46" s="1"/>
  <c r="J28" i="38"/>
  <c r="M27" i="46" s="1"/>
  <c r="L28" i="38"/>
  <c r="O27" i="46" s="1"/>
  <c r="N28" i="38"/>
  <c r="Q27" i="46" s="1"/>
  <c r="K28" i="38"/>
  <c r="N27" i="46" s="1"/>
  <c r="O28" i="38"/>
  <c r="R27" i="46" s="1"/>
  <c r="M28" i="38"/>
  <c r="P27" i="46" s="1"/>
  <c r="Q28" i="38"/>
  <c r="T27" i="46" s="1"/>
  <c r="J18" i="38"/>
  <c r="L18" i="38"/>
  <c r="Q18" i="38"/>
  <c r="J15" i="38"/>
  <c r="M20" i="46" s="1"/>
  <c r="M15" i="38"/>
  <c r="P20" i="46" s="1"/>
  <c r="R15" i="38"/>
  <c r="U20" i="46" s="1"/>
  <c r="N15" i="38"/>
  <c r="Q20" i="46" s="1"/>
  <c r="O15" i="38"/>
  <c r="R20" i="46" s="1"/>
  <c r="P15" i="38"/>
  <c r="S20" i="46" s="1"/>
  <c r="U15" i="38"/>
  <c r="X20" i="46" s="1"/>
  <c r="Q57" i="46"/>
  <c r="I49" i="38"/>
  <c r="L40" i="46" s="1"/>
  <c r="M49" i="38"/>
  <c r="P40" i="46" s="1"/>
  <c r="R49" i="38"/>
  <c r="U40" i="46" s="1"/>
  <c r="K65" i="15"/>
  <c r="I65" i="15"/>
  <c r="J54" i="38"/>
  <c r="L54" i="38"/>
  <c r="M54" i="38"/>
  <c r="N54" i="38"/>
  <c r="M57" i="38"/>
  <c r="P45" i="46" s="1"/>
  <c r="Q57" i="38"/>
  <c r="T45" i="46" s="1"/>
  <c r="P57" i="38"/>
  <c r="S45" i="46" s="1"/>
  <c r="S57" i="38"/>
  <c r="V45" i="46" s="1"/>
  <c r="N57" i="38"/>
  <c r="Q45" i="46" s="1"/>
  <c r="L57" i="38"/>
  <c r="O45" i="46" s="1"/>
  <c r="R57" i="38"/>
  <c r="U45" i="46" s="1"/>
  <c r="M62" i="38"/>
  <c r="L62" i="38"/>
  <c r="Q62" i="38"/>
  <c r="J71" i="38"/>
  <c r="O71" i="38"/>
  <c r="Q71" i="38"/>
  <c r="I71" i="38"/>
  <c r="I77" i="38"/>
  <c r="L54" i="46" s="1"/>
  <c r="Q77" i="38"/>
  <c r="T54" i="46" s="1"/>
  <c r="M51" i="22"/>
  <c r="P40" i="30" s="1"/>
  <c r="K51" i="22"/>
  <c r="N40" i="30" s="1"/>
  <c r="P51" i="22"/>
  <c r="S40" i="30" s="1"/>
  <c r="Q56" i="22"/>
  <c r="T42" i="30" s="1"/>
  <c r="N56" i="22"/>
  <c r="Q42" i="30" s="1"/>
  <c r="L56" i="22"/>
  <c r="O42" i="30" s="1"/>
  <c r="M56" i="22"/>
  <c r="P42" i="30" s="1"/>
  <c r="P60" i="22"/>
  <c r="S46" i="30" s="1"/>
  <c r="M60" i="22"/>
  <c r="P46" i="30" s="1"/>
  <c r="T60" i="22"/>
  <c r="W46" i="30" s="1"/>
  <c r="O60" i="22"/>
  <c r="R46" i="30" s="1"/>
  <c r="Q60" i="22"/>
  <c r="T46" i="30" s="1"/>
  <c r="N60" i="22"/>
  <c r="Q46" i="30" s="1"/>
  <c r="O66" i="22"/>
  <c r="R49" i="30" s="1"/>
  <c r="M66" i="22"/>
  <c r="P49" i="30" s="1"/>
  <c r="T66" i="22"/>
  <c r="W49" i="30" s="1"/>
  <c r="R66" i="22"/>
  <c r="U49" i="30" s="1"/>
  <c r="S66" i="22"/>
  <c r="V49" i="30" s="1"/>
  <c r="O73" i="22"/>
  <c r="R73" i="22"/>
  <c r="S73" i="22"/>
  <c r="L73" i="22"/>
  <c r="N73" i="22"/>
  <c r="J78" i="22"/>
  <c r="M53" i="30" s="1"/>
  <c r="N78" i="22"/>
  <c r="Q53" i="30" s="1"/>
  <c r="M78" i="22"/>
  <c r="P53" i="30" s="1"/>
  <c r="T78" i="22"/>
  <c r="W53" i="30" s="1"/>
  <c r="K78" i="22"/>
  <c r="N53" i="30" s="1"/>
  <c r="R78" i="22"/>
  <c r="U53" i="30" s="1"/>
  <c r="T53" i="23"/>
  <c r="U53" i="23"/>
  <c r="N53" i="23"/>
  <c r="J57" i="23"/>
  <c r="Q57" i="23"/>
  <c r="T57" i="23"/>
  <c r="N57" i="23"/>
  <c r="S57" i="23"/>
  <c r="U61" i="23"/>
  <c r="S61" i="23"/>
  <c r="L61" i="23"/>
  <c r="P61" i="23"/>
  <c r="I70" i="23"/>
  <c r="L70" i="23"/>
  <c r="T70" i="23"/>
  <c r="O70" i="23"/>
  <c r="U70" i="23"/>
  <c r="R70" i="23"/>
  <c r="M70" i="23"/>
  <c r="K70" i="23"/>
  <c r="U74" i="23"/>
  <c r="K74" i="23"/>
  <c r="U54" i="24"/>
  <c r="K54" i="24"/>
  <c r="R54" i="24"/>
  <c r="Q54" i="24"/>
  <c r="I58" i="24"/>
  <c r="K58" i="24"/>
  <c r="R58" i="24"/>
  <c r="T58" i="24"/>
  <c r="I62" i="24"/>
  <c r="P62" i="24"/>
  <c r="L62" i="24"/>
  <c r="S62" i="24"/>
  <c r="R71" i="24"/>
  <c r="Q71" i="24"/>
  <c r="L71" i="24"/>
  <c r="N71" i="24"/>
  <c r="T71" i="24"/>
  <c r="J75" i="24"/>
  <c r="L75" i="24"/>
  <c r="M13" i="50"/>
  <c r="Z13" i="50" s="1"/>
  <c r="Q13" i="50"/>
  <c r="L50" i="50"/>
  <c r="T50" i="50"/>
  <c r="U50" i="50"/>
  <c r="M43" i="50"/>
  <c r="Z43" i="50" s="1"/>
  <c r="L43" i="50"/>
  <c r="Q43" i="50"/>
  <c r="W43" i="50"/>
  <c r="O43" i="50"/>
  <c r="X18" i="61"/>
  <c r="P26" i="61"/>
  <c r="M57" i="61"/>
  <c r="K8" i="22"/>
  <c r="M14" i="75" s="1"/>
  <c r="U8" i="22"/>
  <c r="W14" i="75" s="1"/>
  <c r="Q8" i="22"/>
  <c r="S14" i="75" s="1"/>
  <c r="S8" i="22"/>
  <c r="U14" i="75" s="1"/>
  <c r="O8" i="22"/>
  <c r="Q14" i="75" s="1"/>
  <c r="M63" i="23"/>
  <c r="O74" i="75" s="1"/>
  <c r="U63" i="23"/>
  <c r="W74" i="75" s="1"/>
  <c r="Q63" i="23"/>
  <c r="S74" i="75" s="1"/>
  <c r="T63" i="23"/>
  <c r="V74" i="75" s="1"/>
  <c r="L63" i="23"/>
  <c r="N74" i="75" s="1"/>
  <c r="N63" i="23"/>
  <c r="P74" i="75" s="1"/>
  <c r="P63" i="23"/>
  <c r="R74" i="75" s="1"/>
  <c r="S63" i="23"/>
  <c r="U74" i="75" s="1"/>
  <c r="K78" i="24"/>
  <c r="M130" i="75" s="1"/>
  <c r="T78" i="24"/>
  <c r="V130" i="75" s="1"/>
  <c r="S78" i="24"/>
  <c r="U130" i="75" s="1"/>
  <c r="Q78" i="24"/>
  <c r="S130" i="75" s="1"/>
  <c r="O78" i="24"/>
  <c r="Q130" i="75" s="1"/>
  <c r="S8" i="24"/>
  <c r="U124" i="75" s="1"/>
  <c r="J8" i="24"/>
  <c r="L124" i="75" s="1"/>
  <c r="P8" i="24"/>
  <c r="R124" i="75" s="1"/>
  <c r="O8" i="24"/>
  <c r="Q124" i="75" s="1"/>
  <c r="V104" i="29"/>
  <c r="P176" i="29"/>
  <c r="V97" i="29"/>
  <c r="Q34" i="61"/>
  <c r="P41" i="29"/>
  <c r="R47" i="50"/>
  <c r="V150" i="29"/>
  <c r="S55" i="46"/>
  <c r="P52" i="29"/>
  <c r="P38" i="29"/>
  <c r="P21" i="29"/>
  <c r="AB51" i="29"/>
  <c r="W43" i="29"/>
  <c r="X20" i="29"/>
  <c r="U68" i="24"/>
  <c r="U35" i="23"/>
  <c r="K52" i="24"/>
  <c r="P15" i="23"/>
  <c r="L53" i="38"/>
  <c r="U36" i="24"/>
  <c r="L40" i="24"/>
  <c r="R50" i="23"/>
  <c r="Q75" i="38"/>
  <c r="T53" i="46" s="1"/>
  <c r="Q32" i="38"/>
  <c r="T30" i="46" s="1"/>
  <c r="K58" i="38"/>
  <c r="N46" i="46" s="1"/>
  <c r="L58" i="22"/>
  <c r="O44" i="30" s="1"/>
  <c r="S27" i="38"/>
  <c r="V26" i="46" s="1"/>
  <c r="O60" i="24"/>
  <c r="S10" i="24"/>
  <c r="U46" i="24"/>
  <c r="X163" i="30" s="1"/>
  <c r="K46" i="24"/>
  <c r="N163" i="30" s="1"/>
  <c r="N50" i="23"/>
  <c r="V18" i="61"/>
  <c r="S18" i="61"/>
  <c r="P46" i="29"/>
  <c r="P59" i="23"/>
  <c r="V142" i="29"/>
  <c r="M72" i="38"/>
  <c r="L62" i="22"/>
  <c r="O48" i="30" s="1"/>
  <c r="P36" i="29"/>
  <c r="R57" i="30"/>
  <c r="N23" i="24"/>
  <c r="K35" i="23"/>
  <c r="T20" i="38"/>
  <c r="U65" i="38"/>
  <c r="X50" i="46" s="1"/>
  <c r="U56" i="46"/>
  <c r="N56" i="24"/>
  <c r="M36" i="24"/>
  <c r="O73" i="24"/>
  <c r="I5" i="22"/>
  <c r="L13" i="30" s="1"/>
  <c r="J14" i="23"/>
  <c r="I46" i="24"/>
  <c r="L163" i="30" s="1"/>
  <c r="M5" i="22"/>
  <c r="P13" i="30" s="1"/>
  <c r="N5" i="22"/>
  <c r="Q13" i="30" s="1"/>
  <c r="L5" i="22"/>
  <c r="O13" i="30" s="1"/>
  <c r="U5" i="22"/>
  <c r="X13" i="30" s="1"/>
  <c r="Q5" i="22"/>
  <c r="T13" i="30" s="1"/>
  <c r="S5" i="22"/>
  <c r="V13" i="30" s="1"/>
  <c r="O18" i="22"/>
  <c r="K18" i="22"/>
  <c r="L18" i="22"/>
  <c r="S18" i="22"/>
  <c r="T18" i="22"/>
  <c r="J18" i="22"/>
  <c r="J37" i="23"/>
  <c r="J18" i="23"/>
  <c r="L57" i="61"/>
  <c r="V57" i="61"/>
  <c r="L26" i="61"/>
  <c r="S26" i="61"/>
  <c r="W26" i="61"/>
  <c r="R26" i="61"/>
  <c r="W176" i="29"/>
  <c r="X57" i="61"/>
  <c r="L49" i="61"/>
  <c r="M49" i="61"/>
  <c r="R49" i="61"/>
  <c r="V49" i="61"/>
  <c r="P55" i="46"/>
  <c r="K42" i="15"/>
  <c r="I42" i="15"/>
  <c r="T31" i="22"/>
  <c r="W28" i="30" s="1"/>
  <c r="S31" i="22"/>
  <c r="V28" i="30" s="1"/>
  <c r="P31" i="22"/>
  <c r="S28" i="30" s="1"/>
  <c r="J44" i="22"/>
  <c r="M37" i="30" s="1"/>
  <c r="L44" i="22"/>
  <c r="O37" i="30" s="1"/>
  <c r="I27" i="22"/>
  <c r="L25" i="30" s="1"/>
  <c r="M27" i="22"/>
  <c r="P25" i="30" s="1"/>
  <c r="S27" i="22"/>
  <c r="V25" i="30" s="1"/>
  <c r="T35" i="23"/>
  <c r="Q35" i="23"/>
  <c r="O35" i="23"/>
  <c r="I40" i="24"/>
  <c r="M40" i="24"/>
  <c r="P40" i="24"/>
  <c r="T40" i="24"/>
  <c r="J32" i="24"/>
  <c r="N32" i="24"/>
  <c r="K32" i="24"/>
  <c r="T32" i="24"/>
  <c r="O32" i="24"/>
  <c r="S32" i="24"/>
  <c r="N17" i="24"/>
  <c r="P17" i="24"/>
  <c r="O17" i="24"/>
  <c r="S17" i="24"/>
  <c r="K17" i="24"/>
  <c r="X33" i="29"/>
  <c r="X23" i="29"/>
  <c r="X32" i="29"/>
  <c r="X50" i="29"/>
  <c r="X13" i="29"/>
  <c r="X15" i="29"/>
  <c r="X30" i="29"/>
  <c r="X19" i="29"/>
  <c r="X27" i="29"/>
  <c r="R28" i="29"/>
  <c r="Q28" i="29"/>
  <c r="S28" i="29"/>
  <c r="N28" i="29"/>
  <c r="Z28" i="29"/>
  <c r="V28" i="29"/>
  <c r="L43" i="38"/>
  <c r="O38" i="46" s="1"/>
  <c r="I43" i="38"/>
  <c r="L38" i="46" s="1"/>
  <c r="J43" i="38"/>
  <c r="M38" i="46" s="1"/>
  <c r="O43" i="38"/>
  <c r="R38" i="46" s="1"/>
  <c r="U43" i="38"/>
  <c r="X38" i="46" s="1"/>
  <c r="I35" i="38"/>
  <c r="L34" i="46" s="1"/>
  <c r="O35" i="38"/>
  <c r="R34" i="46" s="1"/>
  <c r="U35" i="38"/>
  <c r="X34" i="46" s="1"/>
  <c r="L35" i="38"/>
  <c r="O34" i="46" s="1"/>
  <c r="T35" i="38"/>
  <c r="W34" i="46" s="1"/>
  <c r="R35" i="38"/>
  <c r="U34" i="46" s="1"/>
  <c r="Q35" i="38"/>
  <c r="T34" i="46" s="1"/>
  <c r="N35" i="38"/>
  <c r="Q34" i="46" s="1"/>
  <c r="J27" i="38"/>
  <c r="M26" i="46" s="1"/>
  <c r="I27" i="38"/>
  <c r="L26" i="46" s="1"/>
  <c r="Q27" i="38"/>
  <c r="T26" i="46" s="1"/>
  <c r="K27" i="38"/>
  <c r="N26" i="46" s="1"/>
  <c r="O27" i="38"/>
  <c r="R26" i="46" s="1"/>
  <c r="L27" i="38"/>
  <c r="O26" i="46" s="1"/>
  <c r="I17" i="38"/>
  <c r="L21" i="46" s="1"/>
  <c r="J17" i="38"/>
  <c r="M21" i="46" s="1"/>
  <c r="Q17" i="38"/>
  <c r="T21" i="46" s="1"/>
  <c r="L17" i="38"/>
  <c r="O21" i="46" s="1"/>
  <c r="T17" i="38"/>
  <c r="W21" i="46" s="1"/>
  <c r="U17" i="38"/>
  <c r="X21" i="46" s="1"/>
  <c r="O17" i="38"/>
  <c r="R21" i="46" s="1"/>
  <c r="K61" i="15"/>
  <c r="I61" i="15"/>
  <c r="J53" i="38"/>
  <c r="R53" i="38"/>
  <c r="U53" i="38"/>
  <c r="S53" i="38"/>
  <c r="I53" i="38"/>
  <c r="I65" i="38"/>
  <c r="L50" i="46" s="1"/>
  <c r="S65" i="38"/>
  <c r="V50" i="46" s="1"/>
  <c r="R65" i="38"/>
  <c r="U50" i="46" s="1"/>
  <c r="M65" i="38"/>
  <c r="P50" i="46" s="1"/>
  <c r="O65" i="38"/>
  <c r="R50" i="46" s="1"/>
  <c r="R54" i="22"/>
  <c r="Q54" i="22"/>
  <c r="N54" i="22"/>
  <c r="O54" i="22"/>
  <c r="K54" i="22"/>
  <c r="L54" i="22"/>
  <c r="J71" i="22"/>
  <c r="O71" i="22"/>
  <c r="M71" i="22"/>
  <c r="L71" i="22"/>
  <c r="J55" i="23"/>
  <c r="U55" i="23"/>
  <c r="Q55" i="23"/>
  <c r="P55" i="23"/>
  <c r="O55" i="23"/>
  <c r="J72" i="23"/>
  <c r="I72" i="23"/>
  <c r="P72" i="23"/>
  <c r="O72" i="23"/>
  <c r="Q72" i="23"/>
  <c r="L72" i="23"/>
  <c r="J68" i="24"/>
  <c r="P68" i="24"/>
  <c r="L68" i="24"/>
  <c r="K68" i="24"/>
  <c r="O68" i="24"/>
  <c r="M54" i="50"/>
  <c r="Z54" i="50" s="1"/>
  <c r="W54" i="50"/>
  <c r="Q54" i="50"/>
  <c r="L54" i="50"/>
  <c r="U54" i="50"/>
  <c r="P30" i="29"/>
  <c r="T20" i="29"/>
  <c r="T47" i="50"/>
  <c r="T43" i="29"/>
  <c r="M73" i="24"/>
  <c r="S55" i="23"/>
  <c r="S65" i="23"/>
  <c r="S72" i="23"/>
  <c r="M32" i="24"/>
  <c r="L36" i="24"/>
  <c r="N40" i="24"/>
  <c r="U75" i="38"/>
  <c r="X53" i="46" s="1"/>
  <c r="U32" i="38"/>
  <c r="X30" i="46" s="1"/>
  <c r="Q65" i="38"/>
  <c r="T50" i="46" s="1"/>
  <c r="Q43" i="38"/>
  <c r="T38" i="46" s="1"/>
  <c r="K65" i="38"/>
  <c r="N50" i="46" s="1"/>
  <c r="P61" i="38"/>
  <c r="S49" i="46" s="1"/>
  <c r="S72" i="38"/>
  <c r="P71" i="22"/>
  <c r="N49" i="23"/>
  <c r="K49" i="23"/>
  <c r="L36" i="22"/>
  <c r="O33" i="30" s="1"/>
  <c r="X54" i="50"/>
  <c r="U58" i="46"/>
  <c r="X26" i="61"/>
  <c r="P34" i="61"/>
  <c r="U49" i="61"/>
  <c r="X14" i="29"/>
  <c r="P39" i="29"/>
  <c r="R56" i="24"/>
  <c r="Q77" i="23"/>
  <c r="M61" i="38"/>
  <c r="P49" i="46" s="1"/>
  <c r="R15" i="22"/>
  <c r="U19" i="30" s="1"/>
  <c r="O58" i="38"/>
  <c r="R46" i="46" s="1"/>
  <c r="R54" i="50"/>
  <c r="X45" i="29"/>
  <c r="T72" i="38"/>
  <c r="P52" i="24"/>
  <c r="O59" i="23"/>
  <c r="W55" i="46"/>
  <c r="S75" i="38"/>
  <c r="V53" i="46" s="1"/>
  <c r="L75" i="38"/>
  <c r="O53" i="46" s="1"/>
  <c r="P73" i="24"/>
  <c r="P17" i="38"/>
  <c r="S21" i="46" s="1"/>
  <c r="T61" i="38"/>
  <c r="W49" i="46" s="1"/>
  <c r="T65" i="38"/>
  <c r="W50" i="46" s="1"/>
  <c r="U55" i="46"/>
  <c r="O55" i="46"/>
  <c r="U59" i="23"/>
  <c r="I18" i="38"/>
  <c r="I18" i="22"/>
  <c r="J26" i="23"/>
  <c r="I15" i="23"/>
  <c r="S36" i="50"/>
  <c r="M36" i="50"/>
  <c r="Z36" i="50" s="1"/>
  <c r="L36" i="50"/>
  <c r="R19" i="50"/>
  <c r="V52" i="50"/>
  <c r="V57" i="50"/>
  <c r="V49" i="50"/>
  <c r="V41" i="50"/>
  <c r="V17" i="50"/>
  <c r="V35" i="50"/>
  <c r="V33" i="50"/>
  <c r="M32" i="50"/>
  <c r="Z32" i="50" s="1"/>
  <c r="U32" i="50"/>
  <c r="L32" i="50"/>
  <c r="S32" i="50"/>
  <c r="L15" i="50"/>
  <c r="M15" i="50"/>
  <c r="Z15" i="50" s="1"/>
  <c r="R28" i="50"/>
  <c r="R35" i="50"/>
  <c r="M55" i="61"/>
  <c r="P55" i="61"/>
  <c r="M40" i="61"/>
  <c r="L40" i="61"/>
  <c r="M32" i="61"/>
  <c r="L32" i="61"/>
  <c r="M29" i="22"/>
  <c r="P27" i="30" s="1"/>
  <c r="M18" i="22"/>
  <c r="J41" i="24"/>
  <c r="K5" i="15"/>
  <c r="J5" i="15"/>
  <c r="J28" i="22"/>
  <c r="M26" i="30" s="1"/>
  <c r="J28" i="23"/>
  <c r="I17" i="23"/>
  <c r="J17" i="23"/>
  <c r="I37" i="24"/>
  <c r="I25" i="24"/>
  <c r="J18" i="24"/>
  <c r="I13" i="24"/>
  <c r="J13" i="24"/>
  <c r="K53" i="15"/>
  <c r="J57" i="15"/>
  <c r="J61" i="15"/>
  <c r="I54" i="22"/>
  <c r="J54" i="22"/>
  <c r="J73" i="24"/>
  <c r="T48" i="50"/>
  <c r="M48" i="50"/>
  <c r="Z48" i="50" s="1"/>
  <c r="U18" i="22"/>
  <c r="U38" i="22"/>
  <c r="X34" i="30" s="1"/>
  <c r="S29" i="22"/>
  <c r="V27" i="30" s="1"/>
  <c r="T38" i="22"/>
  <c r="W34" i="30" s="1"/>
  <c r="Q29" i="24"/>
  <c r="Q18" i="22"/>
  <c r="K17" i="15"/>
  <c r="J29" i="22"/>
  <c r="M27" i="30" s="1"/>
  <c r="J29" i="24"/>
  <c r="I14" i="22"/>
  <c r="L18" i="30" s="1"/>
  <c r="J46" i="24"/>
  <c r="M163" i="30" s="1"/>
  <c r="I32" i="24"/>
  <c r="I17" i="24"/>
  <c r="J17" i="24"/>
  <c r="J10" i="24"/>
  <c r="P48" i="38"/>
  <c r="S17" i="77" s="1"/>
  <c r="P76" i="38"/>
  <c r="P67" i="38"/>
  <c r="S21" i="77" s="1"/>
  <c r="P47" i="38"/>
  <c r="S16" i="77" s="1"/>
  <c r="P63" i="38"/>
  <c r="R19" i="71" s="1"/>
  <c r="P51" i="38"/>
  <c r="S18" i="77" s="1"/>
  <c r="P12" i="38"/>
  <c r="S13" i="77" s="1"/>
  <c r="P66" i="38"/>
  <c r="S20" i="77" s="1"/>
  <c r="P69" i="38"/>
  <c r="S22" i="77" s="1"/>
  <c r="L16" i="38"/>
  <c r="N16" i="71" s="1"/>
  <c r="L44" i="38"/>
  <c r="L24" i="38"/>
  <c r="L63" i="38"/>
  <c r="N19" i="71" s="1"/>
  <c r="L45" i="38"/>
  <c r="O15" i="77" s="1"/>
  <c r="L47" i="38"/>
  <c r="O16" i="77" s="1"/>
  <c r="L48" i="38"/>
  <c r="O17" i="77" s="1"/>
  <c r="L12" i="38"/>
  <c r="O13" i="77" s="1"/>
  <c r="L51" i="38"/>
  <c r="O18" i="77" s="1"/>
  <c r="L76" i="38"/>
  <c r="L11" i="38"/>
  <c r="N15" i="71" s="1"/>
  <c r="L64" i="38"/>
  <c r="J5" i="24"/>
  <c r="J40" i="15"/>
  <c r="J36" i="15"/>
  <c r="K30" i="15"/>
  <c r="K6" i="15"/>
  <c r="J6" i="15"/>
  <c r="M56" i="61"/>
  <c r="L56" i="61"/>
  <c r="M25" i="61"/>
  <c r="L25" i="61"/>
  <c r="K19" i="38"/>
  <c r="J19" i="38"/>
  <c r="P19" i="38"/>
  <c r="S14" i="77" s="1"/>
  <c r="R19" i="38"/>
  <c r="U14" i="77" s="1"/>
  <c r="T19" i="38"/>
  <c r="W14" i="77" s="1"/>
  <c r="M19" i="38"/>
  <c r="P14" i="77" s="1"/>
  <c r="S19" i="38"/>
  <c r="V14" i="77" s="1"/>
  <c r="O19" i="38"/>
  <c r="R14" i="77" s="1"/>
  <c r="Q19" i="38"/>
  <c r="T14" i="77" s="1"/>
  <c r="N5" i="24"/>
  <c r="I61" i="22"/>
  <c r="L47" i="30" s="1"/>
  <c r="I74" i="22"/>
  <c r="L50" i="30" s="1"/>
  <c r="J74" i="22"/>
  <c r="M50" i="30" s="1"/>
  <c r="J59" i="24"/>
  <c r="I72" i="24"/>
  <c r="M18" i="50"/>
  <c r="Z18" i="50" s="1"/>
  <c r="L18" i="50"/>
  <c r="M54" i="61"/>
  <c r="L54" i="61"/>
  <c r="M23" i="61"/>
  <c r="L23" i="61"/>
  <c r="J5" i="22"/>
  <c r="M13" i="30" s="1"/>
  <c r="J5" i="23"/>
  <c r="M75" i="30" s="1"/>
  <c r="I29" i="23"/>
  <c r="J29" i="23"/>
  <c r="I54" i="23"/>
  <c r="J54" i="23"/>
  <c r="J58" i="23"/>
  <c r="T71" i="23"/>
  <c r="I71" i="23"/>
  <c r="J75" i="23"/>
  <c r="L43" i="61"/>
  <c r="L50" i="61"/>
  <c r="L29" i="61"/>
  <c r="L36" i="61"/>
  <c r="M31" i="50"/>
  <c r="Z31" i="50" s="1"/>
  <c r="M45" i="50"/>
  <c r="Z45" i="50" s="1"/>
  <c r="M28" i="50"/>
  <c r="Z28" i="50" s="1"/>
  <c r="M44" i="50"/>
  <c r="Z44" i="50" s="1"/>
  <c r="S11" i="38"/>
  <c r="U15" i="71" s="1"/>
  <c r="S16" i="38"/>
  <c r="U16" i="71" s="1"/>
  <c r="S7" i="38"/>
  <c r="U13" i="71" s="1"/>
  <c r="S8" i="38"/>
  <c r="U14" i="71" s="1"/>
  <c r="S48" i="38"/>
  <c r="V17" i="77" s="1"/>
  <c r="S76" i="38"/>
  <c r="S45" i="38"/>
  <c r="V15" i="77" s="1"/>
  <c r="S51" i="38"/>
  <c r="V18" i="77" s="1"/>
  <c r="S12" i="38"/>
  <c r="V13" i="77" s="1"/>
  <c r="S64" i="38"/>
  <c r="S67" i="38"/>
  <c r="V21" i="77" s="1"/>
  <c r="O24" i="38"/>
  <c r="O11" i="38"/>
  <c r="Q15" i="71" s="1"/>
  <c r="O45" i="38"/>
  <c r="R15" i="77" s="1"/>
  <c r="O47" i="38"/>
  <c r="R16" i="77" s="1"/>
  <c r="O51" i="38"/>
  <c r="R18" i="77" s="1"/>
  <c r="O64" i="38"/>
  <c r="O67" i="38"/>
  <c r="R21" i="77" s="1"/>
  <c r="M39" i="50"/>
  <c r="Z39" i="50" s="1"/>
  <c r="I22" i="15"/>
  <c r="I24" i="15"/>
  <c r="T22" i="24"/>
  <c r="T45" i="24"/>
  <c r="W125" i="81" s="1"/>
  <c r="T12" i="24"/>
  <c r="W123" i="81" s="1"/>
  <c r="T19" i="24"/>
  <c r="W124" i="81" s="1"/>
  <c r="T64" i="24"/>
  <c r="J12" i="24"/>
  <c r="M123" i="81" s="1"/>
  <c r="J69" i="24"/>
  <c r="M132" i="81" s="1"/>
  <c r="J64" i="24"/>
  <c r="J10" i="22"/>
  <c r="M16" i="30" s="1"/>
  <c r="J40" i="23"/>
  <c r="S47" i="38"/>
  <c r="V16" i="77" s="1"/>
  <c r="O12" i="38"/>
  <c r="R13" i="77" s="1"/>
  <c r="T69" i="24"/>
  <c r="W132" i="81" s="1"/>
  <c r="K19" i="22"/>
  <c r="N14" i="81" s="1"/>
  <c r="S19" i="22"/>
  <c r="V14" i="81" s="1"/>
  <c r="O19" i="22"/>
  <c r="R14" i="81" s="1"/>
  <c r="N19" i="22"/>
  <c r="Q14" i="81" s="1"/>
  <c r="O48" i="22"/>
  <c r="R16" i="81" s="1"/>
  <c r="O66" i="23"/>
  <c r="R75" i="81" s="1"/>
  <c r="K51" i="23"/>
  <c r="N73" i="81" s="1"/>
  <c r="N51" i="23"/>
  <c r="Q73" i="81" s="1"/>
  <c r="J51" i="23"/>
  <c r="M73" i="81" s="1"/>
  <c r="O51" i="23"/>
  <c r="R73" i="81" s="1"/>
  <c r="L51" i="23"/>
  <c r="O73" i="81" s="1"/>
  <c r="Q51" i="23"/>
  <c r="T73" i="81" s="1"/>
  <c r="R51" i="23"/>
  <c r="U73" i="81" s="1"/>
  <c r="O69" i="24"/>
  <c r="R132" i="81" s="1"/>
  <c r="I69" i="24"/>
  <c r="L132" i="81" s="1"/>
  <c r="P69" i="24"/>
  <c r="S132" i="81" s="1"/>
  <c r="N69" i="24"/>
  <c r="Q132" i="81" s="1"/>
  <c r="U69" i="24"/>
  <c r="X132" i="81" s="1"/>
  <c r="K69" i="24"/>
  <c r="N132" i="81" s="1"/>
  <c r="Q69" i="24"/>
  <c r="T132" i="81" s="1"/>
  <c r="Q77" i="22"/>
  <c r="O77" i="22"/>
  <c r="T69" i="23"/>
  <c r="W77" i="81" s="1"/>
  <c r="P69" i="23"/>
  <c r="S77" i="81" s="1"/>
  <c r="Q69" i="23"/>
  <c r="T77" i="81" s="1"/>
  <c r="S69" i="23"/>
  <c r="V77" i="81" s="1"/>
  <c r="U69" i="23"/>
  <c r="X77" i="81" s="1"/>
  <c r="N69" i="23"/>
  <c r="Q77" i="81" s="1"/>
  <c r="R69" i="23"/>
  <c r="U77" i="81" s="1"/>
  <c r="S66" i="24"/>
  <c r="V130" i="81" s="1"/>
  <c r="K19" i="24"/>
  <c r="N124" i="81" s="1"/>
  <c r="N19" i="24"/>
  <c r="Q124" i="81" s="1"/>
  <c r="Q19" i="24"/>
  <c r="T124" i="81" s="1"/>
  <c r="I19" i="24"/>
  <c r="L124" i="81" s="1"/>
  <c r="S19" i="24"/>
  <c r="V124" i="81" s="1"/>
  <c r="U19" i="24"/>
  <c r="X124" i="81" s="1"/>
  <c r="J19" i="24"/>
  <c r="M124" i="81" s="1"/>
  <c r="U47" i="23"/>
  <c r="X71" i="81" s="1"/>
  <c r="O47" i="23"/>
  <c r="R71" i="81" s="1"/>
  <c r="O64" i="23"/>
  <c r="R64" i="23"/>
  <c r="T64" i="23"/>
  <c r="I64" i="23"/>
  <c r="M64" i="23"/>
  <c r="P64" i="23"/>
  <c r="R19" i="23"/>
  <c r="U69" i="81" s="1"/>
  <c r="S19" i="23"/>
  <c r="V69" i="81" s="1"/>
  <c r="O19" i="23"/>
  <c r="R69" i="81" s="1"/>
  <c r="P19" i="23"/>
  <c r="S69" i="81" s="1"/>
  <c r="I12" i="24"/>
  <c r="L123" i="81" s="1"/>
  <c r="R12" i="24"/>
  <c r="U123" i="81" s="1"/>
  <c r="O12" i="24"/>
  <c r="R123" i="81" s="1"/>
  <c r="N12" i="24"/>
  <c r="Q123" i="81" s="1"/>
  <c r="S12" i="24"/>
  <c r="V123" i="81" s="1"/>
  <c r="M22" i="22"/>
  <c r="M8" i="22"/>
  <c r="O14" i="75" s="1"/>
  <c r="M65" i="22"/>
  <c r="M12" i="22"/>
  <c r="P13" i="81" s="1"/>
  <c r="M70" i="22"/>
  <c r="P22" i="81" s="1"/>
  <c r="M49" i="22"/>
  <c r="P17" i="81" s="1"/>
  <c r="M52" i="22"/>
  <c r="P18" i="81" s="1"/>
  <c r="K45" i="22"/>
  <c r="O45" i="22"/>
  <c r="I45" i="22"/>
  <c r="P45" i="22"/>
  <c r="Q45" i="22"/>
  <c r="U45" i="22"/>
  <c r="N45" i="22"/>
  <c r="R77" i="22"/>
  <c r="P77" i="22"/>
  <c r="S51" i="23"/>
  <c r="V73" i="81" s="1"/>
  <c r="S67" i="23"/>
  <c r="V76" i="81" s="1"/>
  <c r="L67" i="23"/>
  <c r="O76" i="81" s="1"/>
  <c r="I51" i="23"/>
  <c r="L73" i="81" s="1"/>
  <c r="K76" i="24"/>
  <c r="P76" i="24"/>
  <c r="P45" i="24"/>
  <c r="S125" i="81" s="1"/>
  <c r="Q45" i="24"/>
  <c r="T125" i="81" s="1"/>
  <c r="I45" i="24"/>
  <c r="L125" i="81" s="1"/>
  <c r="U45" i="24"/>
  <c r="X125" i="81" s="1"/>
  <c r="N45" i="24"/>
  <c r="Q125" i="81" s="1"/>
  <c r="M45" i="24"/>
  <c r="P125" i="81" s="1"/>
  <c r="J66" i="15"/>
  <c r="M130" i="76" s="1"/>
  <c r="J19" i="22"/>
  <c r="M14" i="81" s="1"/>
  <c r="M19" i="22"/>
  <c r="P14" i="81" s="1"/>
  <c r="U19" i="22"/>
  <c r="X14" i="81" s="1"/>
  <c r="Q19" i="22"/>
  <c r="T14" i="81" s="1"/>
  <c r="P19" i="22"/>
  <c r="S14" i="81" s="1"/>
  <c r="T19" i="22"/>
  <c r="W14" i="81" s="1"/>
  <c r="P47" i="23"/>
  <c r="S71" i="81" s="1"/>
  <c r="Q47" i="23"/>
  <c r="T71" i="81" s="1"/>
  <c r="K47" i="23"/>
  <c r="N71" i="81" s="1"/>
  <c r="J66" i="24"/>
  <c r="M130" i="81" s="1"/>
  <c r="L66" i="24"/>
  <c r="O130" i="81" s="1"/>
  <c r="P66" i="24"/>
  <c r="S130" i="81" s="1"/>
  <c r="T66" i="24"/>
  <c r="W130" i="81" s="1"/>
  <c r="O66" i="24"/>
  <c r="R130" i="81" s="1"/>
  <c r="I77" i="22"/>
  <c r="N77" i="22"/>
  <c r="J77" i="22"/>
  <c r="K77" i="22"/>
  <c r="N52" i="22"/>
  <c r="Q18" i="81" s="1"/>
  <c r="S52" i="22"/>
  <c r="V18" i="81" s="1"/>
  <c r="U52" i="22"/>
  <c r="X18" i="81" s="1"/>
  <c r="N48" i="22"/>
  <c r="Q16" i="81" s="1"/>
  <c r="P48" i="22"/>
  <c r="S16" i="81" s="1"/>
  <c r="T48" i="22"/>
  <c r="W16" i="81" s="1"/>
  <c r="R48" i="22"/>
  <c r="U16" i="81" s="1"/>
  <c r="U19" i="23"/>
  <c r="X69" i="81" s="1"/>
  <c r="T19" i="23"/>
  <c r="W69" i="81" s="1"/>
  <c r="M19" i="23"/>
  <c r="P69" i="81" s="1"/>
  <c r="K67" i="22"/>
  <c r="N20" i="81" s="1"/>
  <c r="L12" i="22"/>
  <c r="O13" i="81" s="1"/>
  <c r="S12" i="22"/>
  <c r="V13" i="81" s="1"/>
  <c r="Q63" i="38"/>
  <c r="S19" i="71" s="1"/>
  <c r="J63" i="38"/>
  <c r="K63" i="38"/>
  <c r="T44" i="38"/>
  <c r="T24" i="38"/>
  <c r="T67" i="22"/>
  <c r="W20" i="81" s="1"/>
  <c r="J47" i="23"/>
  <c r="M71" i="81" s="1"/>
  <c r="J19" i="23"/>
  <c r="M69" i="81" s="1"/>
  <c r="L19" i="23"/>
  <c r="O69" i="81" s="1"/>
  <c r="Q19" i="23"/>
  <c r="T69" i="81" s="1"/>
  <c r="K19" i="23"/>
  <c r="N69" i="81" s="1"/>
  <c r="J67" i="24"/>
  <c r="M131" i="81" s="1"/>
  <c r="L67" i="24"/>
  <c r="O131" i="81" s="1"/>
  <c r="T67" i="24"/>
  <c r="W131" i="81" s="1"/>
  <c r="I52" i="22"/>
  <c r="L18" i="81" s="1"/>
  <c r="O52" i="22"/>
  <c r="R18" i="81" s="1"/>
  <c r="P52" i="22"/>
  <c r="S18" i="81" s="1"/>
  <c r="R52" i="22"/>
  <c r="U18" i="81" s="1"/>
  <c r="I11" i="15"/>
  <c r="K125" i="70" s="1"/>
  <c r="I7" i="15"/>
  <c r="K123" i="70" s="1"/>
  <c r="K7" i="15"/>
  <c r="M123" i="70" s="1"/>
  <c r="K67" i="38"/>
  <c r="J67" i="38"/>
  <c r="N16" i="22"/>
  <c r="P16" i="75" s="1"/>
  <c r="N46" i="22"/>
  <c r="Q15" i="81" s="1"/>
  <c r="J48" i="24"/>
  <c r="M127" i="81" s="1"/>
  <c r="I67" i="22"/>
  <c r="L20" i="81" s="1"/>
  <c r="Q67" i="22"/>
  <c r="T20" i="81" s="1"/>
  <c r="L67" i="22"/>
  <c r="O20" i="81" s="1"/>
  <c r="S67" i="22"/>
  <c r="V20" i="81" s="1"/>
  <c r="I63" i="15"/>
  <c r="K129" i="70" s="1"/>
  <c r="J63" i="15"/>
  <c r="L129" i="70" s="1"/>
  <c r="J70" i="22"/>
  <c r="M22" i="81" s="1"/>
  <c r="Q70" i="22"/>
  <c r="T22" i="81" s="1"/>
  <c r="P48" i="23"/>
  <c r="S72" i="81" s="1"/>
  <c r="M66" i="24"/>
  <c r="P130" i="81" s="1"/>
  <c r="K76" i="38"/>
  <c r="K47" i="38"/>
  <c r="T16" i="22"/>
  <c r="V16" i="75" s="1"/>
  <c r="T64" i="22"/>
  <c r="V19" i="75" s="1"/>
  <c r="S22" i="23"/>
  <c r="S11" i="23"/>
  <c r="U70" i="75" s="1"/>
  <c r="S7" i="23"/>
  <c r="U68" i="75" s="1"/>
  <c r="S44" i="23"/>
  <c r="S11" i="22"/>
  <c r="U15" i="75" s="1"/>
  <c r="O11" i="22"/>
  <c r="Q15" i="75" s="1"/>
  <c r="Q11" i="22"/>
  <c r="S15" i="75" s="1"/>
  <c r="I7" i="22"/>
  <c r="K13" i="75" s="1"/>
  <c r="R7" i="22"/>
  <c r="T13" i="75" s="1"/>
  <c r="Q7" i="22"/>
  <c r="S13" i="75" s="1"/>
  <c r="T7" i="22"/>
  <c r="V13" i="75" s="1"/>
  <c r="K44" i="24"/>
  <c r="T44" i="24"/>
  <c r="U44" i="24"/>
  <c r="N44" i="24"/>
  <c r="I44" i="15"/>
  <c r="K64" i="38"/>
  <c r="K48" i="38"/>
  <c r="J48" i="38"/>
  <c r="R44" i="38"/>
  <c r="T79" i="22"/>
  <c r="V20" i="75" s="1"/>
  <c r="K12" i="38"/>
  <c r="K8" i="38"/>
  <c r="M8" i="38"/>
  <c r="O14" i="71" s="1"/>
  <c r="O8" i="38"/>
  <c r="Q14" i="71" s="1"/>
  <c r="N8" i="38"/>
  <c r="P14" i="71" s="1"/>
  <c r="J44" i="38"/>
  <c r="K44" i="38"/>
  <c r="K24" i="38"/>
  <c r="M24" i="38"/>
  <c r="Q24" i="38"/>
  <c r="I16" i="38"/>
  <c r="Q7" i="38"/>
  <c r="S13" i="71" s="1"/>
  <c r="Q79" i="22"/>
  <c r="S20" i="75" s="1"/>
  <c r="Q16" i="22"/>
  <c r="S16" i="75" s="1"/>
  <c r="Q22" i="22"/>
  <c r="Q24" i="22"/>
  <c r="I64" i="22"/>
  <c r="K19" i="75" s="1"/>
  <c r="I78" i="15"/>
  <c r="K130" i="70" s="1"/>
  <c r="R11" i="38"/>
  <c r="T15" i="71" s="1"/>
  <c r="T11" i="38"/>
  <c r="V15" i="71" s="1"/>
  <c r="T63" i="38"/>
  <c r="V19" i="71" s="1"/>
  <c r="O22" i="24"/>
  <c r="O11" i="24"/>
  <c r="Q125" i="75" s="1"/>
  <c r="L64" i="22"/>
  <c r="N19" i="75" s="1"/>
  <c r="K64" i="22"/>
  <c r="M19" i="75" s="1"/>
  <c r="I22" i="22"/>
  <c r="S22" i="22"/>
  <c r="T78" i="23"/>
  <c r="V75" i="75" s="1"/>
  <c r="M78" i="23"/>
  <c r="O75" i="75" s="1"/>
  <c r="O63" i="24"/>
  <c r="Q129" i="75" s="1"/>
  <c r="S63" i="24"/>
  <c r="U129" i="75" s="1"/>
  <c r="R24" i="22"/>
  <c r="O22" i="22"/>
  <c r="L22" i="22"/>
  <c r="K22" i="22"/>
  <c r="M8" i="23"/>
  <c r="O69" i="75" s="1"/>
  <c r="S8" i="23"/>
  <c r="U69" i="75" s="1"/>
  <c r="T8" i="23"/>
  <c r="V69" i="75" s="1"/>
  <c r="U63" i="24"/>
  <c r="W129" i="75" s="1"/>
  <c r="M11" i="24"/>
  <c r="O125" i="75" s="1"/>
  <c r="M8" i="24"/>
  <c r="O124" i="75" s="1"/>
  <c r="J79" i="22"/>
  <c r="L20" i="75" s="1"/>
  <c r="K7" i="23"/>
  <c r="M68" i="75" s="1"/>
  <c r="N8" i="24"/>
  <c r="P124" i="75" s="1"/>
  <c r="N22" i="24"/>
  <c r="I79" i="22"/>
  <c r="K20" i="75" s="1"/>
  <c r="I15" i="22"/>
  <c r="L19" i="30" s="1"/>
  <c r="N15" i="22"/>
  <c r="Q19" i="30" s="1"/>
  <c r="M15" i="22"/>
  <c r="P19" i="30" s="1"/>
  <c r="J15" i="22"/>
  <c r="M19" i="30" s="1"/>
  <c r="K15" i="22"/>
  <c r="N19" i="30" s="1"/>
  <c r="T15" i="22"/>
  <c r="W19" i="30" s="1"/>
  <c r="L15" i="22"/>
  <c r="O19" i="30" s="1"/>
  <c r="Q15" i="22"/>
  <c r="T19" i="30" s="1"/>
  <c r="J27" i="22"/>
  <c r="M25" i="30" s="1"/>
  <c r="R27" i="22"/>
  <c r="U25" i="30" s="1"/>
  <c r="N27" i="22"/>
  <c r="Q25" i="30" s="1"/>
  <c r="Q27" i="22"/>
  <c r="T25" i="30" s="1"/>
  <c r="K27" i="22"/>
  <c r="N25" i="30" s="1"/>
  <c r="L27" i="22"/>
  <c r="O25" i="30" s="1"/>
  <c r="P27" i="22"/>
  <c r="S25" i="30" s="1"/>
  <c r="I36" i="22"/>
  <c r="L33" i="30" s="1"/>
  <c r="M36" i="22"/>
  <c r="P33" i="30" s="1"/>
  <c r="T36" i="22"/>
  <c r="W33" i="30" s="1"/>
  <c r="K36" i="22"/>
  <c r="N33" i="30" s="1"/>
  <c r="Q36" i="22"/>
  <c r="T33" i="30" s="1"/>
  <c r="S36" i="22"/>
  <c r="V33" i="30" s="1"/>
  <c r="P36" i="22"/>
  <c r="S33" i="30" s="1"/>
  <c r="I44" i="22"/>
  <c r="L37" i="30" s="1"/>
  <c r="K44" i="22"/>
  <c r="N37" i="30" s="1"/>
  <c r="S44" i="22"/>
  <c r="V37" i="30" s="1"/>
  <c r="U44" i="22"/>
  <c r="X37" i="30" s="1"/>
  <c r="R44" i="22"/>
  <c r="U37" i="30" s="1"/>
  <c r="M44" i="22"/>
  <c r="P37" i="30" s="1"/>
  <c r="R40" i="22"/>
  <c r="U36" i="30" s="1"/>
  <c r="N40" i="22"/>
  <c r="Q36" i="30" s="1"/>
  <c r="I40" i="22"/>
  <c r="L36" i="30" s="1"/>
  <c r="S40" i="22"/>
  <c r="V36" i="30" s="1"/>
  <c r="J40" i="22"/>
  <c r="M36" i="30" s="1"/>
  <c r="T40" i="22"/>
  <c r="W36" i="30" s="1"/>
  <c r="K40" i="22"/>
  <c r="N36" i="30" s="1"/>
  <c r="U40" i="22"/>
  <c r="X36" i="30" s="1"/>
  <c r="M40" i="22"/>
  <c r="P36" i="30" s="1"/>
  <c r="O40" i="22"/>
  <c r="R36" i="30" s="1"/>
  <c r="Q40" i="22"/>
  <c r="T36" i="30" s="1"/>
  <c r="L40" i="22"/>
  <c r="O36" i="30" s="1"/>
  <c r="P40" i="22"/>
  <c r="S36" i="30" s="1"/>
  <c r="M31" i="22"/>
  <c r="P28" i="30" s="1"/>
  <c r="Q31" i="22"/>
  <c r="T28" i="30" s="1"/>
  <c r="K31" i="22"/>
  <c r="N28" i="30" s="1"/>
  <c r="J31" i="22"/>
  <c r="M28" i="30" s="1"/>
  <c r="L31" i="22"/>
  <c r="O28" i="30" s="1"/>
  <c r="O31" i="22"/>
  <c r="R28" i="30" s="1"/>
  <c r="U31" i="22"/>
  <c r="X28" i="30" s="1"/>
  <c r="N31" i="22"/>
  <c r="Q28" i="30" s="1"/>
  <c r="R31" i="22"/>
  <c r="U28" i="30" s="1"/>
  <c r="S21" i="22"/>
  <c r="V21" i="30" s="1"/>
  <c r="R21" i="22"/>
  <c r="U21" i="30" s="1"/>
  <c r="O21" i="22"/>
  <c r="R21" i="30" s="1"/>
  <c r="I21" i="22"/>
  <c r="L21" i="30" s="1"/>
  <c r="M21" i="22"/>
  <c r="P21" i="30" s="1"/>
  <c r="L21" i="22"/>
  <c r="O21" i="30" s="1"/>
  <c r="J21" i="22"/>
  <c r="M21" i="30" s="1"/>
  <c r="U21" i="22"/>
  <c r="X21" i="30" s="1"/>
  <c r="N21" i="22"/>
  <c r="Q21" i="30" s="1"/>
  <c r="T21" i="22"/>
  <c r="W21" i="30" s="1"/>
  <c r="J9" i="22"/>
  <c r="M15" i="30" s="1"/>
  <c r="S9" i="22"/>
  <c r="V15" i="30" s="1"/>
  <c r="Q9" i="22"/>
  <c r="T15" i="30" s="1"/>
  <c r="I9" i="22"/>
  <c r="L15" i="30" s="1"/>
  <c r="R9" i="22"/>
  <c r="U15" i="30" s="1"/>
  <c r="U9" i="22"/>
  <c r="X15" i="30" s="1"/>
  <c r="N9" i="22"/>
  <c r="Q15" i="30" s="1"/>
  <c r="O9" i="22"/>
  <c r="R15" i="30" s="1"/>
  <c r="M9" i="22"/>
  <c r="P15" i="30" s="1"/>
  <c r="K9" i="22"/>
  <c r="N15" i="30" s="1"/>
  <c r="L9" i="22"/>
  <c r="O15" i="30" s="1"/>
  <c r="P9" i="22"/>
  <c r="S15" i="30" s="1"/>
  <c r="I39" i="23"/>
  <c r="J39" i="23"/>
  <c r="Q39" i="23"/>
  <c r="T39" i="23"/>
  <c r="L39" i="23"/>
  <c r="I31" i="23"/>
  <c r="J31" i="23"/>
  <c r="P31" i="23"/>
  <c r="S31" i="23"/>
  <c r="M31" i="23"/>
  <c r="R31" i="23"/>
  <c r="O31" i="23"/>
  <c r="U31" i="23"/>
  <c r="K31" i="23"/>
  <c r="I21" i="23"/>
  <c r="L83" i="30" s="1"/>
  <c r="K21" i="23"/>
  <c r="N83" i="30" s="1"/>
  <c r="U21" i="23"/>
  <c r="X83" i="30" s="1"/>
  <c r="N21" i="23"/>
  <c r="Q83" i="30" s="1"/>
  <c r="M21" i="23"/>
  <c r="P83" i="30" s="1"/>
  <c r="O21" i="23"/>
  <c r="R83" i="30" s="1"/>
  <c r="R21" i="23"/>
  <c r="U83" i="30" s="1"/>
  <c r="Q9" i="23"/>
  <c r="J9" i="23"/>
  <c r="R9" i="23"/>
  <c r="K9" i="23"/>
  <c r="M9" i="23"/>
  <c r="T9" i="23"/>
  <c r="O9" i="23"/>
  <c r="P9" i="23"/>
  <c r="U9" i="23"/>
  <c r="J42" i="24"/>
  <c r="I42" i="24"/>
  <c r="O42" i="24"/>
  <c r="R42" i="24"/>
  <c r="K42" i="24"/>
  <c r="T42" i="24"/>
  <c r="P42" i="24"/>
  <c r="O38" i="24"/>
  <c r="M38" i="24"/>
  <c r="Q38" i="24"/>
  <c r="U38" i="24"/>
  <c r="J38" i="24"/>
  <c r="S38" i="24"/>
  <c r="R38" i="24"/>
  <c r="K38" i="24"/>
  <c r="J34" i="24"/>
  <c r="R34" i="24"/>
  <c r="M34" i="24"/>
  <c r="U34" i="24"/>
  <c r="N34" i="24"/>
  <c r="O34" i="24"/>
  <c r="L30" i="24"/>
  <c r="Q30" i="24"/>
  <c r="N30" i="24"/>
  <c r="M30" i="24"/>
  <c r="K30" i="24"/>
  <c r="S30" i="24"/>
  <c r="O26" i="24"/>
  <c r="R149" i="30" s="1"/>
  <c r="P26" i="24"/>
  <c r="S149" i="30" s="1"/>
  <c r="U26" i="24"/>
  <c r="X149" i="30" s="1"/>
  <c r="Q26" i="24"/>
  <c r="T149" i="30" s="1"/>
  <c r="T26" i="24"/>
  <c r="W149" i="30" s="1"/>
  <c r="M20" i="24"/>
  <c r="L20" i="24"/>
  <c r="Q20" i="24"/>
  <c r="O20" i="24"/>
  <c r="N20" i="24"/>
  <c r="J14" i="24"/>
  <c r="U14" i="24"/>
  <c r="N14" i="24"/>
  <c r="P14" i="24"/>
  <c r="Q14" i="24"/>
  <c r="N6" i="24"/>
  <c r="M6" i="24"/>
  <c r="K6" i="24"/>
  <c r="S6" i="24"/>
  <c r="U6" i="24"/>
  <c r="K31" i="15"/>
  <c r="I31" i="15"/>
  <c r="K21" i="15"/>
  <c r="I21" i="15"/>
  <c r="K35" i="15"/>
  <c r="J35" i="15"/>
  <c r="J20" i="24"/>
  <c r="K32" i="15"/>
  <c r="I32" i="15"/>
  <c r="K36" i="15"/>
  <c r="I36" i="15"/>
  <c r="I30" i="15"/>
  <c r="J30" i="15"/>
  <c r="J26" i="15"/>
  <c r="M150" i="29" s="1"/>
  <c r="K26" i="15"/>
  <c r="N150" i="29" s="1"/>
  <c r="I26" i="15"/>
  <c r="L150" i="29" s="1"/>
  <c r="J20" i="15"/>
  <c r="K20" i="15"/>
  <c r="I20" i="15"/>
  <c r="J14" i="15"/>
  <c r="K14" i="15"/>
  <c r="I14" i="15"/>
  <c r="V32" i="29"/>
  <c r="V16" i="29"/>
  <c r="M15" i="29"/>
  <c r="L15" i="29"/>
  <c r="Q15" i="29"/>
  <c r="Y19" i="29"/>
  <c r="P19" i="29"/>
  <c r="L19" i="29"/>
  <c r="AB23" i="29"/>
  <c r="M23" i="29"/>
  <c r="V23" i="29"/>
  <c r="M27" i="29"/>
  <c r="L27" i="29"/>
  <c r="N27" i="29"/>
  <c r="W27" i="29"/>
  <c r="AB49" i="29"/>
  <c r="M49" i="29"/>
  <c r="L49" i="29"/>
  <c r="M57" i="29"/>
  <c r="L57" i="29"/>
  <c r="Z57" i="29"/>
  <c r="V57" i="29"/>
  <c r="P55" i="30"/>
  <c r="X56" i="30"/>
  <c r="Y45" i="29"/>
  <c r="Y51" i="29"/>
  <c r="Y29" i="29"/>
  <c r="Y36" i="29"/>
  <c r="J41" i="38"/>
  <c r="T41" i="38"/>
  <c r="I38" i="38"/>
  <c r="L36" i="46" s="1"/>
  <c r="J38" i="38"/>
  <c r="M36" i="46" s="1"/>
  <c r="T38" i="38"/>
  <c r="W36" i="46" s="1"/>
  <c r="L38" i="38"/>
  <c r="O36" i="46" s="1"/>
  <c r="J33" i="38"/>
  <c r="M32" i="46" s="1"/>
  <c r="I33" i="38"/>
  <c r="L32" i="46" s="1"/>
  <c r="O33" i="38"/>
  <c r="R32" i="46" s="1"/>
  <c r="K30" i="38"/>
  <c r="I30" i="38"/>
  <c r="L30" i="38"/>
  <c r="O30" i="38"/>
  <c r="I25" i="38"/>
  <c r="L24" i="46" s="1"/>
  <c r="R25" i="38"/>
  <c r="U24" i="46" s="1"/>
  <c r="I21" i="38"/>
  <c r="L22" i="46" s="1"/>
  <c r="J21" i="38"/>
  <c r="M22" i="46" s="1"/>
  <c r="O21" i="38"/>
  <c r="R22" i="46" s="1"/>
  <c r="J14" i="38"/>
  <c r="M19" i="46" s="1"/>
  <c r="R14" i="38"/>
  <c r="U19" i="46" s="1"/>
  <c r="I14" i="38"/>
  <c r="L19" i="46" s="1"/>
  <c r="J10" i="38"/>
  <c r="M17" i="46" s="1"/>
  <c r="T10" i="38"/>
  <c r="W17" i="46" s="1"/>
  <c r="I10" i="38"/>
  <c r="L17" i="46" s="1"/>
  <c r="T6" i="38"/>
  <c r="W15" i="46" s="1"/>
  <c r="I6" i="38"/>
  <c r="L15" i="46" s="1"/>
  <c r="M6" i="38"/>
  <c r="P15" i="46" s="1"/>
  <c r="J6" i="38"/>
  <c r="M15" i="46" s="1"/>
  <c r="L6" i="38"/>
  <c r="O15" i="46" s="1"/>
  <c r="M42" i="22"/>
  <c r="I42" i="22"/>
  <c r="J42" i="22"/>
  <c r="T34" i="22"/>
  <c r="W31" i="30" s="1"/>
  <c r="O34" i="22"/>
  <c r="R31" i="30" s="1"/>
  <c r="I34" i="22"/>
  <c r="L31" i="30" s="1"/>
  <c r="J25" i="22"/>
  <c r="M23" i="30" s="1"/>
  <c r="I25" i="22"/>
  <c r="L23" i="30" s="1"/>
  <c r="T25" i="22"/>
  <c r="W23" i="30" s="1"/>
  <c r="S25" i="22"/>
  <c r="V23" i="30" s="1"/>
  <c r="J13" i="22"/>
  <c r="M17" i="30" s="1"/>
  <c r="Q13" i="22"/>
  <c r="T17" i="30" s="1"/>
  <c r="T13" i="22"/>
  <c r="W17" i="30" s="1"/>
  <c r="I13" i="22"/>
  <c r="L17" i="30" s="1"/>
  <c r="J41" i="23"/>
  <c r="O41" i="23"/>
  <c r="Q41" i="23"/>
  <c r="M41" i="23"/>
  <c r="I33" i="23"/>
  <c r="J33" i="23"/>
  <c r="J13" i="23"/>
  <c r="P13" i="23"/>
  <c r="I13" i="23"/>
  <c r="M53" i="61"/>
  <c r="L53" i="61"/>
  <c r="M22" i="61"/>
  <c r="L22" i="61"/>
  <c r="V22" i="61"/>
  <c r="S14" i="61"/>
  <c r="L14" i="61"/>
  <c r="U34" i="22"/>
  <c r="X31" i="30" s="1"/>
  <c r="M9" i="24"/>
  <c r="J34" i="22"/>
  <c r="M31" i="30" s="1"/>
  <c r="M30" i="61"/>
  <c r="N14" i="22"/>
  <c r="Q18" i="30" s="1"/>
  <c r="J14" i="22"/>
  <c r="M18" i="30" s="1"/>
  <c r="I26" i="22"/>
  <c r="L24" i="30" s="1"/>
  <c r="R26" i="22"/>
  <c r="U24" i="30" s="1"/>
  <c r="K26" i="22"/>
  <c r="N24" i="30" s="1"/>
  <c r="Q26" i="22"/>
  <c r="T24" i="30" s="1"/>
  <c r="J26" i="22"/>
  <c r="M24" i="30" s="1"/>
  <c r="O35" i="22"/>
  <c r="R32" i="30" s="1"/>
  <c r="Q35" i="22"/>
  <c r="T32" i="30" s="1"/>
  <c r="N35" i="22"/>
  <c r="Q32" i="30" s="1"/>
  <c r="I43" i="22"/>
  <c r="J43" i="22"/>
  <c r="O43" i="22"/>
  <c r="I41" i="22"/>
  <c r="L41" i="22"/>
  <c r="S41" i="22"/>
  <c r="U32" i="22"/>
  <c r="X29" i="30" s="1"/>
  <c r="I32" i="22"/>
  <c r="L29" i="30" s="1"/>
  <c r="M32" i="22"/>
  <c r="P29" i="30" s="1"/>
  <c r="I23" i="22"/>
  <c r="L22" i="30" s="1"/>
  <c r="S23" i="22"/>
  <c r="V22" i="30" s="1"/>
  <c r="O23" i="22"/>
  <c r="R22" i="30" s="1"/>
  <c r="M23" i="22"/>
  <c r="P22" i="30" s="1"/>
  <c r="R32" i="23"/>
  <c r="I32" i="23"/>
  <c r="J32" i="23"/>
  <c r="Q23" i="23"/>
  <c r="I10" i="23"/>
  <c r="L78" i="30" s="1"/>
  <c r="J10" i="23"/>
  <c r="M78" i="30" s="1"/>
  <c r="I43" i="24"/>
  <c r="L162" i="30" s="1"/>
  <c r="J43" i="24"/>
  <c r="M162" i="30" s="1"/>
  <c r="Q39" i="24"/>
  <c r="I39" i="24"/>
  <c r="S39" i="24"/>
  <c r="L35" i="24"/>
  <c r="J35" i="24"/>
  <c r="Q35" i="24"/>
  <c r="I35" i="24"/>
  <c r="N31" i="24"/>
  <c r="J31" i="24"/>
  <c r="P27" i="24"/>
  <c r="L21" i="24"/>
  <c r="I21" i="24"/>
  <c r="Q21" i="24"/>
  <c r="J21" i="24"/>
  <c r="I15" i="24"/>
  <c r="N15" i="24"/>
  <c r="J15" i="24"/>
  <c r="U9" i="24"/>
  <c r="I9" i="24"/>
  <c r="Q9" i="24"/>
  <c r="J9" i="24"/>
  <c r="U42" i="22"/>
  <c r="U13" i="22"/>
  <c r="X17" i="30" s="1"/>
  <c r="M25" i="22"/>
  <c r="P23" i="30" s="1"/>
  <c r="J37" i="15"/>
  <c r="K37" i="15"/>
  <c r="J31" i="15"/>
  <c r="J27" i="15"/>
  <c r="J21" i="15"/>
  <c r="K15" i="15"/>
  <c r="J15" i="15"/>
  <c r="K10" i="15"/>
  <c r="N142" i="29" s="1"/>
  <c r="L27" i="50"/>
  <c r="U27" i="50"/>
  <c r="R27" i="50"/>
  <c r="M19" i="50"/>
  <c r="Z19" i="50" s="1"/>
  <c r="L19" i="50"/>
  <c r="V30" i="50"/>
  <c r="V48" i="50"/>
  <c r="V26" i="50"/>
  <c r="V20" i="50"/>
  <c r="V28" i="50"/>
  <c r="V34" i="50"/>
  <c r="V24" i="50"/>
  <c r="V55" i="50"/>
  <c r="T55" i="38"/>
  <c r="W43" i="46" s="1"/>
  <c r="J55" i="38"/>
  <c r="M43" i="46" s="1"/>
  <c r="J62" i="23"/>
  <c r="O62" i="23"/>
  <c r="U62" i="23"/>
  <c r="T62" i="23"/>
  <c r="M62" i="23"/>
  <c r="L56" i="50"/>
  <c r="R56" i="50"/>
  <c r="W56" i="50"/>
  <c r="Q56" i="50"/>
  <c r="M13" i="22"/>
  <c r="P17" i="30" s="1"/>
  <c r="I39" i="38"/>
  <c r="L37" i="46" s="1"/>
  <c r="J6" i="23"/>
  <c r="J38" i="23"/>
  <c r="Y33" i="29"/>
  <c r="M42" i="29"/>
  <c r="L42" i="29"/>
  <c r="AB42" i="29"/>
  <c r="Y42" i="29"/>
  <c r="M50" i="29"/>
  <c r="L50" i="29"/>
  <c r="T28" i="22"/>
  <c r="W26" i="30" s="1"/>
  <c r="S28" i="22"/>
  <c r="V26" i="30" s="1"/>
  <c r="I28" i="22"/>
  <c r="L26" i="30" s="1"/>
  <c r="S37" i="22"/>
  <c r="R37" i="22"/>
  <c r="M37" i="22"/>
  <c r="P47" i="22"/>
  <c r="S38" i="30" s="1"/>
  <c r="O47" i="22"/>
  <c r="R38" i="30" s="1"/>
  <c r="R47" i="22"/>
  <c r="U38" i="30" s="1"/>
  <c r="Q47" i="22"/>
  <c r="T38" i="30" s="1"/>
  <c r="Q39" i="22"/>
  <c r="T35" i="30" s="1"/>
  <c r="J39" i="22"/>
  <c r="M35" i="30" s="1"/>
  <c r="I39" i="22"/>
  <c r="L35" i="30" s="1"/>
  <c r="U30" i="22"/>
  <c r="M30" i="22"/>
  <c r="R30" i="22"/>
  <c r="S30" i="22"/>
  <c r="I20" i="22"/>
  <c r="J20" i="22"/>
  <c r="N6" i="22"/>
  <c r="Q14" i="30" s="1"/>
  <c r="K6" i="22"/>
  <c r="N14" i="30" s="1"/>
  <c r="I6" i="22"/>
  <c r="L14" i="30" s="1"/>
  <c r="I30" i="23"/>
  <c r="J30" i="23"/>
  <c r="P20" i="23"/>
  <c r="J20" i="23"/>
  <c r="U20" i="23"/>
  <c r="T20" i="23"/>
  <c r="I38" i="24"/>
  <c r="I34" i="24"/>
  <c r="I30" i="24"/>
  <c r="I26" i="24"/>
  <c r="L149" i="30" s="1"/>
  <c r="J26" i="24"/>
  <c r="M149" i="30" s="1"/>
  <c r="I20" i="24"/>
  <c r="I14" i="24"/>
  <c r="J6" i="24"/>
  <c r="AB44" i="29"/>
  <c r="AB54" i="29"/>
  <c r="AB52" i="29"/>
  <c r="AB24" i="29"/>
  <c r="AB28" i="29"/>
  <c r="AB16" i="29"/>
  <c r="J46" i="38"/>
  <c r="M39" i="46" s="1"/>
  <c r="T46" i="38"/>
  <c r="W39" i="46" s="1"/>
  <c r="R46" i="38"/>
  <c r="U39" i="46" s="1"/>
  <c r="T42" i="38"/>
  <c r="I42" i="38"/>
  <c r="N34" i="38"/>
  <c r="Q33" i="46" s="1"/>
  <c r="T34" i="38"/>
  <c r="W33" i="46" s="1"/>
  <c r="O34" i="38"/>
  <c r="R33" i="46" s="1"/>
  <c r="U34" i="38"/>
  <c r="X33" i="46" s="1"/>
  <c r="I26" i="38"/>
  <c r="L25" i="46" s="1"/>
  <c r="T26" i="38"/>
  <c r="W25" i="46" s="1"/>
  <c r="J26" i="38"/>
  <c r="M25" i="46" s="1"/>
  <c r="X56" i="46"/>
  <c r="M49" i="23"/>
  <c r="P49" i="23"/>
  <c r="L49" i="23"/>
  <c r="J50" i="15"/>
  <c r="M166" i="29" s="1"/>
  <c r="K50" i="15"/>
  <c r="N166" i="29" s="1"/>
  <c r="K55" i="15"/>
  <c r="N168" i="29" s="1"/>
  <c r="J55" i="15"/>
  <c r="M168" i="29" s="1"/>
  <c r="J59" i="15"/>
  <c r="K59" i="15"/>
  <c r="J65" i="15"/>
  <c r="J72" i="15"/>
  <c r="K72" i="15"/>
  <c r="K77" i="15"/>
  <c r="T54" i="38"/>
  <c r="K54" i="38"/>
  <c r="I54" i="38"/>
  <c r="P54" i="38"/>
  <c r="T59" i="38"/>
  <c r="W47" i="46" s="1"/>
  <c r="P59" i="38"/>
  <c r="S47" i="46" s="1"/>
  <c r="I62" i="38"/>
  <c r="J62" i="38"/>
  <c r="U62" i="38"/>
  <c r="T62" i="38"/>
  <c r="I73" i="38"/>
  <c r="L51" i="46" s="1"/>
  <c r="T73" i="38"/>
  <c r="W51" i="46" s="1"/>
  <c r="J73" i="38"/>
  <c r="M51" i="46" s="1"/>
  <c r="L51" i="50"/>
  <c r="P51" i="50"/>
  <c r="X45" i="50"/>
  <c r="U45" i="50"/>
  <c r="L31" i="50"/>
  <c r="R31" i="50"/>
  <c r="U31" i="50"/>
  <c r="Q31" i="50"/>
  <c r="M22" i="50"/>
  <c r="Z22" i="50" s="1"/>
  <c r="L22" i="50"/>
  <c r="W22" i="50"/>
  <c r="V14" i="50"/>
  <c r="Q20" i="50"/>
  <c r="Q41" i="50"/>
  <c r="Q35" i="50"/>
  <c r="Q24" i="50"/>
  <c r="Q23" i="50"/>
  <c r="Q17" i="50"/>
  <c r="Q49" i="50"/>
  <c r="Q40" i="50"/>
  <c r="Q48" i="50"/>
  <c r="Q33" i="50"/>
  <c r="L31" i="46"/>
  <c r="O31" i="46"/>
  <c r="X31" i="46"/>
  <c r="M18" i="29"/>
  <c r="L18" i="29"/>
  <c r="M22" i="29"/>
  <c r="L22" i="29"/>
  <c r="AB22" i="29"/>
  <c r="M55" i="29"/>
  <c r="L55" i="29"/>
  <c r="Y55" i="29"/>
  <c r="I15" i="38"/>
  <c r="L20" i="46" s="1"/>
  <c r="T15" i="38"/>
  <c r="W20" i="46" s="1"/>
  <c r="J49" i="38"/>
  <c r="M40" i="46" s="1"/>
  <c r="I57" i="38"/>
  <c r="L45" i="46" s="1"/>
  <c r="K57" i="38"/>
  <c r="N45" i="46" s="1"/>
  <c r="J57" i="38"/>
  <c r="M45" i="46" s="1"/>
  <c r="S51" i="22"/>
  <c r="V40" i="30" s="1"/>
  <c r="J51" i="22"/>
  <c r="M40" i="30" s="1"/>
  <c r="U51" i="22"/>
  <c r="X40" i="30" s="1"/>
  <c r="O51" i="22"/>
  <c r="R40" i="30" s="1"/>
  <c r="J56" i="22"/>
  <c r="M42" i="30" s="1"/>
  <c r="O56" i="22"/>
  <c r="R42" i="30" s="1"/>
  <c r="S56" i="22"/>
  <c r="V42" i="30" s="1"/>
  <c r="I60" i="22"/>
  <c r="L46" i="30" s="1"/>
  <c r="S60" i="22"/>
  <c r="V46" i="30" s="1"/>
  <c r="R60" i="22"/>
  <c r="U46" i="30" s="1"/>
  <c r="J66" i="22"/>
  <c r="M49" i="30" s="1"/>
  <c r="K66" i="22"/>
  <c r="N49" i="30" s="1"/>
  <c r="J73" i="22"/>
  <c r="I73" i="22"/>
  <c r="T73" i="22"/>
  <c r="Q78" i="22"/>
  <c r="T53" i="30" s="1"/>
  <c r="S78" i="22"/>
  <c r="V53" i="30" s="1"/>
  <c r="I53" i="23"/>
  <c r="P53" i="23"/>
  <c r="J53" i="23"/>
  <c r="L57" i="23"/>
  <c r="I57" i="23"/>
  <c r="T61" i="23"/>
  <c r="J61" i="23"/>
  <c r="J70" i="23"/>
  <c r="Q70" i="23"/>
  <c r="M74" i="23"/>
  <c r="I74" i="23"/>
  <c r="O74" i="23"/>
  <c r="L74" i="23"/>
  <c r="J74" i="23"/>
  <c r="P74" i="23"/>
  <c r="N54" i="24"/>
  <c r="L54" i="24"/>
  <c r="J54" i="24"/>
  <c r="M54" i="24"/>
  <c r="J58" i="24"/>
  <c r="L58" i="24"/>
  <c r="N62" i="24"/>
  <c r="J62" i="24"/>
  <c r="I71" i="24"/>
  <c r="U71" i="24"/>
  <c r="J71" i="24"/>
  <c r="M71" i="24"/>
  <c r="Q75" i="24"/>
  <c r="P75" i="24"/>
  <c r="I75" i="24"/>
  <c r="S13" i="50"/>
  <c r="U13" i="50"/>
  <c r="X13" i="50"/>
  <c r="W13" i="50"/>
  <c r="L13" i="50"/>
  <c r="V13" i="50"/>
  <c r="M29" i="50"/>
  <c r="Z29" i="50" s="1"/>
  <c r="L29" i="50"/>
  <c r="M21" i="50"/>
  <c r="Z21" i="50" s="1"/>
  <c r="L21" i="50"/>
  <c r="W21" i="50"/>
  <c r="X33" i="50"/>
  <c r="X41" i="50"/>
  <c r="X40" i="50"/>
  <c r="X55" i="50"/>
  <c r="X42" i="50"/>
  <c r="X16" i="50"/>
  <c r="P24" i="50"/>
  <c r="P18" i="50"/>
  <c r="P32" i="50"/>
  <c r="P28" i="50"/>
  <c r="P17" i="50"/>
  <c r="P41" i="50"/>
  <c r="P52" i="50"/>
  <c r="P20" i="50"/>
  <c r="P55" i="50"/>
  <c r="P40" i="50"/>
  <c r="P33" i="50"/>
  <c r="P23" i="50"/>
  <c r="M30" i="29"/>
  <c r="M35" i="29"/>
  <c r="M17" i="29"/>
  <c r="M24" i="29"/>
  <c r="M45" i="29"/>
  <c r="M39" i="29"/>
  <c r="M52" i="29"/>
  <c r="M29" i="29"/>
  <c r="M28" i="29"/>
  <c r="M43" i="29"/>
  <c r="M58" i="46"/>
  <c r="N58" i="46"/>
  <c r="S148" i="29"/>
  <c r="Y148" i="29"/>
  <c r="R148" i="29"/>
  <c r="X148" i="29"/>
  <c r="M32" i="29"/>
  <c r="N32" i="29"/>
  <c r="Y32" i="29"/>
  <c r="L32" i="29"/>
  <c r="M41" i="29"/>
  <c r="Y41" i="29"/>
  <c r="L41" i="29"/>
  <c r="X41" i="29"/>
  <c r="N48" i="29"/>
  <c r="M48" i="29"/>
  <c r="L48" i="29"/>
  <c r="M56" i="29"/>
  <c r="R56" i="29"/>
  <c r="L56" i="29"/>
  <c r="J36" i="38"/>
  <c r="I36" i="38"/>
  <c r="I28" i="38"/>
  <c r="L27" i="46" s="1"/>
  <c r="P18" i="38"/>
  <c r="T18" i="38"/>
  <c r="R56" i="46"/>
  <c r="J52" i="15"/>
  <c r="K52" i="15"/>
  <c r="J68" i="15"/>
  <c r="K68" i="15"/>
  <c r="I52" i="38"/>
  <c r="L42" i="46" s="1"/>
  <c r="J60" i="38"/>
  <c r="M48" i="46" s="1"/>
  <c r="J68" i="38"/>
  <c r="T68" i="38"/>
  <c r="R74" i="38"/>
  <c r="U52" i="46" s="1"/>
  <c r="J74" i="38"/>
  <c r="M52" i="46" s="1"/>
  <c r="U74" i="38"/>
  <c r="X52" i="46" s="1"/>
  <c r="N74" i="38"/>
  <c r="Q52" i="46" s="1"/>
  <c r="T53" i="22"/>
  <c r="W41" i="30" s="1"/>
  <c r="N53" i="22"/>
  <c r="Q41" i="30" s="1"/>
  <c r="I53" i="22"/>
  <c r="L41" i="30" s="1"/>
  <c r="U53" i="22"/>
  <c r="X41" i="30" s="1"/>
  <c r="I57" i="22"/>
  <c r="L43" i="30" s="1"/>
  <c r="Q57" i="22"/>
  <c r="T43" i="30" s="1"/>
  <c r="S57" i="22"/>
  <c r="V43" i="30" s="1"/>
  <c r="R61" i="22"/>
  <c r="U47" i="30" s="1"/>
  <c r="J61" i="22"/>
  <c r="M47" i="30" s="1"/>
  <c r="M69" i="22"/>
  <c r="R69" i="22"/>
  <c r="Q74" i="22"/>
  <c r="T50" i="30" s="1"/>
  <c r="R74" i="22"/>
  <c r="U50" i="30" s="1"/>
  <c r="L50" i="24"/>
  <c r="J50" i="24"/>
  <c r="M50" i="24"/>
  <c r="N50" i="24"/>
  <c r="J55" i="24"/>
  <c r="U55" i="24"/>
  <c r="I55" i="24"/>
  <c r="N55" i="24"/>
  <c r="U59" i="24"/>
  <c r="Q59" i="24"/>
  <c r="L59" i="24"/>
  <c r="J65" i="24"/>
  <c r="N72" i="24"/>
  <c r="J77" i="24"/>
  <c r="L77" i="24"/>
  <c r="P57" i="50"/>
  <c r="U57" i="50"/>
  <c r="M57" i="50"/>
  <c r="Z57" i="50" s="1"/>
  <c r="W57" i="50"/>
  <c r="V50" i="50"/>
  <c r="M50" i="50"/>
  <c r="R50" i="50"/>
  <c r="R44" i="50"/>
  <c r="V44" i="50"/>
  <c r="Q44" i="50"/>
  <c r="S44" i="50"/>
  <c r="S57" i="46"/>
  <c r="U57" i="46"/>
  <c r="M57" i="46"/>
  <c r="K76" i="23"/>
  <c r="I76" i="23"/>
  <c r="J76" i="23"/>
  <c r="L76" i="23"/>
  <c r="O76" i="23"/>
  <c r="P76" i="23"/>
  <c r="T76" i="23"/>
  <c r="R76" i="23"/>
  <c r="Q76" i="23"/>
  <c r="S76" i="23"/>
  <c r="N48" i="24"/>
  <c r="Q127" i="81" s="1"/>
  <c r="N66" i="23"/>
  <c r="Q75" i="81" s="1"/>
  <c r="S66" i="23"/>
  <c r="V75" i="81" s="1"/>
  <c r="Q66" i="23"/>
  <c r="T75" i="81" s="1"/>
  <c r="U66" i="23"/>
  <c r="X75" i="81" s="1"/>
  <c r="K66" i="23"/>
  <c r="N75" i="81" s="1"/>
  <c r="M66" i="23"/>
  <c r="P75" i="81" s="1"/>
  <c r="L51" i="24"/>
  <c r="O128" i="81" s="1"/>
  <c r="P51" i="24"/>
  <c r="S128" i="81" s="1"/>
  <c r="T51" i="24"/>
  <c r="W128" i="81" s="1"/>
  <c r="I51" i="24"/>
  <c r="L128" i="81" s="1"/>
  <c r="S51" i="24"/>
  <c r="V128" i="81" s="1"/>
  <c r="N51" i="24"/>
  <c r="Q128" i="81" s="1"/>
  <c r="K51" i="24"/>
  <c r="N128" i="81" s="1"/>
  <c r="M51" i="24"/>
  <c r="P128" i="81" s="1"/>
  <c r="J51" i="24"/>
  <c r="M128" i="81" s="1"/>
  <c r="R51" i="24"/>
  <c r="U128" i="81" s="1"/>
  <c r="O51" i="24"/>
  <c r="R128" i="81" s="1"/>
  <c r="M7" i="24"/>
  <c r="O123" i="75" s="1"/>
  <c r="I7" i="24"/>
  <c r="K123" i="75" s="1"/>
  <c r="N7" i="24"/>
  <c r="P123" i="75" s="1"/>
  <c r="U7" i="24"/>
  <c r="W123" i="75" s="1"/>
  <c r="S7" i="24"/>
  <c r="U123" i="75" s="1"/>
  <c r="O7" i="24"/>
  <c r="Q123" i="75" s="1"/>
  <c r="P7" i="24"/>
  <c r="R123" i="75" s="1"/>
  <c r="L7" i="24"/>
  <c r="N123" i="75" s="1"/>
  <c r="T7" i="24"/>
  <c r="V123" i="75" s="1"/>
  <c r="Q7" i="24"/>
  <c r="S123" i="75" s="1"/>
  <c r="R7" i="24"/>
  <c r="T123" i="75" s="1"/>
  <c r="K7" i="24"/>
  <c r="M123" i="75" s="1"/>
  <c r="J7" i="24"/>
  <c r="L123" i="75" s="1"/>
  <c r="T66" i="23"/>
  <c r="W75" i="81" s="1"/>
  <c r="L66" i="23"/>
  <c r="O75" i="81" s="1"/>
  <c r="Q51" i="24"/>
  <c r="T128" i="81" s="1"/>
  <c r="O12" i="23"/>
  <c r="R68" i="81" s="1"/>
  <c r="R12" i="23"/>
  <c r="U68" i="81" s="1"/>
  <c r="L12" i="23"/>
  <c r="O68" i="81" s="1"/>
  <c r="M12" i="23"/>
  <c r="P68" i="81" s="1"/>
  <c r="P12" i="23"/>
  <c r="S68" i="81" s="1"/>
  <c r="T12" i="23"/>
  <c r="W68" i="81" s="1"/>
  <c r="I12" i="23"/>
  <c r="L68" i="81" s="1"/>
  <c r="K12" i="23"/>
  <c r="N68" i="81" s="1"/>
  <c r="J12" i="23"/>
  <c r="M68" i="81" s="1"/>
  <c r="S12" i="23"/>
  <c r="V68" i="81" s="1"/>
  <c r="K51" i="15"/>
  <c r="N128" i="76" s="1"/>
  <c r="I51" i="15"/>
  <c r="L128" i="76" s="1"/>
  <c r="J51" i="15"/>
  <c r="M128" i="76" s="1"/>
  <c r="P51" i="15"/>
  <c r="S128" i="76" s="1"/>
  <c r="Q51" i="15"/>
  <c r="T128" i="76" s="1"/>
  <c r="M51" i="15"/>
  <c r="P128" i="76" s="1"/>
  <c r="U51" i="15"/>
  <c r="X128" i="76" s="1"/>
  <c r="K19" i="15"/>
  <c r="N124" i="76" s="1"/>
  <c r="I19" i="15"/>
  <c r="L124" i="76" s="1"/>
  <c r="J19" i="15"/>
  <c r="M124" i="76" s="1"/>
  <c r="N24" i="24"/>
  <c r="O24" i="24"/>
  <c r="S24" i="24"/>
  <c r="P24" i="24"/>
  <c r="K24" i="24"/>
  <c r="Q24" i="24"/>
  <c r="M24" i="24"/>
  <c r="N12" i="23"/>
  <c r="Q68" i="81" s="1"/>
  <c r="I48" i="24"/>
  <c r="L127" i="81" s="1"/>
  <c r="M48" i="24"/>
  <c r="P127" i="81" s="1"/>
  <c r="Q48" i="24"/>
  <c r="T127" i="81" s="1"/>
  <c r="U48" i="24"/>
  <c r="X127" i="81" s="1"/>
  <c r="K48" i="24"/>
  <c r="N127" i="81" s="1"/>
  <c r="R48" i="24"/>
  <c r="U127" i="81" s="1"/>
  <c r="O48" i="24"/>
  <c r="R127" i="81" s="1"/>
  <c r="P48" i="24"/>
  <c r="S127" i="81" s="1"/>
  <c r="L48" i="24"/>
  <c r="O127" i="81" s="1"/>
  <c r="T48" i="24"/>
  <c r="W127" i="81" s="1"/>
  <c r="S48" i="24"/>
  <c r="V127" i="81" s="1"/>
  <c r="K69" i="15"/>
  <c r="N132" i="76" s="1"/>
  <c r="I69" i="15"/>
  <c r="L132" i="76" s="1"/>
  <c r="J69" i="15"/>
  <c r="M132" i="76" s="1"/>
  <c r="N11" i="38"/>
  <c r="P15" i="71" s="1"/>
  <c r="N78" i="38"/>
  <c r="P20" i="71" s="1"/>
  <c r="N16" i="38"/>
  <c r="P16" i="71" s="1"/>
  <c r="N63" i="38"/>
  <c r="P19" i="71" s="1"/>
  <c r="N44" i="38"/>
  <c r="N12" i="38"/>
  <c r="Q13" i="77" s="1"/>
  <c r="N48" i="38"/>
  <c r="Q17" i="77" s="1"/>
  <c r="N67" i="38"/>
  <c r="Q21" i="77" s="1"/>
  <c r="N45" i="38"/>
  <c r="Q15" i="77" s="1"/>
  <c r="N64" i="38"/>
  <c r="N76" i="38"/>
  <c r="Q12" i="23"/>
  <c r="T68" i="81" s="1"/>
  <c r="K45" i="23"/>
  <c r="N70" i="81" s="1"/>
  <c r="N45" i="23"/>
  <c r="Q70" i="81" s="1"/>
  <c r="P45" i="23"/>
  <c r="S70" i="81" s="1"/>
  <c r="T45" i="23"/>
  <c r="W70" i="81" s="1"/>
  <c r="L45" i="23"/>
  <c r="O70" i="81" s="1"/>
  <c r="R45" i="23"/>
  <c r="U70" i="81" s="1"/>
  <c r="I45" i="23"/>
  <c r="L70" i="81" s="1"/>
  <c r="U45" i="23"/>
  <c r="X70" i="81" s="1"/>
  <c r="M45" i="23"/>
  <c r="P70" i="81" s="1"/>
  <c r="J45" i="23"/>
  <c r="M70" i="81" s="1"/>
  <c r="Q45" i="23"/>
  <c r="T70" i="81" s="1"/>
  <c r="J68" i="22"/>
  <c r="M21" i="81" s="1"/>
  <c r="I68" i="22"/>
  <c r="L21" i="81" s="1"/>
  <c r="M68" i="22"/>
  <c r="P21" i="81" s="1"/>
  <c r="Q68" i="22"/>
  <c r="T21" i="81" s="1"/>
  <c r="U68" i="22"/>
  <c r="X21" i="81" s="1"/>
  <c r="O68" i="22"/>
  <c r="R21" i="81" s="1"/>
  <c r="S68" i="22"/>
  <c r="V21" i="81" s="1"/>
  <c r="N68" i="22"/>
  <c r="Q21" i="81" s="1"/>
  <c r="R68" i="22"/>
  <c r="U21" i="81" s="1"/>
  <c r="L68" i="22"/>
  <c r="O21" i="81" s="1"/>
  <c r="P68" i="22"/>
  <c r="S21" i="81" s="1"/>
  <c r="T68" i="22"/>
  <c r="W21" i="81" s="1"/>
  <c r="J8" i="15"/>
  <c r="L124" i="70" s="1"/>
  <c r="I8" i="15"/>
  <c r="K124" i="70" s="1"/>
  <c r="K8" i="15"/>
  <c r="M124" i="70" s="1"/>
  <c r="R51" i="15"/>
  <c r="U128" i="76" s="1"/>
  <c r="R66" i="23"/>
  <c r="U75" i="81" s="1"/>
  <c r="M67" i="23"/>
  <c r="P76" i="81" s="1"/>
  <c r="K67" i="23"/>
  <c r="N76" i="81" s="1"/>
  <c r="R67" i="23"/>
  <c r="U76" i="81" s="1"/>
  <c r="J67" i="23"/>
  <c r="M76" i="81" s="1"/>
  <c r="P67" i="23"/>
  <c r="S76" i="81" s="1"/>
  <c r="T67" i="23"/>
  <c r="W76" i="81" s="1"/>
  <c r="I67" i="23"/>
  <c r="L76" i="81" s="1"/>
  <c r="O67" i="23"/>
  <c r="R76" i="81" s="1"/>
  <c r="N67" i="23"/>
  <c r="Q76" i="81" s="1"/>
  <c r="U67" i="23"/>
  <c r="X76" i="81" s="1"/>
  <c r="K12" i="15"/>
  <c r="N123" i="76" s="1"/>
  <c r="I12" i="15"/>
  <c r="L123" i="76" s="1"/>
  <c r="J12" i="15"/>
  <c r="M123" i="76" s="1"/>
  <c r="T51" i="15"/>
  <c r="W128" i="76" s="1"/>
  <c r="S51" i="15"/>
  <c r="V128" i="76" s="1"/>
  <c r="O51" i="15"/>
  <c r="R128" i="76" s="1"/>
  <c r="L51" i="15"/>
  <c r="O128" i="76" s="1"/>
  <c r="O45" i="23"/>
  <c r="R70" i="81" s="1"/>
  <c r="K67" i="15"/>
  <c r="N131" i="76" s="1"/>
  <c r="I67" i="15"/>
  <c r="L131" i="76" s="1"/>
  <c r="J67" i="15"/>
  <c r="M131" i="76" s="1"/>
  <c r="I16" i="15"/>
  <c r="K126" i="70" s="1"/>
  <c r="K16" i="15"/>
  <c r="M126" i="70" s="1"/>
  <c r="J16" i="15"/>
  <c r="L126" i="70" s="1"/>
  <c r="M22" i="38"/>
  <c r="K22" i="38"/>
  <c r="O22" i="38"/>
  <c r="P22" i="38"/>
  <c r="S22" i="38"/>
  <c r="U22" i="38"/>
  <c r="I22" i="38"/>
  <c r="K64" i="15"/>
  <c r="I64" i="15"/>
  <c r="O76" i="24"/>
  <c r="S76" i="24"/>
  <c r="M76" i="24"/>
  <c r="R76" i="24"/>
  <c r="L76" i="24"/>
  <c r="J76" i="24"/>
  <c r="Q76" i="24"/>
  <c r="I76" i="24"/>
  <c r="T76" i="24"/>
  <c r="P67" i="24"/>
  <c r="S131" i="81" s="1"/>
  <c r="O67" i="24"/>
  <c r="R131" i="81" s="1"/>
  <c r="N47" i="24"/>
  <c r="Q126" i="81" s="1"/>
  <c r="R47" i="24"/>
  <c r="U126" i="81" s="1"/>
  <c r="I47" i="24"/>
  <c r="L126" i="81" s="1"/>
  <c r="M47" i="24"/>
  <c r="P126" i="81" s="1"/>
  <c r="L47" i="24"/>
  <c r="O126" i="81" s="1"/>
  <c r="S47" i="24"/>
  <c r="V126" i="81" s="1"/>
  <c r="U47" i="24"/>
  <c r="X126" i="81" s="1"/>
  <c r="T47" i="24"/>
  <c r="W126" i="81" s="1"/>
  <c r="O47" i="24"/>
  <c r="R126" i="81" s="1"/>
  <c r="N67" i="24"/>
  <c r="Q131" i="81" s="1"/>
  <c r="R67" i="24"/>
  <c r="U131" i="81" s="1"/>
  <c r="K70" i="22"/>
  <c r="N22" i="81" s="1"/>
  <c r="L70" i="22"/>
  <c r="O22" i="81" s="1"/>
  <c r="P70" i="22"/>
  <c r="S22" i="81" s="1"/>
  <c r="T70" i="22"/>
  <c r="W22" i="81" s="1"/>
  <c r="N70" i="22"/>
  <c r="Q22" i="81" s="1"/>
  <c r="R70" i="22"/>
  <c r="U22" i="81" s="1"/>
  <c r="K47" i="15"/>
  <c r="N126" i="76" s="1"/>
  <c r="I47" i="15"/>
  <c r="L126" i="76" s="1"/>
  <c r="J66" i="23"/>
  <c r="M75" i="81" s="1"/>
  <c r="I66" i="23"/>
  <c r="L75" i="81" s="1"/>
  <c r="M67" i="24"/>
  <c r="P131" i="81" s="1"/>
  <c r="Q67" i="24"/>
  <c r="T131" i="81" s="1"/>
  <c r="U67" i="24"/>
  <c r="X131" i="81" s="1"/>
  <c r="O45" i="24"/>
  <c r="R125" i="81" s="1"/>
  <c r="S45" i="24"/>
  <c r="V125" i="81" s="1"/>
  <c r="K48" i="15"/>
  <c r="N127" i="76" s="1"/>
  <c r="I48" i="15"/>
  <c r="L127" i="76" s="1"/>
  <c r="I70" i="22"/>
  <c r="L22" i="81" s="1"/>
  <c r="M12" i="24"/>
  <c r="P123" i="81" s="1"/>
  <c r="Q12" i="24"/>
  <c r="T123" i="81" s="1"/>
  <c r="U12" i="24"/>
  <c r="X123" i="81" s="1"/>
  <c r="K66" i="15"/>
  <c r="N130" i="76" s="1"/>
  <c r="I66" i="15"/>
  <c r="L130" i="76" s="1"/>
  <c r="K76" i="15"/>
  <c r="I76" i="15"/>
  <c r="K45" i="15"/>
  <c r="N125" i="76" s="1"/>
  <c r="I45" i="15"/>
  <c r="L125" i="76" s="1"/>
  <c r="J52" i="22"/>
  <c r="M18" i="81" s="1"/>
  <c r="K52" i="22"/>
  <c r="N18" i="81" s="1"/>
  <c r="I48" i="22"/>
  <c r="L16" i="81" s="1"/>
  <c r="K48" i="22"/>
  <c r="N16" i="81" s="1"/>
  <c r="J48" i="22"/>
  <c r="M16" i="81" s="1"/>
  <c r="I66" i="24"/>
  <c r="L130" i="81" s="1"/>
  <c r="I19" i="22"/>
  <c r="L14" i="81" s="1"/>
  <c r="I78" i="38"/>
  <c r="J22" i="38"/>
  <c r="J65" i="22"/>
  <c r="J51" i="38"/>
  <c r="K51" i="38"/>
  <c r="R66" i="24"/>
  <c r="U130" i="81" s="1"/>
  <c r="N66" i="24"/>
  <c r="Q130" i="81" s="1"/>
  <c r="K66" i="24"/>
  <c r="N130" i="81" s="1"/>
  <c r="K47" i="24"/>
  <c r="N126" i="81" s="1"/>
  <c r="I49" i="22"/>
  <c r="L17" i="81" s="1"/>
  <c r="I12" i="22"/>
  <c r="L13" i="81" s="1"/>
  <c r="K66" i="38"/>
  <c r="J66" i="38"/>
  <c r="O78" i="38"/>
  <c r="Q20" i="71" s="1"/>
  <c r="Q78" i="38"/>
  <c r="S20" i="71" s="1"/>
  <c r="S78" i="38"/>
  <c r="U20" i="71" s="1"/>
  <c r="M78" i="38"/>
  <c r="O20" i="71" s="1"/>
  <c r="K78" i="38"/>
  <c r="R78" i="38"/>
  <c r="T20" i="71" s="1"/>
  <c r="J24" i="15"/>
  <c r="J11" i="15"/>
  <c r="L125" i="70" s="1"/>
  <c r="M16" i="22"/>
  <c r="O16" i="75" s="1"/>
  <c r="M79" i="22"/>
  <c r="O20" i="75" s="1"/>
  <c r="M24" i="22"/>
  <c r="M7" i="22"/>
  <c r="O13" i="75" s="1"/>
  <c r="M64" i="22"/>
  <c r="O19" i="75" s="1"/>
  <c r="M11" i="22"/>
  <c r="O15" i="75" s="1"/>
  <c r="M45" i="22"/>
  <c r="K11" i="15"/>
  <c r="M125" i="70" s="1"/>
  <c r="K63" i="15"/>
  <c r="M129" i="70" s="1"/>
  <c r="K44" i="15"/>
  <c r="J44" i="15"/>
  <c r="U8" i="38"/>
  <c r="W14" i="71" s="1"/>
  <c r="U44" i="38"/>
  <c r="U78" i="38"/>
  <c r="W20" i="71" s="1"/>
  <c r="U7" i="38"/>
  <c r="W13" i="71" s="1"/>
  <c r="T16" i="38"/>
  <c r="V16" i="71" s="1"/>
  <c r="K7" i="38"/>
  <c r="M7" i="38"/>
  <c r="O13" i="71" s="1"/>
  <c r="N24" i="38"/>
  <c r="R24" i="38"/>
  <c r="J24" i="38"/>
  <c r="I24" i="38"/>
  <c r="P24" i="38"/>
  <c r="S24" i="38"/>
  <c r="U16" i="38"/>
  <c r="W16" i="71" s="1"/>
  <c r="J16" i="38"/>
  <c r="M16" i="38"/>
  <c r="O16" i="71" s="1"/>
  <c r="Q16" i="38"/>
  <c r="S16" i="71" s="1"/>
  <c r="K16" i="38"/>
  <c r="P16" i="38"/>
  <c r="R16" i="71" s="1"/>
  <c r="R16" i="38"/>
  <c r="T16" i="71" s="1"/>
  <c r="O16" i="38"/>
  <c r="Q16" i="71" s="1"/>
  <c r="J78" i="38"/>
  <c r="M63" i="38"/>
  <c r="O19" i="71" s="1"/>
  <c r="R63" i="38"/>
  <c r="T19" i="71" s="1"/>
  <c r="O7" i="38"/>
  <c r="Q13" i="71" s="1"/>
  <c r="J76" i="38"/>
  <c r="J47" i="38"/>
  <c r="J45" i="38"/>
  <c r="Q22" i="38"/>
  <c r="L22" i="38"/>
  <c r="J11" i="38"/>
  <c r="M11" i="38"/>
  <c r="O15" i="71" s="1"/>
  <c r="Q11" i="38"/>
  <c r="S15" i="71" s="1"/>
  <c r="K11" i="38"/>
  <c r="T78" i="38"/>
  <c r="V20" i="71" s="1"/>
  <c r="T8" i="38"/>
  <c r="V14" i="71" s="1"/>
  <c r="O44" i="38"/>
  <c r="S44" i="38"/>
  <c r="T22" i="38"/>
  <c r="P11" i="38"/>
  <c r="R15" i="71" s="1"/>
  <c r="L78" i="38"/>
  <c r="N20" i="71" s="1"/>
  <c r="L8" i="38"/>
  <c r="N14" i="71" s="1"/>
  <c r="L8" i="24"/>
  <c r="N124" i="75" s="1"/>
  <c r="L24" i="24"/>
  <c r="L11" i="24"/>
  <c r="N125" i="75" s="1"/>
  <c r="L44" i="24"/>
  <c r="L16" i="24"/>
  <c r="N126" i="75" s="1"/>
  <c r="L22" i="24"/>
  <c r="L63" i="24"/>
  <c r="N129" i="75" s="1"/>
  <c r="L78" i="24"/>
  <c r="N130" i="75" s="1"/>
  <c r="N22" i="38"/>
  <c r="R22" i="38"/>
  <c r="P78" i="38"/>
  <c r="R20" i="71" s="1"/>
  <c r="P8" i="38"/>
  <c r="R14" i="71" s="1"/>
  <c r="I63" i="38"/>
  <c r="U63" i="38"/>
  <c r="W19" i="71" s="1"/>
  <c r="O63" i="38"/>
  <c r="Q19" i="71" s="1"/>
  <c r="S63" i="38"/>
  <c r="U19" i="71" s="1"/>
  <c r="P44" i="38"/>
  <c r="L7" i="38"/>
  <c r="N13" i="71" s="1"/>
  <c r="N7" i="38"/>
  <c r="P13" i="71" s="1"/>
  <c r="P7" i="38"/>
  <c r="R13" i="71" s="1"/>
  <c r="R7" i="38"/>
  <c r="T13" i="71" s="1"/>
  <c r="T7" i="38"/>
  <c r="V13" i="71" s="1"/>
  <c r="O16" i="24"/>
  <c r="Q126" i="75" s="1"/>
  <c r="K16" i="24"/>
  <c r="M126" i="75" s="1"/>
  <c r="N16" i="24"/>
  <c r="P126" i="75" s="1"/>
  <c r="S16" i="24"/>
  <c r="U126" i="75" s="1"/>
  <c r="M16" i="24"/>
  <c r="O126" i="75" s="1"/>
  <c r="U16" i="24"/>
  <c r="W126" i="75" s="1"/>
  <c r="U11" i="22"/>
  <c r="W15" i="75" s="1"/>
  <c r="U64" i="22"/>
  <c r="W19" i="75" s="1"/>
  <c r="U7" i="22"/>
  <c r="W13" i="75" s="1"/>
  <c r="U22" i="22"/>
  <c r="R11" i="24"/>
  <c r="T125" i="75" s="1"/>
  <c r="R44" i="24"/>
  <c r="R24" i="24"/>
  <c r="R8" i="24"/>
  <c r="T124" i="75" s="1"/>
  <c r="R16" i="24"/>
  <c r="T126" i="75" s="1"/>
  <c r="R78" i="24"/>
  <c r="T130" i="75" s="1"/>
  <c r="U79" i="22"/>
  <c r="W20" i="75" s="1"/>
  <c r="O63" i="23"/>
  <c r="Q74" i="75" s="1"/>
  <c r="O11" i="23"/>
  <c r="Q70" i="75" s="1"/>
  <c r="O7" i="23"/>
  <c r="Q68" i="75" s="1"/>
  <c r="O44" i="23"/>
  <c r="O22" i="23"/>
  <c r="O8" i="23"/>
  <c r="Q69" i="75" s="1"/>
  <c r="O24" i="23"/>
  <c r="N16" i="23"/>
  <c r="P71" i="75" s="1"/>
  <c r="N11" i="23"/>
  <c r="P70" i="75" s="1"/>
  <c r="N44" i="23"/>
  <c r="R44" i="23"/>
  <c r="Q44" i="23"/>
  <c r="U24" i="22"/>
  <c r="P7" i="22"/>
  <c r="R13" i="75" s="1"/>
  <c r="P22" i="22"/>
  <c r="P79" i="22"/>
  <c r="R20" i="75" s="1"/>
  <c r="P16" i="22"/>
  <c r="R16" i="75" s="1"/>
  <c r="P64" i="22"/>
  <c r="R19" i="75" s="1"/>
  <c r="P11" i="22"/>
  <c r="R15" i="75" s="1"/>
  <c r="P8" i="22"/>
  <c r="R14" i="75" s="1"/>
  <c r="P24" i="22"/>
  <c r="R63" i="24"/>
  <c r="T129" i="75" s="1"/>
  <c r="M16" i="23"/>
  <c r="O71" i="75" s="1"/>
  <c r="Q16" i="23"/>
  <c r="S71" i="75" s="1"/>
  <c r="S16" i="23"/>
  <c r="U71" i="75" s="1"/>
  <c r="P16" i="23"/>
  <c r="R71" i="75" s="1"/>
  <c r="L16" i="23"/>
  <c r="N71" i="75" s="1"/>
  <c r="R16" i="22"/>
  <c r="T16" i="75" s="1"/>
  <c r="R64" i="22"/>
  <c r="T19" i="75" s="1"/>
  <c r="R11" i="22"/>
  <c r="T15" i="75" s="1"/>
  <c r="R45" i="22"/>
  <c r="R79" i="22"/>
  <c r="T20" i="75" s="1"/>
  <c r="R8" i="22"/>
  <c r="T14" i="75" s="1"/>
  <c r="T11" i="22"/>
  <c r="V15" i="75" s="1"/>
  <c r="T45" i="22"/>
  <c r="T8" i="22"/>
  <c r="V14" i="75" s="1"/>
  <c r="T24" i="22"/>
  <c r="T22" i="22"/>
  <c r="S45" i="22"/>
  <c r="S7" i="22"/>
  <c r="U13" i="75" s="1"/>
  <c r="S24" i="22"/>
  <c r="N8" i="22"/>
  <c r="P14" i="75" s="1"/>
  <c r="N24" i="22"/>
  <c r="N7" i="22"/>
  <c r="P13" i="75" s="1"/>
  <c r="N22" i="22"/>
  <c r="N79" i="22"/>
  <c r="P20" i="75" s="1"/>
  <c r="N11" i="22"/>
  <c r="P15" i="75" s="1"/>
  <c r="N64" i="22"/>
  <c r="P19" i="75" s="1"/>
  <c r="J24" i="24"/>
  <c r="J22" i="24"/>
  <c r="J16" i="24"/>
  <c r="L126" i="75" s="1"/>
  <c r="J11" i="24"/>
  <c r="L125" i="75" s="1"/>
  <c r="J63" i="24"/>
  <c r="L129" i="75" s="1"/>
  <c r="I11" i="22"/>
  <c r="K15" i="75" s="1"/>
  <c r="K11" i="22"/>
  <c r="M15" i="75" s="1"/>
  <c r="I78" i="23"/>
  <c r="K75" i="75" s="1"/>
  <c r="J78" i="23"/>
  <c r="L75" i="75" s="1"/>
  <c r="K78" i="23"/>
  <c r="M75" i="75" s="1"/>
  <c r="P78" i="23"/>
  <c r="R75" i="75" s="1"/>
  <c r="N78" i="23"/>
  <c r="P75" i="75" s="1"/>
  <c r="L78" i="23"/>
  <c r="N75" i="75" s="1"/>
  <c r="O78" i="23"/>
  <c r="Q75" i="75" s="1"/>
  <c r="Q78" i="23"/>
  <c r="S75" i="75" s="1"/>
  <c r="R78" i="23"/>
  <c r="T75" i="75" s="1"/>
  <c r="S78" i="23"/>
  <c r="U75" i="75" s="1"/>
  <c r="J44" i="24"/>
  <c r="L11" i="22"/>
  <c r="N15" i="75" s="1"/>
  <c r="L45" i="22"/>
  <c r="L8" i="22"/>
  <c r="N14" i="75" s="1"/>
  <c r="L24" i="22"/>
  <c r="I8" i="23"/>
  <c r="K69" i="75" s="1"/>
  <c r="J8" i="23"/>
  <c r="L69" i="75" s="1"/>
  <c r="N8" i="23"/>
  <c r="P69" i="75" s="1"/>
  <c r="K8" i="23"/>
  <c r="M69" i="75" s="1"/>
  <c r="P8" i="23"/>
  <c r="R69" i="75" s="1"/>
  <c r="L8" i="23"/>
  <c r="N69" i="75" s="1"/>
  <c r="L7" i="22"/>
  <c r="N13" i="75" s="1"/>
  <c r="U16" i="23"/>
  <c r="W71" i="75" s="1"/>
  <c r="U11" i="23"/>
  <c r="W70" i="75" s="1"/>
  <c r="P7" i="23"/>
  <c r="R68" i="75" s="1"/>
  <c r="P22" i="23"/>
  <c r="Q44" i="24"/>
  <c r="Q11" i="24"/>
  <c r="S125" i="75" s="1"/>
  <c r="Q63" i="24"/>
  <c r="S129" i="75" s="1"/>
  <c r="Q16" i="24"/>
  <c r="S126" i="75" s="1"/>
  <c r="Q8" i="24"/>
  <c r="S124" i="75" s="1"/>
  <c r="K24" i="22"/>
  <c r="I24" i="22"/>
  <c r="I24" i="23"/>
  <c r="J24" i="23"/>
  <c r="K24" i="23"/>
  <c r="N24" i="23"/>
  <c r="L24" i="23"/>
  <c r="R24" i="23"/>
  <c r="S24" i="23"/>
  <c r="O44" i="24"/>
  <c r="P44" i="24"/>
  <c r="S44" i="24"/>
  <c r="T16" i="23"/>
  <c r="V71" i="75" s="1"/>
  <c r="T8" i="24"/>
  <c r="V124" i="75" s="1"/>
  <c r="T24" i="24"/>
  <c r="T11" i="24"/>
  <c r="V125" i="75" s="1"/>
  <c r="T63" i="24"/>
  <c r="V129" i="75" s="1"/>
  <c r="I44" i="23"/>
  <c r="J44" i="23"/>
  <c r="L44" i="23"/>
  <c r="T44" i="23"/>
  <c r="P44" i="23"/>
  <c r="R63" i="23"/>
  <c r="T74" i="75" s="1"/>
  <c r="R11" i="23"/>
  <c r="T70" i="75" s="1"/>
  <c r="U22" i="24"/>
  <c r="U78" i="24"/>
  <c r="W130" i="75" s="1"/>
  <c r="U8" i="24"/>
  <c r="W124" i="75" s="1"/>
  <c r="U24" i="24"/>
  <c r="T16" i="24"/>
  <c r="V126" i="75" s="1"/>
  <c r="K44" i="23"/>
  <c r="M22" i="23"/>
  <c r="Q22" i="23"/>
  <c r="P16" i="24"/>
  <c r="R126" i="75" s="1"/>
  <c r="P63" i="24"/>
  <c r="R129" i="75" s="1"/>
  <c r="P11" i="24"/>
  <c r="R125" i="75" s="1"/>
  <c r="P78" i="24"/>
  <c r="R130" i="75" s="1"/>
  <c r="P22" i="24"/>
  <c r="J7" i="22"/>
  <c r="L13" i="75" s="1"/>
  <c r="J8" i="22"/>
  <c r="L14" i="75" s="1"/>
  <c r="J11" i="22"/>
  <c r="L15" i="75" s="1"/>
  <c r="J16" i="22"/>
  <c r="L16" i="75" s="1"/>
  <c r="J22" i="22"/>
  <c r="J24" i="22"/>
  <c r="J45" i="22"/>
  <c r="I8" i="24"/>
  <c r="K124" i="75" s="1"/>
  <c r="I11" i="24"/>
  <c r="K125" i="75" s="1"/>
  <c r="I16" i="24"/>
  <c r="K126" i="75" s="1"/>
  <c r="I22" i="24"/>
  <c r="I24" i="24"/>
  <c r="L7" i="23"/>
  <c r="N68" i="75" s="1"/>
  <c r="I16" i="23"/>
  <c r="K71" i="75" s="1"/>
  <c r="J16" i="23"/>
  <c r="L71" i="75" s="1"/>
  <c r="R16" i="23"/>
  <c r="T71" i="75" s="1"/>
  <c r="I44" i="24"/>
  <c r="K22" i="24"/>
  <c r="S22" i="24"/>
  <c r="I22" i="23"/>
  <c r="J22" i="23"/>
  <c r="I63" i="24"/>
  <c r="K129" i="75" s="1"/>
  <c r="M63" i="24"/>
  <c r="O129" i="75" s="1"/>
  <c r="J64" i="22"/>
  <c r="L19" i="75" s="1"/>
  <c r="I63" i="23"/>
  <c r="K74" i="75" s="1"/>
  <c r="J63" i="23"/>
  <c r="L74" i="75" s="1"/>
  <c r="I78" i="24"/>
  <c r="K130" i="75" s="1"/>
  <c r="M22" i="24"/>
  <c r="M78" i="24"/>
  <c r="O130" i="75" s="1"/>
  <c r="I11" i="23"/>
  <c r="K70" i="75" s="1"/>
  <c r="J11" i="23"/>
  <c r="L70" i="75" s="1"/>
  <c r="J7" i="23"/>
  <c r="L68" i="75" s="1"/>
  <c r="N78" i="24"/>
  <c r="P130" i="75" s="1"/>
  <c r="BG22" i="78" l="1"/>
  <c r="BH22" i="78" s="1"/>
  <c r="BG21" i="78"/>
  <c r="BH21" i="78" s="1"/>
  <c r="BG17" i="78"/>
  <c r="BG18" i="78"/>
  <c r="BH18" i="78" s="1"/>
  <c r="BG14" i="78"/>
  <c r="BH14" i="78" s="1"/>
  <c r="BG15" i="78"/>
  <c r="BH15" i="78" s="1"/>
  <c r="BG13" i="78"/>
  <c r="BH13" i="78" s="1"/>
  <c r="F33" i="56"/>
  <c r="F14" i="56"/>
  <c r="J62" i="77"/>
  <c r="E35" i="56"/>
  <c r="D35" i="56"/>
  <c r="J83" i="29"/>
  <c r="F124" i="81"/>
  <c r="F130" i="81"/>
  <c r="F128" i="81"/>
  <c r="F125" i="81"/>
  <c r="F132" i="81"/>
  <c r="F131" i="81"/>
  <c r="F127" i="81"/>
  <c r="F20" i="81"/>
  <c r="F14" i="81"/>
  <c r="F18" i="81"/>
  <c r="F22" i="81"/>
  <c r="F15" i="81"/>
  <c r="F17" i="81"/>
  <c r="F21" i="81"/>
  <c r="F16" i="81"/>
  <c r="F16" i="79"/>
  <c r="F14" i="79"/>
  <c r="F15" i="79"/>
  <c r="F17" i="79"/>
  <c r="F18" i="79"/>
  <c r="F22" i="79"/>
  <c r="F20" i="79"/>
  <c r="F21" i="79"/>
  <c r="F128" i="76"/>
  <c r="F125" i="76"/>
  <c r="F126" i="76"/>
  <c r="F127" i="76"/>
  <c r="F130" i="76"/>
  <c r="F132" i="76"/>
  <c r="F131" i="76"/>
  <c r="F124" i="76"/>
  <c r="F123" i="76"/>
  <c r="F72" i="76"/>
  <c r="F75" i="76"/>
  <c r="F76" i="76"/>
  <c r="F69" i="76"/>
  <c r="F71" i="76"/>
  <c r="F73" i="76"/>
  <c r="F77" i="76"/>
  <c r="F57" i="30"/>
  <c r="F99" i="30"/>
  <c r="F78" i="30"/>
  <c r="F100" i="30"/>
  <c r="F83" i="30"/>
  <c r="F55" i="30"/>
  <c r="F54" i="30"/>
  <c r="F56" i="30"/>
  <c r="F15" i="30"/>
  <c r="F31" i="30"/>
  <c r="F39" i="30"/>
  <c r="F38" i="30"/>
  <c r="F42" i="30"/>
  <c r="F21" i="30"/>
  <c r="F19" i="30"/>
  <c r="F51" i="30"/>
  <c r="F35" i="30"/>
  <c r="F40" i="30"/>
  <c r="F28" i="30"/>
  <c r="F53" i="30"/>
  <c r="F25" i="30"/>
  <c r="F52" i="30"/>
  <c r="F36" i="30"/>
  <c r="F48" i="30"/>
  <c r="F50" i="30"/>
  <c r="F16" i="30"/>
  <c r="F30" i="30"/>
  <c r="F49" i="30"/>
  <c r="F37" i="30"/>
  <c r="F44" i="30"/>
  <c r="F18" i="30"/>
  <c r="F20" i="30"/>
  <c r="F27" i="30"/>
  <c r="F46" i="30"/>
  <c r="F47" i="30"/>
  <c r="F45" i="30"/>
  <c r="F29" i="30"/>
  <c r="F17" i="30"/>
  <c r="F24" i="30"/>
  <c r="F26" i="30"/>
  <c r="F34" i="30"/>
  <c r="F14" i="30"/>
  <c r="F43" i="30"/>
  <c r="F23" i="30"/>
  <c r="F32" i="30"/>
  <c r="F41" i="30"/>
  <c r="F25" i="61"/>
  <c r="F56" i="61"/>
  <c r="F49" i="61"/>
  <c r="F27" i="61"/>
  <c r="F46" i="61"/>
  <c r="F43" i="61"/>
  <c r="F29" i="61"/>
  <c r="F14" i="61"/>
  <c r="F53" i="61"/>
  <c r="F40" i="61"/>
  <c r="F15" i="61"/>
  <c r="F37" i="61"/>
  <c r="F33" i="61"/>
  <c r="F18" i="61"/>
  <c r="F57" i="61"/>
  <c r="F35" i="61"/>
  <c r="F20" i="61"/>
  <c r="F51" i="61"/>
  <c r="F44" i="61"/>
  <c r="F22" i="61"/>
  <c r="F16" i="61"/>
  <c r="F47" i="61"/>
  <c r="F38" i="61"/>
  <c r="F31" i="61"/>
  <c r="F41" i="61"/>
  <c r="F26" i="61"/>
  <c r="F23" i="61"/>
  <c r="F42" i="61"/>
  <c r="F28" i="61"/>
  <c r="F39" i="61"/>
  <c r="F52" i="61"/>
  <c r="F30" i="61"/>
  <c r="F24" i="61"/>
  <c r="F55" i="61"/>
  <c r="F17" i="61"/>
  <c r="F48" i="61"/>
  <c r="F34" i="61"/>
  <c r="F19" i="61"/>
  <c r="F50" i="61"/>
  <c r="F36" i="61"/>
  <c r="F21" i="61"/>
  <c r="F54" i="61"/>
  <c r="F45" i="61"/>
  <c r="F32" i="61"/>
  <c r="F43" i="50"/>
  <c r="F20" i="50"/>
  <c r="F17" i="50"/>
  <c r="F50" i="50"/>
  <c r="F27" i="50"/>
  <c r="F21" i="50"/>
  <c r="F14" i="50"/>
  <c r="F47" i="50"/>
  <c r="F32" i="50"/>
  <c r="F29" i="50"/>
  <c r="F55" i="50"/>
  <c r="F40" i="50"/>
  <c r="F41" i="50"/>
  <c r="F25" i="50"/>
  <c r="F18" i="50"/>
  <c r="F51" i="50"/>
  <c r="F36" i="50"/>
  <c r="F28" i="50"/>
  <c r="F22" i="50"/>
  <c r="F44" i="50"/>
  <c r="F16" i="50"/>
  <c r="F49" i="50"/>
  <c r="F34" i="50"/>
  <c r="F26" i="50"/>
  <c r="F30" i="50"/>
  <c r="F45" i="50"/>
  <c r="F46" i="50"/>
  <c r="F31" i="50"/>
  <c r="F15" i="50"/>
  <c r="F48" i="50"/>
  <c r="F38" i="50"/>
  <c r="F24" i="50"/>
  <c r="F52" i="50"/>
  <c r="F37" i="50"/>
  <c r="F57" i="50"/>
  <c r="F42" i="50"/>
  <c r="F35" i="50"/>
  <c r="F19" i="50"/>
  <c r="F53" i="50"/>
  <c r="F54" i="50"/>
  <c r="F39" i="50"/>
  <c r="F23" i="50"/>
  <c r="F56" i="50"/>
  <c r="F50" i="46"/>
  <c r="F37" i="46"/>
  <c r="F18" i="46"/>
  <c r="F47" i="46"/>
  <c r="F31" i="46"/>
  <c r="F58" i="46"/>
  <c r="F49" i="46"/>
  <c r="F38" i="46"/>
  <c r="F23" i="46"/>
  <c r="F54" i="46"/>
  <c r="F44" i="46"/>
  <c r="F40" i="46"/>
  <c r="F48" i="46"/>
  <c r="F15" i="46"/>
  <c r="F28" i="46"/>
  <c r="F41" i="46"/>
  <c r="F42" i="46"/>
  <c r="F56" i="46"/>
  <c r="F17" i="46"/>
  <c r="F27" i="46"/>
  <c r="F35" i="46"/>
  <c r="F45" i="46"/>
  <c r="F25" i="46"/>
  <c r="F19" i="46"/>
  <c r="F43" i="46"/>
  <c r="F22" i="46"/>
  <c r="F33" i="46"/>
  <c r="F55" i="46"/>
  <c r="F46" i="46"/>
  <c r="F24" i="46"/>
  <c r="F21" i="46"/>
  <c r="F36" i="46"/>
  <c r="F32" i="46"/>
  <c r="F57" i="46"/>
  <c r="F53" i="46"/>
  <c r="F30" i="46"/>
  <c r="F26" i="46"/>
  <c r="F20" i="46"/>
  <c r="F29" i="46"/>
  <c r="F16" i="46"/>
  <c r="F39" i="46"/>
  <c r="F51" i="46"/>
  <c r="F52" i="46"/>
  <c r="F100" i="29"/>
  <c r="F182" i="29"/>
  <c r="F150" i="29"/>
  <c r="F142" i="29"/>
  <c r="F168" i="29"/>
  <c r="F148" i="29"/>
  <c r="F166" i="29"/>
  <c r="F176" i="29"/>
  <c r="F156" i="29"/>
  <c r="F164" i="29"/>
  <c r="F169" i="29"/>
  <c r="F181" i="29"/>
  <c r="F163" i="29"/>
  <c r="F101" i="29"/>
  <c r="F97" i="29"/>
  <c r="F115" i="29"/>
  <c r="F104" i="29"/>
  <c r="F99" i="29"/>
  <c r="F92" i="29"/>
  <c r="F47" i="29"/>
  <c r="F15" i="29"/>
  <c r="F39" i="29"/>
  <c r="F30" i="29"/>
  <c r="F29" i="29"/>
  <c r="F28" i="29"/>
  <c r="F43" i="29"/>
  <c r="F57" i="29"/>
  <c r="F26" i="29"/>
  <c r="F48" i="29"/>
  <c r="F16" i="29"/>
  <c r="F40" i="29"/>
  <c r="F34" i="29"/>
  <c r="F31" i="29"/>
  <c r="F53" i="29"/>
  <c r="F21" i="29"/>
  <c r="F20" i="29"/>
  <c r="F36" i="29"/>
  <c r="F50" i="29"/>
  <c r="F18" i="29"/>
  <c r="F41" i="29"/>
  <c r="F49" i="29"/>
  <c r="F32" i="29"/>
  <c r="F54" i="29"/>
  <c r="F22" i="29"/>
  <c r="F45" i="29"/>
  <c r="F52" i="29"/>
  <c r="F25" i="29"/>
  <c r="F27" i="29"/>
  <c r="F42" i="29"/>
  <c r="F17" i="29"/>
  <c r="F33" i="29"/>
  <c r="F55" i="29"/>
  <c r="F23" i="29"/>
  <c r="F46" i="29"/>
  <c r="F14" i="29"/>
  <c r="F38" i="29"/>
  <c r="F44" i="29"/>
  <c r="F51" i="29"/>
  <c r="F19" i="29"/>
  <c r="F35" i="29"/>
  <c r="F56" i="29"/>
  <c r="F24" i="29"/>
  <c r="F13" i="29"/>
  <c r="R80" i="29"/>
  <c r="Q83" i="29"/>
  <c r="W172" i="29"/>
  <c r="U80" i="29"/>
  <c r="AA80" i="29"/>
  <c r="M172" i="29"/>
  <c r="P172" i="29"/>
  <c r="Q172" i="29"/>
  <c r="S80" i="29"/>
  <c r="Q80" i="29"/>
  <c r="O80" i="29"/>
  <c r="T83" i="29"/>
  <c r="T172" i="29"/>
  <c r="V172" i="29"/>
  <c r="S172" i="29"/>
  <c r="K80" i="29"/>
  <c r="K172" i="29"/>
  <c r="AA83" i="29"/>
  <c r="P80" i="29"/>
  <c r="O172" i="29"/>
  <c r="Y83" i="29"/>
  <c r="Y80" i="29"/>
  <c r="J80" i="29"/>
  <c r="V83" i="29"/>
  <c r="W80" i="29"/>
  <c r="AB83" i="29"/>
  <c r="S83" i="29"/>
  <c r="N172" i="29"/>
  <c r="T80" i="29"/>
  <c r="W83" i="29"/>
  <c r="X83" i="29"/>
  <c r="N80" i="29"/>
  <c r="O83" i="29"/>
  <c r="U172" i="29"/>
  <c r="M80" i="29"/>
  <c r="N83" i="29"/>
  <c r="R83" i="29"/>
  <c r="V80" i="29"/>
  <c r="X80" i="29"/>
  <c r="AB80" i="29"/>
  <c r="R172" i="29"/>
  <c r="U83" i="29"/>
  <c r="P83" i="29"/>
  <c r="L80" i="29"/>
  <c r="M83" i="29"/>
  <c r="L172" i="29"/>
  <c r="Y172" i="29"/>
  <c r="J172" i="29"/>
  <c r="L83" i="29"/>
  <c r="K83" i="29"/>
  <c r="R75" i="29"/>
  <c r="S144" i="29"/>
  <c r="L144" i="29"/>
  <c r="V75" i="29"/>
  <c r="X144" i="29"/>
  <c r="L75" i="29"/>
  <c r="M75" i="29"/>
  <c r="AA75" i="29"/>
  <c r="T75" i="29"/>
  <c r="Y75" i="29"/>
  <c r="Q75" i="29"/>
  <c r="Y144" i="29"/>
  <c r="P75" i="29"/>
  <c r="N75" i="29"/>
  <c r="N144" i="29"/>
  <c r="R144" i="29"/>
  <c r="AB75" i="29"/>
  <c r="X75" i="29"/>
  <c r="U144" i="29"/>
  <c r="M144" i="29"/>
  <c r="O144" i="29"/>
  <c r="K144" i="29"/>
  <c r="V144" i="29"/>
  <c r="U75" i="29"/>
  <c r="O75" i="29"/>
  <c r="P144" i="29"/>
  <c r="J144" i="29"/>
  <c r="T144" i="29"/>
  <c r="W144" i="29"/>
  <c r="K75" i="29"/>
  <c r="Z75" i="29"/>
  <c r="W75" i="29"/>
  <c r="J75" i="29"/>
  <c r="G122" i="29"/>
  <c r="G121" i="29"/>
  <c r="G185" i="29"/>
  <c r="G186" i="29"/>
  <c r="G64" i="46"/>
  <c r="G65" i="46" s="1"/>
  <c r="G63" i="77"/>
  <c r="G64" i="77" s="1"/>
  <c r="G70" i="77" s="1"/>
  <c r="AP18" i="72"/>
  <c r="BA18" i="72" s="1"/>
  <c r="BB18" i="72" s="1"/>
  <c r="M59" i="76"/>
  <c r="F59" i="76" s="1"/>
  <c r="M60" i="76"/>
  <c r="F60" i="76" s="1"/>
  <c r="AO29" i="72"/>
  <c r="BA29" i="72" s="1"/>
  <c r="F29" i="72"/>
  <c r="AU46" i="78"/>
  <c r="BG46" i="78" s="1"/>
  <c r="AO47" i="72"/>
  <c r="BA47" i="72" s="1"/>
  <c r="F47" i="72"/>
  <c r="AU37" i="78"/>
  <c r="BG37" i="78" s="1"/>
  <c r="AO44" i="72"/>
  <c r="BA44" i="72" s="1"/>
  <c r="F44" i="72"/>
  <c r="AU48" i="78"/>
  <c r="BG48" i="78" s="1"/>
  <c r="AU31" i="78"/>
  <c r="BG31" i="78" s="1"/>
  <c r="AO24" i="72"/>
  <c r="BA24" i="72" s="1"/>
  <c r="F24" i="72"/>
  <c r="L59" i="72"/>
  <c r="K61" i="72" s="1"/>
  <c r="AO37" i="72"/>
  <c r="BA37" i="72" s="1"/>
  <c r="F37" i="72"/>
  <c r="AU50" i="78"/>
  <c r="BG50" i="78" s="1"/>
  <c r="AU41" i="78"/>
  <c r="BG41" i="78" s="1"/>
  <c r="AO52" i="72"/>
  <c r="BA52" i="72" s="1"/>
  <c r="F52" i="72"/>
  <c r="AU52" i="78"/>
  <c r="BG52" i="78" s="1"/>
  <c r="AU35" i="78"/>
  <c r="BG35" i="78" s="1"/>
  <c r="AO32" i="72"/>
  <c r="BA32" i="72" s="1"/>
  <c r="F32" i="72"/>
  <c r="AO45" i="72"/>
  <c r="BA45" i="72" s="1"/>
  <c r="F45" i="72"/>
  <c r="Z54" i="78"/>
  <c r="AA54" i="78" s="1"/>
  <c r="AB54" i="78" s="1"/>
  <c r="AU45" i="78"/>
  <c r="BG45" i="78" s="1"/>
  <c r="Y55" i="72"/>
  <c r="Z55" i="72" s="1"/>
  <c r="AA55" i="72" s="1"/>
  <c r="F55" i="72"/>
  <c r="AU24" i="78"/>
  <c r="BG24" i="78" s="1"/>
  <c r="AO30" i="72"/>
  <c r="BA30" i="72" s="1"/>
  <c r="F30" i="72"/>
  <c r="AU39" i="78"/>
  <c r="BG39" i="78" s="1"/>
  <c r="AO40" i="72"/>
  <c r="BA40" i="72" s="1"/>
  <c r="F40" i="72"/>
  <c r="AO53" i="72"/>
  <c r="BA53" i="72" s="1"/>
  <c r="F53" i="72"/>
  <c r="AU26" i="78"/>
  <c r="BG26" i="78" s="1"/>
  <c r="AO26" i="72"/>
  <c r="BA26" i="72" s="1"/>
  <c r="F26" i="72"/>
  <c r="AU49" i="78"/>
  <c r="BG49" i="78" s="1"/>
  <c r="AU28" i="78"/>
  <c r="BG28" i="78" s="1"/>
  <c r="AO38" i="72"/>
  <c r="BA38" i="72" s="1"/>
  <c r="F38" i="72"/>
  <c r="AO27" i="72"/>
  <c r="BA27" i="72" s="1"/>
  <c r="F27" i="72"/>
  <c r="AU43" i="78"/>
  <c r="BG43" i="78" s="1"/>
  <c r="AO48" i="72"/>
  <c r="BA48" i="72" s="1"/>
  <c r="F48" i="72"/>
  <c r="AU30" i="78"/>
  <c r="BG30" i="78" s="1"/>
  <c r="AO34" i="72"/>
  <c r="BA34" i="72" s="1"/>
  <c r="F34" i="72"/>
  <c r="AU53" i="78"/>
  <c r="BG53" i="78" s="1"/>
  <c r="AO25" i="72"/>
  <c r="BA25" i="72" s="1"/>
  <c r="F25" i="72"/>
  <c r="AU32" i="78"/>
  <c r="BG32" i="78" s="1"/>
  <c r="AO46" i="72"/>
  <c r="BA46" i="72" s="1"/>
  <c r="F46" i="72"/>
  <c r="AO35" i="72"/>
  <c r="BA35" i="72" s="1"/>
  <c r="F35" i="72"/>
  <c r="AU47" i="78"/>
  <c r="BG47" i="78" s="1"/>
  <c r="Y57" i="72"/>
  <c r="Z57" i="72" s="1"/>
  <c r="AA57" i="72" s="1"/>
  <c r="F57" i="72"/>
  <c r="AU34" i="78"/>
  <c r="BG34" i="78" s="1"/>
  <c r="AO42" i="72"/>
  <c r="BA42" i="72" s="1"/>
  <c r="F42" i="72"/>
  <c r="AU25" i="78"/>
  <c r="BG25" i="78" s="1"/>
  <c r="Y33" i="72"/>
  <c r="AO33" i="72"/>
  <c r="BA33" i="72" s="1"/>
  <c r="BB33" i="72" s="1"/>
  <c r="F33" i="72"/>
  <c r="Z33" i="72"/>
  <c r="AA33" i="72" s="1"/>
  <c r="AU36" i="78"/>
  <c r="BG36" i="78" s="1"/>
  <c r="Y54" i="72"/>
  <c r="Z54" i="72" s="1"/>
  <c r="AA54" i="72" s="1"/>
  <c r="F54" i="72"/>
  <c r="Z57" i="78"/>
  <c r="AA57" i="78" s="1"/>
  <c r="AB57" i="78" s="1"/>
  <c r="AO43" i="72"/>
  <c r="BA43" i="72" s="1"/>
  <c r="F43" i="72"/>
  <c r="AU51" i="78"/>
  <c r="BG51" i="78" s="1"/>
  <c r="Z55" i="78"/>
  <c r="AA55" i="78" s="1"/>
  <c r="AB55" i="78" s="1"/>
  <c r="AU38" i="78"/>
  <c r="BG38" i="78" s="1"/>
  <c r="AO50" i="72"/>
  <c r="BA50" i="72" s="1"/>
  <c r="F50" i="72"/>
  <c r="AO31" i="72"/>
  <c r="BA31" i="72" s="1"/>
  <c r="F31" i="72"/>
  <c r="AU29" i="78"/>
  <c r="BG29" i="78" s="1"/>
  <c r="AO28" i="72"/>
  <c r="BA28" i="72" s="1"/>
  <c r="F28" i="72"/>
  <c r="AO41" i="72"/>
  <c r="BA41" i="72" s="1"/>
  <c r="F41" i="72"/>
  <c r="AU40" i="78"/>
  <c r="BG40" i="78" s="1"/>
  <c r="AO51" i="72"/>
  <c r="BA51" i="72" s="1"/>
  <c r="F51" i="72"/>
  <c r="Z56" i="78"/>
  <c r="AA56" i="78" s="1"/>
  <c r="AB56" i="78" s="1"/>
  <c r="AU42" i="78"/>
  <c r="BG42" i="78" s="1"/>
  <c r="Y56" i="72"/>
  <c r="Z56" i="72" s="1"/>
  <c r="AA56" i="72" s="1"/>
  <c r="F56" i="72"/>
  <c r="AO39" i="72"/>
  <c r="BA39" i="72" s="1"/>
  <c r="F39" i="72"/>
  <c r="AU33" i="78"/>
  <c r="BG33" i="78" s="1"/>
  <c r="BH33" i="78" s="1"/>
  <c r="Z33" i="78"/>
  <c r="AA33" i="78"/>
  <c r="AB33" i="78" s="1"/>
  <c r="AO36" i="72"/>
  <c r="BA36" i="72" s="1"/>
  <c r="F36" i="72"/>
  <c r="AO49" i="72"/>
  <c r="BA49" i="72" s="1"/>
  <c r="F49" i="72"/>
  <c r="AU44" i="78"/>
  <c r="BG44" i="78" s="1"/>
  <c r="AU27" i="78"/>
  <c r="BG27" i="78" s="1"/>
  <c r="M59" i="72"/>
  <c r="AP17" i="72"/>
  <c r="BA17" i="72" s="1"/>
  <c r="BB17" i="72" s="1"/>
  <c r="X17" i="72" s="1"/>
  <c r="AU16" i="78"/>
  <c r="BG16" i="78" s="1"/>
  <c r="BH16" i="78" s="1"/>
  <c r="M59" i="78"/>
  <c r="F59" i="78" s="1"/>
  <c r="J47" i="24"/>
  <c r="M126" i="81" s="1"/>
  <c r="F126" i="81" s="1"/>
  <c r="K45" i="3"/>
  <c r="M70" i="76" s="1"/>
  <c r="F70" i="76" s="1"/>
  <c r="J36" i="22"/>
  <c r="M33" i="30" s="1"/>
  <c r="F33" i="30" s="1"/>
  <c r="K52" i="3"/>
  <c r="M103" i="29" s="1"/>
  <c r="J35" i="38"/>
  <c r="M34" i="46" s="1"/>
  <c r="F34" i="46" s="1"/>
  <c r="M33" i="50"/>
  <c r="Z33" i="50" s="1"/>
  <c r="AA33" i="50" s="1"/>
  <c r="AB33" i="50" s="1"/>
  <c r="K33" i="3"/>
  <c r="M93" i="29" s="1"/>
  <c r="J7" i="38"/>
  <c r="J23" i="22"/>
  <c r="M22" i="30" s="1"/>
  <c r="F22" i="30" s="1"/>
  <c r="J23" i="23"/>
  <c r="M84" i="30" s="1"/>
  <c r="L59" i="70"/>
  <c r="L60" i="70"/>
  <c r="F15" i="70"/>
  <c r="M60" i="70"/>
  <c r="M59" i="70"/>
  <c r="K59" i="70"/>
  <c r="F18" i="70"/>
  <c r="K60" i="70"/>
  <c r="F17" i="70"/>
  <c r="F123" i="81"/>
  <c r="F13" i="81"/>
  <c r="F13" i="79"/>
  <c r="F68" i="76"/>
  <c r="F163" i="30"/>
  <c r="F162" i="30"/>
  <c r="F149" i="30"/>
  <c r="F75" i="30"/>
  <c r="F13" i="30"/>
  <c r="Q18" i="75"/>
  <c r="M73" i="75"/>
  <c r="Q128" i="75"/>
  <c r="W17" i="75"/>
  <c r="F13" i="61"/>
  <c r="F13" i="50"/>
  <c r="C14" i="29"/>
  <c r="C15" i="29" s="1"/>
  <c r="H64" i="46"/>
  <c r="H63" i="77"/>
  <c r="F32" i="56"/>
  <c r="G86" i="46"/>
  <c r="F14" i="46"/>
  <c r="W72" i="75"/>
  <c r="G64" i="71"/>
  <c r="G70" i="71" s="1"/>
  <c r="T63" i="77"/>
  <c r="S63" i="71"/>
  <c r="L63" i="77"/>
  <c r="K63" i="71"/>
  <c r="X63" i="77"/>
  <c r="W63" i="71"/>
  <c r="U63" i="77"/>
  <c r="T63" i="71"/>
  <c r="N63" i="77"/>
  <c r="M63" i="71"/>
  <c r="V63" i="77"/>
  <c r="U63" i="71"/>
  <c r="Q63" i="77"/>
  <c r="P63" i="71"/>
  <c r="O63" i="77"/>
  <c r="N63" i="71"/>
  <c r="R63" i="77"/>
  <c r="Q63" i="71"/>
  <c r="W63" i="77"/>
  <c r="V63" i="71"/>
  <c r="S63" i="77"/>
  <c r="R63" i="71"/>
  <c r="M63" i="77"/>
  <c r="L63" i="71"/>
  <c r="K63" i="77"/>
  <c r="J63" i="71"/>
  <c r="P63" i="77"/>
  <c r="O63" i="71"/>
  <c r="F31" i="56"/>
  <c r="P62" i="77"/>
  <c r="O62" i="71"/>
  <c r="U62" i="77"/>
  <c r="T62" i="71"/>
  <c r="X62" i="77"/>
  <c r="W62" i="71"/>
  <c r="H63" i="46"/>
  <c r="H86" i="46" s="1"/>
  <c r="M62" i="77"/>
  <c r="L62" i="71"/>
  <c r="H62" i="77"/>
  <c r="N62" i="77"/>
  <c r="M62" i="71"/>
  <c r="R62" i="77"/>
  <c r="Q62" i="71"/>
  <c r="V62" i="77"/>
  <c r="U62" i="71"/>
  <c r="L62" i="77"/>
  <c r="K62" i="71"/>
  <c r="Q62" i="77"/>
  <c r="P62" i="71"/>
  <c r="S62" i="77"/>
  <c r="R62" i="71"/>
  <c r="O62" i="77"/>
  <c r="N62" i="71"/>
  <c r="T62" i="77"/>
  <c r="S62" i="71"/>
  <c r="W62" i="77"/>
  <c r="V62" i="71"/>
  <c r="AO18" i="79"/>
  <c r="BB18" i="79" s="1"/>
  <c r="BC18" i="79" s="1"/>
  <c r="AO22" i="79"/>
  <c r="BB22" i="79" s="1"/>
  <c r="AD22" i="79" s="1"/>
  <c r="AI22" i="79" s="1"/>
  <c r="AJ22" i="79" s="1"/>
  <c r="AO20" i="79"/>
  <c r="BB20" i="79" s="1"/>
  <c r="AD20" i="79" s="1"/>
  <c r="AI20" i="79" s="1"/>
  <c r="AJ20" i="79" s="1"/>
  <c r="AO21" i="79"/>
  <c r="BB21" i="79" s="1"/>
  <c r="AD21" i="79" s="1"/>
  <c r="AI21" i="79" s="1"/>
  <c r="AJ21" i="79" s="1"/>
  <c r="AO16" i="79"/>
  <c r="BB16" i="79" s="1"/>
  <c r="BC16" i="79" s="1"/>
  <c r="AO14" i="79"/>
  <c r="BB14" i="79" s="1"/>
  <c r="AD14" i="79" s="1"/>
  <c r="AI14" i="79" s="1"/>
  <c r="AJ14" i="79" s="1"/>
  <c r="AO23" i="79"/>
  <c r="BB23" i="79" s="1"/>
  <c r="BC23" i="79" s="1"/>
  <c r="AO15" i="79"/>
  <c r="S17" i="71"/>
  <c r="F123" i="75"/>
  <c r="F68" i="75"/>
  <c r="F13" i="75"/>
  <c r="F14" i="75"/>
  <c r="AN15" i="73"/>
  <c r="BA15" i="73" s="1"/>
  <c r="AC15" i="73" s="1"/>
  <c r="AH15" i="73" s="1"/>
  <c r="AI15" i="73" s="1"/>
  <c r="F15" i="73"/>
  <c r="AN20" i="73"/>
  <c r="BA20" i="73" s="1"/>
  <c r="BB20" i="73" s="1"/>
  <c r="F20" i="73"/>
  <c r="AN16" i="73"/>
  <c r="BA16" i="73" s="1"/>
  <c r="AC16" i="73" s="1"/>
  <c r="AH16" i="73" s="1"/>
  <c r="AI16" i="73" s="1"/>
  <c r="F16" i="73"/>
  <c r="AN14" i="73"/>
  <c r="BA14" i="73" s="1"/>
  <c r="BB14" i="73" s="1"/>
  <c r="F14" i="73"/>
  <c r="AN18" i="73"/>
  <c r="BA18" i="73" s="1"/>
  <c r="AC18" i="73" s="1"/>
  <c r="AH18" i="73" s="1"/>
  <c r="AI18" i="73" s="1"/>
  <c r="F18" i="73"/>
  <c r="AN19" i="73"/>
  <c r="BA19" i="73" s="1"/>
  <c r="AC19" i="73" s="1"/>
  <c r="AH19" i="73" s="1"/>
  <c r="AI19" i="73" s="1"/>
  <c r="F19" i="73"/>
  <c r="F17" i="73"/>
  <c r="F13" i="73"/>
  <c r="F125" i="70"/>
  <c r="F70" i="70"/>
  <c r="M17" i="75"/>
  <c r="J63" i="77"/>
  <c r="I63" i="71"/>
  <c r="I64" i="71" s="1"/>
  <c r="K62" i="77"/>
  <c r="J62" i="71"/>
  <c r="H64" i="71"/>
  <c r="H77" i="71"/>
  <c r="I77" i="71"/>
  <c r="U18" i="75"/>
  <c r="U128" i="75"/>
  <c r="P128" i="75"/>
  <c r="O127" i="75"/>
  <c r="S18" i="75"/>
  <c r="U72" i="75"/>
  <c r="N18" i="75"/>
  <c r="S73" i="75"/>
  <c r="Q73" i="75"/>
  <c r="M127" i="75"/>
  <c r="T18" i="75"/>
  <c r="P72" i="75"/>
  <c r="P17" i="75"/>
  <c r="U73" i="75"/>
  <c r="R73" i="75"/>
  <c r="V18" i="75"/>
  <c r="L128" i="75"/>
  <c r="T127" i="75"/>
  <c r="T72" i="75"/>
  <c r="V17" i="75"/>
  <c r="R17" i="75"/>
  <c r="L18" i="75"/>
  <c r="W127" i="75"/>
  <c r="N73" i="75"/>
  <c r="P73" i="75"/>
  <c r="O18" i="75"/>
  <c r="S17" i="75"/>
  <c r="O72" i="75"/>
  <c r="S128" i="75"/>
  <c r="K127" i="75"/>
  <c r="Q72" i="75"/>
  <c r="P127" i="75"/>
  <c r="V127" i="75"/>
  <c r="N128" i="75"/>
  <c r="V73" i="75"/>
  <c r="U17" i="75"/>
  <c r="M128" i="75"/>
  <c r="K17" i="75"/>
  <c r="N17" i="75"/>
  <c r="O17" i="75"/>
  <c r="P18" i="75"/>
  <c r="O128" i="75"/>
  <c r="Q17" i="75"/>
  <c r="N72" i="75"/>
  <c r="W18" i="75"/>
  <c r="K128" i="75"/>
  <c r="S127" i="75"/>
  <c r="W73" i="75"/>
  <c r="M72" i="75"/>
  <c r="T73" i="75"/>
  <c r="T128" i="75"/>
  <c r="N127" i="75"/>
  <c r="W128" i="75"/>
  <c r="R18" i="75"/>
  <c r="V72" i="75"/>
  <c r="O73" i="75"/>
  <c r="L72" i="75"/>
  <c r="R127" i="75"/>
  <c r="T17" i="75"/>
  <c r="V128" i="75"/>
  <c r="K18" i="75"/>
  <c r="L17" i="75"/>
  <c r="L73" i="75"/>
  <c r="R128" i="75"/>
  <c r="K72" i="75"/>
  <c r="L127" i="75"/>
  <c r="U127" i="75"/>
  <c r="S72" i="75"/>
  <c r="K73" i="75"/>
  <c r="Q127" i="75"/>
  <c r="M18" i="75"/>
  <c r="R72" i="75"/>
  <c r="T17" i="71"/>
  <c r="P17" i="71"/>
  <c r="P18" i="71"/>
  <c r="R18" i="71"/>
  <c r="N18" i="71"/>
  <c r="O17" i="71"/>
  <c r="N17" i="71"/>
  <c r="V17" i="71"/>
  <c r="O18" i="71"/>
  <c r="W17" i="71"/>
  <c r="U18" i="71"/>
  <c r="Q18" i="71"/>
  <c r="U17" i="71"/>
  <c r="Q17" i="71"/>
  <c r="R17" i="71"/>
  <c r="T18" i="71"/>
  <c r="W18" i="71"/>
  <c r="V18" i="71"/>
  <c r="S18" i="71"/>
  <c r="L128" i="70"/>
  <c r="L73" i="70"/>
  <c r="K73" i="70"/>
  <c r="K127" i="70"/>
  <c r="M128" i="70"/>
  <c r="K128" i="70"/>
  <c r="M127" i="70"/>
  <c r="K72" i="70"/>
  <c r="L127" i="70"/>
  <c r="M73" i="70"/>
  <c r="L72" i="70"/>
  <c r="M72" i="70"/>
  <c r="X139" i="30"/>
  <c r="S139" i="30"/>
  <c r="F125" i="75"/>
  <c r="F126" i="75"/>
  <c r="F124" i="75"/>
  <c r="F130" i="75"/>
  <c r="F129" i="75"/>
  <c r="F70" i="75"/>
  <c r="F71" i="75"/>
  <c r="F69" i="75"/>
  <c r="F74" i="75"/>
  <c r="F75" i="75"/>
  <c r="Q147" i="30"/>
  <c r="V172" i="30"/>
  <c r="S147" i="30"/>
  <c r="T147" i="30"/>
  <c r="F15" i="75"/>
  <c r="F19" i="75"/>
  <c r="F16" i="75"/>
  <c r="F20" i="75"/>
  <c r="V139" i="30"/>
  <c r="N139" i="30"/>
  <c r="P139" i="30"/>
  <c r="R139" i="30"/>
  <c r="M139" i="30"/>
  <c r="Q139" i="30"/>
  <c r="O139" i="30"/>
  <c r="W139" i="30"/>
  <c r="T139" i="30"/>
  <c r="L139" i="30"/>
  <c r="J139" i="30"/>
  <c r="U139" i="30"/>
  <c r="F75" i="70"/>
  <c r="F124" i="70"/>
  <c r="F74" i="70"/>
  <c r="F130" i="70"/>
  <c r="F71" i="70"/>
  <c r="F129" i="70"/>
  <c r="F126" i="70"/>
  <c r="F123" i="70"/>
  <c r="F68" i="70"/>
  <c r="F69" i="70"/>
  <c r="R172" i="30"/>
  <c r="T172" i="30"/>
  <c r="L147" i="30"/>
  <c r="N172" i="30"/>
  <c r="J172" i="30"/>
  <c r="V147" i="30"/>
  <c r="W172" i="30"/>
  <c r="M172" i="30"/>
  <c r="M147" i="30"/>
  <c r="O147" i="30"/>
  <c r="R147" i="30"/>
  <c r="L172" i="30"/>
  <c r="P147" i="30"/>
  <c r="U172" i="30"/>
  <c r="P172" i="30"/>
  <c r="K172" i="30"/>
  <c r="S172" i="30"/>
  <c r="X147" i="30"/>
  <c r="O172" i="30"/>
  <c r="W147" i="30"/>
  <c r="J147" i="30"/>
  <c r="Q172" i="30"/>
  <c r="U147" i="30"/>
  <c r="N147" i="30"/>
  <c r="X172" i="30"/>
  <c r="J64" i="46"/>
  <c r="J65" i="46" s="1"/>
  <c r="F29" i="56"/>
  <c r="U151" i="29"/>
  <c r="P88" i="30"/>
  <c r="I184" i="30"/>
  <c r="I185" i="30"/>
  <c r="K77" i="30"/>
  <c r="I122" i="29"/>
  <c r="Y151" i="29"/>
  <c r="W88" i="30"/>
  <c r="AA88" i="30"/>
  <c r="U88" i="30"/>
  <c r="X88" i="30"/>
  <c r="K139" i="30"/>
  <c r="O77" i="30"/>
  <c r="Q88" i="30"/>
  <c r="T88" i="30"/>
  <c r="R88" i="30"/>
  <c r="O88" i="30"/>
  <c r="R89" i="30"/>
  <c r="S88" i="30"/>
  <c r="L88" i="30"/>
  <c r="AB88" i="30"/>
  <c r="V88" i="30"/>
  <c r="K88" i="30"/>
  <c r="Y88" i="30"/>
  <c r="N88" i="30"/>
  <c r="J88" i="30"/>
  <c r="M88" i="30"/>
  <c r="T89" i="30"/>
  <c r="P89" i="30"/>
  <c r="AB89" i="30"/>
  <c r="M89" i="30"/>
  <c r="V89" i="30"/>
  <c r="S89" i="30"/>
  <c r="AA89" i="30"/>
  <c r="L89" i="30"/>
  <c r="P77" i="30"/>
  <c r="X77" i="30"/>
  <c r="T77" i="30"/>
  <c r="N77" i="30"/>
  <c r="AA117" i="29"/>
  <c r="AB117" i="29"/>
  <c r="U77" i="30"/>
  <c r="Q77" i="30"/>
  <c r="M77" i="30"/>
  <c r="M117" i="29"/>
  <c r="L77" i="30"/>
  <c r="T117" i="29"/>
  <c r="S77" i="30"/>
  <c r="W117" i="29"/>
  <c r="V77" i="30"/>
  <c r="Z117" i="29"/>
  <c r="R77" i="30"/>
  <c r="R117" i="29"/>
  <c r="W77" i="30"/>
  <c r="U117" i="29"/>
  <c r="Q117" i="29"/>
  <c r="Y117" i="29"/>
  <c r="V81" i="30"/>
  <c r="R138" i="30"/>
  <c r="W138" i="30"/>
  <c r="U81" i="30"/>
  <c r="Q138" i="30"/>
  <c r="X89" i="30"/>
  <c r="Y89" i="30"/>
  <c r="W89" i="30"/>
  <c r="Q89" i="30"/>
  <c r="U89" i="30"/>
  <c r="AA113" i="29"/>
  <c r="Q113" i="29"/>
  <c r="O89" i="30"/>
  <c r="K89" i="30"/>
  <c r="J89" i="30"/>
  <c r="N89" i="30"/>
  <c r="K113" i="29"/>
  <c r="H184" i="30"/>
  <c r="H185" i="30"/>
  <c r="J77" i="30"/>
  <c r="N81" i="30"/>
  <c r="O81" i="30"/>
  <c r="U138" i="30"/>
  <c r="Q81" i="30"/>
  <c r="O138" i="30"/>
  <c r="T138" i="30"/>
  <c r="W81" i="30"/>
  <c r="M138" i="30"/>
  <c r="T81" i="30"/>
  <c r="P138" i="30"/>
  <c r="S81" i="30"/>
  <c r="P81" i="30"/>
  <c r="X138" i="30"/>
  <c r="V138" i="30"/>
  <c r="J138" i="30"/>
  <c r="X81" i="30"/>
  <c r="S138" i="30"/>
  <c r="M81" i="30"/>
  <c r="L138" i="30"/>
  <c r="R81" i="30"/>
  <c r="L81" i="30"/>
  <c r="N138" i="30"/>
  <c r="K138" i="30"/>
  <c r="K147" i="30"/>
  <c r="I121" i="30"/>
  <c r="K81" i="30"/>
  <c r="H121" i="30"/>
  <c r="H122" i="30"/>
  <c r="J81" i="30"/>
  <c r="I122" i="30"/>
  <c r="V151" i="29"/>
  <c r="S151" i="29"/>
  <c r="O151" i="29"/>
  <c r="T151" i="29"/>
  <c r="P90" i="29"/>
  <c r="L78" i="29"/>
  <c r="P78" i="29"/>
  <c r="Z78" i="29"/>
  <c r="I185" i="29"/>
  <c r="I186" i="29"/>
  <c r="I121" i="29"/>
  <c r="H121" i="29"/>
  <c r="H122" i="29"/>
  <c r="H186" i="29"/>
  <c r="H185" i="29"/>
  <c r="O113" i="29"/>
  <c r="AB113" i="29"/>
  <c r="X113" i="29"/>
  <c r="P113" i="29"/>
  <c r="Y113" i="29"/>
  <c r="T113" i="29"/>
  <c r="O179" i="29"/>
  <c r="Y179" i="29"/>
  <c r="P151" i="29"/>
  <c r="Q151" i="29"/>
  <c r="P114" i="29"/>
  <c r="J151" i="29"/>
  <c r="K114" i="29"/>
  <c r="V114" i="29"/>
  <c r="L151" i="29"/>
  <c r="X151" i="29"/>
  <c r="W114" i="29"/>
  <c r="N114" i="29"/>
  <c r="J114" i="29"/>
  <c r="S114" i="29"/>
  <c r="M114" i="29"/>
  <c r="M151" i="29"/>
  <c r="U114" i="29"/>
  <c r="Z114" i="29"/>
  <c r="N151" i="29"/>
  <c r="Q114" i="29"/>
  <c r="O114" i="29"/>
  <c r="AA114" i="29"/>
  <c r="R151" i="29"/>
  <c r="T114" i="29"/>
  <c r="L114" i="29"/>
  <c r="K151" i="29"/>
  <c r="AB114" i="29"/>
  <c r="Y114" i="29"/>
  <c r="R114" i="29"/>
  <c r="P179" i="29"/>
  <c r="L179" i="29"/>
  <c r="V113" i="29"/>
  <c r="S179" i="29"/>
  <c r="M179" i="29"/>
  <c r="R179" i="29"/>
  <c r="V179" i="29"/>
  <c r="S155" i="29"/>
  <c r="S113" i="29"/>
  <c r="W179" i="29"/>
  <c r="R113" i="29"/>
  <c r="J179" i="29"/>
  <c r="N113" i="29"/>
  <c r="J113" i="29"/>
  <c r="Q179" i="29"/>
  <c r="X179" i="29"/>
  <c r="T179" i="29"/>
  <c r="U113" i="29"/>
  <c r="W113" i="29"/>
  <c r="M113" i="29"/>
  <c r="N179" i="29"/>
  <c r="L113" i="29"/>
  <c r="Y78" i="29"/>
  <c r="V78" i="29"/>
  <c r="T78" i="29"/>
  <c r="O78" i="29"/>
  <c r="K78" i="29"/>
  <c r="R78" i="29"/>
  <c r="S78" i="29"/>
  <c r="AA78" i="29"/>
  <c r="AB78" i="29"/>
  <c r="X78" i="29"/>
  <c r="N78" i="29"/>
  <c r="J78" i="29"/>
  <c r="U78" i="29"/>
  <c r="M78" i="29"/>
  <c r="Q78" i="29"/>
  <c r="M90" i="29"/>
  <c r="U90" i="29"/>
  <c r="W90" i="29"/>
  <c r="Z90" i="29"/>
  <c r="L90" i="29"/>
  <c r="X90" i="29"/>
  <c r="K90" i="29"/>
  <c r="R90" i="29"/>
  <c r="AA90" i="29"/>
  <c r="S90" i="29"/>
  <c r="Y90" i="29"/>
  <c r="J90" i="29"/>
  <c r="Q90" i="29"/>
  <c r="O90" i="29"/>
  <c r="V90" i="29"/>
  <c r="T90" i="29"/>
  <c r="N90" i="29"/>
  <c r="O155" i="29"/>
  <c r="N155" i="29"/>
  <c r="K179" i="29"/>
  <c r="R155" i="29"/>
  <c r="Y155" i="29"/>
  <c r="L155" i="29"/>
  <c r="Q155" i="29"/>
  <c r="T155" i="29"/>
  <c r="P155" i="29"/>
  <c r="K155" i="29"/>
  <c r="V155" i="29"/>
  <c r="X155" i="29"/>
  <c r="W155" i="29"/>
  <c r="M155" i="29"/>
  <c r="J155" i="29"/>
  <c r="J109" i="29"/>
  <c r="X117" i="29"/>
  <c r="L117" i="29"/>
  <c r="O117" i="29"/>
  <c r="P117" i="29"/>
  <c r="K117" i="29"/>
  <c r="V117" i="29"/>
  <c r="J117" i="29"/>
  <c r="Z109" i="29"/>
  <c r="R109" i="29"/>
  <c r="S109" i="29"/>
  <c r="O109" i="29"/>
  <c r="M109" i="29"/>
  <c r="AB109" i="29"/>
  <c r="Q109" i="29"/>
  <c r="N109" i="29"/>
  <c r="Y109" i="29"/>
  <c r="W109" i="29"/>
  <c r="V109" i="29"/>
  <c r="P109" i="29"/>
  <c r="AA109" i="29"/>
  <c r="U109" i="29"/>
  <c r="X109" i="29"/>
  <c r="L109" i="29"/>
  <c r="K109" i="29"/>
  <c r="M144" i="30"/>
  <c r="Q144" i="30"/>
  <c r="L144" i="30"/>
  <c r="P144" i="30"/>
  <c r="Z108" i="29"/>
  <c r="V79" i="30"/>
  <c r="Q79" i="30"/>
  <c r="O79" i="30"/>
  <c r="J108" i="29"/>
  <c r="R79" i="30"/>
  <c r="S108" i="29"/>
  <c r="T79" i="30"/>
  <c r="W79" i="30"/>
  <c r="W108" i="29"/>
  <c r="L79" i="30"/>
  <c r="AA108" i="29"/>
  <c r="Y108" i="29"/>
  <c r="S79" i="30"/>
  <c r="N79" i="30"/>
  <c r="U108" i="29"/>
  <c r="M79" i="30"/>
  <c r="T108" i="29"/>
  <c r="X79" i="30"/>
  <c r="O108" i="29"/>
  <c r="U79" i="30"/>
  <c r="V108" i="29"/>
  <c r="J79" i="30"/>
  <c r="P79" i="30"/>
  <c r="X108" i="29"/>
  <c r="K108" i="29"/>
  <c r="L153" i="29"/>
  <c r="X144" i="30"/>
  <c r="V144" i="30"/>
  <c r="T144" i="30"/>
  <c r="W144" i="30"/>
  <c r="R144" i="30"/>
  <c r="O144" i="30"/>
  <c r="N144" i="30"/>
  <c r="U144" i="30"/>
  <c r="J144" i="30"/>
  <c r="K144" i="30"/>
  <c r="V153" i="29"/>
  <c r="S144" i="30"/>
  <c r="K174" i="29"/>
  <c r="X81" i="29"/>
  <c r="AA81" i="29"/>
  <c r="U96" i="29"/>
  <c r="V96" i="29"/>
  <c r="O96" i="29"/>
  <c r="N96" i="29"/>
  <c r="X96" i="29"/>
  <c r="M96" i="29"/>
  <c r="Y96" i="29"/>
  <c r="J96" i="29"/>
  <c r="P96" i="29"/>
  <c r="T96" i="29"/>
  <c r="R96" i="29"/>
  <c r="W96" i="29"/>
  <c r="S96" i="29"/>
  <c r="K96" i="29"/>
  <c r="AB96" i="29"/>
  <c r="Q96" i="29"/>
  <c r="L96" i="29"/>
  <c r="AA96" i="29"/>
  <c r="K79" i="30"/>
  <c r="V81" i="29"/>
  <c r="U81" i="29"/>
  <c r="T81" i="29"/>
  <c r="Y81" i="29"/>
  <c r="AB81" i="29"/>
  <c r="Z81" i="29"/>
  <c r="O81" i="29"/>
  <c r="K81" i="29"/>
  <c r="Q81" i="29"/>
  <c r="R81" i="29"/>
  <c r="J81" i="29"/>
  <c r="S81" i="29"/>
  <c r="N81" i="29"/>
  <c r="W81" i="29"/>
  <c r="M81" i="29"/>
  <c r="L81" i="29"/>
  <c r="M146" i="29"/>
  <c r="R146" i="29"/>
  <c r="N146" i="29"/>
  <c r="U146" i="29"/>
  <c r="S146" i="29"/>
  <c r="O146" i="29"/>
  <c r="V152" i="30"/>
  <c r="R152" i="30"/>
  <c r="T152" i="30"/>
  <c r="O152" i="30"/>
  <c r="W152" i="30"/>
  <c r="Q152" i="30"/>
  <c r="L152" i="30"/>
  <c r="U152" i="30"/>
  <c r="K152" i="30"/>
  <c r="S152" i="30"/>
  <c r="M152" i="30"/>
  <c r="X152" i="30"/>
  <c r="N152" i="30"/>
  <c r="P152" i="30"/>
  <c r="J152" i="30"/>
  <c r="Q146" i="29"/>
  <c r="J146" i="29"/>
  <c r="K146" i="29"/>
  <c r="U89" i="29"/>
  <c r="V174" i="29"/>
  <c r="X174" i="29"/>
  <c r="M174" i="29"/>
  <c r="R174" i="29"/>
  <c r="U103" i="29"/>
  <c r="AA103" i="29"/>
  <c r="Q89" i="29"/>
  <c r="K103" i="29"/>
  <c r="J76" i="30"/>
  <c r="S174" i="29"/>
  <c r="V146" i="29"/>
  <c r="Q174" i="29"/>
  <c r="L174" i="29"/>
  <c r="W174" i="29"/>
  <c r="T174" i="29"/>
  <c r="N174" i="29"/>
  <c r="W146" i="29"/>
  <c r="T146" i="29"/>
  <c r="X146" i="29"/>
  <c r="U174" i="29"/>
  <c r="Y174" i="29"/>
  <c r="L146" i="29"/>
  <c r="O174" i="29"/>
  <c r="K89" i="29"/>
  <c r="V89" i="29"/>
  <c r="S103" i="29"/>
  <c r="Q103" i="29"/>
  <c r="Z103" i="29"/>
  <c r="L89" i="29"/>
  <c r="J103" i="29"/>
  <c r="J89" i="29"/>
  <c r="AB103" i="29"/>
  <c r="AB89" i="29"/>
  <c r="R89" i="29"/>
  <c r="O89" i="29"/>
  <c r="M89" i="29"/>
  <c r="AA89" i="29"/>
  <c r="Z89" i="29"/>
  <c r="T89" i="29"/>
  <c r="Y103" i="29"/>
  <c r="W103" i="29"/>
  <c r="X103" i="29"/>
  <c r="R103" i="29"/>
  <c r="W89" i="29"/>
  <c r="O103" i="29"/>
  <c r="N103" i="29"/>
  <c r="Y89" i="29"/>
  <c r="P89" i="29"/>
  <c r="L103" i="29"/>
  <c r="V103" i="29"/>
  <c r="S89" i="29"/>
  <c r="T103" i="29"/>
  <c r="N89" i="29"/>
  <c r="M153" i="29"/>
  <c r="R153" i="29"/>
  <c r="N153" i="29"/>
  <c r="AB108" i="29"/>
  <c r="J174" i="29"/>
  <c r="N108" i="29"/>
  <c r="Q108" i="29"/>
  <c r="Y146" i="29"/>
  <c r="M108" i="29"/>
  <c r="R108" i="29"/>
  <c r="Y153" i="29"/>
  <c r="L108" i="29"/>
  <c r="T153" i="29"/>
  <c r="P153" i="29"/>
  <c r="U153" i="29"/>
  <c r="X153" i="29"/>
  <c r="O153" i="29"/>
  <c r="S153" i="29"/>
  <c r="Q153" i="29"/>
  <c r="J153" i="29"/>
  <c r="K153" i="29"/>
  <c r="Y116" i="29"/>
  <c r="W116" i="29"/>
  <c r="AB116" i="29"/>
  <c r="K116" i="29"/>
  <c r="O116" i="29"/>
  <c r="R116" i="29"/>
  <c r="J116" i="29"/>
  <c r="M116" i="29"/>
  <c r="V116" i="29"/>
  <c r="S116" i="29"/>
  <c r="U116" i="29"/>
  <c r="Z116" i="29"/>
  <c r="L116" i="29"/>
  <c r="T116" i="29"/>
  <c r="P116" i="29"/>
  <c r="Q116" i="29"/>
  <c r="X116" i="29"/>
  <c r="S107" i="29"/>
  <c r="AB107" i="29"/>
  <c r="X107" i="29"/>
  <c r="W107" i="29"/>
  <c r="K107" i="29"/>
  <c r="AA107" i="29"/>
  <c r="U107" i="29"/>
  <c r="L107" i="29"/>
  <c r="N107" i="29"/>
  <c r="J107" i="29"/>
  <c r="R107" i="29"/>
  <c r="Z107" i="29"/>
  <c r="M107" i="29"/>
  <c r="P107" i="29"/>
  <c r="T107" i="29"/>
  <c r="Y107" i="29"/>
  <c r="V107" i="29"/>
  <c r="Q107" i="29"/>
  <c r="N59" i="79"/>
  <c r="N61" i="79" s="1"/>
  <c r="M59" i="73"/>
  <c r="M61" i="73" s="1"/>
  <c r="L59" i="73"/>
  <c r="M59" i="79"/>
  <c r="AP15" i="79"/>
  <c r="AN17" i="73"/>
  <c r="BA17" i="73" s="1"/>
  <c r="BB17" i="73" s="1"/>
  <c r="AI17" i="73"/>
  <c r="L59" i="79"/>
  <c r="AO13" i="79"/>
  <c r="BB13" i="79" s="1"/>
  <c r="AD13" i="79" s="1"/>
  <c r="AI13" i="79" s="1"/>
  <c r="AJ13" i="79" s="1"/>
  <c r="AO17" i="79"/>
  <c r="BB17" i="79" s="1"/>
  <c r="BC17" i="79" s="1"/>
  <c r="Y17" i="79" s="1"/>
  <c r="AJ17" i="79"/>
  <c r="K59" i="73"/>
  <c r="AN13" i="73"/>
  <c r="BA13" i="73" s="1"/>
  <c r="X148" i="30"/>
  <c r="L148" i="30"/>
  <c r="T82" i="30"/>
  <c r="W82" i="30"/>
  <c r="O82" i="30"/>
  <c r="R82" i="30"/>
  <c r="Q82" i="30"/>
  <c r="V157" i="30"/>
  <c r="W146" i="30"/>
  <c r="J59" i="61"/>
  <c r="J59" i="50"/>
  <c r="Q85" i="30"/>
  <c r="R85" i="30"/>
  <c r="V180" i="30"/>
  <c r="P180" i="30"/>
  <c r="P85" i="30"/>
  <c r="T85" i="30"/>
  <c r="U85" i="30"/>
  <c r="Y85" i="30"/>
  <c r="Z85" i="30"/>
  <c r="W85" i="30"/>
  <c r="O85" i="30"/>
  <c r="N85" i="30"/>
  <c r="AB85" i="30"/>
  <c r="X85" i="30"/>
  <c r="S85" i="30"/>
  <c r="L85" i="30"/>
  <c r="V85" i="30"/>
  <c r="M85" i="30"/>
  <c r="J170" i="76"/>
  <c r="J169" i="76"/>
  <c r="J85" i="30"/>
  <c r="J114" i="76"/>
  <c r="J115" i="76"/>
  <c r="K85" i="30"/>
  <c r="I64" i="46"/>
  <c r="I63" i="77"/>
  <c r="I63" i="46"/>
  <c r="I62" i="77"/>
  <c r="F30" i="56"/>
  <c r="M82" i="30"/>
  <c r="P148" i="30"/>
  <c r="S148" i="30"/>
  <c r="L157" i="30"/>
  <c r="M157" i="30"/>
  <c r="M148" i="30"/>
  <c r="V148" i="30"/>
  <c r="O146" i="30"/>
  <c r="Q157" i="30"/>
  <c r="U148" i="30"/>
  <c r="R148" i="30"/>
  <c r="Q148" i="30"/>
  <c r="T148" i="30"/>
  <c r="N148" i="30"/>
  <c r="O148" i="30"/>
  <c r="W148" i="30"/>
  <c r="N180" i="30"/>
  <c r="L76" i="30"/>
  <c r="Q180" i="30"/>
  <c r="T76" i="30"/>
  <c r="W180" i="30"/>
  <c r="O76" i="30"/>
  <c r="X76" i="30"/>
  <c r="M76" i="30"/>
  <c r="S180" i="30"/>
  <c r="T146" i="30"/>
  <c r="T157" i="30"/>
  <c r="R146" i="30"/>
  <c r="L146" i="30"/>
  <c r="R157" i="30"/>
  <c r="N146" i="30"/>
  <c r="X157" i="30"/>
  <c r="O157" i="30"/>
  <c r="U146" i="30"/>
  <c r="P157" i="30"/>
  <c r="S146" i="30"/>
  <c r="W157" i="30"/>
  <c r="X146" i="30"/>
  <c r="U157" i="30"/>
  <c r="Q146" i="30"/>
  <c r="N157" i="30"/>
  <c r="M146" i="30"/>
  <c r="S157" i="30"/>
  <c r="V146" i="30"/>
  <c r="P146" i="30"/>
  <c r="M180" i="30"/>
  <c r="N82" i="30"/>
  <c r="V76" i="30"/>
  <c r="P82" i="30"/>
  <c r="J82" i="30"/>
  <c r="L82" i="30"/>
  <c r="U180" i="30"/>
  <c r="Q76" i="30"/>
  <c r="S76" i="30"/>
  <c r="N76" i="30"/>
  <c r="U82" i="30"/>
  <c r="U76" i="30"/>
  <c r="W76" i="30"/>
  <c r="X82" i="30"/>
  <c r="K76" i="30"/>
  <c r="V82" i="30"/>
  <c r="R76" i="30"/>
  <c r="T180" i="30"/>
  <c r="R180" i="30"/>
  <c r="P76" i="30"/>
  <c r="O180" i="30"/>
  <c r="S82" i="30"/>
  <c r="J59" i="77"/>
  <c r="J60" i="77"/>
  <c r="K111" i="30"/>
  <c r="K70" i="81"/>
  <c r="F70" i="81" s="1"/>
  <c r="K72" i="81"/>
  <c r="F72" i="81" s="1"/>
  <c r="K76" i="81"/>
  <c r="F76" i="81" s="1"/>
  <c r="K69" i="81"/>
  <c r="F69" i="81" s="1"/>
  <c r="K71" i="81"/>
  <c r="F71" i="81" s="1"/>
  <c r="K73" i="81"/>
  <c r="F73" i="81" s="1"/>
  <c r="K75" i="81"/>
  <c r="F75" i="81" s="1"/>
  <c r="K77" i="81"/>
  <c r="F77" i="81" s="1"/>
  <c r="K68" i="81"/>
  <c r="F68" i="81" s="1"/>
  <c r="J114" i="81"/>
  <c r="J115" i="81"/>
  <c r="P90" i="30"/>
  <c r="AB111" i="30"/>
  <c r="L111" i="30"/>
  <c r="M90" i="30"/>
  <c r="N87" i="30"/>
  <c r="U87" i="30"/>
  <c r="Q87" i="30"/>
  <c r="M87" i="30"/>
  <c r="O90" i="30"/>
  <c r="R111" i="30"/>
  <c r="K60" i="81"/>
  <c r="K59" i="81"/>
  <c r="J59" i="81"/>
  <c r="J60" i="81"/>
  <c r="K82" i="30"/>
  <c r="K148" i="30"/>
  <c r="J148" i="30"/>
  <c r="N96" i="30"/>
  <c r="P145" i="30"/>
  <c r="S145" i="30"/>
  <c r="M96" i="30"/>
  <c r="X145" i="30"/>
  <c r="W145" i="30"/>
  <c r="U145" i="30"/>
  <c r="T145" i="30"/>
  <c r="AA87" i="30"/>
  <c r="V87" i="30"/>
  <c r="T87" i="30"/>
  <c r="Z87" i="30"/>
  <c r="M145" i="30"/>
  <c r="L87" i="30"/>
  <c r="Y87" i="30"/>
  <c r="N145" i="30"/>
  <c r="W87" i="30"/>
  <c r="O145" i="30"/>
  <c r="P87" i="30"/>
  <c r="J87" i="30"/>
  <c r="V145" i="30"/>
  <c r="O87" i="30"/>
  <c r="R87" i="30"/>
  <c r="X87" i="30"/>
  <c r="Q145" i="30"/>
  <c r="L145" i="30"/>
  <c r="R145" i="30"/>
  <c r="S87" i="30"/>
  <c r="Y111" i="30"/>
  <c r="V90" i="30"/>
  <c r="V111" i="30"/>
  <c r="S111" i="30"/>
  <c r="AA111" i="30"/>
  <c r="Q90" i="30"/>
  <c r="S90" i="30"/>
  <c r="T111" i="30"/>
  <c r="W90" i="30"/>
  <c r="N90" i="30"/>
  <c r="L90" i="30"/>
  <c r="X111" i="30"/>
  <c r="AB90" i="30"/>
  <c r="P111" i="30"/>
  <c r="W111" i="30"/>
  <c r="X90" i="30"/>
  <c r="O111" i="30"/>
  <c r="J90" i="30"/>
  <c r="R90" i="30"/>
  <c r="Q111" i="30"/>
  <c r="M111" i="30"/>
  <c r="U90" i="30"/>
  <c r="N111" i="30"/>
  <c r="Z90" i="30"/>
  <c r="U111" i="30"/>
  <c r="Y90" i="30"/>
  <c r="T90" i="30"/>
  <c r="J111" i="30"/>
  <c r="K87" i="30"/>
  <c r="K90" i="30"/>
  <c r="J160" i="30"/>
  <c r="K160" i="30"/>
  <c r="J143" i="30"/>
  <c r="K143" i="30"/>
  <c r="K141" i="30"/>
  <c r="J141" i="30"/>
  <c r="K165" i="30"/>
  <c r="J165" i="30"/>
  <c r="J174" i="30"/>
  <c r="K174" i="30"/>
  <c r="J167" i="30"/>
  <c r="K167" i="30"/>
  <c r="K161" i="30"/>
  <c r="J161" i="30"/>
  <c r="J170" i="30"/>
  <c r="K170" i="30"/>
  <c r="J175" i="30"/>
  <c r="K175" i="30"/>
  <c r="K168" i="30"/>
  <c r="J168" i="30"/>
  <c r="J169" i="30"/>
  <c r="K169" i="30"/>
  <c r="J178" i="30"/>
  <c r="K178" i="30"/>
  <c r="U155" i="30"/>
  <c r="J155" i="30"/>
  <c r="K155" i="30"/>
  <c r="K176" i="30"/>
  <c r="J176" i="30"/>
  <c r="J177" i="30"/>
  <c r="K177" i="30"/>
  <c r="J156" i="30"/>
  <c r="K156" i="30"/>
  <c r="K145" i="30"/>
  <c r="J145" i="30"/>
  <c r="J158" i="30"/>
  <c r="K158" i="30"/>
  <c r="J140" i="30"/>
  <c r="K140" i="30"/>
  <c r="J164" i="30"/>
  <c r="K164" i="30"/>
  <c r="J166" i="30"/>
  <c r="K166" i="30"/>
  <c r="J142" i="30"/>
  <c r="K142" i="30"/>
  <c r="J171" i="30"/>
  <c r="K171" i="30"/>
  <c r="J173" i="30"/>
  <c r="K173" i="30"/>
  <c r="J151" i="30"/>
  <c r="K151" i="30"/>
  <c r="J150" i="30"/>
  <c r="K150" i="30"/>
  <c r="J159" i="30"/>
  <c r="K159" i="30"/>
  <c r="J154" i="30"/>
  <c r="K154" i="30"/>
  <c r="K153" i="30"/>
  <c r="J153" i="30"/>
  <c r="K157" i="30"/>
  <c r="J157" i="30"/>
  <c r="J146" i="30"/>
  <c r="K146" i="30"/>
  <c r="L165" i="30"/>
  <c r="T119" i="30"/>
  <c r="W165" i="30"/>
  <c r="O119" i="30"/>
  <c r="M119" i="30"/>
  <c r="R119" i="30"/>
  <c r="Q165" i="30"/>
  <c r="X119" i="30"/>
  <c r="S165" i="30"/>
  <c r="P165" i="30"/>
  <c r="AA119" i="30"/>
  <c r="W119" i="30"/>
  <c r="V165" i="30"/>
  <c r="M165" i="30"/>
  <c r="V119" i="30"/>
  <c r="T165" i="30"/>
  <c r="U165" i="30"/>
  <c r="O165" i="30"/>
  <c r="Y119" i="30"/>
  <c r="S119" i="30"/>
  <c r="Q119" i="30"/>
  <c r="X165" i="30"/>
  <c r="L119" i="30"/>
  <c r="N119" i="30"/>
  <c r="U119" i="30"/>
  <c r="N165" i="30"/>
  <c r="Z119" i="30"/>
  <c r="K119" i="30"/>
  <c r="AB119" i="30"/>
  <c r="P119" i="30"/>
  <c r="R165" i="30"/>
  <c r="W96" i="30"/>
  <c r="K96" i="30"/>
  <c r="O96" i="30"/>
  <c r="J96" i="30"/>
  <c r="AB96" i="30"/>
  <c r="Q96" i="30"/>
  <c r="Z96" i="30"/>
  <c r="T96" i="30"/>
  <c r="Y96" i="30"/>
  <c r="V96" i="30"/>
  <c r="R96" i="30"/>
  <c r="U96" i="30"/>
  <c r="S96" i="30"/>
  <c r="L96" i="30"/>
  <c r="X96" i="30"/>
  <c r="P96" i="30"/>
  <c r="X92" i="30"/>
  <c r="J92" i="30"/>
  <c r="K92" i="30"/>
  <c r="L92" i="30"/>
  <c r="AB98" i="30"/>
  <c r="J98" i="30"/>
  <c r="K98" i="30"/>
  <c r="L98" i="30"/>
  <c r="Y86" i="30"/>
  <c r="L86" i="30"/>
  <c r="J86" i="30"/>
  <c r="K86" i="30"/>
  <c r="AB103" i="30"/>
  <c r="J103" i="30"/>
  <c r="K103" i="30"/>
  <c r="L103" i="30"/>
  <c r="AB105" i="30"/>
  <c r="J105" i="30"/>
  <c r="K105" i="30"/>
  <c r="L105" i="30"/>
  <c r="AB91" i="30"/>
  <c r="J91" i="30"/>
  <c r="K91" i="30"/>
  <c r="L91" i="30"/>
  <c r="Z110" i="30"/>
  <c r="J110" i="30"/>
  <c r="K110" i="30"/>
  <c r="L110" i="30"/>
  <c r="Y113" i="30"/>
  <c r="J113" i="30"/>
  <c r="K113" i="30"/>
  <c r="L113" i="30"/>
  <c r="Y106" i="30"/>
  <c r="J106" i="30"/>
  <c r="K106" i="30"/>
  <c r="L106" i="30"/>
  <c r="AB100" i="30"/>
  <c r="Z93" i="30"/>
  <c r="J93" i="30"/>
  <c r="K93" i="30"/>
  <c r="L93" i="30"/>
  <c r="Z94" i="30"/>
  <c r="L94" i="30"/>
  <c r="J94" i="30"/>
  <c r="K94" i="30"/>
  <c r="M118" i="30"/>
  <c r="J118" i="30"/>
  <c r="K118" i="30"/>
  <c r="L118" i="30"/>
  <c r="AA114" i="30"/>
  <c r="J114" i="30"/>
  <c r="K114" i="30"/>
  <c r="L114" i="30"/>
  <c r="Z107" i="30"/>
  <c r="J107" i="30"/>
  <c r="K107" i="30"/>
  <c r="L107" i="30"/>
  <c r="AA101" i="30"/>
  <c r="J101" i="30"/>
  <c r="L101" i="30"/>
  <c r="K101" i="30"/>
  <c r="Z102" i="30"/>
  <c r="L102" i="30"/>
  <c r="J102" i="30"/>
  <c r="K102" i="30"/>
  <c r="K80" i="30"/>
  <c r="J80" i="30"/>
  <c r="L80" i="30"/>
  <c r="J84" i="30"/>
  <c r="K84" i="30"/>
  <c r="L84" i="30"/>
  <c r="AA115" i="30"/>
  <c r="J115" i="30"/>
  <c r="K115" i="30"/>
  <c r="L115" i="30"/>
  <c r="AB108" i="30"/>
  <c r="J108" i="30"/>
  <c r="L108" i="30"/>
  <c r="K108" i="30"/>
  <c r="AB109" i="30"/>
  <c r="L109" i="30"/>
  <c r="J109" i="30"/>
  <c r="K109" i="30"/>
  <c r="Y97" i="30"/>
  <c r="K97" i="30"/>
  <c r="L97" i="30"/>
  <c r="J97" i="30"/>
  <c r="AB116" i="30"/>
  <c r="J116" i="30"/>
  <c r="L116" i="30"/>
  <c r="K116" i="30"/>
  <c r="P117" i="30"/>
  <c r="L117" i="30"/>
  <c r="J117" i="30"/>
  <c r="K117" i="30"/>
  <c r="Z104" i="30"/>
  <c r="K104" i="30"/>
  <c r="L104" i="30"/>
  <c r="J104" i="30"/>
  <c r="AA112" i="30"/>
  <c r="K112" i="30"/>
  <c r="L112" i="30"/>
  <c r="J112" i="30"/>
  <c r="AA95" i="30"/>
  <c r="J95" i="30"/>
  <c r="K95" i="30"/>
  <c r="L95" i="30"/>
  <c r="K59" i="30"/>
  <c r="K60" i="30"/>
  <c r="L110" i="29"/>
  <c r="L98" i="29"/>
  <c r="L111" i="29"/>
  <c r="L105" i="29"/>
  <c r="L102" i="29"/>
  <c r="L112" i="29"/>
  <c r="K183" i="29"/>
  <c r="L183" i="29"/>
  <c r="L152" i="29"/>
  <c r="L177" i="29"/>
  <c r="L160" i="29"/>
  <c r="L161" i="29"/>
  <c r="L143" i="29"/>
  <c r="L162" i="29"/>
  <c r="K180" i="29"/>
  <c r="L180" i="29"/>
  <c r="L147" i="29"/>
  <c r="L154" i="29"/>
  <c r="L149" i="29"/>
  <c r="L159" i="29"/>
  <c r="L165" i="29"/>
  <c r="L167" i="29"/>
  <c r="L175" i="29"/>
  <c r="L173" i="29"/>
  <c r="L171" i="29"/>
  <c r="K170" i="29"/>
  <c r="L170" i="29"/>
  <c r="L178" i="29"/>
  <c r="K158" i="29"/>
  <c r="L158" i="29"/>
  <c r="L157" i="29"/>
  <c r="L145" i="29"/>
  <c r="K118" i="29"/>
  <c r="L118" i="29"/>
  <c r="K106" i="29"/>
  <c r="L106" i="29"/>
  <c r="K119" i="29"/>
  <c r="L119" i="29"/>
  <c r="AG56" i="61"/>
  <c r="K59" i="50"/>
  <c r="K178" i="29"/>
  <c r="K145" i="29"/>
  <c r="AJ57" i="50"/>
  <c r="K84" i="29"/>
  <c r="K98" i="29"/>
  <c r="K152" i="29"/>
  <c r="K147" i="29"/>
  <c r="K140" i="29"/>
  <c r="K165" i="29"/>
  <c r="K167" i="29"/>
  <c r="L56" i="49"/>
  <c r="L57" i="49"/>
  <c r="P57" i="49"/>
  <c r="K57" i="49"/>
  <c r="K56" i="49"/>
  <c r="K102" i="29"/>
  <c r="K88" i="29"/>
  <c r="AG55" i="61"/>
  <c r="K111" i="29"/>
  <c r="AG54" i="61"/>
  <c r="K139" i="29"/>
  <c r="K59" i="61"/>
  <c r="AG57" i="61"/>
  <c r="K82" i="29"/>
  <c r="K141" i="29"/>
  <c r="K149" i="29"/>
  <c r="K173" i="29"/>
  <c r="K110" i="29"/>
  <c r="K85" i="29"/>
  <c r="K86" i="29"/>
  <c r="K105" i="29"/>
  <c r="K157" i="29"/>
  <c r="K162" i="29"/>
  <c r="K76" i="29"/>
  <c r="K160" i="29"/>
  <c r="K77" i="29"/>
  <c r="K159" i="29"/>
  <c r="K175" i="29"/>
  <c r="K177" i="29"/>
  <c r="K143" i="29"/>
  <c r="K171" i="29"/>
  <c r="K161" i="29"/>
  <c r="K154" i="29"/>
  <c r="K91" i="29"/>
  <c r="K94" i="29"/>
  <c r="K79" i="29"/>
  <c r="K95" i="29"/>
  <c r="K87" i="29"/>
  <c r="K112" i="29"/>
  <c r="K93" i="29"/>
  <c r="K59" i="29"/>
  <c r="K60" i="29"/>
  <c r="K14" i="71"/>
  <c r="J61" i="46"/>
  <c r="J60" i="46"/>
  <c r="R175" i="29"/>
  <c r="J175" i="29"/>
  <c r="X173" i="29"/>
  <c r="J173" i="29"/>
  <c r="T149" i="29"/>
  <c r="J149" i="29"/>
  <c r="O160" i="29"/>
  <c r="J160" i="29"/>
  <c r="T183" i="29"/>
  <c r="J183" i="29"/>
  <c r="V158" i="29"/>
  <c r="J158" i="29"/>
  <c r="J180" i="29"/>
  <c r="S147" i="29"/>
  <c r="J147" i="29"/>
  <c r="X161" i="29"/>
  <c r="J161" i="29"/>
  <c r="R167" i="29"/>
  <c r="J167" i="29"/>
  <c r="W152" i="29"/>
  <c r="J152" i="29"/>
  <c r="W141" i="29"/>
  <c r="J141" i="29"/>
  <c r="V154" i="29"/>
  <c r="J154" i="29"/>
  <c r="P178" i="29"/>
  <c r="J178" i="29"/>
  <c r="V143" i="29"/>
  <c r="J143" i="29"/>
  <c r="W157" i="29"/>
  <c r="J157" i="29"/>
  <c r="X145" i="29"/>
  <c r="J145" i="29"/>
  <c r="S140" i="29"/>
  <c r="J140" i="29"/>
  <c r="R165" i="29"/>
  <c r="J165" i="29"/>
  <c r="S171" i="29"/>
  <c r="J171" i="29"/>
  <c r="O159" i="29"/>
  <c r="J159" i="29"/>
  <c r="S170" i="29"/>
  <c r="J170" i="29"/>
  <c r="U162" i="29"/>
  <c r="J162" i="29"/>
  <c r="T177" i="29"/>
  <c r="J177" i="29"/>
  <c r="Y139" i="29"/>
  <c r="J139" i="29"/>
  <c r="AB98" i="29"/>
  <c r="J98" i="29"/>
  <c r="Y106" i="29"/>
  <c r="J106" i="29"/>
  <c r="AA118" i="29"/>
  <c r="J118" i="29"/>
  <c r="Z79" i="29"/>
  <c r="J79" i="29"/>
  <c r="S87" i="29"/>
  <c r="J87" i="29"/>
  <c r="X110" i="29"/>
  <c r="J110" i="29"/>
  <c r="S95" i="29"/>
  <c r="J95" i="29"/>
  <c r="P82" i="29"/>
  <c r="J82" i="29"/>
  <c r="Y76" i="29"/>
  <c r="J76" i="29"/>
  <c r="U88" i="29"/>
  <c r="J88" i="29"/>
  <c r="Z77" i="29"/>
  <c r="J77" i="29"/>
  <c r="Z93" i="29"/>
  <c r="J93" i="29"/>
  <c r="W94" i="29"/>
  <c r="J94" i="29"/>
  <c r="Q91" i="29"/>
  <c r="J91" i="29"/>
  <c r="Z112" i="29"/>
  <c r="J112" i="29"/>
  <c r="U111" i="29"/>
  <c r="J111" i="29"/>
  <c r="AB102" i="29"/>
  <c r="J102" i="29"/>
  <c r="R84" i="29"/>
  <c r="J84" i="29"/>
  <c r="W105" i="29"/>
  <c r="J105" i="29"/>
  <c r="P85" i="29"/>
  <c r="J85" i="29"/>
  <c r="AB86" i="29"/>
  <c r="J86" i="29"/>
  <c r="W119" i="29"/>
  <c r="J119" i="29"/>
  <c r="J60" i="29"/>
  <c r="J59" i="29"/>
  <c r="K15" i="71"/>
  <c r="K17" i="71"/>
  <c r="K16" i="71"/>
  <c r="K13" i="71"/>
  <c r="K18" i="71"/>
  <c r="K20" i="71"/>
  <c r="K19" i="71"/>
  <c r="N114" i="70"/>
  <c r="N115" i="70"/>
  <c r="AC20" i="72"/>
  <c r="AH20" i="72" s="1"/>
  <c r="AI20" i="72" s="1"/>
  <c r="BB20" i="72"/>
  <c r="AC13" i="72"/>
  <c r="AH13" i="72" s="1"/>
  <c r="AI13" i="72" s="1"/>
  <c r="BB13" i="72"/>
  <c r="AC16" i="72"/>
  <c r="AH16" i="72" s="1"/>
  <c r="AI16" i="72" s="1"/>
  <c r="BB16" i="72"/>
  <c r="AC15" i="72"/>
  <c r="AH15" i="72" s="1"/>
  <c r="AI15" i="72" s="1"/>
  <c r="BB15" i="72"/>
  <c r="K61" i="78"/>
  <c r="AC14" i="72"/>
  <c r="AH14" i="72" s="1"/>
  <c r="AI14" i="72" s="1"/>
  <c r="BB14" i="72"/>
  <c r="AC19" i="72"/>
  <c r="AH19" i="72" s="1"/>
  <c r="AI19" i="72" s="1"/>
  <c r="BB19" i="72"/>
  <c r="Z17" i="79"/>
  <c r="AA17" i="79" s="1"/>
  <c r="AB17" i="79" s="1"/>
  <c r="N165" i="29"/>
  <c r="Q165" i="29"/>
  <c r="AA111" i="29"/>
  <c r="J60" i="71"/>
  <c r="O139" i="29"/>
  <c r="S145" i="29"/>
  <c r="Q140" i="29"/>
  <c r="M145" i="29"/>
  <c r="X165" i="29"/>
  <c r="U140" i="29"/>
  <c r="K115" i="76"/>
  <c r="X101" i="30"/>
  <c r="W76" i="29"/>
  <c r="D18" i="70"/>
  <c r="E19" i="74"/>
  <c r="D18" i="75"/>
  <c r="D18" i="73"/>
  <c r="D18" i="72"/>
  <c r="D18" i="71"/>
  <c r="D19" i="73"/>
  <c r="D19" i="75"/>
  <c r="D19" i="71"/>
  <c r="D19" i="72"/>
  <c r="D19" i="70"/>
  <c r="E20" i="74"/>
  <c r="D14" i="75"/>
  <c r="D14" i="73"/>
  <c r="E15" i="74"/>
  <c r="D14" i="72"/>
  <c r="D14" i="70"/>
  <c r="D14" i="71"/>
  <c r="D16" i="73"/>
  <c r="D16" i="70"/>
  <c r="D16" i="75"/>
  <c r="E17" i="74"/>
  <c r="D16" i="72"/>
  <c r="D16" i="71"/>
  <c r="D13" i="70"/>
  <c r="E14" i="74"/>
  <c r="D14" i="74" s="1"/>
  <c r="D13" i="73"/>
  <c r="C13" i="73" s="1"/>
  <c r="D13" i="75"/>
  <c r="D13" i="71"/>
  <c r="C13" i="71" s="1"/>
  <c r="D13" i="72"/>
  <c r="C13" i="72" s="1"/>
  <c r="D20" i="70"/>
  <c r="D20" i="72"/>
  <c r="D20" i="75"/>
  <c r="D20" i="73"/>
  <c r="E21" i="74"/>
  <c r="D20" i="71"/>
  <c r="D17" i="72"/>
  <c r="D17" i="71"/>
  <c r="D17" i="70"/>
  <c r="D17" i="73"/>
  <c r="D17" i="75"/>
  <c r="E18" i="74"/>
  <c r="U91" i="29"/>
  <c r="M111" i="29"/>
  <c r="O111" i="29"/>
  <c r="N111" i="29"/>
  <c r="T171" i="29"/>
  <c r="W171" i="29"/>
  <c r="R118" i="30"/>
  <c r="T111" i="29"/>
  <c r="Q171" i="29"/>
  <c r="V111" i="29"/>
  <c r="R111" i="29"/>
  <c r="X111" i="29"/>
  <c r="S118" i="30"/>
  <c r="V179" i="30"/>
  <c r="M91" i="30"/>
  <c r="Q118" i="29"/>
  <c r="R167" i="30"/>
  <c r="Q167" i="30"/>
  <c r="S177" i="30"/>
  <c r="N147" i="29"/>
  <c r="K60" i="77"/>
  <c r="K114" i="76"/>
  <c r="J170" i="70"/>
  <c r="J59" i="71"/>
  <c r="J114" i="70"/>
  <c r="J115" i="70"/>
  <c r="J169" i="70"/>
  <c r="K59" i="77"/>
  <c r="K170" i="76"/>
  <c r="K169" i="76"/>
  <c r="W145" i="29"/>
  <c r="O165" i="29"/>
  <c r="T91" i="29"/>
  <c r="Q145" i="29"/>
  <c r="M165" i="29"/>
  <c r="M140" i="29"/>
  <c r="Y165" i="29"/>
  <c r="X140" i="29"/>
  <c r="W91" i="29"/>
  <c r="N91" i="29"/>
  <c r="X91" i="29"/>
  <c r="N140" i="29"/>
  <c r="R140" i="29"/>
  <c r="T140" i="29"/>
  <c r="O145" i="29"/>
  <c r="Y91" i="29"/>
  <c r="V165" i="29"/>
  <c r="S165" i="29"/>
  <c r="V145" i="29"/>
  <c r="L91" i="29"/>
  <c r="R145" i="29"/>
  <c r="S91" i="29"/>
  <c r="AB91" i="29"/>
  <c r="T165" i="29"/>
  <c r="M91" i="29"/>
  <c r="O140" i="29"/>
  <c r="R91" i="29"/>
  <c r="Y140" i="29"/>
  <c r="L140" i="29"/>
  <c r="P91" i="29"/>
  <c r="P145" i="29"/>
  <c r="P165" i="29"/>
  <c r="W165" i="29"/>
  <c r="U165" i="29"/>
  <c r="V140" i="29"/>
  <c r="P140" i="29"/>
  <c r="Z91" i="29"/>
  <c r="T145" i="29"/>
  <c r="Y145" i="29"/>
  <c r="N145" i="29"/>
  <c r="AA91" i="29"/>
  <c r="U145" i="29"/>
  <c r="W140" i="29"/>
  <c r="V91" i="29"/>
  <c r="O91" i="29"/>
  <c r="W177" i="30"/>
  <c r="T177" i="30"/>
  <c r="M147" i="29"/>
  <c r="P154" i="30"/>
  <c r="V154" i="30"/>
  <c r="O178" i="30"/>
  <c r="L167" i="30"/>
  <c r="U91" i="30"/>
  <c r="Y118" i="29"/>
  <c r="N167" i="30"/>
  <c r="W118" i="29"/>
  <c r="M178" i="30"/>
  <c r="X167" i="30"/>
  <c r="R92" i="30"/>
  <c r="X118" i="29"/>
  <c r="M167" i="30"/>
  <c r="P179" i="30"/>
  <c r="Y180" i="29"/>
  <c r="M174" i="30"/>
  <c r="L177" i="30"/>
  <c r="S179" i="30"/>
  <c r="U147" i="29"/>
  <c r="M177" i="30"/>
  <c r="W91" i="30"/>
  <c r="T77" i="29"/>
  <c r="S143" i="30"/>
  <c r="X182" i="30"/>
  <c r="N77" i="29"/>
  <c r="M140" i="30"/>
  <c r="M158" i="30"/>
  <c r="P140" i="30"/>
  <c r="N101" i="30"/>
  <c r="AB102" i="30"/>
  <c r="U161" i="30"/>
  <c r="T161" i="30"/>
  <c r="O98" i="30"/>
  <c r="W102" i="30"/>
  <c r="M166" i="30"/>
  <c r="W103" i="30"/>
  <c r="V88" i="29"/>
  <c r="M112" i="29"/>
  <c r="Z101" i="30"/>
  <c r="O101" i="30"/>
  <c r="AA103" i="30"/>
  <c r="T76" i="29"/>
  <c r="W98" i="30"/>
  <c r="U102" i="30"/>
  <c r="U101" i="30"/>
  <c r="X102" i="30"/>
  <c r="O103" i="30"/>
  <c r="N76" i="29"/>
  <c r="X88" i="29"/>
  <c r="S101" i="30"/>
  <c r="Z88" i="29"/>
  <c r="AA76" i="29"/>
  <c r="T98" i="30"/>
  <c r="AA88" i="29"/>
  <c r="M103" i="30"/>
  <c r="R102" i="30"/>
  <c r="N102" i="30"/>
  <c r="L166" i="30"/>
  <c r="S102" i="30"/>
  <c r="X103" i="30"/>
  <c r="L76" i="29"/>
  <c r="W88" i="29"/>
  <c r="T88" i="29"/>
  <c r="R88" i="29"/>
  <c r="S155" i="30"/>
  <c r="Y102" i="30"/>
  <c r="P101" i="30"/>
  <c r="P88" i="29"/>
  <c r="M98" i="30"/>
  <c r="M142" i="30"/>
  <c r="P102" i="30"/>
  <c r="M76" i="29"/>
  <c r="Y88" i="29"/>
  <c r="AB88" i="29"/>
  <c r="L88" i="29"/>
  <c r="L155" i="30"/>
  <c r="L142" i="30"/>
  <c r="S166" i="30"/>
  <c r="V76" i="29"/>
  <c r="Y101" i="30"/>
  <c r="P166" i="30"/>
  <c r="M101" i="30"/>
  <c r="O102" i="30"/>
  <c r="R101" i="30"/>
  <c r="O88" i="29"/>
  <c r="P76" i="29"/>
  <c r="W161" i="30"/>
  <c r="S88" i="29"/>
  <c r="X161" i="30"/>
  <c r="O155" i="30"/>
  <c r="V161" i="30"/>
  <c r="N88" i="29"/>
  <c r="Q101" i="30"/>
  <c r="N166" i="30"/>
  <c r="Y98" i="30"/>
  <c r="T155" i="30"/>
  <c r="T102" i="30"/>
  <c r="P155" i="30"/>
  <c r="R103" i="30"/>
  <c r="Q88" i="29"/>
  <c r="O76" i="29"/>
  <c r="T103" i="30"/>
  <c r="Y103" i="30"/>
  <c r="L161" i="30"/>
  <c r="M88" i="29"/>
  <c r="Q102" i="30"/>
  <c r="R76" i="29"/>
  <c r="T101" i="30"/>
  <c r="R166" i="30"/>
  <c r="T166" i="30"/>
  <c r="M102" i="30"/>
  <c r="P103" i="30"/>
  <c r="Z103" i="30"/>
  <c r="Q161" i="30"/>
  <c r="P161" i="30"/>
  <c r="P98" i="30"/>
  <c r="W155" i="30"/>
  <c r="S76" i="29"/>
  <c r="S161" i="30"/>
  <c r="N161" i="30"/>
  <c r="AB101" i="30"/>
  <c r="N155" i="30"/>
  <c r="W166" i="30"/>
  <c r="R155" i="30"/>
  <c r="P142" i="30"/>
  <c r="U76" i="29"/>
  <c r="Q103" i="30"/>
  <c r="V101" i="30"/>
  <c r="X76" i="29"/>
  <c r="M161" i="30"/>
  <c r="Q76" i="29"/>
  <c r="Z76" i="29"/>
  <c r="AA102" i="30"/>
  <c r="W101" i="30"/>
  <c r="AB76" i="29"/>
  <c r="V102" i="30"/>
  <c r="S103" i="30"/>
  <c r="U166" i="30"/>
  <c r="V103" i="30"/>
  <c r="N103" i="30"/>
  <c r="R98" i="30"/>
  <c r="R161" i="30"/>
  <c r="O161" i="30"/>
  <c r="N142" i="30"/>
  <c r="U103" i="30"/>
  <c r="X113" i="30"/>
  <c r="T106" i="30"/>
  <c r="Q175" i="29"/>
  <c r="V181" i="30"/>
  <c r="AA98" i="30"/>
  <c r="Z98" i="30"/>
  <c r="X155" i="30"/>
  <c r="X98" i="30"/>
  <c r="Q142" i="30"/>
  <c r="S98" i="30"/>
  <c r="W142" i="30"/>
  <c r="V98" i="30"/>
  <c r="O166" i="30"/>
  <c r="T116" i="30"/>
  <c r="U98" i="30"/>
  <c r="V155" i="30"/>
  <c r="R142" i="30"/>
  <c r="U142" i="30"/>
  <c r="S142" i="30"/>
  <c r="Q98" i="30"/>
  <c r="O142" i="30"/>
  <c r="AB106" i="30"/>
  <c r="V142" i="30"/>
  <c r="Q166" i="30"/>
  <c r="N98" i="30"/>
  <c r="Q155" i="30"/>
  <c r="V166" i="30"/>
  <c r="X166" i="30"/>
  <c r="M155" i="30"/>
  <c r="X142" i="30"/>
  <c r="T142" i="30"/>
  <c r="AB111" i="29"/>
  <c r="V118" i="29"/>
  <c r="U174" i="30"/>
  <c r="Y147" i="29"/>
  <c r="O177" i="30"/>
  <c r="Q92" i="30"/>
  <c r="T154" i="30"/>
  <c r="V92" i="30"/>
  <c r="W180" i="29"/>
  <c r="Z91" i="30"/>
  <c r="S167" i="30"/>
  <c r="X178" i="30"/>
  <c r="M92" i="30"/>
  <c r="W154" i="30"/>
  <c r="S180" i="29"/>
  <c r="U177" i="30"/>
  <c r="N92" i="30"/>
  <c r="W92" i="30"/>
  <c r="T179" i="30"/>
  <c r="O92" i="30"/>
  <c r="Q139" i="29"/>
  <c r="O171" i="29"/>
  <c r="Y171" i="29"/>
  <c r="S111" i="29"/>
  <c r="W179" i="30"/>
  <c r="O174" i="30"/>
  <c r="X147" i="29"/>
  <c r="V178" i="30"/>
  <c r="U118" i="29"/>
  <c r="T118" i="29"/>
  <c r="R154" i="30"/>
  <c r="L174" i="30"/>
  <c r="Q174" i="30"/>
  <c r="R180" i="29"/>
  <c r="R118" i="29"/>
  <c r="U92" i="30"/>
  <c r="N154" i="30"/>
  <c r="P167" i="30"/>
  <c r="N177" i="30"/>
  <c r="R147" i="29"/>
  <c r="T92" i="30"/>
  <c r="U180" i="29"/>
  <c r="O167" i="30"/>
  <c r="S178" i="30"/>
  <c r="AB118" i="29"/>
  <c r="L154" i="30"/>
  <c r="Q154" i="30"/>
  <c r="V180" i="29"/>
  <c r="N180" i="29"/>
  <c r="Q180" i="29"/>
  <c r="W147" i="29"/>
  <c r="P91" i="30"/>
  <c r="X154" i="30"/>
  <c r="O118" i="29"/>
  <c r="P118" i="29"/>
  <c r="N179" i="30"/>
  <c r="M154" i="30"/>
  <c r="S154" i="30"/>
  <c r="M180" i="29"/>
  <c r="P177" i="30"/>
  <c r="R177" i="30"/>
  <c r="T180" i="29"/>
  <c r="X180" i="29"/>
  <c r="O180" i="29"/>
  <c r="Q147" i="29"/>
  <c r="V91" i="30"/>
  <c r="W167" i="30"/>
  <c r="T174" i="30"/>
  <c r="R178" i="30"/>
  <c r="X91" i="30"/>
  <c r="M118" i="29"/>
  <c r="X179" i="30"/>
  <c r="U154" i="30"/>
  <c r="Q177" i="30"/>
  <c r="P180" i="29"/>
  <c r="V147" i="29"/>
  <c r="Z118" i="29"/>
  <c r="Y91" i="30"/>
  <c r="P95" i="30"/>
  <c r="X95" i="30"/>
  <c r="Y94" i="30"/>
  <c r="V182" i="30"/>
  <c r="W110" i="29"/>
  <c r="W143" i="30"/>
  <c r="Q111" i="29"/>
  <c r="Q117" i="30"/>
  <c r="U139" i="29"/>
  <c r="R139" i="29"/>
  <c r="P171" i="29"/>
  <c r="R171" i="29"/>
  <c r="V139" i="29"/>
  <c r="X139" i="29"/>
  <c r="P111" i="29"/>
  <c r="M139" i="29"/>
  <c r="O183" i="29"/>
  <c r="U171" i="29"/>
  <c r="S106" i="30"/>
  <c r="N171" i="29"/>
  <c r="Z111" i="29"/>
  <c r="T139" i="29"/>
  <c r="Y111" i="29"/>
  <c r="W111" i="29"/>
  <c r="N139" i="29"/>
  <c r="U158" i="29"/>
  <c r="M171" i="29"/>
  <c r="P139" i="29"/>
  <c r="S139" i="29"/>
  <c r="X171" i="29"/>
  <c r="L139" i="29"/>
  <c r="W139" i="29"/>
  <c r="V171" i="29"/>
  <c r="AA106" i="30"/>
  <c r="L176" i="30"/>
  <c r="W95" i="30"/>
  <c r="U95" i="30"/>
  <c r="O175" i="30"/>
  <c r="O170" i="29"/>
  <c r="O95" i="29"/>
  <c r="N182" i="30"/>
  <c r="M95" i="29"/>
  <c r="Y141" i="29"/>
  <c r="R94" i="30"/>
  <c r="R175" i="30"/>
  <c r="N95" i="30"/>
  <c r="Q93" i="30"/>
  <c r="N93" i="30"/>
  <c r="T141" i="29"/>
  <c r="M94" i="30"/>
  <c r="S170" i="30"/>
  <c r="P147" i="29"/>
  <c r="Q91" i="30"/>
  <c r="S92" i="30"/>
  <c r="AA91" i="30"/>
  <c r="U178" i="30"/>
  <c r="N178" i="30"/>
  <c r="O147" i="29"/>
  <c r="O91" i="30"/>
  <c r="Q178" i="30"/>
  <c r="U179" i="30"/>
  <c r="S118" i="29"/>
  <c r="U167" i="30"/>
  <c r="T91" i="30"/>
  <c r="W178" i="30"/>
  <c r="V174" i="30"/>
  <c r="T178" i="30"/>
  <c r="P174" i="30"/>
  <c r="R179" i="30"/>
  <c r="L178" i="30"/>
  <c r="X177" i="30"/>
  <c r="Q179" i="30"/>
  <c r="O154" i="30"/>
  <c r="O179" i="30"/>
  <c r="T147" i="29"/>
  <c r="N91" i="30"/>
  <c r="R174" i="30"/>
  <c r="V167" i="30"/>
  <c r="S174" i="30"/>
  <c r="P92" i="30"/>
  <c r="R91" i="30"/>
  <c r="S91" i="30"/>
  <c r="W174" i="30"/>
  <c r="N174" i="30"/>
  <c r="T167" i="30"/>
  <c r="P178" i="30"/>
  <c r="V177" i="30"/>
  <c r="X160" i="30"/>
  <c r="T170" i="30"/>
  <c r="AA79" i="29"/>
  <c r="V173" i="29"/>
  <c r="O79" i="29"/>
  <c r="R98" i="29"/>
  <c r="N149" i="29"/>
  <c r="M115" i="30"/>
  <c r="T171" i="30"/>
  <c r="M104" i="30"/>
  <c r="X169" i="30"/>
  <c r="R173" i="29"/>
  <c r="Q160" i="30"/>
  <c r="S173" i="29"/>
  <c r="O87" i="29"/>
  <c r="P87" i="29"/>
  <c r="W169" i="30"/>
  <c r="U154" i="29"/>
  <c r="AA104" i="30"/>
  <c r="Y104" i="30"/>
  <c r="M159" i="30"/>
  <c r="T107" i="30"/>
  <c r="L85" i="29"/>
  <c r="P107" i="30"/>
  <c r="S85" i="29"/>
  <c r="O84" i="30"/>
  <c r="X164" i="30"/>
  <c r="M164" i="30"/>
  <c r="Q164" i="30"/>
  <c r="L164" i="30"/>
  <c r="Y178" i="29"/>
  <c r="T85" i="29"/>
  <c r="W159" i="30"/>
  <c r="O85" i="29"/>
  <c r="V141" i="30"/>
  <c r="X86" i="29"/>
  <c r="U84" i="30"/>
  <c r="R107" i="30"/>
  <c r="P141" i="30"/>
  <c r="N80" i="30"/>
  <c r="R159" i="30"/>
  <c r="L159" i="30"/>
  <c r="V104" i="30"/>
  <c r="O159" i="30"/>
  <c r="O86" i="29"/>
  <c r="T119" i="29"/>
  <c r="X174" i="30"/>
  <c r="S119" i="29"/>
  <c r="P104" i="30"/>
  <c r="AB107" i="30"/>
  <c r="V84" i="30"/>
  <c r="V85" i="29"/>
  <c r="R86" i="29"/>
  <c r="P154" i="29"/>
  <c r="X154" i="29"/>
  <c r="R119" i="29"/>
  <c r="Y107" i="30"/>
  <c r="V80" i="30"/>
  <c r="M170" i="30"/>
  <c r="L87" i="29"/>
  <c r="V160" i="30"/>
  <c r="T115" i="30"/>
  <c r="Y115" i="30"/>
  <c r="AA87" i="29"/>
  <c r="W115" i="30"/>
  <c r="P79" i="29"/>
  <c r="Q87" i="29"/>
  <c r="N79" i="29"/>
  <c r="AB112" i="30"/>
  <c r="U160" i="29"/>
  <c r="U149" i="29"/>
  <c r="Q169" i="30"/>
  <c r="P86" i="30"/>
  <c r="P169" i="30"/>
  <c r="R171" i="30"/>
  <c r="V86" i="30"/>
  <c r="U171" i="30"/>
  <c r="O112" i="30"/>
  <c r="U173" i="29"/>
  <c r="X87" i="29"/>
  <c r="O98" i="29"/>
  <c r="S98" i="29"/>
  <c r="O171" i="30"/>
  <c r="N87" i="29"/>
  <c r="M160" i="30"/>
  <c r="AA98" i="29"/>
  <c r="M171" i="30"/>
  <c r="M86" i="30"/>
  <c r="Q115" i="30"/>
  <c r="V79" i="29"/>
  <c r="N98" i="29"/>
  <c r="M79" i="29"/>
  <c r="M98" i="29"/>
  <c r="R149" i="29"/>
  <c r="S171" i="30"/>
  <c r="M149" i="29"/>
  <c r="T173" i="29"/>
  <c r="O149" i="29"/>
  <c r="T169" i="30"/>
  <c r="U112" i="30"/>
  <c r="V169" i="30"/>
  <c r="S160" i="29"/>
  <c r="W98" i="29"/>
  <c r="X171" i="30"/>
  <c r="Y160" i="29"/>
  <c r="T160" i="30"/>
  <c r="Q98" i="29"/>
  <c r="V98" i="29"/>
  <c r="W170" i="30"/>
  <c r="V115" i="30"/>
  <c r="V149" i="29"/>
  <c r="X79" i="29"/>
  <c r="X112" i="30"/>
  <c r="Q79" i="29"/>
  <c r="Q170" i="30"/>
  <c r="R170" i="30"/>
  <c r="V170" i="30"/>
  <c r="Z115" i="30"/>
  <c r="W160" i="30"/>
  <c r="P170" i="30"/>
  <c r="R79" i="29"/>
  <c r="W160" i="29"/>
  <c r="T98" i="29"/>
  <c r="U87" i="29"/>
  <c r="M169" i="30"/>
  <c r="Z86" i="30"/>
  <c r="S79" i="29"/>
  <c r="T112" i="30"/>
  <c r="W173" i="29"/>
  <c r="X149" i="29"/>
  <c r="W149" i="29"/>
  <c r="Y112" i="30"/>
  <c r="N160" i="29"/>
  <c r="P160" i="30"/>
  <c r="Z98" i="29"/>
  <c r="U170" i="30"/>
  <c r="O115" i="30"/>
  <c r="S115" i="30"/>
  <c r="AB79" i="29"/>
  <c r="N173" i="29"/>
  <c r="P112" i="30"/>
  <c r="AB115" i="30"/>
  <c r="S160" i="30"/>
  <c r="P160" i="29"/>
  <c r="M173" i="29"/>
  <c r="AB87" i="29"/>
  <c r="Q149" i="29"/>
  <c r="O169" i="30"/>
  <c r="AB86" i="30"/>
  <c r="U79" i="29"/>
  <c r="W86" i="30"/>
  <c r="Q86" i="30"/>
  <c r="P171" i="30"/>
  <c r="Q173" i="29"/>
  <c r="V112" i="30"/>
  <c r="X160" i="29"/>
  <c r="U169" i="30"/>
  <c r="X170" i="30"/>
  <c r="N169" i="30"/>
  <c r="N112" i="30"/>
  <c r="L160" i="30"/>
  <c r="M160" i="29"/>
  <c r="R160" i="30"/>
  <c r="X98" i="29"/>
  <c r="N170" i="30"/>
  <c r="X115" i="30"/>
  <c r="W79" i="29"/>
  <c r="W112" i="30"/>
  <c r="O160" i="30"/>
  <c r="P149" i="29"/>
  <c r="L169" i="30"/>
  <c r="AA86" i="30"/>
  <c r="T79" i="29"/>
  <c r="U115" i="30"/>
  <c r="N86" i="30"/>
  <c r="U86" i="30"/>
  <c r="N171" i="30"/>
  <c r="T87" i="29"/>
  <c r="L79" i="29"/>
  <c r="P173" i="29"/>
  <c r="Q112" i="30"/>
  <c r="Y173" i="29"/>
  <c r="N160" i="30"/>
  <c r="Y98" i="29"/>
  <c r="L170" i="30"/>
  <c r="P115" i="30"/>
  <c r="V160" i="29"/>
  <c r="Y79" i="29"/>
  <c r="R112" i="30"/>
  <c r="Q160" i="29"/>
  <c r="Z112" i="30"/>
  <c r="S149" i="29"/>
  <c r="R169" i="30"/>
  <c r="T160" i="29"/>
  <c r="V87" i="29"/>
  <c r="R86" i="30"/>
  <c r="R115" i="30"/>
  <c r="X86" i="30"/>
  <c r="V171" i="30"/>
  <c r="S112" i="30"/>
  <c r="O173" i="29"/>
  <c r="P98" i="29"/>
  <c r="R87" i="29"/>
  <c r="O170" i="30"/>
  <c r="M87" i="29"/>
  <c r="U160" i="30"/>
  <c r="U98" i="29"/>
  <c r="M112" i="30"/>
  <c r="L171" i="30"/>
  <c r="Y149" i="29"/>
  <c r="R160" i="29"/>
  <c r="S169" i="30"/>
  <c r="Z87" i="29"/>
  <c r="W87" i="29"/>
  <c r="S86" i="30"/>
  <c r="W171" i="30"/>
  <c r="O86" i="30"/>
  <c r="T86" i="30"/>
  <c r="Q171" i="30"/>
  <c r="Y87" i="29"/>
  <c r="N115" i="30"/>
  <c r="T84" i="30"/>
  <c r="AA119" i="29"/>
  <c r="R104" i="30"/>
  <c r="S154" i="29"/>
  <c r="U104" i="30"/>
  <c r="S141" i="30"/>
  <c r="V178" i="29"/>
  <c r="AB104" i="30"/>
  <c r="AA107" i="30"/>
  <c r="O178" i="29"/>
  <c r="P84" i="30"/>
  <c r="N164" i="30"/>
  <c r="O154" i="29"/>
  <c r="AB85" i="29"/>
  <c r="S107" i="30"/>
  <c r="W141" i="30"/>
  <c r="X80" i="30"/>
  <c r="S159" i="30"/>
  <c r="U80" i="30"/>
  <c r="U159" i="30"/>
  <c r="M85" i="29"/>
  <c r="X119" i="29"/>
  <c r="Q80" i="30"/>
  <c r="Y154" i="29"/>
  <c r="V119" i="29"/>
  <c r="S104" i="30"/>
  <c r="R178" i="29"/>
  <c r="R154" i="29"/>
  <c r="N104" i="30"/>
  <c r="AA85" i="29"/>
  <c r="T141" i="30"/>
  <c r="U178" i="29"/>
  <c r="X107" i="30"/>
  <c r="S164" i="30"/>
  <c r="Q84" i="30"/>
  <c r="N178" i="29"/>
  <c r="O164" i="30"/>
  <c r="W85" i="29"/>
  <c r="Q104" i="30"/>
  <c r="Q154" i="29"/>
  <c r="U86" i="29"/>
  <c r="R84" i="30"/>
  <c r="N159" i="30"/>
  <c r="T159" i="30"/>
  <c r="V107" i="30"/>
  <c r="S80" i="30"/>
  <c r="O119" i="29"/>
  <c r="T86" i="29"/>
  <c r="T104" i="30"/>
  <c r="M80" i="30"/>
  <c r="X141" i="30"/>
  <c r="W178" i="29"/>
  <c r="AB119" i="29"/>
  <c r="W84" i="30"/>
  <c r="M178" i="29"/>
  <c r="T164" i="30"/>
  <c r="O104" i="30"/>
  <c r="Q86" i="29"/>
  <c r="X159" i="30"/>
  <c r="T80" i="30"/>
  <c r="Q178" i="29"/>
  <c r="M154" i="29"/>
  <c r="N154" i="29"/>
  <c r="M141" i="30"/>
  <c r="X104" i="30"/>
  <c r="T154" i="29"/>
  <c r="R141" i="30"/>
  <c r="S178" i="29"/>
  <c r="S84" i="30"/>
  <c r="W164" i="30"/>
  <c r="Z85" i="29"/>
  <c r="T178" i="29"/>
  <c r="Z86" i="29"/>
  <c r="O107" i="30"/>
  <c r="V159" i="30"/>
  <c r="U164" i="30"/>
  <c r="W107" i="30"/>
  <c r="R80" i="30"/>
  <c r="W86" i="29"/>
  <c r="Q85" i="29"/>
  <c r="Q141" i="30"/>
  <c r="R182" i="30"/>
  <c r="N141" i="30"/>
  <c r="L141" i="30"/>
  <c r="N86" i="29"/>
  <c r="R85" i="29"/>
  <c r="X84" i="30"/>
  <c r="V164" i="30"/>
  <c r="Y86" i="29"/>
  <c r="X178" i="29"/>
  <c r="U85" i="29"/>
  <c r="Q107" i="30"/>
  <c r="W80" i="30"/>
  <c r="AA86" i="29"/>
  <c r="P119" i="29"/>
  <c r="W154" i="29"/>
  <c r="P86" i="29"/>
  <c r="Q119" i="29"/>
  <c r="M107" i="30"/>
  <c r="V86" i="29"/>
  <c r="U141" i="30"/>
  <c r="M119" i="29"/>
  <c r="Q159" i="30"/>
  <c r="M86" i="29"/>
  <c r="N85" i="29"/>
  <c r="S86" i="29"/>
  <c r="U119" i="29"/>
  <c r="N84" i="30"/>
  <c r="R164" i="30"/>
  <c r="P164" i="30"/>
  <c r="O141" i="30"/>
  <c r="P159" i="30"/>
  <c r="O80" i="30"/>
  <c r="U107" i="30"/>
  <c r="P80" i="30"/>
  <c r="L86" i="29"/>
  <c r="Y85" i="29"/>
  <c r="U95" i="29"/>
  <c r="R93" i="30"/>
  <c r="U141" i="29"/>
  <c r="U140" i="30"/>
  <c r="N140" i="30"/>
  <c r="N110" i="29"/>
  <c r="R158" i="30"/>
  <c r="V95" i="30"/>
  <c r="Q110" i="29"/>
  <c r="V158" i="30"/>
  <c r="W93" i="30"/>
  <c r="T182" i="30"/>
  <c r="T93" i="29"/>
  <c r="T140" i="30"/>
  <c r="O158" i="30"/>
  <c r="AA93" i="30"/>
  <c r="Q143" i="30"/>
  <c r="Y95" i="30"/>
  <c r="AA95" i="29"/>
  <c r="X175" i="30"/>
  <c r="M141" i="29"/>
  <c r="Q95" i="29"/>
  <c r="P141" i="29"/>
  <c r="Q140" i="30"/>
  <c r="M110" i="29"/>
  <c r="Q158" i="30"/>
  <c r="Q95" i="30"/>
  <c r="Z110" i="29"/>
  <c r="P143" i="30"/>
  <c r="S94" i="30"/>
  <c r="L141" i="29"/>
  <c r="O182" i="30"/>
  <c r="Z95" i="29"/>
  <c r="L140" i="30"/>
  <c r="X143" i="30"/>
  <c r="R95" i="30"/>
  <c r="T175" i="30"/>
  <c r="V141" i="29"/>
  <c r="S141" i="29"/>
  <c r="Q182" i="30"/>
  <c r="W95" i="29"/>
  <c r="N158" i="30"/>
  <c r="U110" i="29"/>
  <c r="X93" i="30"/>
  <c r="AB93" i="30"/>
  <c r="P182" i="30"/>
  <c r="M95" i="30"/>
  <c r="T159" i="29"/>
  <c r="R110" i="29"/>
  <c r="Q94" i="30"/>
  <c r="AB95" i="29"/>
  <c r="S182" i="30"/>
  <c r="V110" i="29"/>
  <c r="U175" i="30"/>
  <c r="M182" i="30"/>
  <c r="T95" i="29"/>
  <c r="X140" i="30"/>
  <c r="M143" i="30"/>
  <c r="M175" i="30"/>
  <c r="AB94" i="30"/>
  <c r="T95" i="30"/>
  <c r="Y93" i="30"/>
  <c r="Q175" i="30"/>
  <c r="V143" i="30"/>
  <c r="R95" i="29"/>
  <c r="Y95" i="29"/>
  <c r="T93" i="30"/>
  <c r="AA94" i="30"/>
  <c r="O93" i="30"/>
  <c r="O143" i="30"/>
  <c r="V93" i="30"/>
  <c r="X94" i="30"/>
  <c r="L95" i="29"/>
  <c r="AA110" i="29"/>
  <c r="V95" i="29"/>
  <c r="N94" i="30"/>
  <c r="U94" i="30"/>
  <c r="U182" i="30"/>
  <c r="L143" i="30"/>
  <c r="M93" i="30"/>
  <c r="S175" i="30"/>
  <c r="P175" i="30"/>
  <c r="L175" i="30"/>
  <c r="O140" i="30"/>
  <c r="U143" i="30"/>
  <c r="X95" i="29"/>
  <c r="Q141" i="29"/>
  <c r="S93" i="30"/>
  <c r="V140" i="30"/>
  <c r="P93" i="30"/>
  <c r="X158" i="30"/>
  <c r="U158" i="30"/>
  <c r="V94" i="30"/>
  <c r="O110" i="29"/>
  <c r="P110" i="29"/>
  <c r="AB110" i="29"/>
  <c r="P94" i="30"/>
  <c r="T94" i="30"/>
  <c r="L93" i="29"/>
  <c r="L158" i="30"/>
  <c r="O141" i="29"/>
  <c r="R141" i="29"/>
  <c r="N143" i="30"/>
  <c r="O93" i="29"/>
  <c r="R143" i="30"/>
  <c r="P95" i="29"/>
  <c r="X141" i="29"/>
  <c r="U93" i="30"/>
  <c r="W140" i="30"/>
  <c r="AB95" i="30"/>
  <c r="W158" i="30"/>
  <c r="W175" i="30"/>
  <c r="O94" i="30"/>
  <c r="Y110" i="29"/>
  <c r="P170" i="29"/>
  <c r="W94" i="30"/>
  <c r="Z95" i="30"/>
  <c r="V175" i="30"/>
  <c r="T158" i="30"/>
  <c r="T143" i="30"/>
  <c r="N175" i="30"/>
  <c r="N141" i="29"/>
  <c r="N95" i="29"/>
  <c r="T170" i="29"/>
  <c r="Y94" i="29"/>
  <c r="S140" i="30"/>
  <c r="R140" i="30"/>
  <c r="AA77" i="29"/>
  <c r="S158" i="30"/>
  <c r="P158" i="30"/>
  <c r="O95" i="30"/>
  <c r="S95" i="30"/>
  <c r="T110" i="29"/>
  <c r="S110" i="29"/>
  <c r="M84" i="29"/>
  <c r="Q153" i="30"/>
  <c r="M177" i="29"/>
  <c r="T84" i="29"/>
  <c r="W161" i="29"/>
  <c r="Q152" i="29"/>
  <c r="X177" i="29"/>
  <c r="U84" i="29"/>
  <c r="M114" i="30"/>
  <c r="Z100" i="30"/>
  <c r="R114" i="30"/>
  <c r="W177" i="29"/>
  <c r="Q162" i="29"/>
  <c r="L156" i="30"/>
  <c r="AB105" i="29"/>
  <c r="Y161" i="29"/>
  <c r="W153" i="30"/>
  <c r="Q97" i="30"/>
  <c r="AA97" i="30"/>
  <c r="W84" i="29"/>
  <c r="S84" i="29"/>
  <c r="AA84" i="29"/>
  <c r="O177" i="29"/>
  <c r="S105" i="29"/>
  <c r="T161" i="29"/>
  <c r="Y100" i="30"/>
  <c r="N177" i="29"/>
  <c r="N161" i="29"/>
  <c r="Z97" i="30"/>
  <c r="P177" i="29"/>
  <c r="O153" i="30"/>
  <c r="O84" i="29"/>
  <c r="S177" i="29"/>
  <c r="L84" i="29"/>
  <c r="Z119" i="29"/>
  <c r="Y105" i="29"/>
  <c r="X85" i="29"/>
  <c r="AB84" i="29"/>
  <c r="O105" i="29"/>
  <c r="S150" i="30"/>
  <c r="V105" i="29"/>
  <c r="M156" i="30"/>
  <c r="Q167" i="29"/>
  <c r="R177" i="29"/>
  <c r="U105" i="29"/>
  <c r="P84" i="29"/>
  <c r="U150" i="30"/>
  <c r="Q105" i="29"/>
  <c r="X105" i="29"/>
  <c r="N107" i="30"/>
  <c r="W104" i="30"/>
  <c r="Y177" i="29"/>
  <c r="N84" i="29"/>
  <c r="M152" i="29"/>
  <c r="P152" i="29"/>
  <c r="T105" i="29"/>
  <c r="Y84" i="29"/>
  <c r="Z105" i="29"/>
  <c r="R105" i="29"/>
  <c r="Y119" i="29"/>
  <c r="V84" i="29"/>
  <c r="M162" i="29"/>
  <c r="Q84" i="29"/>
  <c r="P105" i="29"/>
  <c r="X84" i="29"/>
  <c r="X114" i="30"/>
  <c r="X150" i="30"/>
  <c r="N105" i="29"/>
  <c r="Q177" i="29"/>
  <c r="Y114" i="30"/>
  <c r="N97" i="30"/>
  <c r="AA105" i="29"/>
  <c r="V167" i="29"/>
  <c r="U152" i="29"/>
  <c r="Z84" i="29"/>
  <c r="N167" i="29"/>
  <c r="M105" i="29"/>
  <c r="U177" i="29"/>
  <c r="V152" i="29"/>
  <c r="R161" i="29"/>
  <c r="V177" i="29"/>
  <c r="V156" i="30"/>
  <c r="Y118" i="30"/>
  <c r="M117" i="30"/>
  <c r="N181" i="30"/>
  <c r="N113" i="30"/>
  <c r="W106" i="30"/>
  <c r="S158" i="29"/>
  <c r="V183" i="29"/>
  <c r="Z116" i="30"/>
  <c r="Q118" i="30"/>
  <c r="M181" i="30"/>
  <c r="T113" i="30"/>
  <c r="V117" i="30"/>
  <c r="AA113" i="30"/>
  <c r="Q176" i="30"/>
  <c r="S116" i="30"/>
  <c r="AB113" i="30"/>
  <c r="N176" i="30"/>
  <c r="Y183" i="29"/>
  <c r="R106" i="30"/>
  <c r="U181" i="30"/>
  <c r="V118" i="30"/>
  <c r="AA117" i="30"/>
  <c r="T158" i="29"/>
  <c r="O176" i="30"/>
  <c r="AA116" i="30"/>
  <c r="AB118" i="30"/>
  <c r="Z113" i="30"/>
  <c r="M113" i="30"/>
  <c r="Q158" i="29"/>
  <c r="X181" i="30"/>
  <c r="P183" i="29"/>
  <c r="N183" i="29"/>
  <c r="R158" i="29"/>
  <c r="P181" i="30"/>
  <c r="X106" i="30"/>
  <c r="V113" i="30"/>
  <c r="X117" i="30"/>
  <c r="W118" i="30"/>
  <c r="M176" i="30"/>
  <c r="O116" i="30"/>
  <c r="U113" i="30"/>
  <c r="S113" i="30"/>
  <c r="M106" i="30"/>
  <c r="O113" i="30"/>
  <c r="P158" i="29"/>
  <c r="Q116" i="30"/>
  <c r="U183" i="29"/>
  <c r="M183" i="29"/>
  <c r="M158" i="29"/>
  <c r="T118" i="30"/>
  <c r="S176" i="30"/>
  <c r="X118" i="30"/>
  <c r="S181" i="30"/>
  <c r="Z106" i="30"/>
  <c r="Y158" i="29"/>
  <c r="R113" i="30"/>
  <c r="O106" i="30"/>
  <c r="W158" i="29"/>
  <c r="S183" i="29"/>
  <c r="Q181" i="30"/>
  <c r="X158" i="29"/>
  <c r="O158" i="29"/>
  <c r="AA118" i="30"/>
  <c r="R176" i="30"/>
  <c r="U176" i="30"/>
  <c r="T117" i="30"/>
  <c r="R183" i="29"/>
  <c r="U116" i="30"/>
  <c r="V106" i="30"/>
  <c r="U117" i="30"/>
  <c r="Q183" i="29"/>
  <c r="W181" i="30"/>
  <c r="R117" i="30"/>
  <c r="T176" i="30"/>
  <c r="P176" i="30"/>
  <c r="Z117" i="30"/>
  <c r="N158" i="29"/>
  <c r="P113" i="30"/>
  <c r="Y117" i="30"/>
  <c r="Q106" i="30"/>
  <c r="Y116" i="30"/>
  <c r="U118" i="30"/>
  <c r="W183" i="29"/>
  <c r="O181" i="30"/>
  <c r="N117" i="30"/>
  <c r="X176" i="30"/>
  <c r="W176" i="30"/>
  <c r="Q113" i="30"/>
  <c r="O118" i="30"/>
  <c r="S167" i="29"/>
  <c r="X162" i="29"/>
  <c r="U153" i="30"/>
  <c r="Q156" i="30"/>
  <c r="X153" i="30"/>
  <c r="N152" i="29"/>
  <c r="M153" i="30"/>
  <c r="R152" i="29"/>
  <c r="W156" i="30"/>
  <c r="M161" i="29"/>
  <c r="U97" i="30"/>
  <c r="P167" i="29"/>
  <c r="X167" i="29"/>
  <c r="R162" i="29"/>
  <c r="AB97" i="30"/>
  <c r="AA100" i="30"/>
  <c r="U156" i="30"/>
  <c r="W114" i="30"/>
  <c r="U167" i="29"/>
  <c r="N153" i="30"/>
  <c r="T162" i="29"/>
  <c r="P97" i="30"/>
  <c r="R150" i="30"/>
  <c r="T152" i="29"/>
  <c r="V114" i="30"/>
  <c r="X156" i="30"/>
  <c r="P153" i="30"/>
  <c r="V153" i="30"/>
  <c r="O152" i="29"/>
  <c r="M150" i="30"/>
  <c r="P156" i="30"/>
  <c r="N162" i="29"/>
  <c r="X152" i="29"/>
  <c r="X97" i="30"/>
  <c r="O114" i="30"/>
  <c r="S153" i="30"/>
  <c r="T150" i="30"/>
  <c r="T167" i="29"/>
  <c r="AB114" i="30"/>
  <c r="Q114" i="30"/>
  <c r="T156" i="30"/>
  <c r="S114" i="30"/>
  <c r="S152" i="29"/>
  <c r="P162" i="29"/>
  <c r="S162" i="29"/>
  <c r="V97" i="30"/>
  <c r="Y152" i="29"/>
  <c r="P114" i="30"/>
  <c r="T153" i="30"/>
  <c r="W162" i="29"/>
  <c r="N150" i="30"/>
  <c r="P161" i="29"/>
  <c r="N156" i="30"/>
  <c r="O161" i="29"/>
  <c r="S97" i="30"/>
  <c r="M97" i="30"/>
  <c r="Y167" i="29"/>
  <c r="O97" i="30"/>
  <c r="W97" i="30"/>
  <c r="T97" i="30"/>
  <c r="V162" i="29"/>
  <c r="Q150" i="30"/>
  <c r="W150" i="30"/>
  <c r="U161" i="29"/>
  <c r="Z114" i="30"/>
  <c r="S156" i="30"/>
  <c r="T114" i="30"/>
  <c r="V161" i="29"/>
  <c r="S161" i="29"/>
  <c r="W167" i="29"/>
  <c r="O162" i="29"/>
  <c r="P150" i="30"/>
  <c r="L150" i="30"/>
  <c r="Q161" i="29"/>
  <c r="R156" i="30"/>
  <c r="U114" i="30"/>
  <c r="N114" i="30"/>
  <c r="O167" i="29"/>
  <c r="M167" i="29"/>
  <c r="Y162" i="29"/>
  <c r="O156" i="30"/>
  <c r="L153" i="30"/>
  <c r="R153" i="30"/>
  <c r="O150" i="30"/>
  <c r="R97" i="30"/>
  <c r="V150" i="30"/>
  <c r="P116" i="30"/>
  <c r="M116" i="30"/>
  <c r="AB117" i="30"/>
  <c r="P106" i="30"/>
  <c r="W117" i="30"/>
  <c r="W116" i="30"/>
  <c r="S117" i="30"/>
  <c r="X183" i="29"/>
  <c r="X116" i="30"/>
  <c r="N118" i="30"/>
  <c r="U106" i="30"/>
  <c r="P109" i="30"/>
  <c r="M102" i="29"/>
  <c r="N116" i="30"/>
  <c r="V116" i="30"/>
  <c r="R116" i="30"/>
  <c r="Z118" i="30"/>
  <c r="N106" i="30"/>
  <c r="W113" i="30"/>
  <c r="O117" i="30"/>
  <c r="R181" i="30"/>
  <c r="P118" i="30"/>
  <c r="V176" i="30"/>
  <c r="Y105" i="30"/>
  <c r="V157" i="29"/>
  <c r="AA110" i="30"/>
  <c r="V109" i="30"/>
  <c r="L151" i="30"/>
  <c r="R168" i="30"/>
  <c r="AB110" i="30"/>
  <c r="Q151" i="30"/>
  <c r="W168" i="30"/>
  <c r="U108" i="30"/>
  <c r="U157" i="29"/>
  <c r="Q173" i="30"/>
  <c r="O173" i="30"/>
  <c r="AA105" i="30"/>
  <c r="T157" i="29"/>
  <c r="Y110" i="30"/>
  <c r="AA108" i="30"/>
  <c r="Q157" i="29"/>
  <c r="P102" i="29"/>
  <c r="O102" i="29"/>
  <c r="S168" i="30"/>
  <c r="V151" i="30"/>
  <c r="T102" i="29"/>
  <c r="W109" i="30"/>
  <c r="T110" i="30"/>
  <c r="V173" i="30"/>
  <c r="M173" i="30"/>
  <c r="V108" i="30"/>
  <c r="P105" i="30"/>
  <c r="N109" i="30"/>
  <c r="Q109" i="30"/>
  <c r="Z108" i="30"/>
  <c r="N173" i="30"/>
  <c r="Z109" i="30"/>
  <c r="X108" i="30"/>
  <c r="S108" i="30"/>
  <c r="M109" i="30"/>
  <c r="U102" i="29"/>
  <c r="W102" i="29"/>
  <c r="P168" i="30"/>
  <c r="T108" i="30"/>
  <c r="M151" i="30"/>
  <c r="R102" i="29"/>
  <c r="O105" i="30"/>
  <c r="N110" i="30"/>
  <c r="Y108" i="30"/>
  <c r="AA109" i="30"/>
  <c r="T173" i="30"/>
  <c r="N108" i="30"/>
  <c r="N168" i="30"/>
  <c r="V105" i="30"/>
  <c r="R157" i="29"/>
  <c r="R110" i="30"/>
  <c r="O157" i="29"/>
  <c r="R173" i="30"/>
  <c r="O151" i="30"/>
  <c r="T109" i="30"/>
  <c r="Z105" i="30"/>
  <c r="R105" i="30"/>
  <c r="Y102" i="29"/>
  <c r="O108" i="30"/>
  <c r="Q168" i="30"/>
  <c r="O110" i="30"/>
  <c r="M105" i="30"/>
  <c r="AA102" i="29"/>
  <c r="X168" i="30"/>
  <c r="P108" i="30"/>
  <c r="T105" i="30"/>
  <c r="P110" i="30"/>
  <c r="X173" i="30"/>
  <c r="O168" i="30"/>
  <c r="X105" i="30"/>
  <c r="S109" i="30"/>
  <c r="U105" i="30"/>
  <c r="X102" i="29"/>
  <c r="X157" i="29"/>
  <c r="N105" i="30"/>
  <c r="S102" i="29"/>
  <c r="S157" i="29"/>
  <c r="M110" i="30"/>
  <c r="Q102" i="29"/>
  <c r="V110" i="30"/>
  <c r="S151" i="30"/>
  <c r="L168" i="30"/>
  <c r="Q108" i="30"/>
  <c r="X151" i="30"/>
  <c r="N157" i="29"/>
  <c r="P157" i="29"/>
  <c r="U173" i="30"/>
  <c r="T151" i="30"/>
  <c r="U109" i="30"/>
  <c r="R151" i="30"/>
  <c r="Q105" i="30"/>
  <c r="Z102" i="29"/>
  <c r="V102" i="29"/>
  <c r="U151" i="30"/>
  <c r="M168" i="30"/>
  <c r="W110" i="30"/>
  <c r="Y157" i="29"/>
  <c r="R108" i="30"/>
  <c r="X110" i="30"/>
  <c r="W108" i="30"/>
  <c r="N151" i="30"/>
  <c r="M157" i="29"/>
  <c r="U110" i="30"/>
  <c r="L173" i="30"/>
  <c r="P173" i="30"/>
  <c r="O109" i="30"/>
  <c r="W105" i="30"/>
  <c r="S105" i="30"/>
  <c r="Q110" i="30"/>
  <c r="S110" i="30"/>
  <c r="N102" i="29"/>
  <c r="Y109" i="30"/>
  <c r="U168" i="30"/>
  <c r="V168" i="30"/>
  <c r="M108" i="30"/>
  <c r="P151" i="30"/>
  <c r="R109" i="30"/>
  <c r="W173" i="30"/>
  <c r="S173" i="30"/>
  <c r="T168" i="30"/>
  <c r="W151" i="30"/>
  <c r="X109" i="30"/>
  <c r="M175" i="29"/>
  <c r="O175" i="29"/>
  <c r="P112" i="29"/>
  <c r="V175" i="29"/>
  <c r="Y175" i="29"/>
  <c r="T112" i="29"/>
  <c r="AA112" i="29"/>
  <c r="O112" i="29"/>
  <c r="U175" i="29"/>
  <c r="Q112" i="29"/>
  <c r="X175" i="29"/>
  <c r="X112" i="29"/>
  <c r="W175" i="29"/>
  <c r="U112" i="29"/>
  <c r="N175" i="29"/>
  <c r="P175" i="29"/>
  <c r="S112" i="29"/>
  <c r="N112" i="29"/>
  <c r="Y112" i="29"/>
  <c r="AB112" i="29"/>
  <c r="S175" i="29"/>
  <c r="T175" i="29"/>
  <c r="W112" i="29"/>
  <c r="R112" i="29"/>
  <c r="V112" i="29"/>
  <c r="S77" i="29"/>
  <c r="R77" i="29"/>
  <c r="V170" i="29"/>
  <c r="W77" i="29"/>
  <c r="AB93" i="29"/>
  <c r="X93" i="29"/>
  <c r="O94" i="29"/>
  <c r="R159" i="29"/>
  <c r="S94" i="29"/>
  <c r="Z94" i="29"/>
  <c r="Y77" i="29"/>
  <c r="L77" i="29"/>
  <c r="N93" i="29"/>
  <c r="M170" i="29"/>
  <c r="R170" i="29"/>
  <c r="V77" i="29"/>
  <c r="W170" i="29"/>
  <c r="Y93" i="29"/>
  <c r="U94" i="29"/>
  <c r="W159" i="29"/>
  <c r="N94" i="29"/>
  <c r="AB94" i="29"/>
  <c r="S93" i="29"/>
  <c r="N170" i="29"/>
  <c r="U159" i="29"/>
  <c r="Q94" i="29"/>
  <c r="P94" i="29"/>
  <c r="AA93" i="29"/>
  <c r="M159" i="29"/>
  <c r="V159" i="29"/>
  <c r="V94" i="29"/>
  <c r="T94" i="29"/>
  <c r="P159" i="29"/>
  <c r="AA94" i="29"/>
  <c r="X94" i="29"/>
  <c r="S159" i="29"/>
  <c r="X77" i="29"/>
  <c r="P93" i="29"/>
  <c r="N159" i="29"/>
  <c r="R93" i="29"/>
  <c r="U170" i="29"/>
  <c r="P77" i="29"/>
  <c r="Y159" i="29"/>
  <c r="X159" i="29"/>
  <c r="R94" i="29"/>
  <c r="M94" i="29"/>
  <c r="U93" i="29"/>
  <c r="AB77" i="29"/>
  <c r="W93" i="29"/>
  <c r="U77" i="29"/>
  <c r="Q159" i="29"/>
  <c r="X170" i="29"/>
  <c r="Q77" i="29"/>
  <c r="Q170" i="29"/>
  <c r="Y170" i="29"/>
  <c r="M77" i="29"/>
  <c r="V93" i="29"/>
  <c r="O77" i="29"/>
  <c r="L94" i="29"/>
  <c r="Q93" i="29"/>
  <c r="Y82" i="29"/>
  <c r="S106" i="29"/>
  <c r="Z82" i="29"/>
  <c r="T106" i="29"/>
  <c r="Q143" i="29"/>
  <c r="AB82" i="29"/>
  <c r="V106" i="29"/>
  <c r="M143" i="29"/>
  <c r="W143" i="29"/>
  <c r="O106" i="29"/>
  <c r="N82" i="29"/>
  <c r="AA106" i="29"/>
  <c r="T143" i="29"/>
  <c r="U106" i="29"/>
  <c r="S82" i="29"/>
  <c r="P106" i="29"/>
  <c r="M82" i="29"/>
  <c r="N106" i="29"/>
  <c r="R106" i="29"/>
  <c r="O143" i="29"/>
  <c r="Q106" i="29"/>
  <c r="X82" i="29"/>
  <c r="L82" i="29"/>
  <c r="AA82" i="29"/>
  <c r="O82" i="29"/>
  <c r="U143" i="29"/>
  <c r="X106" i="29"/>
  <c r="R82" i="29"/>
  <c r="Y143" i="29"/>
  <c r="Z106" i="29"/>
  <c r="Q82" i="29"/>
  <c r="W106" i="29"/>
  <c r="W82" i="29"/>
  <c r="R143" i="29"/>
  <c r="N143" i="29"/>
  <c r="U82" i="29"/>
  <c r="AB106" i="29"/>
  <c r="X143" i="29"/>
  <c r="P143" i="29"/>
  <c r="T82" i="29"/>
  <c r="V82" i="29"/>
  <c r="S143" i="29"/>
  <c r="M106" i="29"/>
  <c r="L15" i="77"/>
  <c r="L16" i="77"/>
  <c r="L14" i="77"/>
  <c r="L18" i="77"/>
  <c r="L21" i="77"/>
  <c r="L13" i="77"/>
  <c r="L22" i="77"/>
  <c r="L20" i="77"/>
  <c r="L17" i="77"/>
  <c r="C18" i="77"/>
  <c r="C19" i="77" s="1"/>
  <c r="M15" i="71"/>
  <c r="L15" i="71"/>
  <c r="L16" i="71"/>
  <c r="M16" i="71"/>
  <c r="M20" i="77"/>
  <c r="N20" i="77"/>
  <c r="L115" i="76"/>
  <c r="L114" i="76"/>
  <c r="L170" i="76"/>
  <c r="L169" i="76"/>
  <c r="V115" i="81"/>
  <c r="V114" i="81"/>
  <c r="U115" i="81"/>
  <c r="U114" i="81"/>
  <c r="M17" i="71"/>
  <c r="L17" i="71"/>
  <c r="W170" i="81"/>
  <c r="W169" i="81"/>
  <c r="S59" i="81"/>
  <c r="S60" i="81"/>
  <c r="T60" i="77"/>
  <c r="T59" i="77"/>
  <c r="Q170" i="76"/>
  <c r="Q169" i="76"/>
  <c r="X115" i="81"/>
  <c r="X114" i="81"/>
  <c r="N170" i="76"/>
  <c r="N169" i="76"/>
  <c r="X170" i="76"/>
  <c r="X169" i="76"/>
  <c r="M115" i="81"/>
  <c r="M114" i="81"/>
  <c r="R114" i="81"/>
  <c r="R115" i="81"/>
  <c r="M18" i="71"/>
  <c r="L18" i="71"/>
  <c r="R60" i="81"/>
  <c r="R59" i="81"/>
  <c r="P114" i="76"/>
  <c r="P115" i="76"/>
  <c r="C17" i="79"/>
  <c r="C18" i="79" s="1"/>
  <c r="C19" i="79" s="1"/>
  <c r="C20" i="79" s="1"/>
  <c r="C21" i="79" s="1"/>
  <c r="C22" i="79" s="1"/>
  <c r="C59" i="79" s="1"/>
  <c r="C61" i="79" s="1"/>
  <c r="L20" i="71"/>
  <c r="M20" i="71"/>
  <c r="Q60" i="77"/>
  <c r="Q59" i="77"/>
  <c r="P169" i="76"/>
  <c r="P170" i="76"/>
  <c r="N115" i="81"/>
  <c r="N114" i="81"/>
  <c r="N16" i="77"/>
  <c r="M16" i="77"/>
  <c r="M19" i="71"/>
  <c r="L19" i="71"/>
  <c r="R60" i="77"/>
  <c r="R59" i="77"/>
  <c r="M14" i="77"/>
  <c r="N14" i="77"/>
  <c r="M22" i="77"/>
  <c r="N22" i="77"/>
  <c r="N170" i="81"/>
  <c r="N169" i="81"/>
  <c r="U59" i="81"/>
  <c r="U60" i="81"/>
  <c r="O115" i="76"/>
  <c r="O114" i="76"/>
  <c r="C18" i="81"/>
  <c r="C19" i="81" s="1"/>
  <c r="X169" i="81"/>
  <c r="X170" i="81"/>
  <c r="O170" i="76"/>
  <c r="O169" i="76"/>
  <c r="T170" i="76"/>
  <c r="T169" i="76"/>
  <c r="L115" i="81"/>
  <c r="L114" i="81"/>
  <c r="M17" i="77"/>
  <c r="N17" i="77"/>
  <c r="V169" i="81"/>
  <c r="V170" i="81"/>
  <c r="Q59" i="81"/>
  <c r="Q60" i="81"/>
  <c r="R115" i="76"/>
  <c r="R114" i="76"/>
  <c r="S170" i="81"/>
  <c r="S169" i="81"/>
  <c r="S114" i="76"/>
  <c r="S115" i="76"/>
  <c r="C18" i="78"/>
  <c r="L59" i="81"/>
  <c r="L60" i="81"/>
  <c r="M13" i="71"/>
  <c r="L13" i="71"/>
  <c r="T170" i="81"/>
  <c r="T169" i="81"/>
  <c r="R169" i="76"/>
  <c r="R170" i="76"/>
  <c r="T115" i="81"/>
  <c r="T114" i="81"/>
  <c r="S170" i="76"/>
  <c r="S169" i="76"/>
  <c r="W115" i="81"/>
  <c r="W114" i="81"/>
  <c r="Q170" i="81"/>
  <c r="Q169" i="81"/>
  <c r="M59" i="81"/>
  <c r="M60" i="81"/>
  <c r="O170" i="81"/>
  <c r="O169" i="81"/>
  <c r="Q115" i="76"/>
  <c r="Q114" i="76"/>
  <c r="T59" i="81"/>
  <c r="T60" i="81"/>
  <c r="M15" i="77"/>
  <c r="N15" i="77"/>
  <c r="N60" i="81"/>
  <c r="N59" i="81"/>
  <c r="P169" i="81"/>
  <c r="P170" i="81"/>
  <c r="V170" i="76"/>
  <c r="V169" i="76"/>
  <c r="U169" i="76"/>
  <c r="U170" i="76"/>
  <c r="S114" i="81"/>
  <c r="S115" i="81"/>
  <c r="V59" i="81"/>
  <c r="V60" i="81"/>
  <c r="P60" i="81"/>
  <c r="P59" i="81"/>
  <c r="R170" i="81"/>
  <c r="R169" i="81"/>
  <c r="O60" i="77"/>
  <c r="O59" i="77"/>
  <c r="T115" i="76"/>
  <c r="T114" i="76"/>
  <c r="W60" i="77"/>
  <c r="W59" i="77"/>
  <c r="W170" i="76"/>
  <c r="W169" i="76"/>
  <c r="V115" i="76"/>
  <c r="V114" i="76"/>
  <c r="U115" i="76"/>
  <c r="U114" i="76"/>
  <c r="Q114" i="81"/>
  <c r="Q115" i="81"/>
  <c r="P114" i="81"/>
  <c r="P115" i="81"/>
  <c r="M14" i="71"/>
  <c r="L14" i="71"/>
  <c r="M21" i="77"/>
  <c r="N21" i="77"/>
  <c r="O60" i="81"/>
  <c r="O59" i="81"/>
  <c r="U170" i="81"/>
  <c r="U169" i="81"/>
  <c r="X114" i="76"/>
  <c r="X115" i="76"/>
  <c r="U60" i="77"/>
  <c r="U59" i="77"/>
  <c r="W114" i="76"/>
  <c r="W115" i="76"/>
  <c r="N115" i="76"/>
  <c r="N114" i="76"/>
  <c r="M18" i="77"/>
  <c r="N18" i="77"/>
  <c r="M170" i="76"/>
  <c r="M169" i="76"/>
  <c r="O115" i="81"/>
  <c r="O114" i="81"/>
  <c r="M13" i="77"/>
  <c r="N13" i="77"/>
  <c r="L170" i="81"/>
  <c r="L169" i="81"/>
  <c r="V59" i="77"/>
  <c r="V60" i="77"/>
  <c r="S59" i="77"/>
  <c r="S60" i="77"/>
  <c r="X60" i="77"/>
  <c r="X59" i="77"/>
  <c r="X60" i="81"/>
  <c r="X59" i="81"/>
  <c r="P60" i="77"/>
  <c r="P59" i="77"/>
  <c r="W60" i="81"/>
  <c r="W59" i="81"/>
  <c r="C17" i="76"/>
  <c r="A16" i="56"/>
  <c r="A15" i="56"/>
  <c r="K63" i="46"/>
  <c r="Q63" i="46"/>
  <c r="L64" i="46"/>
  <c r="F27" i="56"/>
  <c r="D168" i="29"/>
  <c r="D115" i="29"/>
  <c r="D102" i="29"/>
  <c r="D143" i="29"/>
  <c r="D75" i="30"/>
  <c r="C75" i="30" s="1"/>
  <c r="D138" i="30"/>
  <c r="C138" i="30" s="1"/>
  <c r="C14" i="30"/>
  <c r="C15" i="30" s="1"/>
  <c r="C16" i="30" s="1"/>
  <c r="D153" i="30"/>
  <c r="D156" i="30"/>
  <c r="D147" i="29"/>
  <c r="D165" i="30"/>
  <c r="U84" i="10"/>
  <c r="D152" i="29"/>
  <c r="T84" i="10"/>
  <c r="D148" i="30"/>
  <c r="D144" i="29"/>
  <c r="D168" i="30"/>
  <c r="D87" i="30"/>
  <c r="D88" i="30"/>
  <c r="D85" i="29"/>
  <c r="D106" i="30"/>
  <c r="D76" i="30"/>
  <c r="D111" i="29"/>
  <c r="D139" i="30"/>
  <c r="D82" i="29"/>
  <c r="D139" i="29"/>
  <c r="C139" i="29" s="1"/>
  <c r="D94" i="30"/>
  <c r="D75" i="29"/>
  <c r="C75" i="29" s="1"/>
  <c r="C15" i="46"/>
  <c r="C16" i="46" s="1"/>
  <c r="C17" i="46" s="1"/>
  <c r="D152" i="30"/>
  <c r="D157" i="29"/>
  <c r="D108" i="29"/>
  <c r="D170" i="29"/>
  <c r="D82" i="30"/>
  <c r="D103" i="30"/>
  <c r="D97" i="30"/>
  <c r="D77" i="30"/>
  <c r="D81" i="30"/>
  <c r="T82" i="10"/>
  <c r="C15" i="50"/>
  <c r="C16" i="50" s="1"/>
  <c r="J56" i="49"/>
  <c r="D176" i="29"/>
  <c r="D158" i="30"/>
  <c r="D145" i="29"/>
  <c r="T63" i="46"/>
  <c r="W63" i="46"/>
  <c r="M63" i="46"/>
  <c r="F13" i="56"/>
  <c r="U63" i="46"/>
  <c r="P63" i="46"/>
  <c r="X63" i="46"/>
  <c r="N63" i="46"/>
  <c r="R63" i="46"/>
  <c r="V63" i="46"/>
  <c r="L63" i="46"/>
  <c r="S63" i="46"/>
  <c r="O63" i="46"/>
  <c r="N64" i="46"/>
  <c r="F25" i="56"/>
  <c r="Q64" i="46"/>
  <c r="F22" i="56"/>
  <c r="V64" i="46"/>
  <c r="F17" i="56"/>
  <c r="O64" i="46"/>
  <c r="F24" i="56"/>
  <c r="F21" i="56"/>
  <c r="R64" i="46"/>
  <c r="W64" i="46"/>
  <c r="F16" i="56"/>
  <c r="F20" i="56"/>
  <c r="S64" i="46"/>
  <c r="F26" i="56"/>
  <c r="M64" i="46"/>
  <c r="F28" i="56"/>
  <c r="K64" i="46"/>
  <c r="P64" i="46"/>
  <c r="F23" i="56"/>
  <c r="F19" i="56"/>
  <c r="T64" i="46"/>
  <c r="X64" i="46"/>
  <c r="F15" i="56"/>
  <c r="U64" i="46"/>
  <c r="F18" i="56"/>
  <c r="D113" i="30"/>
  <c r="D178" i="29"/>
  <c r="D94" i="29"/>
  <c r="D150" i="29"/>
  <c r="D95" i="29"/>
  <c r="D165" i="29"/>
  <c r="D86" i="30"/>
  <c r="D177" i="29"/>
  <c r="D101" i="30"/>
  <c r="I79" i="10"/>
  <c r="U80" i="10"/>
  <c r="T80" i="10"/>
  <c r="I83" i="10"/>
  <c r="C16" i="29"/>
  <c r="C17" i="29" s="1"/>
  <c r="C18" i="29" s="1"/>
  <c r="D154" i="29"/>
  <c r="D90" i="29"/>
  <c r="I80" i="10"/>
  <c r="U81" i="10"/>
  <c r="U83" i="10"/>
  <c r="U78" i="10"/>
  <c r="U77" i="10"/>
  <c r="D174" i="29"/>
  <c r="D110" i="29"/>
  <c r="U82" i="10"/>
  <c r="C15" i="61"/>
  <c r="I81" i="10"/>
  <c r="I78" i="10"/>
  <c r="T83" i="10"/>
  <c r="T78" i="10"/>
  <c r="T77" i="10"/>
  <c r="T81" i="10"/>
  <c r="I84" i="10"/>
  <c r="D171" i="29"/>
  <c r="D107" i="29"/>
  <c r="I77" i="10"/>
  <c r="D111" i="30"/>
  <c r="D174" i="30"/>
  <c r="D154" i="30"/>
  <c r="D91" i="30"/>
  <c r="I82" i="10"/>
  <c r="D162" i="29"/>
  <c r="D98" i="29"/>
  <c r="K61" i="46"/>
  <c r="K60" i="46"/>
  <c r="K82" i="46" s="1"/>
  <c r="Q13" i="69" s="1"/>
  <c r="D84" i="29"/>
  <c r="D148" i="29"/>
  <c r="D84" i="30"/>
  <c r="D147" i="30"/>
  <c r="D170" i="30"/>
  <c r="D107" i="30"/>
  <c r="T79" i="10"/>
  <c r="D104" i="30"/>
  <c r="D167" i="30"/>
  <c r="D91" i="29"/>
  <c r="D155" i="29"/>
  <c r="U79" i="10"/>
  <c r="D161" i="30"/>
  <c r="D98" i="30"/>
  <c r="D16" i="49"/>
  <c r="J57" i="49"/>
  <c r="AA52" i="50"/>
  <c r="AB52" i="50" s="1"/>
  <c r="AA27" i="50"/>
  <c r="AB27" i="50" s="1"/>
  <c r="AA32" i="50"/>
  <c r="AB32" i="50" s="1"/>
  <c r="AA51" i="50"/>
  <c r="AB51" i="50" s="1"/>
  <c r="AA46" i="50"/>
  <c r="AB46" i="50" s="1"/>
  <c r="AA18" i="50"/>
  <c r="AB18" i="50" s="1"/>
  <c r="AA43" i="50"/>
  <c r="AB43" i="50" s="1"/>
  <c r="AA48" i="50"/>
  <c r="AB48" i="50" s="1"/>
  <c r="AA38" i="50"/>
  <c r="AB38" i="50" s="1"/>
  <c r="AA17" i="50"/>
  <c r="AB17" i="50" s="1"/>
  <c r="AA19" i="50"/>
  <c r="AB19" i="50" s="1"/>
  <c r="AA56" i="50"/>
  <c r="AB56" i="50" s="1"/>
  <c r="AA36" i="50"/>
  <c r="AB36" i="50" s="1"/>
  <c r="AA35" i="50"/>
  <c r="AB35" i="50" s="1"/>
  <c r="AA39" i="50"/>
  <c r="AB39" i="50" s="1"/>
  <c r="AA47" i="50"/>
  <c r="AB47" i="50" s="1"/>
  <c r="AA40" i="50"/>
  <c r="AB40" i="50" s="1"/>
  <c r="AA22" i="50"/>
  <c r="AB22" i="50" s="1"/>
  <c r="AA23" i="50"/>
  <c r="AB23" i="50" s="1"/>
  <c r="AA45" i="50"/>
  <c r="AB45" i="50" s="1"/>
  <c r="AA28" i="50"/>
  <c r="AB28" i="50" s="1"/>
  <c r="AA31" i="50"/>
  <c r="AB31" i="50" s="1"/>
  <c r="AA41" i="50"/>
  <c r="AB41" i="50" s="1"/>
  <c r="AA24" i="50"/>
  <c r="AB24" i="50" s="1"/>
  <c r="AJ56" i="50"/>
  <c r="AA14" i="50"/>
  <c r="AB14" i="50" s="1"/>
  <c r="AA49" i="50"/>
  <c r="AB49" i="50" s="1"/>
  <c r="S59" i="29"/>
  <c r="AA16" i="50"/>
  <c r="AB16" i="50" s="1"/>
  <c r="AA57" i="50"/>
  <c r="AB57" i="50" s="1"/>
  <c r="AA15" i="50"/>
  <c r="AB15" i="50" s="1"/>
  <c r="V61" i="46"/>
  <c r="X60" i="29"/>
  <c r="AA29" i="50"/>
  <c r="AB29" i="50" s="1"/>
  <c r="AA26" i="50"/>
  <c r="AB26" i="50" s="1"/>
  <c r="N59" i="50"/>
  <c r="AA25" i="50"/>
  <c r="AB25" i="50" s="1"/>
  <c r="O59" i="29"/>
  <c r="AA53" i="50"/>
  <c r="AB53" i="50" s="1"/>
  <c r="O59" i="50"/>
  <c r="N59" i="61"/>
  <c r="AA20" i="50"/>
  <c r="AB20" i="50" s="1"/>
  <c r="T59" i="61"/>
  <c r="AA21" i="50"/>
  <c r="AB21" i="50" s="1"/>
  <c r="W59" i="61"/>
  <c r="AA44" i="50"/>
  <c r="AB44" i="50" s="1"/>
  <c r="AA42" i="50"/>
  <c r="AB42" i="50" s="1"/>
  <c r="Z60" i="29"/>
  <c r="Q59" i="61"/>
  <c r="U60" i="29"/>
  <c r="P59" i="61"/>
  <c r="AA34" i="50"/>
  <c r="AB34" i="50" s="1"/>
  <c r="O60" i="29"/>
  <c r="U59" i="61"/>
  <c r="R59" i="30"/>
  <c r="T59" i="50"/>
  <c r="Z59" i="29"/>
  <c r="V59" i="61"/>
  <c r="W60" i="29"/>
  <c r="T60" i="29"/>
  <c r="U59" i="29"/>
  <c r="S60" i="29"/>
  <c r="X59" i="61"/>
  <c r="R59" i="61"/>
  <c r="O59" i="61"/>
  <c r="R60" i="29"/>
  <c r="N59" i="29"/>
  <c r="T61" i="46"/>
  <c r="AA59" i="29"/>
  <c r="T60" i="46"/>
  <c r="P60" i="30"/>
  <c r="AJ54" i="50"/>
  <c r="AA54" i="50"/>
  <c r="AB54" i="50" s="1"/>
  <c r="P59" i="50"/>
  <c r="S61" i="46"/>
  <c r="R60" i="30"/>
  <c r="S60" i="46"/>
  <c r="S82" i="46" s="1"/>
  <c r="I13" i="69" s="1"/>
  <c r="S59" i="61"/>
  <c r="S59" i="30"/>
  <c r="U60" i="46"/>
  <c r="U82" i="46" s="1"/>
  <c r="G13" i="69" s="1"/>
  <c r="P59" i="30"/>
  <c r="M59" i="29"/>
  <c r="T59" i="29"/>
  <c r="AA60" i="29"/>
  <c r="N60" i="29"/>
  <c r="Q60" i="46"/>
  <c r="AB59" i="29"/>
  <c r="R59" i="29"/>
  <c r="X59" i="29"/>
  <c r="M59" i="61"/>
  <c r="R60" i="46"/>
  <c r="R82" i="46" s="1"/>
  <c r="J13" i="69" s="1"/>
  <c r="AB60" i="29"/>
  <c r="V59" i="29"/>
  <c r="O60" i="30"/>
  <c r="V60" i="46"/>
  <c r="Q59" i="50"/>
  <c r="R59" i="50"/>
  <c r="W59" i="50"/>
  <c r="W59" i="29"/>
  <c r="P60" i="29"/>
  <c r="W60" i="46"/>
  <c r="W82" i="46" s="1"/>
  <c r="E13" i="69" s="1"/>
  <c r="W61" i="46"/>
  <c r="T60" i="30"/>
  <c r="T59" i="30"/>
  <c r="N60" i="30"/>
  <c r="N59" i="30"/>
  <c r="V60" i="30"/>
  <c r="V59" i="30"/>
  <c r="N61" i="46"/>
  <c r="N60" i="46"/>
  <c r="N82" i="46" s="1"/>
  <c r="N13" i="69" s="1"/>
  <c r="V59" i="50"/>
  <c r="P60" i="46"/>
  <c r="P82" i="46" s="1"/>
  <c r="L13" i="69" s="1"/>
  <c r="P61" i="46"/>
  <c r="P59" i="29"/>
  <c r="Q61" i="46"/>
  <c r="AA13" i="50"/>
  <c r="AB13" i="50" s="1"/>
  <c r="X59" i="50"/>
  <c r="O59" i="30"/>
  <c r="S59" i="50"/>
  <c r="L59" i="61"/>
  <c r="Q60" i="29"/>
  <c r="Q59" i="29"/>
  <c r="V60" i="29"/>
  <c r="L59" i="50"/>
  <c r="L60" i="30"/>
  <c r="L59" i="30"/>
  <c r="S60" i="30"/>
  <c r="Y59" i="29"/>
  <c r="Y60" i="29"/>
  <c r="Z50" i="50"/>
  <c r="AA50" i="50" s="1"/>
  <c r="AB50" i="50" s="1"/>
  <c r="AJ55" i="50"/>
  <c r="AA55" i="50"/>
  <c r="AB55" i="50" s="1"/>
  <c r="X60" i="46"/>
  <c r="X82" i="46" s="1"/>
  <c r="D13" i="69" s="1"/>
  <c r="X61" i="46"/>
  <c r="Q60" i="30"/>
  <c r="Q59" i="30"/>
  <c r="O60" i="46"/>
  <c r="O82" i="46" s="1"/>
  <c r="M13" i="69" s="1"/>
  <c r="O61" i="46"/>
  <c r="L60" i="29"/>
  <c r="L59" i="29"/>
  <c r="R61" i="46"/>
  <c r="U59" i="50"/>
  <c r="L61" i="46"/>
  <c r="L60" i="46"/>
  <c r="W60" i="30"/>
  <c r="W59" i="30"/>
  <c r="U61" i="46"/>
  <c r="X60" i="30"/>
  <c r="X59" i="30"/>
  <c r="M60" i="29"/>
  <c r="U59" i="30"/>
  <c r="U60" i="30"/>
  <c r="BH17" i="78" l="1"/>
  <c r="AD17" i="78"/>
  <c r="AI17" i="78" s="1"/>
  <c r="AJ17" i="78" s="1"/>
  <c r="H64" i="77"/>
  <c r="F35" i="56"/>
  <c r="F18" i="77"/>
  <c r="F22" i="77"/>
  <c r="F17" i="77"/>
  <c r="F14" i="77"/>
  <c r="F20" i="77"/>
  <c r="F16" i="77"/>
  <c r="F15" i="77"/>
  <c r="F21" i="77"/>
  <c r="F119" i="30"/>
  <c r="F81" i="30"/>
  <c r="F88" i="30"/>
  <c r="F94" i="30"/>
  <c r="F96" i="30"/>
  <c r="F87" i="30"/>
  <c r="F85" i="30"/>
  <c r="F89" i="30"/>
  <c r="F104" i="30"/>
  <c r="F80" i="30"/>
  <c r="F101" i="30"/>
  <c r="F114" i="30"/>
  <c r="F86" i="30"/>
  <c r="F109" i="30"/>
  <c r="F106" i="30"/>
  <c r="F110" i="30"/>
  <c r="F105" i="30"/>
  <c r="F92" i="30"/>
  <c r="F76" i="30"/>
  <c r="F79" i="30"/>
  <c r="F95" i="30"/>
  <c r="F116" i="30"/>
  <c r="F115" i="30"/>
  <c r="F77" i="30"/>
  <c r="F102" i="30"/>
  <c r="F111" i="30"/>
  <c r="F112" i="30"/>
  <c r="F97" i="30"/>
  <c r="F107" i="30"/>
  <c r="F118" i="30"/>
  <c r="F93" i="30"/>
  <c r="F117" i="30"/>
  <c r="F113" i="30"/>
  <c r="F91" i="30"/>
  <c r="F103" i="30"/>
  <c r="F98" i="30"/>
  <c r="F90" i="30"/>
  <c r="F82" i="30"/>
  <c r="F108" i="30"/>
  <c r="F84" i="30"/>
  <c r="F33" i="50"/>
  <c r="F172" i="29"/>
  <c r="F139" i="29"/>
  <c r="F159" i="29"/>
  <c r="F145" i="29"/>
  <c r="F154" i="29"/>
  <c r="F161" i="29"/>
  <c r="F179" i="29"/>
  <c r="F160" i="29"/>
  <c r="F177" i="29"/>
  <c r="F171" i="29"/>
  <c r="F157" i="29"/>
  <c r="F141" i="29"/>
  <c r="F147" i="29"/>
  <c r="F174" i="29"/>
  <c r="F149" i="29"/>
  <c r="F153" i="29"/>
  <c r="F151" i="29"/>
  <c r="F162" i="29"/>
  <c r="F165" i="29"/>
  <c r="F143" i="29"/>
  <c r="F152" i="29"/>
  <c r="F180" i="29"/>
  <c r="F144" i="29"/>
  <c r="F158" i="29"/>
  <c r="F173" i="29"/>
  <c r="F170" i="29"/>
  <c r="F140" i="29"/>
  <c r="F178" i="29"/>
  <c r="F167" i="29"/>
  <c r="F146" i="29"/>
  <c r="F183" i="29"/>
  <c r="F175" i="29"/>
  <c r="F155" i="29"/>
  <c r="F83" i="29"/>
  <c r="F85" i="29"/>
  <c r="F111" i="29"/>
  <c r="F93" i="29"/>
  <c r="F82" i="29"/>
  <c r="F79" i="29"/>
  <c r="F96" i="29"/>
  <c r="F105" i="29"/>
  <c r="F112" i="29"/>
  <c r="F77" i="29"/>
  <c r="F95" i="29"/>
  <c r="F118" i="29"/>
  <c r="F81" i="29"/>
  <c r="F78" i="29"/>
  <c r="F116" i="29"/>
  <c r="F90" i="29"/>
  <c r="F119" i="29"/>
  <c r="F84" i="29"/>
  <c r="F91" i="29"/>
  <c r="F88" i="29"/>
  <c r="F110" i="29"/>
  <c r="F106" i="29"/>
  <c r="F114" i="29"/>
  <c r="F89" i="29"/>
  <c r="F108" i="29"/>
  <c r="F86" i="29"/>
  <c r="F102" i="29"/>
  <c r="F94" i="29"/>
  <c r="F76" i="29"/>
  <c r="F87" i="29"/>
  <c r="F98" i="29"/>
  <c r="F103" i="29"/>
  <c r="F109" i="29"/>
  <c r="F113" i="29"/>
  <c r="F80" i="29"/>
  <c r="F107" i="29"/>
  <c r="F117" i="29"/>
  <c r="Y17" i="72"/>
  <c r="Z17" i="72" s="1"/>
  <c r="AA17" i="72" s="1"/>
  <c r="AC18" i="72"/>
  <c r="AH18" i="72" s="1"/>
  <c r="AI18" i="72" s="1"/>
  <c r="G66" i="77"/>
  <c r="G78" i="77" s="1"/>
  <c r="F75" i="29"/>
  <c r="C140" i="29"/>
  <c r="R64" i="71"/>
  <c r="R70" i="71" s="1"/>
  <c r="W64" i="71"/>
  <c r="W70" i="71" s="1"/>
  <c r="F59" i="72"/>
  <c r="P64" i="71"/>
  <c r="P70" i="71" s="1"/>
  <c r="R64" i="77"/>
  <c r="R70" i="77" s="1"/>
  <c r="G66" i="71"/>
  <c r="G78" i="71" s="1"/>
  <c r="H77" i="77"/>
  <c r="L61" i="72"/>
  <c r="M61" i="72"/>
  <c r="AC51" i="72"/>
  <c r="BB51" i="72"/>
  <c r="BH34" i="78"/>
  <c r="AD34" i="78"/>
  <c r="AC35" i="72"/>
  <c r="BB35" i="72"/>
  <c r="BH43" i="78"/>
  <c r="AD43" i="78"/>
  <c r="BH24" i="78"/>
  <c r="AD24" i="78"/>
  <c r="BH41" i="78"/>
  <c r="AD41" i="78"/>
  <c r="BH48" i="78"/>
  <c r="AD48" i="78"/>
  <c r="BH44" i="78"/>
  <c r="AD44" i="78"/>
  <c r="AC28" i="72"/>
  <c r="BB28" i="72"/>
  <c r="AC50" i="72"/>
  <c r="BB50" i="72"/>
  <c r="BH51" i="78"/>
  <c r="AD51" i="78"/>
  <c r="BB25" i="72"/>
  <c r="AC25" i="72"/>
  <c r="BH28" i="78"/>
  <c r="AD28" i="78"/>
  <c r="BB47" i="72"/>
  <c r="AC47" i="72"/>
  <c r="BH25" i="78"/>
  <c r="AD25" i="78"/>
  <c r="BH30" i="78"/>
  <c r="AD30" i="78"/>
  <c r="BH26" i="78"/>
  <c r="AD26" i="78"/>
  <c r="BH39" i="78"/>
  <c r="AD39" i="78"/>
  <c r="AC45" i="72"/>
  <c r="BB45" i="72"/>
  <c r="BH52" i="78"/>
  <c r="AD52" i="78"/>
  <c r="AC24" i="72"/>
  <c r="BB24" i="72"/>
  <c r="BH42" i="78"/>
  <c r="AD42" i="78"/>
  <c r="BH40" i="78"/>
  <c r="AD40" i="78"/>
  <c r="BH36" i="78"/>
  <c r="AD36" i="78"/>
  <c r="BB46" i="72"/>
  <c r="AC46" i="72"/>
  <c r="BB27" i="72"/>
  <c r="AC27" i="72"/>
  <c r="BH50" i="78"/>
  <c r="AD50" i="78"/>
  <c r="AC44" i="72"/>
  <c r="BB44" i="72"/>
  <c r="BB49" i="72"/>
  <c r="AC49" i="72"/>
  <c r="BH29" i="78"/>
  <c r="AD29" i="78"/>
  <c r="BH38" i="78"/>
  <c r="AD38" i="78"/>
  <c r="AC43" i="72"/>
  <c r="BB43" i="72"/>
  <c r="BH53" i="78"/>
  <c r="AD53" i="78"/>
  <c r="BH49" i="78"/>
  <c r="AD49" i="78"/>
  <c r="BB32" i="72"/>
  <c r="AC32" i="72"/>
  <c r="BH46" i="78"/>
  <c r="AD46" i="78"/>
  <c r="AC42" i="72"/>
  <c r="BB42" i="72"/>
  <c r="BH47" i="78"/>
  <c r="AD47" i="78"/>
  <c r="AC48" i="72"/>
  <c r="BB48" i="72"/>
  <c r="AC53" i="72"/>
  <c r="BB53" i="72"/>
  <c r="AC30" i="72"/>
  <c r="BB30" i="72"/>
  <c r="BH45" i="78"/>
  <c r="AD45" i="78"/>
  <c r="BB52" i="72"/>
  <c r="AC52" i="72"/>
  <c r="BH31" i="78"/>
  <c r="AD31" i="78"/>
  <c r="BH27" i="78"/>
  <c r="AD27" i="78"/>
  <c r="BB39" i="72"/>
  <c r="AC39" i="72"/>
  <c r="BB41" i="72"/>
  <c r="AC41" i="72"/>
  <c r="BB31" i="72"/>
  <c r="AC31" i="72"/>
  <c r="BH32" i="78"/>
  <c r="AD32" i="78"/>
  <c r="BB38" i="72"/>
  <c r="AC38" i="72"/>
  <c r="AC37" i="72"/>
  <c r="BB37" i="72"/>
  <c r="BH37" i="78"/>
  <c r="AD37" i="78"/>
  <c r="BB36" i="72"/>
  <c r="AC36" i="72"/>
  <c r="AC34" i="72"/>
  <c r="BB34" i="72"/>
  <c r="AC26" i="72"/>
  <c r="BB26" i="72"/>
  <c r="BB40" i="72"/>
  <c r="AC40" i="72"/>
  <c r="BH35" i="78"/>
  <c r="AD35" i="78"/>
  <c r="AC29" i="72"/>
  <c r="BB29" i="72"/>
  <c r="M114" i="76"/>
  <c r="F114" i="76" s="1"/>
  <c r="M115" i="76"/>
  <c r="F115" i="76" s="1"/>
  <c r="L61" i="78"/>
  <c r="M61" i="78"/>
  <c r="M170" i="81"/>
  <c r="F170" i="81" s="1"/>
  <c r="M169" i="81"/>
  <c r="F169" i="81" s="1"/>
  <c r="M61" i="46"/>
  <c r="F61" i="46" s="1"/>
  <c r="M59" i="50"/>
  <c r="F59" i="50" s="1"/>
  <c r="M60" i="46"/>
  <c r="M82" i="46" s="1"/>
  <c r="O13" i="69" s="1"/>
  <c r="M60" i="30"/>
  <c r="F60" i="30" s="1"/>
  <c r="M59" i="30"/>
  <c r="F59" i="30" s="1"/>
  <c r="L60" i="75"/>
  <c r="F59" i="70"/>
  <c r="F60" i="70"/>
  <c r="N59" i="75"/>
  <c r="F60" i="81"/>
  <c r="F59" i="81"/>
  <c r="F59" i="79"/>
  <c r="S64" i="77"/>
  <c r="S70" i="77" s="1"/>
  <c r="F62" i="77"/>
  <c r="J64" i="77"/>
  <c r="J70" i="77" s="1"/>
  <c r="F63" i="77"/>
  <c r="F13" i="77"/>
  <c r="O64" i="77"/>
  <c r="O70" i="77" s="1"/>
  <c r="K64" i="77"/>
  <c r="K70" i="77" s="1"/>
  <c r="F169" i="76"/>
  <c r="F170" i="76"/>
  <c r="M114" i="75"/>
  <c r="Q170" i="75"/>
  <c r="Q59" i="75"/>
  <c r="F182" i="30"/>
  <c r="F146" i="30"/>
  <c r="F180" i="30"/>
  <c r="F179" i="30"/>
  <c r="F159" i="30"/>
  <c r="F171" i="30"/>
  <c r="F140" i="30"/>
  <c r="F177" i="30"/>
  <c r="F161" i="30"/>
  <c r="F141" i="30"/>
  <c r="F157" i="30"/>
  <c r="F176" i="30"/>
  <c r="F169" i="30"/>
  <c r="F150" i="30"/>
  <c r="F142" i="30"/>
  <c r="F158" i="30"/>
  <c r="F168" i="30"/>
  <c r="F148" i="30"/>
  <c r="F147" i="30"/>
  <c r="F172" i="30"/>
  <c r="F153" i="30"/>
  <c r="F145" i="30"/>
  <c r="F167" i="30"/>
  <c r="F151" i="30"/>
  <c r="F166" i="30"/>
  <c r="F155" i="30"/>
  <c r="F144" i="30"/>
  <c r="F139" i="30"/>
  <c r="F181" i="30"/>
  <c r="F175" i="30"/>
  <c r="F174" i="30"/>
  <c r="F143" i="30"/>
  <c r="F152" i="30"/>
  <c r="F154" i="30"/>
  <c r="F173" i="30"/>
  <c r="F164" i="30"/>
  <c r="F156" i="30"/>
  <c r="F165" i="30"/>
  <c r="F178" i="30"/>
  <c r="F170" i="30"/>
  <c r="F160" i="30"/>
  <c r="F138" i="30"/>
  <c r="D17" i="49"/>
  <c r="W60" i="75"/>
  <c r="F59" i="61"/>
  <c r="C76" i="29"/>
  <c r="C77" i="29" s="1"/>
  <c r="C78" i="29" s="1"/>
  <c r="C79" i="29" s="1"/>
  <c r="C80" i="29" s="1"/>
  <c r="C81" i="29" s="1"/>
  <c r="V64" i="71"/>
  <c r="V70" i="71" s="1"/>
  <c r="K64" i="71"/>
  <c r="K70" i="71" s="1"/>
  <c r="F64" i="46"/>
  <c r="T64" i="77"/>
  <c r="T70" i="77" s="1"/>
  <c r="G71" i="46"/>
  <c r="G67" i="46"/>
  <c r="G87" i="46" s="1"/>
  <c r="G75" i="46"/>
  <c r="F63" i="46"/>
  <c r="N64" i="77"/>
  <c r="N70" i="77" s="1"/>
  <c r="H65" i="46"/>
  <c r="H67" i="46" s="1"/>
  <c r="H87" i="46" s="1"/>
  <c r="U64" i="77"/>
  <c r="U70" i="77" s="1"/>
  <c r="Q64" i="71"/>
  <c r="Q70" i="71" s="1"/>
  <c r="S64" i="71"/>
  <c r="S70" i="71" s="1"/>
  <c r="F60" i="29"/>
  <c r="F59" i="29"/>
  <c r="W114" i="75"/>
  <c r="U64" i="71"/>
  <c r="U70" i="71" s="1"/>
  <c r="P64" i="77"/>
  <c r="P70" i="77" s="1"/>
  <c r="W64" i="77"/>
  <c r="W70" i="77" s="1"/>
  <c r="V64" i="77"/>
  <c r="V70" i="77" s="1"/>
  <c r="F62" i="71"/>
  <c r="M64" i="77"/>
  <c r="M70" i="77" s="1"/>
  <c r="X64" i="77"/>
  <c r="X70" i="77" s="1"/>
  <c r="L64" i="77"/>
  <c r="L70" i="77" s="1"/>
  <c r="M64" i="71"/>
  <c r="M70" i="71" s="1"/>
  <c r="Q64" i="77"/>
  <c r="Q70" i="77" s="1"/>
  <c r="O64" i="71"/>
  <c r="O70" i="71" s="1"/>
  <c r="L64" i="71"/>
  <c r="L70" i="71" s="1"/>
  <c r="N64" i="71"/>
  <c r="N70" i="71" s="1"/>
  <c r="F63" i="71"/>
  <c r="T64" i="71"/>
  <c r="T70" i="71" s="1"/>
  <c r="M59" i="75"/>
  <c r="BB15" i="79"/>
  <c r="BC15" i="79" s="1"/>
  <c r="N60" i="75"/>
  <c r="M60" i="75"/>
  <c r="S59" i="71"/>
  <c r="S73" i="71" s="1"/>
  <c r="F59" i="73"/>
  <c r="L115" i="75"/>
  <c r="R115" i="75"/>
  <c r="F15" i="71"/>
  <c r="G74" i="71"/>
  <c r="I70" i="71"/>
  <c r="I66" i="71"/>
  <c r="I78" i="71" s="1"/>
  <c r="H70" i="71"/>
  <c r="H66" i="71"/>
  <c r="J64" i="71"/>
  <c r="J66" i="71" s="1"/>
  <c r="U114" i="75"/>
  <c r="L59" i="75"/>
  <c r="U115" i="75"/>
  <c r="U170" i="75"/>
  <c r="S60" i="75"/>
  <c r="U60" i="75"/>
  <c r="P114" i="75"/>
  <c r="R114" i="75"/>
  <c r="M114" i="70"/>
  <c r="W170" i="75"/>
  <c r="Q114" i="75"/>
  <c r="Q115" i="75"/>
  <c r="P170" i="75"/>
  <c r="W115" i="75"/>
  <c r="P169" i="75"/>
  <c r="V114" i="75"/>
  <c r="S115" i="75"/>
  <c r="N114" i="75"/>
  <c r="T60" i="75"/>
  <c r="V60" i="75"/>
  <c r="Q60" i="75"/>
  <c r="T169" i="75"/>
  <c r="K60" i="75"/>
  <c r="M169" i="75"/>
  <c r="V115" i="75"/>
  <c r="O170" i="75"/>
  <c r="U169" i="75"/>
  <c r="T59" i="75"/>
  <c r="S59" i="75"/>
  <c r="R59" i="71"/>
  <c r="R73" i="71" s="1"/>
  <c r="R169" i="75"/>
  <c r="S170" i="75"/>
  <c r="P60" i="75"/>
  <c r="T170" i="75"/>
  <c r="L114" i="75"/>
  <c r="S169" i="75"/>
  <c r="W59" i="75"/>
  <c r="W169" i="75"/>
  <c r="K114" i="75"/>
  <c r="P59" i="75"/>
  <c r="P115" i="75"/>
  <c r="M170" i="75"/>
  <c r="R60" i="75"/>
  <c r="K59" i="75"/>
  <c r="K115" i="75"/>
  <c r="L170" i="75"/>
  <c r="M115" i="75"/>
  <c r="V170" i="75"/>
  <c r="K170" i="75"/>
  <c r="Q60" i="71"/>
  <c r="O115" i="75"/>
  <c r="V59" i="75"/>
  <c r="K169" i="75"/>
  <c r="Q169" i="75"/>
  <c r="R59" i="75"/>
  <c r="R60" i="71"/>
  <c r="O114" i="75"/>
  <c r="Q59" i="71"/>
  <c r="Q73" i="71" s="1"/>
  <c r="P60" i="71"/>
  <c r="T115" i="75"/>
  <c r="N169" i="75"/>
  <c r="O60" i="75"/>
  <c r="P59" i="71"/>
  <c r="P73" i="71" s="1"/>
  <c r="R170" i="75"/>
  <c r="O59" i="75"/>
  <c r="F18" i="75"/>
  <c r="L169" i="75"/>
  <c r="N60" i="71"/>
  <c r="O169" i="75"/>
  <c r="T114" i="75"/>
  <c r="F73" i="75"/>
  <c r="N170" i="75"/>
  <c r="F72" i="75"/>
  <c r="N115" i="75"/>
  <c r="S114" i="75"/>
  <c r="V169" i="75"/>
  <c r="U59" i="75"/>
  <c r="F127" i="75"/>
  <c r="F17" i="75"/>
  <c r="F128" i="75"/>
  <c r="T59" i="71"/>
  <c r="T77" i="71" s="1"/>
  <c r="L115" i="70"/>
  <c r="L114" i="70"/>
  <c r="N59" i="71"/>
  <c r="N77" i="71" s="1"/>
  <c r="U59" i="71"/>
  <c r="U77" i="71" s="1"/>
  <c r="W59" i="71"/>
  <c r="V60" i="71"/>
  <c r="O60" i="71"/>
  <c r="W60" i="71"/>
  <c r="O59" i="71"/>
  <c r="O73" i="71" s="1"/>
  <c r="V59" i="71"/>
  <c r="V73" i="71" s="1"/>
  <c r="U60" i="71"/>
  <c r="S60" i="71"/>
  <c r="T60" i="71"/>
  <c r="K170" i="70"/>
  <c r="K114" i="70"/>
  <c r="K169" i="70"/>
  <c r="J77" i="71"/>
  <c r="J73" i="71"/>
  <c r="M170" i="70"/>
  <c r="K115" i="70"/>
  <c r="F127" i="70"/>
  <c r="L169" i="70"/>
  <c r="F128" i="70"/>
  <c r="L170" i="70"/>
  <c r="M169" i="70"/>
  <c r="F73" i="70"/>
  <c r="F72" i="70"/>
  <c r="M115" i="70"/>
  <c r="J61" i="73"/>
  <c r="F13" i="71"/>
  <c r="F16" i="71"/>
  <c r="F17" i="71"/>
  <c r="F14" i="71"/>
  <c r="F19" i="71"/>
  <c r="F20" i="71"/>
  <c r="F18" i="71"/>
  <c r="H70" i="77"/>
  <c r="H66" i="77"/>
  <c r="H78" i="77" s="1"/>
  <c r="K61" i="79"/>
  <c r="AD13" i="78"/>
  <c r="AI13" i="78" s="1"/>
  <c r="AJ13" i="78" s="1"/>
  <c r="I60" i="61"/>
  <c r="J86" i="46"/>
  <c r="I60" i="50"/>
  <c r="AD21" i="78"/>
  <c r="AI21" i="78" s="1"/>
  <c r="AJ21" i="78" s="1"/>
  <c r="AD18" i="78"/>
  <c r="AI18" i="78" s="1"/>
  <c r="AJ18" i="78" s="1"/>
  <c r="AD16" i="79"/>
  <c r="AI16" i="79" s="1"/>
  <c r="AJ16" i="79" s="1"/>
  <c r="BC14" i="79"/>
  <c r="Z14" i="79" s="1"/>
  <c r="AA14" i="79" s="1"/>
  <c r="AB14" i="79" s="1"/>
  <c r="BB16" i="73"/>
  <c r="X16" i="73" s="1"/>
  <c r="BC22" i="79"/>
  <c r="Y22" i="79" s="1"/>
  <c r="BB15" i="73"/>
  <c r="X15" i="73" s="1"/>
  <c r="BC21" i="79"/>
  <c r="Y21" i="79" s="1"/>
  <c r="BC20" i="79"/>
  <c r="Z20" i="79" s="1"/>
  <c r="AA20" i="79" s="1"/>
  <c r="AB20" i="79" s="1"/>
  <c r="M61" i="79"/>
  <c r="AD23" i="79"/>
  <c r="AI23" i="79" s="1"/>
  <c r="AJ23" i="79" s="1"/>
  <c r="BB18" i="73"/>
  <c r="X18" i="73" s="1"/>
  <c r="BB19" i="73"/>
  <c r="X19" i="73" s="1"/>
  <c r="AC20" i="73"/>
  <c r="AH20" i="73" s="1"/>
  <c r="AI20" i="73" s="1"/>
  <c r="AC14" i="73"/>
  <c r="AH14" i="73" s="1"/>
  <c r="AI14" i="73" s="1"/>
  <c r="AD18" i="79"/>
  <c r="AI18" i="79" s="1"/>
  <c r="AJ18" i="79" s="1"/>
  <c r="L61" i="73"/>
  <c r="K61" i="73"/>
  <c r="L61" i="79"/>
  <c r="X17" i="73"/>
  <c r="Y17" i="73"/>
  <c r="Z17" i="73" s="1"/>
  <c r="AA17" i="73" s="1"/>
  <c r="J73" i="77"/>
  <c r="I77" i="77"/>
  <c r="I64" i="77"/>
  <c r="I65" i="46"/>
  <c r="I86" i="46"/>
  <c r="J77" i="77"/>
  <c r="K115" i="81"/>
  <c r="F115" i="81" s="1"/>
  <c r="K114" i="81"/>
  <c r="F114" i="81" s="1"/>
  <c r="K185" i="30"/>
  <c r="K184" i="30"/>
  <c r="J185" i="30"/>
  <c r="J184" i="30"/>
  <c r="K122" i="30"/>
  <c r="J121" i="30"/>
  <c r="K121" i="30"/>
  <c r="J122" i="30"/>
  <c r="L185" i="29"/>
  <c r="J60" i="50"/>
  <c r="J60" i="61"/>
  <c r="J78" i="46"/>
  <c r="R12" i="69" s="1"/>
  <c r="J82" i="46"/>
  <c r="R13" i="69" s="1"/>
  <c r="J185" i="29"/>
  <c r="J186" i="29"/>
  <c r="J122" i="29"/>
  <c r="J121" i="29"/>
  <c r="K59" i="71"/>
  <c r="K60" i="71"/>
  <c r="AD20" i="78"/>
  <c r="AI20" i="78" s="1"/>
  <c r="AJ20" i="78" s="1"/>
  <c r="AD22" i="78"/>
  <c r="AI22" i="78" s="1"/>
  <c r="AJ22" i="78" s="1"/>
  <c r="AD16" i="78"/>
  <c r="AI16" i="78" s="1"/>
  <c r="AJ16" i="78" s="1"/>
  <c r="BC13" i="79"/>
  <c r="Y13" i="79" s="1"/>
  <c r="Y19" i="72"/>
  <c r="Z19" i="72" s="1"/>
  <c r="AA19" i="72" s="1"/>
  <c r="X19" i="72"/>
  <c r="Y16" i="72"/>
  <c r="Z16" i="72" s="1"/>
  <c r="AA16" i="72" s="1"/>
  <c r="X16" i="72"/>
  <c r="AD15" i="78"/>
  <c r="AI15" i="78" s="1"/>
  <c r="AJ15" i="78" s="1"/>
  <c r="Y20" i="72"/>
  <c r="Z20" i="72" s="1"/>
  <c r="AA20" i="72" s="1"/>
  <c r="X20" i="72"/>
  <c r="AD14" i="78"/>
  <c r="AI14" i="78" s="1"/>
  <c r="AJ14" i="78" s="1"/>
  <c r="Y13" i="72"/>
  <c r="X13" i="72"/>
  <c r="Y14" i="72"/>
  <c r="Z14" i="72" s="1"/>
  <c r="AA14" i="72" s="1"/>
  <c r="X14" i="72"/>
  <c r="Y15" i="72"/>
  <c r="Z15" i="72" s="1"/>
  <c r="AA15" i="72" s="1"/>
  <c r="X15" i="72"/>
  <c r="AC13" i="73"/>
  <c r="AH13" i="73" s="1"/>
  <c r="AI13" i="73" s="1"/>
  <c r="BB13" i="73"/>
  <c r="K60" i="61"/>
  <c r="L82" i="46"/>
  <c r="P13" i="69" s="1"/>
  <c r="C14" i="72"/>
  <c r="C15" i="72" s="1"/>
  <c r="C16" i="72" s="1"/>
  <c r="D15" i="74"/>
  <c r="D16" i="74" s="1"/>
  <c r="D17" i="74" s="1"/>
  <c r="D18" i="74" s="1"/>
  <c r="D129" i="75"/>
  <c r="D74" i="75"/>
  <c r="D127" i="75"/>
  <c r="D72" i="75"/>
  <c r="D75" i="75"/>
  <c r="D130" i="75"/>
  <c r="D123" i="70"/>
  <c r="C13" i="70"/>
  <c r="D68" i="70"/>
  <c r="C14" i="73"/>
  <c r="D127" i="70"/>
  <c r="D72" i="70"/>
  <c r="D75" i="70"/>
  <c r="D130" i="70"/>
  <c r="D126" i="75"/>
  <c r="D71" i="75"/>
  <c r="D124" i="75"/>
  <c r="D69" i="75"/>
  <c r="D71" i="70"/>
  <c r="D126" i="70"/>
  <c r="D125" i="75"/>
  <c r="D70" i="75"/>
  <c r="D74" i="70"/>
  <c r="D129" i="70"/>
  <c r="D128" i="75"/>
  <c r="D73" i="75"/>
  <c r="D123" i="75"/>
  <c r="D68" i="75"/>
  <c r="C13" i="75"/>
  <c r="C14" i="75" s="1"/>
  <c r="D125" i="70"/>
  <c r="D70" i="70"/>
  <c r="C14" i="71"/>
  <c r="D124" i="70"/>
  <c r="D69" i="70"/>
  <c r="D128" i="70"/>
  <c r="D73" i="70"/>
  <c r="J75" i="46"/>
  <c r="J71" i="46"/>
  <c r="J67" i="46"/>
  <c r="K73" i="77"/>
  <c r="K66" i="77"/>
  <c r="K77" i="77"/>
  <c r="S121" i="30"/>
  <c r="X122" i="30"/>
  <c r="P185" i="30"/>
  <c r="S122" i="30"/>
  <c r="T121" i="30"/>
  <c r="T122" i="30"/>
  <c r="P184" i="30"/>
  <c r="W184" i="30"/>
  <c r="L185" i="30"/>
  <c r="M185" i="30"/>
  <c r="U121" i="30"/>
  <c r="M121" i="30"/>
  <c r="Q184" i="30"/>
  <c r="V185" i="30"/>
  <c r="L184" i="30"/>
  <c r="U122" i="30"/>
  <c r="M122" i="30"/>
  <c r="Q185" i="30"/>
  <c r="X185" i="30"/>
  <c r="T185" i="30"/>
  <c r="U184" i="30"/>
  <c r="O121" i="30"/>
  <c r="X184" i="30"/>
  <c r="R121" i="30"/>
  <c r="S185" i="30"/>
  <c r="Q121" i="30"/>
  <c r="M184" i="30"/>
  <c r="O185" i="30"/>
  <c r="V185" i="29"/>
  <c r="O185" i="29"/>
  <c r="R122" i="29"/>
  <c r="S184" i="30"/>
  <c r="N185" i="30"/>
  <c r="R122" i="30"/>
  <c r="N121" i="30"/>
  <c r="O122" i="30"/>
  <c r="T184" i="30"/>
  <c r="U185" i="30"/>
  <c r="P122" i="30"/>
  <c r="N184" i="30"/>
  <c r="O184" i="30"/>
  <c r="Q122" i="30"/>
  <c r="W185" i="30"/>
  <c r="W122" i="30"/>
  <c r="L122" i="30"/>
  <c r="R184" i="30"/>
  <c r="V121" i="30"/>
  <c r="X121" i="30"/>
  <c r="P121" i="30"/>
  <c r="V184" i="30"/>
  <c r="R185" i="30"/>
  <c r="W121" i="30"/>
  <c r="V122" i="30"/>
  <c r="L121" i="30"/>
  <c r="N122" i="30"/>
  <c r="M185" i="29"/>
  <c r="Q186" i="29"/>
  <c r="V186" i="29"/>
  <c r="Y122" i="29"/>
  <c r="M122" i="29"/>
  <c r="Y121" i="29"/>
  <c r="Q185" i="29"/>
  <c r="P121" i="29"/>
  <c r="T186" i="29"/>
  <c r="AB122" i="29"/>
  <c r="T185" i="29"/>
  <c r="U122" i="29"/>
  <c r="AB121" i="29"/>
  <c r="S185" i="29"/>
  <c r="O122" i="29"/>
  <c r="Y185" i="29"/>
  <c r="N185" i="29"/>
  <c r="V121" i="29"/>
  <c r="X186" i="29"/>
  <c r="R121" i="29"/>
  <c r="O121" i="29"/>
  <c r="N122" i="29"/>
  <c r="V122" i="29"/>
  <c r="Y186" i="29"/>
  <c r="N186" i="29"/>
  <c r="Q121" i="29"/>
  <c r="N121" i="29"/>
  <c r="U121" i="29"/>
  <c r="X185" i="29"/>
  <c r="R186" i="29"/>
  <c r="X122" i="29"/>
  <c r="T121" i="29"/>
  <c r="S121" i="29"/>
  <c r="Q122" i="29"/>
  <c r="U185" i="29"/>
  <c r="W121" i="29"/>
  <c r="R185" i="29"/>
  <c r="W122" i="29"/>
  <c r="S186" i="29"/>
  <c r="S122" i="29"/>
  <c r="T122" i="29"/>
  <c r="U186" i="29"/>
  <c r="P185" i="29"/>
  <c r="AA122" i="29"/>
  <c r="W185" i="29"/>
  <c r="O186" i="29"/>
  <c r="M121" i="29"/>
  <c r="Z122" i="29"/>
  <c r="L122" i="29"/>
  <c r="L121" i="29"/>
  <c r="Z121" i="29"/>
  <c r="M186" i="29"/>
  <c r="P122" i="29"/>
  <c r="W186" i="29"/>
  <c r="AA121" i="29"/>
  <c r="P186" i="29"/>
  <c r="X121" i="29"/>
  <c r="L186" i="29"/>
  <c r="L60" i="77"/>
  <c r="L59" i="77"/>
  <c r="C20" i="77"/>
  <c r="C21" i="77" s="1"/>
  <c r="C20" i="78"/>
  <c r="C21" i="78" s="1"/>
  <c r="C22" i="78" s="1"/>
  <c r="C59" i="78" s="1"/>
  <c r="C61" i="78" s="1"/>
  <c r="M60" i="77"/>
  <c r="M59" i="77"/>
  <c r="S77" i="77"/>
  <c r="S73" i="77"/>
  <c r="O77" i="77"/>
  <c r="O73" i="77"/>
  <c r="Q73" i="77"/>
  <c r="Q77" i="77"/>
  <c r="V77" i="77"/>
  <c r="V73" i="77"/>
  <c r="L59" i="71"/>
  <c r="L60" i="71"/>
  <c r="C18" i="76"/>
  <c r="M60" i="71"/>
  <c r="M59" i="71"/>
  <c r="X77" i="77"/>
  <c r="X73" i="77"/>
  <c r="U66" i="77"/>
  <c r="U73" i="77"/>
  <c r="U77" i="77"/>
  <c r="C20" i="81"/>
  <c r="T77" i="77"/>
  <c r="T66" i="77"/>
  <c r="T73" i="77"/>
  <c r="P77" i="77"/>
  <c r="P73" i="77"/>
  <c r="N60" i="77"/>
  <c r="N59" i="77"/>
  <c r="W77" i="77"/>
  <c r="W73" i="77"/>
  <c r="R66" i="77"/>
  <c r="R73" i="77"/>
  <c r="R77" i="77"/>
  <c r="Q78" i="46"/>
  <c r="K12" i="69" s="1"/>
  <c r="Q82" i="46"/>
  <c r="K13" i="69" s="1"/>
  <c r="T86" i="46"/>
  <c r="T82" i="46"/>
  <c r="H13" i="69" s="1"/>
  <c r="V78" i="46"/>
  <c r="F12" i="69" s="1"/>
  <c r="V82" i="46"/>
  <c r="F13" i="69" s="1"/>
  <c r="X65" i="46"/>
  <c r="X67" i="46" s="1"/>
  <c r="Q65" i="46"/>
  <c r="L65" i="46"/>
  <c r="A17" i="56"/>
  <c r="U65" i="46"/>
  <c r="P65" i="46"/>
  <c r="P67" i="46" s="1"/>
  <c r="C139" i="30"/>
  <c r="C140" i="30" s="1"/>
  <c r="C76" i="30"/>
  <c r="C77" i="30" s="1"/>
  <c r="C78" i="30" s="1"/>
  <c r="C141" i="29"/>
  <c r="C142" i="29" s="1"/>
  <c r="R86" i="46"/>
  <c r="O65" i="46"/>
  <c r="V65" i="46"/>
  <c r="W65" i="46"/>
  <c r="R65" i="46"/>
  <c r="M65" i="46"/>
  <c r="S65" i="46"/>
  <c r="S86" i="46"/>
  <c r="T65" i="46"/>
  <c r="N65" i="46"/>
  <c r="K65" i="46"/>
  <c r="K75" i="46" s="1"/>
  <c r="C19" i="29"/>
  <c r="C20" i="29" s="1"/>
  <c r="C16" i="61"/>
  <c r="C82" i="29"/>
  <c r="C83" i="29" s="1"/>
  <c r="K86" i="46"/>
  <c r="K78" i="46"/>
  <c r="Q12" i="69" s="1"/>
  <c r="K122" i="29"/>
  <c r="K121" i="29"/>
  <c r="C17" i="50"/>
  <c r="C18" i="50" s="1"/>
  <c r="K185" i="29"/>
  <c r="K186" i="29"/>
  <c r="C17" i="30"/>
  <c r="C18" i="46"/>
  <c r="C19" i="46" s="1"/>
  <c r="D18" i="49"/>
  <c r="D19" i="49" s="1"/>
  <c r="M60" i="61"/>
  <c r="O60" i="61"/>
  <c r="L60" i="61"/>
  <c r="P60" i="61"/>
  <c r="N60" i="61"/>
  <c r="Q60" i="61"/>
  <c r="K60" i="50"/>
  <c r="T60" i="61"/>
  <c r="N60" i="50"/>
  <c r="S60" i="61"/>
  <c r="W60" i="50"/>
  <c r="V60" i="61"/>
  <c r="V60" i="50"/>
  <c r="P60" i="50"/>
  <c r="S60" i="50"/>
  <c r="U78" i="46"/>
  <c r="G12" i="69" s="1"/>
  <c r="R60" i="50"/>
  <c r="U86" i="46"/>
  <c r="W60" i="61"/>
  <c r="U60" i="61"/>
  <c r="T78" i="46"/>
  <c r="H12" i="69" s="1"/>
  <c r="V86" i="46"/>
  <c r="R60" i="61"/>
  <c r="S78" i="46"/>
  <c r="I12" i="69" s="1"/>
  <c r="O60" i="50"/>
  <c r="Q60" i="50"/>
  <c r="R78" i="46"/>
  <c r="J12" i="69" s="1"/>
  <c r="U60" i="50"/>
  <c r="Q86" i="46"/>
  <c r="Z59" i="50"/>
  <c r="T60" i="50"/>
  <c r="W78" i="46"/>
  <c r="E12" i="69" s="1"/>
  <c r="W86" i="46"/>
  <c r="L78" i="46"/>
  <c r="P12" i="69" s="1"/>
  <c r="L86" i="46"/>
  <c r="P86" i="46"/>
  <c r="P78" i="46"/>
  <c r="L12" i="69" s="1"/>
  <c r="O78" i="46"/>
  <c r="M12" i="69" s="1"/>
  <c r="O86" i="46"/>
  <c r="N86" i="46"/>
  <c r="N78" i="46"/>
  <c r="N12" i="69" s="1"/>
  <c r="X78" i="46"/>
  <c r="X86" i="46"/>
  <c r="Y17" i="78" l="1"/>
  <c r="S66" i="77"/>
  <c r="X66" i="77"/>
  <c r="W66" i="71"/>
  <c r="W74" i="71" s="1"/>
  <c r="H71" i="46"/>
  <c r="H79" i="46" s="1"/>
  <c r="X18" i="72"/>
  <c r="Y18" i="72"/>
  <c r="Z18" i="72" s="1"/>
  <c r="AA18" i="72" s="1"/>
  <c r="G74" i="77"/>
  <c r="J66" i="77"/>
  <c r="J74" i="77" s="1"/>
  <c r="V66" i="77"/>
  <c r="V78" i="77" s="1"/>
  <c r="H75" i="46"/>
  <c r="H83" i="46" s="1"/>
  <c r="F61" i="72"/>
  <c r="Y40" i="72"/>
  <c r="Z40" i="72" s="1"/>
  <c r="AA40" i="72" s="1"/>
  <c r="AH40" i="72"/>
  <c r="AI37" i="78"/>
  <c r="Z37" i="78"/>
  <c r="AA37" i="78" s="1"/>
  <c r="AB37" i="78" s="1"/>
  <c r="Y31" i="72"/>
  <c r="Z31" i="72" s="1"/>
  <c r="AA31" i="72" s="1"/>
  <c r="AH31" i="72"/>
  <c r="AI31" i="78"/>
  <c r="Z31" i="78"/>
  <c r="AA31" i="78" s="1"/>
  <c r="AB31" i="78" s="1"/>
  <c r="AI46" i="78"/>
  <c r="Z46" i="78"/>
  <c r="AA46" i="78" s="1"/>
  <c r="AB46" i="78" s="1"/>
  <c r="AI36" i="78"/>
  <c r="Z36" i="78"/>
  <c r="AA36" i="78" s="1"/>
  <c r="AB36" i="78" s="1"/>
  <c r="AI52" i="78"/>
  <c r="Z52" i="78"/>
  <c r="AA52" i="78" s="1"/>
  <c r="AB52" i="78" s="1"/>
  <c r="AI30" i="78"/>
  <c r="Z30" i="78"/>
  <c r="AA30" i="78" s="1"/>
  <c r="AB30" i="78" s="1"/>
  <c r="AH25" i="72"/>
  <c r="Y25" i="72"/>
  <c r="Z25" i="72" s="1"/>
  <c r="AA25" i="72" s="1"/>
  <c r="AI44" i="78"/>
  <c r="Z44" i="78"/>
  <c r="AA44" i="78" s="1"/>
  <c r="AB44" i="78" s="1"/>
  <c r="AI43" i="78"/>
  <c r="Z43" i="78"/>
  <c r="AA43" i="78" s="1"/>
  <c r="AB43" i="78" s="1"/>
  <c r="AH53" i="72"/>
  <c r="Y53" i="72"/>
  <c r="Z53" i="72" s="1"/>
  <c r="AA53" i="72" s="1"/>
  <c r="AH43" i="72"/>
  <c r="Y43" i="72"/>
  <c r="Z43" i="72" s="1"/>
  <c r="AA43" i="72" s="1"/>
  <c r="AH44" i="72"/>
  <c r="Y44" i="72"/>
  <c r="Z44" i="72" s="1"/>
  <c r="AA44" i="72" s="1"/>
  <c r="AH41" i="72"/>
  <c r="Y41" i="72"/>
  <c r="Z41" i="72" s="1"/>
  <c r="AA41" i="72" s="1"/>
  <c r="AH52" i="72"/>
  <c r="Y52" i="72"/>
  <c r="Z52" i="72" s="1"/>
  <c r="AA52" i="72" s="1"/>
  <c r="Y32" i="72"/>
  <c r="Z32" i="72" s="1"/>
  <c r="AA32" i="72" s="1"/>
  <c r="AH32" i="72"/>
  <c r="AI38" i="78"/>
  <c r="Z38" i="78"/>
  <c r="AA38" i="78" s="1"/>
  <c r="AB38" i="78" s="1"/>
  <c r="AI50" i="78"/>
  <c r="Z50" i="78"/>
  <c r="AA50" i="78" s="1"/>
  <c r="AB50" i="78" s="1"/>
  <c r="AI40" i="78"/>
  <c r="Z40" i="78"/>
  <c r="AA40" i="78" s="1"/>
  <c r="AB40" i="78" s="1"/>
  <c r="AI25" i="78"/>
  <c r="Z25" i="78"/>
  <c r="AA25" i="78" s="1"/>
  <c r="AB25" i="78" s="1"/>
  <c r="AI51" i="78"/>
  <c r="Z51" i="78"/>
  <c r="AA51" i="78" s="1"/>
  <c r="AB51" i="78" s="1"/>
  <c r="AI48" i="78"/>
  <c r="Z48" i="78"/>
  <c r="AA48" i="78" s="1"/>
  <c r="AB48" i="78" s="1"/>
  <c r="AH26" i="72"/>
  <c r="Y26" i="72"/>
  <c r="Z26" i="72" s="1"/>
  <c r="AA26" i="72" s="1"/>
  <c r="AH37" i="72"/>
  <c r="Y37" i="72"/>
  <c r="Z37" i="72" s="1"/>
  <c r="AA37" i="72" s="1"/>
  <c r="AH48" i="72"/>
  <c r="Y48" i="72"/>
  <c r="Z48" i="72" s="1"/>
  <c r="AA48" i="72" s="1"/>
  <c r="AH45" i="72"/>
  <c r="Y45" i="72"/>
  <c r="Z45" i="72" s="1"/>
  <c r="AA45" i="72" s="1"/>
  <c r="AH35" i="72"/>
  <c r="Y35" i="72"/>
  <c r="Z35" i="72" s="1"/>
  <c r="AA35" i="72" s="1"/>
  <c r="AH38" i="72"/>
  <c r="Y38" i="72"/>
  <c r="Z38" i="72" s="1"/>
  <c r="AA38" i="72" s="1"/>
  <c r="AH39" i="72"/>
  <c r="Y39" i="72"/>
  <c r="Z39" i="72" s="1"/>
  <c r="AA39" i="72" s="1"/>
  <c r="AI45" i="78"/>
  <c r="Z45" i="78"/>
  <c r="AA45" i="78" s="1"/>
  <c r="AB45" i="78" s="1"/>
  <c r="AI47" i="78"/>
  <c r="Z47" i="78"/>
  <c r="AA47" i="78" s="1"/>
  <c r="AB47" i="78" s="1"/>
  <c r="AI49" i="78"/>
  <c r="Z49" i="78"/>
  <c r="AA49" i="78" s="1"/>
  <c r="AB49" i="78" s="1"/>
  <c r="AI29" i="78"/>
  <c r="Z29" i="78"/>
  <c r="AA29" i="78" s="1"/>
  <c r="AB29" i="78" s="1"/>
  <c r="AH27" i="72"/>
  <c r="Y27" i="72"/>
  <c r="Z27" i="72" s="1"/>
  <c r="AA27" i="72" s="1"/>
  <c r="AI42" i="78"/>
  <c r="Z42" i="78"/>
  <c r="AA42" i="78" s="1"/>
  <c r="AB42" i="78" s="1"/>
  <c r="AI39" i="78"/>
  <c r="Z39" i="78"/>
  <c r="AA39" i="78" s="1"/>
  <c r="AB39" i="78" s="1"/>
  <c r="AH47" i="72"/>
  <c r="Y47" i="72"/>
  <c r="Z47" i="72" s="1"/>
  <c r="AA47" i="72" s="1"/>
  <c r="AI41" i="78"/>
  <c r="Z41" i="78"/>
  <c r="AA41" i="78" s="1"/>
  <c r="AB41" i="78" s="1"/>
  <c r="AI34" i="78"/>
  <c r="Z34" i="78"/>
  <c r="AA34" i="78" s="1"/>
  <c r="AB34" i="78" s="1"/>
  <c r="AH29" i="72"/>
  <c r="Y29" i="72"/>
  <c r="Z29" i="72" s="1"/>
  <c r="AA29" i="72" s="1"/>
  <c r="AH34" i="72"/>
  <c r="Y34" i="72"/>
  <c r="Z34" i="72" s="1"/>
  <c r="AA34" i="72" s="1"/>
  <c r="AH50" i="72"/>
  <c r="Y50" i="72"/>
  <c r="Z50" i="72" s="1"/>
  <c r="AA50" i="72" s="1"/>
  <c r="AI35" i="78"/>
  <c r="Z35" i="78"/>
  <c r="AA35" i="78" s="1"/>
  <c r="AB35" i="78" s="1"/>
  <c r="AH36" i="72"/>
  <c r="Y36" i="72"/>
  <c r="Z36" i="72" s="1"/>
  <c r="AA36" i="72" s="1"/>
  <c r="AI32" i="78"/>
  <c r="Z32" i="78"/>
  <c r="AA32" i="78" s="1"/>
  <c r="AB32" i="78" s="1"/>
  <c r="AI27" i="78"/>
  <c r="Z27" i="78"/>
  <c r="AA27" i="78" s="1"/>
  <c r="AB27" i="78" s="1"/>
  <c r="AI53" i="78"/>
  <c r="Z53" i="78"/>
  <c r="AA53" i="78" s="1"/>
  <c r="AB53" i="78" s="1"/>
  <c r="AH49" i="72"/>
  <c r="Y49" i="72"/>
  <c r="Z49" i="72" s="1"/>
  <c r="AA49" i="72" s="1"/>
  <c r="AH46" i="72"/>
  <c r="Y46" i="72"/>
  <c r="Z46" i="72" s="1"/>
  <c r="AA46" i="72" s="1"/>
  <c r="AI26" i="78"/>
  <c r="Z26" i="78"/>
  <c r="AA26" i="78" s="1"/>
  <c r="AB26" i="78" s="1"/>
  <c r="AI28" i="78"/>
  <c r="Z28" i="78"/>
  <c r="AA28" i="78" s="1"/>
  <c r="AB28" i="78" s="1"/>
  <c r="AI24" i="78"/>
  <c r="Z24" i="78"/>
  <c r="AA24" i="78" s="1"/>
  <c r="AB24" i="78" s="1"/>
  <c r="AH30" i="72"/>
  <c r="Y30" i="72"/>
  <c r="Z30" i="72" s="1"/>
  <c r="AA30" i="72" s="1"/>
  <c r="AH42" i="72"/>
  <c r="Y42" i="72"/>
  <c r="Z42" i="72" s="1"/>
  <c r="AA42" i="72" s="1"/>
  <c r="AH24" i="72"/>
  <c r="Y24" i="72"/>
  <c r="Z24" i="72" s="1"/>
  <c r="AA24" i="72" s="1"/>
  <c r="AH28" i="72"/>
  <c r="Y28" i="72"/>
  <c r="Z28" i="72" s="1"/>
  <c r="AA28" i="72" s="1"/>
  <c r="AH51" i="72"/>
  <c r="Y51" i="72"/>
  <c r="Z51" i="72" s="1"/>
  <c r="AA51" i="72" s="1"/>
  <c r="F61" i="78"/>
  <c r="M78" i="46"/>
  <c r="O12" i="69" s="1"/>
  <c r="M86" i="46"/>
  <c r="L60" i="50"/>
  <c r="M60" i="50"/>
  <c r="F60" i="46"/>
  <c r="F78" i="46" s="1"/>
  <c r="F61" i="79"/>
  <c r="P66" i="77"/>
  <c r="P78" i="77" s="1"/>
  <c r="O66" i="77"/>
  <c r="O74" i="77" s="1"/>
  <c r="F64" i="77"/>
  <c r="F60" i="77"/>
  <c r="F59" i="77"/>
  <c r="F77" i="77" s="1"/>
  <c r="F185" i="30"/>
  <c r="F184" i="30"/>
  <c r="F122" i="30"/>
  <c r="F121" i="30"/>
  <c r="F60" i="61"/>
  <c r="G79" i="46"/>
  <c r="F65" i="46"/>
  <c r="G83" i="46"/>
  <c r="Q66" i="77"/>
  <c r="Q78" i="77" s="1"/>
  <c r="W66" i="77"/>
  <c r="W78" i="77" s="1"/>
  <c r="F186" i="29"/>
  <c r="F185" i="29"/>
  <c r="F121" i="29"/>
  <c r="F122" i="29"/>
  <c r="F64" i="71"/>
  <c r="AD15" i="79"/>
  <c r="AI15" i="79" s="1"/>
  <c r="AJ15" i="79" s="1"/>
  <c r="S77" i="71"/>
  <c r="S66" i="71"/>
  <c r="S74" i="71" s="1"/>
  <c r="F170" i="75"/>
  <c r="F169" i="75"/>
  <c r="F114" i="75"/>
  <c r="F60" i="75"/>
  <c r="F59" i="75"/>
  <c r="F61" i="73"/>
  <c r="F60" i="71"/>
  <c r="F59" i="71"/>
  <c r="J70" i="71"/>
  <c r="F70" i="71" s="1"/>
  <c r="H74" i="71"/>
  <c r="H78" i="71"/>
  <c r="I74" i="71"/>
  <c r="P66" i="71"/>
  <c r="P74" i="71" s="1"/>
  <c r="O66" i="71"/>
  <c r="O74" i="71" s="1"/>
  <c r="N66" i="71"/>
  <c r="N74" i="71" s="1"/>
  <c r="R66" i="71"/>
  <c r="R78" i="71" s="1"/>
  <c r="R77" i="71"/>
  <c r="U66" i="71"/>
  <c r="U78" i="71" s="1"/>
  <c r="F115" i="75"/>
  <c r="Q77" i="71"/>
  <c r="Q66" i="71"/>
  <c r="Q78" i="71" s="1"/>
  <c r="T73" i="71"/>
  <c r="P77" i="71"/>
  <c r="N73" i="71"/>
  <c r="T66" i="71"/>
  <c r="T74" i="71" s="1"/>
  <c r="F114" i="70"/>
  <c r="U73" i="71"/>
  <c r="W73" i="71"/>
  <c r="W77" i="71"/>
  <c r="O77" i="71"/>
  <c r="V66" i="71"/>
  <c r="V74" i="71" s="1"/>
  <c r="V77" i="71"/>
  <c r="F115" i="70"/>
  <c r="F170" i="70"/>
  <c r="J78" i="71"/>
  <c r="F169" i="70"/>
  <c r="L73" i="71"/>
  <c r="L77" i="71"/>
  <c r="K73" i="71"/>
  <c r="K77" i="71"/>
  <c r="M73" i="71"/>
  <c r="M77" i="71"/>
  <c r="H74" i="77"/>
  <c r="Z13" i="78"/>
  <c r="AA13" i="78" s="1"/>
  <c r="Z21" i="78"/>
  <c r="Z17" i="78"/>
  <c r="AA17" i="78" s="1"/>
  <c r="Y14" i="79"/>
  <c r="Y16" i="79"/>
  <c r="Z16" i="79"/>
  <c r="AA16" i="79" s="1"/>
  <c r="AB16" i="79" s="1"/>
  <c r="Y16" i="73"/>
  <c r="Z16" i="73" s="1"/>
  <c r="AA16" i="73" s="1"/>
  <c r="Z22" i="79"/>
  <c r="AA22" i="79" s="1"/>
  <c r="AB22" i="79" s="1"/>
  <c r="Y20" i="79"/>
  <c r="Z21" i="79"/>
  <c r="AA21" i="79" s="1"/>
  <c r="AB21" i="79" s="1"/>
  <c r="Y15" i="73"/>
  <c r="Z15" i="73" s="1"/>
  <c r="AA15" i="73" s="1"/>
  <c r="Y18" i="73"/>
  <c r="Z18" i="73" s="1"/>
  <c r="AA18" i="73" s="1"/>
  <c r="Y20" i="73"/>
  <c r="Z20" i="73" s="1"/>
  <c r="AA20" i="73" s="1"/>
  <c r="Y14" i="73"/>
  <c r="Z14" i="73" s="1"/>
  <c r="AA14" i="73" s="1"/>
  <c r="X20" i="73"/>
  <c r="Y19" i="73"/>
  <c r="Z19" i="73" s="1"/>
  <c r="AA19" i="73" s="1"/>
  <c r="Z23" i="79"/>
  <c r="AA23" i="79" s="1"/>
  <c r="AB23" i="79" s="1"/>
  <c r="Y23" i="79"/>
  <c r="Z18" i="79"/>
  <c r="AA18" i="79" s="1"/>
  <c r="AB18" i="79" s="1"/>
  <c r="Y18" i="79"/>
  <c r="X14" i="73"/>
  <c r="I75" i="46"/>
  <c r="I71" i="46"/>
  <c r="I67" i="46"/>
  <c r="I87" i="46" s="1"/>
  <c r="I66" i="77"/>
  <c r="I78" i="77" s="1"/>
  <c r="I70" i="77"/>
  <c r="F70" i="77" s="1"/>
  <c r="J87" i="46"/>
  <c r="J79" i="46"/>
  <c r="R14" i="69" s="1"/>
  <c r="K66" i="71"/>
  <c r="Z13" i="79"/>
  <c r="Z22" i="78"/>
  <c r="Y22" i="78"/>
  <c r="Y21" i="78"/>
  <c r="Z20" i="78"/>
  <c r="Y20" i="78"/>
  <c r="Z16" i="78"/>
  <c r="AA16" i="78" s="1"/>
  <c r="Y16" i="78"/>
  <c r="Z14" i="78"/>
  <c r="AA14" i="78" s="1"/>
  <c r="Y14" i="78"/>
  <c r="Y13" i="78"/>
  <c r="Z13" i="72"/>
  <c r="AA13" i="72" s="1"/>
  <c r="Z18" i="78"/>
  <c r="AA18" i="78" s="1"/>
  <c r="Y18" i="78"/>
  <c r="Z15" i="78"/>
  <c r="AA15" i="78" s="1"/>
  <c r="Y15" i="78"/>
  <c r="X13" i="73"/>
  <c r="Y13" i="73"/>
  <c r="C15" i="73"/>
  <c r="C16" i="73" s="1"/>
  <c r="C15" i="75"/>
  <c r="C16" i="75" s="1"/>
  <c r="C17" i="72"/>
  <c r="C18" i="72" s="1"/>
  <c r="C19" i="72" s="1"/>
  <c r="C20" i="72" s="1"/>
  <c r="C59" i="72" s="1"/>
  <c r="C61" i="72" s="1"/>
  <c r="D19" i="74"/>
  <c r="C15" i="71"/>
  <c r="C16" i="71" s="1"/>
  <c r="C14" i="70"/>
  <c r="J83" i="46"/>
  <c r="R15" i="69" s="1"/>
  <c r="K78" i="77"/>
  <c r="K74" i="77"/>
  <c r="L77" i="77"/>
  <c r="L66" i="77"/>
  <c r="L74" i="77" s="1"/>
  <c r="L73" i="77"/>
  <c r="C22" i="77"/>
  <c r="C59" i="77" s="1"/>
  <c r="N77" i="77"/>
  <c r="N66" i="77"/>
  <c r="N73" i="77"/>
  <c r="T78" i="77"/>
  <c r="T74" i="77"/>
  <c r="R78" i="77"/>
  <c r="R74" i="77"/>
  <c r="X78" i="77"/>
  <c r="X74" i="77"/>
  <c r="W78" i="71"/>
  <c r="C19" i="76"/>
  <c r="M73" i="77"/>
  <c r="M66" i="77"/>
  <c r="M77" i="77"/>
  <c r="U78" i="77"/>
  <c r="U74" i="77"/>
  <c r="M66" i="71"/>
  <c r="C21" i="81"/>
  <c r="C22" i="81" s="1"/>
  <c r="L66" i="71"/>
  <c r="S78" i="77"/>
  <c r="S74" i="77"/>
  <c r="D12" i="69"/>
  <c r="S71" i="46"/>
  <c r="S75" i="46"/>
  <c r="M71" i="46"/>
  <c r="M75" i="46"/>
  <c r="Q71" i="46"/>
  <c r="Q75" i="46"/>
  <c r="R71" i="46"/>
  <c r="R75" i="46"/>
  <c r="P71" i="46"/>
  <c r="P79" i="46" s="1"/>
  <c r="L14" i="69" s="1"/>
  <c r="P75" i="46"/>
  <c r="P83" i="46" s="1"/>
  <c r="L15" i="69" s="1"/>
  <c r="X71" i="46"/>
  <c r="X79" i="46" s="1"/>
  <c r="D14" i="69" s="1"/>
  <c r="X75" i="46"/>
  <c r="X83" i="46" s="1"/>
  <c r="D15" i="69" s="1"/>
  <c r="V71" i="46"/>
  <c r="V75" i="46"/>
  <c r="U71" i="46"/>
  <c r="U75" i="46"/>
  <c r="N71" i="46"/>
  <c r="N75" i="46"/>
  <c r="O71" i="46"/>
  <c r="O75" i="46"/>
  <c r="L71" i="46"/>
  <c r="L75" i="46"/>
  <c r="W71" i="46"/>
  <c r="W75" i="46"/>
  <c r="T71" i="46"/>
  <c r="T75" i="46"/>
  <c r="L67" i="46"/>
  <c r="Q67" i="46"/>
  <c r="T67" i="46"/>
  <c r="R67" i="46"/>
  <c r="U67" i="46"/>
  <c r="O67" i="46"/>
  <c r="A18" i="56"/>
  <c r="V67" i="46"/>
  <c r="S67" i="46"/>
  <c r="M67" i="46"/>
  <c r="K67" i="46"/>
  <c r="C141" i="30"/>
  <c r="C142" i="30" s="1"/>
  <c r="C143" i="29"/>
  <c r="C144" i="29" s="1"/>
  <c r="C79" i="30"/>
  <c r="N67" i="46"/>
  <c r="W67" i="46"/>
  <c r="K71" i="46"/>
  <c r="C21" i="29"/>
  <c r="C22" i="29" s="1"/>
  <c r="C18" i="30"/>
  <c r="C19" i="30" s="1"/>
  <c r="C17" i="61"/>
  <c r="C18" i="61" s="1"/>
  <c r="C20" i="46"/>
  <c r="C21" i="46" s="1"/>
  <c r="C22" i="46" s="1"/>
  <c r="C19" i="50"/>
  <c r="C84" i="29"/>
  <c r="D20" i="49"/>
  <c r="P87" i="46"/>
  <c r="X87" i="46"/>
  <c r="AA22" i="78" l="1"/>
  <c r="AB22" i="78" s="1"/>
  <c r="AA21" i="78"/>
  <c r="AB21" i="78" s="1"/>
  <c r="AA20" i="78"/>
  <c r="AB20" i="78" s="1"/>
  <c r="AB15" i="78"/>
  <c r="AB17" i="78"/>
  <c r="AB18" i="78"/>
  <c r="AB14" i="78"/>
  <c r="V74" i="77"/>
  <c r="J78" i="77"/>
  <c r="X24" i="72"/>
  <c r="AI24" i="72"/>
  <c r="AJ28" i="78"/>
  <c r="Y28" i="78"/>
  <c r="AJ53" i="78"/>
  <c r="Y53" i="78"/>
  <c r="AJ35" i="78"/>
  <c r="Y35" i="78"/>
  <c r="Y34" i="78"/>
  <c r="AJ34" i="78"/>
  <c r="Y42" i="78"/>
  <c r="AJ42" i="78"/>
  <c r="Y47" i="78"/>
  <c r="AJ47" i="78"/>
  <c r="X35" i="72"/>
  <c r="AI35" i="72"/>
  <c r="X26" i="72"/>
  <c r="AI26" i="72"/>
  <c r="AJ40" i="78"/>
  <c r="Y40" i="78"/>
  <c r="X52" i="72"/>
  <c r="AI52" i="72"/>
  <c r="X53" i="72"/>
  <c r="AI53" i="72"/>
  <c r="Y30" i="78"/>
  <c r="AJ30" i="78"/>
  <c r="Y31" i="78"/>
  <c r="AJ31" i="78"/>
  <c r="AI31" i="72"/>
  <c r="X31" i="72"/>
  <c r="Y59" i="72"/>
  <c r="X42" i="72"/>
  <c r="AI42" i="72"/>
  <c r="Y26" i="78"/>
  <c r="AJ26" i="78"/>
  <c r="AJ27" i="78"/>
  <c r="Y27" i="78"/>
  <c r="X50" i="72"/>
  <c r="AI50" i="72"/>
  <c r="Y41" i="78"/>
  <c r="AJ41" i="78"/>
  <c r="X27" i="72"/>
  <c r="AI27" i="72"/>
  <c r="Y45" i="78"/>
  <c r="AJ45" i="78"/>
  <c r="X45" i="72"/>
  <c r="AI45" i="72"/>
  <c r="Y48" i="78"/>
  <c r="AJ48" i="78"/>
  <c r="Y50" i="78"/>
  <c r="AJ50" i="78"/>
  <c r="X41" i="72"/>
  <c r="AI41" i="72"/>
  <c r="Y43" i="78"/>
  <c r="AJ43" i="78"/>
  <c r="Y52" i="78"/>
  <c r="AJ52" i="78"/>
  <c r="X51" i="72"/>
  <c r="AI51" i="72"/>
  <c r="X30" i="72"/>
  <c r="AI30" i="72"/>
  <c r="X46" i="72"/>
  <c r="AI46" i="72"/>
  <c r="Y32" i="78"/>
  <c r="AJ32" i="78"/>
  <c r="AI34" i="72"/>
  <c r="X34" i="72"/>
  <c r="AI47" i="72"/>
  <c r="X47" i="72"/>
  <c r="Y29" i="78"/>
  <c r="AJ29" i="78"/>
  <c r="X39" i="72"/>
  <c r="AI39" i="72"/>
  <c r="X48" i="72"/>
  <c r="AI48" i="72"/>
  <c r="Y51" i="78"/>
  <c r="AJ51" i="78"/>
  <c r="Y38" i="78"/>
  <c r="AJ38" i="78"/>
  <c r="X44" i="72"/>
  <c r="AI44" i="72"/>
  <c r="Y44" i="78"/>
  <c r="AJ44" i="78"/>
  <c r="Y36" i="78"/>
  <c r="AJ36" i="78"/>
  <c r="Y37" i="78"/>
  <c r="AJ37" i="78"/>
  <c r="X32" i="72"/>
  <c r="AI32" i="72"/>
  <c r="X40" i="72"/>
  <c r="AI40" i="72"/>
  <c r="X28" i="72"/>
  <c r="AI28" i="72"/>
  <c r="Y24" i="78"/>
  <c r="AJ24" i="78"/>
  <c r="X49" i="72"/>
  <c r="AI49" i="72"/>
  <c r="X36" i="72"/>
  <c r="AI36" i="72"/>
  <c r="X29" i="72"/>
  <c r="AI29" i="72"/>
  <c r="AJ39" i="78"/>
  <c r="Y39" i="78"/>
  <c r="Y49" i="78"/>
  <c r="AJ49" i="78"/>
  <c r="X38" i="72"/>
  <c r="AI38" i="72"/>
  <c r="X37" i="72"/>
  <c r="AI37" i="72"/>
  <c r="Y25" i="78"/>
  <c r="AJ25" i="78"/>
  <c r="X43" i="72"/>
  <c r="AI43" i="72"/>
  <c r="X25" i="72"/>
  <c r="AI25" i="72"/>
  <c r="Y46" i="78"/>
  <c r="AJ46" i="78"/>
  <c r="F82" i="46"/>
  <c r="F86" i="46"/>
  <c r="P74" i="77"/>
  <c r="F60" i="50"/>
  <c r="F67" i="46"/>
  <c r="F87" i="46" s="1"/>
  <c r="O78" i="77"/>
  <c r="C80" i="30"/>
  <c r="Q74" i="77"/>
  <c r="F75" i="46"/>
  <c r="W74" i="77"/>
  <c r="F71" i="46"/>
  <c r="Y15" i="79"/>
  <c r="Y59" i="79" s="1"/>
  <c r="Z15" i="79"/>
  <c r="AA15" i="79" s="1"/>
  <c r="AB15" i="79" s="1"/>
  <c r="S78" i="71"/>
  <c r="F66" i="71"/>
  <c r="F78" i="71" s="1"/>
  <c r="F73" i="71"/>
  <c r="J74" i="71"/>
  <c r="P78" i="71"/>
  <c r="N78" i="71"/>
  <c r="R74" i="71"/>
  <c r="O78" i="71"/>
  <c r="U74" i="71"/>
  <c r="Q74" i="71"/>
  <c r="T78" i="71"/>
  <c r="V78" i="71"/>
  <c r="K74" i="71"/>
  <c r="K78" i="71"/>
  <c r="M74" i="71"/>
  <c r="M78" i="71"/>
  <c r="L74" i="71"/>
  <c r="L78" i="71"/>
  <c r="AB16" i="78"/>
  <c r="AB13" i="78"/>
  <c r="X59" i="73"/>
  <c r="I74" i="77"/>
  <c r="I79" i="46"/>
  <c r="I83" i="46"/>
  <c r="AA13" i="79"/>
  <c r="AB13" i="79" s="1"/>
  <c r="Z59" i="78"/>
  <c r="Y59" i="73"/>
  <c r="Z13" i="73"/>
  <c r="AA13" i="73" s="1"/>
  <c r="C17" i="73"/>
  <c r="C18" i="73" s="1"/>
  <c r="C17" i="75"/>
  <c r="C18" i="75" s="1"/>
  <c r="C19" i="75" s="1"/>
  <c r="C20" i="75" s="1"/>
  <c r="C15" i="70"/>
  <c r="C16" i="70" s="1"/>
  <c r="C17" i="70" s="1"/>
  <c r="D20" i="74"/>
  <c r="D21" i="74" s="1"/>
  <c r="C17" i="71"/>
  <c r="C18" i="71" s="1"/>
  <c r="U83" i="46"/>
  <c r="G15" i="69" s="1"/>
  <c r="Q83" i="46"/>
  <c r="K15" i="69" s="1"/>
  <c r="L83" i="46"/>
  <c r="P15" i="69" s="1"/>
  <c r="L78" i="77"/>
  <c r="F77" i="71"/>
  <c r="C60" i="77"/>
  <c r="C62" i="77" s="1"/>
  <c r="C63" i="77" s="1"/>
  <c r="C23" i="81"/>
  <c r="C59" i="81" s="1"/>
  <c r="C60" i="81" s="1"/>
  <c r="C68" i="81" s="1"/>
  <c r="C69" i="81" s="1"/>
  <c r="C70" i="81" s="1"/>
  <c r="F66" i="77"/>
  <c r="F78" i="77" s="1"/>
  <c r="F73" i="77"/>
  <c r="N78" i="77"/>
  <c r="N74" i="77"/>
  <c r="C20" i="76"/>
  <c r="C21" i="76" s="1"/>
  <c r="C22" i="76" s="1"/>
  <c r="K87" i="46"/>
  <c r="K83" i="46"/>
  <c r="Q15" i="69" s="1"/>
  <c r="M78" i="77"/>
  <c r="M74" i="77"/>
  <c r="W79" i="46"/>
  <c r="E14" i="69" s="1"/>
  <c r="W83" i="46"/>
  <c r="E15" i="69" s="1"/>
  <c r="T87" i="46"/>
  <c r="T83" i="46"/>
  <c r="H15" i="69" s="1"/>
  <c r="S79" i="46"/>
  <c r="I14" i="69" s="1"/>
  <c r="S83" i="46"/>
  <c r="I15" i="69" s="1"/>
  <c r="V79" i="46"/>
  <c r="F14" i="69" s="1"/>
  <c r="V83" i="46"/>
  <c r="F15" i="69" s="1"/>
  <c r="N79" i="46"/>
  <c r="N14" i="69" s="1"/>
  <c r="N83" i="46"/>
  <c r="N15" i="69" s="1"/>
  <c r="O79" i="46"/>
  <c r="M14" i="69" s="1"/>
  <c r="O83" i="46"/>
  <c r="M15" i="69" s="1"/>
  <c r="R87" i="46"/>
  <c r="R83" i="46"/>
  <c r="J15" i="69" s="1"/>
  <c r="M79" i="46"/>
  <c r="O14" i="69" s="1"/>
  <c r="M83" i="46"/>
  <c r="O15" i="69" s="1"/>
  <c r="U79" i="46"/>
  <c r="G14" i="69" s="1"/>
  <c r="Q79" i="46"/>
  <c r="K14" i="69" s="1"/>
  <c r="L79" i="46"/>
  <c r="P14" i="69" s="1"/>
  <c r="T79" i="46"/>
  <c r="H14" i="69" s="1"/>
  <c r="L87" i="46"/>
  <c r="Q87" i="46"/>
  <c r="R79" i="46"/>
  <c r="J14" i="69" s="1"/>
  <c r="U87" i="46"/>
  <c r="O87" i="46"/>
  <c r="V87" i="46"/>
  <c r="S87" i="46"/>
  <c r="M87" i="46"/>
  <c r="A19" i="56"/>
  <c r="K79" i="46"/>
  <c r="Q14" i="69" s="1"/>
  <c r="C143" i="30"/>
  <c r="C144" i="30" s="1"/>
  <c r="W87" i="46"/>
  <c r="C145" i="29"/>
  <c r="C146" i="29" s="1"/>
  <c r="N87" i="46"/>
  <c r="C81" i="30"/>
  <c r="C82" i="30" s="1"/>
  <c r="C83" i="30" s="1"/>
  <c r="C23" i="29"/>
  <c r="C24" i="29" s="1"/>
  <c r="C23" i="46"/>
  <c r="C24" i="46" s="1"/>
  <c r="C20" i="50"/>
  <c r="C19" i="61"/>
  <c r="C20" i="61" s="1"/>
  <c r="C85" i="29"/>
  <c r="C86" i="29" s="1"/>
  <c r="C20" i="30"/>
  <c r="D21" i="49"/>
  <c r="Y59" i="78" l="1"/>
  <c r="X59" i="72"/>
  <c r="F79" i="46"/>
  <c r="F83" i="46"/>
  <c r="Z59" i="79"/>
  <c r="F74" i="71"/>
  <c r="C19" i="73"/>
  <c r="C20" i="73" s="1"/>
  <c r="C59" i="75"/>
  <c r="C60" i="75" s="1"/>
  <c r="C68" i="75" s="1"/>
  <c r="C69" i="75" s="1"/>
  <c r="C70" i="75" s="1"/>
  <c r="C18" i="70"/>
  <c r="C19" i="70" s="1"/>
  <c r="D60" i="74"/>
  <c r="D61" i="74" s="1"/>
  <c r="C19" i="71"/>
  <c r="C64" i="77"/>
  <c r="C66" i="77" s="1"/>
  <c r="C69" i="77" s="1"/>
  <c r="C70" i="77" s="1"/>
  <c r="C73" i="77" s="1"/>
  <c r="C74" i="77" s="1"/>
  <c r="C77" i="77" s="1"/>
  <c r="C78" i="77" s="1"/>
  <c r="C59" i="76"/>
  <c r="C60" i="76" s="1"/>
  <c r="C68" i="76" s="1"/>
  <c r="C71" i="81"/>
  <c r="C72" i="81" s="1"/>
  <c r="F74" i="77"/>
  <c r="A20" i="56"/>
  <c r="A21" i="56" s="1"/>
  <c r="A27" i="56" s="1"/>
  <c r="A28" i="56" s="1"/>
  <c r="A35" i="56" s="1"/>
  <c r="A22" i="56"/>
  <c r="A23" i="56" s="1"/>
  <c r="A24" i="56" s="1"/>
  <c r="A25" i="56" s="1"/>
  <c r="A26" i="56" s="1"/>
  <c r="C145" i="30"/>
  <c r="C146" i="30" s="1"/>
  <c r="C25" i="29"/>
  <c r="C26" i="29" s="1"/>
  <c r="C84" i="30"/>
  <c r="C85" i="30" s="1"/>
  <c r="C147" i="29"/>
  <c r="C21" i="61"/>
  <c r="C22" i="61" s="1"/>
  <c r="C21" i="50"/>
  <c r="C22" i="50" s="1"/>
  <c r="C25" i="46"/>
  <c r="C26" i="46" s="1"/>
  <c r="C87" i="29"/>
  <c r="C88" i="29" s="1"/>
  <c r="C21" i="30"/>
  <c r="D22" i="49"/>
  <c r="C59" i="73" l="1"/>
  <c r="C61" i="73" s="1"/>
  <c r="C71" i="75"/>
  <c r="C72" i="75" s="1"/>
  <c r="C20" i="70"/>
  <c r="C59" i="70" s="1"/>
  <c r="C60" i="70" s="1"/>
  <c r="C68" i="70" s="1"/>
  <c r="C69" i="70" s="1"/>
  <c r="C70" i="70" s="1"/>
  <c r="C20" i="71"/>
  <c r="C59" i="71" s="1"/>
  <c r="C73" i="81"/>
  <c r="C69" i="76"/>
  <c r="C70" i="76" s="1"/>
  <c r="C147" i="30"/>
  <c r="C148" i="30" s="1"/>
  <c r="C23" i="50"/>
  <c r="C24" i="50" s="1"/>
  <c r="C148" i="29"/>
  <c r="C149" i="29" s="1"/>
  <c r="C150" i="29" s="1"/>
  <c r="C27" i="46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60" i="46" s="1"/>
  <c r="C61" i="46" s="1"/>
  <c r="C63" i="46" s="1"/>
  <c r="C64" i="46" s="1"/>
  <c r="C65" i="46" s="1"/>
  <c r="C67" i="46" s="1"/>
  <c r="C70" i="46" s="1"/>
  <c r="C71" i="46" s="1"/>
  <c r="C27" i="29"/>
  <c r="C89" i="29"/>
  <c r="C90" i="29" s="1"/>
  <c r="C23" i="61"/>
  <c r="C22" i="30"/>
  <c r="C86" i="30"/>
  <c r="D23" i="49"/>
  <c r="D24" i="49" s="1"/>
  <c r="D25" i="49" s="1"/>
  <c r="C73" i="75" l="1"/>
  <c r="C74" i="75" s="1"/>
  <c r="C71" i="70"/>
  <c r="C72" i="70" s="1"/>
  <c r="C73" i="70" s="1"/>
  <c r="C74" i="70" s="1"/>
  <c r="C75" i="70" s="1"/>
  <c r="C60" i="71"/>
  <c r="C62" i="71" s="1"/>
  <c r="C74" i="81"/>
  <c r="C75" i="81" s="1"/>
  <c r="C76" i="81" s="1"/>
  <c r="C77" i="81" s="1"/>
  <c r="C71" i="76"/>
  <c r="C72" i="76" s="1"/>
  <c r="C74" i="46"/>
  <c r="C75" i="46" s="1"/>
  <c r="C25" i="50"/>
  <c r="C26" i="50" s="1"/>
  <c r="C27" i="50" s="1"/>
  <c r="C28" i="50" s="1"/>
  <c r="C29" i="50" s="1"/>
  <c r="C91" i="29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51" i="29"/>
  <c r="C23" i="30"/>
  <c r="C87" i="30"/>
  <c r="C88" i="30" s="1"/>
  <c r="C89" i="30" s="1"/>
  <c r="C90" i="30" s="1"/>
  <c r="C91" i="30" s="1"/>
  <c r="C92" i="30" s="1"/>
  <c r="C93" i="30" s="1"/>
  <c r="C94" i="30" s="1"/>
  <c r="C95" i="30" s="1"/>
  <c r="C96" i="30" s="1"/>
  <c r="C97" i="30" s="1"/>
  <c r="C98" i="30" s="1"/>
  <c r="C28" i="29"/>
  <c r="C149" i="30"/>
  <c r="C24" i="6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9" i="61" s="1"/>
  <c r="C60" i="61" s="1"/>
  <c r="D26" i="49"/>
  <c r="C99" i="30" l="1"/>
  <c r="C100" i="30" s="1"/>
  <c r="C75" i="75"/>
  <c r="C114" i="75" s="1"/>
  <c r="C115" i="75" s="1"/>
  <c r="C123" i="75" s="1"/>
  <c r="C114" i="70"/>
  <c r="C115" i="70" s="1"/>
  <c r="C123" i="70" s="1"/>
  <c r="C124" i="70" s="1"/>
  <c r="C125" i="70" s="1"/>
  <c r="C63" i="71"/>
  <c r="C64" i="71" s="1"/>
  <c r="C66" i="71" s="1"/>
  <c r="C69" i="71" s="1"/>
  <c r="C70" i="71" s="1"/>
  <c r="C73" i="71" s="1"/>
  <c r="C74" i="71" s="1"/>
  <c r="C77" i="71" s="1"/>
  <c r="C78" i="71" s="1"/>
  <c r="C78" i="81"/>
  <c r="C114" i="81" s="1"/>
  <c r="C115" i="81" s="1"/>
  <c r="C123" i="81" s="1"/>
  <c r="C73" i="76"/>
  <c r="C74" i="76" s="1"/>
  <c r="C78" i="46"/>
  <c r="C79" i="46" s="1"/>
  <c r="C82" i="46" s="1"/>
  <c r="C83" i="46" s="1"/>
  <c r="C86" i="46" s="1"/>
  <c r="C87" i="46" s="1"/>
  <c r="C30" i="50"/>
  <c r="C152" i="29"/>
  <c r="C153" i="29" s="1"/>
  <c r="C150" i="30"/>
  <c r="C151" i="30" s="1"/>
  <c r="C152" i="30" s="1"/>
  <c r="C153" i="30" s="1"/>
  <c r="C154" i="30" s="1"/>
  <c r="C155" i="30" s="1"/>
  <c r="C156" i="30" s="1"/>
  <c r="C157" i="30" s="1"/>
  <c r="C158" i="30" s="1"/>
  <c r="C159" i="30" s="1"/>
  <c r="C160" i="30" s="1"/>
  <c r="C161" i="30" s="1"/>
  <c r="C164" i="30" s="1"/>
  <c r="C165" i="30" s="1"/>
  <c r="C166" i="30" s="1"/>
  <c r="C167" i="30" s="1"/>
  <c r="C168" i="30" s="1"/>
  <c r="C169" i="30" s="1"/>
  <c r="C170" i="30" s="1"/>
  <c r="C171" i="30" s="1"/>
  <c r="C172" i="30" s="1"/>
  <c r="C173" i="30" s="1"/>
  <c r="C174" i="30" s="1"/>
  <c r="C175" i="30" s="1"/>
  <c r="C176" i="30" s="1"/>
  <c r="C177" i="30" s="1"/>
  <c r="C178" i="30" s="1"/>
  <c r="C184" i="30" s="1"/>
  <c r="C185" i="30" s="1"/>
  <c r="C29" i="29"/>
  <c r="C30" i="29" s="1"/>
  <c r="C31" i="29" s="1"/>
  <c r="C32" i="29" s="1"/>
  <c r="C33" i="29" s="1"/>
  <c r="C34" i="29" s="1"/>
  <c r="C35" i="29" s="1"/>
  <c r="C36" i="29" s="1"/>
  <c r="C24" i="30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D27" i="49"/>
  <c r="C101" i="30" l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21" i="30" s="1"/>
  <c r="C122" i="30" s="1"/>
  <c r="C102" i="29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21" i="29" s="1"/>
  <c r="C122" i="29" s="1"/>
  <c r="C37" i="29"/>
  <c r="C38" i="29" s="1"/>
  <c r="C126" i="70"/>
  <c r="C124" i="75"/>
  <c r="C124" i="81"/>
  <c r="C75" i="76"/>
  <c r="C76" i="76" s="1"/>
  <c r="C77" i="76" s="1"/>
  <c r="C114" i="76" s="1"/>
  <c r="C31" i="50"/>
  <c r="C32" i="50" s="1"/>
  <c r="C33" i="50" s="1"/>
  <c r="C34" i="50" s="1"/>
  <c r="C35" i="50" s="1"/>
  <c r="C36" i="50" s="1"/>
  <c r="C154" i="29"/>
  <c r="C155" i="29" s="1"/>
  <c r="C156" i="29" s="1"/>
  <c r="C157" i="29" s="1"/>
  <c r="C158" i="29" s="1"/>
  <c r="C159" i="29" s="1"/>
  <c r="C160" i="29" s="1"/>
  <c r="C161" i="29" s="1"/>
  <c r="C162" i="29" s="1"/>
  <c r="C39" i="30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9" i="30" s="1"/>
  <c r="C60" i="30" s="1"/>
  <c r="D28" i="49"/>
  <c r="C39" i="29" l="1"/>
  <c r="C40" i="29" s="1"/>
  <c r="C163" i="29"/>
  <c r="C164" i="29" s="1"/>
  <c r="C37" i="50"/>
  <c r="C38" i="50" s="1"/>
  <c r="C127" i="70"/>
  <c r="C125" i="75"/>
  <c r="C126" i="75" s="1"/>
  <c r="C115" i="76"/>
  <c r="C123" i="76" s="1"/>
  <c r="C125" i="81"/>
  <c r="D29" i="49"/>
  <c r="C165" i="29" l="1"/>
  <c r="C166" i="29" s="1"/>
  <c r="C167" i="29" s="1"/>
  <c r="C168" i="29" s="1"/>
  <c r="C169" i="29" s="1"/>
  <c r="C170" i="29" s="1"/>
  <c r="C171" i="29" s="1"/>
  <c r="C172" i="29" s="1"/>
  <c r="C173" i="29" s="1"/>
  <c r="C174" i="29" s="1"/>
  <c r="C175" i="29" s="1"/>
  <c r="C176" i="29" s="1"/>
  <c r="C177" i="29" s="1"/>
  <c r="C178" i="29" s="1"/>
  <c r="C179" i="29" s="1"/>
  <c r="C185" i="29" s="1"/>
  <c r="C186" i="29" s="1"/>
  <c r="C41" i="29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9" i="29" s="1"/>
  <c r="C60" i="29" s="1"/>
  <c r="C39" i="50"/>
  <c r="C40" i="50" s="1"/>
  <c r="C41" i="50" s="1"/>
  <c r="C42" i="50" s="1"/>
  <c r="C43" i="50" s="1"/>
  <c r="C44" i="50" s="1"/>
  <c r="C45" i="50" s="1"/>
  <c r="C46" i="50" s="1"/>
  <c r="C47" i="50" s="1"/>
  <c r="C48" i="50" s="1"/>
  <c r="C49" i="50" s="1"/>
  <c r="C50" i="50" s="1"/>
  <c r="C51" i="50" s="1"/>
  <c r="C52" i="50" s="1"/>
  <c r="C53" i="50" s="1"/>
  <c r="C59" i="50" s="1"/>
  <c r="C60" i="50" s="1"/>
  <c r="C128" i="70"/>
  <c r="C129" i="70" s="1"/>
  <c r="C130" i="70" s="1"/>
  <c r="C169" i="70" s="1"/>
  <c r="C170" i="70" s="1"/>
  <c r="C127" i="75"/>
  <c r="C128" i="75" s="1"/>
  <c r="C129" i="75" s="1"/>
  <c r="C126" i="81"/>
  <c r="C127" i="81" s="1"/>
  <c r="C128" i="81" s="1"/>
  <c r="C124" i="76"/>
  <c r="C125" i="76" s="1"/>
  <c r="D30" i="49"/>
  <c r="C130" i="75" l="1"/>
  <c r="C169" i="75" s="1"/>
  <c r="C170" i="75" s="1"/>
  <c r="C129" i="81"/>
  <c r="C130" i="81" s="1"/>
  <c r="C131" i="81" s="1"/>
  <c r="C132" i="81" s="1"/>
  <c r="C126" i="76"/>
  <c r="C127" i="76" s="1"/>
  <c r="D31" i="49"/>
  <c r="D32" i="49" s="1"/>
  <c r="D33" i="49" s="1"/>
  <c r="D34" i="49" s="1"/>
  <c r="D35" i="49" s="1"/>
  <c r="D36" i="49" s="1"/>
  <c r="D37" i="49" s="1"/>
  <c r="D38" i="49" s="1"/>
  <c r="D39" i="49" s="1"/>
  <c r="D40" i="49" s="1"/>
  <c r="D41" i="49" s="1"/>
  <c r="D42" i="49" s="1"/>
  <c r="D43" i="49" s="1"/>
  <c r="D44" i="49" s="1"/>
  <c r="D45" i="49" s="1"/>
  <c r="D46" i="49" s="1"/>
  <c r="D47" i="49" s="1"/>
  <c r="D48" i="49" s="1"/>
  <c r="D49" i="49" s="1"/>
  <c r="D50" i="49" s="1"/>
  <c r="D56" i="49" s="1"/>
  <c r="D57" i="49" s="1"/>
  <c r="C128" i="76" l="1"/>
  <c r="C129" i="76" s="1"/>
  <c r="C130" i="76" s="1"/>
  <c r="C169" i="81"/>
  <c r="C170" i="81" s="1"/>
  <c r="C131" i="76" l="1"/>
  <c r="C132" i="76" s="1"/>
  <c r="C169" i="76" s="1"/>
  <c r="C170" i="76" l="1"/>
</calcChain>
</file>

<file path=xl/comments1.xml><?xml version="1.0" encoding="utf-8"?>
<comments xmlns="http://schemas.openxmlformats.org/spreadsheetml/2006/main">
  <authors>
    <author>Diane Berron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</commentList>
</comments>
</file>

<file path=xl/comments2.xml><?xml version="1.0" encoding="utf-8"?>
<comments xmlns="http://schemas.openxmlformats.org/spreadsheetml/2006/main">
  <authors>
    <author>Diane Berron</author>
    <author>Matthew H. Klekar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  <comment ref="F40" authorId="1" shapeId="0">
      <text>
        <r>
          <rPr>
            <b/>
            <sz val="9"/>
            <color indexed="81"/>
            <rFont val="Tahoma"/>
            <family val="2"/>
          </rPr>
          <t>Matthew H. Klekar:</t>
        </r>
        <r>
          <rPr>
            <sz val="9"/>
            <color indexed="81"/>
            <rFont val="Tahoma"/>
            <family val="2"/>
          </rPr>
          <t xml:space="preserve">
Left as blank in VL report; CCW stated to put NMF. 
</t>
        </r>
      </text>
    </comment>
  </commentList>
</comments>
</file>

<file path=xl/comments3.xml><?xml version="1.0" encoding="utf-8"?>
<comments xmlns="http://schemas.openxmlformats.org/spreadsheetml/2006/main">
  <authors>
    <author>Diane Berron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</commentList>
</comments>
</file>

<file path=xl/comments4.xml><?xml version="1.0" encoding="utf-8"?>
<comments xmlns="http://schemas.openxmlformats.org/spreadsheetml/2006/main">
  <authors>
    <author>Diane Berron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</commentList>
</comments>
</file>

<file path=xl/comments5.xml><?xml version="1.0" encoding="utf-8"?>
<comments xmlns="http://schemas.openxmlformats.org/spreadsheetml/2006/main">
  <authors>
    <author>Diane Berron</author>
  </authors>
  <commentList>
    <comment ref="A8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1 if electric or gas</t>
        </r>
      </text>
    </comment>
  </commentList>
</comments>
</file>

<file path=xl/sharedStrings.xml><?xml version="1.0" encoding="utf-8"?>
<sst xmlns="http://schemas.openxmlformats.org/spreadsheetml/2006/main" count="6316" uniqueCount="586">
  <si>
    <t>ALE</t>
  </si>
  <si>
    <t>LNT</t>
  </si>
  <si>
    <t>AEP</t>
  </si>
  <si>
    <t>AEE</t>
  </si>
  <si>
    <t>AVA</t>
  </si>
  <si>
    <t>BKH</t>
  </si>
  <si>
    <t>CNP</t>
  </si>
  <si>
    <t>CHG</t>
  </si>
  <si>
    <t>CNL</t>
  </si>
  <si>
    <t>CMS</t>
  </si>
  <si>
    <t>ED</t>
  </si>
  <si>
    <t>D</t>
  </si>
  <si>
    <t>DTE</t>
  </si>
  <si>
    <t>DUK</t>
  </si>
  <si>
    <t>EIX</t>
  </si>
  <si>
    <t>EE</t>
  </si>
  <si>
    <t>EDE</t>
  </si>
  <si>
    <t>ETR</t>
  </si>
  <si>
    <t>EXC</t>
  </si>
  <si>
    <t>FE</t>
  </si>
  <si>
    <t>GXP</t>
  </si>
  <si>
    <t>HE</t>
  </si>
  <si>
    <t>IDA</t>
  </si>
  <si>
    <t>TEG</t>
  </si>
  <si>
    <t>MDU</t>
  </si>
  <si>
    <t>MGEE</t>
  </si>
  <si>
    <t>NI</t>
  </si>
  <si>
    <t>OGE</t>
  </si>
  <si>
    <t>OTTR</t>
  </si>
  <si>
    <t>POM</t>
  </si>
  <si>
    <t>PCG</t>
  </si>
  <si>
    <t>PNW</t>
  </si>
  <si>
    <t>PNM</t>
  </si>
  <si>
    <t>POR</t>
  </si>
  <si>
    <t>PPL</t>
  </si>
  <si>
    <t>PEG</t>
  </si>
  <si>
    <t>SCG</t>
  </si>
  <si>
    <t>SRE</t>
  </si>
  <si>
    <t>SO</t>
  </si>
  <si>
    <t>TE</t>
  </si>
  <si>
    <t>UIL</t>
  </si>
  <si>
    <t>UNS</t>
  </si>
  <si>
    <t>VVC</t>
  </si>
  <si>
    <t>WR</t>
  </si>
  <si>
    <t>WEC</t>
  </si>
  <si>
    <t>XEL</t>
  </si>
  <si>
    <t xml:space="preserve">Black Hills                   </t>
  </si>
  <si>
    <t xml:space="preserve">CMS Energy Corp.              </t>
  </si>
  <si>
    <t xml:space="preserve">CH Energy Group               </t>
  </si>
  <si>
    <t xml:space="preserve">Cleco Corp.                   </t>
  </si>
  <si>
    <t xml:space="preserve">Consol. Edison                </t>
  </si>
  <si>
    <t xml:space="preserve">DTE Energy                    </t>
  </si>
  <si>
    <t xml:space="preserve">Dominion Resources            </t>
  </si>
  <si>
    <t xml:space="preserve">Edison Int'l                  </t>
  </si>
  <si>
    <t xml:space="preserve">Sempra Energy                 </t>
  </si>
  <si>
    <t xml:space="preserve">Entergy Corp.                 </t>
  </si>
  <si>
    <t xml:space="preserve">FPL Group                     </t>
  </si>
  <si>
    <t>FPL</t>
  </si>
  <si>
    <t xml:space="preserve">Hawaiian Elec.                </t>
  </si>
  <si>
    <t xml:space="preserve">IDACORP, Inc.                 </t>
  </si>
  <si>
    <t xml:space="preserve">MDU Resources                 </t>
  </si>
  <si>
    <t xml:space="preserve">MGE Energy                    </t>
  </si>
  <si>
    <t xml:space="preserve">NiSource Inc.                 </t>
  </si>
  <si>
    <t xml:space="preserve">Sierra Pacific Res.           </t>
  </si>
  <si>
    <t>SRP</t>
  </si>
  <si>
    <t xml:space="preserve">Xcel Energy Inc.              </t>
  </si>
  <si>
    <t xml:space="preserve">FirstEnergy Corp.             </t>
  </si>
  <si>
    <t xml:space="preserve">OGE Energy                    </t>
  </si>
  <si>
    <t xml:space="preserve">Otter Tail Corp.              </t>
  </si>
  <si>
    <t xml:space="preserve">Exelon Corp.                  </t>
  </si>
  <si>
    <t xml:space="preserve">PPL Corp.                     </t>
  </si>
  <si>
    <t xml:space="preserve">PG&amp;E Corp.                    </t>
  </si>
  <si>
    <t xml:space="preserve">Pinnacle West Capital         </t>
  </si>
  <si>
    <t xml:space="preserve">Pepco Holdings                </t>
  </si>
  <si>
    <t xml:space="preserve">PNM Resources                 </t>
  </si>
  <si>
    <t xml:space="preserve">Public Serv. Enterprise       </t>
  </si>
  <si>
    <t xml:space="preserve">SCANA Corp.                   </t>
  </si>
  <si>
    <t xml:space="preserve">Southern Co.                  </t>
  </si>
  <si>
    <t xml:space="preserve">TECO Energy                   </t>
  </si>
  <si>
    <t xml:space="preserve">UniSource Energy              </t>
  </si>
  <si>
    <t xml:space="preserve">Ameren Corp.                  </t>
  </si>
  <si>
    <t xml:space="preserve">UIL Holdings                  </t>
  </si>
  <si>
    <t xml:space="preserve">UNITIL Corp.                  </t>
  </si>
  <si>
    <t>UTL</t>
  </si>
  <si>
    <t xml:space="preserve">Alliant Energy                </t>
  </si>
  <si>
    <t xml:space="preserve">Integrys Energy               </t>
  </si>
  <si>
    <t xml:space="preserve">Avista Corp.                  </t>
  </si>
  <si>
    <t xml:space="preserve">Westar Energy                 </t>
  </si>
  <si>
    <t xml:space="preserve">El Paso Electric              </t>
  </si>
  <si>
    <t xml:space="preserve">Vectren Corp.                 </t>
  </si>
  <si>
    <t xml:space="preserve">CenterPoint Energy            </t>
  </si>
  <si>
    <t xml:space="preserve">ALLETE                        </t>
  </si>
  <si>
    <t xml:space="preserve">Portland General              </t>
  </si>
  <si>
    <t xml:space="preserve">Duke Energy                   </t>
  </si>
  <si>
    <t xml:space="preserve">NorthWestern Corp             </t>
  </si>
  <si>
    <r>
      <t xml:space="preserve">Price to Earnings (P/E) Ratio </t>
    </r>
    <r>
      <rPr>
        <b/>
        <vertAlign val="superscript"/>
        <sz val="11"/>
        <rFont val="Arial"/>
        <family val="2"/>
      </rPr>
      <t>1</t>
    </r>
  </si>
  <si>
    <t>Line</t>
  </si>
  <si>
    <t>Company</t>
  </si>
  <si>
    <t>Average</t>
  </si>
  <si>
    <t>Ticker</t>
  </si>
  <si>
    <t>Lookup:</t>
  </si>
  <si>
    <t>2</t>
  </si>
  <si>
    <t>Empire District Electric</t>
  </si>
  <si>
    <t>American Electric Power</t>
  </si>
  <si>
    <t xml:space="preserve">Great Plains Energy             </t>
  </si>
  <si>
    <t>NMF</t>
  </si>
  <si>
    <t>N/A</t>
  </si>
  <si>
    <t>Sources:</t>
  </si>
  <si>
    <t>Note:</t>
  </si>
  <si>
    <r>
      <t xml:space="preserve">Market Price to Cash Flow (MP/CF) Ratio </t>
    </r>
    <r>
      <rPr>
        <b/>
        <vertAlign val="superscript"/>
        <sz val="11"/>
        <rFont val="Arial"/>
        <family val="2"/>
      </rPr>
      <t>1</t>
    </r>
  </si>
  <si>
    <t>High</t>
  </si>
  <si>
    <t>Low</t>
  </si>
  <si>
    <t>Avg.</t>
  </si>
  <si>
    <t>P/E Ratio</t>
  </si>
  <si>
    <t>MP/CF</t>
  </si>
  <si>
    <t>ValueLine Reported</t>
  </si>
  <si>
    <t>input</t>
  </si>
  <si>
    <t>Company Name</t>
  </si>
  <si>
    <t>Ticker Symbol</t>
  </si>
  <si>
    <t>ALLETE</t>
  </si>
  <si>
    <t>Alliant Energy</t>
  </si>
  <si>
    <t>Amer. Elec. Power</t>
  </si>
  <si>
    <t>Ameren Corp.</t>
  </si>
  <si>
    <t>Avista Corp.</t>
  </si>
  <si>
    <t>Black Hills</t>
  </si>
  <si>
    <t>CenterPoint Energy</t>
  </si>
  <si>
    <t>CMS Energy Corp.</t>
  </si>
  <si>
    <t>Consol. Edison</t>
  </si>
  <si>
    <t>Dominion Resources</t>
  </si>
  <si>
    <t>DTE Energy</t>
  </si>
  <si>
    <t>Duke Energy</t>
  </si>
  <si>
    <t>Edison Int'l</t>
  </si>
  <si>
    <t>El Paso Electric</t>
  </si>
  <si>
    <t>Empire Dist. Elec.</t>
  </si>
  <si>
    <t>Entergy Corp.</t>
  </si>
  <si>
    <t>Exelon Corp.</t>
  </si>
  <si>
    <t>FirstEnergy Corp.</t>
  </si>
  <si>
    <t>G't Plains Energy</t>
  </si>
  <si>
    <t>Hawaiian Elec.</t>
  </si>
  <si>
    <t>MGE Energy</t>
  </si>
  <si>
    <t>NextEra Energy</t>
  </si>
  <si>
    <t>NEE</t>
  </si>
  <si>
    <t>NiSource Inc.</t>
  </si>
  <si>
    <t>NorthWestern Corp.</t>
  </si>
  <si>
    <t>NWE</t>
  </si>
  <si>
    <t>OGE Energy</t>
  </si>
  <si>
    <t>Otter Tail Corp.</t>
  </si>
  <si>
    <t>PG&amp;E Corp.</t>
  </si>
  <si>
    <t>Pinnacle West Capital</t>
  </si>
  <si>
    <t>PNM Resources</t>
  </si>
  <si>
    <t>Portland General</t>
  </si>
  <si>
    <t>PPL Corp.</t>
  </si>
  <si>
    <t>Public Serv. Enterprise</t>
  </si>
  <si>
    <t>SCANA Corp.</t>
  </si>
  <si>
    <t>Sempra Energy</t>
  </si>
  <si>
    <t>Southern Co.</t>
  </si>
  <si>
    <t>Vectren Corp.</t>
  </si>
  <si>
    <t>Westar Energy</t>
  </si>
  <si>
    <t>Xcel Energy Inc.</t>
  </si>
  <si>
    <t>Unitil Corp.</t>
  </si>
  <si>
    <t>ITC Holdings</t>
  </si>
  <si>
    <t>ITC</t>
  </si>
  <si>
    <t>Adams Resources &amp; Energy</t>
  </si>
  <si>
    <t>AE</t>
  </si>
  <si>
    <t>Amer. States Water</t>
  </si>
  <si>
    <t>AWR</t>
  </si>
  <si>
    <t>Amer. Water Works</t>
  </si>
  <si>
    <t>AWK</t>
  </si>
  <si>
    <t>AmeriGas Partners</t>
  </si>
  <si>
    <t>APU</t>
  </si>
  <si>
    <t>Aqua America</t>
  </si>
  <si>
    <t>WTR</t>
  </si>
  <si>
    <t>Artesian Res Corp</t>
  </si>
  <si>
    <t>ARTNA</t>
  </si>
  <si>
    <t>Atmos Energy</t>
  </si>
  <si>
    <t>ATO</t>
  </si>
  <si>
    <t>California Water</t>
  </si>
  <si>
    <t>CWT</t>
  </si>
  <si>
    <t>CPK</t>
  </si>
  <si>
    <t>Conn. Water Services</t>
  </si>
  <si>
    <t>CTWS</t>
  </si>
  <si>
    <t>Consolidated Water</t>
  </si>
  <si>
    <t>CWCO</t>
  </si>
  <si>
    <t>Delta Natural Gas</t>
  </si>
  <si>
    <t>DGAS</t>
  </si>
  <si>
    <t>Gas Natural Inc</t>
  </si>
  <si>
    <t>EGAS</t>
  </si>
  <si>
    <t>Middlesex Water</t>
  </si>
  <si>
    <t>MSEX</t>
  </si>
  <si>
    <t>New Jersey Resources</t>
  </si>
  <si>
    <t>NJR</t>
  </si>
  <si>
    <t>Northwest Nat. Gas</t>
  </si>
  <si>
    <t>NWN</t>
  </si>
  <si>
    <t>RGC Resources Inc</t>
  </si>
  <si>
    <t>RGCO</t>
  </si>
  <si>
    <t>SJW Corp.</t>
  </si>
  <si>
    <t>SJW</t>
  </si>
  <si>
    <t>South Jersey Inds.</t>
  </si>
  <si>
    <t>SJI</t>
  </si>
  <si>
    <t>Southwest Gas</t>
  </si>
  <si>
    <t>SWX</t>
  </si>
  <si>
    <t>Star Gas Partners L.P.</t>
  </si>
  <si>
    <t>SGU</t>
  </si>
  <si>
    <t>UGI Corp.</t>
  </si>
  <si>
    <t>UGI</t>
  </si>
  <si>
    <t>WGL Holdings Inc.</t>
  </si>
  <si>
    <t>WGL</t>
  </si>
  <si>
    <t>York Water Co. (The)</t>
  </si>
  <si>
    <t>YORW</t>
  </si>
  <si>
    <t>NextEra Energy, Inc.</t>
  </si>
  <si>
    <t>Eversource Energy</t>
  </si>
  <si>
    <t>ES</t>
  </si>
  <si>
    <t xml:space="preserve">Eversource Energy    </t>
  </si>
  <si>
    <t>mp</t>
  </si>
  <si>
    <t>cf</t>
  </si>
  <si>
    <t>Chesapeake Utilities</t>
  </si>
  <si>
    <t>IDACORP Inc.</t>
  </si>
  <si>
    <t>WEC Energy Group</t>
  </si>
  <si>
    <t xml:space="preserve">Source: The Value Line Investment Survey Investment Analyzer Software, </t>
  </si>
  <si>
    <t>Market Price to Cash Flow (MP/CF) Ratio</t>
  </si>
  <si>
    <t>Price to Earnings (P/E) Ratio</t>
  </si>
  <si>
    <t>CF 2015</t>
  </si>
  <si>
    <t>CF 2014</t>
  </si>
  <si>
    <t>CF 2013</t>
  </si>
  <si>
    <t>CF 2012</t>
  </si>
  <si>
    <t>CF 2011</t>
  </si>
  <si>
    <t>CF 2010</t>
  </si>
  <si>
    <t>CF 2009</t>
  </si>
  <si>
    <t>CF 2008</t>
  </si>
  <si>
    <t>CF 2007</t>
  </si>
  <si>
    <t>CF 2006</t>
  </si>
  <si>
    <t>P 2015</t>
  </si>
  <si>
    <t>P 2014</t>
  </si>
  <si>
    <t>P 2013</t>
  </si>
  <si>
    <t>P 2012</t>
  </si>
  <si>
    <t>P 2011</t>
  </si>
  <si>
    <t>P 2010</t>
  </si>
  <si>
    <t>P 2009</t>
  </si>
  <si>
    <t>P 2008</t>
  </si>
  <si>
    <t>P 2007</t>
  </si>
  <si>
    <t>P 2006</t>
  </si>
  <si>
    <t>Match</t>
  </si>
  <si>
    <t>Row</t>
  </si>
  <si>
    <t>Spire Inc.</t>
  </si>
  <si>
    <t>SR</t>
  </si>
  <si>
    <t>MP/BV</t>
  </si>
  <si>
    <t>BookValue 2015</t>
  </si>
  <si>
    <t>BookValue 2014</t>
  </si>
  <si>
    <t>BookValue 2013</t>
  </si>
  <si>
    <t>BookValue 2012</t>
  </si>
  <si>
    <t>BookValue 2011</t>
  </si>
  <si>
    <t>BookValue 2010</t>
  </si>
  <si>
    <t>BookValue 2009</t>
  </si>
  <si>
    <t>BookValue 2008</t>
  </si>
  <si>
    <t>BookValue 2007</t>
  </si>
  <si>
    <t>BookValue 2006</t>
  </si>
  <si>
    <t>bv</t>
  </si>
  <si>
    <t>Median</t>
  </si>
  <si>
    <t>Market Price to Book Value (MP/BV) Ratio</t>
  </si>
  <si>
    <r>
      <t xml:space="preserve">Market Price to Book Value (MP/BV) Ratio </t>
    </r>
    <r>
      <rPr>
        <b/>
        <vertAlign val="superscript"/>
        <sz val="11"/>
        <rFont val="Arial"/>
        <family val="2"/>
      </rPr>
      <t>1</t>
    </r>
  </si>
  <si>
    <t>AGR</t>
  </si>
  <si>
    <t>Avangrid, Inc.</t>
  </si>
  <si>
    <t>CF 2016</t>
  </si>
  <si>
    <t>AVANGRID Inc.</t>
  </si>
  <si>
    <t>BookValue 2016</t>
  </si>
  <si>
    <t>Fortis Inc.</t>
  </si>
  <si>
    <t>FTS.TO</t>
  </si>
  <si>
    <t>Value Line Industry</t>
  </si>
  <si>
    <t>Electric Utility (East)</t>
  </si>
  <si>
    <t>Electric Utility (West)</t>
  </si>
  <si>
    <t>Water Utility</t>
  </si>
  <si>
    <t>Natural Gas Utility</t>
  </si>
  <si>
    <t>Electric Utilities</t>
  </si>
  <si>
    <t>(Valuation Metrics)</t>
  </si>
  <si>
    <t>2016 Div declared per share</t>
  </si>
  <si>
    <t>2015 Div declared per share</t>
  </si>
  <si>
    <t>2014 Div declared per share</t>
  </si>
  <si>
    <t>2013 Div declared per share</t>
  </si>
  <si>
    <t>2012 Div declared per share</t>
  </si>
  <si>
    <t>2011 Div declared per share</t>
  </si>
  <si>
    <t>2010 Div declared per share</t>
  </si>
  <si>
    <t>2009 Div declared per share</t>
  </si>
  <si>
    <t>2008 Div declared per share</t>
  </si>
  <si>
    <t>2007 Div declared per share</t>
  </si>
  <si>
    <t>2006 Div declared per share</t>
  </si>
  <si>
    <t>EPS2006</t>
  </si>
  <si>
    <t>EPS2007</t>
  </si>
  <si>
    <t>EPS2008</t>
  </si>
  <si>
    <t>EPS2009</t>
  </si>
  <si>
    <t>EPS2010</t>
  </si>
  <si>
    <t>EPS2011</t>
  </si>
  <si>
    <t>EPS2012</t>
  </si>
  <si>
    <t>EPS2013</t>
  </si>
  <si>
    <t>EPS2014</t>
  </si>
  <si>
    <t>EPS2015</t>
  </si>
  <si>
    <t>EPS2016</t>
  </si>
  <si>
    <t>CapSpend2006</t>
  </si>
  <si>
    <t>CapSpend2007</t>
  </si>
  <si>
    <t>CapSpend2008</t>
  </si>
  <si>
    <t>CapSpend2009</t>
  </si>
  <si>
    <t>CapSpend2010</t>
  </si>
  <si>
    <t>CapSpend2011</t>
  </si>
  <si>
    <t>CapSpend2012</t>
  </si>
  <si>
    <t>CapSpend2013</t>
  </si>
  <si>
    <t>CapSpend2014</t>
  </si>
  <si>
    <t>CapSpend2015</t>
  </si>
  <si>
    <t>CapSpend2016</t>
  </si>
  <si>
    <t>PE</t>
  </si>
  <si>
    <t>BookValue</t>
  </si>
  <si>
    <t>CashFlow</t>
  </si>
  <si>
    <t>Earnings</t>
  </si>
  <si>
    <t>Price</t>
  </si>
  <si>
    <t>CapSpend</t>
  </si>
  <si>
    <t>Dividends</t>
  </si>
  <si>
    <t>downloaded:</t>
  </si>
  <si>
    <t>Source: The Value Line Investment Survey Investment Analyzer Software,</t>
  </si>
  <si>
    <t xml:space="preserve">Downloaded from The Value Line Investment Survey Investment Analyzer Software, </t>
  </si>
  <si>
    <t>div</t>
  </si>
  <si>
    <t>ear</t>
  </si>
  <si>
    <t>Dividend to Book Value (Div/BV) Ratio</t>
  </si>
  <si>
    <t>Dividend to Earnings (DIV/EARN) Ratio</t>
  </si>
  <si>
    <t>Cash Flow to Capital Spending (CF/CAPSPEND) Ratio</t>
  </si>
  <si>
    <t>Capsp</t>
  </si>
  <si>
    <t>VL Report Date</t>
  </si>
  <si>
    <t>DIV/Earn</t>
  </si>
  <si>
    <t>CF/Cap Spend</t>
  </si>
  <si>
    <r>
      <t xml:space="preserve">Dividends to Earnings Ratio </t>
    </r>
    <r>
      <rPr>
        <b/>
        <vertAlign val="superscript"/>
        <sz val="11"/>
        <rFont val="Arial"/>
        <family val="2"/>
      </rPr>
      <t>1</t>
    </r>
  </si>
  <si>
    <r>
      <t xml:space="preserve">Cash Flow to Capital Spending Ratio </t>
    </r>
    <r>
      <rPr>
        <b/>
        <vertAlign val="superscript"/>
        <sz val="11"/>
        <rFont val="Arial"/>
        <family val="2"/>
      </rPr>
      <t>1</t>
    </r>
  </si>
  <si>
    <t>Notes:</t>
  </si>
  <si>
    <r>
      <t xml:space="preserve">Percent Dividends to Book Value </t>
    </r>
    <r>
      <rPr>
        <b/>
        <vertAlign val="superscript"/>
        <sz val="11"/>
        <rFont val="Arial"/>
        <family val="2"/>
      </rPr>
      <t>1</t>
    </r>
  </si>
  <si>
    <t>AvgAnnDivYld</t>
  </si>
  <si>
    <t>Avg Annual PE Ratio</t>
  </si>
  <si>
    <t>Avg Annual Price</t>
  </si>
  <si>
    <t>Book Value per shr</t>
  </si>
  <si>
    <t>Cap'l Spending per shr</t>
  </si>
  <si>
    <t>Cash Flow per share</t>
  </si>
  <si>
    <t>Div'ds decl per shr</t>
  </si>
  <si>
    <t>EPS</t>
  </si>
  <si>
    <t>Avg Annual Div'd Yield</t>
  </si>
  <si>
    <t>AVERAGE</t>
  </si>
  <si>
    <t>All</t>
  </si>
  <si>
    <t>Electric and Gas</t>
  </si>
  <si>
    <t>Electric Util. (Central)</t>
  </si>
  <si>
    <t>CHECKSUM</t>
  </si>
  <si>
    <t>Electric Utility</t>
  </si>
  <si>
    <t>OGS</t>
  </si>
  <si>
    <t>Dominion Energy</t>
  </si>
  <si>
    <t>note: OGS downloaded 6/21/17</t>
  </si>
  <si>
    <t>ONE Gas Inc.</t>
  </si>
  <si>
    <t>DIV/BV %</t>
  </si>
  <si>
    <t>DIV/BV
%</t>
  </si>
  <si>
    <t>Electric</t>
  </si>
  <si>
    <t>Gas</t>
  </si>
  <si>
    <t>Water</t>
  </si>
  <si>
    <t>a</t>
  </si>
  <si>
    <t>b</t>
  </si>
  <si>
    <t>c</t>
  </si>
  <si>
    <t>Dividend Yield (Div/MP) %</t>
  </si>
  <si>
    <t>A Utility Bonds</t>
  </si>
  <si>
    <t xml:space="preserve">Year </t>
  </si>
  <si>
    <t>Annual Yield</t>
  </si>
  <si>
    <t>DIV/MP
%</t>
  </si>
  <si>
    <t>CapSpendperShare2017</t>
  </si>
  <si>
    <t>CapSpendperShare2018</t>
  </si>
  <si>
    <t>CapSpendperShare2019</t>
  </si>
  <si>
    <t>CapSpendperShare3-5yr</t>
  </si>
  <si>
    <t>CashFlowperShare2017</t>
  </si>
  <si>
    <t>CashFlowperShare2018</t>
  </si>
  <si>
    <t>CashFlowperShare2019</t>
  </si>
  <si>
    <t>CashFlowperShare3-5yrs</t>
  </si>
  <si>
    <t>Projection</t>
  </si>
  <si>
    <t>2017</t>
  </si>
  <si>
    <t>Based on the projected Cash Flow per share and Capital Spending per share.</t>
  </si>
  <si>
    <t>Downloaded from Value Line Investment Analyzer.</t>
  </si>
  <si>
    <t>Cash Flow / Capital Spending</t>
  </si>
  <si>
    <r>
      <t>Dividend Yield</t>
    </r>
    <r>
      <rPr>
        <b/>
        <vertAlign val="superscript"/>
        <sz val="11"/>
        <rFont val="Arial"/>
        <family val="2"/>
      </rPr>
      <t>1</t>
    </r>
  </si>
  <si>
    <r>
      <t>Dividend per Share</t>
    </r>
    <r>
      <rPr>
        <b/>
        <vertAlign val="superscript"/>
        <sz val="11"/>
        <rFont val="Arial"/>
        <family val="2"/>
      </rPr>
      <t>1</t>
    </r>
  </si>
  <si>
    <t>DIV/MP %</t>
  </si>
  <si>
    <t>Market Implied Inflation</t>
  </si>
  <si>
    <t>20-Year</t>
  </si>
  <si>
    <t>Date</t>
  </si>
  <si>
    <t>Treasury Yield</t>
  </si>
  <si>
    <t>20-Year TIPS</t>
  </si>
  <si>
    <t>Implied Inflaton</t>
  </si>
  <si>
    <t/>
  </si>
  <si>
    <t xml:space="preserve">   Average</t>
  </si>
  <si>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St. Louis Federal Reserve: Economic Research, http://research.stlouisfed.org.</t>
    </r>
  </si>
  <si>
    <t xml:space="preserve">  Tracking of the 20-Year Treasury Inflation-Adjusted Security did not begin until</t>
  </si>
  <si>
    <t xml:space="preserve">  July 2004.  Thus, 2004 averages are for the period July - December, 2004.</t>
  </si>
  <si>
    <t xml:space="preserve">  TIPS = Treasury Inflation Protected Securities</t>
  </si>
  <si>
    <t>DFII20</t>
  </si>
  <si>
    <t>FII20</t>
  </si>
  <si>
    <t>WFII20</t>
  </si>
  <si>
    <t>lin</t>
  </si>
  <si>
    <t>Percent</t>
  </si>
  <si>
    <t>Daily</t>
  </si>
  <si>
    <t>M</t>
  </si>
  <si>
    <t>Monthly</t>
  </si>
  <si>
    <t>W</t>
  </si>
  <si>
    <t>Weekly, Ending Friday</t>
  </si>
  <si>
    <t>Board of Governors of the Federal Reserve System (US)</t>
  </si>
  <si>
    <t>date</t>
  </si>
  <si>
    <t>value</t>
  </si>
  <si>
    <t>DGS20</t>
  </si>
  <si>
    <t>GS20</t>
  </si>
  <si>
    <t xml:space="preserve">WGS20yr </t>
  </si>
  <si>
    <t>St. Louis Federal Reserve: Economic Research, http://research.stlouisfed.org.</t>
  </si>
  <si>
    <t xml:space="preserve">Great Plains Energy and West Star Energy are aggregating to Evergy, official around the beginning of June </t>
  </si>
  <si>
    <t>through</t>
  </si>
  <si>
    <t xml:space="preserve">Adams Resources &amp; Energy      </t>
  </si>
  <si>
    <t xml:space="preserve">Amer. Elec. Power             </t>
  </si>
  <si>
    <t xml:space="preserve">Amer. States Water            </t>
  </si>
  <si>
    <t xml:space="preserve">Amer. Water Works             </t>
  </si>
  <si>
    <t xml:space="preserve">AmeriGas Partners             </t>
  </si>
  <si>
    <t xml:space="preserve">Aqua America                  </t>
  </si>
  <si>
    <t xml:space="preserve">Artesian Res Corp             </t>
  </si>
  <si>
    <t xml:space="preserve">Atmos Energy                  </t>
  </si>
  <si>
    <t xml:space="preserve">AVANGRID, Inc.                </t>
  </si>
  <si>
    <t xml:space="preserve">California Water              </t>
  </si>
  <si>
    <t xml:space="preserve">Chesapeake Utilities          </t>
  </si>
  <si>
    <t xml:space="preserve">Conn. Water Services          </t>
  </si>
  <si>
    <t xml:space="preserve">Consolidated Water            </t>
  </si>
  <si>
    <t xml:space="preserve">Dominion Energy               </t>
  </si>
  <si>
    <t xml:space="preserve">Eversource Energy             </t>
  </si>
  <si>
    <t xml:space="preserve">Fortis Inc.                   </t>
  </si>
  <si>
    <t xml:space="preserve">Middlesex Water               </t>
  </si>
  <si>
    <t xml:space="preserve">New Jersey Resources          </t>
  </si>
  <si>
    <t xml:space="preserve">NextEra Energy                </t>
  </si>
  <si>
    <t xml:space="preserve">NorthWestern Corp.            </t>
  </si>
  <si>
    <t xml:space="preserve">ONE Gas, Inc.                 </t>
  </si>
  <si>
    <t xml:space="preserve">RGC Resources Inc             </t>
  </si>
  <si>
    <t xml:space="preserve">SJW Group                     </t>
  </si>
  <si>
    <t xml:space="preserve">South Jersey Inds.            </t>
  </si>
  <si>
    <t xml:space="preserve">Southwest Gas                 </t>
  </si>
  <si>
    <t xml:space="preserve">Spire Inc.                    </t>
  </si>
  <si>
    <t xml:space="preserve">Star Group L.P.               </t>
  </si>
  <si>
    <t xml:space="preserve">UGI Corp.                     </t>
  </si>
  <si>
    <t xml:space="preserve">Unitil Corp.                  </t>
  </si>
  <si>
    <t xml:space="preserve">WEC Energy Group              </t>
  </si>
  <si>
    <t xml:space="preserve">York Water Co. (The)          </t>
  </si>
  <si>
    <t>2019</t>
  </si>
  <si>
    <t>3-5 Year proj Cash Flow/Share</t>
  </si>
  <si>
    <t>3-5 Year proj Cap Spend/Share</t>
  </si>
  <si>
    <t>CAGR</t>
  </si>
  <si>
    <r>
      <t>Earnings per Share</t>
    </r>
    <r>
      <rPr>
        <b/>
        <vertAlign val="superscript"/>
        <sz val="11"/>
        <rFont val="Arial"/>
        <family val="2"/>
      </rPr>
      <t>1</t>
    </r>
  </si>
  <si>
    <t>Check</t>
  </si>
  <si>
    <t>Industry Average Growth</t>
  </si>
  <si>
    <t>EVRG</t>
  </si>
  <si>
    <t>Evergy, Inc.</t>
  </si>
  <si>
    <t xml:space="preserve">Evergy, Inc. </t>
  </si>
  <si>
    <r>
      <t>20-Yr Treasury Yields</t>
    </r>
    <r>
      <rPr>
        <vertAlign val="superscript"/>
        <sz val="11"/>
        <color theme="1"/>
        <rFont val="Arial"/>
        <family val="2"/>
      </rPr>
      <t>3</t>
    </r>
  </si>
  <si>
    <r>
      <t>20-Yr TIPS</t>
    </r>
    <r>
      <rPr>
        <vertAlign val="superscript"/>
        <sz val="11"/>
        <color theme="1"/>
        <rFont val="Arial"/>
        <family val="2"/>
      </rPr>
      <t>3</t>
    </r>
  </si>
  <si>
    <r>
      <t>Implied Inflation</t>
    </r>
    <r>
      <rPr>
        <vertAlign val="superscript"/>
        <sz val="11"/>
        <color theme="1"/>
        <rFont val="Arial"/>
        <family val="2"/>
      </rPr>
      <t>b</t>
    </r>
  </si>
  <si>
    <r>
      <t>Real Dividend Yield</t>
    </r>
    <r>
      <rPr>
        <b/>
        <vertAlign val="superscript"/>
        <sz val="11"/>
        <color theme="1"/>
        <rFont val="Arial"/>
        <family val="2"/>
      </rPr>
      <t>c</t>
    </r>
  </si>
  <si>
    <t>d</t>
  </si>
  <si>
    <t>e</t>
  </si>
  <si>
    <r>
      <t>Nominal</t>
    </r>
    <r>
      <rPr>
        <b/>
        <vertAlign val="superscript"/>
        <sz val="11"/>
        <color theme="1"/>
        <rFont val="Arial"/>
        <family val="2"/>
      </rPr>
      <t>f</t>
    </r>
  </si>
  <si>
    <r>
      <t>Real</t>
    </r>
    <r>
      <rPr>
        <b/>
        <vertAlign val="superscript"/>
        <sz val="11"/>
        <color theme="1"/>
        <rFont val="Arial"/>
        <family val="2"/>
      </rPr>
      <t>g</t>
    </r>
  </si>
  <si>
    <t>f</t>
  </si>
  <si>
    <t>g</t>
  </si>
  <si>
    <t>Spreads (Treasury Bond - Stock)</t>
  </si>
  <si>
    <r>
      <t>Nominal "A" Rated Yield</t>
    </r>
    <r>
      <rPr>
        <b/>
        <vertAlign val="superscript"/>
        <sz val="11"/>
        <color theme="1"/>
        <rFont val="Arial"/>
        <family val="2"/>
      </rPr>
      <t>4</t>
    </r>
  </si>
  <si>
    <t>Real "A" Rated Yield</t>
  </si>
  <si>
    <t>The spread being measured here is the nominal 20-Year Treasury yield over the average nominal utility dividend yield; (Line 45 - Line 43).</t>
  </si>
  <si>
    <t>The spread being measured here is the real 20-Year TIPS yield over the average real utility dividend yield; Line 48 - Line 46)</t>
  </si>
  <si>
    <t>The spread being measured here is the nominal A-rated utility bond yield over the average nominal utility dividend yield; (Line 49 - Line 43).</t>
  </si>
  <si>
    <t>The spread being measured here is the real A-rated utility bond yield over the average real utility dividend yield; Line 50 - Line 48)</t>
  </si>
  <si>
    <t>Line 47 = (1  + Line 45) / (1 + Line 46) - 1.</t>
  </si>
  <si>
    <t>Line 48 = (1 + Line 43) / (1 +Line 47) - 1.</t>
  </si>
  <si>
    <r>
      <t>Nominal Spread</t>
    </r>
    <r>
      <rPr>
        <b/>
        <vertAlign val="superscript"/>
        <sz val="11"/>
        <color theme="1"/>
        <rFont val="Arial"/>
        <family val="2"/>
      </rPr>
      <t>d</t>
    </r>
  </si>
  <si>
    <r>
      <t>Real Spread</t>
    </r>
    <r>
      <rPr>
        <b/>
        <vertAlign val="superscript"/>
        <sz val="11"/>
        <color theme="1"/>
        <rFont val="Arial"/>
        <family val="2"/>
      </rPr>
      <t>e</t>
    </r>
  </si>
  <si>
    <t>Book Value</t>
  </si>
  <si>
    <t>Cash Flow</t>
  </si>
  <si>
    <t>Average Annual Dividend Yield</t>
  </si>
  <si>
    <t xml:space="preserve">Northwest Natural             </t>
  </si>
  <si>
    <t xml:space="preserve">Evergy, Inc.                  </t>
  </si>
  <si>
    <t>2018</t>
  </si>
  <si>
    <t>January 10, 2020.</t>
  </si>
  <si>
    <t>January 24, February 14, and March 13, 2020.</t>
  </si>
  <si>
    <t>February 28, 2020.</t>
  </si>
  <si>
    <t>A-Rated Utility</t>
  </si>
  <si>
    <t>Baa Utility Bonds</t>
  </si>
  <si>
    <t>Baa-Rated Utility</t>
  </si>
  <si>
    <t>Nominal "Baa" Rated Yield</t>
  </si>
  <si>
    <t>Real "Baa" Rated Yield</t>
  </si>
  <si>
    <t>Spreads (A-Rated Utility Bond - Stock)</t>
  </si>
  <si>
    <t>Spreads (Baa-Rated Utility Bond - Stock)</t>
  </si>
  <si>
    <r>
      <t>Nominal Spread</t>
    </r>
    <r>
      <rPr>
        <b/>
        <vertAlign val="superscript"/>
        <sz val="11"/>
        <color theme="1"/>
        <rFont val="Arial"/>
        <family val="2"/>
      </rPr>
      <t>b</t>
    </r>
  </si>
  <si>
    <r>
      <t>Real Spread</t>
    </r>
    <r>
      <rPr>
        <b/>
        <vertAlign val="superscript"/>
        <sz val="11"/>
        <color theme="1"/>
        <rFont val="Arial"/>
        <family val="2"/>
      </rPr>
      <t>c</t>
    </r>
  </si>
  <si>
    <t>Nominal "A" Rated Spread</t>
  </si>
  <si>
    <t>Nominal "Baa" Rated Spread</t>
  </si>
  <si>
    <t>Real "A" Rated Spread</t>
  </si>
  <si>
    <t>Real "Baa" Rated Spread</t>
  </si>
  <si>
    <t>TABLE</t>
  </si>
  <si>
    <t>A and Baa Utility Bonds and Spreads</t>
  </si>
  <si>
    <t>Nominal "A" Bond Yields</t>
  </si>
  <si>
    <t>Nominal "Baa" Bond Yields</t>
  </si>
  <si>
    <t>Source:</t>
  </si>
  <si>
    <t>Description</t>
  </si>
  <si>
    <t>Water Utilities</t>
  </si>
  <si>
    <t>Utility</t>
  </si>
  <si>
    <r>
      <t>Real "A" Rated Yield</t>
    </r>
    <r>
      <rPr>
        <sz val="11"/>
        <color theme="1"/>
        <rFont val="Arial"/>
        <family val="2"/>
      </rPr>
      <t/>
    </r>
  </si>
  <si>
    <t>Spreads (Utility Bond - Stock)</t>
  </si>
  <si>
    <r>
      <t>Nominal</t>
    </r>
    <r>
      <rPr>
        <b/>
        <vertAlign val="superscript"/>
        <sz val="11"/>
        <color theme="1"/>
        <rFont val="Arial"/>
        <family val="2"/>
      </rPr>
      <t>d</t>
    </r>
  </si>
  <si>
    <r>
      <t>Real</t>
    </r>
    <r>
      <rPr>
        <b/>
        <vertAlign val="superscript"/>
        <sz val="11"/>
        <color theme="1"/>
        <rFont val="Arial"/>
        <family val="2"/>
      </rPr>
      <t>e</t>
    </r>
  </si>
  <si>
    <t>Line 16 = (1  + Line 14) / (1 + Line 15) - 1.</t>
  </si>
  <si>
    <t>Line 17 = (1 + Line 12) / (1 +Line 16) - 1.</t>
  </si>
  <si>
    <t>The spread being measured here is the nominal A-rated utility bond yield over the average nominal utility dividend yield; (Line 18 - Line 12).</t>
  </si>
  <si>
    <t>The spread being measured here is the real A-rated utility bond yield over the average real utility dividend yield; Line 19 - Line 17)</t>
  </si>
  <si>
    <t>The spread being measured here is the nominal 20-Year Treasury yield over the average nominal utility dividend yield; (Line 14 - Line 12).</t>
  </si>
  <si>
    <t>The spread being measured here is the real 20-Year TIPS yield over the average real utility dividend yield; Line 15 - Line 17)</t>
  </si>
  <si>
    <t>Full</t>
  </si>
  <si>
    <t>Most</t>
  </si>
  <si>
    <t xml:space="preserve">Partial </t>
  </si>
  <si>
    <t>Partial</t>
  </si>
  <si>
    <t>Total</t>
  </si>
  <si>
    <t>Years</t>
  </si>
  <si>
    <t>Recent</t>
  </si>
  <si>
    <t>Dec '17</t>
  </si>
  <si>
    <t>Adder</t>
  </si>
  <si>
    <t>Natural Gas Utilities</t>
  </si>
  <si>
    <t>Based on the average of the high and low price and the projected Cash Flow per share.</t>
  </si>
  <si>
    <t>Based on the average of the high and low price and the projected Book Value per share.</t>
  </si>
  <si>
    <t>Based on the average of the high and low price and the projected Dividends Declared per share, published in the Value Line Investment Survey.</t>
  </si>
  <si>
    <t>Based on the projected Cash Flow per share and Capital Spending per share</t>
  </si>
  <si>
    <t>Based on the average of the high and low price for year and the projected Cash Flow per share, published in The Value Line Investment Survey.</t>
  </si>
  <si>
    <t>Based on the average of the high and low price for the year and the projected Book Value per share, published in The Value Line Investment Survey.</t>
  </si>
  <si>
    <t>Based on the average of the high and low price for the year and the projected Dividends Declared per share published in the Value Line Investment Survey.</t>
  </si>
  <si>
    <t>Based on the projected Dividends Declared per share and Earnings per share, published in The Value Line Investment Survey.</t>
  </si>
  <si>
    <t>Based on the projected Cash Flow per share and Capital Spending per share, published in The Value Line Investment Survey.</t>
  </si>
  <si>
    <t>Based on the projected Dividends Declared per share and Book Value per share, published in The Value Line Investment Survey.</t>
  </si>
  <si>
    <t>Feb 26, 2021.</t>
  </si>
  <si>
    <t>March 12, April 23, and May 14, 2021.</t>
  </si>
  <si>
    <t>WTRG</t>
  </si>
  <si>
    <t xml:space="preserve">Essential Utilities           </t>
  </si>
  <si>
    <t>17-Year</t>
  </si>
  <si>
    <t>2020</t>
  </si>
  <si>
    <t>February 25, 2022</t>
  </si>
  <si>
    <r>
      <t>2019</t>
    </r>
    <r>
      <rPr>
        <b/>
        <u/>
        <vertAlign val="superscript"/>
        <sz val="11"/>
        <rFont val="Arial"/>
        <family val="2"/>
      </rPr>
      <t>1</t>
    </r>
  </si>
  <si>
    <r>
      <t xml:space="preserve">2022 </t>
    </r>
    <r>
      <rPr>
        <b/>
        <u/>
        <vertAlign val="superscript"/>
        <sz val="11"/>
        <rFont val="Arial"/>
        <family val="2"/>
      </rPr>
      <t>2</t>
    </r>
  </si>
  <si>
    <r>
      <t xml:space="preserve">2022 </t>
    </r>
    <r>
      <rPr>
        <b/>
        <u/>
        <vertAlign val="superscript"/>
        <sz val="11"/>
        <rFont val="Arial"/>
        <family val="2"/>
      </rPr>
      <t>2/a</t>
    </r>
  </si>
  <si>
    <t>2021</t>
  </si>
  <si>
    <r>
      <t xml:space="preserve">2022 </t>
    </r>
    <r>
      <rPr>
        <b/>
        <u/>
        <vertAlign val="superscript"/>
        <sz val="11"/>
        <rFont val="Arial"/>
        <family val="2"/>
      </rPr>
      <t>2/b</t>
    </r>
  </si>
  <si>
    <t>March 11, April 22, and May 13, 2022.</t>
  </si>
  <si>
    <r>
      <t>2023</t>
    </r>
    <r>
      <rPr>
        <b/>
        <u/>
        <vertAlign val="superscript"/>
        <sz val="11"/>
        <rFont val="Arial"/>
        <family val="2"/>
      </rPr>
      <t>4</t>
    </r>
  </si>
  <si>
    <r>
      <t>3 - 5 yr</t>
    </r>
    <r>
      <rPr>
        <b/>
        <vertAlign val="superscript"/>
        <sz val="11"/>
        <rFont val="Arial"/>
        <family val="2"/>
      </rPr>
      <t>4</t>
    </r>
  </si>
  <si>
    <t>Market Yield on U.S. Treasury Securities at 20-Year Constant Maturity, Quoted on an Investment Basis</t>
  </si>
  <si>
    <t>Market Yield on U.S. Treasury Securities at 20-Year Constant Maturity, Quoted on an Investment Basis, Inflation-Indexed</t>
  </si>
  <si>
    <t>Essential Utilities</t>
  </si>
  <si>
    <t>April 9, 2021.</t>
  </si>
  <si>
    <t>April 8, 2022.</t>
  </si>
  <si>
    <r>
      <t>2022</t>
    </r>
    <r>
      <rPr>
        <b/>
        <u/>
        <vertAlign val="superscript"/>
        <sz val="11"/>
        <rFont val="Arial"/>
        <family val="2"/>
      </rPr>
      <t>4</t>
    </r>
  </si>
  <si>
    <r>
      <t>2020</t>
    </r>
    <r>
      <rPr>
        <b/>
        <u/>
        <vertAlign val="superscript"/>
        <sz val="11"/>
        <rFont val="Arial"/>
        <family val="2"/>
      </rPr>
      <t>2</t>
    </r>
  </si>
  <si>
    <r>
      <t>2021</t>
    </r>
    <r>
      <rPr>
        <b/>
        <u/>
        <vertAlign val="superscript"/>
        <sz val="11"/>
        <rFont val="Arial"/>
        <family val="2"/>
      </rPr>
      <t>3</t>
    </r>
  </si>
  <si>
    <t>April 7, 2023.</t>
  </si>
  <si>
    <t>Ameren Illinois Company</t>
  </si>
  <si>
    <t>April 21, May 12, and June 9, 2023.</t>
  </si>
  <si>
    <t>May 26, 2023.</t>
  </si>
  <si>
    <r>
      <t xml:space="preserve">2023 </t>
    </r>
    <r>
      <rPr>
        <b/>
        <u/>
        <vertAlign val="superscript"/>
        <sz val="11"/>
        <rFont val="Arial"/>
        <family val="2"/>
      </rPr>
      <t>2</t>
    </r>
  </si>
  <si>
    <t>Data for the years 2020 - 2022 was retrieved from Value Line Investment Surveys.</t>
  </si>
  <si>
    <r>
      <t xml:space="preserve">2023 </t>
    </r>
    <r>
      <rPr>
        <b/>
        <u/>
        <vertAlign val="superscript"/>
        <sz val="11"/>
        <rFont val="Arial"/>
        <family val="2"/>
      </rPr>
      <t>2/a</t>
    </r>
  </si>
  <si>
    <t>18-Year</t>
  </si>
  <si>
    <t>22-Year</t>
  </si>
  <si>
    <t>19-Year</t>
  </si>
  <si>
    <r>
      <t>2023</t>
    </r>
    <r>
      <rPr>
        <b/>
        <u/>
        <vertAlign val="superscript"/>
        <sz val="11"/>
        <rFont val="Arial"/>
        <family val="2"/>
      </rPr>
      <t>2</t>
    </r>
  </si>
  <si>
    <t>2022</t>
  </si>
  <si>
    <t>2023</t>
  </si>
  <si>
    <r>
      <t>2024</t>
    </r>
    <r>
      <rPr>
        <b/>
        <u/>
        <vertAlign val="superscript"/>
        <sz val="11"/>
        <rFont val="Arial"/>
        <family val="2"/>
      </rPr>
      <t>2</t>
    </r>
  </si>
  <si>
    <r>
      <t>Cash Flow / Capital Spending</t>
    </r>
    <r>
      <rPr>
        <b/>
        <vertAlign val="superscript"/>
        <sz val="11"/>
        <color theme="1"/>
        <rFont val="Arial"/>
        <family val="2"/>
      </rPr>
      <t>1</t>
    </r>
  </si>
  <si>
    <r>
      <t>3 - 5 yr</t>
    </r>
    <r>
      <rPr>
        <b/>
        <vertAlign val="superscript"/>
        <sz val="11"/>
        <rFont val="Arial"/>
        <family val="2"/>
      </rPr>
      <t>2</t>
    </r>
  </si>
  <si>
    <t>21..6</t>
  </si>
  <si>
    <t>The current year P/E ratio is based on the forward P/E (price over expected earnings per share).  All historical year P/E ratios are based on annual average share price over achieved earnings per share.</t>
  </si>
  <si>
    <t>2023 Stock Price</t>
  </si>
  <si>
    <t>The Value Line Investment Survey, various report dates.</t>
  </si>
  <si>
    <t>Based on the projected 2023 Dividend Declared per share and Book Value per share,</t>
  </si>
  <si>
    <t>Based on the projected 2023 Dividends Declared per share and Earnings per share,</t>
  </si>
  <si>
    <t>1962-01-02 to 2024-04-05</t>
  </si>
  <si>
    <t>1953-04-01 to 2024-03-01</t>
  </si>
  <si>
    <t>1962-01-05 to 2024-04-05</t>
  </si>
  <si>
    <t>2004-07-27 to 2024-04-05</t>
  </si>
  <si>
    <t>2004-07-01 to 2024-03-01</t>
  </si>
  <si>
    <t>2004-07-30 to 2024-04-05</t>
  </si>
  <si>
    <t>February 23, 2024.</t>
  </si>
  <si>
    <t>April 5, 2024.</t>
  </si>
  <si>
    <t>March 8, April 19, and May 10, 2024.</t>
  </si>
  <si>
    <t>Tampa Electric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</si>
</sst>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.000"/>
    <numFmt numFmtId="166" formatCode="[$-409]mmm\ d\,\ yyyy;@"/>
    <numFmt numFmtId="167" formatCode="0.0"/>
    <numFmt numFmtId="168" formatCode="?0.00"/>
    <numFmt numFmtId="169" formatCode="0.000000"/>
    <numFmt numFmtId="170" formatCode="_([$€-2]* #,##0.00_);_([$€-2]* \(#,##0.00\);_([$€-2]* &quot;-&quot;??_)"/>
    <numFmt numFmtId="171" formatCode="0.0000"/>
    <numFmt numFmtId="172" formatCode="0.0%"/>
    <numFmt numFmtId="173" formatCode="0.00&quot;x&quot;"/>
    <numFmt numFmtId="174" formatCode="[$-409]mmmm\ d\,\ yyyy;@"/>
    <numFmt numFmtId="175" formatCode="mm/dd/yy"/>
    <numFmt numFmtId="176" formatCode="mm/dd/yy;@"/>
    <numFmt numFmtId="177" formatCode="mm/dd/yyyy"/>
    <numFmt numFmtId="178" formatCode="?0"/>
  </numFmts>
  <fonts count="116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u/>
      <sz val="11"/>
      <name val="Arial"/>
      <family val="2"/>
    </font>
    <font>
      <b/>
      <u/>
      <vertAlign val="superscript"/>
      <sz val="11"/>
      <name val="Arial"/>
      <family val="2"/>
    </font>
    <font>
      <b/>
      <u/>
      <sz val="11"/>
      <color theme="0"/>
      <name val="Arial"/>
      <family val="2"/>
    </font>
    <font>
      <vertAlign val="superscript"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0" tint="-0.249977111117893"/>
      <name val="Arial"/>
      <family val="2"/>
    </font>
    <font>
      <sz val="11"/>
      <color rgb="FF0000FF"/>
      <name val="Arial"/>
      <family val="2"/>
    </font>
    <font>
      <sz val="8"/>
      <color theme="1"/>
      <name val="Arial"/>
      <family val="2"/>
    </font>
    <font>
      <sz val="11"/>
      <color theme="0" tint="-0.499984740745262"/>
      <name val="Arial"/>
      <family val="2"/>
    </font>
    <font>
      <sz val="8"/>
      <color theme="0" tint="-0.249977111117893"/>
      <name val="Arial"/>
      <family val="2"/>
    </font>
    <font>
      <sz val="8"/>
      <color theme="0" tint="-0.499984740745262"/>
      <name val="Arial"/>
      <family val="2"/>
    </font>
    <font>
      <b/>
      <sz val="16"/>
      <name val="Arial"/>
      <family val="2"/>
    </font>
    <font>
      <b/>
      <sz val="22"/>
      <name val="Arial"/>
      <family val="2"/>
    </font>
    <font>
      <b/>
      <u/>
      <sz val="14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u/>
      <sz val="8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9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MS Serif"/>
      <family val="1"/>
    </font>
    <font>
      <i/>
      <sz val="10"/>
      <color indexed="23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"/>
      <family val="2"/>
    </font>
    <font>
      <b/>
      <sz val="9"/>
      <color indexed="8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8"/>
      <color indexed="9"/>
      <name val="Calibri"/>
      <family val="2"/>
    </font>
    <font>
      <sz val="12"/>
      <name val="Helv"/>
    </font>
    <font>
      <sz val="12"/>
      <name val="Verdana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b/>
      <i/>
      <sz val="10"/>
      <color indexed="63"/>
      <name val="Arial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2"/>
      <color indexed="30"/>
      <name val="Calibri"/>
      <family val="2"/>
    </font>
    <font>
      <sz val="14"/>
      <color indexed="13"/>
      <name val="Helv"/>
    </font>
    <font>
      <b/>
      <sz val="18"/>
      <color indexed="56"/>
      <name val="Cambria"/>
      <family val="2"/>
    </font>
    <font>
      <b/>
      <sz val="9"/>
      <name val="Helv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b/>
      <vertAlign val="superscript"/>
      <sz val="11"/>
      <color theme="1"/>
      <name val="Arial"/>
      <family val="2"/>
    </font>
    <font>
      <sz val="8"/>
      <color theme="0" tint="-0.34998626667073579"/>
      <name val="Arial"/>
      <family val="2"/>
    </font>
    <font>
      <b/>
      <sz val="20"/>
      <name val="Arial"/>
      <family val="2"/>
    </font>
    <font>
      <b/>
      <u/>
      <sz val="16"/>
      <name val="Arial"/>
      <family val="2"/>
    </font>
    <font>
      <sz val="11"/>
      <color theme="0" tint="-0.34998626667073579"/>
      <name val="Arial"/>
      <family val="2"/>
    </font>
    <font>
      <vertAlign val="superscript"/>
      <sz val="11"/>
      <name val="Arial"/>
      <family val="2"/>
    </font>
    <font>
      <u/>
      <sz val="11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8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12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55"/>
      </bottom>
      <diagonal/>
    </border>
    <border>
      <left/>
      <right/>
      <top/>
      <bottom style="dashed">
        <color rgb="FFBFBFB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BFBFBF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6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9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167" fontId="18" fillId="0" borderId="0">
      <alignment horizontal="left" wrapText="1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1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0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41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0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41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0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41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0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41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0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3" fillId="0" borderId="0">
      <alignment horizontal="center"/>
    </xf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5" fillId="0" borderId="12" applyNumberFormat="0" applyFont="0" applyProtection="0">
      <alignment wrapText="1"/>
    </xf>
    <xf numFmtId="0" fontId="45" fillId="0" borderId="13" applyNumberFormat="0" applyFont="0" applyProtection="0">
      <alignment wrapText="1"/>
    </xf>
    <xf numFmtId="49" fontId="46" fillId="0" borderId="0"/>
    <xf numFmtId="2" fontId="47" fillId="0" borderId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8" fillId="53" borderId="14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0" fontId="49" fillId="54" borderId="15" applyNumberFormat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5" fontId="18" fillId="0" borderId="0" applyFont="0" applyFill="0" applyBorder="0" applyAlignment="0" applyProtection="0"/>
    <xf numFmtId="0" fontId="51" fillId="0" borderId="0"/>
    <xf numFmtId="0" fontId="51" fillId="0" borderId="16"/>
    <xf numFmtId="0" fontId="51" fillId="0" borderId="16"/>
    <xf numFmtId="0" fontId="43" fillId="0" borderId="0" applyProtection="0"/>
    <xf numFmtId="170" fontId="18" fillId="0" borderId="0" applyFont="0" applyFill="0" applyBorder="0" applyAlignment="0" applyProtection="0"/>
    <xf numFmtId="1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Protection="0"/>
    <xf numFmtId="0" fontId="36" fillId="0" borderId="0" applyProtection="0"/>
    <xf numFmtId="0" fontId="55" fillId="0" borderId="0" applyProtection="0"/>
    <xf numFmtId="0" fontId="56" fillId="0" borderId="0" applyProtection="0"/>
    <xf numFmtId="0" fontId="57" fillId="0" borderId="0" applyProtection="0"/>
    <xf numFmtId="0" fontId="58" fillId="0" borderId="0" applyProtection="0"/>
    <xf numFmtId="0" fontId="59" fillId="0" borderId="0" applyProtection="0"/>
    <xf numFmtId="2" fontId="43" fillId="0" borderId="0" applyProtection="0"/>
    <xf numFmtId="0" fontId="45" fillId="0" borderId="0" applyNumberFormat="0" applyFill="0" applyBorder="0" applyAlignment="0" applyProtection="0"/>
    <xf numFmtId="0" fontId="45" fillId="0" borderId="17" applyNumberFormat="0" applyProtection="0">
      <alignment wrapText="1"/>
    </xf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0" fillId="37" borderId="0" applyNumberFormat="0" applyBorder="0" applyAlignment="0" applyProtection="0"/>
    <xf numFmtId="0" fontId="61" fillId="0" borderId="18" applyNumberFormat="0" applyProtection="0">
      <alignment wrapText="1"/>
    </xf>
    <xf numFmtId="0" fontId="46" fillId="0" borderId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Protection="0"/>
    <xf numFmtId="0" fontId="66" fillId="0" borderId="0" applyProtection="0"/>
    <xf numFmtId="0" fontId="18" fillId="0" borderId="0" applyNumberFormat="0" applyFill="0" applyBorder="0" applyProtection="0">
      <alignment wrapText="1"/>
    </xf>
    <xf numFmtId="0" fontId="67" fillId="55" borderId="0" applyNumberFormat="0" applyBorder="0" applyProtection="0">
      <alignment vertical="top" wrapText="1"/>
    </xf>
    <xf numFmtId="0" fontId="18" fillId="0" borderId="0" applyNumberFormat="0" applyFill="0" applyBorder="0" applyProtection="0">
      <alignment horizontal="justify" vertical="top" wrapText="1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71" fillId="40" borderId="14" applyNumberFormat="0" applyAlignment="0" applyProtection="0"/>
    <xf numFmtId="0" fontId="36" fillId="56" borderId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3" fillId="57" borderId="0" applyNumberFormat="0" applyBorder="0" applyAlignment="0" applyProtection="0"/>
    <xf numFmtId="0" fontId="74" fillId="58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37" fontId="51" fillId="0" borderId="0"/>
    <xf numFmtId="0" fontId="18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18" fillId="0" borderId="0"/>
    <xf numFmtId="0" fontId="39" fillId="0" borderId="0"/>
    <xf numFmtId="0" fontId="45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9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7" fillId="0" borderId="0"/>
    <xf numFmtId="0" fontId="18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>
      <alignment vertical="top"/>
    </xf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3" fillId="0" borderId="0"/>
    <xf numFmtId="0" fontId="78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18" fillId="0" borderId="0">
      <alignment vertical="top"/>
    </xf>
    <xf numFmtId="0" fontId="47" fillId="0" borderId="0"/>
    <xf numFmtId="0" fontId="43" fillId="0" borderId="0"/>
    <xf numFmtId="0" fontId="43" fillId="0" borderId="0"/>
    <xf numFmtId="0" fontId="43" fillId="0" borderId="0"/>
    <xf numFmtId="0" fontId="39" fillId="0" borderId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18" fillId="59" borderId="23" applyNumberFormat="0" applyFon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0" fontId="79" fillId="53" borderId="24" applyNumberFormat="0" applyAlignment="0" applyProtection="0"/>
    <xf numFmtId="40" fontId="80" fillId="60" borderId="0">
      <alignment horizontal="right"/>
    </xf>
    <xf numFmtId="0" fontId="81" fillId="60" borderId="0">
      <alignment horizontal="right"/>
    </xf>
    <xf numFmtId="0" fontId="82" fillId="60" borderId="25"/>
    <xf numFmtId="0" fontId="82" fillId="0" borderId="0" applyBorder="0">
      <alignment horizontal="centerContinuous"/>
    </xf>
    <xf numFmtId="0" fontId="83" fillId="0" borderId="0" applyBorder="0">
      <alignment horizontal="centerContinuous"/>
    </xf>
    <xf numFmtId="0" fontId="61" fillId="0" borderId="26" applyNumberFormat="0" applyProtection="0">
      <alignment wrapText="1"/>
    </xf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0" fontId="85" fillId="0" borderId="10">
      <alignment horizontal="center"/>
    </xf>
    <xf numFmtId="3" fontId="84" fillId="0" borderId="0" applyFont="0" applyFill="0" applyBorder="0" applyAlignment="0" applyProtection="0"/>
    <xf numFmtId="0" fontId="84" fillId="61" borderId="0" applyNumberFormat="0" applyFont="0" applyBorder="0" applyAlignment="0" applyProtection="0"/>
    <xf numFmtId="0" fontId="51" fillId="0" borderId="0"/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6" fillId="57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7" fillId="62" borderId="27" applyNumberFormat="0" applyProtection="0">
      <alignment vertical="center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4" fontId="86" fillId="62" borderId="27" applyNumberFormat="0" applyProtection="0">
      <alignment horizontal="left" vertical="center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0" fontId="86" fillId="62" borderId="27" applyNumberFormat="0" applyProtection="0">
      <alignment horizontal="left" vertical="top" indent="1"/>
    </xf>
    <xf numFmtId="4" fontId="86" fillId="63" borderId="0" applyNumberFormat="0" applyProtection="0">
      <alignment horizontal="left" vertical="center" indent="1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36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42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50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4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48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2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51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64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41" fillId="43" borderId="27" applyNumberFormat="0" applyProtection="0">
      <alignment horizontal="right" vertical="center"/>
    </xf>
    <xf numFmtId="4" fontId="86" fillId="65" borderId="28" applyNumberFormat="0" applyProtection="0">
      <alignment horizontal="left" vertical="center" indent="1"/>
    </xf>
    <xf numFmtId="4" fontId="41" fillId="66" borderId="0" applyNumberFormat="0" applyProtection="0">
      <alignment horizontal="left" vertical="center" indent="1"/>
    </xf>
    <xf numFmtId="4" fontId="88" fillId="67" borderId="0" applyNumberFormat="0" applyProtection="0">
      <alignment horizontal="left" vertical="center" indent="1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8" borderId="27" applyNumberFormat="0" applyProtection="0">
      <alignment horizontal="right" vertical="center"/>
    </xf>
    <xf numFmtId="4" fontId="41" fillId="66" borderId="0" applyNumberFormat="0" applyProtection="0">
      <alignment horizontal="left" vertical="center" indent="1"/>
    </xf>
    <xf numFmtId="4" fontId="41" fillId="63" borderId="0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center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center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69" borderId="27" applyNumberFormat="0" applyProtection="0">
      <alignment horizontal="left" vertical="top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center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0" fontId="18" fillId="70" borderId="27" applyNumberFormat="0" applyProtection="0">
      <alignment horizontal="left" vertical="top" indent="1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41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89" fillId="71" borderId="27" applyNumberFormat="0" applyProtection="0">
      <alignment vertical="center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4" fontId="41" fillId="71" borderId="27" applyNumberFormat="0" applyProtection="0">
      <alignment horizontal="left" vertical="center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0" fontId="41" fillId="71" borderId="27" applyNumberFormat="0" applyProtection="0">
      <alignment horizontal="left" vertical="top" indent="1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41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89" fillId="66" borderId="27" applyNumberFormat="0" applyProtection="0">
      <alignment horizontal="right" vertical="center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4" fontId="41" fillId="68" borderId="27" applyNumberFormat="0" applyProtection="0">
      <alignment horizontal="left" vertical="center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0" fontId="41" fillId="63" borderId="27" applyNumberFormat="0" applyProtection="0">
      <alignment horizontal="left" vertical="top" indent="1"/>
    </xf>
    <xf numFmtId="4" fontId="90" fillId="72" borderId="0" applyNumberFormat="0" applyProtection="0">
      <alignment horizontal="left" vertical="center" indent="1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4" fontId="91" fillId="66" borderId="27" applyNumberFormat="0" applyProtection="0">
      <alignment horizontal="right" vertical="center"/>
    </xf>
    <xf numFmtId="169" fontId="18" fillId="0" borderId="0">
      <alignment horizontal="left" wrapText="1"/>
    </xf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18" fillId="55" borderId="0" applyNumberFormat="0" applyFont="0" applyBorder="0" applyAlignment="0" applyProtection="0"/>
    <xf numFmtId="0" fontId="92" fillId="73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wrapText="1"/>
    </xf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wrapText="1"/>
    </xf>
    <xf numFmtId="0" fontId="94" fillId="73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wrapText="1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wrapText="1"/>
    </xf>
    <xf numFmtId="0" fontId="67" fillId="0" borderId="0" applyNumberFormat="0" applyFill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>
      <alignment wrapText="1"/>
    </xf>
    <xf numFmtId="0" fontId="49" fillId="58" borderId="0" applyNumberFormat="0" applyBorder="0" applyAlignment="0" applyProtection="0"/>
    <xf numFmtId="0" fontId="49" fillId="58" borderId="0" applyNumberFormat="0" applyBorder="0" applyAlignment="0" applyProtection="0">
      <alignment wrapText="1"/>
    </xf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Protection="0">
      <alignment horizontal="center"/>
    </xf>
    <xf numFmtId="0" fontId="95" fillId="58" borderId="0" applyNumberFormat="0" applyBorder="0" applyAlignment="0" applyProtection="0"/>
    <xf numFmtId="0" fontId="18" fillId="0" borderId="0" applyNumberFormat="0" applyFont="0" applyFill="0" applyBorder="0" applyProtection="0">
      <alignment horizontal="right"/>
    </xf>
    <xf numFmtId="0" fontId="18" fillId="0" borderId="0" applyNumberFormat="0" applyFont="0" applyFill="0" applyBorder="0" applyProtection="0">
      <alignment horizontal="left"/>
    </xf>
    <xf numFmtId="0" fontId="3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8" fillId="55" borderId="0" applyNumberFormat="0" applyFont="0" applyBorder="0" applyAlignment="0" applyProtection="0"/>
    <xf numFmtId="171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1" fillId="0" borderId="29" applyNumberFormat="0" applyFill="0" applyAlignment="0" applyProtection="0"/>
    <xf numFmtId="0" fontId="18" fillId="0" borderId="10" applyNumberFormat="0" applyFont="0" applyFill="0" applyAlignment="0" applyProtection="0"/>
    <xf numFmtId="0" fontId="98" fillId="0" borderId="0" applyNumberFormat="0" applyBorder="0" applyAlignment="0"/>
    <xf numFmtId="0" fontId="99" fillId="0" borderId="0" applyNumberFormat="0" applyBorder="0" applyAlignment="0"/>
    <xf numFmtId="0" fontId="100" fillId="0" borderId="0" applyNumberFormat="0" applyBorder="0" applyAlignment="0"/>
    <xf numFmtId="0" fontId="100" fillId="0" borderId="0" applyNumberFormat="0" applyBorder="0" applyAlignment="0"/>
    <xf numFmtId="0" fontId="51" fillId="0" borderId="16"/>
    <xf numFmtId="0" fontId="51" fillId="0" borderId="16"/>
    <xf numFmtId="0" fontId="101" fillId="0" borderId="0" applyNumberFormat="0" applyProtection="0">
      <alignment horizontal="left"/>
    </xf>
    <xf numFmtId="0" fontId="102" fillId="74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86" fillId="0" borderId="30" applyNumberFormat="0" applyFill="0" applyAlignment="0" applyProtection="0"/>
    <xf numFmtId="0" fontId="104" fillId="0" borderId="31"/>
    <xf numFmtId="0" fontId="104" fillId="0" borderId="16"/>
    <xf numFmtId="0" fontId="104" fillId="0" borderId="16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18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289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16" fillId="0" borderId="10" xfId="0" applyFont="1" applyBorder="1" applyAlignment="1">
      <alignment horizontal="center" wrapText="1"/>
    </xf>
    <xf numFmtId="0" fontId="19" fillId="0" borderId="0" xfId="42" applyFont="1" applyAlignment="1">
      <alignment horizontal="center"/>
    </xf>
    <xf numFmtId="0" fontId="19" fillId="0" borderId="0" xfId="42" applyFont="1"/>
    <xf numFmtId="0" fontId="19" fillId="0" borderId="0" xfId="42" applyFont="1" applyFill="1" applyAlignment="1">
      <alignment horizontal="center"/>
    </xf>
    <xf numFmtId="0" fontId="19" fillId="0" borderId="0" xfId="42" applyFont="1" applyFill="1"/>
    <xf numFmtId="0" fontId="20" fillId="0" borderId="0" xfId="42" applyFont="1" applyFill="1" applyBorder="1" applyAlignment="1">
      <alignment horizontal="center"/>
    </xf>
    <xf numFmtId="49" fontId="22" fillId="0" borderId="0" xfId="42" applyNumberFormat="1" applyFont="1" applyFill="1" applyAlignment="1">
      <alignment horizontal="center"/>
    </xf>
    <xf numFmtId="49" fontId="22" fillId="0" borderId="0" xfId="42" applyNumberFormat="1" applyFont="1" applyFill="1" applyBorder="1" applyAlignment="1">
      <alignment horizontal="center"/>
    </xf>
    <xf numFmtId="49" fontId="22" fillId="0" borderId="0" xfId="42" applyNumberFormat="1" applyFont="1" applyAlignment="1">
      <alignment horizontal="center"/>
    </xf>
    <xf numFmtId="164" fontId="20" fillId="0" borderId="0" xfId="42" applyNumberFormat="1" applyFont="1" applyFill="1" applyBorder="1" applyAlignment="1">
      <alignment horizontal="center"/>
    </xf>
    <xf numFmtId="0" fontId="0" fillId="33" borderId="0" xfId="0" applyFill="1"/>
    <xf numFmtId="49" fontId="24" fillId="0" borderId="0" xfId="42" applyNumberFormat="1" applyFont="1" applyAlignment="1">
      <alignment horizontal="center"/>
    </xf>
    <xf numFmtId="0" fontId="0" fillId="0" borderId="0" xfId="0" applyFont="1"/>
    <xf numFmtId="0" fontId="17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9" fillId="0" borderId="11" xfId="42" applyFont="1" applyFill="1" applyBorder="1" applyAlignment="1">
      <alignment horizontal="center"/>
    </xf>
    <xf numFmtId="0" fontId="19" fillId="0" borderId="0" xfId="43" applyFont="1" applyFill="1" applyAlignment="1"/>
    <xf numFmtId="0" fontId="19" fillId="0" borderId="0" xfId="42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19" fillId="0" borderId="0" xfId="42" applyFont="1" applyFill="1" applyAlignment="1">
      <alignment horizontal="left"/>
    </xf>
    <xf numFmtId="0" fontId="0" fillId="0" borderId="0" xfId="0" applyFill="1" applyAlignment="1">
      <alignment horizontal="left" vertical="center" indent="1"/>
    </xf>
    <xf numFmtId="0" fontId="2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" fontId="0" fillId="0" borderId="0" xfId="0" applyNumberFormat="1"/>
    <xf numFmtId="0" fontId="16" fillId="0" borderId="10" xfId="0" applyFont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4" fontId="0" fillId="0" borderId="0" xfId="0" applyNumberFormat="1"/>
    <xf numFmtId="0" fontId="16" fillId="0" borderId="10" xfId="0" applyFont="1" applyBorder="1" applyAlignment="1">
      <alignment horizontal="center" wrapText="1"/>
    </xf>
    <xf numFmtId="0" fontId="0" fillId="0" borderId="0" xfId="0" applyFill="1"/>
    <xf numFmtId="166" fontId="0" fillId="0" borderId="0" xfId="0" applyNumberFormat="1" applyAlignment="1">
      <alignment horizontal="center"/>
    </xf>
    <xf numFmtId="167" fontId="0" fillId="0" borderId="0" xfId="0" applyNumberFormat="1"/>
    <xf numFmtId="0" fontId="27" fillId="0" borderId="0" xfId="0" applyFont="1"/>
    <xf numFmtId="0" fontId="27" fillId="0" borderId="0" xfId="0" applyFont="1" applyAlignment="1">
      <alignment horizontal="center"/>
    </xf>
    <xf numFmtId="0" fontId="17" fillId="0" borderId="0" xfId="0" applyFont="1"/>
    <xf numFmtId="2" fontId="0" fillId="34" borderId="0" xfId="0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28" fillId="0" borderId="0" xfId="0" applyFont="1" applyAlignment="1">
      <alignment horizontal="center"/>
    </xf>
    <xf numFmtId="0" fontId="22" fillId="0" borderId="0" xfId="42" applyNumberFormat="1" applyFont="1" applyFill="1" applyBorder="1" applyAlignment="1">
      <alignment horizontal="center"/>
    </xf>
    <xf numFmtId="0" fontId="14" fillId="0" borderId="0" xfId="0" applyFont="1" applyFill="1"/>
    <xf numFmtId="0" fontId="0" fillId="0" borderId="11" xfId="0" applyFill="1" applyBorder="1"/>
    <xf numFmtId="0" fontId="0" fillId="0" borderId="0" xfId="0" applyFill="1" applyBorder="1"/>
    <xf numFmtId="0" fontId="28" fillId="0" borderId="0" xfId="0" applyFont="1" applyFill="1"/>
    <xf numFmtId="0" fontId="29" fillId="0" borderId="0" xfId="0" applyFont="1" applyFill="1" applyAlignment="1">
      <alignment horizontal="center"/>
    </xf>
    <xf numFmtId="0" fontId="16" fillId="0" borderId="10" xfId="0" applyFont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16" fillId="0" borderId="0" xfId="0" applyFont="1" applyAlignment="1">
      <alignment horizontal="left" indent="3"/>
    </xf>
    <xf numFmtId="0" fontId="19" fillId="0" borderId="0" xfId="0" applyFont="1" applyFill="1"/>
    <xf numFmtId="0" fontId="19" fillId="0" borderId="0" xfId="0" applyFont="1" applyAlignment="1">
      <alignment horizontal="center"/>
    </xf>
    <xf numFmtId="2" fontId="19" fillId="0" borderId="0" xfId="0" applyNumberFormat="1" applyFont="1"/>
    <xf numFmtId="0" fontId="30" fillId="0" borderId="0" xfId="0" applyFont="1" applyAlignment="1">
      <alignment horizontal="center"/>
    </xf>
    <xf numFmtId="0" fontId="27" fillId="0" borderId="0" xfId="0" applyFont="1" applyFill="1" applyAlignment="1">
      <alignment horizontal="center"/>
    </xf>
    <xf numFmtId="0" fontId="16" fillId="0" borderId="10" xfId="0" applyFont="1" applyFill="1" applyBorder="1" applyAlignment="1">
      <alignment horizontal="center" wrapText="1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/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32" fillId="0" borderId="0" xfId="0" applyFont="1" applyAlignment="1">
      <alignment horizontal="left"/>
    </xf>
    <xf numFmtId="167" fontId="28" fillId="0" borderId="0" xfId="0" applyNumberFormat="1" applyFont="1"/>
    <xf numFmtId="2" fontId="28" fillId="0" borderId="0" xfId="0" applyNumberFormat="1" applyFont="1"/>
    <xf numFmtId="0" fontId="19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36" fillId="0" borderId="0" xfId="0" applyNumberFormat="1" applyFont="1" applyAlignment="1">
      <alignment horizontal="center"/>
    </xf>
    <xf numFmtId="14" fontId="29" fillId="0" borderId="0" xfId="0" applyNumberFormat="1" applyFont="1"/>
    <xf numFmtId="0" fontId="37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14" fontId="28" fillId="0" borderId="0" xfId="0" applyNumberFormat="1" applyFont="1"/>
    <xf numFmtId="14" fontId="36" fillId="0" borderId="0" xfId="0" applyNumberFormat="1" applyFont="1"/>
    <xf numFmtId="2" fontId="29" fillId="0" borderId="0" xfId="0" applyNumberFormat="1" applyFont="1"/>
    <xf numFmtId="0" fontId="25" fillId="0" borderId="0" xfId="0" applyFont="1" applyFill="1" applyAlignment="1">
      <alignment vertical="center"/>
    </xf>
    <xf numFmtId="10" fontId="0" fillId="0" borderId="0" xfId="44" applyNumberFormat="1" applyFont="1" applyAlignment="1">
      <alignment horizontal="center"/>
    </xf>
    <xf numFmtId="0" fontId="38" fillId="0" borderId="0" xfId="0" applyFont="1" applyAlignment="1">
      <alignment wrapText="1"/>
    </xf>
    <xf numFmtId="1" fontId="0" fillId="0" borderId="0" xfId="0" applyNumberFormat="1"/>
    <xf numFmtId="2" fontId="0" fillId="0" borderId="0" xfId="0" applyNumberFormat="1" applyAlignment="1">
      <alignment horizontal="right"/>
    </xf>
    <xf numFmtId="0" fontId="29" fillId="0" borderId="0" xfId="0" applyNumberFormat="1" applyFont="1"/>
    <xf numFmtId="49" fontId="22" fillId="0" borderId="0" xfId="42" applyNumberFormat="1" applyFont="1" applyAlignment="1">
      <alignment horizontal="left" indent="4"/>
    </xf>
    <xf numFmtId="0" fontId="26" fillId="0" borderId="0" xfId="0" applyFont="1" applyAlignment="1">
      <alignment horizontal="center" wrapText="1"/>
    </xf>
    <xf numFmtId="10" fontId="19" fillId="0" borderId="0" xfId="44" applyNumberFormat="1" applyFont="1"/>
    <xf numFmtId="0" fontId="37" fillId="0" borderId="0" xfId="0" applyFont="1" applyAlignment="1">
      <alignment horizontal="center" wrapText="1"/>
    </xf>
    <xf numFmtId="10" fontId="29" fillId="0" borderId="0" xfId="44" applyNumberFormat="1" applyFont="1"/>
    <xf numFmtId="0" fontId="28" fillId="0" borderId="0" xfId="0" applyFont="1"/>
    <xf numFmtId="0" fontId="0" fillId="0" borderId="11" xfId="0" applyBorder="1"/>
    <xf numFmtId="0" fontId="25" fillId="0" borderId="0" xfId="0" applyFont="1" applyFill="1" applyAlignment="1">
      <alignment horizontal="right" vertical="center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172" fontId="0" fillId="0" borderId="0" xfId="44" applyNumberFormat="1" applyFont="1" applyAlignment="1">
      <alignment horizontal="center"/>
    </xf>
    <xf numFmtId="0" fontId="16" fillId="0" borderId="0" xfId="0" applyFont="1" applyAlignment="1">
      <alignment horizontal="center"/>
    </xf>
    <xf numFmtId="10" fontId="28" fillId="0" borderId="0" xfId="44" applyNumberFormat="1" applyFont="1" applyAlignment="1">
      <alignment horizontal="center"/>
    </xf>
    <xf numFmtId="0" fontId="19" fillId="0" borderId="0" xfId="0" applyFont="1" applyFill="1" applyBorder="1"/>
    <xf numFmtId="2" fontId="19" fillId="0" borderId="0" xfId="0" applyNumberFormat="1" applyFont="1" applyFill="1" applyBorder="1" applyAlignment="1">
      <alignment horizontal="center"/>
    </xf>
    <xf numFmtId="168" fontId="19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42" applyFont="1" applyFill="1" applyBorder="1"/>
    <xf numFmtId="10" fontId="20" fillId="0" borderId="0" xfId="44" applyNumberFormat="1" applyFont="1" applyFill="1" applyBorder="1" applyAlignment="1">
      <alignment horizontal="center"/>
    </xf>
    <xf numFmtId="0" fontId="16" fillId="0" borderId="0" xfId="0" applyFont="1"/>
    <xf numFmtId="10" fontId="20" fillId="0" borderId="0" xfId="44" applyNumberFormat="1" applyFont="1" applyFill="1" applyBorder="1" applyAlignment="1"/>
    <xf numFmtId="10" fontId="16" fillId="0" borderId="0" xfId="44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16" fillId="0" borderId="0" xfId="44" applyNumberFormat="1" applyFont="1" applyAlignment="1">
      <alignment horizontal="center"/>
    </xf>
    <xf numFmtId="0" fontId="13" fillId="0" borderId="0" xfId="42" applyFont="1" applyFill="1" applyBorder="1" applyAlignment="1">
      <alignment horizontal="center"/>
    </xf>
    <xf numFmtId="0" fontId="36" fillId="0" borderId="0" xfId="0" applyFont="1" applyFill="1" applyAlignment="1">
      <alignment horizontal="center"/>
    </xf>
    <xf numFmtId="2" fontId="20" fillId="0" borderId="0" xfId="42" applyNumberFormat="1" applyFont="1" applyFill="1" applyBorder="1" applyAlignment="1"/>
    <xf numFmtId="0" fontId="0" fillId="0" borderId="0" xfId="0" applyAlignment="1">
      <alignment wrapText="1"/>
    </xf>
    <xf numFmtId="0" fontId="108" fillId="0" borderId="0" xfId="0" applyFont="1" applyAlignment="1">
      <alignment horizontal="center"/>
    </xf>
    <xf numFmtId="0" fontId="34" fillId="0" borderId="0" xfId="42" applyFont="1" applyFill="1" applyAlignment="1"/>
    <xf numFmtId="0" fontId="33" fillId="0" borderId="0" xfId="42" applyFont="1" applyAlignment="1"/>
    <xf numFmtId="0" fontId="35" fillId="0" borderId="0" xfId="42" applyFont="1" applyAlignment="1"/>
    <xf numFmtId="173" fontId="0" fillId="0" borderId="0" xfId="44" applyNumberFormat="1" applyFont="1" applyAlignment="1">
      <alignment horizontal="center"/>
    </xf>
    <xf numFmtId="174" fontId="0" fillId="0" borderId="0" xfId="0" applyNumberFormat="1"/>
    <xf numFmtId="0" fontId="16" fillId="0" borderId="0" xfId="0" applyFont="1" applyAlignment="1"/>
    <xf numFmtId="2" fontId="0" fillId="33" borderId="0" xfId="0" applyNumberFormat="1" applyFill="1" applyAlignment="1">
      <alignment horizontal="right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2" fontId="0" fillId="0" borderId="0" xfId="44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2" fontId="16" fillId="0" borderId="0" xfId="44" applyNumberFormat="1" applyFont="1" applyAlignment="1">
      <alignment horizontal="center"/>
    </xf>
    <xf numFmtId="10" fontId="16" fillId="0" borderId="0" xfId="44" applyNumberFormat="1" applyFont="1"/>
    <xf numFmtId="15" fontId="0" fillId="0" borderId="0" xfId="0" applyNumberFormat="1"/>
    <xf numFmtId="175" fontId="19" fillId="0" borderId="0" xfId="42" applyNumberFormat="1" applyFont="1"/>
    <xf numFmtId="10" fontId="19" fillId="0" borderId="0" xfId="3798" applyNumberFormat="1" applyFont="1" applyAlignment="1">
      <alignment horizontal="center"/>
    </xf>
    <xf numFmtId="10" fontId="19" fillId="0" borderId="0" xfId="3798" applyNumberFormat="1" applyFont="1" applyFill="1" applyAlignment="1">
      <alignment horizontal="center"/>
    </xf>
    <xf numFmtId="0" fontId="20" fillId="0" borderId="0" xfId="42" applyFont="1" applyAlignment="1">
      <alignment horizontal="center"/>
    </xf>
    <xf numFmtId="175" fontId="20" fillId="0" borderId="0" xfId="42" applyNumberFormat="1" applyFont="1" applyFill="1" applyAlignment="1">
      <alignment horizontal="center"/>
    </xf>
    <xf numFmtId="10" fontId="20" fillId="0" borderId="0" xfId="3798" applyNumberFormat="1" applyFont="1" applyFill="1" applyAlignment="1">
      <alignment horizontal="center"/>
    </xf>
    <xf numFmtId="0" fontId="22" fillId="0" borderId="0" xfId="42" applyFont="1" applyAlignment="1">
      <alignment horizontal="center"/>
    </xf>
    <xf numFmtId="175" fontId="22" fillId="0" borderId="0" xfId="42" applyNumberFormat="1" applyFont="1" applyFill="1" applyAlignment="1">
      <alignment horizontal="center"/>
    </xf>
    <xf numFmtId="10" fontId="22" fillId="0" borderId="0" xfId="3798" applyNumberFormat="1" applyFont="1" applyFill="1" applyAlignment="1">
      <alignment horizontal="center"/>
    </xf>
    <xf numFmtId="164" fontId="20" fillId="0" borderId="0" xfId="3798" applyNumberFormat="1" applyFont="1" applyFill="1" applyAlignment="1">
      <alignment horizontal="center"/>
    </xf>
    <xf numFmtId="0" fontId="111" fillId="0" borderId="0" xfId="42" applyFont="1"/>
    <xf numFmtId="1" fontId="0" fillId="0" borderId="0" xfId="0" applyNumberFormat="1" applyAlignment="1">
      <alignment horizontal="center"/>
    </xf>
    <xf numFmtId="10" fontId="19" fillId="0" borderId="0" xfId="44" applyNumberFormat="1" applyFont="1" applyAlignment="1">
      <alignment horizontal="center"/>
    </xf>
    <xf numFmtId="171" fontId="19" fillId="0" borderId="0" xfId="42" applyNumberFormat="1" applyFont="1"/>
    <xf numFmtId="176" fontId="19" fillId="0" borderId="0" xfId="42" applyNumberFormat="1" applyFont="1"/>
    <xf numFmtId="49" fontId="19" fillId="0" borderId="0" xfId="42" applyNumberFormat="1" applyFont="1"/>
    <xf numFmtId="43" fontId="111" fillId="0" borderId="0" xfId="4159" applyFont="1"/>
    <xf numFmtId="49" fontId="111" fillId="0" borderId="0" xfId="42" applyNumberFormat="1" applyFont="1"/>
    <xf numFmtId="176" fontId="0" fillId="0" borderId="0" xfId="0" applyNumberFormat="1" applyAlignment="1">
      <alignment horizontal="center"/>
    </xf>
    <xf numFmtId="176" fontId="19" fillId="0" borderId="0" xfId="42" applyNumberFormat="1" applyFont="1" applyAlignment="1">
      <alignment horizontal="center"/>
    </xf>
    <xf numFmtId="175" fontId="20" fillId="0" borderId="0" xfId="42" applyNumberFormat="1" applyFont="1" applyAlignment="1">
      <alignment horizontal="left"/>
    </xf>
    <xf numFmtId="10" fontId="20" fillId="0" borderId="0" xfId="3798" applyNumberFormat="1" applyFont="1" applyAlignment="1">
      <alignment horizontal="center"/>
    </xf>
    <xf numFmtId="10" fontId="19" fillId="0" borderId="0" xfId="42" applyNumberFormat="1" applyFont="1"/>
    <xf numFmtId="175" fontId="20" fillId="0" borderId="0" xfId="42" applyNumberFormat="1" applyFont="1" applyAlignment="1">
      <alignment horizontal="center"/>
    </xf>
    <xf numFmtId="10" fontId="19" fillId="0" borderId="11" xfId="3798" applyNumberFormat="1" applyFont="1" applyFill="1" applyBorder="1" applyAlignment="1">
      <alignment horizontal="center"/>
    </xf>
    <xf numFmtId="10" fontId="19" fillId="0" borderId="0" xfId="3798" applyNumberFormat="1" applyFont="1" applyFill="1" applyBorder="1" applyAlignment="1">
      <alignment horizontal="center"/>
    </xf>
    <xf numFmtId="0" fontId="112" fillId="0" borderId="0" xfId="42" applyFont="1"/>
    <xf numFmtId="177" fontId="18" fillId="0" borderId="0" xfId="4160" applyNumberFormat="1"/>
    <xf numFmtId="167" fontId="18" fillId="0" borderId="0" xfId="4160" applyNumberFormat="1"/>
    <xf numFmtId="0" fontId="18" fillId="0" borderId="0" xfId="4160"/>
    <xf numFmtId="177" fontId="113" fillId="0" borderId="0" xfId="4161" applyNumberFormat="1" applyAlignment="1" applyProtection="1"/>
    <xf numFmtId="0" fontId="18" fillId="75" borderId="0" xfId="4160" applyFill="1"/>
    <xf numFmtId="177" fontId="18" fillId="0" borderId="0" xfId="4160" applyNumberFormat="1" applyFont="1" applyFill="1" applyBorder="1" applyAlignment="1" applyProtection="1"/>
    <xf numFmtId="167" fontId="18" fillId="0" borderId="0" xfId="4160" applyNumberFormat="1" applyFont="1" applyFill="1" applyBorder="1" applyAlignment="1" applyProtection="1"/>
    <xf numFmtId="167" fontId="18" fillId="0" borderId="0" xfId="4160" applyNumberFormat="1" applyFont="1" applyFill="1" applyBorder="1" applyAlignment="1" applyProtection="1">
      <alignment horizontal="right"/>
    </xf>
    <xf numFmtId="177" fontId="18" fillId="0" borderId="0" xfId="4160" applyNumberFormat="1" applyFont="1"/>
    <xf numFmtId="1" fontId="18" fillId="0" borderId="0" xfId="4160" applyNumberFormat="1"/>
    <xf numFmtId="167" fontId="28" fillId="0" borderId="0" xfId="0" applyNumberFormat="1" applyFont="1" applyAlignment="1">
      <alignment horizontal="right"/>
    </xf>
    <xf numFmtId="2" fontId="0" fillId="33" borderId="0" xfId="0" applyNumberFormat="1" applyFill="1"/>
    <xf numFmtId="0" fontId="16" fillId="0" borderId="0" xfId="0" applyFont="1" applyAlignment="1">
      <alignment horizontal="center"/>
    </xf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167" fontId="28" fillId="0" borderId="0" xfId="0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0" fontId="0" fillId="0" borderId="0" xfId="0" applyFont="1" applyFill="1"/>
    <xf numFmtId="10" fontId="0" fillId="0" borderId="0" xfId="44" applyNumberFormat="1" applyFont="1" applyFill="1" applyAlignment="1">
      <alignment horizontal="center"/>
    </xf>
    <xf numFmtId="2" fontId="19" fillId="0" borderId="0" xfId="0" applyNumberFormat="1" applyFont="1" applyFill="1" applyBorder="1"/>
    <xf numFmtId="14" fontId="19" fillId="0" borderId="0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0" fontId="20" fillId="0" borderId="0" xfId="42" applyFont="1" applyFill="1" applyAlignment="1">
      <alignment horizontal="center"/>
    </xf>
    <xf numFmtId="1" fontId="0" fillId="0" borderId="0" xfId="44" applyNumberFormat="1" applyFont="1" applyAlignment="1">
      <alignment horizontal="center"/>
    </xf>
    <xf numFmtId="16" fontId="22" fillId="0" borderId="0" xfId="42" quotePrefix="1" applyNumberFormat="1" applyFont="1" applyFill="1" applyBorder="1" applyAlignment="1">
      <alignment horizontal="center"/>
    </xf>
    <xf numFmtId="178" fontId="0" fillId="0" borderId="0" xfId="0" applyNumberFormat="1"/>
    <xf numFmtId="168" fontId="0" fillId="0" borderId="0" xfId="0" applyNumberFormat="1"/>
    <xf numFmtId="10" fontId="0" fillId="0" borderId="0" xfId="44" applyNumberFormat="1" applyFont="1"/>
    <xf numFmtId="2" fontId="19" fillId="0" borderId="0" xfId="42" applyNumberFormat="1" applyFont="1" applyFill="1"/>
    <xf numFmtId="14" fontId="0" fillId="0" borderId="0" xfId="44" applyNumberFormat="1" applyFont="1" applyAlignment="1">
      <alignment horizontal="center"/>
    </xf>
    <xf numFmtId="0" fontId="20" fillId="0" borderId="11" xfId="42" applyFont="1" applyFill="1" applyBorder="1" applyAlignment="1"/>
    <xf numFmtId="2" fontId="28" fillId="0" borderId="0" xfId="0" applyNumberFormat="1" applyFont="1" applyAlignment="1">
      <alignment horizontal="right"/>
    </xf>
    <xf numFmtId="2" fontId="28" fillId="0" borderId="0" xfId="0" applyNumberFormat="1" applyFont="1" applyFill="1"/>
    <xf numFmtId="167" fontId="28" fillId="0" borderId="0" xfId="0" applyNumberFormat="1" applyFont="1" applyFill="1" applyAlignment="1">
      <alignment horizontal="right"/>
    </xf>
    <xf numFmtId="167" fontId="28" fillId="0" borderId="0" xfId="0" applyNumberFormat="1" applyFont="1" applyFill="1"/>
    <xf numFmtId="2" fontId="0" fillId="0" borderId="0" xfId="0" applyNumberFormat="1" applyFill="1"/>
    <xf numFmtId="2" fontId="19" fillId="0" borderId="0" xfId="0" applyNumberFormat="1" applyFont="1" applyFill="1"/>
    <xf numFmtId="10" fontId="19" fillId="0" borderId="0" xfId="44" applyNumberFormat="1" applyFont="1" applyFill="1"/>
    <xf numFmtId="167" fontId="0" fillId="0" borderId="0" xfId="0" applyNumberFormat="1" applyFill="1"/>
    <xf numFmtId="0" fontId="16" fillId="0" borderId="0" xfId="0" applyFont="1" applyFill="1"/>
    <xf numFmtId="0" fontId="19" fillId="0" borderId="0" xfId="0" applyFont="1" applyFill="1" applyAlignment="1">
      <alignment horizontal="center"/>
    </xf>
    <xf numFmtId="167" fontId="18" fillId="0" borderId="0" xfId="4162" applyNumberFormat="1"/>
    <xf numFmtId="177" fontId="18" fillId="0" borderId="0" xfId="4162" applyNumberFormat="1"/>
    <xf numFmtId="15" fontId="28" fillId="0" borderId="0" xfId="0" quotePrefix="1" applyNumberFormat="1" applyFont="1"/>
    <xf numFmtId="0" fontId="28" fillId="0" borderId="0" xfId="0" quotePrefix="1" applyFont="1"/>
    <xf numFmtId="0" fontId="16" fillId="0" borderId="0" xfId="0" applyFont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25" xfId="0" applyBorder="1"/>
    <xf numFmtId="0" fontId="0" fillId="0" borderId="0" xfId="0" applyBorder="1"/>
    <xf numFmtId="0" fontId="26" fillId="0" borderId="0" xfId="0" applyFont="1" applyBorder="1" applyAlignment="1">
      <alignment horizontal="center"/>
    </xf>
    <xf numFmtId="0" fontId="16" fillId="0" borderId="0" xfId="0" applyFont="1" applyBorder="1"/>
    <xf numFmtId="10" fontId="0" fillId="0" borderId="0" xfId="44" applyNumberFormat="1" applyFont="1" applyBorder="1"/>
    <xf numFmtId="0" fontId="0" fillId="0" borderId="43" xfId="0" applyBorder="1"/>
    <xf numFmtId="0" fontId="0" fillId="0" borderId="11" xfId="0" quotePrefix="1" applyBorder="1"/>
    <xf numFmtId="0" fontId="0" fillId="0" borderId="44" xfId="0" applyBorder="1"/>
    <xf numFmtId="0" fontId="26" fillId="0" borderId="0" xfId="0" applyFont="1" applyBorder="1"/>
    <xf numFmtId="49" fontId="22" fillId="0" borderId="0" xfId="42" applyNumberFormat="1" applyFont="1" applyAlignment="1">
      <alignment horizontal="left" indent="4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14" fontId="28" fillId="0" borderId="0" xfId="0" applyNumberFormat="1" applyFont="1" applyFill="1"/>
    <xf numFmtId="167" fontId="2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right"/>
    </xf>
    <xf numFmtId="166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right"/>
    </xf>
    <xf numFmtId="0" fontId="0" fillId="0" borderId="0" xfId="0" quotePrefix="1" applyFill="1" applyAlignment="1">
      <alignment horizontal="left" vertical="center" indent="1"/>
    </xf>
    <xf numFmtId="10" fontId="19" fillId="0" borderId="0" xfId="42" applyNumberFormat="1" applyFont="1" applyFill="1"/>
    <xf numFmtId="0" fontId="16" fillId="0" borderId="0" xfId="0" applyFont="1" applyAlignment="1">
      <alignment horizontal="left" vertical="center" wrapText="1"/>
    </xf>
    <xf numFmtId="10" fontId="19" fillId="0" borderId="0" xfId="0" applyNumberFormat="1" applyFont="1" applyFill="1" applyBorder="1"/>
    <xf numFmtId="0" fontId="19" fillId="0" borderId="0" xfId="42" applyFont="1" applyFill="1" applyBorder="1" applyAlignment="1">
      <alignment horizontal="center"/>
    </xf>
    <xf numFmtId="0" fontId="19" fillId="0" borderId="0" xfId="43" applyFont="1" applyFill="1" applyBorder="1" applyAlignment="1"/>
    <xf numFmtId="0" fontId="19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9" fontId="22" fillId="0" borderId="0" xfId="42" applyNumberFormat="1" applyFont="1" applyAlignment="1">
      <alignment horizontal="left" indent="4"/>
    </xf>
    <xf numFmtId="0" fontId="22" fillId="0" borderId="0" xfId="42" quotePrefix="1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28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14" fontId="28" fillId="0" borderId="0" xfId="0" applyNumberFormat="1" applyFont="1" applyFill="1" applyAlignment="1">
      <alignment horizontal="center"/>
    </xf>
    <xf numFmtId="2" fontId="19" fillId="0" borderId="0" xfId="0" applyNumberFormat="1" applyFont="1" applyFill="1" applyAlignment="1">
      <alignment horizontal="center"/>
    </xf>
    <xf numFmtId="10" fontId="19" fillId="0" borderId="0" xfId="44" applyNumberFormat="1" applyFont="1" applyFill="1" applyAlignment="1">
      <alignment horizontal="center"/>
    </xf>
    <xf numFmtId="10" fontId="1" fillId="0" borderId="0" xfId="44" applyNumberFormat="1" applyFont="1" applyAlignment="1">
      <alignment horizontal="center"/>
    </xf>
    <xf numFmtId="0" fontId="29" fillId="0" borderId="0" xfId="0" applyFont="1" applyFill="1"/>
    <xf numFmtId="2" fontId="29" fillId="0" borderId="0" xfId="0" applyNumberFormat="1" applyFont="1" applyFill="1"/>
    <xf numFmtId="10" fontId="29" fillId="0" borderId="0" xfId="44" applyNumberFormat="1" applyFont="1" applyFill="1"/>
    <xf numFmtId="0" fontId="27" fillId="0" borderId="0" xfId="0" applyFont="1" applyFill="1"/>
    <xf numFmtId="0" fontId="19" fillId="0" borderId="0" xfId="0" applyFont="1" applyFill="1" applyAlignment="1">
      <alignment horizontal="right"/>
    </xf>
    <xf numFmtId="165" fontId="0" fillId="0" borderId="0" xfId="0" applyNumberFormat="1" applyFill="1" applyAlignment="1">
      <alignment horizontal="center"/>
    </xf>
    <xf numFmtId="16" fontId="0" fillId="0" borderId="0" xfId="0" applyNumberFormat="1" applyFill="1"/>
    <xf numFmtId="165" fontId="19" fillId="0" borderId="0" xfId="0" applyNumberFormat="1" applyFont="1" applyFill="1" applyAlignment="1">
      <alignment horizontal="center"/>
    </xf>
    <xf numFmtId="0" fontId="29" fillId="0" borderId="32" xfId="0" applyFont="1" applyFill="1" applyBorder="1"/>
    <xf numFmtId="0" fontId="29" fillId="0" borderId="33" xfId="0" applyFont="1" applyFill="1" applyBorder="1"/>
    <xf numFmtId="0" fontId="29" fillId="0" borderId="34" xfId="0" applyFont="1" applyFill="1" applyBorder="1"/>
    <xf numFmtId="0" fontId="29" fillId="0" borderId="35" xfId="0" applyFont="1" applyFill="1" applyBorder="1"/>
    <xf numFmtId="0" fontId="29" fillId="0" borderId="36" xfId="0" applyFont="1" applyFill="1" applyBorder="1"/>
    <xf numFmtId="0" fontId="29" fillId="0" borderId="37" xfId="0" applyFont="1" applyFill="1" applyBorder="1"/>
    <xf numFmtId="0" fontId="29" fillId="0" borderId="0" xfId="0" applyFont="1" applyFill="1" applyBorder="1"/>
    <xf numFmtId="2" fontId="29" fillId="0" borderId="0" xfId="0" applyNumberFormat="1" applyFont="1" applyFill="1" applyBorder="1"/>
    <xf numFmtId="167" fontId="29" fillId="0" borderId="33" xfId="0" applyNumberFormat="1" applyFont="1" applyFill="1" applyBorder="1"/>
    <xf numFmtId="0" fontId="29" fillId="0" borderId="38" xfId="0" applyFont="1" applyFill="1" applyBorder="1"/>
    <xf numFmtId="167" fontId="29" fillId="0" borderId="0" xfId="0" applyNumberFormat="1" applyFont="1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49" fontId="22" fillId="0" borderId="0" xfId="42" applyNumberFormat="1" applyFont="1" applyAlignment="1">
      <alignment horizontal="left" indent="4"/>
    </xf>
    <xf numFmtId="2" fontId="20" fillId="0" borderId="11" xfId="42" applyNumberFormat="1" applyFont="1" applyFill="1" applyBorder="1" applyAlignment="1">
      <alignment horizontal="center"/>
    </xf>
    <xf numFmtId="0" fontId="34" fillId="0" borderId="0" xfId="42" applyFont="1" applyFill="1" applyAlignment="1">
      <alignment horizontal="center"/>
    </xf>
    <xf numFmtId="0" fontId="33" fillId="0" borderId="0" xfId="42" applyFont="1" applyAlignment="1">
      <alignment horizontal="center"/>
    </xf>
    <xf numFmtId="0" fontId="35" fillId="0" borderId="0" xfId="42" applyFont="1" applyAlignment="1">
      <alignment horizontal="center"/>
    </xf>
    <xf numFmtId="0" fontId="20" fillId="0" borderId="11" xfId="42" applyFont="1" applyFill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34" fillId="0" borderId="0" xfId="42" applyFont="1" applyFill="1" applyAlignment="1">
      <alignment horizontal="center" wrapText="1"/>
    </xf>
    <xf numFmtId="2" fontId="20" fillId="0" borderId="0" xfId="42" applyNumberFormat="1" applyFont="1" applyFill="1" applyBorder="1" applyAlignment="1">
      <alignment horizontal="center"/>
    </xf>
    <xf numFmtId="49" fontId="22" fillId="0" borderId="0" xfId="42" applyNumberFormat="1" applyFont="1" applyFill="1" applyBorder="1" applyAlignment="1">
      <alignment horizontal="left" indent="4"/>
    </xf>
    <xf numFmtId="0" fontId="26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09" fillId="0" borderId="0" xfId="42" applyFont="1" applyAlignment="1">
      <alignment horizontal="center"/>
    </xf>
    <xf numFmtId="0" fontId="110" fillId="0" borderId="0" xfId="42" applyFont="1" applyAlignment="1">
      <alignment horizontal="center"/>
    </xf>
  </cellXfs>
  <cellStyles count="4163">
    <cellStyle name="_x000a_bidires=100_x000d_" xfId="45"/>
    <cellStyle name="_2008 Reforecast 0+12  03.14.08" xfId="46"/>
    <cellStyle name="_2008 Reforecast 0+12  03.14.08_Avera UIL NEEWS Analyses 2011" xfId="47"/>
    <cellStyle name="_2008 Reforecast 0+12  03.14.08_Avera UIL NEEWS Analyses 2011_Baudino Exhibits" xfId="48"/>
    <cellStyle name="_2008 Reforecast 0+12  03.14.08_Avera UIL NEEWS Analyses 2011_Baudino Exhibits 2" xfId="49"/>
    <cellStyle name="_2008 Reforecast 0+12  03.14.08_Baudino Exhibits" xfId="50"/>
    <cellStyle name="_2008 Reforecast 0+12  03.14.08_Baudino Exhibits 2" xfId="51"/>
    <cellStyle name="_2008 Reforecast 0+12  03.14.08_Value Line Data Base" xfId="52"/>
    <cellStyle name="_2008 Reforecast 0+12  03.14.08_Value Line Data Base 2" xfId="53"/>
    <cellStyle name="_2008_ACCT 17103" xfId="54"/>
    <cellStyle name="_2008_ACCT 17103_Avera UIL NEEWS Analyses 2011" xfId="55"/>
    <cellStyle name="_2008_ACCT 17103_Avera UIL NEEWS Analyses 2011_Baudino Exhibits" xfId="56"/>
    <cellStyle name="_2008_ACCT 17103_Avera UIL NEEWS Analyses 2011_Baudino Exhibits 2" xfId="57"/>
    <cellStyle name="_2008_ACCT 17103_Baudino Exhibits" xfId="58"/>
    <cellStyle name="_2008_ACCT 17103_Baudino Exhibits 2" xfId="59"/>
    <cellStyle name="_2008_ACCT 17103_Value Line Data Base" xfId="60"/>
    <cellStyle name="_2008_ACCT 17103_Value Line Data Base 2" xfId="61"/>
    <cellStyle name="_2009 Budget 5_02_08  FINAL" xfId="62"/>
    <cellStyle name="_2009 Budget 5_02_08  FINAL_Avera UIL NEEWS Analyses 2011" xfId="63"/>
    <cellStyle name="_2009 Budget 5_02_08  FINAL_Avera UIL NEEWS Analyses 2011_Baudino Exhibits" xfId="64"/>
    <cellStyle name="_2009 Budget 5_02_08  FINAL_Avera UIL NEEWS Analyses 2011_Baudino Exhibits 2" xfId="65"/>
    <cellStyle name="_2009 Budget 5_02_08  FINAL_Baudino Exhibits" xfId="66"/>
    <cellStyle name="_2009 Budget 5_02_08  FINAL_Baudino Exhibits 2" xfId="67"/>
    <cellStyle name="_2009 Budget 5_02_08  FINAL_Value Line Data Base" xfId="68"/>
    <cellStyle name="_2009 Budget 5_02_08  FINAL_Value Line Data Base 2" xfId="69"/>
    <cellStyle name="_Reformatted Cash Flow Consolidation 0706" xfId="70"/>
    <cellStyle name="_Reformatted Cash Flow Consolidation 0706_Avera UIL NEEWS Analyses 2011" xfId="71"/>
    <cellStyle name="_Reformatted Cash Flow Consolidation 0706_Avera UIL NEEWS Analyses 2011_Baudino Exhibits" xfId="72"/>
    <cellStyle name="_Reformatted Cash Flow Consolidation 0706_Avera UIL NEEWS Analyses 2011_Baudino Exhibits 2" xfId="73"/>
    <cellStyle name="_Reformatted Cash Flow Consolidation 0706_Baudino Exhibits" xfId="74"/>
    <cellStyle name="_Reformatted Cash Flow Consolidation 0706_Baudino Exhibits 2" xfId="75"/>
    <cellStyle name="_Reformatted Cash Flow Consolidation 0706_Value Line Data Base" xfId="76"/>
    <cellStyle name="_Reformatted Cash Flow Consolidation 0706_Value Line Data Base 2" xfId="77"/>
    <cellStyle name="_Reformatted Cash Flow Consolidation 0906" xfId="78"/>
    <cellStyle name="_Reformatted Cash Flow Consolidation 0906_Avera UIL NEEWS Analyses 2011" xfId="79"/>
    <cellStyle name="_Reformatted Cash Flow Consolidation 0906_Avera UIL NEEWS Analyses 2011_Baudino Exhibits" xfId="80"/>
    <cellStyle name="_Reformatted Cash Flow Consolidation 0906_Avera UIL NEEWS Analyses 2011_Baudino Exhibits 2" xfId="81"/>
    <cellStyle name="_Reformatted Cash Flow Consolidation 0906_Baudino Exhibits" xfId="82"/>
    <cellStyle name="_Reformatted Cash Flow Consolidation 0906_Baudino Exhibits 2" xfId="83"/>
    <cellStyle name="_Reformatted Cash Flow Consolidation 0906_Value Line Data Base" xfId="84"/>
    <cellStyle name="_Reformatted Cash Flow Consolidation 0906_Value Line Data Base 2" xfId="85"/>
    <cellStyle name="20% - Accent1" xfId="19" builtinId="30" customBuiltin="1"/>
    <cellStyle name="20% - Accent1 10" xfId="86"/>
    <cellStyle name="20% - Accent1 10 10" xfId="87"/>
    <cellStyle name="20% - Accent1 10 11" xfId="88"/>
    <cellStyle name="20% - Accent1 10 12" xfId="89"/>
    <cellStyle name="20% - Accent1 10 13" xfId="90"/>
    <cellStyle name="20% - Accent1 10 14" xfId="91"/>
    <cellStyle name="20% - Accent1 10 15" xfId="92"/>
    <cellStyle name="20% - Accent1 10 16" xfId="93"/>
    <cellStyle name="20% - Accent1 10 17" xfId="94"/>
    <cellStyle name="20% - Accent1 10 18" xfId="95"/>
    <cellStyle name="20% - Accent1 10 19" xfId="96"/>
    <cellStyle name="20% - Accent1 10 2" xfId="97"/>
    <cellStyle name="20% - Accent1 10 20" xfId="98"/>
    <cellStyle name="20% - Accent1 10 21" xfId="99"/>
    <cellStyle name="20% - Accent1 10 22" xfId="100"/>
    <cellStyle name="20% - Accent1 10 23" xfId="101"/>
    <cellStyle name="20% - Accent1 10 24" xfId="102"/>
    <cellStyle name="20% - Accent1 10 25" xfId="103"/>
    <cellStyle name="20% - Accent1 10 26" xfId="104"/>
    <cellStyle name="20% - Accent1 10 27" xfId="105"/>
    <cellStyle name="20% - Accent1 10 28" xfId="106"/>
    <cellStyle name="20% - Accent1 10 29" xfId="107"/>
    <cellStyle name="20% - Accent1 10 3" xfId="108"/>
    <cellStyle name="20% - Accent1 10 30" xfId="109"/>
    <cellStyle name="20% - Accent1 10 31" xfId="110"/>
    <cellStyle name="20% - Accent1 10 32" xfId="111"/>
    <cellStyle name="20% - Accent1 10 33" xfId="112"/>
    <cellStyle name="20% - Accent1 10 34" xfId="113"/>
    <cellStyle name="20% - Accent1 10 35" xfId="114"/>
    <cellStyle name="20% - Accent1 10 36" xfId="115"/>
    <cellStyle name="20% - Accent1 10 37" xfId="116"/>
    <cellStyle name="20% - Accent1 10 38" xfId="117"/>
    <cellStyle name="20% - Accent1 10 39" xfId="118"/>
    <cellStyle name="20% - Accent1 10 4" xfId="119"/>
    <cellStyle name="20% - Accent1 10 40" xfId="120"/>
    <cellStyle name="20% - Accent1 10 41" xfId="121"/>
    <cellStyle name="20% - Accent1 10 5" xfId="122"/>
    <cellStyle name="20% - Accent1 10 6" xfId="123"/>
    <cellStyle name="20% - Accent1 10 7" xfId="124"/>
    <cellStyle name="20% - Accent1 10 8" xfId="125"/>
    <cellStyle name="20% - Accent1 10 9" xfId="126"/>
    <cellStyle name="20% - Accent1 11" xfId="127"/>
    <cellStyle name="20% - Accent1 11 10" xfId="128"/>
    <cellStyle name="20% - Accent1 11 11" xfId="129"/>
    <cellStyle name="20% - Accent1 11 12" xfId="130"/>
    <cellStyle name="20% - Accent1 11 13" xfId="131"/>
    <cellStyle name="20% - Accent1 11 14" xfId="132"/>
    <cellStyle name="20% - Accent1 11 15" xfId="133"/>
    <cellStyle name="20% - Accent1 11 16" xfId="134"/>
    <cellStyle name="20% - Accent1 11 17" xfId="135"/>
    <cellStyle name="20% - Accent1 11 18" xfId="136"/>
    <cellStyle name="20% - Accent1 11 19" xfId="137"/>
    <cellStyle name="20% - Accent1 11 2" xfId="138"/>
    <cellStyle name="20% - Accent1 11 20" xfId="139"/>
    <cellStyle name="20% - Accent1 11 21" xfId="140"/>
    <cellStyle name="20% - Accent1 11 22" xfId="141"/>
    <cellStyle name="20% - Accent1 11 23" xfId="142"/>
    <cellStyle name="20% - Accent1 11 24" xfId="143"/>
    <cellStyle name="20% - Accent1 11 25" xfId="144"/>
    <cellStyle name="20% - Accent1 11 26" xfId="145"/>
    <cellStyle name="20% - Accent1 11 27" xfId="146"/>
    <cellStyle name="20% - Accent1 11 28" xfId="147"/>
    <cellStyle name="20% - Accent1 11 29" xfId="148"/>
    <cellStyle name="20% - Accent1 11 3" xfId="149"/>
    <cellStyle name="20% - Accent1 11 30" xfId="150"/>
    <cellStyle name="20% - Accent1 11 31" xfId="151"/>
    <cellStyle name="20% - Accent1 11 32" xfId="152"/>
    <cellStyle name="20% - Accent1 11 33" xfId="153"/>
    <cellStyle name="20% - Accent1 11 34" xfId="154"/>
    <cellStyle name="20% - Accent1 11 35" xfId="155"/>
    <cellStyle name="20% - Accent1 11 36" xfId="156"/>
    <cellStyle name="20% - Accent1 11 37" xfId="157"/>
    <cellStyle name="20% - Accent1 11 38" xfId="158"/>
    <cellStyle name="20% - Accent1 11 39" xfId="159"/>
    <cellStyle name="20% - Accent1 11 4" xfId="160"/>
    <cellStyle name="20% - Accent1 11 40" xfId="161"/>
    <cellStyle name="20% - Accent1 11 41" xfId="162"/>
    <cellStyle name="20% - Accent1 11 5" xfId="163"/>
    <cellStyle name="20% - Accent1 11 6" xfId="164"/>
    <cellStyle name="20% - Accent1 11 7" xfId="165"/>
    <cellStyle name="20% - Accent1 11 8" xfId="166"/>
    <cellStyle name="20% - Accent1 11 9" xfId="167"/>
    <cellStyle name="20% - Accent1 12" xfId="168"/>
    <cellStyle name="20% - Accent1 12 10" xfId="169"/>
    <cellStyle name="20% - Accent1 12 11" xfId="170"/>
    <cellStyle name="20% - Accent1 12 12" xfId="171"/>
    <cellStyle name="20% - Accent1 12 13" xfId="172"/>
    <cellStyle name="20% - Accent1 12 14" xfId="173"/>
    <cellStyle name="20% - Accent1 12 15" xfId="174"/>
    <cellStyle name="20% - Accent1 12 16" xfId="175"/>
    <cellStyle name="20% - Accent1 12 17" xfId="176"/>
    <cellStyle name="20% - Accent1 12 18" xfId="177"/>
    <cellStyle name="20% - Accent1 12 19" xfId="178"/>
    <cellStyle name="20% - Accent1 12 2" xfId="179"/>
    <cellStyle name="20% - Accent1 12 20" xfId="180"/>
    <cellStyle name="20% - Accent1 12 21" xfId="181"/>
    <cellStyle name="20% - Accent1 12 22" xfId="182"/>
    <cellStyle name="20% - Accent1 12 23" xfId="183"/>
    <cellStyle name="20% - Accent1 12 24" xfId="184"/>
    <cellStyle name="20% - Accent1 12 25" xfId="185"/>
    <cellStyle name="20% - Accent1 12 26" xfId="186"/>
    <cellStyle name="20% - Accent1 12 27" xfId="187"/>
    <cellStyle name="20% - Accent1 12 28" xfId="188"/>
    <cellStyle name="20% - Accent1 12 29" xfId="189"/>
    <cellStyle name="20% - Accent1 12 3" xfId="190"/>
    <cellStyle name="20% - Accent1 12 30" xfId="191"/>
    <cellStyle name="20% - Accent1 12 31" xfId="192"/>
    <cellStyle name="20% - Accent1 12 32" xfId="193"/>
    <cellStyle name="20% - Accent1 12 33" xfId="194"/>
    <cellStyle name="20% - Accent1 12 34" xfId="195"/>
    <cellStyle name="20% - Accent1 12 35" xfId="196"/>
    <cellStyle name="20% - Accent1 12 36" xfId="197"/>
    <cellStyle name="20% - Accent1 12 37" xfId="198"/>
    <cellStyle name="20% - Accent1 12 38" xfId="199"/>
    <cellStyle name="20% - Accent1 12 39" xfId="200"/>
    <cellStyle name="20% - Accent1 12 4" xfId="201"/>
    <cellStyle name="20% - Accent1 12 40" xfId="202"/>
    <cellStyle name="20% - Accent1 12 41" xfId="203"/>
    <cellStyle name="20% - Accent1 12 5" xfId="204"/>
    <cellStyle name="20% - Accent1 12 6" xfId="205"/>
    <cellStyle name="20% - Accent1 12 7" xfId="206"/>
    <cellStyle name="20% - Accent1 12 8" xfId="207"/>
    <cellStyle name="20% - Accent1 12 9" xfId="208"/>
    <cellStyle name="20% - Accent1 13" xfId="209"/>
    <cellStyle name="20% - Accent1 14" xfId="210"/>
    <cellStyle name="20% - Accent1 14 2" xfId="211"/>
    <cellStyle name="20% - Accent1 15" xfId="212"/>
    <cellStyle name="20% - Accent1 16" xfId="213"/>
    <cellStyle name="20% - Accent1 2" xfId="214"/>
    <cellStyle name="20% - Accent1 2 10" xfId="215"/>
    <cellStyle name="20% - Accent1 2 11" xfId="216"/>
    <cellStyle name="20% - Accent1 2 12" xfId="217"/>
    <cellStyle name="20% - Accent1 2 13" xfId="218"/>
    <cellStyle name="20% - Accent1 2 14" xfId="219"/>
    <cellStyle name="20% - Accent1 2 15" xfId="220"/>
    <cellStyle name="20% - Accent1 2 16" xfId="221"/>
    <cellStyle name="20% - Accent1 2 17" xfId="222"/>
    <cellStyle name="20% - Accent1 2 18" xfId="223"/>
    <cellStyle name="20% - Accent1 2 19" xfId="224"/>
    <cellStyle name="20% - Accent1 2 2" xfId="225"/>
    <cellStyle name="20% - Accent1 2 2 2" xfId="226"/>
    <cellStyle name="20% - Accent1 2 2 2 2" xfId="227"/>
    <cellStyle name="20% - Accent1 2 2 3" xfId="228"/>
    <cellStyle name="20% - Accent1 2 2 4" xfId="229"/>
    <cellStyle name="20% - Accent1 2 2 5" xfId="230"/>
    <cellStyle name="20% - Accent1 2 20" xfId="231"/>
    <cellStyle name="20% - Accent1 2 21" xfId="232"/>
    <cellStyle name="20% - Accent1 2 22" xfId="233"/>
    <cellStyle name="20% - Accent1 2 23" xfId="234"/>
    <cellStyle name="20% - Accent1 2 24" xfId="235"/>
    <cellStyle name="20% - Accent1 2 25" xfId="236"/>
    <cellStyle name="20% - Accent1 2 26" xfId="237"/>
    <cellStyle name="20% - Accent1 2 27" xfId="238"/>
    <cellStyle name="20% - Accent1 2 28" xfId="239"/>
    <cellStyle name="20% - Accent1 2 29" xfId="240"/>
    <cellStyle name="20% - Accent1 2 3" xfId="241"/>
    <cellStyle name="20% - Accent1 2 3 2" xfId="242"/>
    <cellStyle name="20% - Accent1 2 3 3" xfId="243"/>
    <cellStyle name="20% - Accent1 2 3 4" xfId="244"/>
    <cellStyle name="20% - Accent1 2 3 5" xfId="245"/>
    <cellStyle name="20% - Accent1 2 3 6" xfId="246"/>
    <cellStyle name="20% - Accent1 2 30" xfId="247"/>
    <cellStyle name="20% - Accent1 2 31" xfId="248"/>
    <cellStyle name="20% - Accent1 2 32" xfId="249"/>
    <cellStyle name="20% - Accent1 2 33" xfId="250"/>
    <cellStyle name="20% - Accent1 2 34" xfId="251"/>
    <cellStyle name="20% - Accent1 2 35" xfId="252"/>
    <cellStyle name="20% - Accent1 2 36" xfId="253"/>
    <cellStyle name="20% - Accent1 2 37" xfId="254"/>
    <cellStyle name="20% - Accent1 2 38" xfId="255"/>
    <cellStyle name="20% - Accent1 2 39" xfId="256"/>
    <cellStyle name="20% - Accent1 2 4" xfId="257"/>
    <cellStyle name="20% - Accent1 2 40" xfId="258"/>
    <cellStyle name="20% - Accent1 2 41" xfId="259"/>
    <cellStyle name="20% - Accent1 2 42" xfId="260"/>
    <cellStyle name="20% - Accent1 2 43" xfId="261"/>
    <cellStyle name="20% - Accent1 2 44" xfId="262"/>
    <cellStyle name="20% - Accent1 2 45" xfId="263"/>
    <cellStyle name="20% - Accent1 2 5" xfId="264"/>
    <cellStyle name="20% - Accent1 2 6" xfId="265"/>
    <cellStyle name="20% - Accent1 2 7" xfId="266"/>
    <cellStyle name="20% - Accent1 2 8" xfId="267"/>
    <cellStyle name="20% - Accent1 2 9" xfId="268"/>
    <cellStyle name="20% - Accent1 3" xfId="269"/>
    <cellStyle name="20% - Accent1 3 10" xfId="270"/>
    <cellStyle name="20% - Accent1 3 11" xfId="271"/>
    <cellStyle name="20% - Accent1 3 12" xfId="272"/>
    <cellStyle name="20% - Accent1 3 13" xfId="273"/>
    <cellStyle name="20% - Accent1 3 14" xfId="274"/>
    <cellStyle name="20% - Accent1 3 15" xfId="275"/>
    <cellStyle name="20% - Accent1 3 16" xfId="276"/>
    <cellStyle name="20% - Accent1 3 17" xfId="277"/>
    <cellStyle name="20% - Accent1 3 18" xfId="278"/>
    <cellStyle name="20% - Accent1 3 19" xfId="279"/>
    <cellStyle name="20% - Accent1 3 2" xfId="280"/>
    <cellStyle name="20% - Accent1 3 20" xfId="281"/>
    <cellStyle name="20% - Accent1 3 21" xfId="282"/>
    <cellStyle name="20% - Accent1 3 22" xfId="283"/>
    <cellStyle name="20% - Accent1 3 23" xfId="284"/>
    <cellStyle name="20% - Accent1 3 24" xfId="285"/>
    <cellStyle name="20% - Accent1 3 25" xfId="286"/>
    <cellStyle name="20% - Accent1 3 26" xfId="287"/>
    <cellStyle name="20% - Accent1 3 27" xfId="288"/>
    <cellStyle name="20% - Accent1 3 28" xfId="289"/>
    <cellStyle name="20% - Accent1 3 29" xfId="290"/>
    <cellStyle name="20% - Accent1 3 3" xfId="291"/>
    <cellStyle name="20% - Accent1 3 30" xfId="292"/>
    <cellStyle name="20% - Accent1 3 31" xfId="293"/>
    <cellStyle name="20% - Accent1 3 32" xfId="294"/>
    <cellStyle name="20% - Accent1 3 33" xfId="295"/>
    <cellStyle name="20% - Accent1 3 34" xfId="296"/>
    <cellStyle name="20% - Accent1 3 35" xfId="297"/>
    <cellStyle name="20% - Accent1 3 36" xfId="298"/>
    <cellStyle name="20% - Accent1 3 37" xfId="299"/>
    <cellStyle name="20% - Accent1 3 38" xfId="300"/>
    <cellStyle name="20% - Accent1 3 39" xfId="301"/>
    <cellStyle name="20% - Accent1 3 4" xfId="302"/>
    <cellStyle name="20% - Accent1 3 40" xfId="303"/>
    <cellStyle name="20% - Accent1 3 41" xfId="304"/>
    <cellStyle name="20% - Accent1 3 42" xfId="305"/>
    <cellStyle name="20% - Accent1 3 43" xfId="306"/>
    <cellStyle name="20% - Accent1 3 44" xfId="307"/>
    <cellStyle name="20% - Accent1 3 45" xfId="308"/>
    <cellStyle name="20% - Accent1 3 5" xfId="309"/>
    <cellStyle name="20% - Accent1 3 6" xfId="310"/>
    <cellStyle name="20% - Accent1 3 7" xfId="311"/>
    <cellStyle name="20% - Accent1 3 8" xfId="312"/>
    <cellStyle name="20% - Accent1 3 9" xfId="313"/>
    <cellStyle name="20% - Accent1 4" xfId="314"/>
    <cellStyle name="20% - Accent1 4 10" xfId="315"/>
    <cellStyle name="20% - Accent1 4 11" xfId="316"/>
    <cellStyle name="20% - Accent1 4 12" xfId="317"/>
    <cellStyle name="20% - Accent1 4 13" xfId="318"/>
    <cellStyle name="20% - Accent1 4 14" xfId="319"/>
    <cellStyle name="20% - Accent1 4 15" xfId="320"/>
    <cellStyle name="20% - Accent1 4 16" xfId="321"/>
    <cellStyle name="20% - Accent1 4 17" xfId="322"/>
    <cellStyle name="20% - Accent1 4 18" xfId="323"/>
    <cellStyle name="20% - Accent1 4 19" xfId="324"/>
    <cellStyle name="20% - Accent1 4 2" xfId="325"/>
    <cellStyle name="20% - Accent1 4 20" xfId="326"/>
    <cellStyle name="20% - Accent1 4 21" xfId="327"/>
    <cellStyle name="20% - Accent1 4 22" xfId="328"/>
    <cellStyle name="20% - Accent1 4 23" xfId="329"/>
    <cellStyle name="20% - Accent1 4 24" xfId="330"/>
    <cellStyle name="20% - Accent1 4 25" xfId="331"/>
    <cellStyle name="20% - Accent1 4 26" xfId="332"/>
    <cellStyle name="20% - Accent1 4 27" xfId="333"/>
    <cellStyle name="20% - Accent1 4 28" xfId="334"/>
    <cellStyle name="20% - Accent1 4 29" xfId="335"/>
    <cellStyle name="20% - Accent1 4 3" xfId="336"/>
    <cellStyle name="20% - Accent1 4 30" xfId="337"/>
    <cellStyle name="20% - Accent1 4 31" xfId="338"/>
    <cellStyle name="20% - Accent1 4 32" xfId="339"/>
    <cellStyle name="20% - Accent1 4 33" xfId="340"/>
    <cellStyle name="20% - Accent1 4 34" xfId="341"/>
    <cellStyle name="20% - Accent1 4 35" xfId="342"/>
    <cellStyle name="20% - Accent1 4 36" xfId="343"/>
    <cellStyle name="20% - Accent1 4 37" xfId="344"/>
    <cellStyle name="20% - Accent1 4 38" xfId="345"/>
    <cellStyle name="20% - Accent1 4 39" xfId="346"/>
    <cellStyle name="20% - Accent1 4 4" xfId="347"/>
    <cellStyle name="20% - Accent1 4 40" xfId="348"/>
    <cellStyle name="20% - Accent1 4 41" xfId="349"/>
    <cellStyle name="20% - Accent1 4 5" xfId="350"/>
    <cellStyle name="20% - Accent1 4 6" xfId="351"/>
    <cellStyle name="20% - Accent1 4 7" xfId="352"/>
    <cellStyle name="20% - Accent1 4 8" xfId="353"/>
    <cellStyle name="20% - Accent1 4 9" xfId="354"/>
    <cellStyle name="20% - Accent1 5" xfId="355"/>
    <cellStyle name="20% - Accent1 5 10" xfId="356"/>
    <cellStyle name="20% - Accent1 5 11" xfId="357"/>
    <cellStyle name="20% - Accent1 5 12" xfId="358"/>
    <cellStyle name="20% - Accent1 5 13" xfId="359"/>
    <cellStyle name="20% - Accent1 5 14" xfId="360"/>
    <cellStyle name="20% - Accent1 5 15" xfId="361"/>
    <cellStyle name="20% - Accent1 5 16" xfId="362"/>
    <cellStyle name="20% - Accent1 5 17" xfId="363"/>
    <cellStyle name="20% - Accent1 5 18" xfId="364"/>
    <cellStyle name="20% - Accent1 5 19" xfId="365"/>
    <cellStyle name="20% - Accent1 5 2" xfId="366"/>
    <cellStyle name="20% - Accent1 5 20" xfId="367"/>
    <cellStyle name="20% - Accent1 5 21" xfId="368"/>
    <cellStyle name="20% - Accent1 5 22" xfId="369"/>
    <cellStyle name="20% - Accent1 5 23" xfId="370"/>
    <cellStyle name="20% - Accent1 5 24" xfId="371"/>
    <cellStyle name="20% - Accent1 5 25" xfId="372"/>
    <cellStyle name="20% - Accent1 5 26" xfId="373"/>
    <cellStyle name="20% - Accent1 5 27" xfId="374"/>
    <cellStyle name="20% - Accent1 5 28" xfId="375"/>
    <cellStyle name="20% - Accent1 5 29" xfId="376"/>
    <cellStyle name="20% - Accent1 5 3" xfId="377"/>
    <cellStyle name="20% - Accent1 5 30" xfId="378"/>
    <cellStyle name="20% - Accent1 5 31" xfId="379"/>
    <cellStyle name="20% - Accent1 5 32" xfId="380"/>
    <cellStyle name="20% - Accent1 5 33" xfId="381"/>
    <cellStyle name="20% - Accent1 5 34" xfId="382"/>
    <cellStyle name="20% - Accent1 5 35" xfId="383"/>
    <cellStyle name="20% - Accent1 5 36" xfId="384"/>
    <cellStyle name="20% - Accent1 5 37" xfId="385"/>
    <cellStyle name="20% - Accent1 5 38" xfId="386"/>
    <cellStyle name="20% - Accent1 5 39" xfId="387"/>
    <cellStyle name="20% - Accent1 5 4" xfId="388"/>
    <cellStyle name="20% - Accent1 5 40" xfId="389"/>
    <cellStyle name="20% - Accent1 5 41" xfId="390"/>
    <cellStyle name="20% - Accent1 5 5" xfId="391"/>
    <cellStyle name="20% - Accent1 5 6" xfId="392"/>
    <cellStyle name="20% - Accent1 5 7" xfId="393"/>
    <cellStyle name="20% - Accent1 5 8" xfId="394"/>
    <cellStyle name="20% - Accent1 5 9" xfId="395"/>
    <cellStyle name="20% - Accent1 6" xfId="396"/>
    <cellStyle name="20% - Accent1 6 10" xfId="397"/>
    <cellStyle name="20% - Accent1 6 11" xfId="398"/>
    <cellStyle name="20% - Accent1 6 12" xfId="399"/>
    <cellStyle name="20% - Accent1 6 13" xfId="400"/>
    <cellStyle name="20% - Accent1 6 14" xfId="401"/>
    <cellStyle name="20% - Accent1 6 15" xfId="402"/>
    <cellStyle name="20% - Accent1 6 16" xfId="403"/>
    <cellStyle name="20% - Accent1 6 17" xfId="404"/>
    <cellStyle name="20% - Accent1 6 18" xfId="405"/>
    <cellStyle name="20% - Accent1 6 19" xfId="406"/>
    <cellStyle name="20% - Accent1 6 2" xfId="407"/>
    <cellStyle name="20% - Accent1 6 20" xfId="408"/>
    <cellStyle name="20% - Accent1 6 21" xfId="409"/>
    <cellStyle name="20% - Accent1 6 22" xfId="410"/>
    <cellStyle name="20% - Accent1 6 23" xfId="411"/>
    <cellStyle name="20% - Accent1 6 24" xfId="412"/>
    <cellStyle name="20% - Accent1 6 25" xfId="413"/>
    <cellStyle name="20% - Accent1 6 26" xfId="414"/>
    <cellStyle name="20% - Accent1 6 27" xfId="415"/>
    <cellStyle name="20% - Accent1 6 28" xfId="416"/>
    <cellStyle name="20% - Accent1 6 29" xfId="417"/>
    <cellStyle name="20% - Accent1 6 3" xfId="418"/>
    <cellStyle name="20% - Accent1 6 30" xfId="419"/>
    <cellStyle name="20% - Accent1 6 31" xfId="420"/>
    <cellStyle name="20% - Accent1 6 32" xfId="421"/>
    <cellStyle name="20% - Accent1 6 33" xfId="422"/>
    <cellStyle name="20% - Accent1 6 34" xfId="423"/>
    <cellStyle name="20% - Accent1 6 35" xfId="424"/>
    <cellStyle name="20% - Accent1 6 36" xfId="425"/>
    <cellStyle name="20% - Accent1 6 37" xfId="426"/>
    <cellStyle name="20% - Accent1 6 38" xfId="427"/>
    <cellStyle name="20% - Accent1 6 39" xfId="428"/>
    <cellStyle name="20% - Accent1 6 4" xfId="429"/>
    <cellStyle name="20% - Accent1 6 40" xfId="430"/>
    <cellStyle name="20% - Accent1 6 41" xfId="431"/>
    <cellStyle name="20% - Accent1 6 5" xfId="432"/>
    <cellStyle name="20% - Accent1 6 6" xfId="433"/>
    <cellStyle name="20% - Accent1 6 7" xfId="434"/>
    <cellStyle name="20% - Accent1 6 8" xfId="435"/>
    <cellStyle name="20% - Accent1 6 9" xfId="436"/>
    <cellStyle name="20% - Accent1 7" xfId="437"/>
    <cellStyle name="20% - Accent1 7 10" xfId="438"/>
    <cellStyle name="20% - Accent1 7 11" xfId="439"/>
    <cellStyle name="20% - Accent1 7 12" xfId="440"/>
    <cellStyle name="20% - Accent1 7 13" xfId="441"/>
    <cellStyle name="20% - Accent1 7 14" xfId="442"/>
    <cellStyle name="20% - Accent1 7 15" xfId="443"/>
    <cellStyle name="20% - Accent1 7 16" xfId="444"/>
    <cellStyle name="20% - Accent1 7 17" xfId="445"/>
    <cellStyle name="20% - Accent1 7 18" xfId="446"/>
    <cellStyle name="20% - Accent1 7 19" xfId="447"/>
    <cellStyle name="20% - Accent1 7 2" xfId="448"/>
    <cellStyle name="20% - Accent1 7 20" xfId="449"/>
    <cellStyle name="20% - Accent1 7 21" xfId="450"/>
    <cellStyle name="20% - Accent1 7 22" xfId="451"/>
    <cellStyle name="20% - Accent1 7 23" xfId="452"/>
    <cellStyle name="20% - Accent1 7 24" xfId="453"/>
    <cellStyle name="20% - Accent1 7 25" xfId="454"/>
    <cellStyle name="20% - Accent1 7 26" xfId="455"/>
    <cellStyle name="20% - Accent1 7 27" xfId="456"/>
    <cellStyle name="20% - Accent1 7 28" xfId="457"/>
    <cellStyle name="20% - Accent1 7 29" xfId="458"/>
    <cellStyle name="20% - Accent1 7 3" xfId="459"/>
    <cellStyle name="20% - Accent1 7 30" xfId="460"/>
    <cellStyle name="20% - Accent1 7 31" xfId="461"/>
    <cellStyle name="20% - Accent1 7 32" xfId="462"/>
    <cellStyle name="20% - Accent1 7 33" xfId="463"/>
    <cellStyle name="20% - Accent1 7 34" xfId="464"/>
    <cellStyle name="20% - Accent1 7 35" xfId="465"/>
    <cellStyle name="20% - Accent1 7 36" xfId="466"/>
    <cellStyle name="20% - Accent1 7 37" xfId="467"/>
    <cellStyle name="20% - Accent1 7 38" xfId="468"/>
    <cellStyle name="20% - Accent1 7 39" xfId="469"/>
    <cellStyle name="20% - Accent1 7 4" xfId="470"/>
    <cellStyle name="20% - Accent1 7 40" xfId="471"/>
    <cellStyle name="20% - Accent1 7 41" xfId="472"/>
    <cellStyle name="20% - Accent1 7 5" xfId="473"/>
    <cellStyle name="20% - Accent1 7 6" xfId="474"/>
    <cellStyle name="20% - Accent1 7 7" xfId="475"/>
    <cellStyle name="20% - Accent1 7 8" xfId="476"/>
    <cellStyle name="20% - Accent1 7 9" xfId="477"/>
    <cellStyle name="20% - Accent1 8" xfId="478"/>
    <cellStyle name="20% - Accent1 8 10" xfId="479"/>
    <cellStyle name="20% - Accent1 8 11" xfId="480"/>
    <cellStyle name="20% - Accent1 8 12" xfId="481"/>
    <cellStyle name="20% - Accent1 8 13" xfId="482"/>
    <cellStyle name="20% - Accent1 8 14" xfId="483"/>
    <cellStyle name="20% - Accent1 8 15" xfId="484"/>
    <cellStyle name="20% - Accent1 8 16" xfId="485"/>
    <cellStyle name="20% - Accent1 8 17" xfId="486"/>
    <cellStyle name="20% - Accent1 8 18" xfId="487"/>
    <cellStyle name="20% - Accent1 8 19" xfId="488"/>
    <cellStyle name="20% - Accent1 8 2" xfId="489"/>
    <cellStyle name="20% - Accent1 8 20" xfId="490"/>
    <cellStyle name="20% - Accent1 8 21" xfId="491"/>
    <cellStyle name="20% - Accent1 8 22" xfId="492"/>
    <cellStyle name="20% - Accent1 8 23" xfId="493"/>
    <cellStyle name="20% - Accent1 8 24" xfId="494"/>
    <cellStyle name="20% - Accent1 8 25" xfId="495"/>
    <cellStyle name="20% - Accent1 8 26" xfId="496"/>
    <cellStyle name="20% - Accent1 8 27" xfId="497"/>
    <cellStyle name="20% - Accent1 8 28" xfId="498"/>
    <cellStyle name="20% - Accent1 8 29" xfId="499"/>
    <cellStyle name="20% - Accent1 8 3" xfId="500"/>
    <cellStyle name="20% - Accent1 8 30" xfId="501"/>
    <cellStyle name="20% - Accent1 8 31" xfId="502"/>
    <cellStyle name="20% - Accent1 8 32" xfId="503"/>
    <cellStyle name="20% - Accent1 8 33" xfId="504"/>
    <cellStyle name="20% - Accent1 8 34" xfId="505"/>
    <cellStyle name="20% - Accent1 8 35" xfId="506"/>
    <cellStyle name="20% - Accent1 8 36" xfId="507"/>
    <cellStyle name="20% - Accent1 8 37" xfId="508"/>
    <cellStyle name="20% - Accent1 8 38" xfId="509"/>
    <cellStyle name="20% - Accent1 8 39" xfId="510"/>
    <cellStyle name="20% - Accent1 8 4" xfId="511"/>
    <cellStyle name="20% - Accent1 8 40" xfId="512"/>
    <cellStyle name="20% - Accent1 8 41" xfId="513"/>
    <cellStyle name="20% - Accent1 8 5" xfId="514"/>
    <cellStyle name="20% - Accent1 8 6" xfId="515"/>
    <cellStyle name="20% - Accent1 8 7" xfId="516"/>
    <cellStyle name="20% - Accent1 8 8" xfId="517"/>
    <cellStyle name="20% - Accent1 8 9" xfId="518"/>
    <cellStyle name="20% - Accent1 9" xfId="519"/>
    <cellStyle name="20% - Accent1 9 10" xfId="520"/>
    <cellStyle name="20% - Accent1 9 11" xfId="521"/>
    <cellStyle name="20% - Accent1 9 12" xfId="522"/>
    <cellStyle name="20% - Accent1 9 13" xfId="523"/>
    <cellStyle name="20% - Accent1 9 14" xfId="524"/>
    <cellStyle name="20% - Accent1 9 15" xfId="525"/>
    <cellStyle name="20% - Accent1 9 16" xfId="526"/>
    <cellStyle name="20% - Accent1 9 17" xfId="527"/>
    <cellStyle name="20% - Accent1 9 18" xfId="528"/>
    <cellStyle name="20% - Accent1 9 19" xfId="529"/>
    <cellStyle name="20% - Accent1 9 2" xfId="530"/>
    <cellStyle name="20% - Accent1 9 20" xfId="531"/>
    <cellStyle name="20% - Accent1 9 21" xfId="532"/>
    <cellStyle name="20% - Accent1 9 22" xfId="533"/>
    <cellStyle name="20% - Accent1 9 23" xfId="534"/>
    <cellStyle name="20% - Accent1 9 24" xfId="535"/>
    <cellStyle name="20% - Accent1 9 25" xfId="536"/>
    <cellStyle name="20% - Accent1 9 26" xfId="537"/>
    <cellStyle name="20% - Accent1 9 27" xfId="538"/>
    <cellStyle name="20% - Accent1 9 28" xfId="539"/>
    <cellStyle name="20% - Accent1 9 29" xfId="540"/>
    <cellStyle name="20% - Accent1 9 3" xfId="541"/>
    <cellStyle name="20% - Accent1 9 30" xfId="542"/>
    <cellStyle name="20% - Accent1 9 31" xfId="543"/>
    <cellStyle name="20% - Accent1 9 32" xfId="544"/>
    <cellStyle name="20% - Accent1 9 33" xfId="545"/>
    <cellStyle name="20% - Accent1 9 34" xfId="546"/>
    <cellStyle name="20% - Accent1 9 35" xfId="547"/>
    <cellStyle name="20% - Accent1 9 36" xfId="548"/>
    <cellStyle name="20% - Accent1 9 37" xfId="549"/>
    <cellStyle name="20% - Accent1 9 38" xfId="550"/>
    <cellStyle name="20% - Accent1 9 39" xfId="551"/>
    <cellStyle name="20% - Accent1 9 4" xfId="552"/>
    <cellStyle name="20% - Accent1 9 40" xfId="553"/>
    <cellStyle name="20% - Accent1 9 41" xfId="554"/>
    <cellStyle name="20% - Accent1 9 5" xfId="555"/>
    <cellStyle name="20% - Accent1 9 6" xfId="556"/>
    <cellStyle name="20% - Accent1 9 7" xfId="557"/>
    <cellStyle name="20% - Accent1 9 8" xfId="558"/>
    <cellStyle name="20% - Accent1 9 9" xfId="559"/>
    <cellStyle name="20% - Accent2" xfId="23" builtinId="34" customBuiltin="1"/>
    <cellStyle name="20% - Accent2 10" xfId="560"/>
    <cellStyle name="20% - Accent2 10 10" xfId="561"/>
    <cellStyle name="20% - Accent2 10 11" xfId="562"/>
    <cellStyle name="20% - Accent2 10 12" xfId="563"/>
    <cellStyle name="20% - Accent2 10 13" xfId="564"/>
    <cellStyle name="20% - Accent2 10 14" xfId="565"/>
    <cellStyle name="20% - Accent2 10 15" xfId="566"/>
    <cellStyle name="20% - Accent2 10 16" xfId="567"/>
    <cellStyle name="20% - Accent2 10 17" xfId="568"/>
    <cellStyle name="20% - Accent2 10 18" xfId="569"/>
    <cellStyle name="20% - Accent2 10 19" xfId="570"/>
    <cellStyle name="20% - Accent2 10 2" xfId="571"/>
    <cellStyle name="20% - Accent2 10 20" xfId="572"/>
    <cellStyle name="20% - Accent2 10 21" xfId="573"/>
    <cellStyle name="20% - Accent2 10 22" xfId="574"/>
    <cellStyle name="20% - Accent2 10 23" xfId="575"/>
    <cellStyle name="20% - Accent2 10 24" xfId="576"/>
    <cellStyle name="20% - Accent2 10 25" xfId="577"/>
    <cellStyle name="20% - Accent2 10 26" xfId="578"/>
    <cellStyle name="20% - Accent2 10 27" xfId="579"/>
    <cellStyle name="20% - Accent2 10 28" xfId="580"/>
    <cellStyle name="20% - Accent2 10 29" xfId="581"/>
    <cellStyle name="20% - Accent2 10 3" xfId="582"/>
    <cellStyle name="20% - Accent2 10 30" xfId="583"/>
    <cellStyle name="20% - Accent2 10 31" xfId="584"/>
    <cellStyle name="20% - Accent2 10 32" xfId="585"/>
    <cellStyle name="20% - Accent2 10 33" xfId="586"/>
    <cellStyle name="20% - Accent2 10 34" xfId="587"/>
    <cellStyle name="20% - Accent2 10 35" xfId="588"/>
    <cellStyle name="20% - Accent2 10 36" xfId="589"/>
    <cellStyle name="20% - Accent2 10 37" xfId="590"/>
    <cellStyle name="20% - Accent2 10 38" xfId="591"/>
    <cellStyle name="20% - Accent2 10 39" xfId="592"/>
    <cellStyle name="20% - Accent2 10 4" xfId="593"/>
    <cellStyle name="20% - Accent2 10 40" xfId="594"/>
    <cellStyle name="20% - Accent2 10 41" xfId="595"/>
    <cellStyle name="20% - Accent2 10 5" xfId="596"/>
    <cellStyle name="20% - Accent2 10 6" xfId="597"/>
    <cellStyle name="20% - Accent2 10 7" xfId="598"/>
    <cellStyle name="20% - Accent2 10 8" xfId="599"/>
    <cellStyle name="20% - Accent2 10 9" xfId="600"/>
    <cellStyle name="20% - Accent2 11" xfId="601"/>
    <cellStyle name="20% - Accent2 11 10" xfId="602"/>
    <cellStyle name="20% - Accent2 11 11" xfId="603"/>
    <cellStyle name="20% - Accent2 11 12" xfId="604"/>
    <cellStyle name="20% - Accent2 11 13" xfId="605"/>
    <cellStyle name="20% - Accent2 11 14" xfId="606"/>
    <cellStyle name="20% - Accent2 11 15" xfId="607"/>
    <cellStyle name="20% - Accent2 11 16" xfId="608"/>
    <cellStyle name="20% - Accent2 11 17" xfId="609"/>
    <cellStyle name="20% - Accent2 11 18" xfId="610"/>
    <cellStyle name="20% - Accent2 11 19" xfId="611"/>
    <cellStyle name="20% - Accent2 11 2" xfId="612"/>
    <cellStyle name="20% - Accent2 11 20" xfId="613"/>
    <cellStyle name="20% - Accent2 11 21" xfId="614"/>
    <cellStyle name="20% - Accent2 11 22" xfId="615"/>
    <cellStyle name="20% - Accent2 11 23" xfId="616"/>
    <cellStyle name="20% - Accent2 11 24" xfId="617"/>
    <cellStyle name="20% - Accent2 11 25" xfId="618"/>
    <cellStyle name="20% - Accent2 11 26" xfId="619"/>
    <cellStyle name="20% - Accent2 11 27" xfId="620"/>
    <cellStyle name="20% - Accent2 11 28" xfId="621"/>
    <cellStyle name="20% - Accent2 11 29" xfId="622"/>
    <cellStyle name="20% - Accent2 11 3" xfId="623"/>
    <cellStyle name="20% - Accent2 11 30" xfId="624"/>
    <cellStyle name="20% - Accent2 11 31" xfId="625"/>
    <cellStyle name="20% - Accent2 11 32" xfId="626"/>
    <cellStyle name="20% - Accent2 11 33" xfId="627"/>
    <cellStyle name="20% - Accent2 11 34" xfId="628"/>
    <cellStyle name="20% - Accent2 11 35" xfId="629"/>
    <cellStyle name="20% - Accent2 11 36" xfId="630"/>
    <cellStyle name="20% - Accent2 11 37" xfId="631"/>
    <cellStyle name="20% - Accent2 11 38" xfId="632"/>
    <cellStyle name="20% - Accent2 11 39" xfId="633"/>
    <cellStyle name="20% - Accent2 11 4" xfId="634"/>
    <cellStyle name="20% - Accent2 11 40" xfId="635"/>
    <cellStyle name="20% - Accent2 11 41" xfId="636"/>
    <cellStyle name="20% - Accent2 11 5" xfId="637"/>
    <cellStyle name="20% - Accent2 11 6" xfId="638"/>
    <cellStyle name="20% - Accent2 11 7" xfId="639"/>
    <cellStyle name="20% - Accent2 11 8" xfId="640"/>
    <cellStyle name="20% - Accent2 11 9" xfId="641"/>
    <cellStyle name="20% - Accent2 12" xfId="642"/>
    <cellStyle name="20% - Accent2 12 10" xfId="643"/>
    <cellStyle name="20% - Accent2 12 11" xfId="644"/>
    <cellStyle name="20% - Accent2 12 12" xfId="645"/>
    <cellStyle name="20% - Accent2 12 13" xfId="646"/>
    <cellStyle name="20% - Accent2 12 14" xfId="647"/>
    <cellStyle name="20% - Accent2 12 15" xfId="648"/>
    <cellStyle name="20% - Accent2 12 16" xfId="649"/>
    <cellStyle name="20% - Accent2 12 17" xfId="650"/>
    <cellStyle name="20% - Accent2 12 18" xfId="651"/>
    <cellStyle name="20% - Accent2 12 19" xfId="652"/>
    <cellStyle name="20% - Accent2 12 2" xfId="653"/>
    <cellStyle name="20% - Accent2 12 20" xfId="654"/>
    <cellStyle name="20% - Accent2 12 21" xfId="655"/>
    <cellStyle name="20% - Accent2 12 22" xfId="656"/>
    <cellStyle name="20% - Accent2 12 23" xfId="657"/>
    <cellStyle name="20% - Accent2 12 24" xfId="658"/>
    <cellStyle name="20% - Accent2 12 25" xfId="659"/>
    <cellStyle name="20% - Accent2 12 26" xfId="660"/>
    <cellStyle name="20% - Accent2 12 27" xfId="661"/>
    <cellStyle name="20% - Accent2 12 28" xfId="662"/>
    <cellStyle name="20% - Accent2 12 29" xfId="663"/>
    <cellStyle name="20% - Accent2 12 3" xfId="664"/>
    <cellStyle name="20% - Accent2 12 30" xfId="665"/>
    <cellStyle name="20% - Accent2 12 31" xfId="666"/>
    <cellStyle name="20% - Accent2 12 32" xfId="667"/>
    <cellStyle name="20% - Accent2 12 33" xfId="668"/>
    <cellStyle name="20% - Accent2 12 34" xfId="669"/>
    <cellStyle name="20% - Accent2 12 35" xfId="670"/>
    <cellStyle name="20% - Accent2 12 36" xfId="671"/>
    <cellStyle name="20% - Accent2 12 37" xfId="672"/>
    <cellStyle name="20% - Accent2 12 38" xfId="673"/>
    <cellStyle name="20% - Accent2 12 39" xfId="674"/>
    <cellStyle name="20% - Accent2 12 4" xfId="675"/>
    <cellStyle name="20% - Accent2 12 40" xfId="676"/>
    <cellStyle name="20% - Accent2 12 41" xfId="677"/>
    <cellStyle name="20% - Accent2 12 5" xfId="678"/>
    <cellStyle name="20% - Accent2 12 6" xfId="679"/>
    <cellStyle name="20% - Accent2 12 7" xfId="680"/>
    <cellStyle name="20% - Accent2 12 8" xfId="681"/>
    <cellStyle name="20% - Accent2 12 9" xfId="682"/>
    <cellStyle name="20% - Accent2 13" xfId="683"/>
    <cellStyle name="20% - Accent2 14" xfId="684"/>
    <cellStyle name="20% - Accent2 14 2" xfId="685"/>
    <cellStyle name="20% - Accent2 15" xfId="686"/>
    <cellStyle name="20% - Accent2 16" xfId="687"/>
    <cellStyle name="20% - Accent2 2" xfId="688"/>
    <cellStyle name="20% - Accent2 2 10" xfId="689"/>
    <cellStyle name="20% - Accent2 2 11" xfId="690"/>
    <cellStyle name="20% - Accent2 2 12" xfId="691"/>
    <cellStyle name="20% - Accent2 2 13" xfId="692"/>
    <cellStyle name="20% - Accent2 2 14" xfId="693"/>
    <cellStyle name="20% - Accent2 2 15" xfId="694"/>
    <cellStyle name="20% - Accent2 2 16" xfId="695"/>
    <cellStyle name="20% - Accent2 2 17" xfId="696"/>
    <cellStyle name="20% - Accent2 2 18" xfId="697"/>
    <cellStyle name="20% - Accent2 2 19" xfId="698"/>
    <cellStyle name="20% - Accent2 2 2" xfId="699"/>
    <cellStyle name="20% - Accent2 2 2 2" xfId="700"/>
    <cellStyle name="20% - Accent2 2 2 2 2" xfId="701"/>
    <cellStyle name="20% - Accent2 2 2 3" xfId="702"/>
    <cellStyle name="20% - Accent2 2 2 4" xfId="703"/>
    <cellStyle name="20% - Accent2 2 2 5" xfId="704"/>
    <cellStyle name="20% - Accent2 2 20" xfId="705"/>
    <cellStyle name="20% - Accent2 2 21" xfId="706"/>
    <cellStyle name="20% - Accent2 2 22" xfId="707"/>
    <cellStyle name="20% - Accent2 2 23" xfId="708"/>
    <cellStyle name="20% - Accent2 2 24" xfId="709"/>
    <cellStyle name="20% - Accent2 2 25" xfId="710"/>
    <cellStyle name="20% - Accent2 2 26" xfId="711"/>
    <cellStyle name="20% - Accent2 2 27" xfId="712"/>
    <cellStyle name="20% - Accent2 2 28" xfId="713"/>
    <cellStyle name="20% - Accent2 2 29" xfId="714"/>
    <cellStyle name="20% - Accent2 2 3" xfId="715"/>
    <cellStyle name="20% - Accent2 2 3 2" xfId="716"/>
    <cellStyle name="20% - Accent2 2 3 3" xfId="717"/>
    <cellStyle name="20% - Accent2 2 3 4" xfId="718"/>
    <cellStyle name="20% - Accent2 2 3 5" xfId="719"/>
    <cellStyle name="20% - Accent2 2 3 6" xfId="720"/>
    <cellStyle name="20% - Accent2 2 30" xfId="721"/>
    <cellStyle name="20% - Accent2 2 31" xfId="722"/>
    <cellStyle name="20% - Accent2 2 32" xfId="723"/>
    <cellStyle name="20% - Accent2 2 33" xfId="724"/>
    <cellStyle name="20% - Accent2 2 34" xfId="725"/>
    <cellStyle name="20% - Accent2 2 35" xfId="726"/>
    <cellStyle name="20% - Accent2 2 36" xfId="727"/>
    <cellStyle name="20% - Accent2 2 37" xfId="728"/>
    <cellStyle name="20% - Accent2 2 38" xfId="729"/>
    <cellStyle name="20% - Accent2 2 39" xfId="730"/>
    <cellStyle name="20% - Accent2 2 4" xfId="731"/>
    <cellStyle name="20% - Accent2 2 40" xfId="732"/>
    <cellStyle name="20% - Accent2 2 41" xfId="733"/>
    <cellStyle name="20% - Accent2 2 42" xfId="734"/>
    <cellStyle name="20% - Accent2 2 43" xfId="735"/>
    <cellStyle name="20% - Accent2 2 44" xfId="736"/>
    <cellStyle name="20% - Accent2 2 45" xfId="737"/>
    <cellStyle name="20% - Accent2 2 5" xfId="738"/>
    <cellStyle name="20% - Accent2 2 6" xfId="739"/>
    <cellStyle name="20% - Accent2 2 7" xfId="740"/>
    <cellStyle name="20% - Accent2 2 8" xfId="741"/>
    <cellStyle name="20% - Accent2 2 9" xfId="742"/>
    <cellStyle name="20% - Accent2 3" xfId="743"/>
    <cellStyle name="20% - Accent2 3 10" xfId="744"/>
    <cellStyle name="20% - Accent2 3 11" xfId="745"/>
    <cellStyle name="20% - Accent2 3 12" xfId="746"/>
    <cellStyle name="20% - Accent2 3 13" xfId="747"/>
    <cellStyle name="20% - Accent2 3 14" xfId="748"/>
    <cellStyle name="20% - Accent2 3 15" xfId="749"/>
    <cellStyle name="20% - Accent2 3 16" xfId="750"/>
    <cellStyle name="20% - Accent2 3 17" xfId="751"/>
    <cellStyle name="20% - Accent2 3 18" xfId="752"/>
    <cellStyle name="20% - Accent2 3 19" xfId="753"/>
    <cellStyle name="20% - Accent2 3 2" xfId="754"/>
    <cellStyle name="20% - Accent2 3 20" xfId="755"/>
    <cellStyle name="20% - Accent2 3 21" xfId="756"/>
    <cellStyle name="20% - Accent2 3 22" xfId="757"/>
    <cellStyle name="20% - Accent2 3 23" xfId="758"/>
    <cellStyle name="20% - Accent2 3 24" xfId="759"/>
    <cellStyle name="20% - Accent2 3 25" xfId="760"/>
    <cellStyle name="20% - Accent2 3 26" xfId="761"/>
    <cellStyle name="20% - Accent2 3 27" xfId="762"/>
    <cellStyle name="20% - Accent2 3 28" xfId="763"/>
    <cellStyle name="20% - Accent2 3 29" xfId="764"/>
    <cellStyle name="20% - Accent2 3 3" xfId="765"/>
    <cellStyle name="20% - Accent2 3 30" xfId="766"/>
    <cellStyle name="20% - Accent2 3 31" xfId="767"/>
    <cellStyle name="20% - Accent2 3 32" xfId="768"/>
    <cellStyle name="20% - Accent2 3 33" xfId="769"/>
    <cellStyle name="20% - Accent2 3 34" xfId="770"/>
    <cellStyle name="20% - Accent2 3 35" xfId="771"/>
    <cellStyle name="20% - Accent2 3 36" xfId="772"/>
    <cellStyle name="20% - Accent2 3 37" xfId="773"/>
    <cellStyle name="20% - Accent2 3 38" xfId="774"/>
    <cellStyle name="20% - Accent2 3 39" xfId="775"/>
    <cellStyle name="20% - Accent2 3 4" xfId="776"/>
    <cellStyle name="20% - Accent2 3 40" xfId="777"/>
    <cellStyle name="20% - Accent2 3 41" xfId="778"/>
    <cellStyle name="20% - Accent2 3 42" xfId="779"/>
    <cellStyle name="20% - Accent2 3 43" xfId="780"/>
    <cellStyle name="20% - Accent2 3 44" xfId="781"/>
    <cellStyle name="20% - Accent2 3 45" xfId="782"/>
    <cellStyle name="20% - Accent2 3 5" xfId="783"/>
    <cellStyle name="20% - Accent2 3 6" xfId="784"/>
    <cellStyle name="20% - Accent2 3 7" xfId="785"/>
    <cellStyle name="20% - Accent2 3 8" xfId="786"/>
    <cellStyle name="20% - Accent2 3 9" xfId="787"/>
    <cellStyle name="20% - Accent2 4" xfId="788"/>
    <cellStyle name="20% - Accent2 4 10" xfId="789"/>
    <cellStyle name="20% - Accent2 4 11" xfId="790"/>
    <cellStyle name="20% - Accent2 4 12" xfId="791"/>
    <cellStyle name="20% - Accent2 4 13" xfId="792"/>
    <cellStyle name="20% - Accent2 4 14" xfId="793"/>
    <cellStyle name="20% - Accent2 4 15" xfId="794"/>
    <cellStyle name="20% - Accent2 4 16" xfId="795"/>
    <cellStyle name="20% - Accent2 4 17" xfId="796"/>
    <cellStyle name="20% - Accent2 4 18" xfId="797"/>
    <cellStyle name="20% - Accent2 4 19" xfId="798"/>
    <cellStyle name="20% - Accent2 4 2" xfId="799"/>
    <cellStyle name="20% - Accent2 4 20" xfId="800"/>
    <cellStyle name="20% - Accent2 4 21" xfId="801"/>
    <cellStyle name="20% - Accent2 4 22" xfId="802"/>
    <cellStyle name="20% - Accent2 4 23" xfId="803"/>
    <cellStyle name="20% - Accent2 4 24" xfId="804"/>
    <cellStyle name="20% - Accent2 4 25" xfId="805"/>
    <cellStyle name="20% - Accent2 4 26" xfId="806"/>
    <cellStyle name="20% - Accent2 4 27" xfId="807"/>
    <cellStyle name="20% - Accent2 4 28" xfId="808"/>
    <cellStyle name="20% - Accent2 4 29" xfId="809"/>
    <cellStyle name="20% - Accent2 4 3" xfId="810"/>
    <cellStyle name="20% - Accent2 4 30" xfId="811"/>
    <cellStyle name="20% - Accent2 4 31" xfId="812"/>
    <cellStyle name="20% - Accent2 4 32" xfId="813"/>
    <cellStyle name="20% - Accent2 4 33" xfId="814"/>
    <cellStyle name="20% - Accent2 4 34" xfId="815"/>
    <cellStyle name="20% - Accent2 4 35" xfId="816"/>
    <cellStyle name="20% - Accent2 4 36" xfId="817"/>
    <cellStyle name="20% - Accent2 4 37" xfId="818"/>
    <cellStyle name="20% - Accent2 4 38" xfId="819"/>
    <cellStyle name="20% - Accent2 4 39" xfId="820"/>
    <cellStyle name="20% - Accent2 4 4" xfId="821"/>
    <cellStyle name="20% - Accent2 4 40" xfId="822"/>
    <cellStyle name="20% - Accent2 4 41" xfId="823"/>
    <cellStyle name="20% - Accent2 4 5" xfId="824"/>
    <cellStyle name="20% - Accent2 4 6" xfId="825"/>
    <cellStyle name="20% - Accent2 4 7" xfId="826"/>
    <cellStyle name="20% - Accent2 4 8" xfId="827"/>
    <cellStyle name="20% - Accent2 4 9" xfId="828"/>
    <cellStyle name="20% - Accent2 5" xfId="829"/>
    <cellStyle name="20% - Accent2 5 10" xfId="830"/>
    <cellStyle name="20% - Accent2 5 11" xfId="831"/>
    <cellStyle name="20% - Accent2 5 12" xfId="832"/>
    <cellStyle name="20% - Accent2 5 13" xfId="833"/>
    <cellStyle name="20% - Accent2 5 14" xfId="834"/>
    <cellStyle name="20% - Accent2 5 15" xfId="835"/>
    <cellStyle name="20% - Accent2 5 16" xfId="836"/>
    <cellStyle name="20% - Accent2 5 17" xfId="837"/>
    <cellStyle name="20% - Accent2 5 18" xfId="838"/>
    <cellStyle name="20% - Accent2 5 19" xfId="839"/>
    <cellStyle name="20% - Accent2 5 2" xfId="840"/>
    <cellStyle name="20% - Accent2 5 20" xfId="841"/>
    <cellStyle name="20% - Accent2 5 21" xfId="842"/>
    <cellStyle name="20% - Accent2 5 22" xfId="843"/>
    <cellStyle name="20% - Accent2 5 23" xfId="844"/>
    <cellStyle name="20% - Accent2 5 24" xfId="845"/>
    <cellStyle name="20% - Accent2 5 25" xfId="846"/>
    <cellStyle name="20% - Accent2 5 26" xfId="847"/>
    <cellStyle name="20% - Accent2 5 27" xfId="848"/>
    <cellStyle name="20% - Accent2 5 28" xfId="849"/>
    <cellStyle name="20% - Accent2 5 29" xfId="850"/>
    <cellStyle name="20% - Accent2 5 3" xfId="851"/>
    <cellStyle name="20% - Accent2 5 30" xfId="852"/>
    <cellStyle name="20% - Accent2 5 31" xfId="853"/>
    <cellStyle name="20% - Accent2 5 32" xfId="854"/>
    <cellStyle name="20% - Accent2 5 33" xfId="855"/>
    <cellStyle name="20% - Accent2 5 34" xfId="856"/>
    <cellStyle name="20% - Accent2 5 35" xfId="857"/>
    <cellStyle name="20% - Accent2 5 36" xfId="858"/>
    <cellStyle name="20% - Accent2 5 37" xfId="859"/>
    <cellStyle name="20% - Accent2 5 38" xfId="860"/>
    <cellStyle name="20% - Accent2 5 39" xfId="861"/>
    <cellStyle name="20% - Accent2 5 4" xfId="862"/>
    <cellStyle name="20% - Accent2 5 40" xfId="863"/>
    <cellStyle name="20% - Accent2 5 41" xfId="864"/>
    <cellStyle name="20% - Accent2 5 5" xfId="865"/>
    <cellStyle name="20% - Accent2 5 6" xfId="866"/>
    <cellStyle name="20% - Accent2 5 7" xfId="867"/>
    <cellStyle name="20% - Accent2 5 8" xfId="868"/>
    <cellStyle name="20% - Accent2 5 9" xfId="869"/>
    <cellStyle name="20% - Accent2 6" xfId="870"/>
    <cellStyle name="20% - Accent2 6 10" xfId="871"/>
    <cellStyle name="20% - Accent2 6 11" xfId="872"/>
    <cellStyle name="20% - Accent2 6 12" xfId="873"/>
    <cellStyle name="20% - Accent2 6 13" xfId="874"/>
    <cellStyle name="20% - Accent2 6 14" xfId="875"/>
    <cellStyle name="20% - Accent2 6 15" xfId="876"/>
    <cellStyle name="20% - Accent2 6 16" xfId="877"/>
    <cellStyle name="20% - Accent2 6 17" xfId="878"/>
    <cellStyle name="20% - Accent2 6 18" xfId="879"/>
    <cellStyle name="20% - Accent2 6 19" xfId="880"/>
    <cellStyle name="20% - Accent2 6 2" xfId="881"/>
    <cellStyle name="20% - Accent2 6 20" xfId="882"/>
    <cellStyle name="20% - Accent2 6 21" xfId="883"/>
    <cellStyle name="20% - Accent2 6 22" xfId="884"/>
    <cellStyle name="20% - Accent2 6 23" xfId="885"/>
    <cellStyle name="20% - Accent2 6 24" xfId="886"/>
    <cellStyle name="20% - Accent2 6 25" xfId="887"/>
    <cellStyle name="20% - Accent2 6 26" xfId="888"/>
    <cellStyle name="20% - Accent2 6 27" xfId="889"/>
    <cellStyle name="20% - Accent2 6 28" xfId="890"/>
    <cellStyle name="20% - Accent2 6 29" xfId="891"/>
    <cellStyle name="20% - Accent2 6 3" xfId="892"/>
    <cellStyle name="20% - Accent2 6 30" xfId="893"/>
    <cellStyle name="20% - Accent2 6 31" xfId="894"/>
    <cellStyle name="20% - Accent2 6 32" xfId="895"/>
    <cellStyle name="20% - Accent2 6 33" xfId="896"/>
    <cellStyle name="20% - Accent2 6 34" xfId="897"/>
    <cellStyle name="20% - Accent2 6 35" xfId="898"/>
    <cellStyle name="20% - Accent2 6 36" xfId="899"/>
    <cellStyle name="20% - Accent2 6 37" xfId="900"/>
    <cellStyle name="20% - Accent2 6 38" xfId="901"/>
    <cellStyle name="20% - Accent2 6 39" xfId="902"/>
    <cellStyle name="20% - Accent2 6 4" xfId="903"/>
    <cellStyle name="20% - Accent2 6 40" xfId="904"/>
    <cellStyle name="20% - Accent2 6 41" xfId="905"/>
    <cellStyle name="20% - Accent2 6 5" xfId="906"/>
    <cellStyle name="20% - Accent2 6 6" xfId="907"/>
    <cellStyle name="20% - Accent2 6 7" xfId="908"/>
    <cellStyle name="20% - Accent2 6 8" xfId="909"/>
    <cellStyle name="20% - Accent2 6 9" xfId="910"/>
    <cellStyle name="20% - Accent2 7" xfId="911"/>
    <cellStyle name="20% - Accent2 7 10" xfId="912"/>
    <cellStyle name="20% - Accent2 7 11" xfId="913"/>
    <cellStyle name="20% - Accent2 7 12" xfId="914"/>
    <cellStyle name="20% - Accent2 7 13" xfId="915"/>
    <cellStyle name="20% - Accent2 7 14" xfId="916"/>
    <cellStyle name="20% - Accent2 7 15" xfId="917"/>
    <cellStyle name="20% - Accent2 7 16" xfId="918"/>
    <cellStyle name="20% - Accent2 7 17" xfId="919"/>
    <cellStyle name="20% - Accent2 7 18" xfId="920"/>
    <cellStyle name="20% - Accent2 7 19" xfId="921"/>
    <cellStyle name="20% - Accent2 7 2" xfId="922"/>
    <cellStyle name="20% - Accent2 7 20" xfId="923"/>
    <cellStyle name="20% - Accent2 7 21" xfId="924"/>
    <cellStyle name="20% - Accent2 7 22" xfId="925"/>
    <cellStyle name="20% - Accent2 7 23" xfId="926"/>
    <cellStyle name="20% - Accent2 7 24" xfId="927"/>
    <cellStyle name="20% - Accent2 7 25" xfId="928"/>
    <cellStyle name="20% - Accent2 7 26" xfId="929"/>
    <cellStyle name="20% - Accent2 7 27" xfId="930"/>
    <cellStyle name="20% - Accent2 7 28" xfId="931"/>
    <cellStyle name="20% - Accent2 7 29" xfId="932"/>
    <cellStyle name="20% - Accent2 7 3" xfId="933"/>
    <cellStyle name="20% - Accent2 7 30" xfId="934"/>
    <cellStyle name="20% - Accent2 7 31" xfId="935"/>
    <cellStyle name="20% - Accent2 7 32" xfId="936"/>
    <cellStyle name="20% - Accent2 7 33" xfId="937"/>
    <cellStyle name="20% - Accent2 7 34" xfId="938"/>
    <cellStyle name="20% - Accent2 7 35" xfId="939"/>
    <cellStyle name="20% - Accent2 7 36" xfId="940"/>
    <cellStyle name="20% - Accent2 7 37" xfId="941"/>
    <cellStyle name="20% - Accent2 7 38" xfId="942"/>
    <cellStyle name="20% - Accent2 7 39" xfId="943"/>
    <cellStyle name="20% - Accent2 7 4" xfId="944"/>
    <cellStyle name="20% - Accent2 7 40" xfId="945"/>
    <cellStyle name="20% - Accent2 7 41" xfId="946"/>
    <cellStyle name="20% - Accent2 7 5" xfId="947"/>
    <cellStyle name="20% - Accent2 7 6" xfId="948"/>
    <cellStyle name="20% - Accent2 7 7" xfId="949"/>
    <cellStyle name="20% - Accent2 7 8" xfId="950"/>
    <cellStyle name="20% - Accent2 7 9" xfId="951"/>
    <cellStyle name="20% - Accent2 8" xfId="952"/>
    <cellStyle name="20% - Accent2 8 10" xfId="953"/>
    <cellStyle name="20% - Accent2 8 11" xfId="954"/>
    <cellStyle name="20% - Accent2 8 12" xfId="955"/>
    <cellStyle name="20% - Accent2 8 13" xfId="956"/>
    <cellStyle name="20% - Accent2 8 14" xfId="957"/>
    <cellStyle name="20% - Accent2 8 15" xfId="958"/>
    <cellStyle name="20% - Accent2 8 16" xfId="959"/>
    <cellStyle name="20% - Accent2 8 17" xfId="960"/>
    <cellStyle name="20% - Accent2 8 18" xfId="961"/>
    <cellStyle name="20% - Accent2 8 19" xfId="962"/>
    <cellStyle name="20% - Accent2 8 2" xfId="963"/>
    <cellStyle name="20% - Accent2 8 20" xfId="964"/>
    <cellStyle name="20% - Accent2 8 21" xfId="965"/>
    <cellStyle name="20% - Accent2 8 22" xfId="966"/>
    <cellStyle name="20% - Accent2 8 23" xfId="967"/>
    <cellStyle name="20% - Accent2 8 24" xfId="968"/>
    <cellStyle name="20% - Accent2 8 25" xfId="969"/>
    <cellStyle name="20% - Accent2 8 26" xfId="970"/>
    <cellStyle name="20% - Accent2 8 27" xfId="971"/>
    <cellStyle name="20% - Accent2 8 28" xfId="972"/>
    <cellStyle name="20% - Accent2 8 29" xfId="973"/>
    <cellStyle name="20% - Accent2 8 3" xfId="974"/>
    <cellStyle name="20% - Accent2 8 30" xfId="975"/>
    <cellStyle name="20% - Accent2 8 31" xfId="976"/>
    <cellStyle name="20% - Accent2 8 32" xfId="977"/>
    <cellStyle name="20% - Accent2 8 33" xfId="978"/>
    <cellStyle name="20% - Accent2 8 34" xfId="979"/>
    <cellStyle name="20% - Accent2 8 35" xfId="980"/>
    <cellStyle name="20% - Accent2 8 36" xfId="981"/>
    <cellStyle name="20% - Accent2 8 37" xfId="982"/>
    <cellStyle name="20% - Accent2 8 38" xfId="983"/>
    <cellStyle name="20% - Accent2 8 39" xfId="984"/>
    <cellStyle name="20% - Accent2 8 4" xfId="985"/>
    <cellStyle name="20% - Accent2 8 40" xfId="986"/>
    <cellStyle name="20% - Accent2 8 41" xfId="987"/>
    <cellStyle name="20% - Accent2 8 5" xfId="988"/>
    <cellStyle name="20% - Accent2 8 6" xfId="989"/>
    <cellStyle name="20% - Accent2 8 7" xfId="990"/>
    <cellStyle name="20% - Accent2 8 8" xfId="991"/>
    <cellStyle name="20% - Accent2 8 9" xfId="992"/>
    <cellStyle name="20% - Accent2 9" xfId="993"/>
    <cellStyle name="20% - Accent2 9 10" xfId="994"/>
    <cellStyle name="20% - Accent2 9 11" xfId="995"/>
    <cellStyle name="20% - Accent2 9 12" xfId="996"/>
    <cellStyle name="20% - Accent2 9 13" xfId="997"/>
    <cellStyle name="20% - Accent2 9 14" xfId="998"/>
    <cellStyle name="20% - Accent2 9 15" xfId="999"/>
    <cellStyle name="20% - Accent2 9 16" xfId="1000"/>
    <cellStyle name="20% - Accent2 9 17" xfId="1001"/>
    <cellStyle name="20% - Accent2 9 18" xfId="1002"/>
    <cellStyle name="20% - Accent2 9 19" xfId="1003"/>
    <cellStyle name="20% - Accent2 9 2" xfId="1004"/>
    <cellStyle name="20% - Accent2 9 20" xfId="1005"/>
    <cellStyle name="20% - Accent2 9 21" xfId="1006"/>
    <cellStyle name="20% - Accent2 9 22" xfId="1007"/>
    <cellStyle name="20% - Accent2 9 23" xfId="1008"/>
    <cellStyle name="20% - Accent2 9 24" xfId="1009"/>
    <cellStyle name="20% - Accent2 9 25" xfId="1010"/>
    <cellStyle name="20% - Accent2 9 26" xfId="1011"/>
    <cellStyle name="20% - Accent2 9 27" xfId="1012"/>
    <cellStyle name="20% - Accent2 9 28" xfId="1013"/>
    <cellStyle name="20% - Accent2 9 29" xfId="1014"/>
    <cellStyle name="20% - Accent2 9 3" xfId="1015"/>
    <cellStyle name="20% - Accent2 9 30" xfId="1016"/>
    <cellStyle name="20% - Accent2 9 31" xfId="1017"/>
    <cellStyle name="20% - Accent2 9 32" xfId="1018"/>
    <cellStyle name="20% - Accent2 9 33" xfId="1019"/>
    <cellStyle name="20% - Accent2 9 34" xfId="1020"/>
    <cellStyle name="20% - Accent2 9 35" xfId="1021"/>
    <cellStyle name="20% - Accent2 9 36" xfId="1022"/>
    <cellStyle name="20% - Accent2 9 37" xfId="1023"/>
    <cellStyle name="20% - Accent2 9 38" xfId="1024"/>
    <cellStyle name="20% - Accent2 9 39" xfId="1025"/>
    <cellStyle name="20% - Accent2 9 4" xfId="1026"/>
    <cellStyle name="20% - Accent2 9 40" xfId="1027"/>
    <cellStyle name="20% - Accent2 9 41" xfId="1028"/>
    <cellStyle name="20% - Accent2 9 5" xfId="1029"/>
    <cellStyle name="20% - Accent2 9 6" xfId="1030"/>
    <cellStyle name="20% - Accent2 9 7" xfId="1031"/>
    <cellStyle name="20% - Accent2 9 8" xfId="1032"/>
    <cellStyle name="20% - Accent2 9 9" xfId="1033"/>
    <cellStyle name="20% - Accent3" xfId="27" builtinId="38" customBuiltin="1"/>
    <cellStyle name="20% - Accent3 10" xfId="1034"/>
    <cellStyle name="20% - Accent3 10 10" xfId="1035"/>
    <cellStyle name="20% - Accent3 10 11" xfId="1036"/>
    <cellStyle name="20% - Accent3 10 12" xfId="1037"/>
    <cellStyle name="20% - Accent3 10 13" xfId="1038"/>
    <cellStyle name="20% - Accent3 10 14" xfId="1039"/>
    <cellStyle name="20% - Accent3 10 15" xfId="1040"/>
    <cellStyle name="20% - Accent3 10 16" xfId="1041"/>
    <cellStyle name="20% - Accent3 10 17" xfId="1042"/>
    <cellStyle name="20% - Accent3 10 18" xfId="1043"/>
    <cellStyle name="20% - Accent3 10 19" xfId="1044"/>
    <cellStyle name="20% - Accent3 10 2" xfId="1045"/>
    <cellStyle name="20% - Accent3 10 20" xfId="1046"/>
    <cellStyle name="20% - Accent3 10 21" xfId="1047"/>
    <cellStyle name="20% - Accent3 10 22" xfId="1048"/>
    <cellStyle name="20% - Accent3 10 23" xfId="1049"/>
    <cellStyle name="20% - Accent3 10 24" xfId="1050"/>
    <cellStyle name="20% - Accent3 10 25" xfId="1051"/>
    <cellStyle name="20% - Accent3 10 26" xfId="1052"/>
    <cellStyle name="20% - Accent3 10 27" xfId="1053"/>
    <cellStyle name="20% - Accent3 10 28" xfId="1054"/>
    <cellStyle name="20% - Accent3 10 29" xfId="1055"/>
    <cellStyle name="20% - Accent3 10 3" xfId="1056"/>
    <cellStyle name="20% - Accent3 10 30" xfId="1057"/>
    <cellStyle name="20% - Accent3 10 31" xfId="1058"/>
    <cellStyle name="20% - Accent3 10 32" xfId="1059"/>
    <cellStyle name="20% - Accent3 10 33" xfId="1060"/>
    <cellStyle name="20% - Accent3 10 34" xfId="1061"/>
    <cellStyle name="20% - Accent3 10 35" xfId="1062"/>
    <cellStyle name="20% - Accent3 10 36" xfId="1063"/>
    <cellStyle name="20% - Accent3 10 37" xfId="1064"/>
    <cellStyle name="20% - Accent3 10 38" xfId="1065"/>
    <cellStyle name="20% - Accent3 10 39" xfId="1066"/>
    <cellStyle name="20% - Accent3 10 4" xfId="1067"/>
    <cellStyle name="20% - Accent3 10 40" xfId="1068"/>
    <cellStyle name="20% - Accent3 10 41" xfId="1069"/>
    <cellStyle name="20% - Accent3 10 5" xfId="1070"/>
    <cellStyle name="20% - Accent3 10 6" xfId="1071"/>
    <cellStyle name="20% - Accent3 10 7" xfId="1072"/>
    <cellStyle name="20% - Accent3 10 8" xfId="1073"/>
    <cellStyle name="20% - Accent3 10 9" xfId="1074"/>
    <cellStyle name="20% - Accent3 11" xfId="1075"/>
    <cellStyle name="20% - Accent3 11 10" xfId="1076"/>
    <cellStyle name="20% - Accent3 11 11" xfId="1077"/>
    <cellStyle name="20% - Accent3 11 12" xfId="1078"/>
    <cellStyle name="20% - Accent3 11 13" xfId="1079"/>
    <cellStyle name="20% - Accent3 11 14" xfId="1080"/>
    <cellStyle name="20% - Accent3 11 15" xfId="1081"/>
    <cellStyle name="20% - Accent3 11 16" xfId="1082"/>
    <cellStyle name="20% - Accent3 11 17" xfId="1083"/>
    <cellStyle name="20% - Accent3 11 18" xfId="1084"/>
    <cellStyle name="20% - Accent3 11 19" xfId="1085"/>
    <cellStyle name="20% - Accent3 11 2" xfId="1086"/>
    <cellStyle name="20% - Accent3 11 20" xfId="1087"/>
    <cellStyle name="20% - Accent3 11 21" xfId="1088"/>
    <cellStyle name="20% - Accent3 11 22" xfId="1089"/>
    <cellStyle name="20% - Accent3 11 23" xfId="1090"/>
    <cellStyle name="20% - Accent3 11 24" xfId="1091"/>
    <cellStyle name="20% - Accent3 11 25" xfId="1092"/>
    <cellStyle name="20% - Accent3 11 26" xfId="1093"/>
    <cellStyle name="20% - Accent3 11 27" xfId="1094"/>
    <cellStyle name="20% - Accent3 11 28" xfId="1095"/>
    <cellStyle name="20% - Accent3 11 29" xfId="1096"/>
    <cellStyle name="20% - Accent3 11 3" xfId="1097"/>
    <cellStyle name="20% - Accent3 11 30" xfId="1098"/>
    <cellStyle name="20% - Accent3 11 31" xfId="1099"/>
    <cellStyle name="20% - Accent3 11 32" xfId="1100"/>
    <cellStyle name="20% - Accent3 11 33" xfId="1101"/>
    <cellStyle name="20% - Accent3 11 34" xfId="1102"/>
    <cellStyle name="20% - Accent3 11 35" xfId="1103"/>
    <cellStyle name="20% - Accent3 11 36" xfId="1104"/>
    <cellStyle name="20% - Accent3 11 37" xfId="1105"/>
    <cellStyle name="20% - Accent3 11 38" xfId="1106"/>
    <cellStyle name="20% - Accent3 11 39" xfId="1107"/>
    <cellStyle name="20% - Accent3 11 4" xfId="1108"/>
    <cellStyle name="20% - Accent3 11 40" xfId="1109"/>
    <cellStyle name="20% - Accent3 11 41" xfId="1110"/>
    <cellStyle name="20% - Accent3 11 5" xfId="1111"/>
    <cellStyle name="20% - Accent3 11 6" xfId="1112"/>
    <cellStyle name="20% - Accent3 11 7" xfId="1113"/>
    <cellStyle name="20% - Accent3 11 8" xfId="1114"/>
    <cellStyle name="20% - Accent3 11 9" xfId="1115"/>
    <cellStyle name="20% - Accent3 12" xfId="1116"/>
    <cellStyle name="20% - Accent3 12 10" xfId="1117"/>
    <cellStyle name="20% - Accent3 12 11" xfId="1118"/>
    <cellStyle name="20% - Accent3 12 12" xfId="1119"/>
    <cellStyle name="20% - Accent3 12 13" xfId="1120"/>
    <cellStyle name="20% - Accent3 12 14" xfId="1121"/>
    <cellStyle name="20% - Accent3 12 15" xfId="1122"/>
    <cellStyle name="20% - Accent3 12 16" xfId="1123"/>
    <cellStyle name="20% - Accent3 12 17" xfId="1124"/>
    <cellStyle name="20% - Accent3 12 18" xfId="1125"/>
    <cellStyle name="20% - Accent3 12 19" xfId="1126"/>
    <cellStyle name="20% - Accent3 12 2" xfId="1127"/>
    <cellStyle name="20% - Accent3 12 20" xfId="1128"/>
    <cellStyle name="20% - Accent3 12 21" xfId="1129"/>
    <cellStyle name="20% - Accent3 12 22" xfId="1130"/>
    <cellStyle name="20% - Accent3 12 23" xfId="1131"/>
    <cellStyle name="20% - Accent3 12 24" xfId="1132"/>
    <cellStyle name="20% - Accent3 12 25" xfId="1133"/>
    <cellStyle name="20% - Accent3 12 26" xfId="1134"/>
    <cellStyle name="20% - Accent3 12 27" xfId="1135"/>
    <cellStyle name="20% - Accent3 12 28" xfId="1136"/>
    <cellStyle name="20% - Accent3 12 29" xfId="1137"/>
    <cellStyle name="20% - Accent3 12 3" xfId="1138"/>
    <cellStyle name="20% - Accent3 12 30" xfId="1139"/>
    <cellStyle name="20% - Accent3 12 31" xfId="1140"/>
    <cellStyle name="20% - Accent3 12 32" xfId="1141"/>
    <cellStyle name="20% - Accent3 12 33" xfId="1142"/>
    <cellStyle name="20% - Accent3 12 34" xfId="1143"/>
    <cellStyle name="20% - Accent3 12 35" xfId="1144"/>
    <cellStyle name="20% - Accent3 12 36" xfId="1145"/>
    <cellStyle name="20% - Accent3 12 37" xfId="1146"/>
    <cellStyle name="20% - Accent3 12 38" xfId="1147"/>
    <cellStyle name="20% - Accent3 12 39" xfId="1148"/>
    <cellStyle name="20% - Accent3 12 4" xfId="1149"/>
    <cellStyle name="20% - Accent3 12 40" xfId="1150"/>
    <cellStyle name="20% - Accent3 12 41" xfId="1151"/>
    <cellStyle name="20% - Accent3 12 5" xfId="1152"/>
    <cellStyle name="20% - Accent3 12 6" xfId="1153"/>
    <cellStyle name="20% - Accent3 12 7" xfId="1154"/>
    <cellStyle name="20% - Accent3 12 8" xfId="1155"/>
    <cellStyle name="20% - Accent3 12 9" xfId="1156"/>
    <cellStyle name="20% - Accent3 13" xfId="1157"/>
    <cellStyle name="20% - Accent3 14" xfId="1158"/>
    <cellStyle name="20% - Accent3 14 2" xfId="1159"/>
    <cellStyle name="20% - Accent3 15" xfId="1160"/>
    <cellStyle name="20% - Accent3 16" xfId="1161"/>
    <cellStyle name="20% - Accent3 2" xfId="1162"/>
    <cellStyle name="20% - Accent3 2 10" xfId="1163"/>
    <cellStyle name="20% - Accent3 2 11" xfId="1164"/>
    <cellStyle name="20% - Accent3 2 12" xfId="1165"/>
    <cellStyle name="20% - Accent3 2 13" xfId="1166"/>
    <cellStyle name="20% - Accent3 2 14" xfId="1167"/>
    <cellStyle name="20% - Accent3 2 15" xfId="1168"/>
    <cellStyle name="20% - Accent3 2 16" xfId="1169"/>
    <cellStyle name="20% - Accent3 2 17" xfId="1170"/>
    <cellStyle name="20% - Accent3 2 18" xfId="1171"/>
    <cellStyle name="20% - Accent3 2 19" xfId="1172"/>
    <cellStyle name="20% - Accent3 2 2" xfId="1173"/>
    <cellStyle name="20% - Accent3 2 2 2" xfId="1174"/>
    <cellStyle name="20% - Accent3 2 2 2 2" xfId="1175"/>
    <cellStyle name="20% - Accent3 2 2 3" xfId="1176"/>
    <cellStyle name="20% - Accent3 2 2 4" xfId="1177"/>
    <cellStyle name="20% - Accent3 2 2 5" xfId="1178"/>
    <cellStyle name="20% - Accent3 2 20" xfId="1179"/>
    <cellStyle name="20% - Accent3 2 21" xfId="1180"/>
    <cellStyle name="20% - Accent3 2 22" xfId="1181"/>
    <cellStyle name="20% - Accent3 2 23" xfId="1182"/>
    <cellStyle name="20% - Accent3 2 24" xfId="1183"/>
    <cellStyle name="20% - Accent3 2 25" xfId="1184"/>
    <cellStyle name="20% - Accent3 2 26" xfId="1185"/>
    <cellStyle name="20% - Accent3 2 27" xfId="1186"/>
    <cellStyle name="20% - Accent3 2 28" xfId="1187"/>
    <cellStyle name="20% - Accent3 2 29" xfId="1188"/>
    <cellStyle name="20% - Accent3 2 3" xfId="1189"/>
    <cellStyle name="20% - Accent3 2 3 2" xfId="1190"/>
    <cellStyle name="20% - Accent3 2 3 3" xfId="1191"/>
    <cellStyle name="20% - Accent3 2 3 4" xfId="1192"/>
    <cellStyle name="20% - Accent3 2 3 5" xfId="1193"/>
    <cellStyle name="20% - Accent3 2 3 6" xfId="1194"/>
    <cellStyle name="20% - Accent3 2 30" xfId="1195"/>
    <cellStyle name="20% - Accent3 2 31" xfId="1196"/>
    <cellStyle name="20% - Accent3 2 32" xfId="1197"/>
    <cellStyle name="20% - Accent3 2 33" xfId="1198"/>
    <cellStyle name="20% - Accent3 2 34" xfId="1199"/>
    <cellStyle name="20% - Accent3 2 35" xfId="1200"/>
    <cellStyle name="20% - Accent3 2 36" xfId="1201"/>
    <cellStyle name="20% - Accent3 2 37" xfId="1202"/>
    <cellStyle name="20% - Accent3 2 38" xfId="1203"/>
    <cellStyle name="20% - Accent3 2 39" xfId="1204"/>
    <cellStyle name="20% - Accent3 2 4" xfId="1205"/>
    <cellStyle name="20% - Accent3 2 40" xfId="1206"/>
    <cellStyle name="20% - Accent3 2 41" xfId="1207"/>
    <cellStyle name="20% - Accent3 2 42" xfId="1208"/>
    <cellStyle name="20% - Accent3 2 43" xfId="1209"/>
    <cellStyle name="20% - Accent3 2 44" xfId="1210"/>
    <cellStyle name="20% - Accent3 2 45" xfId="1211"/>
    <cellStyle name="20% - Accent3 2 5" xfId="1212"/>
    <cellStyle name="20% - Accent3 2 6" xfId="1213"/>
    <cellStyle name="20% - Accent3 2 7" xfId="1214"/>
    <cellStyle name="20% - Accent3 2 8" xfId="1215"/>
    <cellStyle name="20% - Accent3 2 9" xfId="1216"/>
    <cellStyle name="20% - Accent3 3" xfId="1217"/>
    <cellStyle name="20% - Accent3 3 10" xfId="1218"/>
    <cellStyle name="20% - Accent3 3 11" xfId="1219"/>
    <cellStyle name="20% - Accent3 3 12" xfId="1220"/>
    <cellStyle name="20% - Accent3 3 13" xfId="1221"/>
    <cellStyle name="20% - Accent3 3 14" xfId="1222"/>
    <cellStyle name="20% - Accent3 3 15" xfId="1223"/>
    <cellStyle name="20% - Accent3 3 16" xfId="1224"/>
    <cellStyle name="20% - Accent3 3 17" xfId="1225"/>
    <cellStyle name="20% - Accent3 3 18" xfId="1226"/>
    <cellStyle name="20% - Accent3 3 19" xfId="1227"/>
    <cellStyle name="20% - Accent3 3 2" xfId="1228"/>
    <cellStyle name="20% - Accent3 3 20" xfId="1229"/>
    <cellStyle name="20% - Accent3 3 21" xfId="1230"/>
    <cellStyle name="20% - Accent3 3 22" xfId="1231"/>
    <cellStyle name="20% - Accent3 3 23" xfId="1232"/>
    <cellStyle name="20% - Accent3 3 24" xfId="1233"/>
    <cellStyle name="20% - Accent3 3 25" xfId="1234"/>
    <cellStyle name="20% - Accent3 3 26" xfId="1235"/>
    <cellStyle name="20% - Accent3 3 27" xfId="1236"/>
    <cellStyle name="20% - Accent3 3 28" xfId="1237"/>
    <cellStyle name="20% - Accent3 3 29" xfId="1238"/>
    <cellStyle name="20% - Accent3 3 3" xfId="1239"/>
    <cellStyle name="20% - Accent3 3 30" xfId="1240"/>
    <cellStyle name="20% - Accent3 3 31" xfId="1241"/>
    <cellStyle name="20% - Accent3 3 32" xfId="1242"/>
    <cellStyle name="20% - Accent3 3 33" xfId="1243"/>
    <cellStyle name="20% - Accent3 3 34" xfId="1244"/>
    <cellStyle name="20% - Accent3 3 35" xfId="1245"/>
    <cellStyle name="20% - Accent3 3 36" xfId="1246"/>
    <cellStyle name="20% - Accent3 3 37" xfId="1247"/>
    <cellStyle name="20% - Accent3 3 38" xfId="1248"/>
    <cellStyle name="20% - Accent3 3 39" xfId="1249"/>
    <cellStyle name="20% - Accent3 3 4" xfId="1250"/>
    <cellStyle name="20% - Accent3 3 40" xfId="1251"/>
    <cellStyle name="20% - Accent3 3 41" xfId="1252"/>
    <cellStyle name="20% - Accent3 3 42" xfId="1253"/>
    <cellStyle name="20% - Accent3 3 43" xfId="1254"/>
    <cellStyle name="20% - Accent3 3 44" xfId="1255"/>
    <cellStyle name="20% - Accent3 3 45" xfId="1256"/>
    <cellStyle name="20% - Accent3 3 5" xfId="1257"/>
    <cellStyle name="20% - Accent3 3 6" xfId="1258"/>
    <cellStyle name="20% - Accent3 3 7" xfId="1259"/>
    <cellStyle name="20% - Accent3 3 8" xfId="1260"/>
    <cellStyle name="20% - Accent3 3 9" xfId="1261"/>
    <cellStyle name="20% - Accent3 4" xfId="1262"/>
    <cellStyle name="20% - Accent3 4 10" xfId="1263"/>
    <cellStyle name="20% - Accent3 4 11" xfId="1264"/>
    <cellStyle name="20% - Accent3 4 12" xfId="1265"/>
    <cellStyle name="20% - Accent3 4 13" xfId="1266"/>
    <cellStyle name="20% - Accent3 4 14" xfId="1267"/>
    <cellStyle name="20% - Accent3 4 15" xfId="1268"/>
    <cellStyle name="20% - Accent3 4 16" xfId="1269"/>
    <cellStyle name="20% - Accent3 4 17" xfId="1270"/>
    <cellStyle name="20% - Accent3 4 18" xfId="1271"/>
    <cellStyle name="20% - Accent3 4 19" xfId="1272"/>
    <cellStyle name="20% - Accent3 4 2" xfId="1273"/>
    <cellStyle name="20% - Accent3 4 20" xfId="1274"/>
    <cellStyle name="20% - Accent3 4 21" xfId="1275"/>
    <cellStyle name="20% - Accent3 4 22" xfId="1276"/>
    <cellStyle name="20% - Accent3 4 23" xfId="1277"/>
    <cellStyle name="20% - Accent3 4 24" xfId="1278"/>
    <cellStyle name="20% - Accent3 4 25" xfId="1279"/>
    <cellStyle name="20% - Accent3 4 26" xfId="1280"/>
    <cellStyle name="20% - Accent3 4 27" xfId="1281"/>
    <cellStyle name="20% - Accent3 4 28" xfId="1282"/>
    <cellStyle name="20% - Accent3 4 29" xfId="1283"/>
    <cellStyle name="20% - Accent3 4 3" xfId="1284"/>
    <cellStyle name="20% - Accent3 4 30" xfId="1285"/>
    <cellStyle name="20% - Accent3 4 31" xfId="1286"/>
    <cellStyle name="20% - Accent3 4 32" xfId="1287"/>
    <cellStyle name="20% - Accent3 4 33" xfId="1288"/>
    <cellStyle name="20% - Accent3 4 34" xfId="1289"/>
    <cellStyle name="20% - Accent3 4 35" xfId="1290"/>
    <cellStyle name="20% - Accent3 4 36" xfId="1291"/>
    <cellStyle name="20% - Accent3 4 37" xfId="1292"/>
    <cellStyle name="20% - Accent3 4 38" xfId="1293"/>
    <cellStyle name="20% - Accent3 4 39" xfId="1294"/>
    <cellStyle name="20% - Accent3 4 4" xfId="1295"/>
    <cellStyle name="20% - Accent3 4 40" xfId="1296"/>
    <cellStyle name="20% - Accent3 4 41" xfId="1297"/>
    <cellStyle name="20% - Accent3 4 5" xfId="1298"/>
    <cellStyle name="20% - Accent3 4 6" xfId="1299"/>
    <cellStyle name="20% - Accent3 4 7" xfId="1300"/>
    <cellStyle name="20% - Accent3 4 8" xfId="1301"/>
    <cellStyle name="20% - Accent3 4 9" xfId="1302"/>
    <cellStyle name="20% - Accent3 5" xfId="1303"/>
    <cellStyle name="20% - Accent3 5 10" xfId="1304"/>
    <cellStyle name="20% - Accent3 5 11" xfId="1305"/>
    <cellStyle name="20% - Accent3 5 12" xfId="1306"/>
    <cellStyle name="20% - Accent3 5 13" xfId="1307"/>
    <cellStyle name="20% - Accent3 5 14" xfId="1308"/>
    <cellStyle name="20% - Accent3 5 15" xfId="1309"/>
    <cellStyle name="20% - Accent3 5 16" xfId="1310"/>
    <cellStyle name="20% - Accent3 5 17" xfId="1311"/>
    <cellStyle name="20% - Accent3 5 18" xfId="1312"/>
    <cellStyle name="20% - Accent3 5 19" xfId="1313"/>
    <cellStyle name="20% - Accent3 5 2" xfId="1314"/>
    <cellStyle name="20% - Accent3 5 20" xfId="1315"/>
    <cellStyle name="20% - Accent3 5 21" xfId="1316"/>
    <cellStyle name="20% - Accent3 5 22" xfId="1317"/>
    <cellStyle name="20% - Accent3 5 23" xfId="1318"/>
    <cellStyle name="20% - Accent3 5 24" xfId="1319"/>
    <cellStyle name="20% - Accent3 5 25" xfId="1320"/>
    <cellStyle name="20% - Accent3 5 26" xfId="1321"/>
    <cellStyle name="20% - Accent3 5 27" xfId="1322"/>
    <cellStyle name="20% - Accent3 5 28" xfId="1323"/>
    <cellStyle name="20% - Accent3 5 29" xfId="1324"/>
    <cellStyle name="20% - Accent3 5 3" xfId="1325"/>
    <cellStyle name="20% - Accent3 5 30" xfId="1326"/>
    <cellStyle name="20% - Accent3 5 31" xfId="1327"/>
    <cellStyle name="20% - Accent3 5 32" xfId="1328"/>
    <cellStyle name="20% - Accent3 5 33" xfId="1329"/>
    <cellStyle name="20% - Accent3 5 34" xfId="1330"/>
    <cellStyle name="20% - Accent3 5 35" xfId="1331"/>
    <cellStyle name="20% - Accent3 5 36" xfId="1332"/>
    <cellStyle name="20% - Accent3 5 37" xfId="1333"/>
    <cellStyle name="20% - Accent3 5 38" xfId="1334"/>
    <cellStyle name="20% - Accent3 5 39" xfId="1335"/>
    <cellStyle name="20% - Accent3 5 4" xfId="1336"/>
    <cellStyle name="20% - Accent3 5 40" xfId="1337"/>
    <cellStyle name="20% - Accent3 5 41" xfId="1338"/>
    <cellStyle name="20% - Accent3 5 5" xfId="1339"/>
    <cellStyle name="20% - Accent3 5 6" xfId="1340"/>
    <cellStyle name="20% - Accent3 5 7" xfId="1341"/>
    <cellStyle name="20% - Accent3 5 8" xfId="1342"/>
    <cellStyle name="20% - Accent3 5 9" xfId="1343"/>
    <cellStyle name="20% - Accent3 6" xfId="1344"/>
    <cellStyle name="20% - Accent3 6 10" xfId="1345"/>
    <cellStyle name="20% - Accent3 6 11" xfId="1346"/>
    <cellStyle name="20% - Accent3 6 12" xfId="1347"/>
    <cellStyle name="20% - Accent3 6 13" xfId="1348"/>
    <cellStyle name="20% - Accent3 6 14" xfId="1349"/>
    <cellStyle name="20% - Accent3 6 15" xfId="1350"/>
    <cellStyle name="20% - Accent3 6 16" xfId="1351"/>
    <cellStyle name="20% - Accent3 6 17" xfId="1352"/>
    <cellStyle name="20% - Accent3 6 18" xfId="1353"/>
    <cellStyle name="20% - Accent3 6 19" xfId="1354"/>
    <cellStyle name="20% - Accent3 6 2" xfId="1355"/>
    <cellStyle name="20% - Accent3 6 20" xfId="1356"/>
    <cellStyle name="20% - Accent3 6 21" xfId="1357"/>
    <cellStyle name="20% - Accent3 6 22" xfId="1358"/>
    <cellStyle name="20% - Accent3 6 23" xfId="1359"/>
    <cellStyle name="20% - Accent3 6 24" xfId="1360"/>
    <cellStyle name="20% - Accent3 6 25" xfId="1361"/>
    <cellStyle name="20% - Accent3 6 26" xfId="1362"/>
    <cellStyle name="20% - Accent3 6 27" xfId="1363"/>
    <cellStyle name="20% - Accent3 6 28" xfId="1364"/>
    <cellStyle name="20% - Accent3 6 29" xfId="1365"/>
    <cellStyle name="20% - Accent3 6 3" xfId="1366"/>
    <cellStyle name="20% - Accent3 6 30" xfId="1367"/>
    <cellStyle name="20% - Accent3 6 31" xfId="1368"/>
    <cellStyle name="20% - Accent3 6 32" xfId="1369"/>
    <cellStyle name="20% - Accent3 6 33" xfId="1370"/>
    <cellStyle name="20% - Accent3 6 34" xfId="1371"/>
    <cellStyle name="20% - Accent3 6 35" xfId="1372"/>
    <cellStyle name="20% - Accent3 6 36" xfId="1373"/>
    <cellStyle name="20% - Accent3 6 37" xfId="1374"/>
    <cellStyle name="20% - Accent3 6 38" xfId="1375"/>
    <cellStyle name="20% - Accent3 6 39" xfId="1376"/>
    <cellStyle name="20% - Accent3 6 4" xfId="1377"/>
    <cellStyle name="20% - Accent3 6 40" xfId="1378"/>
    <cellStyle name="20% - Accent3 6 41" xfId="1379"/>
    <cellStyle name="20% - Accent3 6 5" xfId="1380"/>
    <cellStyle name="20% - Accent3 6 6" xfId="1381"/>
    <cellStyle name="20% - Accent3 6 7" xfId="1382"/>
    <cellStyle name="20% - Accent3 6 8" xfId="1383"/>
    <cellStyle name="20% - Accent3 6 9" xfId="1384"/>
    <cellStyle name="20% - Accent3 7" xfId="1385"/>
    <cellStyle name="20% - Accent3 7 10" xfId="1386"/>
    <cellStyle name="20% - Accent3 7 11" xfId="1387"/>
    <cellStyle name="20% - Accent3 7 12" xfId="1388"/>
    <cellStyle name="20% - Accent3 7 13" xfId="1389"/>
    <cellStyle name="20% - Accent3 7 14" xfId="1390"/>
    <cellStyle name="20% - Accent3 7 15" xfId="1391"/>
    <cellStyle name="20% - Accent3 7 16" xfId="1392"/>
    <cellStyle name="20% - Accent3 7 17" xfId="1393"/>
    <cellStyle name="20% - Accent3 7 18" xfId="1394"/>
    <cellStyle name="20% - Accent3 7 19" xfId="1395"/>
    <cellStyle name="20% - Accent3 7 2" xfId="1396"/>
    <cellStyle name="20% - Accent3 7 20" xfId="1397"/>
    <cellStyle name="20% - Accent3 7 21" xfId="1398"/>
    <cellStyle name="20% - Accent3 7 22" xfId="1399"/>
    <cellStyle name="20% - Accent3 7 23" xfId="1400"/>
    <cellStyle name="20% - Accent3 7 24" xfId="1401"/>
    <cellStyle name="20% - Accent3 7 25" xfId="1402"/>
    <cellStyle name="20% - Accent3 7 26" xfId="1403"/>
    <cellStyle name="20% - Accent3 7 27" xfId="1404"/>
    <cellStyle name="20% - Accent3 7 28" xfId="1405"/>
    <cellStyle name="20% - Accent3 7 29" xfId="1406"/>
    <cellStyle name="20% - Accent3 7 3" xfId="1407"/>
    <cellStyle name="20% - Accent3 7 30" xfId="1408"/>
    <cellStyle name="20% - Accent3 7 31" xfId="1409"/>
    <cellStyle name="20% - Accent3 7 32" xfId="1410"/>
    <cellStyle name="20% - Accent3 7 33" xfId="1411"/>
    <cellStyle name="20% - Accent3 7 34" xfId="1412"/>
    <cellStyle name="20% - Accent3 7 35" xfId="1413"/>
    <cellStyle name="20% - Accent3 7 36" xfId="1414"/>
    <cellStyle name="20% - Accent3 7 37" xfId="1415"/>
    <cellStyle name="20% - Accent3 7 38" xfId="1416"/>
    <cellStyle name="20% - Accent3 7 39" xfId="1417"/>
    <cellStyle name="20% - Accent3 7 4" xfId="1418"/>
    <cellStyle name="20% - Accent3 7 40" xfId="1419"/>
    <cellStyle name="20% - Accent3 7 41" xfId="1420"/>
    <cellStyle name="20% - Accent3 7 5" xfId="1421"/>
    <cellStyle name="20% - Accent3 7 6" xfId="1422"/>
    <cellStyle name="20% - Accent3 7 7" xfId="1423"/>
    <cellStyle name="20% - Accent3 7 8" xfId="1424"/>
    <cellStyle name="20% - Accent3 7 9" xfId="1425"/>
    <cellStyle name="20% - Accent3 8" xfId="1426"/>
    <cellStyle name="20% - Accent3 8 10" xfId="1427"/>
    <cellStyle name="20% - Accent3 8 11" xfId="1428"/>
    <cellStyle name="20% - Accent3 8 12" xfId="1429"/>
    <cellStyle name="20% - Accent3 8 13" xfId="1430"/>
    <cellStyle name="20% - Accent3 8 14" xfId="1431"/>
    <cellStyle name="20% - Accent3 8 15" xfId="1432"/>
    <cellStyle name="20% - Accent3 8 16" xfId="1433"/>
    <cellStyle name="20% - Accent3 8 17" xfId="1434"/>
    <cellStyle name="20% - Accent3 8 18" xfId="1435"/>
    <cellStyle name="20% - Accent3 8 19" xfId="1436"/>
    <cellStyle name="20% - Accent3 8 2" xfId="1437"/>
    <cellStyle name="20% - Accent3 8 20" xfId="1438"/>
    <cellStyle name="20% - Accent3 8 21" xfId="1439"/>
    <cellStyle name="20% - Accent3 8 22" xfId="1440"/>
    <cellStyle name="20% - Accent3 8 23" xfId="1441"/>
    <cellStyle name="20% - Accent3 8 24" xfId="1442"/>
    <cellStyle name="20% - Accent3 8 25" xfId="1443"/>
    <cellStyle name="20% - Accent3 8 26" xfId="1444"/>
    <cellStyle name="20% - Accent3 8 27" xfId="1445"/>
    <cellStyle name="20% - Accent3 8 28" xfId="1446"/>
    <cellStyle name="20% - Accent3 8 29" xfId="1447"/>
    <cellStyle name="20% - Accent3 8 3" xfId="1448"/>
    <cellStyle name="20% - Accent3 8 30" xfId="1449"/>
    <cellStyle name="20% - Accent3 8 31" xfId="1450"/>
    <cellStyle name="20% - Accent3 8 32" xfId="1451"/>
    <cellStyle name="20% - Accent3 8 33" xfId="1452"/>
    <cellStyle name="20% - Accent3 8 34" xfId="1453"/>
    <cellStyle name="20% - Accent3 8 35" xfId="1454"/>
    <cellStyle name="20% - Accent3 8 36" xfId="1455"/>
    <cellStyle name="20% - Accent3 8 37" xfId="1456"/>
    <cellStyle name="20% - Accent3 8 38" xfId="1457"/>
    <cellStyle name="20% - Accent3 8 39" xfId="1458"/>
    <cellStyle name="20% - Accent3 8 4" xfId="1459"/>
    <cellStyle name="20% - Accent3 8 40" xfId="1460"/>
    <cellStyle name="20% - Accent3 8 41" xfId="1461"/>
    <cellStyle name="20% - Accent3 8 5" xfId="1462"/>
    <cellStyle name="20% - Accent3 8 6" xfId="1463"/>
    <cellStyle name="20% - Accent3 8 7" xfId="1464"/>
    <cellStyle name="20% - Accent3 8 8" xfId="1465"/>
    <cellStyle name="20% - Accent3 8 9" xfId="1466"/>
    <cellStyle name="20% - Accent3 9" xfId="1467"/>
    <cellStyle name="20% - Accent3 9 10" xfId="1468"/>
    <cellStyle name="20% - Accent3 9 11" xfId="1469"/>
    <cellStyle name="20% - Accent3 9 12" xfId="1470"/>
    <cellStyle name="20% - Accent3 9 13" xfId="1471"/>
    <cellStyle name="20% - Accent3 9 14" xfId="1472"/>
    <cellStyle name="20% - Accent3 9 15" xfId="1473"/>
    <cellStyle name="20% - Accent3 9 16" xfId="1474"/>
    <cellStyle name="20% - Accent3 9 17" xfId="1475"/>
    <cellStyle name="20% - Accent3 9 18" xfId="1476"/>
    <cellStyle name="20% - Accent3 9 19" xfId="1477"/>
    <cellStyle name="20% - Accent3 9 2" xfId="1478"/>
    <cellStyle name="20% - Accent3 9 20" xfId="1479"/>
    <cellStyle name="20% - Accent3 9 21" xfId="1480"/>
    <cellStyle name="20% - Accent3 9 22" xfId="1481"/>
    <cellStyle name="20% - Accent3 9 23" xfId="1482"/>
    <cellStyle name="20% - Accent3 9 24" xfId="1483"/>
    <cellStyle name="20% - Accent3 9 25" xfId="1484"/>
    <cellStyle name="20% - Accent3 9 26" xfId="1485"/>
    <cellStyle name="20% - Accent3 9 27" xfId="1486"/>
    <cellStyle name="20% - Accent3 9 28" xfId="1487"/>
    <cellStyle name="20% - Accent3 9 29" xfId="1488"/>
    <cellStyle name="20% - Accent3 9 3" xfId="1489"/>
    <cellStyle name="20% - Accent3 9 30" xfId="1490"/>
    <cellStyle name="20% - Accent3 9 31" xfId="1491"/>
    <cellStyle name="20% - Accent3 9 32" xfId="1492"/>
    <cellStyle name="20% - Accent3 9 33" xfId="1493"/>
    <cellStyle name="20% - Accent3 9 34" xfId="1494"/>
    <cellStyle name="20% - Accent3 9 35" xfId="1495"/>
    <cellStyle name="20% - Accent3 9 36" xfId="1496"/>
    <cellStyle name="20% - Accent3 9 37" xfId="1497"/>
    <cellStyle name="20% - Accent3 9 38" xfId="1498"/>
    <cellStyle name="20% - Accent3 9 39" xfId="1499"/>
    <cellStyle name="20% - Accent3 9 4" xfId="1500"/>
    <cellStyle name="20% - Accent3 9 40" xfId="1501"/>
    <cellStyle name="20% - Accent3 9 41" xfId="1502"/>
    <cellStyle name="20% - Accent3 9 5" xfId="1503"/>
    <cellStyle name="20% - Accent3 9 6" xfId="1504"/>
    <cellStyle name="20% - Accent3 9 7" xfId="1505"/>
    <cellStyle name="20% - Accent3 9 8" xfId="1506"/>
    <cellStyle name="20% - Accent3 9 9" xfId="1507"/>
    <cellStyle name="20% - Accent4" xfId="31" builtinId="42" customBuiltin="1"/>
    <cellStyle name="20% - Accent4 10" xfId="1508"/>
    <cellStyle name="20% - Accent4 10 10" xfId="1509"/>
    <cellStyle name="20% - Accent4 10 11" xfId="1510"/>
    <cellStyle name="20% - Accent4 10 12" xfId="1511"/>
    <cellStyle name="20% - Accent4 10 13" xfId="1512"/>
    <cellStyle name="20% - Accent4 10 14" xfId="1513"/>
    <cellStyle name="20% - Accent4 10 15" xfId="1514"/>
    <cellStyle name="20% - Accent4 10 16" xfId="1515"/>
    <cellStyle name="20% - Accent4 10 17" xfId="1516"/>
    <cellStyle name="20% - Accent4 10 18" xfId="1517"/>
    <cellStyle name="20% - Accent4 10 19" xfId="1518"/>
    <cellStyle name="20% - Accent4 10 2" xfId="1519"/>
    <cellStyle name="20% - Accent4 10 20" xfId="1520"/>
    <cellStyle name="20% - Accent4 10 21" xfId="1521"/>
    <cellStyle name="20% - Accent4 10 22" xfId="1522"/>
    <cellStyle name="20% - Accent4 10 23" xfId="1523"/>
    <cellStyle name="20% - Accent4 10 24" xfId="1524"/>
    <cellStyle name="20% - Accent4 10 25" xfId="1525"/>
    <cellStyle name="20% - Accent4 10 26" xfId="1526"/>
    <cellStyle name="20% - Accent4 10 27" xfId="1527"/>
    <cellStyle name="20% - Accent4 10 28" xfId="1528"/>
    <cellStyle name="20% - Accent4 10 29" xfId="1529"/>
    <cellStyle name="20% - Accent4 10 3" xfId="1530"/>
    <cellStyle name="20% - Accent4 10 30" xfId="1531"/>
    <cellStyle name="20% - Accent4 10 31" xfId="1532"/>
    <cellStyle name="20% - Accent4 10 32" xfId="1533"/>
    <cellStyle name="20% - Accent4 10 33" xfId="1534"/>
    <cellStyle name="20% - Accent4 10 34" xfId="1535"/>
    <cellStyle name="20% - Accent4 10 35" xfId="1536"/>
    <cellStyle name="20% - Accent4 10 36" xfId="1537"/>
    <cellStyle name="20% - Accent4 10 37" xfId="1538"/>
    <cellStyle name="20% - Accent4 10 38" xfId="1539"/>
    <cellStyle name="20% - Accent4 10 39" xfId="1540"/>
    <cellStyle name="20% - Accent4 10 4" xfId="1541"/>
    <cellStyle name="20% - Accent4 10 40" xfId="1542"/>
    <cellStyle name="20% - Accent4 10 41" xfId="1543"/>
    <cellStyle name="20% - Accent4 10 5" xfId="1544"/>
    <cellStyle name="20% - Accent4 10 6" xfId="1545"/>
    <cellStyle name="20% - Accent4 10 7" xfId="1546"/>
    <cellStyle name="20% - Accent4 10 8" xfId="1547"/>
    <cellStyle name="20% - Accent4 10 9" xfId="1548"/>
    <cellStyle name="20% - Accent4 11" xfId="1549"/>
    <cellStyle name="20% - Accent4 11 10" xfId="1550"/>
    <cellStyle name="20% - Accent4 11 11" xfId="1551"/>
    <cellStyle name="20% - Accent4 11 12" xfId="1552"/>
    <cellStyle name="20% - Accent4 11 13" xfId="1553"/>
    <cellStyle name="20% - Accent4 11 14" xfId="1554"/>
    <cellStyle name="20% - Accent4 11 15" xfId="1555"/>
    <cellStyle name="20% - Accent4 11 16" xfId="1556"/>
    <cellStyle name="20% - Accent4 11 17" xfId="1557"/>
    <cellStyle name="20% - Accent4 11 18" xfId="1558"/>
    <cellStyle name="20% - Accent4 11 19" xfId="1559"/>
    <cellStyle name="20% - Accent4 11 2" xfId="1560"/>
    <cellStyle name="20% - Accent4 11 20" xfId="1561"/>
    <cellStyle name="20% - Accent4 11 21" xfId="1562"/>
    <cellStyle name="20% - Accent4 11 22" xfId="1563"/>
    <cellStyle name="20% - Accent4 11 23" xfId="1564"/>
    <cellStyle name="20% - Accent4 11 24" xfId="1565"/>
    <cellStyle name="20% - Accent4 11 25" xfId="1566"/>
    <cellStyle name="20% - Accent4 11 26" xfId="1567"/>
    <cellStyle name="20% - Accent4 11 27" xfId="1568"/>
    <cellStyle name="20% - Accent4 11 28" xfId="1569"/>
    <cellStyle name="20% - Accent4 11 29" xfId="1570"/>
    <cellStyle name="20% - Accent4 11 3" xfId="1571"/>
    <cellStyle name="20% - Accent4 11 30" xfId="1572"/>
    <cellStyle name="20% - Accent4 11 31" xfId="1573"/>
    <cellStyle name="20% - Accent4 11 32" xfId="1574"/>
    <cellStyle name="20% - Accent4 11 33" xfId="1575"/>
    <cellStyle name="20% - Accent4 11 34" xfId="1576"/>
    <cellStyle name="20% - Accent4 11 35" xfId="1577"/>
    <cellStyle name="20% - Accent4 11 36" xfId="1578"/>
    <cellStyle name="20% - Accent4 11 37" xfId="1579"/>
    <cellStyle name="20% - Accent4 11 38" xfId="1580"/>
    <cellStyle name="20% - Accent4 11 39" xfId="1581"/>
    <cellStyle name="20% - Accent4 11 4" xfId="1582"/>
    <cellStyle name="20% - Accent4 11 40" xfId="1583"/>
    <cellStyle name="20% - Accent4 11 41" xfId="1584"/>
    <cellStyle name="20% - Accent4 11 5" xfId="1585"/>
    <cellStyle name="20% - Accent4 11 6" xfId="1586"/>
    <cellStyle name="20% - Accent4 11 7" xfId="1587"/>
    <cellStyle name="20% - Accent4 11 8" xfId="1588"/>
    <cellStyle name="20% - Accent4 11 9" xfId="1589"/>
    <cellStyle name="20% - Accent4 12" xfId="1590"/>
    <cellStyle name="20% - Accent4 12 10" xfId="1591"/>
    <cellStyle name="20% - Accent4 12 11" xfId="1592"/>
    <cellStyle name="20% - Accent4 12 12" xfId="1593"/>
    <cellStyle name="20% - Accent4 12 13" xfId="1594"/>
    <cellStyle name="20% - Accent4 12 14" xfId="1595"/>
    <cellStyle name="20% - Accent4 12 15" xfId="1596"/>
    <cellStyle name="20% - Accent4 12 16" xfId="1597"/>
    <cellStyle name="20% - Accent4 12 17" xfId="1598"/>
    <cellStyle name="20% - Accent4 12 18" xfId="1599"/>
    <cellStyle name="20% - Accent4 12 19" xfId="1600"/>
    <cellStyle name="20% - Accent4 12 2" xfId="1601"/>
    <cellStyle name="20% - Accent4 12 20" xfId="1602"/>
    <cellStyle name="20% - Accent4 12 21" xfId="1603"/>
    <cellStyle name="20% - Accent4 12 22" xfId="1604"/>
    <cellStyle name="20% - Accent4 12 23" xfId="1605"/>
    <cellStyle name="20% - Accent4 12 24" xfId="1606"/>
    <cellStyle name="20% - Accent4 12 25" xfId="1607"/>
    <cellStyle name="20% - Accent4 12 26" xfId="1608"/>
    <cellStyle name="20% - Accent4 12 27" xfId="1609"/>
    <cellStyle name="20% - Accent4 12 28" xfId="1610"/>
    <cellStyle name="20% - Accent4 12 29" xfId="1611"/>
    <cellStyle name="20% - Accent4 12 3" xfId="1612"/>
    <cellStyle name="20% - Accent4 12 30" xfId="1613"/>
    <cellStyle name="20% - Accent4 12 31" xfId="1614"/>
    <cellStyle name="20% - Accent4 12 32" xfId="1615"/>
    <cellStyle name="20% - Accent4 12 33" xfId="1616"/>
    <cellStyle name="20% - Accent4 12 34" xfId="1617"/>
    <cellStyle name="20% - Accent4 12 35" xfId="1618"/>
    <cellStyle name="20% - Accent4 12 36" xfId="1619"/>
    <cellStyle name="20% - Accent4 12 37" xfId="1620"/>
    <cellStyle name="20% - Accent4 12 38" xfId="1621"/>
    <cellStyle name="20% - Accent4 12 39" xfId="1622"/>
    <cellStyle name="20% - Accent4 12 4" xfId="1623"/>
    <cellStyle name="20% - Accent4 12 40" xfId="1624"/>
    <cellStyle name="20% - Accent4 12 41" xfId="1625"/>
    <cellStyle name="20% - Accent4 12 5" xfId="1626"/>
    <cellStyle name="20% - Accent4 12 6" xfId="1627"/>
    <cellStyle name="20% - Accent4 12 7" xfId="1628"/>
    <cellStyle name="20% - Accent4 12 8" xfId="1629"/>
    <cellStyle name="20% - Accent4 12 9" xfId="1630"/>
    <cellStyle name="20% - Accent4 13" xfId="1631"/>
    <cellStyle name="20% - Accent4 14" xfId="1632"/>
    <cellStyle name="20% - Accent4 14 2" xfId="1633"/>
    <cellStyle name="20% - Accent4 15" xfId="1634"/>
    <cellStyle name="20% - Accent4 16" xfId="1635"/>
    <cellStyle name="20% - Accent4 2" xfId="1636"/>
    <cellStyle name="20% - Accent4 2 10" xfId="1637"/>
    <cellStyle name="20% - Accent4 2 11" xfId="1638"/>
    <cellStyle name="20% - Accent4 2 12" xfId="1639"/>
    <cellStyle name="20% - Accent4 2 13" xfId="1640"/>
    <cellStyle name="20% - Accent4 2 14" xfId="1641"/>
    <cellStyle name="20% - Accent4 2 15" xfId="1642"/>
    <cellStyle name="20% - Accent4 2 16" xfId="1643"/>
    <cellStyle name="20% - Accent4 2 17" xfId="1644"/>
    <cellStyle name="20% - Accent4 2 18" xfId="1645"/>
    <cellStyle name="20% - Accent4 2 19" xfId="1646"/>
    <cellStyle name="20% - Accent4 2 2" xfId="1647"/>
    <cellStyle name="20% - Accent4 2 2 2" xfId="1648"/>
    <cellStyle name="20% - Accent4 2 2 2 2" xfId="1649"/>
    <cellStyle name="20% - Accent4 2 2 3" xfId="1650"/>
    <cellStyle name="20% - Accent4 2 2 4" xfId="1651"/>
    <cellStyle name="20% - Accent4 2 2 5" xfId="1652"/>
    <cellStyle name="20% - Accent4 2 20" xfId="1653"/>
    <cellStyle name="20% - Accent4 2 21" xfId="1654"/>
    <cellStyle name="20% - Accent4 2 22" xfId="1655"/>
    <cellStyle name="20% - Accent4 2 23" xfId="1656"/>
    <cellStyle name="20% - Accent4 2 24" xfId="1657"/>
    <cellStyle name="20% - Accent4 2 25" xfId="1658"/>
    <cellStyle name="20% - Accent4 2 26" xfId="1659"/>
    <cellStyle name="20% - Accent4 2 27" xfId="1660"/>
    <cellStyle name="20% - Accent4 2 28" xfId="1661"/>
    <cellStyle name="20% - Accent4 2 29" xfId="1662"/>
    <cellStyle name="20% - Accent4 2 3" xfId="1663"/>
    <cellStyle name="20% - Accent4 2 3 2" xfId="1664"/>
    <cellStyle name="20% - Accent4 2 3 3" xfId="1665"/>
    <cellStyle name="20% - Accent4 2 3 4" xfId="1666"/>
    <cellStyle name="20% - Accent4 2 3 5" xfId="1667"/>
    <cellStyle name="20% - Accent4 2 3 6" xfId="1668"/>
    <cellStyle name="20% - Accent4 2 30" xfId="1669"/>
    <cellStyle name="20% - Accent4 2 31" xfId="1670"/>
    <cellStyle name="20% - Accent4 2 32" xfId="1671"/>
    <cellStyle name="20% - Accent4 2 33" xfId="1672"/>
    <cellStyle name="20% - Accent4 2 34" xfId="1673"/>
    <cellStyle name="20% - Accent4 2 35" xfId="1674"/>
    <cellStyle name="20% - Accent4 2 36" xfId="1675"/>
    <cellStyle name="20% - Accent4 2 37" xfId="1676"/>
    <cellStyle name="20% - Accent4 2 38" xfId="1677"/>
    <cellStyle name="20% - Accent4 2 39" xfId="1678"/>
    <cellStyle name="20% - Accent4 2 4" xfId="1679"/>
    <cellStyle name="20% - Accent4 2 40" xfId="1680"/>
    <cellStyle name="20% - Accent4 2 41" xfId="1681"/>
    <cellStyle name="20% - Accent4 2 42" xfId="1682"/>
    <cellStyle name="20% - Accent4 2 43" xfId="1683"/>
    <cellStyle name="20% - Accent4 2 44" xfId="1684"/>
    <cellStyle name="20% - Accent4 2 45" xfId="1685"/>
    <cellStyle name="20% - Accent4 2 5" xfId="1686"/>
    <cellStyle name="20% - Accent4 2 6" xfId="1687"/>
    <cellStyle name="20% - Accent4 2 7" xfId="1688"/>
    <cellStyle name="20% - Accent4 2 8" xfId="1689"/>
    <cellStyle name="20% - Accent4 2 9" xfId="1690"/>
    <cellStyle name="20% - Accent4 3" xfId="1691"/>
    <cellStyle name="20% - Accent4 3 10" xfId="1692"/>
    <cellStyle name="20% - Accent4 3 11" xfId="1693"/>
    <cellStyle name="20% - Accent4 3 12" xfId="1694"/>
    <cellStyle name="20% - Accent4 3 13" xfId="1695"/>
    <cellStyle name="20% - Accent4 3 14" xfId="1696"/>
    <cellStyle name="20% - Accent4 3 15" xfId="1697"/>
    <cellStyle name="20% - Accent4 3 16" xfId="1698"/>
    <cellStyle name="20% - Accent4 3 17" xfId="1699"/>
    <cellStyle name="20% - Accent4 3 18" xfId="1700"/>
    <cellStyle name="20% - Accent4 3 19" xfId="1701"/>
    <cellStyle name="20% - Accent4 3 2" xfId="1702"/>
    <cellStyle name="20% - Accent4 3 20" xfId="1703"/>
    <cellStyle name="20% - Accent4 3 21" xfId="1704"/>
    <cellStyle name="20% - Accent4 3 22" xfId="1705"/>
    <cellStyle name="20% - Accent4 3 23" xfId="1706"/>
    <cellStyle name="20% - Accent4 3 24" xfId="1707"/>
    <cellStyle name="20% - Accent4 3 25" xfId="1708"/>
    <cellStyle name="20% - Accent4 3 26" xfId="1709"/>
    <cellStyle name="20% - Accent4 3 27" xfId="1710"/>
    <cellStyle name="20% - Accent4 3 28" xfId="1711"/>
    <cellStyle name="20% - Accent4 3 29" xfId="1712"/>
    <cellStyle name="20% - Accent4 3 3" xfId="1713"/>
    <cellStyle name="20% - Accent4 3 30" xfId="1714"/>
    <cellStyle name="20% - Accent4 3 31" xfId="1715"/>
    <cellStyle name="20% - Accent4 3 32" xfId="1716"/>
    <cellStyle name="20% - Accent4 3 33" xfId="1717"/>
    <cellStyle name="20% - Accent4 3 34" xfId="1718"/>
    <cellStyle name="20% - Accent4 3 35" xfId="1719"/>
    <cellStyle name="20% - Accent4 3 36" xfId="1720"/>
    <cellStyle name="20% - Accent4 3 37" xfId="1721"/>
    <cellStyle name="20% - Accent4 3 38" xfId="1722"/>
    <cellStyle name="20% - Accent4 3 39" xfId="1723"/>
    <cellStyle name="20% - Accent4 3 4" xfId="1724"/>
    <cellStyle name="20% - Accent4 3 40" xfId="1725"/>
    <cellStyle name="20% - Accent4 3 41" xfId="1726"/>
    <cellStyle name="20% - Accent4 3 42" xfId="1727"/>
    <cellStyle name="20% - Accent4 3 43" xfId="1728"/>
    <cellStyle name="20% - Accent4 3 44" xfId="1729"/>
    <cellStyle name="20% - Accent4 3 45" xfId="1730"/>
    <cellStyle name="20% - Accent4 3 5" xfId="1731"/>
    <cellStyle name="20% - Accent4 3 6" xfId="1732"/>
    <cellStyle name="20% - Accent4 3 7" xfId="1733"/>
    <cellStyle name="20% - Accent4 3 8" xfId="1734"/>
    <cellStyle name="20% - Accent4 3 9" xfId="1735"/>
    <cellStyle name="20% - Accent4 4" xfId="1736"/>
    <cellStyle name="20% - Accent4 4 10" xfId="1737"/>
    <cellStyle name="20% - Accent4 4 11" xfId="1738"/>
    <cellStyle name="20% - Accent4 4 12" xfId="1739"/>
    <cellStyle name="20% - Accent4 4 13" xfId="1740"/>
    <cellStyle name="20% - Accent4 4 14" xfId="1741"/>
    <cellStyle name="20% - Accent4 4 15" xfId="1742"/>
    <cellStyle name="20% - Accent4 4 16" xfId="1743"/>
    <cellStyle name="20% - Accent4 4 17" xfId="1744"/>
    <cellStyle name="20% - Accent4 4 18" xfId="1745"/>
    <cellStyle name="20% - Accent4 4 19" xfId="1746"/>
    <cellStyle name="20% - Accent4 4 2" xfId="1747"/>
    <cellStyle name="20% - Accent4 4 20" xfId="1748"/>
    <cellStyle name="20% - Accent4 4 21" xfId="1749"/>
    <cellStyle name="20% - Accent4 4 22" xfId="1750"/>
    <cellStyle name="20% - Accent4 4 23" xfId="1751"/>
    <cellStyle name="20% - Accent4 4 24" xfId="1752"/>
    <cellStyle name="20% - Accent4 4 25" xfId="1753"/>
    <cellStyle name="20% - Accent4 4 26" xfId="1754"/>
    <cellStyle name="20% - Accent4 4 27" xfId="1755"/>
    <cellStyle name="20% - Accent4 4 28" xfId="1756"/>
    <cellStyle name="20% - Accent4 4 29" xfId="1757"/>
    <cellStyle name="20% - Accent4 4 3" xfId="1758"/>
    <cellStyle name="20% - Accent4 4 30" xfId="1759"/>
    <cellStyle name="20% - Accent4 4 31" xfId="1760"/>
    <cellStyle name="20% - Accent4 4 32" xfId="1761"/>
    <cellStyle name="20% - Accent4 4 33" xfId="1762"/>
    <cellStyle name="20% - Accent4 4 34" xfId="1763"/>
    <cellStyle name="20% - Accent4 4 35" xfId="1764"/>
    <cellStyle name="20% - Accent4 4 36" xfId="1765"/>
    <cellStyle name="20% - Accent4 4 37" xfId="1766"/>
    <cellStyle name="20% - Accent4 4 38" xfId="1767"/>
    <cellStyle name="20% - Accent4 4 39" xfId="1768"/>
    <cellStyle name="20% - Accent4 4 4" xfId="1769"/>
    <cellStyle name="20% - Accent4 4 40" xfId="1770"/>
    <cellStyle name="20% - Accent4 4 41" xfId="1771"/>
    <cellStyle name="20% - Accent4 4 5" xfId="1772"/>
    <cellStyle name="20% - Accent4 4 6" xfId="1773"/>
    <cellStyle name="20% - Accent4 4 7" xfId="1774"/>
    <cellStyle name="20% - Accent4 4 8" xfId="1775"/>
    <cellStyle name="20% - Accent4 4 9" xfId="1776"/>
    <cellStyle name="20% - Accent4 5" xfId="1777"/>
    <cellStyle name="20% - Accent4 5 10" xfId="1778"/>
    <cellStyle name="20% - Accent4 5 11" xfId="1779"/>
    <cellStyle name="20% - Accent4 5 12" xfId="1780"/>
    <cellStyle name="20% - Accent4 5 13" xfId="1781"/>
    <cellStyle name="20% - Accent4 5 14" xfId="1782"/>
    <cellStyle name="20% - Accent4 5 15" xfId="1783"/>
    <cellStyle name="20% - Accent4 5 16" xfId="1784"/>
    <cellStyle name="20% - Accent4 5 17" xfId="1785"/>
    <cellStyle name="20% - Accent4 5 18" xfId="1786"/>
    <cellStyle name="20% - Accent4 5 19" xfId="1787"/>
    <cellStyle name="20% - Accent4 5 2" xfId="1788"/>
    <cellStyle name="20% - Accent4 5 20" xfId="1789"/>
    <cellStyle name="20% - Accent4 5 21" xfId="1790"/>
    <cellStyle name="20% - Accent4 5 22" xfId="1791"/>
    <cellStyle name="20% - Accent4 5 23" xfId="1792"/>
    <cellStyle name="20% - Accent4 5 24" xfId="1793"/>
    <cellStyle name="20% - Accent4 5 25" xfId="1794"/>
    <cellStyle name="20% - Accent4 5 26" xfId="1795"/>
    <cellStyle name="20% - Accent4 5 27" xfId="1796"/>
    <cellStyle name="20% - Accent4 5 28" xfId="1797"/>
    <cellStyle name="20% - Accent4 5 29" xfId="1798"/>
    <cellStyle name="20% - Accent4 5 3" xfId="1799"/>
    <cellStyle name="20% - Accent4 5 30" xfId="1800"/>
    <cellStyle name="20% - Accent4 5 31" xfId="1801"/>
    <cellStyle name="20% - Accent4 5 32" xfId="1802"/>
    <cellStyle name="20% - Accent4 5 33" xfId="1803"/>
    <cellStyle name="20% - Accent4 5 34" xfId="1804"/>
    <cellStyle name="20% - Accent4 5 35" xfId="1805"/>
    <cellStyle name="20% - Accent4 5 36" xfId="1806"/>
    <cellStyle name="20% - Accent4 5 37" xfId="1807"/>
    <cellStyle name="20% - Accent4 5 38" xfId="1808"/>
    <cellStyle name="20% - Accent4 5 39" xfId="1809"/>
    <cellStyle name="20% - Accent4 5 4" xfId="1810"/>
    <cellStyle name="20% - Accent4 5 40" xfId="1811"/>
    <cellStyle name="20% - Accent4 5 41" xfId="1812"/>
    <cellStyle name="20% - Accent4 5 5" xfId="1813"/>
    <cellStyle name="20% - Accent4 5 6" xfId="1814"/>
    <cellStyle name="20% - Accent4 5 7" xfId="1815"/>
    <cellStyle name="20% - Accent4 5 8" xfId="1816"/>
    <cellStyle name="20% - Accent4 5 9" xfId="1817"/>
    <cellStyle name="20% - Accent4 6" xfId="1818"/>
    <cellStyle name="20% - Accent4 6 10" xfId="1819"/>
    <cellStyle name="20% - Accent4 6 11" xfId="1820"/>
    <cellStyle name="20% - Accent4 6 12" xfId="1821"/>
    <cellStyle name="20% - Accent4 6 13" xfId="1822"/>
    <cellStyle name="20% - Accent4 6 14" xfId="1823"/>
    <cellStyle name="20% - Accent4 6 15" xfId="1824"/>
    <cellStyle name="20% - Accent4 6 16" xfId="1825"/>
    <cellStyle name="20% - Accent4 6 17" xfId="1826"/>
    <cellStyle name="20% - Accent4 6 18" xfId="1827"/>
    <cellStyle name="20% - Accent4 6 19" xfId="1828"/>
    <cellStyle name="20% - Accent4 6 2" xfId="1829"/>
    <cellStyle name="20% - Accent4 6 20" xfId="1830"/>
    <cellStyle name="20% - Accent4 6 21" xfId="1831"/>
    <cellStyle name="20% - Accent4 6 22" xfId="1832"/>
    <cellStyle name="20% - Accent4 6 23" xfId="1833"/>
    <cellStyle name="20% - Accent4 6 24" xfId="1834"/>
    <cellStyle name="20% - Accent4 6 25" xfId="1835"/>
    <cellStyle name="20% - Accent4 6 26" xfId="1836"/>
    <cellStyle name="20% - Accent4 6 27" xfId="1837"/>
    <cellStyle name="20% - Accent4 6 28" xfId="1838"/>
    <cellStyle name="20% - Accent4 6 29" xfId="1839"/>
    <cellStyle name="20% - Accent4 6 3" xfId="1840"/>
    <cellStyle name="20% - Accent4 6 30" xfId="1841"/>
    <cellStyle name="20% - Accent4 6 31" xfId="1842"/>
    <cellStyle name="20% - Accent4 6 32" xfId="1843"/>
    <cellStyle name="20% - Accent4 6 33" xfId="1844"/>
    <cellStyle name="20% - Accent4 6 34" xfId="1845"/>
    <cellStyle name="20% - Accent4 6 35" xfId="1846"/>
    <cellStyle name="20% - Accent4 6 36" xfId="1847"/>
    <cellStyle name="20% - Accent4 6 37" xfId="1848"/>
    <cellStyle name="20% - Accent4 6 38" xfId="1849"/>
    <cellStyle name="20% - Accent4 6 39" xfId="1850"/>
    <cellStyle name="20% - Accent4 6 4" xfId="1851"/>
    <cellStyle name="20% - Accent4 6 40" xfId="1852"/>
    <cellStyle name="20% - Accent4 6 41" xfId="1853"/>
    <cellStyle name="20% - Accent4 6 5" xfId="1854"/>
    <cellStyle name="20% - Accent4 6 6" xfId="1855"/>
    <cellStyle name="20% - Accent4 6 7" xfId="1856"/>
    <cellStyle name="20% - Accent4 6 8" xfId="1857"/>
    <cellStyle name="20% - Accent4 6 9" xfId="1858"/>
    <cellStyle name="20% - Accent4 7" xfId="1859"/>
    <cellStyle name="20% - Accent4 7 10" xfId="1860"/>
    <cellStyle name="20% - Accent4 7 11" xfId="1861"/>
    <cellStyle name="20% - Accent4 7 12" xfId="1862"/>
    <cellStyle name="20% - Accent4 7 13" xfId="1863"/>
    <cellStyle name="20% - Accent4 7 14" xfId="1864"/>
    <cellStyle name="20% - Accent4 7 15" xfId="1865"/>
    <cellStyle name="20% - Accent4 7 16" xfId="1866"/>
    <cellStyle name="20% - Accent4 7 17" xfId="1867"/>
    <cellStyle name="20% - Accent4 7 18" xfId="1868"/>
    <cellStyle name="20% - Accent4 7 19" xfId="1869"/>
    <cellStyle name="20% - Accent4 7 2" xfId="1870"/>
    <cellStyle name="20% - Accent4 7 20" xfId="1871"/>
    <cellStyle name="20% - Accent4 7 21" xfId="1872"/>
    <cellStyle name="20% - Accent4 7 22" xfId="1873"/>
    <cellStyle name="20% - Accent4 7 23" xfId="1874"/>
    <cellStyle name="20% - Accent4 7 24" xfId="1875"/>
    <cellStyle name="20% - Accent4 7 25" xfId="1876"/>
    <cellStyle name="20% - Accent4 7 26" xfId="1877"/>
    <cellStyle name="20% - Accent4 7 27" xfId="1878"/>
    <cellStyle name="20% - Accent4 7 28" xfId="1879"/>
    <cellStyle name="20% - Accent4 7 29" xfId="1880"/>
    <cellStyle name="20% - Accent4 7 3" xfId="1881"/>
    <cellStyle name="20% - Accent4 7 30" xfId="1882"/>
    <cellStyle name="20% - Accent4 7 31" xfId="1883"/>
    <cellStyle name="20% - Accent4 7 32" xfId="1884"/>
    <cellStyle name="20% - Accent4 7 33" xfId="1885"/>
    <cellStyle name="20% - Accent4 7 34" xfId="1886"/>
    <cellStyle name="20% - Accent4 7 35" xfId="1887"/>
    <cellStyle name="20% - Accent4 7 36" xfId="1888"/>
    <cellStyle name="20% - Accent4 7 37" xfId="1889"/>
    <cellStyle name="20% - Accent4 7 38" xfId="1890"/>
    <cellStyle name="20% - Accent4 7 39" xfId="1891"/>
    <cellStyle name="20% - Accent4 7 4" xfId="1892"/>
    <cellStyle name="20% - Accent4 7 40" xfId="1893"/>
    <cellStyle name="20% - Accent4 7 41" xfId="1894"/>
    <cellStyle name="20% - Accent4 7 5" xfId="1895"/>
    <cellStyle name="20% - Accent4 7 6" xfId="1896"/>
    <cellStyle name="20% - Accent4 7 7" xfId="1897"/>
    <cellStyle name="20% - Accent4 7 8" xfId="1898"/>
    <cellStyle name="20% - Accent4 7 9" xfId="1899"/>
    <cellStyle name="20% - Accent4 8" xfId="1900"/>
    <cellStyle name="20% - Accent4 8 10" xfId="1901"/>
    <cellStyle name="20% - Accent4 8 11" xfId="1902"/>
    <cellStyle name="20% - Accent4 8 12" xfId="1903"/>
    <cellStyle name="20% - Accent4 8 13" xfId="1904"/>
    <cellStyle name="20% - Accent4 8 14" xfId="1905"/>
    <cellStyle name="20% - Accent4 8 15" xfId="1906"/>
    <cellStyle name="20% - Accent4 8 16" xfId="1907"/>
    <cellStyle name="20% - Accent4 8 17" xfId="1908"/>
    <cellStyle name="20% - Accent4 8 18" xfId="1909"/>
    <cellStyle name="20% - Accent4 8 19" xfId="1910"/>
    <cellStyle name="20% - Accent4 8 2" xfId="1911"/>
    <cellStyle name="20% - Accent4 8 20" xfId="1912"/>
    <cellStyle name="20% - Accent4 8 21" xfId="1913"/>
    <cellStyle name="20% - Accent4 8 22" xfId="1914"/>
    <cellStyle name="20% - Accent4 8 23" xfId="1915"/>
    <cellStyle name="20% - Accent4 8 24" xfId="1916"/>
    <cellStyle name="20% - Accent4 8 25" xfId="1917"/>
    <cellStyle name="20% - Accent4 8 26" xfId="1918"/>
    <cellStyle name="20% - Accent4 8 27" xfId="1919"/>
    <cellStyle name="20% - Accent4 8 28" xfId="1920"/>
    <cellStyle name="20% - Accent4 8 29" xfId="1921"/>
    <cellStyle name="20% - Accent4 8 3" xfId="1922"/>
    <cellStyle name="20% - Accent4 8 30" xfId="1923"/>
    <cellStyle name="20% - Accent4 8 31" xfId="1924"/>
    <cellStyle name="20% - Accent4 8 32" xfId="1925"/>
    <cellStyle name="20% - Accent4 8 33" xfId="1926"/>
    <cellStyle name="20% - Accent4 8 34" xfId="1927"/>
    <cellStyle name="20% - Accent4 8 35" xfId="1928"/>
    <cellStyle name="20% - Accent4 8 36" xfId="1929"/>
    <cellStyle name="20% - Accent4 8 37" xfId="1930"/>
    <cellStyle name="20% - Accent4 8 38" xfId="1931"/>
    <cellStyle name="20% - Accent4 8 39" xfId="1932"/>
    <cellStyle name="20% - Accent4 8 4" xfId="1933"/>
    <cellStyle name="20% - Accent4 8 40" xfId="1934"/>
    <cellStyle name="20% - Accent4 8 41" xfId="1935"/>
    <cellStyle name="20% - Accent4 8 5" xfId="1936"/>
    <cellStyle name="20% - Accent4 8 6" xfId="1937"/>
    <cellStyle name="20% - Accent4 8 7" xfId="1938"/>
    <cellStyle name="20% - Accent4 8 8" xfId="1939"/>
    <cellStyle name="20% - Accent4 8 9" xfId="1940"/>
    <cellStyle name="20% - Accent4 9" xfId="1941"/>
    <cellStyle name="20% - Accent4 9 10" xfId="1942"/>
    <cellStyle name="20% - Accent4 9 11" xfId="1943"/>
    <cellStyle name="20% - Accent4 9 12" xfId="1944"/>
    <cellStyle name="20% - Accent4 9 13" xfId="1945"/>
    <cellStyle name="20% - Accent4 9 14" xfId="1946"/>
    <cellStyle name="20% - Accent4 9 15" xfId="1947"/>
    <cellStyle name="20% - Accent4 9 16" xfId="1948"/>
    <cellStyle name="20% - Accent4 9 17" xfId="1949"/>
    <cellStyle name="20% - Accent4 9 18" xfId="1950"/>
    <cellStyle name="20% - Accent4 9 19" xfId="1951"/>
    <cellStyle name="20% - Accent4 9 2" xfId="1952"/>
    <cellStyle name="20% - Accent4 9 20" xfId="1953"/>
    <cellStyle name="20% - Accent4 9 21" xfId="1954"/>
    <cellStyle name="20% - Accent4 9 22" xfId="1955"/>
    <cellStyle name="20% - Accent4 9 23" xfId="1956"/>
    <cellStyle name="20% - Accent4 9 24" xfId="1957"/>
    <cellStyle name="20% - Accent4 9 25" xfId="1958"/>
    <cellStyle name="20% - Accent4 9 26" xfId="1959"/>
    <cellStyle name="20% - Accent4 9 27" xfId="1960"/>
    <cellStyle name="20% - Accent4 9 28" xfId="1961"/>
    <cellStyle name="20% - Accent4 9 29" xfId="1962"/>
    <cellStyle name="20% - Accent4 9 3" xfId="1963"/>
    <cellStyle name="20% - Accent4 9 30" xfId="1964"/>
    <cellStyle name="20% - Accent4 9 31" xfId="1965"/>
    <cellStyle name="20% - Accent4 9 32" xfId="1966"/>
    <cellStyle name="20% - Accent4 9 33" xfId="1967"/>
    <cellStyle name="20% - Accent4 9 34" xfId="1968"/>
    <cellStyle name="20% - Accent4 9 35" xfId="1969"/>
    <cellStyle name="20% - Accent4 9 36" xfId="1970"/>
    <cellStyle name="20% - Accent4 9 37" xfId="1971"/>
    <cellStyle name="20% - Accent4 9 38" xfId="1972"/>
    <cellStyle name="20% - Accent4 9 39" xfId="1973"/>
    <cellStyle name="20% - Accent4 9 4" xfId="1974"/>
    <cellStyle name="20% - Accent4 9 40" xfId="1975"/>
    <cellStyle name="20% - Accent4 9 41" xfId="1976"/>
    <cellStyle name="20% - Accent4 9 5" xfId="1977"/>
    <cellStyle name="20% - Accent4 9 6" xfId="1978"/>
    <cellStyle name="20% - Accent4 9 7" xfId="1979"/>
    <cellStyle name="20% - Accent4 9 8" xfId="1980"/>
    <cellStyle name="20% - Accent4 9 9" xfId="1981"/>
    <cellStyle name="20% - Accent5" xfId="35" builtinId="46" customBuiltin="1"/>
    <cellStyle name="20% - Accent5 10" xfId="1982"/>
    <cellStyle name="20% - Accent5 10 10" xfId="1983"/>
    <cellStyle name="20% - Accent5 10 11" xfId="1984"/>
    <cellStyle name="20% - Accent5 10 12" xfId="1985"/>
    <cellStyle name="20% - Accent5 10 13" xfId="1986"/>
    <cellStyle name="20% - Accent5 10 14" xfId="1987"/>
    <cellStyle name="20% - Accent5 10 15" xfId="1988"/>
    <cellStyle name="20% - Accent5 10 16" xfId="1989"/>
    <cellStyle name="20% - Accent5 10 17" xfId="1990"/>
    <cellStyle name="20% - Accent5 10 18" xfId="1991"/>
    <cellStyle name="20% - Accent5 10 19" xfId="1992"/>
    <cellStyle name="20% - Accent5 10 2" xfId="1993"/>
    <cellStyle name="20% - Accent5 10 20" xfId="1994"/>
    <cellStyle name="20% - Accent5 10 21" xfId="1995"/>
    <cellStyle name="20% - Accent5 10 22" xfId="1996"/>
    <cellStyle name="20% - Accent5 10 23" xfId="1997"/>
    <cellStyle name="20% - Accent5 10 24" xfId="1998"/>
    <cellStyle name="20% - Accent5 10 25" xfId="1999"/>
    <cellStyle name="20% - Accent5 10 26" xfId="2000"/>
    <cellStyle name="20% - Accent5 10 27" xfId="2001"/>
    <cellStyle name="20% - Accent5 10 28" xfId="2002"/>
    <cellStyle name="20% - Accent5 10 29" xfId="2003"/>
    <cellStyle name="20% - Accent5 10 3" xfId="2004"/>
    <cellStyle name="20% - Accent5 10 30" xfId="2005"/>
    <cellStyle name="20% - Accent5 10 31" xfId="2006"/>
    <cellStyle name="20% - Accent5 10 32" xfId="2007"/>
    <cellStyle name="20% - Accent5 10 33" xfId="2008"/>
    <cellStyle name="20% - Accent5 10 34" xfId="2009"/>
    <cellStyle name="20% - Accent5 10 35" xfId="2010"/>
    <cellStyle name="20% - Accent5 10 36" xfId="2011"/>
    <cellStyle name="20% - Accent5 10 37" xfId="2012"/>
    <cellStyle name="20% - Accent5 10 38" xfId="2013"/>
    <cellStyle name="20% - Accent5 10 39" xfId="2014"/>
    <cellStyle name="20% - Accent5 10 4" xfId="2015"/>
    <cellStyle name="20% - Accent5 10 40" xfId="2016"/>
    <cellStyle name="20% - Accent5 10 41" xfId="2017"/>
    <cellStyle name="20% - Accent5 10 5" xfId="2018"/>
    <cellStyle name="20% - Accent5 10 6" xfId="2019"/>
    <cellStyle name="20% - Accent5 10 7" xfId="2020"/>
    <cellStyle name="20% - Accent5 10 8" xfId="2021"/>
    <cellStyle name="20% - Accent5 10 9" xfId="2022"/>
    <cellStyle name="20% - Accent5 11" xfId="2023"/>
    <cellStyle name="20% - Accent5 11 10" xfId="2024"/>
    <cellStyle name="20% - Accent5 11 11" xfId="2025"/>
    <cellStyle name="20% - Accent5 11 12" xfId="2026"/>
    <cellStyle name="20% - Accent5 11 13" xfId="2027"/>
    <cellStyle name="20% - Accent5 11 14" xfId="2028"/>
    <cellStyle name="20% - Accent5 11 15" xfId="2029"/>
    <cellStyle name="20% - Accent5 11 16" xfId="2030"/>
    <cellStyle name="20% - Accent5 11 17" xfId="2031"/>
    <cellStyle name="20% - Accent5 11 18" xfId="2032"/>
    <cellStyle name="20% - Accent5 11 19" xfId="2033"/>
    <cellStyle name="20% - Accent5 11 2" xfId="2034"/>
    <cellStyle name="20% - Accent5 11 20" xfId="2035"/>
    <cellStyle name="20% - Accent5 11 21" xfId="2036"/>
    <cellStyle name="20% - Accent5 11 22" xfId="2037"/>
    <cellStyle name="20% - Accent5 11 23" xfId="2038"/>
    <cellStyle name="20% - Accent5 11 24" xfId="2039"/>
    <cellStyle name="20% - Accent5 11 25" xfId="2040"/>
    <cellStyle name="20% - Accent5 11 26" xfId="2041"/>
    <cellStyle name="20% - Accent5 11 27" xfId="2042"/>
    <cellStyle name="20% - Accent5 11 28" xfId="2043"/>
    <cellStyle name="20% - Accent5 11 29" xfId="2044"/>
    <cellStyle name="20% - Accent5 11 3" xfId="2045"/>
    <cellStyle name="20% - Accent5 11 30" xfId="2046"/>
    <cellStyle name="20% - Accent5 11 31" xfId="2047"/>
    <cellStyle name="20% - Accent5 11 32" xfId="2048"/>
    <cellStyle name="20% - Accent5 11 33" xfId="2049"/>
    <cellStyle name="20% - Accent5 11 34" xfId="2050"/>
    <cellStyle name="20% - Accent5 11 35" xfId="2051"/>
    <cellStyle name="20% - Accent5 11 36" xfId="2052"/>
    <cellStyle name="20% - Accent5 11 37" xfId="2053"/>
    <cellStyle name="20% - Accent5 11 38" xfId="2054"/>
    <cellStyle name="20% - Accent5 11 39" xfId="2055"/>
    <cellStyle name="20% - Accent5 11 4" xfId="2056"/>
    <cellStyle name="20% - Accent5 11 40" xfId="2057"/>
    <cellStyle name="20% - Accent5 11 41" xfId="2058"/>
    <cellStyle name="20% - Accent5 11 5" xfId="2059"/>
    <cellStyle name="20% - Accent5 11 6" xfId="2060"/>
    <cellStyle name="20% - Accent5 11 7" xfId="2061"/>
    <cellStyle name="20% - Accent5 11 8" xfId="2062"/>
    <cellStyle name="20% - Accent5 11 9" xfId="2063"/>
    <cellStyle name="20% - Accent5 12" xfId="2064"/>
    <cellStyle name="20% - Accent5 12 10" xfId="2065"/>
    <cellStyle name="20% - Accent5 12 11" xfId="2066"/>
    <cellStyle name="20% - Accent5 12 12" xfId="2067"/>
    <cellStyle name="20% - Accent5 12 13" xfId="2068"/>
    <cellStyle name="20% - Accent5 12 14" xfId="2069"/>
    <cellStyle name="20% - Accent5 12 15" xfId="2070"/>
    <cellStyle name="20% - Accent5 12 16" xfId="2071"/>
    <cellStyle name="20% - Accent5 12 17" xfId="2072"/>
    <cellStyle name="20% - Accent5 12 18" xfId="2073"/>
    <cellStyle name="20% - Accent5 12 19" xfId="2074"/>
    <cellStyle name="20% - Accent5 12 2" xfId="2075"/>
    <cellStyle name="20% - Accent5 12 20" xfId="2076"/>
    <cellStyle name="20% - Accent5 12 21" xfId="2077"/>
    <cellStyle name="20% - Accent5 12 22" xfId="2078"/>
    <cellStyle name="20% - Accent5 12 23" xfId="2079"/>
    <cellStyle name="20% - Accent5 12 24" xfId="2080"/>
    <cellStyle name="20% - Accent5 12 25" xfId="2081"/>
    <cellStyle name="20% - Accent5 12 26" xfId="2082"/>
    <cellStyle name="20% - Accent5 12 27" xfId="2083"/>
    <cellStyle name="20% - Accent5 12 28" xfId="2084"/>
    <cellStyle name="20% - Accent5 12 29" xfId="2085"/>
    <cellStyle name="20% - Accent5 12 3" xfId="2086"/>
    <cellStyle name="20% - Accent5 12 30" xfId="2087"/>
    <cellStyle name="20% - Accent5 12 31" xfId="2088"/>
    <cellStyle name="20% - Accent5 12 32" xfId="2089"/>
    <cellStyle name="20% - Accent5 12 33" xfId="2090"/>
    <cellStyle name="20% - Accent5 12 34" xfId="2091"/>
    <cellStyle name="20% - Accent5 12 35" xfId="2092"/>
    <cellStyle name="20% - Accent5 12 36" xfId="2093"/>
    <cellStyle name="20% - Accent5 12 37" xfId="2094"/>
    <cellStyle name="20% - Accent5 12 38" xfId="2095"/>
    <cellStyle name="20% - Accent5 12 39" xfId="2096"/>
    <cellStyle name="20% - Accent5 12 4" xfId="2097"/>
    <cellStyle name="20% - Accent5 12 40" xfId="2098"/>
    <cellStyle name="20% - Accent5 12 41" xfId="2099"/>
    <cellStyle name="20% - Accent5 12 5" xfId="2100"/>
    <cellStyle name="20% - Accent5 12 6" xfId="2101"/>
    <cellStyle name="20% - Accent5 12 7" xfId="2102"/>
    <cellStyle name="20% - Accent5 12 8" xfId="2103"/>
    <cellStyle name="20% - Accent5 12 9" xfId="2104"/>
    <cellStyle name="20% - Accent5 13" xfId="2105"/>
    <cellStyle name="20% - Accent5 14" xfId="2106"/>
    <cellStyle name="20% - Accent5 14 2" xfId="2107"/>
    <cellStyle name="20% - Accent5 15" xfId="2108"/>
    <cellStyle name="20% - Accent5 16" xfId="2109"/>
    <cellStyle name="20% - Accent5 2" xfId="2110"/>
    <cellStyle name="20% - Accent5 2 10" xfId="2111"/>
    <cellStyle name="20% - Accent5 2 11" xfId="2112"/>
    <cellStyle name="20% - Accent5 2 12" xfId="2113"/>
    <cellStyle name="20% - Accent5 2 13" xfId="2114"/>
    <cellStyle name="20% - Accent5 2 14" xfId="2115"/>
    <cellStyle name="20% - Accent5 2 15" xfId="2116"/>
    <cellStyle name="20% - Accent5 2 16" xfId="2117"/>
    <cellStyle name="20% - Accent5 2 17" xfId="2118"/>
    <cellStyle name="20% - Accent5 2 18" xfId="2119"/>
    <cellStyle name="20% - Accent5 2 19" xfId="2120"/>
    <cellStyle name="20% - Accent5 2 2" xfId="2121"/>
    <cellStyle name="20% - Accent5 2 2 2" xfId="2122"/>
    <cellStyle name="20% - Accent5 2 2 2 2" xfId="2123"/>
    <cellStyle name="20% - Accent5 2 2 3" xfId="2124"/>
    <cellStyle name="20% - Accent5 2 2 4" xfId="2125"/>
    <cellStyle name="20% - Accent5 2 2 5" xfId="2126"/>
    <cellStyle name="20% - Accent5 2 20" xfId="2127"/>
    <cellStyle name="20% - Accent5 2 21" xfId="2128"/>
    <cellStyle name="20% - Accent5 2 22" xfId="2129"/>
    <cellStyle name="20% - Accent5 2 23" xfId="2130"/>
    <cellStyle name="20% - Accent5 2 24" xfId="2131"/>
    <cellStyle name="20% - Accent5 2 25" xfId="2132"/>
    <cellStyle name="20% - Accent5 2 26" xfId="2133"/>
    <cellStyle name="20% - Accent5 2 27" xfId="2134"/>
    <cellStyle name="20% - Accent5 2 28" xfId="2135"/>
    <cellStyle name="20% - Accent5 2 29" xfId="2136"/>
    <cellStyle name="20% - Accent5 2 3" xfId="2137"/>
    <cellStyle name="20% - Accent5 2 3 2" xfId="2138"/>
    <cellStyle name="20% - Accent5 2 3 3" xfId="2139"/>
    <cellStyle name="20% - Accent5 2 3 4" xfId="2140"/>
    <cellStyle name="20% - Accent5 2 3 5" xfId="2141"/>
    <cellStyle name="20% - Accent5 2 3 6" xfId="2142"/>
    <cellStyle name="20% - Accent5 2 30" xfId="2143"/>
    <cellStyle name="20% - Accent5 2 31" xfId="2144"/>
    <cellStyle name="20% - Accent5 2 32" xfId="2145"/>
    <cellStyle name="20% - Accent5 2 33" xfId="2146"/>
    <cellStyle name="20% - Accent5 2 34" xfId="2147"/>
    <cellStyle name="20% - Accent5 2 35" xfId="2148"/>
    <cellStyle name="20% - Accent5 2 36" xfId="2149"/>
    <cellStyle name="20% - Accent5 2 37" xfId="2150"/>
    <cellStyle name="20% - Accent5 2 38" xfId="2151"/>
    <cellStyle name="20% - Accent5 2 39" xfId="2152"/>
    <cellStyle name="20% - Accent5 2 4" xfId="2153"/>
    <cellStyle name="20% - Accent5 2 40" xfId="2154"/>
    <cellStyle name="20% - Accent5 2 41" xfId="2155"/>
    <cellStyle name="20% - Accent5 2 42" xfId="2156"/>
    <cellStyle name="20% - Accent5 2 43" xfId="2157"/>
    <cellStyle name="20% - Accent5 2 44" xfId="2158"/>
    <cellStyle name="20% - Accent5 2 45" xfId="2159"/>
    <cellStyle name="20% - Accent5 2 5" xfId="2160"/>
    <cellStyle name="20% - Accent5 2 6" xfId="2161"/>
    <cellStyle name="20% - Accent5 2 7" xfId="2162"/>
    <cellStyle name="20% - Accent5 2 8" xfId="2163"/>
    <cellStyle name="20% - Accent5 2 9" xfId="2164"/>
    <cellStyle name="20% - Accent5 3" xfId="2165"/>
    <cellStyle name="20% - Accent5 3 10" xfId="2166"/>
    <cellStyle name="20% - Accent5 3 11" xfId="2167"/>
    <cellStyle name="20% - Accent5 3 12" xfId="2168"/>
    <cellStyle name="20% - Accent5 3 13" xfId="2169"/>
    <cellStyle name="20% - Accent5 3 14" xfId="2170"/>
    <cellStyle name="20% - Accent5 3 15" xfId="2171"/>
    <cellStyle name="20% - Accent5 3 16" xfId="2172"/>
    <cellStyle name="20% - Accent5 3 17" xfId="2173"/>
    <cellStyle name="20% - Accent5 3 18" xfId="2174"/>
    <cellStyle name="20% - Accent5 3 19" xfId="2175"/>
    <cellStyle name="20% - Accent5 3 2" xfId="2176"/>
    <cellStyle name="20% - Accent5 3 20" xfId="2177"/>
    <cellStyle name="20% - Accent5 3 21" xfId="2178"/>
    <cellStyle name="20% - Accent5 3 22" xfId="2179"/>
    <cellStyle name="20% - Accent5 3 23" xfId="2180"/>
    <cellStyle name="20% - Accent5 3 24" xfId="2181"/>
    <cellStyle name="20% - Accent5 3 25" xfId="2182"/>
    <cellStyle name="20% - Accent5 3 26" xfId="2183"/>
    <cellStyle name="20% - Accent5 3 27" xfId="2184"/>
    <cellStyle name="20% - Accent5 3 28" xfId="2185"/>
    <cellStyle name="20% - Accent5 3 29" xfId="2186"/>
    <cellStyle name="20% - Accent5 3 3" xfId="2187"/>
    <cellStyle name="20% - Accent5 3 30" xfId="2188"/>
    <cellStyle name="20% - Accent5 3 31" xfId="2189"/>
    <cellStyle name="20% - Accent5 3 32" xfId="2190"/>
    <cellStyle name="20% - Accent5 3 33" xfId="2191"/>
    <cellStyle name="20% - Accent5 3 34" xfId="2192"/>
    <cellStyle name="20% - Accent5 3 35" xfId="2193"/>
    <cellStyle name="20% - Accent5 3 36" xfId="2194"/>
    <cellStyle name="20% - Accent5 3 37" xfId="2195"/>
    <cellStyle name="20% - Accent5 3 38" xfId="2196"/>
    <cellStyle name="20% - Accent5 3 39" xfId="2197"/>
    <cellStyle name="20% - Accent5 3 4" xfId="2198"/>
    <cellStyle name="20% - Accent5 3 40" xfId="2199"/>
    <cellStyle name="20% - Accent5 3 41" xfId="2200"/>
    <cellStyle name="20% - Accent5 3 42" xfId="2201"/>
    <cellStyle name="20% - Accent5 3 43" xfId="2202"/>
    <cellStyle name="20% - Accent5 3 44" xfId="2203"/>
    <cellStyle name="20% - Accent5 3 45" xfId="2204"/>
    <cellStyle name="20% - Accent5 3 5" xfId="2205"/>
    <cellStyle name="20% - Accent5 3 6" xfId="2206"/>
    <cellStyle name="20% - Accent5 3 7" xfId="2207"/>
    <cellStyle name="20% - Accent5 3 8" xfId="2208"/>
    <cellStyle name="20% - Accent5 3 9" xfId="2209"/>
    <cellStyle name="20% - Accent5 4" xfId="2210"/>
    <cellStyle name="20% - Accent5 4 10" xfId="2211"/>
    <cellStyle name="20% - Accent5 4 11" xfId="2212"/>
    <cellStyle name="20% - Accent5 4 12" xfId="2213"/>
    <cellStyle name="20% - Accent5 4 13" xfId="2214"/>
    <cellStyle name="20% - Accent5 4 14" xfId="2215"/>
    <cellStyle name="20% - Accent5 4 15" xfId="2216"/>
    <cellStyle name="20% - Accent5 4 16" xfId="2217"/>
    <cellStyle name="20% - Accent5 4 17" xfId="2218"/>
    <cellStyle name="20% - Accent5 4 18" xfId="2219"/>
    <cellStyle name="20% - Accent5 4 19" xfId="2220"/>
    <cellStyle name="20% - Accent5 4 2" xfId="2221"/>
    <cellStyle name="20% - Accent5 4 20" xfId="2222"/>
    <cellStyle name="20% - Accent5 4 21" xfId="2223"/>
    <cellStyle name="20% - Accent5 4 22" xfId="2224"/>
    <cellStyle name="20% - Accent5 4 23" xfId="2225"/>
    <cellStyle name="20% - Accent5 4 24" xfId="2226"/>
    <cellStyle name="20% - Accent5 4 25" xfId="2227"/>
    <cellStyle name="20% - Accent5 4 26" xfId="2228"/>
    <cellStyle name="20% - Accent5 4 27" xfId="2229"/>
    <cellStyle name="20% - Accent5 4 28" xfId="2230"/>
    <cellStyle name="20% - Accent5 4 29" xfId="2231"/>
    <cellStyle name="20% - Accent5 4 3" xfId="2232"/>
    <cellStyle name="20% - Accent5 4 30" xfId="2233"/>
    <cellStyle name="20% - Accent5 4 31" xfId="2234"/>
    <cellStyle name="20% - Accent5 4 32" xfId="2235"/>
    <cellStyle name="20% - Accent5 4 33" xfId="2236"/>
    <cellStyle name="20% - Accent5 4 34" xfId="2237"/>
    <cellStyle name="20% - Accent5 4 35" xfId="2238"/>
    <cellStyle name="20% - Accent5 4 36" xfId="2239"/>
    <cellStyle name="20% - Accent5 4 37" xfId="2240"/>
    <cellStyle name="20% - Accent5 4 38" xfId="2241"/>
    <cellStyle name="20% - Accent5 4 39" xfId="2242"/>
    <cellStyle name="20% - Accent5 4 4" xfId="2243"/>
    <cellStyle name="20% - Accent5 4 40" xfId="2244"/>
    <cellStyle name="20% - Accent5 4 41" xfId="2245"/>
    <cellStyle name="20% - Accent5 4 5" xfId="2246"/>
    <cellStyle name="20% - Accent5 4 6" xfId="2247"/>
    <cellStyle name="20% - Accent5 4 7" xfId="2248"/>
    <cellStyle name="20% - Accent5 4 8" xfId="2249"/>
    <cellStyle name="20% - Accent5 4 9" xfId="2250"/>
    <cellStyle name="20% - Accent5 5" xfId="2251"/>
    <cellStyle name="20% - Accent5 5 10" xfId="2252"/>
    <cellStyle name="20% - Accent5 5 11" xfId="2253"/>
    <cellStyle name="20% - Accent5 5 12" xfId="2254"/>
    <cellStyle name="20% - Accent5 5 13" xfId="2255"/>
    <cellStyle name="20% - Accent5 5 14" xfId="2256"/>
    <cellStyle name="20% - Accent5 5 15" xfId="2257"/>
    <cellStyle name="20% - Accent5 5 16" xfId="2258"/>
    <cellStyle name="20% - Accent5 5 17" xfId="2259"/>
    <cellStyle name="20% - Accent5 5 18" xfId="2260"/>
    <cellStyle name="20% - Accent5 5 19" xfId="2261"/>
    <cellStyle name="20% - Accent5 5 2" xfId="2262"/>
    <cellStyle name="20% - Accent5 5 20" xfId="2263"/>
    <cellStyle name="20% - Accent5 5 21" xfId="2264"/>
    <cellStyle name="20% - Accent5 5 22" xfId="2265"/>
    <cellStyle name="20% - Accent5 5 23" xfId="2266"/>
    <cellStyle name="20% - Accent5 5 24" xfId="2267"/>
    <cellStyle name="20% - Accent5 5 25" xfId="2268"/>
    <cellStyle name="20% - Accent5 5 26" xfId="2269"/>
    <cellStyle name="20% - Accent5 5 27" xfId="2270"/>
    <cellStyle name="20% - Accent5 5 28" xfId="2271"/>
    <cellStyle name="20% - Accent5 5 29" xfId="2272"/>
    <cellStyle name="20% - Accent5 5 3" xfId="2273"/>
    <cellStyle name="20% - Accent5 5 30" xfId="2274"/>
    <cellStyle name="20% - Accent5 5 31" xfId="2275"/>
    <cellStyle name="20% - Accent5 5 32" xfId="2276"/>
    <cellStyle name="20% - Accent5 5 33" xfId="2277"/>
    <cellStyle name="20% - Accent5 5 34" xfId="2278"/>
    <cellStyle name="20% - Accent5 5 35" xfId="2279"/>
    <cellStyle name="20% - Accent5 5 36" xfId="2280"/>
    <cellStyle name="20% - Accent5 5 37" xfId="2281"/>
    <cellStyle name="20% - Accent5 5 38" xfId="2282"/>
    <cellStyle name="20% - Accent5 5 39" xfId="2283"/>
    <cellStyle name="20% - Accent5 5 4" xfId="2284"/>
    <cellStyle name="20% - Accent5 5 40" xfId="2285"/>
    <cellStyle name="20% - Accent5 5 41" xfId="2286"/>
    <cellStyle name="20% - Accent5 5 5" xfId="2287"/>
    <cellStyle name="20% - Accent5 5 6" xfId="2288"/>
    <cellStyle name="20% - Accent5 5 7" xfId="2289"/>
    <cellStyle name="20% - Accent5 5 8" xfId="2290"/>
    <cellStyle name="20% - Accent5 5 9" xfId="2291"/>
    <cellStyle name="20% - Accent5 6" xfId="2292"/>
    <cellStyle name="20% - Accent5 6 10" xfId="2293"/>
    <cellStyle name="20% - Accent5 6 11" xfId="2294"/>
    <cellStyle name="20% - Accent5 6 12" xfId="2295"/>
    <cellStyle name="20% - Accent5 6 13" xfId="2296"/>
    <cellStyle name="20% - Accent5 6 14" xfId="2297"/>
    <cellStyle name="20% - Accent5 6 15" xfId="2298"/>
    <cellStyle name="20% - Accent5 6 16" xfId="2299"/>
    <cellStyle name="20% - Accent5 6 17" xfId="2300"/>
    <cellStyle name="20% - Accent5 6 18" xfId="2301"/>
    <cellStyle name="20% - Accent5 6 19" xfId="2302"/>
    <cellStyle name="20% - Accent5 6 2" xfId="2303"/>
    <cellStyle name="20% - Accent5 6 20" xfId="2304"/>
    <cellStyle name="20% - Accent5 6 21" xfId="2305"/>
    <cellStyle name="20% - Accent5 6 22" xfId="2306"/>
    <cellStyle name="20% - Accent5 6 23" xfId="2307"/>
    <cellStyle name="20% - Accent5 6 24" xfId="2308"/>
    <cellStyle name="20% - Accent5 6 25" xfId="2309"/>
    <cellStyle name="20% - Accent5 6 26" xfId="2310"/>
    <cellStyle name="20% - Accent5 6 27" xfId="2311"/>
    <cellStyle name="20% - Accent5 6 28" xfId="2312"/>
    <cellStyle name="20% - Accent5 6 29" xfId="2313"/>
    <cellStyle name="20% - Accent5 6 3" xfId="2314"/>
    <cellStyle name="20% - Accent5 6 30" xfId="2315"/>
    <cellStyle name="20% - Accent5 6 31" xfId="2316"/>
    <cellStyle name="20% - Accent5 6 32" xfId="2317"/>
    <cellStyle name="20% - Accent5 6 33" xfId="2318"/>
    <cellStyle name="20% - Accent5 6 34" xfId="2319"/>
    <cellStyle name="20% - Accent5 6 35" xfId="2320"/>
    <cellStyle name="20% - Accent5 6 36" xfId="2321"/>
    <cellStyle name="20% - Accent5 6 37" xfId="2322"/>
    <cellStyle name="20% - Accent5 6 38" xfId="2323"/>
    <cellStyle name="20% - Accent5 6 39" xfId="2324"/>
    <cellStyle name="20% - Accent5 6 4" xfId="2325"/>
    <cellStyle name="20% - Accent5 6 40" xfId="2326"/>
    <cellStyle name="20% - Accent5 6 41" xfId="2327"/>
    <cellStyle name="20% - Accent5 6 5" xfId="2328"/>
    <cellStyle name="20% - Accent5 6 6" xfId="2329"/>
    <cellStyle name="20% - Accent5 6 7" xfId="2330"/>
    <cellStyle name="20% - Accent5 6 8" xfId="2331"/>
    <cellStyle name="20% - Accent5 6 9" xfId="2332"/>
    <cellStyle name="20% - Accent5 7" xfId="2333"/>
    <cellStyle name="20% - Accent5 7 10" xfId="2334"/>
    <cellStyle name="20% - Accent5 7 11" xfId="2335"/>
    <cellStyle name="20% - Accent5 7 12" xfId="2336"/>
    <cellStyle name="20% - Accent5 7 13" xfId="2337"/>
    <cellStyle name="20% - Accent5 7 14" xfId="2338"/>
    <cellStyle name="20% - Accent5 7 15" xfId="2339"/>
    <cellStyle name="20% - Accent5 7 16" xfId="2340"/>
    <cellStyle name="20% - Accent5 7 17" xfId="2341"/>
    <cellStyle name="20% - Accent5 7 18" xfId="2342"/>
    <cellStyle name="20% - Accent5 7 19" xfId="2343"/>
    <cellStyle name="20% - Accent5 7 2" xfId="2344"/>
    <cellStyle name="20% - Accent5 7 20" xfId="2345"/>
    <cellStyle name="20% - Accent5 7 21" xfId="2346"/>
    <cellStyle name="20% - Accent5 7 22" xfId="2347"/>
    <cellStyle name="20% - Accent5 7 23" xfId="2348"/>
    <cellStyle name="20% - Accent5 7 24" xfId="2349"/>
    <cellStyle name="20% - Accent5 7 25" xfId="2350"/>
    <cellStyle name="20% - Accent5 7 26" xfId="2351"/>
    <cellStyle name="20% - Accent5 7 27" xfId="2352"/>
    <cellStyle name="20% - Accent5 7 28" xfId="2353"/>
    <cellStyle name="20% - Accent5 7 29" xfId="2354"/>
    <cellStyle name="20% - Accent5 7 3" xfId="2355"/>
    <cellStyle name="20% - Accent5 7 30" xfId="2356"/>
    <cellStyle name="20% - Accent5 7 31" xfId="2357"/>
    <cellStyle name="20% - Accent5 7 32" xfId="2358"/>
    <cellStyle name="20% - Accent5 7 33" xfId="2359"/>
    <cellStyle name="20% - Accent5 7 34" xfId="2360"/>
    <cellStyle name="20% - Accent5 7 35" xfId="2361"/>
    <cellStyle name="20% - Accent5 7 36" xfId="2362"/>
    <cellStyle name="20% - Accent5 7 37" xfId="2363"/>
    <cellStyle name="20% - Accent5 7 38" xfId="2364"/>
    <cellStyle name="20% - Accent5 7 39" xfId="2365"/>
    <cellStyle name="20% - Accent5 7 4" xfId="2366"/>
    <cellStyle name="20% - Accent5 7 40" xfId="2367"/>
    <cellStyle name="20% - Accent5 7 41" xfId="2368"/>
    <cellStyle name="20% - Accent5 7 5" xfId="2369"/>
    <cellStyle name="20% - Accent5 7 6" xfId="2370"/>
    <cellStyle name="20% - Accent5 7 7" xfId="2371"/>
    <cellStyle name="20% - Accent5 7 8" xfId="2372"/>
    <cellStyle name="20% - Accent5 7 9" xfId="2373"/>
    <cellStyle name="20% - Accent5 8" xfId="2374"/>
    <cellStyle name="20% - Accent5 8 10" xfId="2375"/>
    <cellStyle name="20% - Accent5 8 11" xfId="2376"/>
    <cellStyle name="20% - Accent5 8 12" xfId="2377"/>
    <cellStyle name="20% - Accent5 8 13" xfId="2378"/>
    <cellStyle name="20% - Accent5 8 14" xfId="2379"/>
    <cellStyle name="20% - Accent5 8 15" xfId="2380"/>
    <cellStyle name="20% - Accent5 8 16" xfId="2381"/>
    <cellStyle name="20% - Accent5 8 17" xfId="2382"/>
    <cellStyle name="20% - Accent5 8 18" xfId="2383"/>
    <cellStyle name="20% - Accent5 8 19" xfId="2384"/>
    <cellStyle name="20% - Accent5 8 2" xfId="2385"/>
    <cellStyle name="20% - Accent5 8 20" xfId="2386"/>
    <cellStyle name="20% - Accent5 8 21" xfId="2387"/>
    <cellStyle name="20% - Accent5 8 22" xfId="2388"/>
    <cellStyle name="20% - Accent5 8 23" xfId="2389"/>
    <cellStyle name="20% - Accent5 8 24" xfId="2390"/>
    <cellStyle name="20% - Accent5 8 25" xfId="2391"/>
    <cellStyle name="20% - Accent5 8 26" xfId="2392"/>
    <cellStyle name="20% - Accent5 8 27" xfId="2393"/>
    <cellStyle name="20% - Accent5 8 28" xfId="2394"/>
    <cellStyle name="20% - Accent5 8 29" xfId="2395"/>
    <cellStyle name="20% - Accent5 8 3" xfId="2396"/>
    <cellStyle name="20% - Accent5 8 30" xfId="2397"/>
    <cellStyle name="20% - Accent5 8 31" xfId="2398"/>
    <cellStyle name="20% - Accent5 8 32" xfId="2399"/>
    <cellStyle name="20% - Accent5 8 33" xfId="2400"/>
    <cellStyle name="20% - Accent5 8 34" xfId="2401"/>
    <cellStyle name="20% - Accent5 8 35" xfId="2402"/>
    <cellStyle name="20% - Accent5 8 36" xfId="2403"/>
    <cellStyle name="20% - Accent5 8 37" xfId="2404"/>
    <cellStyle name="20% - Accent5 8 38" xfId="2405"/>
    <cellStyle name="20% - Accent5 8 39" xfId="2406"/>
    <cellStyle name="20% - Accent5 8 4" xfId="2407"/>
    <cellStyle name="20% - Accent5 8 40" xfId="2408"/>
    <cellStyle name="20% - Accent5 8 41" xfId="2409"/>
    <cellStyle name="20% - Accent5 8 5" xfId="2410"/>
    <cellStyle name="20% - Accent5 8 6" xfId="2411"/>
    <cellStyle name="20% - Accent5 8 7" xfId="2412"/>
    <cellStyle name="20% - Accent5 8 8" xfId="2413"/>
    <cellStyle name="20% - Accent5 8 9" xfId="2414"/>
    <cellStyle name="20% - Accent5 9" xfId="2415"/>
    <cellStyle name="20% - Accent5 9 10" xfId="2416"/>
    <cellStyle name="20% - Accent5 9 11" xfId="2417"/>
    <cellStyle name="20% - Accent5 9 12" xfId="2418"/>
    <cellStyle name="20% - Accent5 9 13" xfId="2419"/>
    <cellStyle name="20% - Accent5 9 14" xfId="2420"/>
    <cellStyle name="20% - Accent5 9 15" xfId="2421"/>
    <cellStyle name="20% - Accent5 9 16" xfId="2422"/>
    <cellStyle name="20% - Accent5 9 17" xfId="2423"/>
    <cellStyle name="20% - Accent5 9 18" xfId="2424"/>
    <cellStyle name="20% - Accent5 9 19" xfId="2425"/>
    <cellStyle name="20% - Accent5 9 2" xfId="2426"/>
    <cellStyle name="20% - Accent5 9 20" xfId="2427"/>
    <cellStyle name="20% - Accent5 9 21" xfId="2428"/>
    <cellStyle name="20% - Accent5 9 22" xfId="2429"/>
    <cellStyle name="20% - Accent5 9 23" xfId="2430"/>
    <cellStyle name="20% - Accent5 9 24" xfId="2431"/>
    <cellStyle name="20% - Accent5 9 25" xfId="2432"/>
    <cellStyle name="20% - Accent5 9 26" xfId="2433"/>
    <cellStyle name="20% - Accent5 9 27" xfId="2434"/>
    <cellStyle name="20% - Accent5 9 28" xfId="2435"/>
    <cellStyle name="20% - Accent5 9 29" xfId="2436"/>
    <cellStyle name="20% - Accent5 9 3" xfId="2437"/>
    <cellStyle name="20% - Accent5 9 30" xfId="2438"/>
    <cellStyle name="20% - Accent5 9 31" xfId="2439"/>
    <cellStyle name="20% - Accent5 9 32" xfId="2440"/>
    <cellStyle name="20% - Accent5 9 33" xfId="2441"/>
    <cellStyle name="20% - Accent5 9 34" xfId="2442"/>
    <cellStyle name="20% - Accent5 9 35" xfId="2443"/>
    <cellStyle name="20% - Accent5 9 36" xfId="2444"/>
    <cellStyle name="20% - Accent5 9 37" xfId="2445"/>
    <cellStyle name="20% - Accent5 9 38" xfId="2446"/>
    <cellStyle name="20% - Accent5 9 39" xfId="2447"/>
    <cellStyle name="20% - Accent5 9 4" xfId="2448"/>
    <cellStyle name="20% - Accent5 9 40" xfId="2449"/>
    <cellStyle name="20% - Accent5 9 41" xfId="2450"/>
    <cellStyle name="20% - Accent5 9 5" xfId="2451"/>
    <cellStyle name="20% - Accent5 9 6" xfId="2452"/>
    <cellStyle name="20% - Accent5 9 7" xfId="2453"/>
    <cellStyle name="20% - Accent5 9 8" xfId="2454"/>
    <cellStyle name="20% - Accent5 9 9" xfId="2455"/>
    <cellStyle name="20% - Accent6" xfId="39" builtinId="50" customBuiltin="1"/>
    <cellStyle name="20% - Accent6 10" xfId="2456"/>
    <cellStyle name="20% - Accent6 10 10" xfId="2457"/>
    <cellStyle name="20% - Accent6 10 11" xfId="2458"/>
    <cellStyle name="20% - Accent6 10 12" xfId="2459"/>
    <cellStyle name="20% - Accent6 10 13" xfId="2460"/>
    <cellStyle name="20% - Accent6 10 14" xfId="2461"/>
    <cellStyle name="20% - Accent6 10 15" xfId="2462"/>
    <cellStyle name="20% - Accent6 10 16" xfId="2463"/>
    <cellStyle name="20% - Accent6 10 17" xfId="2464"/>
    <cellStyle name="20% - Accent6 10 18" xfId="2465"/>
    <cellStyle name="20% - Accent6 10 19" xfId="2466"/>
    <cellStyle name="20% - Accent6 10 2" xfId="2467"/>
    <cellStyle name="20% - Accent6 10 20" xfId="2468"/>
    <cellStyle name="20% - Accent6 10 21" xfId="2469"/>
    <cellStyle name="20% - Accent6 10 22" xfId="2470"/>
    <cellStyle name="20% - Accent6 10 23" xfId="2471"/>
    <cellStyle name="20% - Accent6 10 24" xfId="2472"/>
    <cellStyle name="20% - Accent6 10 25" xfId="2473"/>
    <cellStyle name="20% - Accent6 10 26" xfId="2474"/>
    <cellStyle name="20% - Accent6 10 27" xfId="2475"/>
    <cellStyle name="20% - Accent6 10 28" xfId="2476"/>
    <cellStyle name="20% - Accent6 10 29" xfId="2477"/>
    <cellStyle name="20% - Accent6 10 3" xfId="2478"/>
    <cellStyle name="20% - Accent6 10 30" xfId="2479"/>
    <cellStyle name="20% - Accent6 10 31" xfId="2480"/>
    <cellStyle name="20% - Accent6 10 32" xfId="2481"/>
    <cellStyle name="20% - Accent6 10 33" xfId="2482"/>
    <cellStyle name="20% - Accent6 10 34" xfId="2483"/>
    <cellStyle name="20% - Accent6 10 35" xfId="2484"/>
    <cellStyle name="20% - Accent6 10 36" xfId="2485"/>
    <cellStyle name="20% - Accent6 10 37" xfId="2486"/>
    <cellStyle name="20% - Accent6 10 38" xfId="2487"/>
    <cellStyle name="20% - Accent6 10 39" xfId="2488"/>
    <cellStyle name="20% - Accent6 10 4" xfId="2489"/>
    <cellStyle name="20% - Accent6 10 40" xfId="2490"/>
    <cellStyle name="20% - Accent6 10 41" xfId="2491"/>
    <cellStyle name="20% - Accent6 10 5" xfId="2492"/>
    <cellStyle name="20% - Accent6 10 6" xfId="2493"/>
    <cellStyle name="20% - Accent6 10 7" xfId="2494"/>
    <cellStyle name="20% - Accent6 10 8" xfId="2495"/>
    <cellStyle name="20% - Accent6 10 9" xfId="2496"/>
    <cellStyle name="20% - Accent6 11" xfId="2497"/>
    <cellStyle name="20% - Accent6 11 10" xfId="2498"/>
    <cellStyle name="20% - Accent6 11 11" xfId="2499"/>
    <cellStyle name="20% - Accent6 11 12" xfId="2500"/>
    <cellStyle name="20% - Accent6 11 13" xfId="2501"/>
    <cellStyle name="20% - Accent6 11 14" xfId="2502"/>
    <cellStyle name="20% - Accent6 11 15" xfId="2503"/>
    <cellStyle name="20% - Accent6 11 16" xfId="2504"/>
    <cellStyle name="20% - Accent6 11 17" xfId="2505"/>
    <cellStyle name="20% - Accent6 11 18" xfId="2506"/>
    <cellStyle name="20% - Accent6 11 19" xfId="2507"/>
    <cellStyle name="20% - Accent6 11 2" xfId="2508"/>
    <cellStyle name="20% - Accent6 11 20" xfId="2509"/>
    <cellStyle name="20% - Accent6 11 21" xfId="2510"/>
    <cellStyle name="20% - Accent6 11 22" xfId="2511"/>
    <cellStyle name="20% - Accent6 11 23" xfId="2512"/>
    <cellStyle name="20% - Accent6 11 24" xfId="2513"/>
    <cellStyle name="20% - Accent6 11 25" xfId="2514"/>
    <cellStyle name="20% - Accent6 11 26" xfId="2515"/>
    <cellStyle name="20% - Accent6 11 27" xfId="2516"/>
    <cellStyle name="20% - Accent6 11 28" xfId="2517"/>
    <cellStyle name="20% - Accent6 11 29" xfId="2518"/>
    <cellStyle name="20% - Accent6 11 3" xfId="2519"/>
    <cellStyle name="20% - Accent6 11 30" xfId="2520"/>
    <cellStyle name="20% - Accent6 11 31" xfId="2521"/>
    <cellStyle name="20% - Accent6 11 32" xfId="2522"/>
    <cellStyle name="20% - Accent6 11 33" xfId="2523"/>
    <cellStyle name="20% - Accent6 11 34" xfId="2524"/>
    <cellStyle name="20% - Accent6 11 35" xfId="2525"/>
    <cellStyle name="20% - Accent6 11 36" xfId="2526"/>
    <cellStyle name="20% - Accent6 11 37" xfId="2527"/>
    <cellStyle name="20% - Accent6 11 38" xfId="2528"/>
    <cellStyle name="20% - Accent6 11 39" xfId="2529"/>
    <cellStyle name="20% - Accent6 11 4" xfId="2530"/>
    <cellStyle name="20% - Accent6 11 40" xfId="2531"/>
    <cellStyle name="20% - Accent6 11 41" xfId="2532"/>
    <cellStyle name="20% - Accent6 11 5" xfId="2533"/>
    <cellStyle name="20% - Accent6 11 6" xfId="2534"/>
    <cellStyle name="20% - Accent6 11 7" xfId="2535"/>
    <cellStyle name="20% - Accent6 11 8" xfId="2536"/>
    <cellStyle name="20% - Accent6 11 9" xfId="2537"/>
    <cellStyle name="20% - Accent6 12" xfId="2538"/>
    <cellStyle name="20% - Accent6 12 10" xfId="2539"/>
    <cellStyle name="20% - Accent6 12 11" xfId="2540"/>
    <cellStyle name="20% - Accent6 12 12" xfId="2541"/>
    <cellStyle name="20% - Accent6 12 13" xfId="2542"/>
    <cellStyle name="20% - Accent6 12 14" xfId="2543"/>
    <cellStyle name="20% - Accent6 12 15" xfId="2544"/>
    <cellStyle name="20% - Accent6 12 16" xfId="2545"/>
    <cellStyle name="20% - Accent6 12 17" xfId="2546"/>
    <cellStyle name="20% - Accent6 12 18" xfId="2547"/>
    <cellStyle name="20% - Accent6 12 19" xfId="2548"/>
    <cellStyle name="20% - Accent6 12 2" xfId="2549"/>
    <cellStyle name="20% - Accent6 12 20" xfId="2550"/>
    <cellStyle name="20% - Accent6 12 21" xfId="2551"/>
    <cellStyle name="20% - Accent6 12 22" xfId="2552"/>
    <cellStyle name="20% - Accent6 12 23" xfId="2553"/>
    <cellStyle name="20% - Accent6 12 24" xfId="2554"/>
    <cellStyle name="20% - Accent6 12 25" xfId="2555"/>
    <cellStyle name="20% - Accent6 12 26" xfId="2556"/>
    <cellStyle name="20% - Accent6 12 27" xfId="2557"/>
    <cellStyle name="20% - Accent6 12 28" xfId="2558"/>
    <cellStyle name="20% - Accent6 12 29" xfId="2559"/>
    <cellStyle name="20% - Accent6 12 3" xfId="2560"/>
    <cellStyle name="20% - Accent6 12 30" xfId="2561"/>
    <cellStyle name="20% - Accent6 12 31" xfId="2562"/>
    <cellStyle name="20% - Accent6 12 32" xfId="2563"/>
    <cellStyle name="20% - Accent6 12 33" xfId="2564"/>
    <cellStyle name="20% - Accent6 12 34" xfId="2565"/>
    <cellStyle name="20% - Accent6 12 35" xfId="2566"/>
    <cellStyle name="20% - Accent6 12 36" xfId="2567"/>
    <cellStyle name="20% - Accent6 12 37" xfId="2568"/>
    <cellStyle name="20% - Accent6 12 38" xfId="2569"/>
    <cellStyle name="20% - Accent6 12 39" xfId="2570"/>
    <cellStyle name="20% - Accent6 12 4" xfId="2571"/>
    <cellStyle name="20% - Accent6 12 40" xfId="2572"/>
    <cellStyle name="20% - Accent6 12 41" xfId="2573"/>
    <cellStyle name="20% - Accent6 12 5" xfId="2574"/>
    <cellStyle name="20% - Accent6 12 6" xfId="2575"/>
    <cellStyle name="20% - Accent6 12 7" xfId="2576"/>
    <cellStyle name="20% - Accent6 12 8" xfId="2577"/>
    <cellStyle name="20% - Accent6 12 9" xfId="2578"/>
    <cellStyle name="20% - Accent6 13" xfId="2579"/>
    <cellStyle name="20% - Accent6 14" xfId="2580"/>
    <cellStyle name="20% - Accent6 14 2" xfId="2581"/>
    <cellStyle name="20% - Accent6 15" xfId="2582"/>
    <cellStyle name="20% - Accent6 16" xfId="2583"/>
    <cellStyle name="20% - Accent6 2" xfId="2584"/>
    <cellStyle name="20% - Accent6 2 10" xfId="2585"/>
    <cellStyle name="20% - Accent6 2 11" xfId="2586"/>
    <cellStyle name="20% - Accent6 2 12" xfId="2587"/>
    <cellStyle name="20% - Accent6 2 13" xfId="2588"/>
    <cellStyle name="20% - Accent6 2 14" xfId="2589"/>
    <cellStyle name="20% - Accent6 2 15" xfId="2590"/>
    <cellStyle name="20% - Accent6 2 16" xfId="2591"/>
    <cellStyle name="20% - Accent6 2 17" xfId="2592"/>
    <cellStyle name="20% - Accent6 2 18" xfId="2593"/>
    <cellStyle name="20% - Accent6 2 19" xfId="2594"/>
    <cellStyle name="20% - Accent6 2 2" xfId="2595"/>
    <cellStyle name="20% - Accent6 2 2 2" xfId="2596"/>
    <cellStyle name="20% - Accent6 2 2 2 2" xfId="2597"/>
    <cellStyle name="20% - Accent6 2 2 3" xfId="2598"/>
    <cellStyle name="20% - Accent6 2 2 4" xfId="2599"/>
    <cellStyle name="20% - Accent6 2 2 5" xfId="2600"/>
    <cellStyle name="20% - Accent6 2 20" xfId="2601"/>
    <cellStyle name="20% - Accent6 2 21" xfId="2602"/>
    <cellStyle name="20% - Accent6 2 22" xfId="2603"/>
    <cellStyle name="20% - Accent6 2 23" xfId="2604"/>
    <cellStyle name="20% - Accent6 2 24" xfId="2605"/>
    <cellStyle name="20% - Accent6 2 25" xfId="2606"/>
    <cellStyle name="20% - Accent6 2 26" xfId="2607"/>
    <cellStyle name="20% - Accent6 2 27" xfId="2608"/>
    <cellStyle name="20% - Accent6 2 28" xfId="2609"/>
    <cellStyle name="20% - Accent6 2 29" xfId="2610"/>
    <cellStyle name="20% - Accent6 2 3" xfId="2611"/>
    <cellStyle name="20% - Accent6 2 3 2" xfId="2612"/>
    <cellStyle name="20% - Accent6 2 3 3" xfId="2613"/>
    <cellStyle name="20% - Accent6 2 3 4" xfId="2614"/>
    <cellStyle name="20% - Accent6 2 3 5" xfId="2615"/>
    <cellStyle name="20% - Accent6 2 3 6" xfId="2616"/>
    <cellStyle name="20% - Accent6 2 30" xfId="2617"/>
    <cellStyle name="20% - Accent6 2 31" xfId="2618"/>
    <cellStyle name="20% - Accent6 2 32" xfId="2619"/>
    <cellStyle name="20% - Accent6 2 33" xfId="2620"/>
    <cellStyle name="20% - Accent6 2 34" xfId="2621"/>
    <cellStyle name="20% - Accent6 2 35" xfId="2622"/>
    <cellStyle name="20% - Accent6 2 36" xfId="2623"/>
    <cellStyle name="20% - Accent6 2 37" xfId="2624"/>
    <cellStyle name="20% - Accent6 2 38" xfId="2625"/>
    <cellStyle name="20% - Accent6 2 39" xfId="2626"/>
    <cellStyle name="20% - Accent6 2 4" xfId="2627"/>
    <cellStyle name="20% - Accent6 2 40" xfId="2628"/>
    <cellStyle name="20% - Accent6 2 41" xfId="2629"/>
    <cellStyle name="20% - Accent6 2 42" xfId="2630"/>
    <cellStyle name="20% - Accent6 2 43" xfId="2631"/>
    <cellStyle name="20% - Accent6 2 44" xfId="2632"/>
    <cellStyle name="20% - Accent6 2 45" xfId="2633"/>
    <cellStyle name="20% - Accent6 2 5" xfId="2634"/>
    <cellStyle name="20% - Accent6 2 6" xfId="2635"/>
    <cellStyle name="20% - Accent6 2 7" xfId="2636"/>
    <cellStyle name="20% - Accent6 2 8" xfId="2637"/>
    <cellStyle name="20% - Accent6 2 9" xfId="2638"/>
    <cellStyle name="20% - Accent6 3" xfId="2639"/>
    <cellStyle name="20% - Accent6 3 10" xfId="2640"/>
    <cellStyle name="20% - Accent6 3 11" xfId="2641"/>
    <cellStyle name="20% - Accent6 3 12" xfId="2642"/>
    <cellStyle name="20% - Accent6 3 13" xfId="2643"/>
    <cellStyle name="20% - Accent6 3 14" xfId="2644"/>
    <cellStyle name="20% - Accent6 3 15" xfId="2645"/>
    <cellStyle name="20% - Accent6 3 16" xfId="2646"/>
    <cellStyle name="20% - Accent6 3 17" xfId="2647"/>
    <cellStyle name="20% - Accent6 3 18" xfId="2648"/>
    <cellStyle name="20% - Accent6 3 19" xfId="2649"/>
    <cellStyle name="20% - Accent6 3 2" xfId="2650"/>
    <cellStyle name="20% - Accent6 3 20" xfId="2651"/>
    <cellStyle name="20% - Accent6 3 21" xfId="2652"/>
    <cellStyle name="20% - Accent6 3 22" xfId="2653"/>
    <cellStyle name="20% - Accent6 3 23" xfId="2654"/>
    <cellStyle name="20% - Accent6 3 24" xfId="2655"/>
    <cellStyle name="20% - Accent6 3 25" xfId="2656"/>
    <cellStyle name="20% - Accent6 3 26" xfId="2657"/>
    <cellStyle name="20% - Accent6 3 27" xfId="2658"/>
    <cellStyle name="20% - Accent6 3 28" xfId="2659"/>
    <cellStyle name="20% - Accent6 3 29" xfId="2660"/>
    <cellStyle name="20% - Accent6 3 3" xfId="2661"/>
    <cellStyle name="20% - Accent6 3 30" xfId="2662"/>
    <cellStyle name="20% - Accent6 3 31" xfId="2663"/>
    <cellStyle name="20% - Accent6 3 32" xfId="2664"/>
    <cellStyle name="20% - Accent6 3 33" xfId="2665"/>
    <cellStyle name="20% - Accent6 3 34" xfId="2666"/>
    <cellStyle name="20% - Accent6 3 35" xfId="2667"/>
    <cellStyle name="20% - Accent6 3 36" xfId="2668"/>
    <cellStyle name="20% - Accent6 3 37" xfId="2669"/>
    <cellStyle name="20% - Accent6 3 38" xfId="2670"/>
    <cellStyle name="20% - Accent6 3 39" xfId="2671"/>
    <cellStyle name="20% - Accent6 3 4" xfId="2672"/>
    <cellStyle name="20% - Accent6 3 40" xfId="2673"/>
    <cellStyle name="20% - Accent6 3 41" xfId="2674"/>
    <cellStyle name="20% - Accent6 3 42" xfId="2675"/>
    <cellStyle name="20% - Accent6 3 43" xfId="2676"/>
    <cellStyle name="20% - Accent6 3 44" xfId="2677"/>
    <cellStyle name="20% - Accent6 3 45" xfId="2678"/>
    <cellStyle name="20% - Accent6 3 5" xfId="2679"/>
    <cellStyle name="20% - Accent6 3 6" xfId="2680"/>
    <cellStyle name="20% - Accent6 3 7" xfId="2681"/>
    <cellStyle name="20% - Accent6 3 8" xfId="2682"/>
    <cellStyle name="20% - Accent6 3 9" xfId="2683"/>
    <cellStyle name="20% - Accent6 4" xfId="2684"/>
    <cellStyle name="20% - Accent6 4 10" xfId="2685"/>
    <cellStyle name="20% - Accent6 4 11" xfId="2686"/>
    <cellStyle name="20% - Accent6 4 12" xfId="2687"/>
    <cellStyle name="20% - Accent6 4 13" xfId="2688"/>
    <cellStyle name="20% - Accent6 4 14" xfId="2689"/>
    <cellStyle name="20% - Accent6 4 15" xfId="2690"/>
    <cellStyle name="20% - Accent6 4 16" xfId="2691"/>
    <cellStyle name="20% - Accent6 4 17" xfId="2692"/>
    <cellStyle name="20% - Accent6 4 18" xfId="2693"/>
    <cellStyle name="20% - Accent6 4 19" xfId="2694"/>
    <cellStyle name="20% - Accent6 4 2" xfId="2695"/>
    <cellStyle name="20% - Accent6 4 20" xfId="2696"/>
    <cellStyle name="20% - Accent6 4 21" xfId="2697"/>
    <cellStyle name="20% - Accent6 4 22" xfId="2698"/>
    <cellStyle name="20% - Accent6 4 23" xfId="2699"/>
    <cellStyle name="20% - Accent6 4 24" xfId="2700"/>
    <cellStyle name="20% - Accent6 4 25" xfId="2701"/>
    <cellStyle name="20% - Accent6 4 26" xfId="2702"/>
    <cellStyle name="20% - Accent6 4 27" xfId="2703"/>
    <cellStyle name="20% - Accent6 4 28" xfId="2704"/>
    <cellStyle name="20% - Accent6 4 29" xfId="2705"/>
    <cellStyle name="20% - Accent6 4 3" xfId="2706"/>
    <cellStyle name="20% - Accent6 4 30" xfId="2707"/>
    <cellStyle name="20% - Accent6 4 31" xfId="2708"/>
    <cellStyle name="20% - Accent6 4 32" xfId="2709"/>
    <cellStyle name="20% - Accent6 4 33" xfId="2710"/>
    <cellStyle name="20% - Accent6 4 34" xfId="2711"/>
    <cellStyle name="20% - Accent6 4 35" xfId="2712"/>
    <cellStyle name="20% - Accent6 4 36" xfId="2713"/>
    <cellStyle name="20% - Accent6 4 37" xfId="2714"/>
    <cellStyle name="20% - Accent6 4 38" xfId="2715"/>
    <cellStyle name="20% - Accent6 4 39" xfId="2716"/>
    <cellStyle name="20% - Accent6 4 4" xfId="2717"/>
    <cellStyle name="20% - Accent6 4 40" xfId="2718"/>
    <cellStyle name="20% - Accent6 4 41" xfId="2719"/>
    <cellStyle name="20% - Accent6 4 5" xfId="2720"/>
    <cellStyle name="20% - Accent6 4 6" xfId="2721"/>
    <cellStyle name="20% - Accent6 4 7" xfId="2722"/>
    <cellStyle name="20% - Accent6 4 8" xfId="2723"/>
    <cellStyle name="20% - Accent6 4 9" xfId="2724"/>
    <cellStyle name="20% - Accent6 5" xfId="2725"/>
    <cellStyle name="20% - Accent6 5 10" xfId="2726"/>
    <cellStyle name="20% - Accent6 5 11" xfId="2727"/>
    <cellStyle name="20% - Accent6 5 12" xfId="2728"/>
    <cellStyle name="20% - Accent6 5 13" xfId="2729"/>
    <cellStyle name="20% - Accent6 5 14" xfId="2730"/>
    <cellStyle name="20% - Accent6 5 15" xfId="2731"/>
    <cellStyle name="20% - Accent6 5 16" xfId="2732"/>
    <cellStyle name="20% - Accent6 5 17" xfId="2733"/>
    <cellStyle name="20% - Accent6 5 18" xfId="2734"/>
    <cellStyle name="20% - Accent6 5 19" xfId="2735"/>
    <cellStyle name="20% - Accent6 5 2" xfId="2736"/>
    <cellStyle name="20% - Accent6 5 20" xfId="2737"/>
    <cellStyle name="20% - Accent6 5 21" xfId="2738"/>
    <cellStyle name="20% - Accent6 5 22" xfId="2739"/>
    <cellStyle name="20% - Accent6 5 23" xfId="2740"/>
    <cellStyle name="20% - Accent6 5 24" xfId="2741"/>
    <cellStyle name="20% - Accent6 5 25" xfId="2742"/>
    <cellStyle name="20% - Accent6 5 26" xfId="2743"/>
    <cellStyle name="20% - Accent6 5 27" xfId="2744"/>
    <cellStyle name="20% - Accent6 5 28" xfId="2745"/>
    <cellStyle name="20% - Accent6 5 29" xfId="2746"/>
    <cellStyle name="20% - Accent6 5 3" xfId="2747"/>
    <cellStyle name="20% - Accent6 5 30" xfId="2748"/>
    <cellStyle name="20% - Accent6 5 31" xfId="2749"/>
    <cellStyle name="20% - Accent6 5 32" xfId="2750"/>
    <cellStyle name="20% - Accent6 5 33" xfId="2751"/>
    <cellStyle name="20% - Accent6 5 34" xfId="2752"/>
    <cellStyle name="20% - Accent6 5 35" xfId="2753"/>
    <cellStyle name="20% - Accent6 5 36" xfId="2754"/>
    <cellStyle name="20% - Accent6 5 37" xfId="2755"/>
    <cellStyle name="20% - Accent6 5 38" xfId="2756"/>
    <cellStyle name="20% - Accent6 5 39" xfId="2757"/>
    <cellStyle name="20% - Accent6 5 4" xfId="2758"/>
    <cellStyle name="20% - Accent6 5 40" xfId="2759"/>
    <cellStyle name="20% - Accent6 5 41" xfId="2760"/>
    <cellStyle name="20% - Accent6 5 5" xfId="2761"/>
    <cellStyle name="20% - Accent6 5 6" xfId="2762"/>
    <cellStyle name="20% - Accent6 5 7" xfId="2763"/>
    <cellStyle name="20% - Accent6 5 8" xfId="2764"/>
    <cellStyle name="20% - Accent6 5 9" xfId="2765"/>
    <cellStyle name="20% - Accent6 6" xfId="2766"/>
    <cellStyle name="20% - Accent6 6 10" xfId="2767"/>
    <cellStyle name="20% - Accent6 6 11" xfId="2768"/>
    <cellStyle name="20% - Accent6 6 12" xfId="2769"/>
    <cellStyle name="20% - Accent6 6 13" xfId="2770"/>
    <cellStyle name="20% - Accent6 6 14" xfId="2771"/>
    <cellStyle name="20% - Accent6 6 15" xfId="2772"/>
    <cellStyle name="20% - Accent6 6 16" xfId="2773"/>
    <cellStyle name="20% - Accent6 6 17" xfId="2774"/>
    <cellStyle name="20% - Accent6 6 18" xfId="2775"/>
    <cellStyle name="20% - Accent6 6 19" xfId="2776"/>
    <cellStyle name="20% - Accent6 6 2" xfId="2777"/>
    <cellStyle name="20% - Accent6 6 20" xfId="2778"/>
    <cellStyle name="20% - Accent6 6 21" xfId="2779"/>
    <cellStyle name="20% - Accent6 6 22" xfId="2780"/>
    <cellStyle name="20% - Accent6 6 23" xfId="2781"/>
    <cellStyle name="20% - Accent6 6 24" xfId="2782"/>
    <cellStyle name="20% - Accent6 6 25" xfId="2783"/>
    <cellStyle name="20% - Accent6 6 26" xfId="2784"/>
    <cellStyle name="20% - Accent6 6 27" xfId="2785"/>
    <cellStyle name="20% - Accent6 6 28" xfId="2786"/>
    <cellStyle name="20% - Accent6 6 29" xfId="2787"/>
    <cellStyle name="20% - Accent6 6 3" xfId="2788"/>
    <cellStyle name="20% - Accent6 6 30" xfId="2789"/>
    <cellStyle name="20% - Accent6 6 31" xfId="2790"/>
    <cellStyle name="20% - Accent6 6 32" xfId="2791"/>
    <cellStyle name="20% - Accent6 6 33" xfId="2792"/>
    <cellStyle name="20% - Accent6 6 34" xfId="2793"/>
    <cellStyle name="20% - Accent6 6 35" xfId="2794"/>
    <cellStyle name="20% - Accent6 6 36" xfId="2795"/>
    <cellStyle name="20% - Accent6 6 37" xfId="2796"/>
    <cellStyle name="20% - Accent6 6 38" xfId="2797"/>
    <cellStyle name="20% - Accent6 6 39" xfId="2798"/>
    <cellStyle name="20% - Accent6 6 4" xfId="2799"/>
    <cellStyle name="20% - Accent6 6 40" xfId="2800"/>
    <cellStyle name="20% - Accent6 6 41" xfId="2801"/>
    <cellStyle name="20% - Accent6 6 5" xfId="2802"/>
    <cellStyle name="20% - Accent6 6 6" xfId="2803"/>
    <cellStyle name="20% - Accent6 6 7" xfId="2804"/>
    <cellStyle name="20% - Accent6 6 8" xfId="2805"/>
    <cellStyle name="20% - Accent6 6 9" xfId="2806"/>
    <cellStyle name="20% - Accent6 7" xfId="2807"/>
    <cellStyle name="20% - Accent6 7 10" xfId="2808"/>
    <cellStyle name="20% - Accent6 7 11" xfId="2809"/>
    <cellStyle name="20% - Accent6 7 12" xfId="2810"/>
    <cellStyle name="20% - Accent6 7 13" xfId="2811"/>
    <cellStyle name="20% - Accent6 7 14" xfId="2812"/>
    <cellStyle name="20% - Accent6 7 15" xfId="2813"/>
    <cellStyle name="20% - Accent6 7 16" xfId="2814"/>
    <cellStyle name="20% - Accent6 7 17" xfId="2815"/>
    <cellStyle name="20% - Accent6 7 18" xfId="2816"/>
    <cellStyle name="20% - Accent6 7 19" xfId="2817"/>
    <cellStyle name="20% - Accent6 7 2" xfId="2818"/>
    <cellStyle name="20% - Accent6 7 20" xfId="2819"/>
    <cellStyle name="20% - Accent6 7 21" xfId="2820"/>
    <cellStyle name="20% - Accent6 7 22" xfId="2821"/>
    <cellStyle name="20% - Accent6 7 23" xfId="2822"/>
    <cellStyle name="20% - Accent6 7 24" xfId="2823"/>
    <cellStyle name="20% - Accent6 7 25" xfId="2824"/>
    <cellStyle name="20% - Accent6 7 26" xfId="2825"/>
    <cellStyle name="20% - Accent6 7 27" xfId="2826"/>
    <cellStyle name="20% - Accent6 7 28" xfId="2827"/>
    <cellStyle name="20% - Accent6 7 29" xfId="2828"/>
    <cellStyle name="20% - Accent6 7 3" xfId="2829"/>
    <cellStyle name="20% - Accent6 7 30" xfId="2830"/>
    <cellStyle name="20% - Accent6 7 31" xfId="2831"/>
    <cellStyle name="20% - Accent6 7 32" xfId="2832"/>
    <cellStyle name="20% - Accent6 7 33" xfId="2833"/>
    <cellStyle name="20% - Accent6 7 34" xfId="2834"/>
    <cellStyle name="20% - Accent6 7 35" xfId="2835"/>
    <cellStyle name="20% - Accent6 7 36" xfId="2836"/>
    <cellStyle name="20% - Accent6 7 37" xfId="2837"/>
    <cellStyle name="20% - Accent6 7 38" xfId="2838"/>
    <cellStyle name="20% - Accent6 7 39" xfId="2839"/>
    <cellStyle name="20% - Accent6 7 4" xfId="2840"/>
    <cellStyle name="20% - Accent6 7 40" xfId="2841"/>
    <cellStyle name="20% - Accent6 7 41" xfId="2842"/>
    <cellStyle name="20% - Accent6 7 5" xfId="2843"/>
    <cellStyle name="20% - Accent6 7 6" xfId="2844"/>
    <cellStyle name="20% - Accent6 7 7" xfId="2845"/>
    <cellStyle name="20% - Accent6 7 8" xfId="2846"/>
    <cellStyle name="20% - Accent6 7 9" xfId="2847"/>
    <cellStyle name="20% - Accent6 8" xfId="2848"/>
    <cellStyle name="20% - Accent6 8 10" xfId="2849"/>
    <cellStyle name="20% - Accent6 8 11" xfId="2850"/>
    <cellStyle name="20% - Accent6 8 12" xfId="2851"/>
    <cellStyle name="20% - Accent6 8 13" xfId="2852"/>
    <cellStyle name="20% - Accent6 8 14" xfId="2853"/>
    <cellStyle name="20% - Accent6 8 15" xfId="2854"/>
    <cellStyle name="20% - Accent6 8 16" xfId="2855"/>
    <cellStyle name="20% - Accent6 8 17" xfId="2856"/>
    <cellStyle name="20% - Accent6 8 18" xfId="2857"/>
    <cellStyle name="20% - Accent6 8 19" xfId="2858"/>
    <cellStyle name="20% - Accent6 8 2" xfId="2859"/>
    <cellStyle name="20% - Accent6 8 20" xfId="2860"/>
    <cellStyle name="20% - Accent6 8 21" xfId="2861"/>
    <cellStyle name="20% - Accent6 8 22" xfId="2862"/>
    <cellStyle name="20% - Accent6 8 23" xfId="2863"/>
    <cellStyle name="20% - Accent6 8 24" xfId="2864"/>
    <cellStyle name="20% - Accent6 8 25" xfId="2865"/>
    <cellStyle name="20% - Accent6 8 26" xfId="2866"/>
    <cellStyle name="20% - Accent6 8 27" xfId="2867"/>
    <cellStyle name="20% - Accent6 8 28" xfId="2868"/>
    <cellStyle name="20% - Accent6 8 29" xfId="2869"/>
    <cellStyle name="20% - Accent6 8 3" xfId="2870"/>
    <cellStyle name="20% - Accent6 8 30" xfId="2871"/>
    <cellStyle name="20% - Accent6 8 31" xfId="2872"/>
    <cellStyle name="20% - Accent6 8 32" xfId="2873"/>
    <cellStyle name="20% - Accent6 8 33" xfId="2874"/>
    <cellStyle name="20% - Accent6 8 34" xfId="2875"/>
    <cellStyle name="20% - Accent6 8 35" xfId="2876"/>
    <cellStyle name="20% - Accent6 8 36" xfId="2877"/>
    <cellStyle name="20% - Accent6 8 37" xfId="2878"/>
    <cellStyle name="20% - Accent6 8 38" xfId="2879"/>
    <cellStyle name="20% - Accent6 8 39" xfId="2880"/>
    <cellStyle name="20% - Accent6 8 4" xfId="2881"/>
    <cellStyle name="20% - Accent6 8 40" xfId="2882"/>
    <cellStyle name="20% - Accent6 8 41" xfId="2883"/>
    <cellStyle name="20% - Accent6 8 5" xfId="2884"/>
    <cellStyle name="20% - Accent6 8 6" xfId="2885"/>
    <cellStyle name="20% - Accent6 8 7" xfId="2886"/>
    <cellStyle name="20% - Accent6 8 8" xfId="2887"/>
    <cellStyle name="20% - Accent6 8 9" xfId="2888"/>
    <cellStyle name="20% - Accent6 9" xfId="2889"/>
    <cellStyle name="20% - Accent6 9 10" xfId="2890"/>
    <cellStyle name="20% - Accent6 9 11" xfId="2891"/>
    <cellStyle name="20% - Accent6 9 12" xfId="2892"/>
    <cellStyle name="20% - Accent6 9 13" xfId="2893"/>
    <cellStyle name="20% - Accent6 9 14" xfId="2894"/>
    <cellStyle name="20% - Accent6 9 15" xfId="2895"/>
    <cellStyle name="20% - Accent6 9 16" xfId="2896"/>
    <cellStyle name="20% - Accent6 9 17" xfId="2897"/>
    <cellStyle name="20% - Accent6 9 18" xfId="2898"/>
    <cellStyle name="20% - Accent6 9 19" xfId="2899"/>
    <cellStyle name="20% - Accent6 9 2" xfId="2900"/>
    <cellStyle name="20% - Accent6 9 20" xfId="2901"/>
    <cellStyle name="20% - Accent6 9 21" xfId="2902"/>
    <cellStyle name="20% - Accent6 9 22" xfId="2903"/>
    <cellStyle name="20% - Accent6 9 23" xfId="2904"/>
    <cellStyle name="20% - Accent6 9 24" xfId="2905"/>
    <cellStyle name="20% - Accent6 9 25" xfId="2906"/>
    <cellStyle name="20% - Accent6 9 26" xfId="2907"/>
    <cellStyle name="20% - Accent6 9 27" xfId="2908"/>
    <cellStyle name="20% - Accent6 9 28" xfId="2909"/>
    <cellStyle name="20% - Accent6 9 29" xfId="2910"/>
    <cellStyle name="20% - Accent6 9 3" xfId="2911"/>
    <cellStyle name="20% - Accent6 9 30" xfId="2912"/>
    <cellStyle name="20% - Accent6 9 31" xfId="2913"/>
    <cellStyle name="20% - Accent6 9 32" xfId="2914"/>
    <cellStyle name="20% - Accent6 9 33" xfId="2915"/>
    <cellStyle name="20% - Accent6 9 34" xfId="2916"/>
    <cellStyle name="20% - Accent6 9 35" xfId="2917"/>
    <cellStyle name="20% - Accent6 9 36" xfId="2918"/>
    <cellStyle name="20% - Accent6 9 37" xfId="2919"/>
    <cellStyle name="20% - Accent6 9 38" xfId="2920"/>
    <cellStyle name="20% - Accent6 9 39" xfId="2921"/>
    <cellStyle name="20% - Accent6 9 4" xfId="2922"/>
    <cellStyle name="20% - Accent6 9 40" xfId="2923"/>
    <cellStyle name="20% - Accent6 9 41" xfId="2924"/>
    <cellStyle name="20% - Accent6 9 5" xfId="2925"/>
    <cellStyle name="20% - Accent6 9 6" xfId="2926"/>
    <cellStyle name="20% - Accent6 9 7" xfId="2927"/>
    <cellStyle name="20% - Accent6 9 8" xfId="2928"/>
    <cellStyle name="20% - Accent6 9 9" xfId="2929"/>
    <cellStyle name="40% - Accent1" xfId="20" builtinId="31" customBuiltin="1"/>
    <cellStyle name="40% - Accent1 10" xfId="2930"/>
    <cellStyle name="40% - Accent1 10 10" xfId="2931"/>
    <cellStyle name="40% - Accent1 10 11" xfId="2932"/>
    <cellStyle name="40% - Accent1 10 12" xfId="2933"/>
    <cellStyle name="40% - Accent1 10 13" xfId="2934"/>
    <cellStyle name="40% - Accent1 10 14" xfId="2935"/>
    <cellStyle name="40% - Accent1 10 15" xfId="2936"/>
    <cellStyle name="40% - Accent1 10 16" xfId="2937"/>
    <cellStyle name="40% - Accent1 10 17" xfId="2938"/>
    <cellStyle name="40% - Accent1 10 18" xfId="2939"/>
    <cellStyle name="40% - Accent1 10 19" xfId="2940"/>
    <cellStyle name="40% - Accent1 10 2" xfId="2941"/>
    <cellStyle name="40% - Accent1 10 20" xfId="2942"/>
    <cellStyle name="40% - Accent1 10 21" xfId="2943"/>
    <cellStyle name="40% - Accent1 10 22" xfId="2944"/>
    <cellStyle name="40% - Accent1 10 23" xfId="2945"/>
    <cellStyle name="40% - Accent1 10 24" xfId="2946"/>
    <cellStyle name="40% - Accent1 10 25" xfId="2947"/>
    <cellStyle name="40% - Accent1 10 26" xfId="2948"/>
    <cellStyle name="40% - Accent1 10 27" xfId="2949"/>
    <cellStyle name="40% - Accent1 10 28" xfId="2950"/>
    <cellStyle name="40% - Accent1 10 29" xfId="2951"/>
    <cellStyle name="40% - Accent1 10 3" xfId="2952"/>
    <cellStyle name="40% - Accent1 10 30" xfId="2953"/>
    <cellStyle name="40% - Accent1 10 31" xfId="2954"/>
    <cellStyle name="40% - Accent1 10 32" xfId="2955"/>
    <cellStyle name="40% - Accent1 10 33" xfId="2956"/>
    <cellStyle name="40% - Accent1 10 34" xfId="2957"/>
    <cellStyle name="40% - Accent1 10 35" xfId="2958"/>
    <cellStyle name="40% - Accent1 10 36" xfId="2959"/>
    <cellStyle name="40% - Accent1 10 37" xfId="2960"/>
    <cellStyle name="40% - Accent1 10 38" xfId="2961"/>
    <cellStyle name="40% - Accent1 10 39" xfId="2962"/>
    <cellStyle name="40% - Accent1 10 4" xfId="2963"/>
    <cellStyle name="40% - Accent1 10 40" xfId="2964"/>
    <cellStyle name="40% - Accent1 10 41" xfId="2965"/>
    <cellStyle name="40% - Accent1 10 5" xfId="2966"/>
    <cellStyle name="40% - Accent1 10 6" xfId="2967"/>
    <cellStyle name="40% - Accent1 10 7" xfId="2968"/>
    <cellStyle name="40% - Accent1 10 8" xfId="2969"/>
    <cellStyle name="40% - Accent1 10 9" xfId="2970"/>
    <cellStyle name="40% - Accent1 11" xfId="2971"/>
    <cellStyle name="40% - Accent1 11 10" xfId="2972"/>
    <cellStyle name="40% - Accent1 11 11" xfId="2973"/>
    <cellStyle name="40% - Accent1 11 12" xfId="2974"/>
    <cellStyle name="40% - Accent1 11 13" xfId="2975"/>
    <cellStyle name="40% - Accent1 11 14" xfId="2976"/>
    <cellStyle name="40% - Accent1 11 15" xfId="2977"/>
    <cellStyle name="40% - Accent1 11 16" xfId="2978"/>
    <cellStyle name="40% - Accent1 11 17" xfId="2979"/>
    <cellStyle name="40% - Accent1 11 18" xfId="2980"/>
    <cellStyle name="40% - Accent1 11 19" xfId="2981"/>
    <cellStyle name="40% - Accent1 11 2" xfId="2982"/>
    <cellStyle name="40% - Accent1 11 20" xfId="2983"/>
    <cellStyle name="40% - Accent1 11 21" xfId="2984"/>
    <cellStyle name="40% - Accent1 11 22" xfId="2985"/>
    <cellStyle name="40% - Accent1 11 23" xfId="2986"/>
    <cellStyle name="40% - Accent1 11 24" xfId="2987"/>
    <cellStyle name="40% - Accent1 11 25" xfId="2988"/>
    <cellStyle name="40% - Accent1 11 26" xfId="2989"/>
    <cellStyle name="40% - Accent1 11 27" xfId="2990"/>
    <cellStyle name="40% - Accent1 11 28" xfId="2991"/>
    <cellStyle name="40% - Accent1 11 29" xfId="2992"/>
    <cellStyle name="40% - Accent1 11 3" xfId="2993"/>
    <cellStyle name="40% - Accent1 11 30" xfId="2994"/>
    <cellStyle name="40% - Accent1 11 31" xfId="2995"/>
    <cellStyle name="40% - Accent1 11 32" xfId="2996"/>
    <cellStyle name="40% - Accent1 11 33" xfId="2997"/>
    <cellStyle name="40% - Accent1 11 34" xfId="2998"/>
    <cellStyle name="40% - Accent1 11 35" xfId="2999"/>
    <cellStyle name="40% - Accent1 11 36" xfId="3000"/>
    <cellStyle name="40% - Accent1 11 37" xfId="3001"/>
    <cellStyle name="40% - Accent1 11 38" xfId="3002"/>
    <cellStyle name="40% - Accent1 11 39" xfId="3003"/>
    <cellStyle name="40% - Accent1 11 4" xfId="3004"/>
    <cellStyle name="40% - Accent1 11 40" xfId="3005"/>
    <cellStyle name="40% - Accent1 11 41" xfId="3006"/>
    <cellStyle name="40% - Accent1 11 5" xfId="3007"/>
    <cellStyle name="40% - Accent1 11 6" xfId="3008"/>
    <cellStyle name="40% - Accent1 11 7" xfId="3009"/>
    <cellStyle name="40% - Accent1 11 8" xfId="3010"/>
    <cellStyle name="40% - Accent1 11 9" xfId="3011"/>
    <cellStyle name="40% - Accent1 12" xfId="3012"/>
    <cellStyle name="40% - Accent1 12 10" xfId="3013"/>
    <cellStyle name="40% - Accent1 12 11" xfId="3014"/>
    <cellStyle name="40% - Accent1 12 12" xfId="3015"/>
    <cellStyle name="40% - Accent1 12 13" xfId="3016"/>
    <cellStyle name="40% - Accent1 12 14" xfId="3017"/>
    <cellStyle name="40% - Accent1 12 15" xfId="3018"/>
    <cellStyle name="40% - Accent1 12 16" xfId="3019"/>
    <cellStyle name="40% - Accent1 12 17" xfId="3020"/>
    <cellStyle name="40% - Accent1 12 18" xfId="3021"/>
    <cellStyle name="40% - Accent1 12 19" xfId="3022"/>
    <cellStyle name="40% - Accent1 12 2" xfId="3023"/>
    <cellStyle name="40% - Accent1 12 20" xfId="3024"/>
    <cellStyle name="40% - Accent1 12 21" xfId="3025"/>
    <cellStyle name="40% - Accent1 12 22" xfId="3026"/>
    <cellStyle name="40% - Accent1 12 23" xfId="3027"/>
    <cellStyle name="40% - Accent1 12 24" xfId="3028"/>
    <cellStyle name="40% - Accent1 12 25" xfId="3029"/>
    <cellStyle name="40% - Accent1 12 26" xfId="3030"/>
    <cellStyle name="40% - Accent1 12 27" xfId="3031"/>
    <cellStyle name="40% - Accent1 12 28" xfId="3032"/>
    <cellStyle name="40% - Accent1 12 29" xfId="3033"/>
    <cellStyle name="40% - Accent1 12 3" xfId="3034"/>
    <cellStyle name="40% - Accent1 12 30" xfId="3035"/>
    <cellStyle name="40% - Accent1 12 31" xfId="3036"/>
    <cellStyle name="40% - Accent1 12 32" xfId="3037"/>
    <cellStyle name="40% - Accent1 12 33" xfId="3038"/>
    <cellStyle name="40% - Accent1 12 34" xfId="3039"/>
    <cellStyle name="40% - Accent1 12 35" xfId="3040"/>
    <cellStyle name="40% - Accent1 12 36" xfId="3041"/>
    <cellStyle name="40% - Accent1 12 37" xfId="3042"/>
    <cellStyle name="40% - Accent1 12 38" xfId="3043"/>
    <cellStyle name="40% - Accent1 12 39" xfId="3044"/>
    <cellStyle name="40% - Accent1 12 4" xfId="3045"/>
    <cellStyle name="40% - Accent1 12 40" xfId="3046"/>
    <cellStyle name="40% - Accent1 12 41" xfId="3047"/>
    <cellStyle name="40% - Accent1 12 5" xfId="3048"/>
    <cellStyle name="40% - Accent1 12 6" xfId="3049"/>
    <cellStyle name="40% - Accent1 12 7" xfId="3050"/>
    <cellStyle name="40% - Accent1 12 8" xfId="3051"/>
    <cellStyle name="40% - Accent1 12 9" xfId="3052"/>
    <cellStyle name="40% - Accent1 13" xfId="3053"/>
    <cellStyle name="40% - Accent1 14" xfId="3054"/>
    <cellStyle name="40% - Accent1 14 2" xfId="3055"/>
    <cellStyle name="40% - Accent1 15" xfId="3056"/>
    <cellStyle name="40% - Accent1 2" xfId="3057"/>
    <cellStyle name="40% - Accent1 2 10" xfId="3058"/>
    <cellStyle name="40% - Accent1 2 11" xfId="3059"/>
    <cellStyle name="40% - Accent1 2 12" xfId="3060"/>
    <cellStyle name="40% - Accent1 2 13" xfId="3061"/>
    <cellStyle name="40% - Accent1 2 14" xfId="3062"/>
    <cellStyle name="40% - Accent1 2 15" xfId="3063"/>
    <cellStyle name="40% - Accent1 2 16" xfId="3064"/>
    <cellStyle name="40% - Accent1 2 17" xfId="3065"/>
    <cellStyle name="40% - Accent1 2 18" xfId="3066"/>
    <cellStyle name="40% - Accent1 2 19" xfId="3067"/>
    <cellStyle name="40% - Accent1 2 2" xfId="3068"/>
    <cellStyle name="40% - Accent1 2 2 2" xfId="3069"/>
    <cellStyle name="40% - Accent1 2 2 2 2" xfId="3070"/>
    <cellStyle name="40% - Accent1 2 2 3" xfId="3071"/>
    <cellStyle name="40% - Accent1 2 2 4" xfId="3072"/>
    <cellStyle name="40% - Accent1 2 2 5" xfId="3073"/>
    <cellStyle name="40% - Accent1 2 20" xfId="3074"/>
    <cellStyle name="40% - Accent1 2 21" xfId="3075"/>
    <cellStyle name="40% - Accent1 2 22" xfId="3076"/>
    <cellStyle name="40% - Accent1 2 23" xfId="3077"/>
    <cellStyle name="40% - Accent1 2 24" xfId="3078"/>
    <cellStyle name="40% - Accent1 2 25" xfId="3079"/>
    <cellStyle name="40% - Accent1 2 26" xfId="3080"/>
    <cellStyle name="40% - Accent1 2 27" xfId="3081"/>
    <cellStyle name="40% - Accent1 2 28" xfId="3082"/>
    <cellStyle name="40% - Accent1 2 29" xfId="3083"/>
    <cellStyle name="40% - Accent1 2 3" xfId="3084"/>
    <cellStyle name="40% - Accent1 2 3 2" xfId="3085"/>
    <cellStyle name="40% - Accent1 2 3 3" xfId="3086"/>
    <cellStyle name="40% - Accent1 2 3 4" xfId="3087"/>
    <cellStyle name="40% - Accent1 2 3 5" xfId="3088"/>
    <cellStyle name="40% - Accent1 2 3 6" xfId="3089"/>
    <cellStyle name="40% - Accent1 2 30" xfId="3090"/>
    <cellStyle name="40% - Accent1 2 31" xfId="3091"/>
    <cellStyle name="40% - Accent1 2 32" xfId="3092"/>
    <cellStyle name="40% - Accent1 2 33" xfId="3093"/>
    <cellStyle name="40% - Accent1 2 34" xfId="3094"/>
    <cellStyle name="40% - Accent1 2 35" xfId="3095"/>
    <cellStyle name="40% - Accent1 2 36" xfId="3096"/>
    <cellStyle name="40% - Accent1 2 37" xfId="3097"/>
    <cellStyle name="40% - Accent1 2 38" xfId="3098"/>
    <cellStyle name="40% - Accent1 2 39" xfId="3099"/>
    <cellStyle name="40% - Accent1 2 4" xfId="3100"/>
    <cellStyle name="40% - Accent1 2 40" xfId="3101"/>
    <cellStyle name="40% - Accent1 2 41" xfId="3102"/>
    <cellStyle name="40% - Accent1 2 42" xfId="3103"/>
    <cellStyle name="40% - Accent1 2 43" xfId="3104"/>
    <cellStyle name="40% - Accent1 2 44" xfId="3105"/>
    <cellStyle name="40% - Accent1 2 45" xfId="3106"/>
    <cellStyle name="40% - Accent1 2 5" xfId="3107"/>
    <cellStyle name="40% - Accent1 2 6" xfId="3108"/>
    <cellStyle name="40% - Accent1 2 7" xfId="3109"/>
    <cellStyle name="40% - Accent1 2 8" xfId="3110"/>
    <cellStyle name="40% - Accent1 2 9" xfId="3111"/>
    <cellStyle name="40% - Accent1 3" xfId="3112"/>
    <cellStyle name="40% - Accent1 3 10" xfId="3113"/>
    <cellStyle name="40% - Accent1 3 11" xfId="3114"/>
    <cellStyle name="40% - Accent1 3 12" xfId="3115"/>
    <cellStyle name="40% - Accent1 3 13" xfId="3116"/>
    <cellStyle name="40% - Accent1 3 14" xfId="3117"/>
    <cellStyle name="40% - Accent1 3 15" xfId="3118"/>
    <cellStyle name="40% - Accent1 3 16" xfId="3119"/>
    <cellStyle name="40% - Accent1 3 17" xfId="3120"/>
    <cellStyle name="40% - Accent1 3 18" xfId="3121"/>
    <cellStyle name="40% - Accent1 3 19" xfId="3122"/>
    <cellStyle name="40% - Accent1 3 2" xfId="3123"/>
    <cellStyle name="40% - Accent1 3 20" xfId="3124"/>
    <cellStyle name="40% - Accent1 3 21" xfId="3125"/>
    <cellStyle name="40% - Accent1 3 22" xfId="3126"/>
    <cellStyle name="40% - Accent1 3 23" xfId="3127"/>
    <cellStyle name="40% - Accent1 3 24" xfId="3128"/>
    <cellStyle name="40% - Accent1 3 25" xfId="3129"/>
    <cellStyle name="40% - Accent1 3 26" xfId="3130"/>
    <cellStyle name="40% - Accent1 3 27" xfId="3131"/>
    <cellStyle name="40% - Accent1 3 28" xfId="3132"/>
    <cellStyle name="40% - Accent1 3 29" xfId="3133"/>
    <cellStyle name="40% - Accent1 3 3" xfId="3134"/>
    <cellStyle name="40% - Accent1 3 30" xfId="3135"/>
    <cellStyle name="40% - Accent1 3 31" xfId="3136"/>
    <cellStyle name="40% - Accent1 3 32" xfId="3137"/>
    <cellStyle name="40% - Accent1 3 33" xfId="3138"/>
    <cellStyle name="40% - Accent1 3 34" xfId="3139"/>
    <cellStyle name="40% - Accent1 3 35" xfId="3140"/>
    <cellStyle name="40% - Accent1 3 36" xfId="3141"/>
    <cellStyle name="40% - Accent1 3 37" xfId="3142"/>
    <cellStyle name="40% - Accent1 3 38" xfId="3143"/>
    <cellStyle name="40% - Accent1 3 39" xfId="3144"/>
    <cellStyle name="40% - Accent1 3 4" xfId="3145"/>
    <cellStyle name="40% - Accent1 3 40" xfId="3146"/>
    <cellStyle name="40% - Accent1 3 41" xfId="3147"/>
    <cellStyle name="40% - Accent1 3 42" xfId="3148"/>
    <cellStyle name="40% - Accent1 3 43" xfId="3149"/>
    <cellStyle name="40% - Accent1 3 44" xfId="3150"/>
    <cellStyle name="40% - Accent1 3 45" xfId="3151"/>
    <cellStyle name="40% - Accent1 3 5" xfId="3152"/>
    <cellStyle name="40% - Accent1 3 6" xfId="3153"/>
    <cellStyle name="40% - Accent1 3 7" xfId="3154"/>
    <cellStyle name="40% - Accent1 3 8" xfId="3155"/>
    <cellStyle name="40% - Accent1 3 9" xfId="3156"/>
    <cellStyle name="40% - Accent1 4" xfId="3157"/>
    <cellStyle name="40% - Accent1 4 10" xfId="3158"/>
    <cellStyle name="40% - Accent1 4 11" xfId="3159"/>
    <cellStyle name="40% - Accent1 4 12" xfId="3160"/>
    <cellStyle name="40% - Accent1 4 13" xfId="3161"/>
    <cellStyle name="40% - Accent1 4 14" xfId="3162"/>
    <cellStyle name="40% - Accent1 4 15" xfId="3163"/>
    <cellStyle name="40% - Accent1 4 16" xfId="3164"/>
    <cellStyle name="40% - Accent1 4 17" xfId="3165"/>
    <cellStyle name="40% - Accent1 4 18" xfId="3166"/>
    <cellStyle name="40% - Accent1 4 19" xfId="3167"/>
    <cellStyle name="40% - Accent1 4 2" xfId="3168"/>
    <cellStyle name="40% - Accent1 4 20" xfId="3169"/>
    <cellStyle name="40% - Accent1 4 21" xfId="3170"/>
    <cellStyle name="40% - Accent1 4 22" xfId="3171"/>
    <cellStyle name="40% - Accent1 4 23" xfId="3172"/>
    <cellStyle name="40% - Accent1 4 24" xfId="3173"/>
    <cellStyle name="40% - Accent1 4 25" xfId="3174"/>
    <cellStyle name="40% - Accent1 4 26" xfId="3175"/>
    <cellStyle name="40% - Accent1 4 27" xfId="3176"/>
    <cellStyle name="40% - Accent1 4 28" xfId="3177"/>
    <cellStyle name="40% - Accent1 4 29" xfId="3178"/>
    <cellStyle name="40% - Accent1 4 3" xfId="3179"/>
    <cellStyle name="40% - Accent1 4 30" xfId="3180"/>
    <cellStyle name="40% - Accent1 4 31" xfId="3181"/>
    <cellStyle name="40% - Accent1 4 32" xfId="3182"/>
    <cellStyle name="40% - Accent1 4 33" xfId="3183"/>
    <cellStyle name="40% - Accent1 4 34" xfId="3184"/>
    <cellStyle name="40% - Accent1 4 35" xfId="3185"/>
    <cellStyle name="40% - Accent1 4 36" xfId="3186"/>
    <cellStyle name="40% - Accent1 4 37" xfId="3187"/>
    <cellStyle name="40% - Accent1 4 38" xfId="3188"/>
    <cellStyle name="40% - Accent1 4 39" xfId="3189"/>
    <cellStyle name="40% - Accent1 4 4" xfId="3190"/>
    <cellStyle name="40% - Accent1 4 40" xfId="3191"/>
    <cellStyle name="40% - Accent1 4 41" xfId="3192"/>
    <cellStyle name="40% - Accent1 4 5" xfId="3193"/>
    <cellStyle name="40% - Accent1 4 6" xfId="3194"/>
    <cellStyle name="40% - Accent1 4 7" xfId="3195"/>
    <cellStyle name="40% - Accent1 4 8" xfId="3196"/>
    <cellStyle name="40% - Accent1 4 9" xfId="3197"/>
    <cellStyle name="40% - Accent1 5" xfId="3198"/>
    <cellStyle name="40% - Accent1 5 10" xfId="3199"/>
    <cellStyle name="40% - Accent1 5 11" xfId="3200"/>
    <cellStyle name="40% - Accent1 5 12" xfId="3201"/>
    <cellStyle name="40% - Accent1 5 13" xfId="3202"/>
    <cellStyle name="40% - Accent1 5 14" xfId="3203"/>
    <cellStyle name="40% - Accent1 5 15" xfId="3204"/>
    <cellStyle name="40% - Accent1 5 16" xfId="3205"/>
    <cellStyle name="40% - Accent1 5 17" xfId="3206"/>
    <cellStyle name="40% - Accent1 5 18" xfId="3207"/>
    <cellStyle name="40% - Accent1 5 19" xfId="3208"/>
    <cellStyle name="40% - Accent1 5 2" xfId="3209"/>
    <cellStyle name="40% - Accent1 5 20" xfId="3210"/>
    <cellStyle name="40% - Accent1 5 21" xfId="3211"/>
    <cellStyle name="40% - Accent1 5 22" xfId="3212"/>
    <cellStyle name="40% - Accent1 5 23" xfId="3213"/>
    <cellStyle name="40% - Accent1 5 24" xfId="3214"/>
    <cellStyle name="40% - Accent1 5 25" xfId="3215"/>
    <cellStyle name="40% - Accent1 5 26" xfId="3216"/>
    <cellStyle name="40% - Accent1 5 27" xfId="3217"/>
    <cellStyle name="40% - Accent1 5 28" xfId="3218"/>
    <cellStyle name="40% - Accent1 5 29" xfId="3219"/>
    <cellStyle name="40% - Accent1 5 3" xfId="3220"/>
    <cellStyle name="40% - Accent1 5 30" xfId="3221"/>
    <cellStyle name="40% - Accent1 5 31" xfId="3222"/>
    <cellStyle name="40% - Accent1 5 32" xfId="3223"/>
    <cellStyle name="40% - Accent1 5 33" xfId="3224"/>
    <cellStyle name="40% - Accent1 5 34" xfId="3225"/>
    <cellStyle name="40% - Accent1 5 35" xfId="3226"/>
    <cellStyle name="40% - Accent1 5 36" xfId="3227"/>
    <cellStyle name="40% - Accent1 5 37" xfId="3228"/>
    <cellStyle name="40% - Accent1 5 38" xfId="3229"/>
    <cellStyle name="40% - Accent1 5 39" xfId="3230"/>
    <cellStyle name="40% - Accent1 5 4" xfId="3231"/>
    <cellStyle name="40% - Accent1 5 40" xfId="3232"/>
    <cellStyle name="40% - Accent1 5 41" xfId="3233"/>
    <cellStyle name="40% - Accent1 5 5" xfId="3234"/>
    <cellStyle name="40% - Accent1 5 6" xfId="3235"/>
    <cellStyle name="40% - Accent1 5 7" xfId="3236"/>
    <cellStyle name="40% - Accent1 5 8" xfId="3237"/>
    <cellStyle name="40% - Accent1 5 9" xfId="3238"/>
    <cellStyle name="40% - Accent1 6" xfId="3239"/>
    <cellStyle name="40% - Accent1 6 10" xfId="3240"/>
    <cellStyle name="40% - Accent1 6 11" xfId="3241"/>
    <cellStyle name="40% - Accent1 6 12" xfId="3242"/>
    <cellStyle name="40% - Accent1 6 13" xfId="3243"/>
    <cellStyle name="40% - Accent1 6 14" xfId="3244"/>
    <cellStyle name="40% - Accent1 6 15" xfId="3245"/>
    <cellStyle name="40% - Accent1 6 16" xfId="3246"/>
    <cellStyle name="40% - Accent1 6 17" xfId="3247"/>
    <cellStyle name="40% - Accent1 6 18" xfId="3248"/>
    <cellStyle name="40% - Accent1 7" xfId="3249"/>
    <cellStyle name="40% - Accent2" xfId="24" builtinId="35" customBuiltin="1"/>
    <cellStyle name="40% - Accent2 2" xfId="3250"/>
    <cellStyle name="40% - Accent2 3" xfId="3251"/>
    <cellStyle name="40% - Accent2 4" xfId="3252"/>
    <cellStyle name="40% - Accent2 5" xfId="3253"/>
    <cellStyle name="40% - Accent2 6" xfId="3254"/>
    <cellStyle name="40% - Accent3" xfId="28" builtinId="39" customBuiltin="1"/>
    <cellStyle name="40% - Accent3 2" xfId="3255"/>
    <cellStyle name="40% - Accent3 3" xfId="3256"/>
    <cellStyle name="40% - Accent3 4" xfId="3257"/>
    <cellStyle name="40% - Accent3 5" xfId="3258"/>
    <cellStyle name="40% - Accent3 6" xfId="3259"/>
    <cellStyle name="40% - Accent4" xfId="32" builtinId="43" customBuiltin="1"/>
    <cellStyle name="40% - Accent4 2" xfId="3260"/>
    <cellStyle name="40% - Accent4 3" xfId="3261"/>
    <cellStyle name="40% - Accent4 4" xfId="3262"/>
    <cellStyle name="40% - Accent4 5" xfId="3263"/>
    <cellStyle name="40% - Accent4 6" xfId="3264"/>
    <cellStyle name="40% - Accent5" xfId="36" builtinId="47" customBuiltin="1"/>
    <cellStyle name="40% - Accent5 2" xfId="3265"/>
    <cellStyle name="40% - Accent5 3" xfId="3266"/>
    <cellStyle name="40% - Accent5 4" xfId="3267"/>
    <cellStyle name="40% - Accent5 5" xfId="3268"/>
    <cellStyle name="40% - Accent5 6" xfId="3269"/>
    <cellStyle name="40% - Accent6" xfId="40" builtinId="51" customBuiltin="1"/>
    <cellStyle name="40% - Accent6 2" xfId="3270"/>
    <cellStyle name="40% - Accent6 3" xfId="3271"/>
    <cellStyle name="40% - Accent6 4" xfId="3272"/>
    <cellStyle name="40% - Accent6 5" xfId="3273"/>
    <cellStyle name="40% - Accent6 6" xfId="3274"/>
    <cellStyle name="60% - Accent1" xfId="21" builtinId="32" customBuiltin="1"/>
    <cellStyle name="60% - Accent1 2" xfId="3275"/>
    <cellStyle name="60% - Accent1 3" xfId="3276"/>
    <cellStyle name="60% - Accent1 4" xfId="3277"/>
    <cellStyle name="60% - Accent1 5" xfId="3278"/>
    <cellStyle name="60% - Accent1 6" xfId="3279"/>
    <cellStyle name="60% - Accent2" xfId="25" builtinId="36" customBuiltin="1"/>
    <cellStyle name="60% - Accent2 2" xfId="3280"/>
    <cellStyle name="60% - Accent2 3" xfId="3281"/>
    <cellStyle name="60% - Accent2 4" xfId="3282"/>
    <cellStyle name="60% - Accent2 5" xfId="3283"/>
    <cellStyle name="60% - Accent2 6" xfId="3284"/>
    <cellStyle name="60% - Accent3" xfId="29" builtinId="40" customBuiltin="1"/>
    <cellStyle name="60% - Accent3 2" xfId="3285"/>
    <cellStyle name="60% - Accent3 3" xfId="3286"/>
    <cellStyle name="60% - Accent3 4" xfId="3287"/>
    <cellStyle name="60% - Accent3 5" xfId="3288"/>
    <cellStyle name="60% - Accent3 6" xfId="3289"/>
    <cellStyle name="60% - Accent4" xfId="33" builtinId="44" customBuiltin="1"/>
    <cellStyle name="60% - Accent4 2" xfId="3290"/>
    <cellStyle name="60% - Accent4 3" xfId="3291"/>
    <cellStyle name="60% - Accent4 4" xfId="3292"/>
    <cellStyle name="60% - Accent4 5" xfId="3293"/>
    <cellStyle name="60% - Accent4 6" xfId="3294"/>
    <cellStyle name="60% - Accent5" xfId="37" builtinId="48" customBuiltin="1"/>
    <cellStyle name="60% - Accent5 2" xfId="3295"/>
    <cellStyle name="60% - Accent5 3" xfId="3296"/>
    <cellStyle name="60% - Accent5 4" xfId="3297"/>
    <cellStyle name="60% - Accent5 5" xfId="3298"/>
    <cellStyle name="60% - Accent5 6" xfId="3299"/>
    <cellStyle name="60% - Accent6" xfId="41" builtinId="52" customBuiltin="1"/>
    <cellStyle name="60% - Accent6 2" xfId="3300"/>
    <cellStyle name="60% - Accent6 3" xfId="3301"/>
    <cellStyle name="60% - Accent6 4" xfId="3302"/>
    <cellStyle name="60% - Accent6 5" xfId="3303"/>
    <cellStyle name="60% - Accent6 6" xfId="3304"/>
    <cellStyle name="Accent1" xfId="18" builtinId="29" customBuiltin="1"/>
    <cellStyle name="Accent1 2" xfId="3305"/>
    <cellStyle name="Accent1 3" xfId="3306"/>
    <cellStyle name="Accent1 4" xfId="3307"/>
    <cellStyle name="Accent1 5" xfId="3308"/>
    <cellStyle name="Accent1 6" xfId="3309"/>
    <cellStyle name="Accent2" xfId="22" builtinId="33" customBuiltin="1"/>
    <cellStyle name="Accent2 2" xfId="3310"/>
    <cellStyle name="Accent2 3" xfId="3311"/>
    <cellStyle name="Accent2 4" xfId="3312"/>
    <cellStyle name="Accent2 5" xfId="3313"/>
    <cellStyle name="Accent2 6" xfId="3314"/>
    <cellStyle name="Accent3" xfId="26" builtinId="37" customBuiltin="1"/>
    <cellStyle name="Accent3 2" xfId="3315"/>
    <cellStyle name="Accent3 3" xfId="3316"/>
    <cellStyle name="Accent3 4" xfId="3317"/>
    <cellStyle name="Accent3 5" xfId="3318"/>
    <cellStyle name="Accent3 6" xfId="3319"/>
    <cellStyle name="Accent4" xfId="30" builtinId="41" customBuiltin="1"/>
    <cellStyle name="Accent4 2" xfId="3320"/>
    <cellStyle name="Accent4 3" xfId="3321"/>
    <cellStyle name="Accent4 4" xfId="3322"/>
    <cellStyle name="Accent4 5" xfId="3323"/>
    <cellStyle name="Accent4 6" xfId="3324"/>
    <cellStyle name="Accent5" xfId="34" builtinId="45" customBuiltin="1"/>
    <cellStyle name="Accent5 2" xfId="3325"/>
    <cellStyle name="Accent5 3" xfId="3326"/>
    <cellStyle name="Accent5 4" xfId="3327"/>
    <cellStyle name="Accent5 5" xfId="3328"/>
    <cellStyle name="Accent5 6" xfId="3329"/>
    <cellStyle name="Accent6" xfId="38" builtinId="49" customBuiltin="1"/>
    <cellStyle name="Accent6 2" xfId="3330"/>
    <cellStyle name="Accent6 3" xfId="3331"/>
    <cellStyle name="Accent6 4" xfId="3332"/>
    <cellStyle name="Accent6 5" xfId="3333"/>
    <cellStyle name="Accent6 6" xfId="3334"/>
    <cellStyle name="alternate1" xfId="3335"/>
    <cellStyle name="Bad" xfId="7" builtinId="27" customBuiltin="1"/>
    <cellStyle name="Bad 2" xfId="3336"/>
    <cellStyle name="Bad 3" xfId="3337"/>
    <cellStyle name="Bad 4" xfId="3338"/>
    <cellStyle name="Bad 5" xfId="3339"/>
    <cellStyle name="Bad 6" xfId="3340"/>
    <cellStyle name="Body: normal cell" xfId="3341"/>
    <cellStyle name="Body: normal cell 2" xfId="3342"/>
    <cellStyle name="BuffetDate162" xfId="3343"/>
    <cellStyle name="BuffetValue2" xfId="3344"/>
    <cellStyle name="Calculation" xfId="11" builtinId="22" customBuiltin="1"/>
    <cellStyle name="Calculation 2" xfId="3345"/>
    <cellStyle name="Calculation 2 2" xfId="3346"/>
    <cellStyle name="Calculation 2 3" xfId="3347"/>
    <cellStyle name="Calculation 3" xfId="3348"/>
    <cellStyle name="Calculation 3 2" xfId="3349"/>
    <cellStyle name="Calculation 3 3" xfId="3350"/>
    <cellStyle name="Calculation 4" xfId="3351"/>
    <cellStyle name="Calculation 4 2" xfId="3352"/>
    <cellStyle name="Calculation 4 3" xfId="3353"/>
    <cellStyle name="Calculation 5" xfId="3354"/>
    <cellStyle name="Calculation 5 2" xfId="3355"/>
    <cellStyle name="Calculation 5 3" xfId="3356"/>
    <cellStyle name="Calculation 6" xfId="3357"/>
    <cellStyle name="Calculation 6 2" xfId="3358"/>
    <cellStyle name="Calculation 6 3" xfId="3359"/>
    <cellStyle name="Check Cell" xfId="13" builtinId="23" customBuiltin="1"/>
    <cellStyle name="Check Cell 2" xfId="3360"/>
    <cellStyle name="Check Cell 3" xfId="3361"/>
    <cellStyle name="Check Cell 4" xfId="3362"/>
    <cellStyle name="Check Cell 5" xfId="3363"/>
    <cellStyle name="Check Cell 6" xfId="3364"/>
    <cellStyle name="Comma" xfId="4159" builtinId="3"/>
    <cellStyle name="Comma 10" xfId="3365"/>
    <cellStyle name="Comma 11" xfId="3366"/>
    <cellStyle name="Comma 2" xfId="3367"/>
    <cellStyle name="Comma 2 2" xfId="3368"/>
    <cellStyle name="Comma 2 3" xfId="3369"/>
    <cellStyle name="Comma 2 4" xfId="3370"/>
    <cellStyle name="Comma 2 5" xfId="3371"/>
    <cellStyle name="Comma 2 6" xfId="3372"/>
    <cellStyle name="Comma 3" xfId="3373"/>
    <cellStyle name="Comma 3 2" xfId="3374"/>
    <cellStyle name="Comma 3 3" xfId="3375"/>
    <cellStyle name="Comma 3 4" xfId="3376"/>
    <cellStyle name="Comma 3 5" xfId="3377"/>
    <cellStyle name="Comma 3 6" xfId="3378"/>
    <cellStyle name="Comma 4" xfId="3379"/>
    <cellStyle name="Comma 4 2" xfId="3380"/>
    <cellStyle name="Comma 4 3" xfId="3381"/>
    <cellStyle name="Comma 4 4" xfId="3382"/>
    <cellStyle name="Comma 4 5" xfId="3383"/>
    <cellStyle name="Comma 5" xfId="3384"/>
    <cellStyle name="Comma 6" xfId="3385"/>
    <cellStyle name="Comma 7" xfId="3386"/>
    <cellStyle name="Comma 7 2" xfId="3387"/>
    <cellStyle name="Comma 8" xfId="3388"/>
    <cellStyle name="Comma 9" xfId="3389"/>
    <cellStyle name="Comma0" xfId="3390"/>
    <cellStyle name="Currency 10" xfId="3391"/>
    <cellStyle name="Currency 11" xfId="3392"/>
    <cellStyle name="Currency 2" xfId="3393"/>
    <cellStyle name="Currency 2 2" xfId="3394"/>
    <cellStyle name="Currency 2 2 2" xfId="3395"/>
    <cellStyle name="Currency 2 3" xfId="3396"/>
    <cellStyle name="Currency 2 4" xfId="3397"/>
    <cellStyle name="Currency 2 5" xfId="3398"/>
    <cellStyle name="Currency 2 6" xfId="3399"/>
    <cellStyle name="Currency 3" xfId="3400"/>
    <cellStyle name="Currency 3 2" xfId="3401"/>
    <cellStyle name="Currency 4" xfId="3402"/>
    <cellStyle name="Currency 4 2" xfId="3403"/>
    <cellStyle name="Currency 5" xfId="3404"/>
    <cellStyle name="Currency 6" xfId="3405"/>
    <cellStyle name="Currency 7" xfId="3406"/>
    <cellStyle name="Currency 8" xfId="3407"/>
    <cellStyle name="Currency 9" xfId="3408"/>
    <cellStyle name="Currency0" xfId="3409"/>
    <cellStyle name="Custom - Style8" xfId="3410"/>
    <cellStyle name="Data   - Style2" xfId="3411"/>
    <cellStyle name="Data   - Style2 2" xfId="3412"/>
    <cellStyle name="Date" xfId="3413"/>
    <cellStyle name="Euro" xfId="3414"/>
    <cellStyle name="Exhibits" xfId="3415"/>
    <cellStyle name="Explanatory Text" xfId="16" builtinId="53" customBuiltin="1"/>
    <cellStyle name="Explanatory Text 2" xfId="3416"/>
    <cellStyle name="Explanatory Text 3" xfId="3417"/>
    <cellStyle name="Explanatory Text 4" xfId="3418"/>
    <cellStyle name="Explanatory Text 5" xfId="3419"/>
    <cellStyle name="Explanatory Text 6" xfId="3420"/>
    <cellStyle name="F2" xfId="3421"/>
    <cellStyle name="F3" xfId="3422"/>
    <cellStyle name="F4" xfId="3423"/>
    <cellStyle name="F5" xfId="3424"/>
    <cellStyle name="F6" xfId="3425"/>
    <cellStyle name="F7" xfId="3426"/>
    <cellStyle name="F8" xfId="3427"/>
    <cellStyle name="Fixed" xfId="3428"/>
    <cellStyle name="Font: Calibri, 9pt regular" xfId="3429"/>
    <cellStyle name="Footnotes: top row" xfId="3430"/>
    <cellStyle name="Good" xfId="6" builtinId="26" customBuiltin="1"/>
    <cellStyle name="Good 2" xfId="3431"/>
    <cellStyle name="Good 3" xfId="3432"/>
    <cellStyle name="Good 4" xfId="3433"/>
    <cellStyle name="Good 5" xfId="3434"/>
    <cellStyle name="Good 6" xfId="3435"/>
    <cellStyle name="Header: bottom row" xfId="3436"/>
    <cellStyle name="HeaderText" xfId="3437"/>
    <cellStyle name="Heading 1" xfId="2" builtinId="16" customBuiltin="1"/>
    <cellStyle name="Heading 1 2" xfId="3438"/>
    <cellStyle name="Heading 1 3" xfId="3439"/>
    <cellStyle name="Heading 1 4" xfId="3440"/>
    <cellStyle name="Heading 1 5" xfId="3441"/>
    <cellStyle name="Heading 1 6" xfId="3442"/>
    <cellStyle name="Heading 2" xfId="3" builtinId="17" customBuiltin="1"/>
    <cellStyle name="Heading 2 2" xfId="3443"/>
    <cellStyle name="Heading 2 3" xfId="3444"/>
    <cellStyle name="Heading 2 4" xfId="3445"/>
    <cellStyle name="Heading 2 5" xfId="3446"/>
    <cellStyle name="Heading 2 6" xfId="3447"/>
    <cellStyle name="Heading 3" xfId="4" builtinId="18" customBuiltin="1"/>
    <cellStyle name="Heading 3 2" xfId="3448"/>
    <cellStyle name="Heading 3 3" xfId="3449"/>
    <cellStyle name="Heading 3 4" xfId="3450"/>
    <cellStyle name="Heading 3 5" xfId="3451"/>
    <cellStyle name="Heading 3 6" xfId="3452"/>
    <cellStyle name="Heading 4" xfId="5" builtinId="19" customBuiltin="1"/>
    <cellStyle name="Heading 4 2" xfId="3453"/>
    <cellStyle name="Heading 4 3" xfId="3454"/>
    <cellStyle name="Heading 4 4" xfId="3455"/>
    <cellStyle name="Heading 4 5" xfId="3456"/>
    <cellStyle name="Heading 4 6" xfId="3457"/>
    <cellStyle name="HEADING1" xfId="3458"/>
    <cellStyle name="HEADING2" xfId="3459"/>
    <cellStyle name="HeadlineStyle" xfId="3460"/>
    <cellStyle name="HeadlineStyle 2" xfId="3461"/>
    <cellStyle name="HeadlineStyleJustified" xfId="3462"/>
    <cellStyle name="Hyperlink" xfId="4161" builtinId="8"/>
    <cellStyle name="Hyperlink 2" xfId="3463"/>
    <cellStyle name="Hyperlink 3" xfId="3464"/>
    <cellStyle name="Hyperlink 4" xfId="3465"/>
    <cellStyle name="Hyperlink 5" xfId="3466"/>
    <cellStyle name="Input" xfId="9" builtinId="20" customBuiltin="1"/>
    <cellStyle name="Input 2" xfId="3467"/>
    <cellStyle name="Input 2 2" xfId="3468"/>
    <cellStyle name="Input 2 3" xfId="3469"/>
    <cellStyle name="Input 3" xfId="3470"/>
    <cellStyle name="Input 3 2" xfId="3471"/>
    <cellStyle name="Input 3 3" xfId="3472"/>
    <cellStyle name="Input 4" xfId="3473"/>
    <cellStyle name="Input 4 2" xfId="3474"/>
    <cellStyle name="Input 4 3" xfId="3475"/>
    <cellStyle name="Input 5" xfId="3476"/>
    <cellStyle name="Input 5 2" xfId="3477"/>
    <cellStyle name="Input 5 3" xfId="3478"/>
    <cellStyle name="Input 6" xfId="3479"/>
    <cellStyle name="Input 6 2" xfId="3480"/>
    <cellStyle name="Input 6 3" xfId="3481"/>
    <cellStyle name="Lines" xfId="3482"/>
    <cellStyle name="Linked Cell" xfId="12" builtinId="24" customBuiltin="1"/>
    <cellStyle name="Linked Cell 2" xfId="3483"/>
    <cellStyle name="Linked Cell 3" xfId="3484"/>
    <cellStyle name="Linked Cell 4" xfId="3485"/>
    <cellStyle name="Linked Cell 5" xfId="3486"/>
    <cellStyle name="Linked Cell 6" xfId="3487"/>
    <cellStyle name="Neutral" xfId="8" builtinId="28" customBuiltin="1"/>
    <cellStyle name="Neutral 2" xfId="3488"/>
    <cellStyle name="Neutral 3" xfId="3489"/>
    <cellStyle name="Neutral 4" xfId="3490"/>
    <cellStyle name="Neutral 5" xfId="3491"/>
    <cellStyle name="Neutral 6" xfId="3492"/>
    <cellStyle name="NewStyle" xfId="3493"/>
    <cellStyle name="Normal" xfId="0" builtinId="0"/>
    <cellStyle name="Normal - Style1" xfId="3494"/>
    <cellStyle name="Normal - Style2" xfId="3495"/>
    <cellStyle name="Normal - Style3" xfId="3496"/>
    <cellStyle name="Normal - Style4" xfId="3497"/>
    <cellStyle name="Normal - Style5" xfId="3498"/>
    <cellStyle name="Normal - Style6" xfId="3499"/>
    <cellStyle name="Normal - Style7" xfId="3500"/>
    <cellStyle name="Normal - Style8" xfId="3501"/>
    <cellStyle name="Normal 10" xfId="42"/>
    <cellStyle name="Normal 10 2" xfId="3502"/>
    <cellStyle name="Normal 10 3" xfId="3503"/>
    <cellStyle name="Normal 10 70" xfId="3504"/>
    <cellStyle name="Normal 10_Avera Rebuttal Analyses" xfId="3505"/>
    <cellStyle name="Normal 11" xfId="3506"/>
    <cellStyle name="Normal 11 2" xfId="3507"/>
    <cellStyle name="Normal 11 3" xfId="3508"/>
    <cellStyle name="Normal 11_Avera Rebuttal Analyses" xfId="3509"/>
    <cellStyle name="Normal 12" xfId="3510"/>
    <cellStyle name="Normal 12 2" xfId="3511"/>
    <cellStyle name="Normal 12_Avera Rebuttal Analyses" xfId="3512"/>
    <cellStyle name="Normal 13" xfId="3513"/>
    <cellStyle name="Normal 13 2" xfId="3514"/>
    <cellStyle name="Normal 13_Avera Rebuttal Analyses" xfId="3515"/>
    <cellStyle name="Normal 14" xfId="3516"/>
    <cellStyle name="Normal 14 2" xfId="3517"/>
    <cellStyle name="Normal 14 2 2" xfId="3518"/>
    <cellStyle name="Normal 15" xfId="3519"/>
    <cellStyle name="Normal 16" xfId="3520"/>
    <cellStyle name="Normal 16 2" xfId="3521"/>
    <cellStyle name="Normal 17" xfId="3522"/>
    <cellStyle name="Normal 18" xfId="3523"/>
    <cellStyle name="Normal 19" xfId="3524"/>
    <cellStyle name="Normal 2" xfId="43"/>
    <cellStyle name="Normal 2 10" xfId="3525"/>
    <cellStyle name="Normal 2 10 2" xfId="3526"/>
    <cellStyle name="Normal 2 11" xfId="3527"/>
    <cellStyle name="Normal 2 12" xfId="3528"/>
    <cellStyle name="Normal 2 13" xfId="3529"/>
    <cellStyle name="Normal 2 2" xfId="3530"/>
    <cellStyle name="Normal 2 2 2" xfId="3531"/>
    <cellStyle name="Normal 2 2 2 2" xfId="3532"/>
    <cellStyle name="Normal 2 2 2 2 2" xfId="3533"/>
    <cellStyle name="Normal 2 2 2 3" xfId="3534"/>
    <cellStyle name="Normal 2 2 2 4" xfId="3535"/>
    <cellStyle name="Normal 2 2 3" xfId="3536"/>
    <cellStyle name="Normal 2 2 3 2" xfId="3537"/>
    <cellStyle name="Normal 2 2 3 2 2" xfId="3538"/>
    <cellStyle name="Normal 2 2 3 3" xfId="3539"/>
    <cellStyle name="Normal 2 2 4" xfId="3540"/>
    <cellStyle name="Normal 2 2 4 2" xfId="3541"/>
    <cellStyle name="Normal 2 2 4 2 2" xfId="3542"/>
    <cellStyle name="Normal 2 2 4 3" xfId="3543"/>
    <cellStyle name="Normal 2 2 5" xfId="3544"/>
    <cellStyle name="Normal 2 2 5 2" xfId="3545"/>
    <cellStyle name="Normal 2 2 5 2 2" xfId="3546"/>
    <cellStyle name="Normal 2 2 5 3" xfId="3547"/>
    <cellStyle name="Normal 2 2 6" xfId="3548"/>
    <cellStyle name="Normal 2 2 6 2" xfId="3549"/>
    <cellStyle name="Normal 2 2 7" xfId="3550"/>
    <cellStyle name="Normal 2 2 7 2" xfId="3551"/>
    <cellStyle name="Normal 2 2 8" xfId="3552"/>
    <cellStyle name="Normal 2 2 9" xfId="3553"/>
    <cellStyle name="Normal 2 3" xfId="3554"/>
    <cellStyle name="Normal 2 3 2" xfId="3555"/>
    <cellStyle name="Normal 2 3 2 2" xfId="3556"/>
    <cellStyle name="Normal 2 3 2 2 2" xfId="3557"/>
    <cellStyle name="Normal 2 3 2 3" xfId="3558"/>
    <cellStyle name="Normal 2 3 2 4" xfId="3559"/>
    <cellStyle name="Normal 2 3 3" xfId="3560"/>
    <cellStyle name="Normal 2 3 4" xfId="3561"/>
    <cellStyle name="Normal 2 3 4 2" xfId="3562"/>
    <cellStyle name="Normal 2 3 5" xfId="3563"/>
    <cellStyle name="Normal 2 4" xfId="3564"/>
    <cellStyle name="Normal 2 4 2" xfId="3565"/>
    <cellStyle name="Normal 2 4 2 2" xfId="3566"/>
    <cellStyle name="Normal 2 4 2_Avera Analyses - Black Hills CO" xfId="3567"/>
    <cellStyle name="Normal 2 4 3" xfId="3568"/>
    <cellStyle name="Normal 2 4 4" xfId="3569"/>
    <cellStyle name="Normal 2 4_Avera Analyses - Black Hills CO" xfId="3570"/>
    <cellStyle name="Normal 2 5" xfId="3571"/>
    <cellStyle name="Normal 2 5 2" xfId="3572"/>
    <cellStyle name="Normal 2 5 2 2" xfId="3573"/>
    <cellStyle name="Normal 2 5 3" xfId="3574"/>
    <cellStyle name="Normal 2 5_Avera Analyses - Black Hills CO" xfId="3575"/>
    <cellStyle name="Normal 2 6" xfId="3576"/>
    <cellStyle name="Normal 2 6 2" xfId="3577"/>
    <cellStyle name="Normal 2 6 2 2" xfId="3578"/>
    <cellStyle name="Normal 2 6 3" xfId="3579"/>
    <cellStyle name="Normal 2 7" xfId="3580"/>
    <cellStyle name="Normal 2 7 2" xfId="3581"/>
    <cellStyle name="Normal 2 7 2 2" xfId="3582"/>
    <cellStyle name="Normal 2 7 3" xfId="3583"/>
    <cellStyle name="Normal 2 8" xfId="3584"/>
    <cellStyle name="Normal 2 8 2" xfId="3585"/>
    <cellStyle name="Normal 2 8 2 2" xfId="3586"/>
    <cellStyle name="Normal 2 8 3" xfId="3587"/>
    <cellStyle name="Normal 2 9" xfId="3588"/>
    <cellStyle name="Normal 2 9 2" xfId="3589"/>
    <cellStyle name="Normal 2_Atmos Rebuttal Analyses" xfId="3590"/>
    <cellStyle name="Normal 20" xfId="3591"/>
    <cellStyle name="Normal 21" xfId="3592"/>
    <cellStyle name="Normal 22" xfId="3593"/>
    <cellStyle name="Normal 22 2" xfId="3594"/>
    <cellStyle name="Normal 22 2 2" xfId="3595"/>
    <cellStyle name="Normal 23" xfId="3596"/>
    <cellStyle name="Normal 24" xfId="3597"/>
    <cellStyle name="Normal 24 2" xfId="3598"/>
    <cellStyle name="Normal 25" xfId="4160"/>
    <cellStyle name="Normal 26" xfId="4162"/>
    <cellStyle name="Normal 3" xfId="3599"/>
    <cellStyle name="Normal 3 10" xfId="3600"/>
    <cellStyle name="Normal 3 2" xfId="3601"/>
    <cellStyle name="Normal 3 2 10" xfId="3602"/>
    <cellStyle name="Normal 3 2 2" xfId="3603"/>
    <cellStyle name="Normal 3 2 2 2" xfId="3604"/>
    <cellStyle name="Normal 3 2 2 3" xfId="3605"/>
    <cellStyle name="Normal 3 2 3" xfId="3606"/>
    <cellStyle name="Normal 3 2 3 2" xfId="3607"/>
    <cellStyle name="Normal 3 2 4" xfId="3608"/>
    <cellStyle name="Normal 3 2 5" xfId="3609"/>
    <cellStyle name="Normal 3 2_Avera Rebuttal Analyses" xfId="3610"/>
    <cellStyle name="Normal 3 3" xfId="3611"/>
    <cellStyle name="Normal 3 3 2" xfId="3612"/>
    <cellStyle name="Normal 3 3 2 2" xfId="3613"/>
    <cellStyle name="Normal 3 3 3" xfId="3614"/>
    <cellStyle name="Normal 3 3 4" xfId="3615"/>
    <cellStyle name="Normal 3 4" xfId="3616"/>
    <cellStyle name="Normal 3 4 2" xfId="3617"/>
    <cellStyle name="Normal 3 4 2 2" xfId="3618"/>
    <cellStyle name="Normal 3 4 3" xfId="3619"/>
    <cellStyle name="Normal 3 5" xfId="3620"/>
    <cellStyle name="Normal 3 5 2" xfId="3621"/>
    <cellStyle name="Normal 3 5 2 2" xfId="3622"/>
    <cellStyle name="Normal 3 5 3" xfId="3623"/>
    <cellStyle name="Normal 3 6" xfId="3624"/>
    <cellStyle name="Normal 3 6 2" xfId="3625"/>
    <cellStyle name="Normal 3 6 2 2" xfId="3626"/>
    <cellStyle name="Normal 3 6 3" xfId="3627"/>
    <cellStyle name="Normal 3 7" xfId="3628"/>
    <cellStyle name="Normal 3 7 2" xfId="3629"/>
    <cellStyle name="Normal 3 8" xfId="3630"/>
    <cellStyle name="Normal 3 8 2" xfId="3631"/>
    <cellStyle name="Normal 3 9" xfId="3632"/>
    <cellStyle name="Normal 3_Atmos Rebuttal Analyses" xfId="3633"/>
    <cellStyle name="Normal 4" xfId="3634"/>
    <cellStyle name="Normal 4 10" xfId="3635"/>
    <cellStyle name="Normal 4 10 2" xfId="3636"/>
    <cellStyle name="Normal 4 11" xfId="3637"/>
    <cellStyle name="Normal 4 2" xfId="3638"/>
    <cellStyle name="Normal 4 2 2" xfId="3639"/>
    <cellStyle name="Normal 4 2 2 2" xfId="3640"/>
    <cellStyle name="Normal 4 2 2 3" xfId="3641"/>
    <cellStyle name="Normal 4 2 3" xfId="3642"/>
    <cellStyle name="Normal 4 2 3 2" xfId="3643"/>
    <cellStyle name="Normal 4 2 4" xfId="3644"/>
    <cellStyle name="Normal 4 2 5" xfId="3645"/>
    <cellStyle name="Normal 4 2 6" xfId="3646"/>
    <cellStyle name="Normal 4 3" xfId="3647"/>
    <cellStyle name="Normal 4 3 2" xfId="3648"/>
    <cellStyle name="Normal 4 3 2 2" xfId="3649"/>
    <cellStyle name="Normal 4 3 3" xfId="3650"/>
    <cellStyle name="Normal 4 3 4" xfId="3651"/>
    <cellStyle name="Normal 4 3 5" xfId="3652"/>
    <cellStyle name="Normal 4 4" xfId="3653"/>
    <cellStyle name="Normal 4 4 2" xfId="3654"/>
    <cellStyle name="Normal 4 4 2 2" xfId="3655"/>
    <cellStyle name="Normal 4 4 3" xfId="3656"/>
    <cellStyle name="Normal 4 5" xfId="3657"/>
    <cellStyle name="Normal 4 5 2" xfId="3658"/>
    <cellStyle name="Normal 4 5 2 2" xfId="3659"/>
    <cellStyle name="Normal 4 5 3" xfId="3660"/>
    <cellStyle name="Normal 4 6" xfId="3661"/>
    <cellStyle name="Normal 4 6 2" xfId="3662"/>
    <cellStyle name="Normal 4 6 2 2" xfId="3663"/>
    <cellStyle name="Normal 4 6 3" xfId="3664"/>
    <cellStyle name="Normal 4 7" xfId="3665"/>
    <cellStyle name="Normal 4 7 2" xfId="3666"/>
    <cellStyle name="Normal 4 8" xfId="3667"/>
    <cellStyle name="Normal 4 8 2" xfId="3668"/>
    <cellStyle name="Normal 4 9" xfId="3669"/>
    <cellStyle name="Normal 4_Exhibits MPG-5 thru 18, 22" xfId="3670"/>
    <cellStyle name="Normal 5" xfId="3671"/>
    <cellStyle name="Normal 5 10" xfId="3672"/>
    <cellStyle name="Normal 5 2" xfId="3673"/>
    <cellStyle name="Normal 5 2 2" xfId="3674"/>
    <cellStyle name="Normal 5 2 2 2" xfId="3675"/>
    <cellStyle name="Normal 5 2 2 3" xfId="3676"/>
    <cellStyle name="Normal 5 2 3" xfId="3677"/>
    <cellStyle name="Normal 5 2 3 2" xfId="3678"/>
    <cellStyle name="Normal 5 2 4" xfId="3679"/>
    <cellStyle name="Normal 5 2 5" xfId="3680"/>
    <cellStyle name="Normal 5 3" xfId="3681"/>
    <cellStyle name="Normal 5 3 2" xfId="3682"/>
    <cellStyle name="Normal 5 3 2 2" xfId="3683"/>
    <cellStyle name="Normal 5 3 3" xfId="3684"/>
    <cellStyle name="Normal 5 3 4" xfId="3685"/>
    <cellStyle name="Normal 5 4" xfId="3686"/>
    <cellStyle name="Normal 5 4 2" xfId="3687"/>
    <cellStyle name="Normal 5 4 2 2" xfId="3688"/>
    <cellStyle name="Normal 5 4 3" xfId="3689"/>
    <cellStyle name="Normal 5 5" xfId="3690"/>
    <cellStyle name="Normal 5 5 2" xfId="3691"/>
    <cellStyle name="Normal 5 5 2 2" xfId="3692"/>
    <cellStyle name="Normal 5 5 3" xfId="3693"/>
    <cellStyle name="Normal 5 6" xfId="3694"/>
    <cellStyle name="Normal 5 6 2" xfId="3695"/>
    <cellStyle name="Normal 5 6 2 2" xfId="3696"/>
    <cellStyle name="Normal 5 6 3" xfId="3697"/>
    <cellStyle name="Normal 5 7" xfId="3698"/>
    <cellStyle name="Normal 5 7 2" xfId="3699"/>
    <cellStyle name="Normal 5 8" xfId="3700"/>
    <cellStyle name="Normal 5 8 2" xfId="3701"/>
    <cellStyle name="Normal 5 9" xfId="3702"/>
    <cellStyle name="Normal 5_Atmos Rebuttal Analyses" xfId="3703"/>
    <cellStyle name="Normal 6" xfId="3704"/>
    <cellStyle name="Normal 6 2" xfId="3705"/>
    <cellStyle name="Normal 6 3" xfId="3706"/>
    <cellStyle name="Normal 6 4" xfId="3707"/>
    <cellStyle name="Normal 6 5" xfId="3708"/>
    <cellStyle name="Normal 6 6" xfId="3709"/>
    <cellStyle name="Normal 6_Atmos Rebuttal Analyses" xfId="3710"/>
    <cellStyle name="Normal 7" xfId="3711"/>
    <cellStyle name="Normal 7 2" xfId="3712"/>
    <cellStyle name="Normal 7 2 2" xfId="3713"/>
    <cellStyle name="Normal 7 2 2 2" xfId="3714"/>
    <cellStyle name="Normal 7 2 3" xfId="3715"/>
    <cellStyle name="Normal 7 2 4" xfId="3716"/>
    <cellStyle name="Normal 7 3" xfId="3717"/>
    <cellStyle name="Normal 7 3 2" xfId="3718"/>
    <cellStyle name="Normal 7 3 2 2" xfId="3719"/>
    <cellStyle name="Normal 7 3 3" xfId="3720"/>
    <cellStyle name="Normal 7 4" xfId="3721"/>
    <cellStyle name="Normal 7 4 2" xfId="3722"/>
    <cellStyle name="Normal 7 4 2 2" xfId="3723"/>
    <cellStyle name="Normal 7 4 3" xfId="3724"/>
    <cellStyle name="Normal 7 5" xfId="3725"/>
    <cellStyle name="Normal 7 5 2" xfId="3726"/>
    <cellStyle name="Normal 7 5 2 2" xfId="3727"/>
    <cellStyle name="Normal 7 5 3" xfId="3728"/>
    <cellStyle name="Normal 7 6" xfId="3729"/>
    <cellStyle name="Normal 7 6 2" xfId="3730"/>
    <cellStyle name="Normal 7 7" xfId="3731"/>
    <cellStyle name="Normal 7 7 2" xfId="3732"/>
    <cellStyle name="Normal 7 8" xfId="3733"/>
    <cellStyle name="Normal 7 9" xfId="3734"/>
    <cellStyle name="Normal 7_Avera Rebuttal Analyses" xfId="3735"/>
    <cellStyle name="Normal 8" xfId="3736"/>
    <cellStyle name="Normal 8 2" xfId="3737"/>
    <cellStyle name="Normal 8 2 2" xfId="3738"/>
    <cellStyle name="Normal 8 2 2 2" xfId="3739"/>
    <cellStyle name="Normal 8 2 3" xfId="3740"/>
    <cellStyle name="Normal 8 3" xfId="3741"/>
    <cellStyle name="Normal 8 3 2" xfId="3742"/>
    <cellStyle name="Normal 8 3 2 2" xfId="3743"/>
    <cellStyle name="Normal 8 3 3" xfId="3744"/>
    <cellStyle name="Normal 8 4" xfId="3745"/>
    <cellStyle name="Normal 8 4 2" xfId="3746"/>
    <cellStyle name="Normal 8 4 2 2" xfId="3747"/>
    <cellStyle name="Normal 8 4 3" xfId="3748"/>
    <cellStyle name="Normal 8 5" xfId="3749"/>
    <cellStyle name="Normal 8 5 2" xfId="3750"/>
    <cellStyle name="Normal 8 6" xfId="3751"/>
    <cellStyle name="Normal 8_Avera Rebuttal Analyses" xfId="3752"/>
    <cellStyle name="Normal 9" xfId="3753"/>
    <cellStyle name="Normal 9 2" xfId="3754"/>
    <cellStyle name="Normal 9 3" xfId="3755"/>
    <cellStyle name="Normal 9 4" xfId="3756"/>
    <cellStyle name="Normal 9_Avera Rebuttal Analyses" xfId="3757"/>
    <cellStyle name="Note" xfId="15" builtinId="10" customBuiltin="1"/>
    <cellStyle name="Note 2" xfId="3758"/>
    <cellStyle name="Note 2 2" xfId="3759"/>
    <cellStyle name="Note 2 3" xfId="3760"/>
    <cellStyle name="Note 3" xfId="3761"/>
    <cellStyle name="Note 3 2" xfId="3762"/>
    <cellStyle name="Note 3 3" xfId="3763"/>
    <cellStyle name="Note 4" xfId="3764"/>
    <cellStyle name="Note 4 2" xfId="3765"/>
    <cellStyle name="Note 4 3" xfId="3766"/>
    <cellStyle name="Note 5" xfId="3767"/>
    <cellStyle name="Note 5 2" xfId="3768"/>
    <cellStyle name="Note 5 3" xfId="3769"/>
    <cellStyle name="Note 6" xfId="3770"/>
    <cellStyle name="Note 6 2" xfId="3771"/>
    <cellStyle name="Note 6 3" xfId="3772"/>
    <cellStyle name="Output" xfId="10" builtinId="21" customBuiltin="1"/>
    <cellStyle name="Output 2" xfId="3773"/>
    <cellStyle name="Output 2 2" xfId="3774"/>
    <cellStyle name="Output 2 3" xfId="3775"/>
    <cellStyle name="Output 3" xfId="3776"/>
    <cellStyle name="Output 3 2" xfId="3777"/>
    <cellStyle name="Output 3 3" xfId="3778"/>
    <cellStyle name="Output 4" xfId="3779"/>
    <cellStyle name="Output 4 2" xfId="3780"/>
    <cellStyle name="Output 4 3" xfId="3781"/>
    <cellStyle name="Output 5" xfId="3782"/>
    <cellStyle name="Output 5 2" xfId="3783"/>
    <cellStyle name="Output 5 3" xfId="3784"/>
    <cellStyle name="Output 6" xfId="3785"/>
    <cellStyle name="Output 6 2" xfId="3786"/>
    <cellStyle name="Output 6 3" xfId="3787"/>
    <cellStyle name="Output Amounts" xfId="3788"/>
    <cellStyle name="Output Column Headings" xfId="3789"/>
    <cellStyle name="Output Line Items" xfId="3790"/>
    <cellStyle name="Output Report Heading" xfId="3791"/>
    <cellStyle name="Output Report Title" xfId="3792"/>
    <cellStyle name="Parent row" xfId="3793"/>
    <cellStyle name="Percent" xfId="44" builtinId="5"/>
    <cellStyle name="Percent 10" xfId="3794"/>
    <cellStyle name="Percent 11" xfId="3795"/>
    <cellStyle name="Percent 12" xfId="3796"/>
    <cellStyle name="Percent 13" xfId="3797"/>
    <cellStyle name="Percent 2" xfId="3798"/>
    <cellStyle name="Percent 2 10" xfId="3799"/>
    <cellStyle name="Percent 2 2" xfId="3800"/>
    <cellStyle name="Percent 2 2 2" xfId="3801"/>
    <cellStyle name="Percent 2 2 2 2" xfId="3802"/>
    <cellStyle name="Percent 2 2 2 3" xfId="3803"/>
    <cellStyle name="Percent 2 2 3" xfId="3804"/>
    <cellStyle name="Percent 2 2 3 2" xfId="3805"/>
    <cellStyle name="Percent 2 2 4" xfId="3806"/>
    <cellStyle name="Percent 2 2 5" xfId="3807"/>
    <cellStyle name="Percent 2 3" xfId="3808"/>
    <cellStyle name="Percent 2 3 2" xfId="3809"/>
    <cellStyle name="Percent 2 3 2 2" xfId="3810"/>
    <cellStyle name="Percent 2 3 3" xfId="3811"/>
    <cellStyle name="Percent 2 3 4" xfId="3812"/>
    <cellStyle name="Percent 2 4" xfId="3813"/>
    <cellStyle name="Percent 2 4 2" xfId="3814"/>
    <cellStyle name="Percent 2 4 2 2" xfId="3815"/>
    <cellStyle name="Percent 2 4 3" xfId="3816"/>
    <cellStyle name="Percent 2 5" xfId="3817"/>
    <cellStyle name="Percent 2 5 2" xfId="3818"/>
    <cellStyle name="Percent 2 5 2 2" xfId="3819"/>
    <cellStyle name="Percent 2 5 3" xfId="3820"/>
    <cellStyle name="Percent 2 6" xfId="3821"/>
    <cellStyle name="Percent 2 6 2" xfId="3822"/>
    <cellStyle name="Percent 2 6 2 2" xfId="3823"/>
    <cellStyle name="Percent 2 6 3" xfId="3824"/>
    <cellStyle name="Percent 2 7" xfId="3825"/>
    <cellStyle name="Percent 2 7 2" xfId="3826"/>
    <cellStyle name="Percent 2 8" xfId="3827"/>
    <cellStyle name="Percent 2 8 2" xfId="3828"/>
    <cellStyle name="Percent 2 9" xfId="3829"/>
    <cellStyle name="Percent 2_Atmos Rebuttal Analyses" xfId="3830"/>
    <cellStyle name="Percent 3" xfId="3831"/>
    <cellStyle name="Percent 3 10" xfId="3832"/>
    <cellStyle name="Percent 3 2" xfId="3833"/>
    <cellStyle name="Percent 3 2 2" xfId="3834"/>
    <cellStyle name="Percent 3 2 2 2" xfId="3835"/>
    <cellStyle name="Percent 3 2 2 3" xfId="3836"/>
    <cellStyle name="Percent 3 2 3" xfId="3837"/>
    <cellStyle name="Percent 3 2 3 2" xfId="3838"/>
    <cellStyle name="Percent 3 2 4" xfId="3839"/>
    <cellStyle name="Percent 3 2 5" xfId="3840"/>
    <cellStyle name="Percent 3 3" xfId="3841"/>
    <cellStyle name="Percent 3 3 2" xfId="3842"/>
    <cellStyle name="Percent 3 3 2 2" xfId="3843"/>
    <cellStyle name="Percent 3 3 3" xfId="3844"/>
    <cellStyle name="Percent 3 3 4" xfId="3845"/>
    <cellStyle name="Percent 3 4" xfId="3846"/>
    <cellStyle name="Percent 3 4 2" xfId="3847"/>
    <cellStyle name="Percent 3 4 2 2" xfId="3848"/>
    <cellStyle name="Percent 3 4 3" xfId="3849"/>
    <cellStyle name="Percent 3 5" xfId="3850"/>
    <cellStyle name="Percent 3 5 2" xfId="3851"/>
    <cellStyle name="Percent 3 5 2 2" xfId="3852"/>
    <cellStyle name="Percent 3 5 3" xfId="3853"/>
    <cellStyle name="Percent 3 6" xfId="3854"/>
    <cellStyle name="Percent 3 6 2" xfId="3855"/>
    <cellStyle name="Percent 3 6 2 2" xfId="3856"/>
    <cellStyle name="Percent 3 6 3" xfId="3857"/>
    <cellStyle name="Percent 3 7" xfId="3858"/>
    <cellStyle name="Percent 3 7 2" xfId="3859"/>
    <cellStyle name="Percent 3 8" xfId="3860"/>
    <cellStyle name="Percent 3 8 2" xfId="3861"/>
    <cellStyle name="Percent 3 9" xfId="3862"/>
    <cellStyle name="Percent 4" xfId="3863"/>
    <cellStyle name="Percent 4 10" xfId="3864"/>
    <cellStyle name="Percent 4 2" xfId="3865"/>
    <cellStyle name="Percent 4 2 2" xfId="3866"/>
    <cellStyle name="Percent 4 2 2 2" xfId="3867"/>
    <cellStyle name="Percent 4 2 2 3" xfId="3868"/>
    <cellStyle name="Percent 4 2 3" xfId="3869"/>
    <cellStyle name="Percent 4 2 3 2" xfId="3870"/>
    <cellStyle name="Percent 4 2 4" xfId="3871"/>
    <cellStyle name="Percent 4 2 5" xfId="3872"/>
    <cellStyle name="Percent 4 3" xfId="3873"/>
    <cellStyle name="Percent 4 3 2" xfId="3874"/>
    <cellStyle name="Percent 4 3 2 2" xfId="3875"/>
    <cellStyle name="Percent 4 3 3" xfId="3876"/>
    <cellStyle name="Percent 4 3 4" xfId="3877"/>
    <cellStyle name="Percent 4 4" xfId="3878"/>
    <cellStyle name="Percent 4 4 2" xfId="3879"/>
    <cellStyle name="Percent 4 4 2 2" xfId="3880"/>
    <cellStyle name="Percent 4 4 3" xfId="3881"/>
    <cellStyle name="Percent 4 5" xfId="3882"/>
    <cellStyle name="Percent 4 5 2" xfId="3883"/>
    <cellStyle name="Percent 4 5 2 2" xfId="3884"/>
    <cellStyle name="Percent 4 5 3" xfId="3885"/>
    <cellStyle name="Percent 4 6" xfId="3886"/>
    <cellStyle name="Percent 4 6 2" xfId="3887"/>
    <cellStyle name="Percent 4 6 2 2" xfId="3888"/>
    <cellStyle name="Percent 4 6 3" xfId="3889"/>
    <cellStyle name="Percent 4 7" xfId="3890"/>
    <cellStyle name="Percent 4 7 2" xfId="3891"/>
    <cellStyle name="Percent 4 8" xfId="3892"/>
    <cellStyle name="Percent 4 8 2" xfId="3893"/>
    <cellStyle name="Percent 4 9" xfId="3894"/>
    <cellStyle name="Percent 5" xfId="3895"/>
    <cellStyle name="Percent 5 2" xfId="3896"/>
    <cellStyle name="Percent 5 2 2" xfId="3897"/>
    <cellStyle name="Percent 5 2 2 2" xfId="3898"/>
    <cellStyle name="Percent 5 2 3" xfId="3899"/>
    <cellStyle name="Percent 5 2 4" xfId="3900"/>
    <cellStyle name="Percent 5 3" xfId="3901"/>
    <cellStyle name="Percent 5 3 2" xfId="3902"/>
    <cellStyle name="Percent 5 3 2 2" xfId="3903"/>
    <cellStyle name="Percent 5 3 3" xfId="3904"/>
    <cellStyle name="Percent 5 4" xfId="3905"/>
    <cellStyle name="Percent 5 4 2" xfId="3906"/>
    <cellStyle name="Percent 5 4 2 2" xfId="3907"/>
    <cellStyle name="Percent 5 4 3" xfId="3908"/>
    <cellStyle name="Percent 5 5" xfId="3909"/>
    <cellStyle name="Percent 5 5 2" xfId="3910"/>
    <cellStyle name="Percent 5 5 2 2" xfId="3911"/>
    <cellStyle name="Percent 5 5 3" xfId="3912"/>
    <cellStyle name="Percent 5 6" xfId="3913"/>
    <cellStyle name="Percent 5 6 2" xfId="3914"/>
    <cellStyle name="Percent 5 7" xfId="3915"/>
    <cellStyle name="Percent 5 7 2" xfId="3916"/>
    <cellStyle name="Percent 5 8" xfId="3917"/>
    <cellStyle name="Percent 5 9" xfId="3918"/>
    <cellStyle name="Percent 6" xfId="3919"/>
    <cellStyle name="Percent 7" xfId="3920"/>
    <cellStyle name="Percent 8" xfId="3921"/>
    <cellStyle name="Percent 8 2" xfId="3922"/>
    <cellStyle name="Percent 9" xfId="3923"/>
    <cellStyle name="PSChar" xfId="3924"/>
    <cellStyle name="PSDate" xfId="3925"/>
    <cellStyle name="PSDec" xfId="3926"/>
    <cellStyle name="PSHeading" xfId="3927"/>
    <cellStyle name="PSInt" xfId="3928"/>
    <cellStyle name="PSSpacer" xfId="3929"/>
    <cellStyle name="Reset  - Style7" xfId="3930"/>
    <cellStyle name="SAPBEXaggData" xfId="3931"/>
    <cellStyle name="SAPBEXaggData 2" xfId="3932"/>
    <cellStyle name="SAPBEXaggData 3" xfId="3933"/>
    <cellStyle name="SAPBEXaggData 4" xfId="3934"/>
    <cellStyle name="SAPBEXaggDataEmph" xfId="3935"/>
    <cellStyle name="SAPBEXaggDataEmph 2" xfId="3936"/>
    <cellStyle name="SAPBEXaggDataEmph 3" xfId="3937"/>
    <cellStyle name="SAPBEXaggDataEmph 4" xfId="3938"/>
    <cellStyle name="SAPBEXaggItem" xfId="3939"/>
    <cellStyle name="SAPBEXaggItem 2" xfId="3940"/>
    <cellStyle name="SAPBEXaggItem 3" xfId="3941"/>
    <cellStyle name="SAPBEXaggItem 4" xfId="3942"/>
    <cellStyle name="SAPBEXaggItemX" xfId="3943"/>
    <cellStyle name="SAPBEXaggItemX 2" xfId="3944"/>
    <cellStyle name="SAPBEXaggItemX 3" xfId="3945"/>
    <cellStyle name="SAPBEXaggItemX 4" xfId="3946"/>
    <cellStyle name="SAPBEXchaText" xfId="3947"/>
    <cellStyle name="SAPBEXexcBad7" xfId="3948"/>
    <cellStyle name="SAPBEXexcBad7 2" xfId="3949"/>
    <cellStyle name="SAPBEXexcBad7 3" xfId="3950"/>
    <cellStyle name="SAPBEXexcBad7 4" xfId="3951"/>
    <cellStyle name="SAPBEXexcBad8" xfId="3952"/>
    <cellStyle name="SAPBEXexcBad8 2" xfId="3953"/>
    <cellStyle name="SAPBEXexcBad8 3" xfId="3954"/>
    <cellStyle name="SAPBEXexcBad8 4" xfId="3955"/>
    <cellStyle name="SAPBEXexcBad9" xfId="3956"/>
    <cellStyle name="SAPBEXexcBad9 2" xfId="3957"/>
    <cellStyle name="SAPBEXexcBad9 3" xfId="3958"/>
    <cellStyle name="SAPBEXexcBad9 4" xfId="3959"/>
    <cellStyle name="SAPBEXexcCritical4" xfId="3960"/>
    <cellStyle name="SAPBEXexcCritical4 2" xfId="3961"/>
    <cellStyle name="SAPBEXexcCritical4 3" xfId="3962"/>
    <cellStyle name="SAPBEXexcCritical4 4" xfId="3963"/>
    <cellStyle name="SAPBEXexcCritical5" xfId="3964"/>
    <cellStyle name="SAPBEXexcCritical5 2" xfId="3965"/>
    <cellStyle name="SAPBEXexcCritical5 3" xfId="3966"/>
    <cellStyle name="SAPBEXexcCritical5 4" xfId="3967"/>
    <cellStyle name="SAPBEXexcCritical6" xfId="3968"/>
    <cellStyle name="SAPBEXexcCritical6 2" xfId="3969"/>
    <cellStyle name="SAPBEXexcCritical6 3" xfId="3970"/>
    <cellStyle name="SAPBEXexcCritical6 4" xfId="3971"/>
    <cellStyle name="SAPBEXexcGood1" xfId="3972"/>
    <cellStyle name="SAPBEXexcGood1 2" xfId="3973"/>
    <cellStyle name="SAPBEXexcGood1 3" xfId="3974"/>
    <cellStyle name="SAPBEXexcGood1 4" xfId="3975"/>
    <cellStyle name="SAPBEXexcGood2" xfId="3976"/>
    <cellStyle name="SAPBEXexcGood2 2" xfId="3977"/>
    <cellStyle name="SAPBEXexcGood2 3" xfId="3978"/>
    <cellStyle name="SAPBEXexcGood2 4" xfId="3979"/>
    <cellStyle name="SAPBEXexcGood3" xfId="3980"/>
    <cellStyle name="SAPBEXexcGood3 2" xfId="3981"/>
    <cellStyle name="SAPBEXexcGood3 3" xfId="3982"/>
    <cellStyle name="SAPBEXexcGood3 4" xfId="3983"/>
    <cellStyle name="SAPBEXfilterDrill" xfId="3984"/>
    <cellStyle name="SAPBEXfilterItem" xfId="3985"/>
    <cellStyle name="SAPBEXfilterText" xfId="3986"/>
    <cellStyle name="SAPBEXformats" xfId="3987"/>
    <cellStyle name="SAPBEXformats 2" xfId="3988"/>
    <cellStyle name="SAPBEXformats 3" xfId="3989"/>
    <cellStyle name="SAPBEXformats 4" xfId="3990"/>
    <cellStyle name="SAPBEXheaderItem" xfId="3991"/>
    <cellStyle name="SAPBEXheaderText" xfId="3992"/>
    <cellStyle name="SAPBEXHLevel0" xfId="3993"/>
    <cellStyle name="SAPBEXHLevel0 2" xfId="3994"/>
    <cellStyle name="SAPBEXHLevel0 3" xfId="3995"/>
    <cellStyle name="SAPBEXHLevel0 4" xfId="3996"/>
    <cellStyle name="SAPBEXHLevel0X" xfId="3997"/>
    <cellStyle name="SAPBEXHLevel0X 2" xfId="3998"/>
    <cellStyle name="SAPBEXHLevel0X 3" xfId="3999"/>
    <cellStyle name="SAPBEXHLevel0X 4" xfId="4000"/>
    <cellStyle name="SAPBEXHLevel1" xfId="4001"/>
    <cellStyle name="SAPBEXHLevel1 2" xfId="4002"/>
    <cellStyle name="SAPBEXHLevel1 3" xfId="4003"/>
    <cellStyle name="SAPBEXHLevel1 4" xfId="4004"/>
    <cellStyle name="SAPBEXHLevel1X" xfId="4005"/>
    <cellStyle name="SAPBEXHLevel1X 2" xfId="4006"/>
    <cellStyle name="SAPBEXHLevel1X 3" xfId="4007"/>
    <cellStyle name="SAPBEXHLevel1X 4" xfId="4008"/>
    <cellStyle name="SAPBEXHLevel2" xfId="4009"/>
    <cellStyle name="SAPBEXHLevel2 2" xfId="4010"/>
    <cellStyle name="SAPBEXHLevel2 3" xfId="4011"/>
    <cellStyle name="SAPBEXHLevel2 4" xfId="4012"/>
    <cellStyle name="SAPBEXHLevel2X" xfId="4013"/>
    <cellStyle name="SAPBEXHLevel2X 2" xfId="4014"/>
    <cellStyle name="SAPBEXHLevel2X 3" xfId="4015"/>
    <cellStyle name="SAPBEXHLevel2X 4" xfId="4016"/>
    <cellStyle name="SAPBEXHLevel3" xfId="4017"/>
    <cellStyle name="SAPBEXHLevel3 2" xfId="4018"/>
    <cellStyle name="SAPBEXHLevel3 3" xfId="4019"/>
    <cellStyle name="SAPBEXHLevel3 4" xfId="4020"/>
    <cellStyle name="SAPBEXHLevel3X" xfId="4021"/>
    <cellStyle name="SAPBEXHLevel3X 2" xfId="4022"/>
    <cellStyle name="SAPBEXHLevel3X 3" xfId="4023"/>
    <cellStyle name="SAPBEXHLevel3X 4" xfId="4024"/>
    <cellStyle name="SAPBEXresData" xfId="4025"/>
    <cellStyle name="SAPBEXresData 2" xfId="4026"/>
    <cellStyle name="SAPBEXresData 3" xfId="4027"/>
    <cellStyle name="SAPBEXresData 4" xfId="4028"/>
    <cellStyle name="SAPBEXresDataEmph" xfId="4029"/>
    <cellStyle name="SAPBEXresDataEmph 2" xfId="4030"/>
    <cellStyle name="SAPBEXresDataEmph 3" xfId="4031"/>
    <cellStyle name="SAPBEXresDataEmph 4" xfId="4032"/>
    <cellStyle name="SAPBEXresItem" xfId="4033"/>
    <cellStyle name="SAPBEXresItem 2" xfId="4034"/>
    <cellStyle name="SAPBEXresItem 3" xfId="4035"/>
    <cellStyle name="SAPBEXresItem 4" xfId="4036"/>
    <cellStyle name="SAPBEXresItemX" xfId="4037"/>
    <cellStyle name="SAPBEXresItemX 2" xfId="4038"/>
    <cellStyle name="SAPBEXresItemX 3" xfId="4039"/>
    <cellStyle name="SAPBEXresItemX 4" xfId="4040"/>
    <cellStyle name="SAPBEXstdData" xfId="4041"/>
    <cellStyle name="SAPBEXstdData 2" xfId="4042"/>
    <cellStyle name="SAPBEXstdData 3" xfId="4043"/>
    <cellStyle name="SAPBEXstdData 4" xfId="4044"/>
    <cellStyle name="SAPBEXstdDataEmph" xfId="4045"/>
    <cellStyle name="SAPBEXstdDataEmph 2" xfId="4046"/>
    <cellStyle name="SAPBEXstdDataEmph 3" xfId="4047"/>
    <cellStyle name="SAPBEXstdDataEmph 4" xfId="4048"/>
    <cellStyle name="SAPBEXstdItem" xfId="4049"/>
    <cellStyle name="SAPBEXstdItem 2" xfId="4050"/>
    <cellStyle name="SAPBEXstdItem 3" xfId="4051"/>
    <cellStyle name="SAPBEXstdItem 4" xfId="4052"/>
    <cellStyle name="SAPBEXstdItemX" xfId="4053"/>
    <cellStyle name="SAPBEXstdItemX 2" xfId="4054"/>
    <cellStyle name="SAPBEXstdItemX 3" xfId="4055"/>
    <cellStyle name="SAPBEXstdItemX 4" xfId="4056"/>
    <cellStyle name="SAPBEXtitle" xfId="4057"/>
    <cellStyle name="SAPBEXundefined" xfId="4058"/>
    <cellStyle name="SAPBEXundefined 2" xfId="4059"/>
    <cellStyle name="SAPBEXundefined 3" xfId="4060"/>
    <cellStyle name="SAPBEXundefined 4" xfId="4061"/>
    <cellStyle name="Style 1" xfId="4062"/>
    <cellStyle name="Style 105" xfId="4063"/>
    <cellStyle name="Style 109" xfId="4064"/>
    <cellStyle name="Style 113" xfId="4065"/>
    <cellStyle name="Style 117" xfId="4066"/>
    <cellStyle name="Style 121" xfId="4067"/>
    <cellStyle name="Style 129" xfId="4068"/>
    <cellStyle name="Style 133" xfId="4069"/>
    <cellStyle name="Style 136" xfId="4070"/>
    <cellStyle name="Style 137" xfId="4071"/>
    <cellStyle name="Style 140" xfId="4072"/>
    <cellStyle name="Style 141" xfId="4073"/>
    <cellStyle name="Style 144" xfId="4074"/>
    <cellStyle name="Style 148" xfId="4075"/>
    <cellStyle name="Style 152" xfId="4076"/>
    <cellStyle name="Style 153" xfId="4077"/>
    <cellStyle name="Style 156" xfId="4078"/>
    <cellStyle name="Style 160" xfId="4079"/>
    <cellStyle name="Style 161" xfId="4080"/>
    <cellStyle name="Style 165" xfId="4081"/>
    <cellStyle name="Style 168" xfId="4082"/>
    <cellStyle name="Style 172" xfId="4083"/>
    <cellStyle name="Style 173" xfId="4084"/>
    <cellStyle name="Style 177" xfId="4085"/>
    <cellStyle name="Style 180" xfId="4086"/>
    <cellStyle name="Style 181" xfId="4087"/>
    <cellStyle name="Style 182" xfId="4088"/>
    <cellStyle name="Style 189" xfId="4089"/>
    <cellStyle name="Style 191" xfId="4090"/>
    <cellStyle name="Style 21" xfId="4091"/>
    <cellStyle name="Style 21 2" xfId="4092"/>
    <cellStyle name="Style 22" xfId="4093"/>
    <cellStyle name="Style 22 2" xfId="4094"/>
    <cellStyle name="Style 22 2 2" xfId="4095"/>
    <cellStyle name="Style 22 2_Avera Rebuttal Analyses" xfId="4096"/>
    <cellStyle name="Style 23" xfId="4097"/>
    <cellStyle name="Style 24" xfId="4098"/>
    <cellStyle name="Style 24 2" xfId="4099"/>
    <cellStyle name="Style 24 2 2" xfId="4100"/>
    <cellStyle name="Style 24 2_Avera Rebuttal Analyses" xfId="4101"/>
    <cellStyle name="Style 25" xfId="4102"/>
    <cellStyle name="Style 26" xfId="4103"/>
    <cellStyle name="Style 26 2" xfId="4104"/>
    <cellStyle name="Style 26 2 2" xfId="4105"/>
    <cellStyle name="Style 26 2_Avera Rebuttal Analyses" xfId="4106"/>
    <cellStyle name="Style 26 3" xfId="4107"/>
    <cellStyle name="Style 26 4" xfId="4108"/>
    <cellStyle name="Style 27" xfId="4109"/>
    <cellStyle name="Style 28" xfId="4110"/>
    <cellStyle name="Style 29" xfId="4111"/>
    <cellStyle name="Style 30" xfId="4112"/>
    <cellStyle name="Style 31" xfId="4113"/>
    <cellStyle name="Style 32" xfId="4114"/>
    <cellStyle name="Style 33" xfId="4115"/>
    <cellStyle name="Style 34" xfId="4116"/>
    <cellStyle name="Style 35" xfId="4117"/>
    <cellStyle name="Style 36" xfId="4118"/>
    <cellStyle name="Style 37" xfId="4119"/>
    <cellStyle name="Style 38" xfId="4120"/>
    <cellStyle name="Style 39" xfId="4121"/>
    <cellStyle name="STYLE1" xfId="4122"/>
    <cellStyle name="STYLE2" xfId="4123"/>
    <cellStyle name="STYLE3" xfId="4124"/>
    <cellStyle name="STYLE4" xfId="4125"/>
    <cellStyle name="Table  - Style6" xfId="4126"/>
    <cellStyle name="Table  - Style6 2" xfId="4127"/>
    <cellStyle name="Table title" xfId="4128"/>
    <cellStyle name="Title" xfId="1" builtinId="15" customBuiltin="1"/>
    <cellStyle name="Title  - Style1" xfId="4129"/>
    <cellStyle name="Title 2" xfId="4130"/>
    <cellStyle name="Title 3" xfId="4131"/>
    <cellStyle name="Title 4" xfId="4132"/>
    <cellStyle name="Title 5" xfId="4133"/>
    <cellStyle name="Title 6" xfId="4134"/>
    <cellStyle name="Total" xfId="17" builtinId="25" customBuiltin="1"/>
    <cellStyle name="Total 2" xfId="4135"/>
    <cellStyle name="Total 2 2" xfId="4136"/>
    <cellStyle name="Total 2 3" xfId="4137"/>
    <cellStyle name="Total 3" xfId="4138"/>
    <cellStyle name="Total 3 2" xfId="4139"/>
    <cellStyle name="Total 3 3" xfId="4140"/>
    <cellStyle name="Total 4" xfId="4141"/>
    <cellStyle name="Total 4 2" xfId="4142"/>
    <cellStyle name="Total 4 3" xfId="4143"/>
    <cellStyle name="Total 5" xfId="4144"/>
    <cellStyle name="Total 5 2" xfId="4145"/>
    <cellStyle name="Total 5 3" xfId="4146"/>
    <cellStyle name="Total 6" xfId="4147"/>
    <cellStyle name="Total 6 2" xfId="4148"/>
    <cellStyle name="Total 6 3" xfId="4149"/>
    <cellStyle name="TotCol - Style5" xfId="4150"/>
    <cellStyle name="TotRow - Style4" xfId="4151"/>
    <cellStyle name="TotRow - Style4 2" xfId="4152"/>
    <cellStyle name="Warning Text" xfId="14" builtinId="11" customBuiltin="1"/>
    <cellStyle name="Warning Text 2" xfId="4153"/>
    <cellStyle name="Warning Text 3" xfId="4154"/>
    <cellStyle name="Warning Text 4" xfId="4155"/>
    <cellStyle name="Warning Text 5" xfId="4156"/>
    <cellStyle name="Warning Text 6" xfId="4157"/>
    <cellStyle name="Обычный_RTS_select_issues" xfId="415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Trends in Dividend Yield and "A" Rated Utility Bond Yield</a:t>
            </a:r>
            <a:endParaRPr lang="en-US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Average Nom. Dividend Yield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4'!$G$60:$X$60</c:f>
              <c:numCache>
                <c:formatCode>0.00%</c:formatCode>
                <c:ptCount val="18"/>
                <c:pt idx="0">
                  <c:v>3.8558876817275801E-2</c:v>
                </c:pt>
                <c:pt idx="1">
                  <c:v>3.4232951067182625E-2</c:v>
                </c:pt>
                <c:pt idx="2">
                  <c:v>3.5152763253634325E-2</c:v>
                </c:pt>
                <c:pt idx="3">
                  <c:v>3.5552989327837702E-2</c:v>
                </c:pt>
                <c:pt idx="4">
                  <c:v>3.1920917629769771E-2</c:v>
                </c:pt>
                <c:pt idx="5">
                  <c:v>3.5607982262693655E-2</c:v>
                </c:pt>
                <c:pt idx="6">
                  <c:v>3.3633705773950931E-2</c:v>
                </c:pt>
                <c:pt idx="7">
                  <c:v>3.4923580008339096E-2</c:v>
                </c:pt>
                <c:pt idx="8">
                  <c:v>3.7200607401704985E-2</c:v>
                </c:pt>
                <c:pt idx="9">
                  <c:v>3.6554450418274188E-2</c:v>
                </c:pt>
                <c:pt idx="10">
                  <c:v>3.861724192737518E-2</c:v>
                </c:pt>
                <c:pt idx="11">
                  <c:v>4.1781256859320472E-2</c:v>
                </c:pt>
                <c:pt idx="12">
                  <c:v>4.3035998323461729E-2</c:v>
                </c:pt>
                <c:pt idx="13">
                  <c:v>4.6420739198487979E-2</c:v>
                </c:pt>
                <c:pt idx="14">
                  <c:v>5.1552193259447807E-2</c:v>
                </c:pt>
                <c:pt idx="15">
                  <c:v>4.24931096647434E-2</c:v>
                </c:pt>
                <c:pt idx="16">
                  <c:v>3.5424788166653863E-2</c:v>
                </c:pt>
                <c:pt idx="17">
                  <c:v>3.7318674835402577E-2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3-49AB-9186-5E2B95891274}"/>
            </c:ext>
          </c:extLst>
        </c:ser>
        <c:ser>
          <c:idx val="1"/>
          <c:order val="1"/>
          <c:tx>
            <c:v>Nom. "A" Rated Utility Bond Yield</c:v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4'!$G$70:$X$70</c:f>
              <c:numCache>
                <c:formatCode>0.00%</c:formatCode>
                <c:ptCount val="18"/>
                <c:pt idx="0">
                  <c:v>5.5500000000000001E-2</c:v>
                </c:pt>
                <c:pt idx="1">
                  <c:v>4.7399999999999998E-2</c:v>
                </c:pt>
                <c:pt idx="2">
                  <c:v>3.102870206881524E-2</c:v>
                </c:pt>
                <c:pt idx="3">
                  <c:v>3.0525263490164798E-2</c:v>
                </c:pt>
                <c:pt idx="4">
                  <c:v>3.7674047524113317E-2</c:v>
                </c:pt>
                <c:pt idx="5">
                  <c:v>4.2502293815071278E-2</c:v>
                </c:pt>
                <c:pt idx="6">
                  <c:v>3.9988761663160968E-2</c:v>
                </c:pt>
                <c:pt idx="7">
                  <c:v>3.930199127182251E-2</c:v>
                </c:pt>
                <c:pt idx="8">
                  <c:v>4.1153967589428117E-2</c:v>
                </c:pt>
                <c:pt idx="9">
                  <c:v>4.2774094021446961E-2</c:v>
                </c:pt>
                <c:pt idx="10">
                  <c:v>4.4759707479483019E-2</c:v>
                </c:pt>
                <c:pt idx="11">
                  <c:v>4.1308564221010043E-2</c:v>
                </c:pt>
                <c:pt idx="12">
                  <c:v>5.0407157265811221E-2</c:v>
                </c:pt>
                <c:pt idx="13">
                  <c:v>5.4644377733549555E-2</c:v>
                </c:pt>
                <c:pt idx="14">
                  <c:v>6.0391666666666656E-2</c:v>
                </c:pt>
                <c:pt idx="15">
                  <c:v>6.5283333333333332E-2</c:v>
                </c:pt>
                <c:pt idx="16">
                  <c:v>6.0733333333333334E-2</c:v>
                </c:pt>
                <c:pt idx="17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3-49AB-9186-5E2B95891274}"/>
            </c:ext>
          </c:extLst>
        </c:ser>
        <c:ser>
          <c:idx val="2"/>
          <c:order val="2"/>
          <c:tx>
            <c:v>Real "A" Rated Yield</c:v>
          </c:tx>
          <c:spPr>
            <a:ln w="34925" cap="rnd">
              <a:solidFill>
                <a:srgbClr val="92D050"/>
              </a:solidFill>
              <a:prstDash val="lgDash"/>
              <a:round/>
            </a:ln>
            <a:effectLst/>
          </c:spPr>
          <c:marker>
            <c:symbol val="star"/>
            <c:size val="7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4'!$G$71:$X$71</c:f>
              <c:numCache>
                <c:formatCode>0.00%</c:formatCode>
                <c:ptCount val="18"/>
                <c:pt idx="0">
                  <c:v>2.9927716717956798E-2</c:v>
                </c:pt>
                <c:pt idx="1">
                  <c:v>2.0479676344597797E-2</c:v>
                </c:pt>
                <c:pt idx="2">
                  <c:v>6.679597699559725E-3</c:v>
                </c:pt>
                <c:pt idx="3">
                  <c:v>1.3680855940516157E-2</c:v>
                </c:pt>
                <c:pt idx="4">
                  <c:v>1.9400499797459059E-2</c:v>
                </c:pt>
                <c:pt idx="5">
                  <c:v>2.1419834911820423E-2</c:v>
                </c:pt>
                <c:pt idx="6">
                  <c:v>2.0672019201252168E-2</c:v>
                </c:pt>
                <c:pt idx="7">
                  <c:v>2.3365519065233098E-2</c:v>
                </c:pt>
                <c:pt idx="8">
                  <c:v>2.3250884477517886E-2</c:v>
                </c:pt>
                <c:pt idx="9">
                  <c:v>2.0432969514362131E-2</c:v>
                </c:pt>
                <c:pt idx="10">
                  <c:v>2.0773200534045744E-2</c:v>
                </c:pt>
                <c:pt idx="11">
                  <c:v>1.763957562157592E-2</c:v>
                </c:pt>
                <c:pt idx="12">
                  <c:v>2.5782629834632864E-2</c:v>
                </c:pt>
                <c:pt idx="13">
                  <c:v>3.1344134263804113E-2</c:v>
                </c:pt>
                <c:pt idx="14">
                  <c:v>4.1098546107522393E-2</c:v>
                </c:pt>
                <c:pt idx="15">
                  <c:v>4.3056437098255129E-2</c:v>
                </c:pt>
                <c:pt idx="16">
                  <c:v>3.4916454047183798E-2</c:v>
                </c:pt>
                <c:pt idx="17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43-49AB-9186-5E2B95891274}"/>
            </c:ext>
          </c:extLst>
        </c:ser>
        <c:ser>
          <c:idx val="3"/>
          <c:order val="3"/>
          <c:tx>
            <c:v>Real Dividend Yield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4'!$G$67:$X$67</c:f>
              <c:numCache>
                <c:formatCode>0.00%</c:formatCode>
                <c:ptCount val="18"/>
                <c:pt idx="0">
                  <c:v>1.3397037117558019E-2</c:v>
                </c:pt>
                <c:pt idx="1">
                  <c:v>7.6510475176214676E-3</c:v>
                </c:pt>
                <c:pt idx="2">
                  <c:v>1.0706263733290644E-2</c:v>
                </c:pt>
                <c:pt idx="3">
                  <c:v>1.8626401296004014E-2</c:v>
                </c:pt>
                <c:pt idx="4">
                  <c:v>1.3748683117946969E-2</c:v>
                </c:pt>
                <c:pt idx="5">
                  <c:v>1.4664946592208405E-2</c:v>
                </c:pt>
                <c:pt idx="6">
                  <c:v>1.443500206637105E-2</c:v>
                </c:pt>
                <c:pt idx="7">
                  <c:v>1.905424558267943E-2</c:v>
                </c:pt>
                <c:pt idx="8">
                  <c:v>1.936550399137138E-2</c:v>
                </c:pt>
                <c:pt idx="9">
                  <c:v>1.4346579923659286E-2</c:v>
                </c:pt>
                <c:pt idx="10">
                  <c:v>1.4771759077309321E-2</c:v>
                </c:pt>
                <c:pt idx="11">
                  <c:v>1.8101523935819985E-2</c:v>
                </c:pt>
                <c:pt idx="12">
                  <c:v>1.8584271795552221E-2</c:v>
                </c:pt>
                <c:pt idx="13">
                  <c:v>2.3302180459747079E-2</c:v>
                </c:pt>
                <c:pt idx="14">
                  <c:v>3.2419901035234622E-2</c:v>
                </c:pt>
                <c:pt idx="15">
                  <c:v>2.0741726301035213E-2</c:v>
                </c:pt>
                <c:pt idx="16">
                  <c:v>1.0223886181248698E-2</c:v>
                </c:pt>
                <c:pt idx="17">
                  <c:v>1.0791059606380937E-2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43-49AB-9186-5E2B95891274}"/>
            </c:ext>
          </c:extLst>
        </c:ser>
        <c:ser>
          <c:idx val="4"/>
          <c:order val="4"/>
          <c:tx>
            <c:v>Nominal Spread</c:v>
          </c:tx>
          <c:spPr>
            <a:ln w="3492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4'!$G$78:$X$78</c:f>
              <c:numCache>
                <c:formatCode>0.00%</c:formatCode>
                <c:ptCount val="18"/>
                <c:pt idx="0">
                  <c:v>1.6941123182724199E-2</c:v>
                </c:pt>
                <c:pt idx="1">
                  <c:v>1.3167048932817373E-2</c:v>
                </c:pt>
                <c:pt idx="2">
                  <c:v>-4.1240611848190854E-3</c:v>
                </c:pt>
                <c:pt idx="3">
                  <c:v>-5.0277258376729035E-3</c:v>
                </c:pt>
                <c:pt idx="4">
                  <c:v>5.7531298943435463E-3</c:v>
                </c:pt>
                <c:pt idx="5">
                  <c:v>6.894311552377623E-3</c:v>
                </c:pt>
                <c:pt idx="6">
                  <c:v>6.3550558892100373E-3</c:v>
                </c:pt>
                <c:pt idx="7">
                  <c:v>4.3784112634834144E-3</c:v>
                </c:pt>
                <c:pt idx="8">
                  <c:v>3.9533601877231317E-3</c:v>
                </c:pt>
                <c:pt idx="9">
                  <c:v>6.2196436031727725E-3</c:v>
                </c:pt>
                <c:pt idx="10">
                  <c:v>6.1424655521078383E-3</c:v>
                </c:pt>
                <c:pt idx="11">
                  <c:v>-4.7269263831042907E-4</c:v>
                </c:pt>
                <c:pt idx="12">
                  <c:v>7.3711589423494928E-3</c:v>
                </c:pt>
                <c:pt idx="13">
                  <c:v>8.2236385350615768E-3</c:v>
                </c:pt>
                <c:pt idx="14">
                  <c:v>8.8394734072188494E-3</c:v>
                </c:pt>
                <c:pt idx="15">
                  <c:v>2.2790223668589932E-2</c:v>
                </c:pt>
                <c:pt idx="16">
                  <c:v>2.5308545166679471E-2</c:v>
                </c:pt>
                <c:pt idx="17">
                  <c:v>2.3364658497930756E-2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43-49AB-9186-5E2B95891274}"/>
            </c:ext>
          </c:extLst>
        </c:ser>
        <c:ser>
          <c:idx val="5"/>
          <c:order val="5"/>
          <c:tx>
            <c:v>Real Spread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'CCW-1, pg 4'!$G$9:$X$9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4'!$G$79:$X$79</c:f>
              <c:numCache>
                <c:formatCode>0.00%</c:formatCode>
                <c:ptCount val="18"/>
                <c:pt idx="0">
                  <c:v>1.6530679600398779E-2</c:v>
                </c:pt>
                <c:pt idx="1">
                  <c:v>1.2828628826976329E-2</c:v>
                </c:pt>
                <c:pt idx="2">
                  <c:v>-4.026666033730919E-3</c:v>
                </c:pt>
                <c:pt idx="3">
                  <c:v>-4.945545355487857E-3</c:v>
                </c:pt>
                <c:pt idx="4">
                  <c:v>5.6518166795120894E-3</c:v>
                </c:pt>
                <c:pt idx="5">
                  <c:v>6.754888319612018E-3</c:v>
                </c:pt>
                <c:pt idx="6">
                  <c:v>6.2370171348811176E-3</c:v>
                </c:pt>
                <c:pt idx="7">
                  <c:v>4.311273482553668E-3</c:v>
                </c:pt>
                <c:pt idx="8">
                  <c:v>3.8853804861465058E-3</c:v>
                </c:pt>
                <c:pt idx="9">
                  <c:v>6.0863895907028454E-3</c:v>
                </c:pt>
                <c:pt idx="10">
                  <c:v>6.0014414567364227E-3</c:v>
                </c:pt>
                <c:pt idx="11">
                  <c:v>-4.6194831424406502E-4</c:v>
                </c:pt>
                <c:pt idx="12">
                  <c:v>7.1983580390806434E-3</c:v>
                </c:pt>
                <c:pt idx="13">
                  <c:v>8.0419538040570338E-3</c:v>
                </c:pt>
                <c:pt idx="14">
                  <c:v>8.6786450722877717E-3</c:v>
                </c:pt>
                <c:pt idx="15">
                  <c:v>2.2314710797219917E-2</c:v>
                </c:pt>
                <c:pt idx="16">
                  <c:v>2.46925678659351E-2</c:v>
                </c:pt>
                <c:pt idx="17">
                  <c:v>2.2767148122742498E-2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43-49AB-9186-5E2B95891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663359"/>
        <c:axId val="635660031"/>
      </c:lineChart>
      <c:catAx>
        <c:axId val="635663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660031"/>
        <c:crosses val="autoZero"/>
        <c:auto val="1"/>
        <c:lblAlgn val="ctr"/>
        <c:lblOffset val="100"/>
        <c:noMultiLvlLbl val="0"/>
      </c:catAx>
      <c:valAx>
        <c:axId val="63566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5663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 in Dividend Yield and "A" Rated Utility Bond Yield</a:t>
            </a:r>
          </a:p>
        </c:rich>
      </c:tx>
      <c:layout>
        <c:manualLayout>
          <c:xMode val="edge"/>
          <c:yMode val="edge"/>
          <c:x val="0.24133735707605541"/>
          <c:y val="5.642361111111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00734606449999E-2"/>
          <c:y val="0.1314943915603296"/>
          <c:w val="0.90412876730925851"/>
          <c:h val="0.64140121526444904"/>
        </c:manualLayout>
      </c:layout>
      <c:lineChart>
        <c:grouping val="standard"/>
        <c:varyColors val="0"/>
        <c:ser>
          <c:idx val="0"/>
          <c:order val="1"/>
          <c:tx>
            <c:v> Nom. "A" Rated Utility Bond Yield</c:v>
          </c:tx>
          <c:spPr>
            <a:ln w="44450"/>
          </c:spPr>
          <c:marker>
            <c:symbol val="triangle"/>
            <c:size val="8"/>
          </c:marker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2W'!$G$69:$W$69</c:f>
              <c:numCache>
                <c:formatCode>0.00%</c:formatCode>
                <c:ptCount val="17"/>
                <c:pt idx="0">
                  <c:v>4.7399999999999998E-2</c:v>
                </c:pt>
                <c:pt idx="1">
                  <c:v>3.102870206881524E-2</c:v>
                </c:pt>
                <c:pt idx="2">
                  <c:v>3.0525263490164798E-2</c:v>
                </c:pt>
                <c:pt idx="3">
                  <c:v>3.7674047524113317E-2</c:v>
                </c:pt>
                <c:pt idx="4">
                  <c:v>4.2502293815071278E-2</c:v>
                </c:pt>
                <c:pt idx="5">
                  <c:v>3.9988761663160968E-2</c:v>
                </c:pt>
                <c:pt idx="6">
                  <c:v>3.930199127182251E-2</c:v>
                </c:pt>
                <c:pt idx="7">
                  <c:v>4.1153967589428117E-2</c:v>
                </c:pt>
                <c:pt idx="8">
                  <c:v>4.2774094021446961E-2</c:v>
                </c:pt>
                <c:pt idx="9">
                  <c:v>4.4759707479483019E-2</c:v>
                </c:pt>
                <c:pt idx="10">
                  <c:v>4.1308564221010043E-2</c:v>
                </c:pt>
                <c:pt idx="11">
                  <c:v>5.0407157265811221E-2</c:v>
                </c:pt>
                <c:pt idx="12">
                  <c:v>5.4644377733549555E-2</c:v>
                </c:pt>
                <c:pt idx="13">
                  <c:v>6.0391666666666656E-2</c:v>
                </c:pt>
                <c:pt idx="14">
                  <c:v>6.5283333333333332E-2</c:v>
                </c:pt>
                <c:pt idx="15">
                  <c:v>6.0733333333333334E-2</c:v>
                </c:pt>
                <c:pt idx="16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A-4F50-98A8-1D3E2ED139AE}"/>
            </c:ext>
          </c:extLst>
        </c:ser>
        <c:ser>
          <c:idx val="1"/>
          <c:order val="2"/>
          <c:tx>
            <c:v>Average Nom. Dividend Yield</c:v>
          </c:tx>
          <c:spPr>
            <a:ln w="44450">
              <a:prstDash val="lgDash"/>
            </a:ln>
          </c:spPr>
          <c:marker>
            <c:symbol val="square"/>
            <c:size val="8"/>
          </c:marker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2W'!$G$59:$W$59</c:f>
              <c:numCache>
                <c:formatCode>0.00%</c:formatCode>
                <c:ptCount val="17"/>
                <c:pt idx="0">
                  <c:v>1.7897466827614155E-2</c:v>
                </c:pt>
                <c:pt idx="1">
                  <c:v>1.6682620818532452E-2</c:v>
                </c:pt>
                <c:pt idx="2">
                  <c:v>1.83868980555075E-2</c:v>
                </c:pt>
                <c:pt idx="3">
                  <c:v>1.7673244394768018E-2</c:v>
                </c:pt>
                <c:pt idx="4">
                  <c:v>2.1960494181712479E-2</c:v>
                </c:pt>
                <c:pt idx="5">
                  <c:v>2.6632111903232201E-2</c:v>
                </c:pt>
                <c:pt idx="6">
                  <c:v>2.1960494181712479E-2</c:v>
                </c:pt>
                <c:pt idx="7">
                  <c:v>2.6632111903232201E-2</c:v>
                </c:pt>
                <c:pt idx="8">
                  <c:v>2.7929385706074634E-2</c:v>
                </c:pt>
                <c:pt idx="9">
                  <c:v>2.77759087543074E-2</c:v>
                </c:pt>
                <c:pt idx="10">
                  <c:v>3.2927076310907209E-2</c:v>
                </c:pt>
                <c:pt idx="11">
                  <c:v>3.2459307065605757E-2</c:v>
                </c:pt>
                <c:pt idx="12">
                  <c:v>3.3637654253628961E-2</c:v>
                </c:pt>
                <c:pt idx="13">
                  <c:v>3.4763434487872627E-2</c:v>
                </c:pt>
                <c:pt idx="14">
                  <c:v>2.8256932954778144E-2</c:v>
                </c:pt>
                <c:pt idx="15">
                  <c:v>2.5942124452123693E-2</c:v>
                </c:pt>
                <c:pt idx="16">
                  <c:v>2.5799757539190577E-2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A-4F50-98A8-1D3E2ED139AE}"/>
            </c:ext>
          </c:extLst>
        </c:ser>
        <c:ser>
          <c:idx val="2"/>
          <c:order val="3"/>
          <c:tx>
            <c:v>Nominal Spread</c:v>
          </c:tx>
          <c:spPr>
            <a:ln w="44450">
              <a:prstDash val="sysDash"/>
            </a:ln>
          </c:spPr>
          <c:marker>
            <c:symbol val="circle"/>
            <c:size val="8"/>
          </c:marker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2W'!$G$73:$W$73</c:f>
              <c:numCache>
                <c:formatCode>0.00%</c:formatCode>
                <c:ptCount val="17"/>
                <c:pt idx="0">
                  <c:v>2.9502533172385843E-2</c:v>
                </c:pt>
                <c:pt idx="1">
                  <c:v>1.4346081250282788E-2</c:v>
                </c:pt>
                <c:pt idx="2">
                  <c:v>1.2138365434657298E-2</c:v>
                </c:pt>
                <c:pt idx="3">
                  <c:v>2.0000803129345299E-2</c:v>
                </c:pt>
                <c:pt idx="4">
                  <c:v>2.0541799633358799E-2</c:v>
                </c:pt>
                <c:pt idx="5">
                  <c:v>1.3356649759928767E-2</c:v>
                </c:pt>
                <c:pt idx="6">
                  <c:v>1.7341497090110031E-2</c:v>
                </c:pt>
                <c:pt idx="7">
                  <c:v>1.4521855686195916E-2</c:v>
                </c:pt>
                <c:pt idx="8">
                  <c:v>1.4844708315372327E-2</c:v>
                </c:pt>
                <c:pt idx="9">
                  <c:v>1.6983798725175619E-2</c:v>
                </c:pt>
                <c:pt idx="10">
                  <c:v>8.3814879101028333E-3</c:v>
                </c:pt>
                <c:pt idx="11">
                  <c:v>1.7947850200205465E-2</c:v>
                </c:pt>
                <c:pt idx="12">
                  <c:v>2.1006723479920594E-2</c:v>
                </c:pt>
                <c:pt idx="13">
                  <c:v>2.5628232178794029E-2</c:v>
                </c:pt>
                <c:pt idx="14">
                  <c:v>3.7026400378555188E-2</c:v>
                </c:pt>
                <c:pt idx="15">
                  <c:v>3.4791208881209637E-2</c:v>
                </c:pt>
                <c:pt idx="16">
                  <c:v>3.4883575794142752E-2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A-4F50-98A8-1D3E2ED139AE}"/>
            </c:ext>
          </c:extLst>
        </c:ser>
        <c:ser>
          <c:idx val="5"/>
          <c:order val="5"/>
          <c:tx>
            <c:strRef>
              <c:f>'CCW-1, Page 2W'!$D$70:$E$70</c:f>
              <c:strCache>
                <c:ptCount val="2"/>
                <c:pt idx="0">
                  <c:v>Real "A" Rated Yield</c:v>
                </c:pt>
              </c:strCache>
            </c:strRef>
          </c:tx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2W'!$G$70:$W$70</c:f>
              <c:numCache>
                <c:formatCode>0.00%</c:formatCode>
                <c:ptCount val="17"/>
                <c:pt idx="0">
                  <c:v>2.0479676344597797E-2</c:v>
                </c:pt>
                <c:pt idx="1">
                  <c:v>6.679597699559725E-3</c:v>
                </c:pt>
                <c:pt idx="2">
                  <c:v>1.3680855940516157E-2</c:v>
                </c:pt>
                <c:pt idx="3">
                  <c:v>1.9400499797459059E-2</c:v>
                </c:pt>
                <c:pt idx="4">
                  <c:v>2.1419834911820423E-2</c:v>
                </c:pt>
                <c:pt idx="5">
                  <c:v>2.0672019201252168E-2</c:v>
                </c:pt>
                <c:pt idx="6">
                  <c:v>2.3365519065233098E-2</c:v>
                </c:pt>
                <c:pt idx="7">
                  <c:v>2.3250884477517886E-2</c:v>
                </c:pt>
                <c:pt idx="8">
                  <c:v>2.0432969514362131E-2</c:v>
                </c:pt>
                <c:pt idx="9">
                  <c:v>2.0773200534045744E-2</c:v>
                </c:pt>
                <c:pt idx="10">
                  <c:v>1.763957562157592E-2</c:v>
                </c:pt>
                <c:pt idx="11">
                  <c:v>2.5782629834632864E-2</c:v>
                </c:pt>
                <c:pt idx="12">
                  <c:v>3.1344134263804113E-2</c:v>
                </c:pt>
                <c:pt idx="13">
                  <c:v>4.1098546107522393E-2</c:v>
                </c:pt>
                <c:pt idx="14">
                  <c:v>4.3056437098255129E-2</c:v>
                </c:pt>
                <c:pt idx="15">
                  <c:v>3.4916454047183798E-2</c:v>
                </c:pt>
                <c:pt idx="16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7A-4F50-98A8-1D3E2ED139AE}"/>
            </c:ext>
          </c:extLst>
        </c:ser>
        <c:ser>
          <c:idx val="6"/>
          <c:order val="6"/>
          <c:tx>
            <c:v>Real Spread</c:v>
          </c:tx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2W'!$G$74:$W$74</c:f>
              <c:numCache>
                <c:formatCode>0.00%</c:formatCode>
                <c:ptCount val="17"/>
                <c:pt idx="0">
                  <c:v>2.8744257688659625E-2</c:v>
                </c:pt>
                <c:pt idx="1">
                  <c:v>1.4007279596214395E-2</c:v>
                </c:pt>
                <c:pt idx="2">
                  <c:v>1.1939958290638764E-2</c:v>
                </c:pt>
                <c:pt idx="3">
                  <c:v>1.9648586909398746E-2</c:v>
                </c:pt>
                <c:pt idx="4">
                  <c:v>2.0126384099850236E-2</c:v>
                </c:pt>
                <c:pt idx="5">
                  <c:v>1.3108563460271228E-2</c:v>
                </c:pt>
                <c:pt idx="6">
                  <c:v>1.7075585652704728E-2</c:v>
                </c:pt>
                <c:pt idx="7">
                  <c:v>1.4272146231703919E-2</c:v>
                </c:pt>
                <c:pt idx="8">
                  <c:v>1.4526664859319416E-2</c:v>
                </c:pt>
                <c:pt idx="9">
                  <c:v>1.6593869822706386E-2</c:v>
                </c:pt>
                <c:pt idx="10">
                  <c:v>8.1909763282268511E-3</c:v>
                </c:pt>
                <c:pt idx="11">
                  <c:v>1.7527101610928852E-2</c:v>
                </c:pt>
                <c:pt idx="12">
                  <c:v>2.0542622232222696E-2</c:v>
                </c:pt>
                <c:pt idx="13">
                  <c:v>2.5161943552915345E-2</c:v>
                </c:pt>
                <c:pt idx="14">
                  <c:v>3.6253852894312155E-2</c:v>
                </c:pt>
                <c:pt idx="15">
                  <c:v>3.3944435793497929E-2</c:v>
                </c:pt>
                <c:pt idx="16">
                  <c:v>3.3991489206936287E-2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A-4F50-98A8-1D3E2ED1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0592"/>
        <c:axId val="441309056"/>
      </c:lineChart>
      <c:lineChart>
        <c:grouping val="standard"/>
        <c:varyColors val="0"/>
        <c:ser>
          <c:idx val="4"/>
          <c:order val="0"/>
          <c:tx>
            <c:v>Real Dividend Yield</c:v>
          </c:tx>
          <c:cat>
            <c:strRef>
              <c:f>'CCW-1, Page 2W'!$G$10:$W$10</c:f>
              <c:strCache>
                <c:ptCount val="17"/>
                <c:pt idx="0">
                  <c:v>2022 2/a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  <c:pt idx="15">
                  <c:v>2007</c:v>
                </c:pt>
                <c:pt idx="16">
                  <c:v>2006</c:v>
                </c:pt>
              </c:strCache>
            </c:strRef>
          </c:cat>
          <c:val>
            <c:numRef>
              <c:f>'CCW-1, Page 2W'!$G$66:$W$66</c:f>
              <c:numCache>
                <c:formatCode>0.00%</c:formatCode>
                <c:ptCount val="17"/>
                <c:pt idx="0">
                  <c:v>-8.2645813440618277E-3</c:v>
                </c:pt>
                <c:pt idx="1">
                  <c:v>-7.3276818966546697E-3</c:v>
                </c:pt>
                <c:pt idx="2">
                  <c:v>1.7408976498773931E-3</c:v>
                </c:pt>
                <c:pt idx="3">
                  <c:v>-2.4808711193968769E-4</c:v>
                </c:pt>
                <c:pt idx="4">
                  <c:v>1.2934508119701871E-3</c:v>
                </c:pt>
                <c:pt idx="5">
                  <c:v>7.56345574098094E-3</c:v>
                </c:pt>
                <c:pt idx="6">
                  <c:v>6.2899334125283701E-3</c:v>
                </c:pt>
                <c:pt idx="7">
                  <c:v>8.9787382458139664E-3</c:v>
                </c:pt>
                <c:pt idx="8">
                  <c:v>5.9063046550427156E-3</c:v>
                </c:pt>
                <c:pt idx="9">
                  <c:v>4.1793307113393574E-3</c:v>
                </c:pt>
                <c:pt idx="10">
                  <c:v>9.4485992933490692E-3</c:v>
                </c:pt>
                <c:pt idx="11">
                  <c:v>8.2555282237040117E-3</c:v>
                </c:pt>
                <c:pt idx="12">
                  <c:v>1.0801512031581417E-2</c:v>
                </c:pt>
                <c:pt idx="13">
                  <c:v>1.5936602554607049E-2</c:v>
                </c:pt>
                <c:pt idx="14">
                  <c:v>6.802584203942974E-3</c:v>
                </c:pt>
                <c:pt idx="15">
                  <c:v>9.7201825368586903E-4</c:v>
                </c:pt>
                <c:pt idx="16">
                  <c:v>-4.3328147781285242E-4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7A-4F50-98A8-1D3E2ED139AE}"/>
            </c:ext>
          </c:extLst>
        </c:ser>
        <c:ser>
          <c:idx val="3"/>
          <c:order val="4"/>
          <c:cat>
            <c:numRef>
              <c:f>('CCW-1, Page 2W'!$K$9,'CCW-1, Page 2W'!$M$10:$W$10)</c:f>
              <c:numCache>
                <c:formatCode>General</c:formatCode>
                <c:ptCount val="12"/>
                <c:pt idx="1">
                  <c:v>2016</c:v>
                </c:pt>
                <c:pt idx="2">
                  <c:v>2015</c:v>
                </c:pt>
                <c:pt idx="3">
                  <c:v>2014</c:v>
                </c:pt>
                <c:pt idx="4">
                  <c:v>2013</c:v>
                </c:pt>
                <c:pt idx="5">
                  <c:v>2012</c:v>
                </c:pt>
                <c:pt idx="6">
                  <c:v>2011</c:v>
                </c:pt>
                <c:pt idx="7">
                  <c:v>2010</c:v>
                </c:pt>
                <c:pt idx="8">
                  <c:v>2009</c:v>
                </c:pt>
                <c:pt idx="9">
                  <c:v>2008</c:v>
                </c:pt>
                <c:pt idx="10">
                  <c:v>2007</c:v>
                </c:pt>
                <c:pt idx="11">
                  <c:v>2006</c:v>
                </c:pt>
              </c:numCache>
            </c:numRef>
          </c:cat>
          <c:val>
            <c:numRef>
              <c:f>'CCW-1, Page 2W'!$G$65:$W$65</c:f>
              <c:numCache>
                <c:formatCode>0.00%</c:formatCode>
                <c:ptCount val="1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7A-4F50-98A8-1D3E2ED13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4224"/>
        <c:axId val="444482688"/>
      </c:lineChart>
      <c:valAx>
        <c:axId val="441309056"/>
        <c:scaling>
          <c:orientation val="minMax"/>
          <c:max val="7.0000000000000021E-2"/>
          <c:min val="0"/>
        </c:scaling>
        <c:delete val="0"/>
        <c:axPos val="r"/>
        <c:numFmt formatCode="0.00%" sourceLinked="1"/>
        <c:majorTickMark val="none"/>
        <c:minorTickMark val="none"/>
        <c:tickLblPos val="none"/>
        <c:spPr>
          <a:ln>
            <a:noFill/>
          </a:ln>
        </c:spPr>
        <c:crossAx val="441310592"/>
        <c:crosses val="autoZero"/>
        <c:crossBetween val="between"/>
        <c:majorUnit val="1.0000000000000005E-2"/>
      </c:valAx>
      <c:catAx>
        <c:axId val="441310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low"/>
        <c:spPr>
          <a:ln/>
        </c:spPr>
        <c:txPr>
          <a:bodyPr/>
          <a:lstStyle/>
          <a:p>
            <a:pPr>
              <a:defRPr sz="1200"/>
            </a:pPr>
            <a:endParaRPr lang="en-US"/>
          </a:p>
        </c:txPr>
        <c:crossAx val="441309056"/>
        <c:crosses val="autoZero"/>
        <c:auto val="1"/>
        <c:lblAlgn val="ctr"/>
        <c:lblOffset val="100"/>
        <c:noMultiLvlLbl val="0"/>
      </c:catAx>
      <c:valAx>
        <c:axId val="444482688"/>
        <c:scaling>
          <c:orientation val="minMax"/>
          <c:max val="7.0000000000000021E-2"/>
          <c:min val="-1.0000000000000002E-2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44484224"/>
        <c:crosses val="autoZero"/>
        <c:crossBetween val="between"/>
        <c:majorUnit val="1.0000000000000005E-2"/>
      </c:valAx>
      <c:catAx>
        <c:axId val="44448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482688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4.5579813888576452E-2"/>
          <c:y val="0.87177701554056308"/>
          <c:w val="0.90055776486479366"/>
          <c:h val="0.123415974665295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Trends in Dividend Yield and "A" Rated Utility Bond Yield</a:t>
            </a:r>
          </a:p>
        </c:rich>
      </c:tx>
      <c:layout>
        <c:manualLayout>
          <c:xMode val="edge"/>
          <c:yMode val="edge"/>
          <c:x val="0.24133735707605541"/>
          <c:y val="5.642361111111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700734606449999E-2"/>
          <c:y val="0.1167274598259815"/>
          <c:w val="0.90412876730925851"/>
          <c:h val="0.65616813213400838"/>
        </c:manualLayout>
      </c:layout>
      <c:lineChart>
        <c:grouping val="standard"/>
        <c:varyColors val="0"/>
        <c:ser>
          <c:idx val="0"/>
          <c:order val="0"/>
          <c:tx>
            <c:v> Nom. "A" Rated Utility Bond Yield</c:v>
          </c:tx>
          <c:spPr>
            <a:ln w="44450"/>
          </c:spPr>
          <c:marker>
            <c:symbol val="triangle"/>
            <c:size val="8"/>
          </c:marker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12'!$G$69:$X$69</c:f>
              <c:numCache>
                <c:formatCode>0.00%</c:formatCode>
                <c:ptCount val="18"/>
                <c:pt idx="0">
                  <c:v>5.5500000000000001E-2</c:v>
                </c:pt>
                <c:pt idx="1">
                  <c:v>4.7399999999999998E-2</c:v>
                </c:pt>
                <c:pt idx="2">
                  <c:v>3.102870206881524E-2</c:v>
                </c:pt>
                <c:pt idx="3">
                  <c:v>3.0525263490164798E-2</c:v>
                </c:pt>
                <c:pt idx="4">
                  <c:v>3.7674047524113317E-2</c:v>
                </c:pt>
                <c:pt idx="5">
                  <c:v>4.2502293815071278E-2</c:v>
                </c:pt>
                <c:pt idx="6">
                  <c:v>3.9988761663160968E-2</c:v>
                </c:pt>
                <c:pt idx="7">
                  <c:v>3.930199127182251E-2</c:v>
                </c:pt>
                <c:pt idx="8">
                  <c:v>4.1153967589428117E-2</c:v>
                </c:pt>
                <c:pt idx="9">
                  <c:v>4.2774094021446961E-2</c:v>
                </c:pt>
                <c:pt idx="10">
                  <c:v>4.4759707479483019E-2</c:v>
                </c:pt>
                <c:pt idx="11">
                  <c:v>4.1308564221010043E-2</c:v>
                </c:pt>
                <c:pt idx="12">
                  <c:v>5.0407157265811221E-2</c:v>
                </c:pt>
                <c:pt idx="13">
                  <c:v>5.4644377733549555E-2</c:v>
                </c:pt>
                <c:pt idx="14">
                  <c:v>6.0391666666666656E-2</c:v>
                </c:pt>
                <c:pt idx="15">
                  <c:v>6.5283333333333332E-2</c:v>
                </c:pt>
                <c:pt idx="16">
                  <c:v>6.0733333333333334E-2</c:v>
                </c:pt>
                <c:pt idx="17">
                  <c:v>6.0683333333333332E-2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3-4C88-AC92-EA41CB265929}"/>
            </c:ext>
          </c:extLst>
        </c:ser>
        <c:ser>
          <c:idx val="1"/>
          <c:order val="1"/>
          <c:tx>
            <c:v>Average Nom. Dividend Yield</c:v>
          </c:tx>
          <c:spPr>
            <a:ln w="44450">
              <a:prstDash val="lgDash"/>
            </a:ln>
          </c:spPr>
          <c:marker>
            <c:symbol val="square"/>
            <c:size val="8"/>
          </c:marker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12'!$G$59:$X$59</c:f>
              <c:numCache>
                <c:formatCode>0.00%</c:formatCode>
                <c:ptCount val="18"/>
                <c:pt idx="0">
                  <c:v>3.6798203206573052E-2</c:v>
                </c:pt>
                <c:pt idx="1">
                  <c:v>3.1439578398131156E-2</c:v>
                </c:pt>
                <c:pt idx="2">
                  <c:v>3.2258815963682012E-2</c:v>
                </c:pt>
                <c:pt idx="3">
                  <c:v>3.0187077915061811E-2</c:v>
                </c:pt>
                <c:pt idx="4">
                  <c:v>2.4330708934253653E-2</c:v>
                </c:pt>
                <c:pt idx="5">
                  <c:v>2.5716454967903694E-2</c:v>
                </c:pt>
                <c:pt idx="6">
                  <c:v>2.4873436158722329E-2</c:v>
                </c:pt>
                <c:pt idx="7">
                  <c:v>2.6191008987589321E-2</c:v>
                </c:pt>
                <c:pt idx="8">
                  <c:v>3.039026629588408E-2</c:v>
                </c:pt>
                <c:pt idx="9">
                  <c:v>3.0286656681953281E-2</c:v>
                </c:pt>
                <c:pt idx="10">
                  <c:v>3.4116376192746059E-2</c:v>
                </c:pt>
                <c:pt idx="11">
                  <c:v>3.6206298846736637E-2</c:v>
                </c:pt>
                <c:pt idx="12">
                  <c:v>3.7061260894277984E-2</c:v>
                </c:pt>
                <c:pt idx="13">
                  <c:v>4.1156396502287383E-2</c:v>
                </c:pt>
                <c:pt idx="14">
                  <c:v>4.4278211276522851E-2</c:v>
                </c:pt>
                <c:pt idx="15">
                  <c:v>3.8975292073189539E-2</c:v>
                </c:pt>
                <c:pt idx="16">
                  <c:v>3.4847512578453484E-2</c:v>
                </c:pt>
                <c:pt idx="17">
                  <c:v>3.6821015379288606E-2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3-4C88-AC92-EA41CB265929}"/>
            </c:ext>
          </c:extLst>
        </c:ser>
        <c:ser>
          <c:idx val="2"/>
          <c:order val="2"/>
          <c:tx>
            <c:v>Nominal Spread</c:v>
          </c:tx>
          <c:spPr>
            <a:ln w="44450">
              <a:prstDash val="sysDash"/>
            </a:ln>
          </c:spPr>
          <c:marker>
            <c:symbol val="circle"/>
            <c:size val="8"/>
          </c:marker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12'!$G$73:$X$73</c:f>
              <c:numCache>
                <c:formatCode>0.00%</c:formatCode>
                <c:ptCount val="18"/>
                <c:pt idx="0">
                  <c:v>1.8701796793426949E-2</c:v>
                </c:pt>
                <c:pt idx="1">
                  <c:v>1.5960421601868842E-2</c:v>
                </c:pt>
                <c:pt idx="2">
                  <c:v>-1.2301138948667724E-3</c:v>
                </c:pt>
                <c:pt idx="3">
                  <c:v>3.3818557510298733E-4</c:v>
                </c:pt>
                <c:pt idx="4">
                  <c:v>1.3343338589859664E-2</c:v>
                </c:pt>
                <c:pt idx="5">
                  <c:v>1.6785838847167583E-2</c:v>
                </c:pt>
                <c:pt idx="6">
                  <c:v>1.5115325504438639E-2</c:v>
                </c:pt>
                <c:pt idx="7">
                  <c:v>1.3110982284233189E-2</c:v>
                </c:pt>
                <c:pt idx="8">
                  <c:v>1.0763701293544037E-2</c:v>
                </c:pt>
                <c:pt idx="9">
                  <c:v>1.248743733949368E-2</c:v>
                </c:pt>
                <c:pt idx="10">
                  <c:v>1.0643331286736959E-2</c:v>
                </c:pt>
                <c:pt idx="11">
                  <c:v>5.1022653742734056E-3</c:v>
                </c:pt>
                <c:pt idx="12">
                  <c:v>1.3345896371533238E-2</c:v>
                </c:pt>
                <c:pt idx="13">
                  <c:v>1.3487981231262172E-2</c:v>
                </c:pt>
                <c:pt idx="14">
                  <c:v>1.6113455390143805E-2</c:v>
                </c:pt>
                <c:pt idx="15">
                  <c:v>2.6308041260143793E-2</c:v>
                </c:pt>
                <c:pt idx="16">
                  <c:v>2.588582075487985E-2</c:v>
                </c:pt>
                <c:pt idx="17">
                  <c:v>2.3862317954044726E-2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3-4C88-AC92-EA41CB265929}"/>
            </c:ext>
          </c:extLst>
        </c:ser>
        <c:ser>
          <c:idx val="5"/>
          <c:order val="3"/>
          <c:tx>
            <c:strRef>
              <c:f>'CCW-1, pg 12'!$D$70:$E$70</c:f>
              <c:strCache>
                <c:ptCount val="2"/>
                <c:pt idx="0">
                  <c:v>Real "A" Rated Yield</c:v>
                </c:pt>
              </c:strCache>
            </c:strRef>
          </c:tx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12'!$G$70:$X$70</c:f>
              <c:numCache>
                <c:formatCode>0.00%</c:formatCode>
                <c:ptCount val="18"/>
                <c:pt idx="0">
                  <c:v>2.9927716717956798E-2</c:v>
                </c:pt>
                <c:pt idx="1">
                  <c:v>2.0479676344597797E-2</c:v>
                </c:pt>
                <c:pt idx="2">
                  <c:v>6.679597699559725E-3</c:v>
                </c:pt>
                <c:pt idx="3">
                  <c:v>1.3680855940516157E-2</c:v>
                </c:pt>
                <c:pt idx="4">
                  <c:v>1.9400499797459059E-2</c:v>
                </c:pt>
                <c:pt idx="5">
                  <c:v>2.1419834911820423E-2</c:v>
                </c:pt>
                <c:pt idx="6">
                  <c:v>2.0672019201252168E-2</c:v>
                </c:pt>
                <c:pt idx="7">
                  <c:v>2.3365519065233098E-2</c:v>
                </c:pt>
                <c:pt idx="8">
                  <c:v>2.3250884477517886E-2</c:v>
                </c:pt>
                <c:pt idx="9">
                  <c:v>2.0432969514362131E-2</c:v>
                </c:pt>
                <c:pt idx="10">
                  <c:v>2.0773200534045744E-2</c:v>
                </c:pt>
                <c:pt idx="11">
                  <c:v>1.763957562157592E-2</c:v>
                </c:pt>
                <c:pt idx="12">
                  <c:v>2.5782629834632864E-2</c:v>
                </c:pt>
                <c:pt idx="13">
                  <c:v>3.1344134263804113E-2</c:v>
                </c:pt>
                <c:pt idx="14">
                  <c:v>4.1098546107522393E-2</c:v>
                </c:pt>
                <c:pt idx="15">
                  <c:v>4.3056437098255129E-2</c:v>
                </c:pt>
                <c:pt idx="16">
                  <c:v>3.4916454047183798E-2</c:v>
                </c:pt>
                <c:pt idx="17">
                  <c:v>3.3558207729123435E-2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53-4C88-AC92-EA41CB265929}"/>
            </c:ext>
          </c:extLst>
        </c:ser>
        <c:ser>
          <c:idx val="4"/>
          <c:order val="4"/>
          <c:tx>
            <c:v>Real Dividend Yield</c:v>
          </c:tx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12'!$G$66:$X$66</c:f>
              <c:numCache>
                <c:formatCode>0.00%</c:formatCode>
                <c:ptCount val="18"/>
                <c:pt idx="0">
                  <c:v>1.1679020488702951E-2</c:v>
                </c:pt>
                <c:pt idx="1">
                  <c:v>4.9294702432052251E-3</c:v>
                </c:pt>
                <c:pt idx="2">
                  <c:v>7.8806608303187975E-3</c:v>
                </c:pt>
                <c:pt idx="3">
                  <c:v>1.3348198163572356E-2</c:v>
                </c:pt>
                <c:pt idx="4">
                  <c:v>6.2921387857093336E-3</c:v>
                </c:pt>
                <c:pt idx="5">
                  <c:v>4.9734550373108366E-3</c:v>
                </c:pt>
                <c:pt idx="6">
                  <c:v>5.8374456248730944E-3</c:v>
                </c:pt>
                <c:pt idx="7">
                  <c:v>1.0455578255498033E-2</c:v>
                </c:pt>
                <c:pt idx="8">
                  <c:v>1.267226958315093E-2</c:v>
                </c:pt>
                <c:pt idx="9">
                  <c:v>8.2130718020758664E-3</c:v>
                </c:pt>
                <c:pt idx="10">
                  <c:v>1.0374228153959164E-2</c:v>
                </c:pt>
                <c:pt idx="11">
                  <c:v>1.2653284959433408E-2</c:v>
                </c:pt>
                <c:pt idx="12">
                  <c:v>1.2749599182855231E-2</c:v>
                </c:pt>
                <c:pt idx="13">
                  <c:v>1.8154142813020524E-2</c:v>
                </c:pt>
                <c:pt idx="14">
                  <c:v>2.5278264312795118E-2</c:v>
                </c:pt>
                <c:pt idx="15">
                  <c:v>1.7297307179292121E-2</c:v>
                </c:pt>
                <c:pt idx="16">
                  <c:v>9.6606607352538454E-3</c:v>
                </c:pt>
                <c:pt idx="17">
                  <c:v>1.0306126922556835E-2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53-4C88-AC92-EA41CB265929}"/>
            </c:ext>
          </c:extLst>
        </c:ser>
        <c:ser>
          <c:idx val="6"/>
          <c:order val="5"/>
          <c:tx>
            <c:v>Real Spread</c:v>
          </c:tx>
          <c:cat>
            <c:numRef>
              <c:f>'CCW-1, pg 12'!$G$9:$X$9</c:f>
              <c:numCache>
                <c:formatCode>General</c:formatCode>
                <c:ptCount val="18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  <c:pt idx="14">
                  <c:v>2009</c:v>
                </c:pt>
                <c:pt idx="15">
                  <c:v>2008</c:v>
                </c:pt>
                <c:pt idx="16">
                  <c:v>2007</c:v>
                </c:pt>
                <c:pt idx="17">
                  <c:v>2006</c:v>
                </c:pt>
              </c:numCache>
            </c:numRef>
          </c:cat>
          <c:val>
            <c:numRef>
              <c:f>'CCW-1, pg 12'!$G$74:$X$74</c:f>
              <c:numCache>
                <c:formatCode>0.00%</c:formatCode>
                <c:ptCount val="18"/>
                <c:pt idx="0">
                  <c:v>1.8248696229253847E-2</c:v>
                </c:pt>
                <c:pt idx="1">
                  <c:v>1.5550206101392572E-2</c:v>
                </c:pt>
                <c:pt idx="2">
                  <c:v>-1.2010631307590725E-3</c:v>
                </c:pt>
                <c:pt idx="3">
                  <c:v>3.3265777694380105E-4</c:v>
                </c:pt>
                <c:pt idx="4">
                  <c:v>1.3108361011749725E-2</c:v>
                </c:pt>
                <c:pt idx="5">
                  <c:v>1.6446379874509587E-2</c:v>
                </c:pt>
                <c:pt idx="6">
                  <c:v>1.4834573576379073E-2</c:v>
                </c:pt>
                <c:pt idx="7">
                  <c:v>1.2909940809735065E-2</c:v>
                </c:pt>
                <c:pt idx="8">
                  <c:v>1.0578614894366956E-2</c:v>
                </c:pt>
                <c:pt idx="9">
                  <c:v>1.2219897712286265E-2</c:v>
                </c:pt>
                <c:pt idx="10">
                  <c:v>1.039897238008658E-2</c:v>
                </c:pt>
                <c:pt idx="11">
                  <c:v>4.9862906621425118E-3</c:v>
                </c:pt>
                <c:pt idx="12">
                  <c:v>1.3033030651777633E-2</c:v>
                </c:pt>
                <c:pt idx="13">
                  <c:v>1.3189991450783589E-2</c:v>
                </c:pt>
                <c:pt idx="14">
                  <c:v>1.5820281794727276E-2</c:v>
                </c:pt>
                <c:pt idx="15">
                  <c:v>2.5759129918963009E-2</c:v>
                </c:pt>
                <c:pt idx="16">
                  <c:v>2.5255793311929953E-2</c:v>
                </c:pt>
                <c:pt idx="17">
                  <c:v>2.32520808065666E-2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3-4C88-AC92-EA41CB265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0592"/>
        <c:axId val="441309056"/>
      </c:lineChart>
      <c:valAx>
        <c:axId val="441309056"/>
        <c:scaling>
          <c:orientation val="minMax"/>
          <c:max val="7.0000000000000021E-2"/>
          <c:min val="-1.0000000000000002E-2"/>
        </c:scaling>
        <c:delete val="0"/>
        <c:axPos val="r"/>
        <c:numFmt formatCode="0.00%" sourceLinked="1"/>
        <c:majorTickMark val="in"/>
        <c:minorTickMark val="none"/>
        <c:tickLblPos val="nextTo"/>
        <c:spPr>
          <a:ln>
            <a:noFill/>
          </a:ln>
        </c:spPr>
        <c:crossAx val="441310592"/>
        <c:crosses val="autoZero"/>
        <c:crossBetween val="between"/>
        <c:majorUnit val="1.0000000000000005E-2"/>
      </c:valAx>
      <c:catAx>
        <c:axId val="4413105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sz="1200"/>
            </a:pPr>
            <a:endParaRPr lang="en-US"/>
          </a:p>
        </c:txPr>
        <c:crossAx val="441309056"/>
        <c:crossesAt val="-1.0000000000000002E-2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4.5579813888576452E-2"/>
          <c:y val="0.87177701554056308"/>
          <c:w val="0.90055776486479366"/>
          <c:h val="0.12341597466529598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Utility Bond Yield vs. Utility Stock Yield Spread</a:t>
            </a:r>
            <a:endParaRPr lang="en-US" sz="1300" u="sng">
              <a:solidFill>
                <a:sysClr val="windowText" lastClr="00000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27710064635272397"/>
          <c:y val="0.101265795869418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76116939676169E-2"/>
          <c:y val="0.1859577564815425"/>
          <c:w val="0.89408278258846452"/>
          <c:h val="0.65852030738022993"/>
        </c:manualLayout>
      </c:layout>
      <c:scatterChart>
        <c:scatterStyle val="lineMarker"/>
        <c:varyColors val="0"/>
        <c:ser>
          <c:idx val="2"/>
          <c:order val="2"/>
          <c:tx>
            <c:strRef>
              <c:f>'[1]Figure 6'!$B$6</c:f>
              <c:strCache>
                <c:ptCount val="1"/>
                <c:pt idx="0">
                  <c:v>Real "A" Rated Spread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'[1]Figure 6'!$C$3:$O$3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xVal>
          <c:yVal>
            <c:numRef>
              <c:f>'[1]Figure 6'!$C$6:$O$6</c:f>
              <c:numCache>
                <c:formatCode>General</c:formatCode>
                <c:ptCount val="13"/>
                <c:pt idx="0">
                  <c:v>2.2988317040829154E-2</c:v>
                </c:pt>
                <c:pt idx="1">
                  <c:v>2.5031892181111459E-2</c:v>
                </c:pt>
                <c:pt idx="2">
                  <c:v>2.2683670591266747E-2</c:v>
                </c:pt>
                <c:pt idx="3">
                  <c:v>9.3079837950531541E-3</c:v>
                </c:pt>
                <c:pt idx="4">
                  <c:v>8.1818886980276062E-3</c:v>
                </c:pt>
                <c:pt idx="5">
                  <c:v>7.2150181172589978E-3</c:v>
                </c:pt>
                <c:pt idx="6">
                  <c:v>-4.787808431219176E-4</c:v>
                </c:pt>
                <c:pt idx="7">
                  <c:v>5.9182276449218918E-3</c:v>
                </c:pt>
                <c:pt idx="8">
                  <c:v>6.015885835860546E-3</c:v>
                </c:pt>
                <c:pt idx="9">
                  <c:v>3.9524311444916194E-3</c:v>
                </c:pt>
                <c:pt idx="10">
                  <c:v>4.3767533895191502E-3</c:v>
                </c:pt>
                <c:pt idx="11">
                  <c:v>6.4603982534685578E-3</c:v>
                </c:pt>
                <c:pt idx="12">
                  <c:v>7.3888892701665654E-3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83-4B7E-A263-E792492CA9E6}"/>
            </c:ext>
          </c:extLst>
        </c:ser>
        <c:ser>
          <c:idx val="3"/>
          <c:order val="3"/>
          <c:tx>
            <c:strRef>
              <c:f>'[1]Figure 6'!$B$7</c:f>
              <c:strCache>
                <c:ptCount val="1"/>
                <c:pt idx="0">
                  <c:v>Real "Baa" Rated Spread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'[1]Figure 6'!$C$3:$O$3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xVal>
          <c:yVal>
            <c:numRef>
              <c:f>'[1]Figure 6'!$C$7:$O$7</c:f>
              <c:numCache>
                <c:formatCode>General</c:formatCode>
                <c:ptCount val="13"/>
                <c:pt idx="0">
                  <c:v>2.5408143457001708E-2</c:v>
                </c:pt>
                <c:pt idx="1">
                  <c:v>2.7536089496227767E-2</c:v>
                </c:pt>
                <c:pt idx="2">
                  <c:v>2.9708965836206191E-2</c:v>
                </c:pt>
                <c:pt idx="3">
                  <c:v>1.9281493014956519E-2</c:v>
                </c:pt>
                <c:pt idx="4">
                  <c:v>1.3072096742895445E-2</c:v>
                </c:pt>
                <c:pt idx="5">
                  <c:v>1.2346490744576277E-2</c:v>
                </c:pt>
                <c:pt idx="6">
                  <c:v>6.3116129517897246E-3</c:v>
                </c:pt>
                <c:pt idx="7">
                  <c:v>1.0863654275104606E-2</c:v>
                </c:pt>
                <c:pt idx="8">
                  <c:v>1.1113962722712589E-2</c:v>
                </c:pt>
                <c:pt idx="9">
                  <c:v>1.2922266501835367E-2</c:v>
                </c:pt>
                <c:pt idx="10">
                  <c:v>1.1706992517951154E-2</c:v>
                </c:pt>
                <c:pt idx="11">
                  <c:v>1.0175591516421001E-2</c:v>
                </c:pt>
                <c:pt idx="12">
                  <c:v>1.1488680725597833E-2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83-4B7E-A263-E792492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061216"/>
        <c:axId val="78606246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'[1]Figure 6'!$B$4</c15:sqref>
                        </c15:formulaRef>
                      </c:ext>
                    </c:extLst>
                    <c:strCache>
                      <c:ptCount val="1"/>
                      <c:pt idx="0">
                        <c:v>Nominal "A" Rated Spread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'[1]Figure 6'!$C$3:$O$3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  <c:pt idx="9">
                        <c:v>2015</c:v>
                      </c:pt>
                      <c:pt idx="10">
                        <c:v>2016</c:v>
                      </c:pt>
                      <c:pt idx="11">
                        <c:v>2017</c:v>
                      </c:pt>
                      <c:pt idx="12">
                        <c:v>2018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'[1]Figure 6'!$C$4:$O$4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2.3591631863834547E-2</c:v>
                      </c:pt>
                      <c:pt idx="1">
                        <c:v>2.5656334218163407E-2</c:v>
                      </c:pt>
                      <c:pt idx="2">
                        <c:v>2.3167045770720672E-2</c:v>
                      </c:pt>
                      <c:pt idx="3">
                        <c:v>9.4804747222493047E-3</c:v>
                      </c:pt>
                      <c:pt idx="4">
                        <c:v>8.366734854002994E-3</c:v>
                      </c:pt>
                      <c:pt idx="5">
                        <c:v>7.3882189556994035E-3</c:v>
                      </c:pt>
                      <c:pt idx="6">
                        <c:v>-4.8991667017584534E-4</c:v>
                      </c:pt>
                      <c:pt idx="7">
                        <c:v>6.0572963513059186E-3</c:v>
                      </c:pt>
                      <c:pt idx="8">
                        <c:v>6.147596255353667E-3</c:v>
                      </c:pt>
                      <c:pt idx="9">
                        <c:v>4.0215839831034619E-3</c:v>
                      </c:pt>
                      <c:pt idx="10">
                        <c:v>4.4449108635086151E-3</c:v>
                      </c:pt>
                      <c:pt idx="11">
                        <c:v>6.5826646102569233E-3</c:v>
                      </c:pt>
                      <c:pt idx="12">
                        <c:v>7.5428424899547791E-3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5583-4B7E-A263-E792492CA9E6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'[1]Figure 6'!$B$5</c15:sqref>
                        </c15:formulaRef>
                      </c:ext>
                    </c:extLst>
                    <c:strCache>
                      <c:ptCount val="1"/>
                      <c:pt idx="0">
                        <c:v>Nominal "Baa" Rated Spread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'[1]Figure 6'!$C$3:$O$3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2006</c:v>
                      </c:pt>
                      <c:pt idx="1">
                        <c:v>2007</c:v>
                      </c:pt>
                      <c:pt idx="2">
                        <c:v>2008</c:v>
                      </c:pt>
                      <c:pt idx="3">
                        <c:v>2009</c:v>
                      </c:pt>
                      <c:pt idx="4">
                        <c:v>2010</c:v>
                      </c:pt>
                      <c:pt idx="5">
                        <c:v>2011</c:v>
                      </c:pt>
                      <c:pt idx="6">
                        <c:v>2012</c:v>
                      </c:pt>
                      <c:pt idx="7">
                        <c:v>2013</c:v>
                      </c:pt>
                      <c:pt idx="8">
                        <c:v>2014</c:v>
                      </c:pt>
                      <c:pt idx="9">
                        <c:v>2015</c:v>
                      </c:pt>
                      <c:pt idx="10">
                        <c:v>2016</c:v>
                      </c:pt>
                      <c:pt idx="11">
                        <c:v>2017</c:v>
                      </c:pt>
                      <c:pt idx="12">
                        <c:v>2018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'[1]Figure 6'!$C$5:$O$5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2.6074965197167878E-2</c:v>
                      </c:pt>
                      <c:pt idx="1">
                        <c:v>2.8223000884830082E-2</c:v>
                      </c:pt>
                      <c:pt idx="2">
                        <c:v>3.0342045770720673E-2</c:v>
                      </c:pt>
                      <c:pt idx="3">
                        <c:v>1.963880805558265E-2</c:v>
                      </c:pt>
                      <c:pt idx="4">
                        <c:v>1.3367423032783279E-2</c:v>
                      </c:pt>
                      <c:pt idx="5">
                        <c:v>1.2642875661980954E-2</c:v>
                      </c:pt>
                      <c:pt idx="6">
                        <c:v>6.4584129569966592E-3</c:v>
                      </c:pt>
                      <c:pt idx="7">
                        <c:v>1.1118932449126234E-2</c:v>
                      </c:pt>
                      <c:pt idx="8">
                        <c:v>1.135728926387021E-2</c:v>
                      </c:pt>
                      <c:pt idx="9">
                        <c:v>1.314835808375913E-2</c:v>
                      </c:pt>
                      <c:pt idx="10">
                        <c:v>1.1889300947744236E-2</c:v>
                      </c:pt>
                      <c:pt idx="11">
                        <c:v>1.0368169814858247E-2</c:v>
                      </c:pt>
                      <c:pt idx="12">
                        <c:v>1.1728056269627939E-2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83-4B7E-A263-E792492CA9E6}"/>
                  </c:ext>
                </c:extLst>
              </c15:ser>
            </c15:filteredScatterSeries>
          </c:ext>
        </c:extLst>
      </c:scatterChart>
      <c:valAx>
        <c:axId val="786061216"/>
        <c:scaling>
          <c:orientation val="minMax"/>
          <c:max val="2018"/>
          <c:min val="2006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062464"/>
        <c:crossesAt val="-1.0000000000000002E-2"/>
        <c:crossBetween val="midCat"/>
        <c:majorUnit val="1"/>
        <c:minorUnit val="1"/>
      </c:valAx>
      <c:valAx>
        <c:axId val="786062464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06121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40820</xdr:colOff>
      <xdr:row>88</xdr:row>
      <xdr:rowOff>13607</xdr:rowOff>
    </xdr:from>
    <xdr:to>
      <xdr:col>24</xdr:col>
      <xdr:colOff>40820</xdr:colOff>
      <xdr:row>109</xdr:row>
      <xdr:rowOff>27214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220980</xdr:colOff>
      <xdr:row>78</xdr:row>
      <xdr:rowOff>137160</xdr:rowOff>
    </xdr:from>
    <xdr:to>
      <xdr:col>22</xdr:col>
      <xdr:colOff>598714</xdr:colOff>
      <xdr:row>148</xdr:row>
      <xdr:rowOff>136072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220980</xdr:colOff>
      <xdr:row>78</xdr:row>
      <xdr:rowOff>137160</xdr:rowOff>
    </xdr:from>
    <xdr:to>
      <xdr:col>23</xdr:col>
      <xdr:colOff>598714</xdr:colOff>
      <xdr:row>148</xdr:row>
      <xdr:rowOff>136072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76201</xdr:colOff>
      <xdr:row>22</xdr:row>
      <xdr:rowOff>66675</xdr:rowOff>
    </xdr:from>
    <xdr:to>
      <xdr:col>16</xdr:col>
      <xdr:colOff>390525</xdr:colOff>
      <xdr:row>44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0.25208</cdr:x>
      <cdr:y>0.0076</cdr:y>
    </cdr:from>
    <cdr:to>
      <cdr:x>0.72715</cdr:x>
      <cdr:y>0.0962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3550" y="28576"/>
          <a:ext cx="3267075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0.26177</cdr:x>
      <cdr:y>0.02025</cdr:y>
    </cdr:from>
    <cdr:to>
      <cdr:x>0.71884</cdr:x>
      <cdr:y>0.10633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00225" y="76201"/>
          <a:ext cx="3143250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Figure</a:t>
          </a:r>
          <a:r>
            <a:rPr lang="en-US" sz="1400" b="1" baseline="0"/>
            <a:t> </a:t>
          </a:r>
          <a:endParaRPr lang="en-US" sz="14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Users\MMC\Documents\CTF%2010700%20figu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Users\MMC.BRUBAKER\Documents\AIC%20RP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Users\MMC\Documents\Valuation%20Metrics%20thru%203-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ProlawDocs\MPS\11267\Exhibit\43656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ProlawDocs\DEB\0718.1\Exhibit\32708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Users\MMC\Documents\Copy%20of%20Valuation%20Metrics%202021%20updat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ultbai.local\documents\Users\MMC\Documents\Valuation%20Metrics%202021%20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7, Page 1-3"/>
      <sheetName val="1.7, Page 4"/>
      <sheetName val="Figure 6"/>
      <sheetName val="1.7, Page 5"/>
      <sheetName val="1.7 Page 6"/>
      <sheetName val="1.7 Page 7"/>
      <sheetName val="1.7 Page 8-10"/>
      <sheetName val="1.7 Page 11"/>
      <sheetName val="1.7 Page 12"/>
      <sheetName val="1.7 Page 13"/>
      <sheetName val="1.7 Page 14"/>
      <sheetName val="1.7 Page 15"/>
      <sheetName val="1.7 Page 16"/>
      <sheetName val="Water -1"/>
      <sheetName val="Water -2"/>
      <sheetName val="Water -3"/>
      <sheetName val="Water -4"/>
      <sheetName val="Water -x"/>
      <sheetName val="P-E Ratio (WP)"/>
      <sheetName val="MP-CF (WP)"/>
      <sheetName val="MP-BV (WP)"/>
      <sheetName val="DIV-MP (WP)"/>
      <sheetName val="DIV-BV (WP)"/>
      <sheetName val="DIV-Earnings (WP)"/>
      <sheetName val="CF-Cap Spend (WP)"/>
      <sheetName val="CapSpendCashFlow"/>
      <sheetName val="2018 Data (WP)"/>
      <sheetName val="2017"/>
      <sheetName val="2016"/>
      <sheetName val="Sheet2"/>
      <sheetName val="MP"/>
      <sheetName val="CF"/>
      <sheetName val="EPS"/>
      <sheetName val="DIV"/>
      <sheetName val="CapS"/>
      <sheetName val="BV"/>
      <sheetName val="A-Rated Yields (WP)"/>
      <sheetName val="Baa-Rated Yields (WP)"/>
      <sheetName val="Implied Inflation"/>
      <sheetName val="FRED 20 yr TIPS monthly"/>
      <sheetName val="Treas 20 yr"/>
    </sheetNames>
    <sheetDataSet>
      <sheetData sheetId="0">
        <row r="1">
          <cell r="C1" t="str">
            <v>Northern Illinois Gas Company</v>
          </cell>
        </row>
      </sheetData>
      <sheetData sheetId="1">
        <row r="78">
          <cell r="G78">
            <v>7.5428424899547791E-3</v>
          </cell>
        </row>
      </sheetData>
      <sheetData sheetId="2">
        <row r="3">
          <cell r="C3">
            <v>2006</v>
          </cell>
          <cell r="D3">
            <v>2007</v>
          </cell>
          <cell r="E3">
            <v>2008</v>
          </cell>
          <cell r="F3">
            <v>2009</v>
          </cell>
          <cell r="G3">
            <v>2010</v>
          </cell>
          <cell r="H3">
            <v>2011</v>
          </cell>
          <cell r="I3">
            <v>2012</v>
          </cell>
          <cell r="J3">
            <v>2013</v>
          </cell>
          <cell r="K3">
            <v>2014</v>
          </cell>
          <cell r="L3">
            <v>2015</v>
          </cell>
          <cell r="M3">
            <v>2016</v>
          </cell>
          <cell r="N3">
            <v>2017</v>
          </cell>
          <cell r="O3">
            <v>2018</v>
          </cell>
        </row>
        <row r="4">
          <cell r="B4" t="str">
            <v>Nominal "A" Rated Spread</v>
          </cell>
          <cell r="C4">
            <v>2.3591631863834547E-2</v>
          </cell>
          <cell r="D4">
            <v>2.5656334218163407E-2</v>
          </cell>
          <cell r="E4">
            <v>2.3167045770720672E-2</v>
          </cell>
          <cell r="F4">
            <v>9.4804747222493047E-3</v>
          </cell>
          <cell r="G4">
            <v>8.366734854002994E-3</v>
          </cell>
          <cell r="H4">
            <v>7.3882189556994035E-3</v>
          </cell>
          <cell r="I4">
            <v>-4.8991667017584534E-4</v>
          </cell>
          <cell r="J4">
            <v>6.0572963513059186E-3</v>
          </cell>
          <cell r="K4">
            <v>6.147596255353667E-3</v>
          </cell>
          <cell r="L4">
            <v>4.0215839831034619E-3</v>
          </cell>
          <cell r="M4">
            <v>4.4449108635086151E-3</v>
          </cell>
          <cell r="N4">
            <v>6.5826646102569233E-3</v>
          </cell>
          <cell r="O4">
            <v>7.5428424899547791E-3</v>
          </cell>
        </row>
        <row r="5">
          <cell r="B5" t="str">
            <v>Nominal "Baa" Rated Spread</v>
          </cell>
          <cell r="C5">
            <v>2.6074965197167878E-2</v>
          </cell>
          <cell r="D5">
            <v>2.8223000884830082E-2</v>
          </cell>
          <cell r="E5">
            <v>3.0342045770720673E-2</v>
          </cell>
          <cell r="F5">
            <v>1.963880805558265E-2</v>
          </cell>
          <cell r="G5">
            <v>1.3367423032783279E-2</v>
          </cell>
          <cell r="H5">
            <v>1.2642875661980954E-2</v>
          </cell>
          <cell r="I5">
            <v>6.4584129569966592E-3</v>
          </cell>
          <cell r="J5">
            <v>1.1118932449126234E-2</v>
          </cell>
          <cell r="K5">
            <v>1.135728926387021E-2</v>
          </cell>
          <cell r="L5">
            <v>1.314835808375913E-2</v>
          </cell>
          <cell r="M5">
            <v>1.1889300947744236E-2</v>
          </cell>
          <cell r="N5">
            <v>1.0368169814858247E-2</v>
          </cell>
          <cell r="O5">
            <v>1.1728056269627939E-2</v>
          </cell>
        </row>
        <row r="6">
          <cell r="B6" t="str">
            <v>Real "A" Rated Spread</v>
          </cell>
          <cell r="C6">
            <v>2.2988317040829154E-2</v>
          </cell>
          <cell r="D6">
            <v>2.5031892181111459E-2</v>
          </cell>
          <cell r="E6">
            <v>2.2683670591266747E-2</v>
          </cell>
          <cell r="F6">
            <v>9.3079837950531541E-3</v>
          </cell>
          <cell r="G6">
            <v>8.1818886980276062E-3</v>
          </cell>
          <cell r="H6">
            <v>7.2150181172589978E-3</v>
          </cell>
          <cell r="I6">
            <v>-4.787808431219176E-4</v>
          </cell>
          <cell r="J6">
            <v>5.9182276449218918E-3</v>
          </cell>
          <cell r="K6">
            <v>6.015885835860546E-3</v>
          </cell>
          <cell r="L6">
            <v>3.9524311444916194E-3</v>
          </cell>
          <cell r="M6">
            <v>4.3767533895191502E-3</v>
          </cell>
          <cell r="N6">
            <v>6.4603982534685578E-3</v>
          </cell>
          <cell r="O6">
            <v>7.3888892701665654E-3</v>
          </cell>
        </row>
        <row r="7">
          <cell r="B7" t="str">
            <v>Real "Baa" Rated Spread</v>
          </cell>
          <cell r="C7">
            <v>2.5408143457001708E-2</v>
          </cell>
          <cell r="D7">
            <v>2.7536089496227767E-2</v>
          </cell>
          <cell r="E7">
            <v>2.9708965836206191E-2</v>
          </cell>
          <cell r="F7">
            <v>1.9281493014956519E-2</v>
          </cell>
          <cell r="G7">
            <v>1.3072096742895445E-2</v>
          </cell>
          <cell r="H7">
            <v>1.2346490744576277E-2</v>
          </cell>
          <cell r="I7">
            <v>6.3116129517897246E-3</v>
          </cell>
          <cell r="J7">
            <v>1.0863654275104606E-2</v>
          </cell>
          <cell r="K7">
            <v>1.1113962722712589E-2</v>
          </cell>
          <cell r="L7">
            <v>1.2922266501835367E-2</v>
          </cell>
          <cell r="M7">
            <v>1.1706992517951154E-2</v>
          </cell>
          <cell r="N7">
            <v>1.0175591516421001E-2</v>
          </cell>
          <cell r="O7">
            <v>1.1488680725597833E-2</v>
          </cell>
        </row>
      </sheetData>
      <sheetData sheetId="3"/>
      <sheetData sheetId="4"/>
      <sheetData sheetId="5"/>
      <sheetData sheetId="6"/>
      <sheetData sheetId="7">
        <row r="1">
          <cell r="C1" t="str">
            <v>Northern Illinois Gas Company</v>
          </cell>
        </row>
      </sheetData>
      <sheetData sheetId="8"/>
      <sheetData sheetId="9"/>
      <sheetData sheetId="10"/>
      <sheetData sheetId="11"/>
      <sheetData sheetId="12"/>
      <sheetData sheetId="13">
        <row r="1">
          <cell r="C1" t="str">
            <v>Indiana-American Water Company, Inc.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ALE</v>
          </cell>
          <cell r="C5" t="str">
            <v xml:space="preserve">ALLETE                        </v>
          </cell>
          <cell r="D5">
            <v>0</v>
          </cell>
          <cell r="E5">
            <v>18.632000000000001</v>
          </cell>
          <cell r="F5">
            <v>15.055999999999999</v>
          </cell>
          <cell r="G5">
            <v>17.228999999999999</v>
          </cell>
          <cell r="H5">
            <v>18.594000000000001</v>
          </cell>
          <cell r="I5">
            <v>15.881</v>
          </cell>
          <cell r="J5">
            <v>14.662000000000001</v>
          </cell>
          <cell r="K5">
            <v>15.976000000000001</v>
          </cell>
          <cell r="L5">
            <v>16.079999999999998</v>
          </cell>
          <cell r="M5">
            <v>13.948</v>
          </cell>
          <cell r="N5">
            <v>14.781000000000001</v>
          </cell>
          <cell r="O5">
            <v>16.545000000000002</v>
          </cell>
          <cell r="P5">
            <v>17.905999999999999</v>
          </cell>
          <cell r="Q5">
            <v>25.213000000000001</v>
          </cell>
          <cell r="R5" t="str">
            <v>N/A</v>
          </cell>
          <cell r="S5" t="str">
            <v>N/A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0</v>
          </cell>
          <cell r="E6">
            <v>22.303999999999998</v>
          </cell>
          <cell r="F6">
            <v>18.071999999999999</v>
          </cell>
          <cell r="G6">
            <v>16.603000000000002</v>
          </cell>
          <cell r="H6">
            <v>15.276</v>
          </cell>
          <cell r="I6">
            <v>14.497999999999999</v>
          </cell>
          <cell r="J6">
            <v>14.451000000000001</v>
          </cell>
          <cell r="K6">
            <v>12.473000000000001</v>
          </cell>
          <cell r="L6">
            <v>13.861000000000001</v>
          </cell>
          <cell r="M6">
            <v>13.433</v>
          </cell>
          <cell r="N6">
            <v>15.077</v>
          </cell>
          <cell r="O6">
            <v>16.82</v>
          </cell>
          <cell r="P6">
            <v>12.587999999999999</v>
          </cell>
          <cell r="Q6">
            <v>14.002000000000001</v>
          </cell>
          <cell r="R6">
            <v>12.692</v>
          </cell>
          <cell r="S6">
            <v>19.934000000000001</v>
          </cell>
        </row>
        <row r="7">
          <cell r="B7" t="str">
            <v>AWR</v>
          </cell>
          <cell r="C7" t="str">
            <v>Amer. States Water</v>
          </cell>
          <cell r="D7">
            <v>0</v>
          </cell>
          <cell r="E7">
            <v>25.593</v>
          </cell>
          <cell r="F7">
            <v>24.728000000000002</v>
          </cell>
          <cell r="G7">
            <v>20.094999999999999</v>
          </cell>
          <cell r="H7">
            <v>17.166</v>
          </cell>
          <cell r="I7">
            <v>14.301</v>
          </cell>
          <cell r="J7">
            <v>15.356999999999999</v>
          </cell>
          <cell r="K7">
            <v>15.731999999999999</v>
          </cell>
          <cell r="L7">
            <v>21.196000000000002</v>
          </cell>
          <cell r="M7">
            <v>22.585000000000001</v>
          </cell>
          <cell r="N7">
            <v>24.004000000000001</v>
          </cell>
          <cell r="O7">
            <v>27.728999999999999</v>
          </cell>
        </row>
        <row r="8">
          <cell r="B8" t="str">
            <v>AWK</v>
          </cell>
          <cell r="C8" t="str">
            <v>Amer. Water Works</v>
          </cell>
          <cell r="D8">
            <v>0</v>
          </cell>
          <cell r="E8">
            <v>27.710999999999999</v>
          </cell>
          <cell r="F8">
            <v>20.507999999999999</v>
          </cell>
          <cell r="G8">
            <v>20.016999999999999</v>
          </cell>
          <cell r="H8">
            <v>19.901</v>
          </cell>
          <cell r="I8">
            <v>16.707000000000001</v>
          </cell>
          <cell r="J8">
            <v>16.797999999999998</v>
          </cell>
          <cell r="K8">
            <v>14.613</v>
          </cell>
          <cell r="L8">
            <v>15.635</v>
          </cell>
          <cell r="M8">
            <v>18.917000000000002</v>
          </cell>
          <cell r="N8" t="str">
            <v>N/A</v>
          </cell>
          <cell r="O8" t="str">
            <v>N/A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0</v>
          </cell>
          <cell r="E9">
            <v>18.294</v>
          </cell>
          <cell r="F9">
            <v>17.545000000000002</v>
          </cell>
          <cell r="G9">
            <v>16.706</v>
          </cell>
          <cell r="H9">
            <v>16.516999999999999</v>
          </cell>
          <cell r="I9">
            <v>13.351000000000001</v>
          </cell>
          <cell r="J9">
            <v>11.933999999999999</v>
          </cell>
          <cell r="K9">
            <v>9.6549999999999994</v>
          </cell>
          <cell r="L9">
            <v>9.2609999999999992</v>
          </cell>
          <cell r="M9">
            <v>14.205</v>
          </cell>
          <cell r="N9">
            <v>17.45</v>
          </cell>
          <cell r="O9">
            <v>19.385000000000002</v>
          </cell>
          <cell r="P9">
            <v>16.716000000000001</v>
          </cell>
          <cell r="Q9">
            <v>16.276</v>
          </cell>
          <cell r="R9">
            <v>13.505000000000001</v>
          </cell>
          <cell r="S9">
            <v>15.779</v>
          </cell>
        </row>
        <row r="10">
          <cell r="B10" t="str">
            <v>AEP</v>
          </cell>
          <cell r="C10" t="str">
            <v>American Electric Power</v>
          </cell>
          <cell r="D10">
            <v>0</v>
          </cell>
          <cell r="E10">
            <v>15.157</v>
          </cell>
          <cell r="F10">
            <v>15.769</v>
          </cell>
          <cell r="G10">
            <v>15.875999999999999</v>
          </cell>
          <cell r="H10">
            <v>14.494</v>
          </cell>
          <cell r="I10">
            <v>13.766999999999999</v>
          </cell>
          <cell r="J10">
            <v>11.917999999999999</v>
          </cell>
          <cell r="K10">
            <v>13.416</v>
          </cell>
          <cell r="L10">
            <v>10.032</v>
          </cell>
          <cell r="M10">
            <v>13.061</v>
          </cell>
          <cell r="N10">
            <v>16.268000000000001</v>
          </cell>
          <cell r="O10">
            <v>12.906000000000001</v>
          </cell>
          <cell r="P10">
            <v>13.695</v>
          </cell>
          <cell r="Q10">
            <v>12.420999999999999</v>
          </cell>
          <cell r="R10">
            <v>10.662000000000001</v>
          </cell>
          <cell r="S10">
            <v>12.676</v>
          </cell>
        </row>
        <row r="11">
          <cell r="B11" t="str">
            <v>WTR</v>
          </cell>
          <cell r="C11" t="str">
            <v>Aqua America</v>
          </cell>
          <cell r="D11">
            <v>0</v>
          </cell>
          <cell r="E11">
            <v>23.863</v>
          </cell>
          <cell r="F11">
            <v>23.509</v>
          </cell>
          <cell r="G11">
            <v>20.760999999999999</v>
          </cell>
          <cell r="H11">
            <v>21.18</v>
          </cell>
          <cell r="I11">
            <v>21.937000000000001</v>
          </cell>
          <cell r="J11">
            <v>21.257000000000001</v>
          </cell>
          <cell r="K11">
            <v>21.077999999999999</v>
          </cell>
          <cell r="L11">
            <v>23.094000000000001</v>
          </cell>
          <cell r="M11">
            <v>24.928000000000001</v>
          </cell>
          <cell r="N11">
            <v>31.968</v>
          </cell>
          <cell r="O11">
            <v>34.704000000000001</v>
          </cell>
        </row>
        <row r="12">
          <cell r="B12" t="str">
            <v>ATO</v>
          </cell>
          <cell r="C12" t="str">
            <v>Atmos Energy</v>
          </cell>
          <cell r="D12">
            <v>0</v>
          </cell>
          <cell r="E12">
            <v>20.8</v>
          </cell>
          <cell r="F12">
            <v>17.501000000000001</v>
          </cell>
          <cell r="G12">
            <v>16.091999999999999</v>
          </cell>
          <cell r="H12">
            <v>15.872999999999999</v>
          </cell>
          <cell r="I12">
            <v>15.93</v>
          </cell>
          <cell r="J12">
            <v>14.355</v>
          </cell>
          <cell r="K12">
            <v>13.21</v>
          </cell>
          <cell r="L12">
            <v>12.538</v>
          </cell>
          <cell r="M12">
            <v>13.585000000000001</v>
          </cell>
          <cell r="N12">
            <v>15.866</v>
          </cell>
          <cell r="O12">
            <v>13.523999999999999</v>
          </cell>
        </row>
        <row r="13">
          <cell r="B13" t="str">
            <v>AGR</v>
          </cell>
          <cell r="C13" t="str">
            <v>Avangrid, Inc.</v>
          </cell>
          <cell r="D13">
            <v>0</v>
          </cell>
          <cell r="E13">
            <v>20.492000000000001</v>
          </cell>
          <cell r="F13">
            <v>40.936</v>
          </cell>
          <cell r="G13" t="str">
            <v>N/A</v>
          </cell>
          <cell r="H13" t="str">
            <v>N/A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0</v>
          </cell>
          <cell r="E14">
            <v>18.795000000000002</v>
          </cell>
          <cell r="F14">
            <v>17.603000000000002</v>
          </cell>
          <cell r="G14">
            <v>17.282</v>
          </cell>
          <cell r="H14">
            <v>14.635</v>
          </cell>
          <cell r="I14">
            <v>19.297000000000001</v>
          </cell>
          <cell r="J14">
            <v>14.077999999999999</v>
          </cell>
          <cell r="K14">
            <v>12.739000000000001</v>
          </cell>
          <cell r="L14">
            <v>11.416</v>
          </cell>
          <cell r="M14">
            <v>14.972</v>
          </cell>
          <cell r="N14">
            <v>30.875</v>
          </cell>
          <cell r="O14">
            <v>15.39</v>
          </cell>
          <cell r="P14">
            <v>19.446999999999999</v>
          </cell>
          <cell r="Q14">
            <v>24.431999999999999</v>
          </cell>
          <cell r="R14">
            <v>13.842000000000001</v>
          </cell>
          <cell r="S14">
            <v>19.27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0</v>
          </cell>
          <cell r="E15">
            <v>22.289000000000001</v>
          </cell>
          <cell r="F15">
            <v>16.137</v>
          </cell>
          <cell r="G15">
            <v>19.029</v>
          </cell>
          <cell r="H15">
            <v>18.238</v>
          </cell>
          <cell r="I15">
            <v>17.131</v>
          </cell>
          <cell r="J15">
            <v>31.129000000000001</v>
          </cell>
          <cell r="K15">
            <v>18.096</v>
          </cell>
          <cell r="L15">
            <v>9.9260000000000002</v>
          </cell>
          <cell r="M15" t="str">
            <v>N/A</v>
          </cell>
          <cell r="N15">
            <v>15.023</v>
          </cell>
          <cell r="O15">
            <v>15.766999999999999</v>
          </cell>
          <cell r="P15">
            <v>17.265000000000001</v>
          </cell>
          <cell r="Q15">
            <v>17.129000000000001</v>
          </cell>
          <cell r="R15">
            <v>15.949</v>
          </cell>
          <cell r="S15">
            <v>12.515000000000001</v>
          </cell>
        </row>
        <row r="16">
          <cell r="B16" t="str">
            <v>CWT</v>
          </cell>
          <cell r="C16" t="str">
            <v>California Water</v>
          </cell>
          <cell r="D16">
            <v>0</v>
          </cell>
          <cell r="E16">
            <v>29.65</v>
          </cell>
          <cell r="F16">
            <v>24.773</v>
          </cell>
          <cell r="G16">
            <v>19.690999999999999</v>
          </cell>
          <cell r="H16">
            <v>20.125</v>
          </cell>
          <cell r="I16">
            <v>17.878</v>
          </cell>
          <cell r="J16">
            <v>21.277000000000001</v>
          </cell>
          <cell r="K16">
            <v>20.295000000000002</v>
          </cell>
          <cell r="L16">
            <v>19.686</v>
          </cell>
          <cell r="M16">
            <v>19.765999999999998</v>
          </cell>
          <cell r="N16">
            <v>26.056999999999999</v>
          </cell>
          <cell r="O16">
            <v>29.239000000000001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0</v>
          </cell>
          <cell r="E17">
            <v>21.91</v>
          </cell>
          <cell r="F17">
            <v>18.097999999999999</v>
          </cell>
          <cell r="G17">
            <v>16.96</v>
          </cell>
          <cell r="H17">
            <v>18.747</v>
          </cell>
          <cell r="I17">
            <v>14.847</v>
          </cell>
          <cell r="J17">
            <v>14.574999999999999</v>
          </cell>
          <cell r="K17">
            <v>13.781000000000001</v>
          </cell>
          <cell r="L17">
            <v>11.807</v>
          </cell>
          <cell r="M17">
            <v>11.272</v>
          </cell>
          <cell r="N17">
            <v>15.002000000000001</v>
          </cell>
          <cell r="O17">
            <v>10.265000000000001</v>
          </cell>
          <cell r="P17">
            <v>19.055</v>
          </cell>
          <cell r="Q17">
            <v>17.841000000000001</v>
          </cell>
          <cell r="R17">
            <v>6.0469999999999997</v>
          </cell>
          <cell r="S17">
            <v>5.59</v>
          </cell>
        </row>
        <row r="18">
          <cell r="B18" t="str">
            <v>CHG</v>
          </cell>
          <cell r="C18" t="str">
            <v xml:space="preserve">CH Energy Group               </v>
          </cell>
          <cell r="D18">
            <v>0</v>
          </cell>
          <cell r="E18" t="str">
            <v>N/A</v>
          </cell>
          <cell r="F18" t="str">
            <v>N/A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>
            <v>17.190000000000001</v>
          </cell>
          <cell r="R18">
            <v>15.709</v>
          </cell>
          <cell r="S18">
            <v>22.559000000000001</v>
          </cell>
        </row>
        <row r="19">
          <cell r="B19" t="str">
            <v>CPK</v>
          </cell>
          <cell r="C19" t="str">
            <v>Chesapeake Utilities</v>
          </cell>
          <cell r="D19">
            <v>0</v>
          </cell>
          <cell r="E19">
            <v>21.774000000000001</v>
          </cell>
          <cell r="F19">
            <v>19.145</v>
          </cell>
          <cell r="G19">
            <v>17.702000000000002</v>
          </cell>
          <cell r="H19">
            <v>15.622</v>
          </cell>
          <cell r="I19">
            <v>14.808</v>
          </cell>
          <cell r="J19">
            <v>14.16</v>
          </cell>
          <cell r="K19">
            <v>12.214</v>
          </cell>
          <cell r="L19">
            <v>14.202999999999999</v>
          </cell>
          <cell r="M19">
            <v>14.154</v>
          </cell>
          <cell r="N19">
            <v>16.718</v>
          </cell>
          <cell r="O19">
            <v>17.853999999999999</v>
          </cell>
        </row>
        <row r="20">
          <cell r="B20" t="str">
            <v>CNL</v>
          </cell>
          <cell r="C20" t="str">
            <v xml:space="preserve">Cleco Corp.                   </v>
          </cell>
          <cell r="D20">
            <v>0</v>
          </cell>
          <cell r="E20" t="str">
            <v>N/A</v>
          </cell>
          <cell r="F20" t="str">
            <v>N/A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>
            <v>13.757999999999999</v>
          </cell>
          <cell r="R20">
            <v>12.385999999999999</v>
          </cell>
          <cell r="S20">
            <v>12.244999999999999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0</v>
          </cell>
          <cell r="E21">
            <v>20.943000000000001</v>
          </cell>
          <cell r="F21">
            <v>18.291</v>
          </cell>
          <cell r="G21">
            <v>17.298999999999999</v>
          </cell>
          <cell r="H21">
            <v>16.323</v>
          </cell>
          <cell r="I21">
            <v>15.069000000000001</v>
          </cell>
          <cell r="J21">
            <v>13.615</v>
          </cell>
          <cell r="K21">
            <v>12.456</v>
          </cell>
          <cell r="L21">
            <v>13.555999999999999</v>
          </cell>
          <cell r="M21">
            <v>10.866</v>
          </cell>
          <cell r="N21">
            <v>26.837</v>
          </cell>
          <cell r="O21">
            <v>22.181000000000001</v>
          </cell>
          <cell r="P21">
            <v>12.601000000000001</v>
          </cell>
          <cell r="Q21">
            <v>12.385</v>
          </cell>
          <cell r="R21" t="str">
            <v>N/A</v>
          </cell>
          <cell r="S21" t="str">
            <v>N/A</v>
          </cell>
        </row>
        <row r="22">
          <cell r="B22" t="str">
            <v>CTWS</v>
          </cell>
          <cell r="C22" t="str">
            <v>Conn. Water Services</v>
          </cell>
          <cell r="D22">
            <v>0</v>
          </cell>
          <cell r="E22">
            <v>23.285</v>
          </cell>
          <cell r="F22">
            <v>17.577000000000002</v>
          </cell>
          <cell r="G22">
            <v>17.521000000000001</v>
          </cell>
          <cell r="H22">
            <v>18.367000000000001</v>
          </cell>
          <cell r="I22">
            <v>19.385000000000002</v>
          </cell>
          <cell r="J22">
            <v>23.036000000000001</v>
          </cell>
          <cell r="K22">
            <v>20.669</v>
          </cell>
          <cell r="L22">
            <v>18.405000000000001</v>
          </cell>
          <cell r="M22">
            <v>22.167999999999999</v>
          </cell>
          <cell r="N22">
            <v>23.001000000000001</v>
          </cell>
          <cell r="O22">
            <v>28.977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0</v>
          </cell>
          <cell r="E23">
            <v>18.802</v>
          </cell>
          <cell r="F23">
            <v>15.589</v>
          </cell>
          <cell r="G23">
            <v>15.901</v>
          </cell>
          <cell r="H23">
            <v>14.723000000000001</v>
          </cell>
          <cell r="I23">
            <v>15.39</v>
          </cell>
          <cell r="J23">
            <v>15.074999999999999</v>
          </cell>
          <cell r="K23">
            <v>13.297000000000001</v>
          </cell>
          <cell r="L23">
            <v>12.545999999999999</v>
          </cell>
          <cell r="M23">
            <v>12.285</v>
          </cell>
          <cell r="N23">
            <v>13.782</v>
          </cell>
          <cell r="O23">
            <v>15.484999999999999</v>
          </cell>
          <cell r="P23">
            <v>15.129</v>
          </cell>
          <cell r="Q23">
            <v>18.209</v>
          </cell>
          <cell r="R23">
            <v>14.3</v>
          </cell>
          <cell r="S23">
            <v>13.278</v>
          </cell>
        </row>
        <row r="24">
          <cell r="B24" t="str">
            <v>CWCO</v>
          </cell>
          <cell r="C24" t="str">
            <v>Consolidated Water</v>
          </cell>
          <cell r="D24">
            <v>0</v>
          </cell>
          <cell r="E24">
            <v>44.807000000000002</v>
          </cell>
          <cell r="F24">
            <v>22.692</v>
          </cell>
          <cell r="G24">
            <v>28.288</v>
          </cell>
          <cell r="H24">
            <v>20.021999999999998</v>
          </cell>
          <cell r="I24">
            <v>12.414</v>
          </cell>
          <cell r="J24">
            <v>22.393000000000001</v>
          </cell>
          <cell r="K24">
            <v>26.867000000000001</v>
          </cell>
          <cell r="L24">
            <v>19.030999999999999</v>
          </cell>
          <cell r="M24">
            <v>37.79</v>
          </cell>
          <cell r="N24">
            <v>35.39</v>
          </cell>
          <cell r="O24">
            <v>43.048999999999999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0</v>
          </cell>
          <cell r="E25">
            <v>21.324999999999999</v>
          </cell>
          <cell r="F25">
            <v>22.137</v>
          </cell>
          <cell r="G25">
            <v>22.972000000000001</v>
          </cell>
          <cell r="H25">
            <v>19.245000000000001</v>
          </cell>
          <cell r="I25">
            <v>18.911999999999999</v>
          </cell>
          <cell r="J25">
            <v>17.27</v>
          </cell>
          <cell r="K25">
            <v>14.348000000000001</v>
          </cell>
          <cell r="L25">
            <v>12.742000000000001</v>
          </cell>
          <cell r="M25">
            <v>13.78</v>
          </cell>
          <cell r="N25">
            <v>20.626000000000001</v>
          </cell>
          <cell r="O25">
            <v>15.976000000000001</v>
          </cell>
          <cell r="P25">
            <v>24.893999999999998</v>
          </cell>
          <cell r="Q25">
            <v>15.071999999999999</v>
          </cell>
          <cell r="R25">
            <v>15.241</v>
          </cell>
          <cell r="S25">
            <v>12.045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0</v>
          </cell>
          <cell r="E26">
            <v>18.966000000000001</v>
          </cell>
          <cell r="F26">
            <v>18.113</v>
          </cell>
          <cell r="G26">
            <v>14.912000000000001</v>
          </cell>
          <cell r="H26">
            <v>17.914999999999999</v>
          </cell>
          <cell r="I26">
            <v>14.888999999999999</v>
          </cell>
          <cell r="J26">
            <v>13.509</v>
          </cell>
          <cell r="K26">
            <v>12.266</v>
          </cell>
          <cell r="L26">
            <v>10.41</v>
          </cell>
          <cell r="M26">
            <v>14.811</v>
          </cell>
          <cell r="N26">
            <v>18.265000000000001</v>
          </cell>
          <cell r="O26">
            <v>17.431000000000001</v>
          </cell>
          <cell r="P26">
            <v>13.797000000000001</v>
          </cell>
          <cell r="Q26">
            <v>16.042999999999999</v>
          </cell>
          <cell r="R26">
            <v>13.689</v>
          </cell>
          <cell r="S26">
            <v>11.279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0</v>
          </cell>
          <cell r="E27">
            <v>21.251000000000001</v>
          </cell>
          <cell r="F27">
            <v>18.218</v>
          </cell>
          <cell r="G27">
            <v>17.913</v>
          </cell>
          <cell r="H27">
            <v>17.449000000000002</v>
          </cell>
          <cell r="I27">
            <v>17.463999999999999</v>
          </cell>
          <cell r="J27">
            <v>13.763</v>
          </cell>
          <cell r="K27">
            <v>12.685</v>
          </cell>
          <cell r="L27">
            <v>13.317</v>
          </cell>
          <cell r="M27">
            <v>17.283000000000001</v>
          </cell>
          <cell r="N27">
            <v>16.129000000000001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0</v>
          </cell>
          <cell r="E28">
            <v>17.920000000000002</v>
          </cell>
          <cell r="F28">
            <v>14.766999999999999</v>
          </cell>
          <cell r="G28">
            <v>13.05</v>
          </cell>
          <cell r="H28">
            <v>12.699</v>
          </cell>
          <cell r="I28">
            <v>9.7070000000000007</v>
          </cell>
          <cell r="J28">
            <v>11.808</v>
          </cell>
          <cell r="K28">
            <v>10.319000000000001</v>
          </cell>
          <cell r="L28">
            <v>9.718</v>
          </cell>
          <cell r="M28">
            <v>12.356999999999999</v>
          </cell>
          <cell r="N28">
            <v>16.027999999999999</v>
          </cell>
          <cell r="O28">
            <v>12.988</v>
          </cell>
          <cell r="P28">
            <v>11.74</v>
          </cell>
          <cell r="Q28">
            <v>37.591000000000001</v>
          </cell>
          <cell r="R28">
            <v>6.968</v>
          </cell>
          <cell r="S28">
            <v>7.7839999999999998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0</v>
          </cell>
          <cell r="E29">
            <v>18.657</v>
          </cell>
          <cell r="F29">
            <v>18.329000000000001</v>
          </cell>
          <cell r="G29">
            <v>16.382999999999999</v>
          </cell>
          <cell r="H29">
            <v>15.879</v>
          </cell>
          <cell r="I29">
            <v>14.473000000000001</v>
          </cell>
          <cell r="J29">
            <v>12.595000000000001</v>
          </cell>
          <cell r="K29">
            <v>10.72</v>
          </cell>
          <cell r="L29">
            <v>10.792999999999999</v>
          </cell>
          <cell r="M29">
            <v>11.894</v>
          </cell>
          <cell r="N29">
            <v>15.26</v>
          </cell>
          <cell r="O29">
            <v>16.920000000000002</v>
          </cell>
          <cell r="P29">
            <v>26.724</v>
          </cell>
          <cell r="Q29">
            <v>22.033000000000001</v>
          </cell>
          <cell r="R29">
            <v>18.263000000000002</v>
          </cell>
          <cell r="S29">
            <v>22.992999999999999</v>
          </cell>
        </row>
        <row r="30">
          <cell r="B30" t="str">
            <v>EDE</v>
          </cell>
          <cell r="C30" t="str">
            <v>Empire District Electric</v>
          </cell>
          <cell r="D30">
            <v>0</v>
          </cell>
          <cell r="E30" t="str">
            <v>N/A</v>
          </cell>
          <cell r="F30">
            <v>18.71</v>
          </cell>
          <cell r="G30">
            <v>16.212</v>
          </cell>
          <cell r="H30">
            <v>14.997</v>
          </cell>
          <cell r="I30">
            <v>15.757999999999999</v>
          </cell>
          <cell r="J30">
            <v>15.763</v>
          </cell>
          <cell r="K30">
            <v>16.751999999999999</v>
          </cell>
          <cell r="L30">
            <v>14.337999999999999</v>
          </cell>
          <cell r="M30">
            <v>17.254999999999999</v>
          </cell>
          <cell r="N30">
            <v>21.702000000000002</v>
          </cell>
          <cell r="O30">
            <v>15.916</v>
          </cell>
          <cell r="P30">
            <v>24.498000000000001</v>
          </cell>
          <cell r="Q30">
            <v>24.806999999999999</v>
          </cell>
          <cell r="R30">
            <v>15.827</v>
          </cell>
          <cell r="S30">
            <v>16.18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0</v>
          </cell>
          <cell r="E31">
            <v>10.922000000000001</v>
          </cell>
          <cell r="F31">
            <v>12.529</v>
          </cell>
          <cell r="G31">
            <v>12.885999999999999</v>
          </cell>
          <cell r="H31">
            <v>13.214</v>
          </cell>
          <cell r="I31">
            <v>11.224</v>
          </cell>
          <cell r="J31">
            <v>9.0619999999999994</v>
          </cell>
          <cell r="K31">
            <v>11.571</v>
          </cell>
          <cell r="L31">
            <v>11.981</v>
          </cell>
          <cell r="M31">
            <v>16.556000000000001</v>
          </cell>
          <cell r="N31">
            <v>19.303000000000001</v>
          </cell>
          <cell r="O31">
            <v>14.276</v>
          </cell>
          <cell r="P31">
            <v>16.282</v>
          </cell>
          <cell r="Q31">
            <v>15.087</v>
          </cell>
          <cell r="R31">
            <v>13.771000000000001</v>
          </cell>
          <cell r="S31">
            <v>11.525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0</v>
          </cell>
          <cell r="E32">
            <v>18.692</v>
          </cell>
          <cell r="F32">
            <v>18.11</v>
          </cell>
          <cell r="G32">
            <v>17.920000000000002</v>
          </cell>
          <cell r="H32">
            <v>16.940999999999999</v>
          </cell>
          <cell r="I32">
            <v>19.855</v>
          </cell>
          <cell r="J32">
            <v>15.35</v>
          </cell>
          <cell r="K32">
            <v>13.423</v>
          </cell>
          <cell r="L32">
            <v>11.96</v>
          </cell>
          <cell r="M32">
            <v>13.662000000000001</v>
          </cell>
          <cell r="N32">
            <v>18.745999999999999</v>
          </cell>
          <cell r="O32">
            <v>27.065000000000001</v>
          </cell>
          <cell r="P32">
            <v>19.757000000000001</v>
          </cell>
          <cell r="Q32">
            <v>20.768000000000001</v>
          </cell>
          <cell r="R32">
            <v>13.353999999999999</v>
          </cell>
          <cell r="S32">
            <v>16.065999999999999</v>
          </cell>
        </row>
        <row r="33">
          <cell r="B33" t="str">
            <v>EVRG</v>
          </cell>
          <cell r="C33" t="str">
            <v xml:space="preserve">Evergy, Inc. </v>
          </cell>
          <cell r="D33">
            <v>0</v>
          </cell>
          <cell r="E33" t="str">
            <v>N/A</v>
          </cell>
          <cell r="F33" t="str">
            <v>N/A</v>
          </cell>
          <cell r="G33" t="str">
            <v>N/A</v>
          </cell>
          <cell r="H33" t="str">
            <v>N/A</v>
          </cell>
          <cell r="I33" t="str">
            <v>N/A</v>
          </cell>
          <cell r="J33" t="str">
            <v>N/A</v>
          </cell>
          <cell r="K33" t="str">
            <v>N/A</v>
          </cell>
          <cell r="L33" t="str">
            <v>N/A</v>
          </cell>
          <cell r="M33" t="str">
            <v>N/A</v>
          </cell>
          <cell r="N33" t="str">
            <v>N/A</v>
          </cell>
          <cell r="O33" t="str">
            <v>N/A</v>
          </cell>
          <cell r="P33" t="str">
            <v>N/A</v>
          </cell>
          <cell r="Q33" t="str">
            <v>N/A</v>
          </cell>
          <cell r="R33" t="str">
            <v>N/A</v>
          </cell>
          <cell r="S33" t="str">
            <v>N/A</v>
          </cell>
        </row>
        <row r="34">
          <cell r="B34" t="str">
            <v>EXC</v>
          </cell>
          <cell r="C34" t="str">
            <v xml:space="preserve">Exelon Corp.                  </v>
          </cell>
          <cell r="D34">
            <v>0</v>
          </cell>
          <cell r="E34">
            <v>18.681000000000001</v>
          </cell>
          <cell r="F34">
            <v>12.576000000000001</v>
          </cell>
          <cell r="G34">
            <v>16.018000000000001</v>
          </cell>
          <cell r="H34">
            <v>13.433</v>
          </cell>
          <cell r="I34">
            <v>19.077999999999999</v>
          </cell>
          <cell r="J34">
            <v>11.301</v>
          </cell>
          <cell r="K34">
            <v>10.97</v>
          </cell>
          <cell r="L34">
            <v>11.488</v>
          </cell>
          <cell r="M34">
            <v>17.972000000000001</v>
          </cell>
          <cell r="N34">
            <v>18.222000000000001</v>
          </cell>
          <cell r="O34">
            <v>16.529</v>
          </cell>
          <cell r="P34">
            <v>15.371</v>
          </cell>
          <cell r="Q34">
            <v>12.99</v>
          </cell>
          <cell r="R34">
            <v>11.765000000000001</v>
          </cell>
          <cell r="S34">
            <v>10.457000000000001</v>
          </cell>
        </row>
        <row r="35">
          <cell r="B35" t="str">
            <v>FE</v>
          </cell>
          <cell r="C35" t="str">
            <v xml:space="preserve">FirstEnergy Corp.             </v>
          </cell>
          <cell r="D35">
            <v>0</v>
          </cell>
          <cell r="E35">
            <v>15.914</v>
          </cell>
          <cell r="F35">
            <v>17.023</v>
          </cell>
          <cell r="G35">
            <v>39.789000000000001</v>
          </cell>
          <cell r="H35">
            <v>13.055</v>
          </cell>
          <cell r="I35">
            <v>21.094999999999999</v>
          </cell>
          <cell r="J35">
            <v>22.39</v>
          </cell>
          <cell r="K35">
            <v>11.747999999999999</v>
          </cell>
          <cell r="L35">
            <v>13.023999999999999</v>
          </cell>
          <cell r="M35">
            <v>15.643000000000001</v>
          </cell>
          <cell r="N35">
            <v>15.587</v>
          </cell>
          <cell r="O35">
            <v>14.228999999999999</v>
          </cell>
          <cell r="P35">
            <v>16.065000000000001</v>
          </cell>
          <cell r="Q35">
            <v>14.127000000000001</v>
          </cell>
          <cell r="R35">
            <v>22.47</v>
          </cell>
          <cell r="S35">
            <v>12.954000000000001</v>
          </cell>
        </row>
        <row r="36">
          <cell r="B36" t="str">
            <v>FTS.TO</v>
          </cell>
          <cell r="C36" t="str">
            <v>Fortis Inc.</v>
          </cell>
          <cell r="D36">
            <v>0</v>
          </cell>
          <cell r="E36">
            <v>21.603000000000002</v>
          </cell>
          <cell r="F36">
            <v>18.001999999999999</v>
          </cell>
          <cell r="G36">
            <v>24.286000000000001</v>
          </cell>
          <cell r="H36">
            <v>19.97</v>
          </cell>
          <cell r="I36">
            <v>20.122</v>
          </cell>
          <cell r="J36">
            <v>18.792999999999999</v>
          </cell>
          <cell r="K36">
            <v>18.215</v>
          </cell>
          <cell r="L36">
            <v>16.364000000000001</v>
          </cell>
          <cell r="M36">
            <v>17.481999999999999</v>
          </cell>
          <cell r="N36">
            <v>21.143999999999998</v>
          </cell>
          <cell r="O36">
            <v>17.684000000000001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</row>
        <row r="37">
          <cell r="B37" t="str">
            <v>FPL</v>
          </cell>
          <cell r="C37" t="str">
            <v xml:space="preserve">FPL Group                     </v>
          </cell>
          <cell r="D37">
            <v>0</v>
          </cell>
          <cell r="E37" t="str">
            <v>N/A</v>
          </cell>
          <cell r="F37" t="str">
            <v>N/A</v>
          </cell>
          <cell r="G37" t="str">
            <v>N/A</v>
          </cell>
          <cell r="H37" t="str">
            <v>N/A</v>
          </cell>
          <cell r="I37" t="str">
            <v>N/A</v>
          </cell>
          <cell r="J37" t="str">
            <v>N/A</v>
          </cell>
          <cell r="K37" t="str">
            <v>N/A</v>
          </cell>
          <cell r="L37" t="str">
            <v>N/A</v>
          </cell>
          <cell r="M37" t="str">
            <v>N/A</v>
          </cell>
          <cell r="N37" t="str">
            <v>N/A</v>
          </cell>
          <cell r="O37" t="str">
            <v>N/A</v>
          </cell>
          <cell r="P37" t="str">
            <v>N/A</v>
          </cell>
          <cell r="Q37">
            <v>13.602</v>
          </cell>
          <cell r="R37">
            <v>12.646000000000001</v>
          </cell>
          <cell r="S37">
            <v>14.225</v>
          </cell>
        </row>
        <row r="38">
          <cell r="B38" t="str">
            <v>GXP</v>
          </cell>
          <cell r="C38" t="str">
            <v xml:space="preserve">Great Plains Energy             </v>
          </cell>
          <cell r="D38">
            <v>0</v>
          </cell>
          <cell r="E38">
            <v>17.981000000000002</v>
          </cell>
          <cell r="F38">
            <v>19.366</v>
          </cell>
          <cell r="G38">
            <v>16.47</v>
          </cell>
          <cell r="H38">
            <v>14.186</v>
          </cell>
          <cell r="I38">
            <v>15.534000000000001</v>
          </cell>
          <cell r="J38">
            <v>16.105</v>
          </cell>
          <cell r="K38">
            <v>12.095000000000001</v>
          </cell>
          <cell r="L38">
            <v>16.033000000000001</v>
          </cell>
          <cell r="M38">
            <v>20.547000000000001</v>
          </cell>
          <cell r="N38">
            <v>16.347999999999999</v>
          </cell>
          <cell r="O38">
            <v>18.298999999999999</v>
          </cell>
          <cell r="P38">
            <v>13.962</v>
          </cell>
          <cell r="Q38">
            <v>12.593</v>
          </cell>
          <cell r="R38">
            <v>12.228999999999999</v>
          </cell>
          <cell r="S38">
            <v>11.09</v>
          </cell>
        </row>
        <row r="39">
          <cell r="B39" t="str">
            <v>HE</v>
          </cell>
          <cell r="C39" t="str">
            <v xml:space="preserve">Hawaiian Elec.                </v>
          </cell>
          <cell r="D39">
            <v>0</v>
          </cell>
          <cell r="E39">
            <v>13.555999999999999</v>
          </cell>
          <cell r="F39">
            <v>20.402999999999999</v>
          </cell>
          <cell r="G39">
            <v>15.881</v>
          </cell>
          <cell r="H39">
            <v>16.213000000000001</v>
          </cell>
          <cell r="I39">
            <v>15.813000000000001</v>
          </cell>
          <cell r="J39">
            <v>17.09</v>
          </cell>
          <cell r="K39">
            <v>18.588000000000001</v>
          </cell>
          <cell r="L39">
            <v>19.786000000000001</v>
          </cell>
          <cell r="M39">
            <v>23.161000000000001</v>
          </cell>
          <cell r="N39">
            <v>21.574000000000002</v>
          </cell>
          <cell r="O39">
            <v>20.329000000000001</v>
          </cell>
          <cell r="P39">
            <v>18.273</v>
          </cell>
          <cell r="Q39">
            <v>19.181000000000001</v>
          </cell>
          <cell r="R39">
            <v>13.759</v>
          </cell>
          <cell r="S39">
            <v>13.474</v>
          </cell>
        </row>
        <row r="40">
          <cell r="B40" t="str">
            <v>IDA</v>
          </cell>
          <cell r="C40" t="str">
            <v xml:space="preserve">IDACORP, Inc.                 </v>
          </cell>
          <cell r="D40">
            <v>0</v>
          </cell>
          <cell r="E40">
            <v>19.059999999999999</v>
          </cell>
          <cell r="F40">
            <v>16.218</v>
          </cell>
          <cell r="G40">
            <v>14.664999999999999</v>
          </cell>
          <cell r="H40">
            <v>13.45</v>
          </cell>
          <cell r="I40">
            <v>12.409000000000001</v>
          </cell>
          <cell r="J40">
            <v>11.535</v>
          </cell>
          <cell r="K40">
            <v>11.827</v>
          </cell>
          <cell r="L40">
            <v>10.196999999999999</v>
          </cell>
          <cell r="M40">
            <v>13.925000000000001</v>
          </cell>
          <cell r="N40">
            <v>18.193999999999999</v>
          </cell>
          <cell r="O40">
            <v>15.07</v>
          </cell>
          <cell r="P40">
            <v>16.699000000000002</v>
          </cell>
          <cell r="Q40">
            <v>15.488</v>
          </cell>
          <cell r="R40">
            <v>26.510999999999999</v>
          </cell>
          <cell r="S40">
            <v>18.875</v>
          </cell>
        </row>
        <row r="41">
          <cell r="B41" t="str">
            <v>TEG</v>
          </cell>
          <cell r="C41" t="str">
            <v xml:space="preserve">Integrys Energy               </v>
          </cell>
          <cell r="D41">
            <v>0</v>
          </cell>
          <cell r="E41" t="str">
            <v>N/A</v>
          </cell>
          <cell r="F41" t="str">
            <v>N/A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>
            <v>11.55</v>
          </cell>
          <cell r="R41">
            <v>14.875</v>
          </cell>
          <cell r="S41">
            <v>13.955</v>
          </cell>
        </row>
        <row r="42">
          <cell r="B42" t="str">
            <v>ITC</v>
          </cell>
          <cell r="C42" t="str">
            <v>ITC Holdings</v>
          </cell>
          <cell r="D42">
            <v>0</v>
          </cell>
          <cell r="E42" t="str">
            <v>N/A</v>
          </cell>
          <cell r="F42" t="str">
            <v>N/A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>
            <v>26.367999999999999</v>
          </cell>
          <cell r="Q42" t="str">
            <v>N/A</v>
          </cell>
          <cell r="R42" t="str">
            <v>N/A</v>
          </cell>
          <cell r="S42" t="str">
            <v>N/A</v>
          </cell>
        </row>
        <row r="43">
          <cell r="B43" t="str">
            <v>MDU</v>
          </cell>
          <cell r="C43" t="str">
            <v xml:space="preserve">MDU Resources                 </v>
          </cell>
          <cell r="D43">
            <v>0</v>
          </cell>
          <cell r="E43" t="str">
            <v>N/A</v>
          </cell>
          <cell r="F43" t="str">
            <v>N/A</v>
          </cell>
          <cell r="G43" t="str">
            <v>N/A</v>
          </cell>
          <cell r="H43" t="str">
            <v>N/A</v>
          </cell>
          <cell r="I43" t="str">
            <v>N/A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  <cell r="P43">
            <v>13.023999999999999</v>
          </cell>
          <cell r="Q43">
            <v>13.635999999999999</v>
          </cell>
          <cell r="R43">
            <v>12.965999999999999</v>
          </cell>
          <cell r="S43">
            <v>14.363</v>
          </cell>
        </row>
        <row r="44">
          <cell r="B44" t="str">
            <v>MGEE</v>
          </cell>
          <cell r="C44" t="str">
            <v xml:space="preserve">MGE Energy                    </v>
          </cell>
          <cell r="D44">
            <v>0</v>
          </cell>
          <cell r="E44">
            <v>24.904</v>
          </cell>
          <cell r="F44">
            <v>20.279</v>
          </cell>
          <cell r="G44">
            <v>17.190999999999999</v>
          </cell>
          <cell r="H44">
            <v>17.013999999999999</v>
          </cell>
          <cell r="I44">
            <v>17.231000000000002</v>
          </cell>
          <cell r="J44">
            <v>15.823</v>
          </cell>
          <cell r="K44">
            <v>14.977</v>
          </cell>
          <cell r="L44">
            <v>15.138999999999999</v>
          </cell>
          <cell r="M44">
            <v>14.221</v>
          </cell>
          <cell r="N44">
            <v>15.007</v>
          </cell>
          <cell r="O44">
            <v>15.879</v>
          </cell>
          <cell r="P44">
            <v>22.401</v>
          </cell>
          <cell r="Q44">
            <v>17.983000000000001</v>
          </cell>
          <cell r="R44">
            <v>17.55</v>
          </cell>
          <cell r="S44">
            <v>15.957000000000001</v>
          </cell>
        </row>
        <row r="45">
          <cell r="B45" t="str">
            <v>MSEX</v>
          </cell>
          <cell r="C45" t="str">
            <v>Middlesex Water</v>
          </cell>
          <cell r="D45">
            <v>0</v>
          </cell>
          <cell r="E45">
            <v>25.645</v>
          </cell>
          <cell r="F45">
            <v>19.11</v>
          </cell>
          <cell r="G45">
            <v>18.486999999999998</v>
          </cell>
          <cell r="H45">
            <v>19.704000000000001</v>
          </cell>
          <cell r="I45">
            <v>20.829000000000001</v>
          </cell>
          <cell r="J45">
            <v>21.725999999999999</v>
          </cell>
          <cell r="K45">
            <v>17.809000000000001</v>
          </cell>
          <cell r="L45">
            <v>21.016999999999999</v>
          </cell>
          <cell r="M45">
            <v>19.798999999999999</v>
          </cell>
          <cell r="N45">
            <v>21.588999999999999</v>
          </cell>
          <cell r="O45">
            <v>22.718</v>
          </cell>
        </row>
        <row r="46">
          <cell r="B46" t="str">
            <v>NJR</v>
          </cell>
          <cell r="C46" t="str">
            <v>New Jersey Resources</v>
          </cell>
          <cell r="D46">
            <v>0</v>
          </cell>
          <cell r="E46">
            <v>21.25</v>
          </cell>
          <cell r="F46">
            <v>16.613</v>
          </cell>
          <cell r="G46">
            <v>11.731999999999999</v>
          </cell>
          <cell r="H46">
            <v>15.983000000000001</v>
          </cell>
          <cell r="I46">
            <v>16.829000000000001</v>
          </cell>
          <cell r="J46">
            <v>16.754999999999999</v>
          </cell>
          <cell r="K46">
            <v>14.984</v>
          </cell>
          <cell r="L46">
            <v>14.925000000000001</v>
          </cell>
          <cell r="M46">
            <v>12.273999999999999</v>
          </cell>
          <cell r="N46">
            <v>21.611000000000001</v>
          </cell>
          <cell r="O46">
            <v>16.125</v>
          </cell>
        </row>
        <row r="47">
          <cell r="B47" t="str">
            <v>NEE</v>
          </cell>
          <cell r="C47" t="str">
            <v>NextEra Energy, Inc.</v>
          </cell>
          <cell r="D47">
            <v>0</v>
          </cell>
          <cell r="E47">
            <v>20.710999999999999</v>
          </cell>
          <cell r="F47">
            <v>16.893999999999998</v>
          </cell>
          <cell r="G47">
            <v>17.254000000000001</v>
          </cell>
          <cell r="H47">
            <v>16.571000000000002</v>
          </cell>
          <cell r="I47">
            <v>14.433999999999999</v>
          </cell>
          <cell r="J47">
            <v>11.536</v>
          </cell>
          <cell r="K47">
            <v>10.827999999999999</v>
          </cell>
          <cell r="L47">
            <v>13.416</v>
          </cell>
          <cell r="M47">
            <v>14.481999999999999</v>
          </cell>
          <cell r="N47">
            <v>18.896999999999998</v>
          </cell>
          <cell r="O47">
            <v>13.651999999999999</v>
          </cell>
          <cell r="P47">
            <v>17.884</v>
          </cell>
          <cell r="Q47">
            <v>13.651999999999999</v>
          </cell>
          <cell r="R47">
            <v>17.884</v>
          </cell>
          <cell r="S47">
            <v>13.602</v>
          </cell>
        </row>
        <row r="48">
          <cell r="B48" t="str">
            <v>NI</v>
          </cell>
          <cell r="C48" t="str">
            <v xml:space="preserve">NiSource Inc.                 </v>
          </cell>
          <cell r="D48">
            <v>0</v>
          </cell>
          <cell r="E48">
            <v>23.183</v>
          </cell>
          <cell r="F48">
            <v>37.340000000000003</v>
          </cell>
          <cell r="G48">
            <v>22.742000000000001</v>
          </cell>
          <cell r="H48">
            <v>18.888999999999999</v>
          </cell>
          <cell r="I48">
            <v>17.87</v>
          </cell>
          <cell r="J48">
            <v>19.363</v>
          </cell>
          <cell r="K48">
            <v>15.327</v>
          </cell>
          <cell r="L48">
            <v>14.335000000000001</v>
          </cell>
          <cell r="M48">
            <v>12.065</v>
          </cell>
          <cell r="N48">
            <v>18.815999999999999</v>
          </cell>
          <cell r="O48">
            <v>19.16</v>
          </cell>
          <cell r="P48">
            <v>21.427</v>
          </cell>
          <cell r="Q48">
            <v>13.035</v>
          </cell>
          <cell r="R48">
            <v>12.23</v>
          </cell>
          <cell r="S48">
            <v>10.752000000000001</v>
          </cell>
        </row>
        <row r="49">
          <cell r="B49" t="str">
            <v>NWN</v>
          </cell>
          <cell r="C49" t="str">
            <v>Northwest Nat. Gas</v>
          </cell>
          <cell r="D49">
            <v>0</v>
          </cell>
          <cell r="E49">
            <v>26.922999999999998</v>
          </cell>
          <cell r="F49">
            <v>23.692</v>
          </cell>
          <cell r="G49">
            <v>20.69</v>
          </cell>
          <cell r="H49">
            <v>19.379000000000001</v>
          </cell>
          <cell r="I49">
            <v>21.076000000000001</v>
          </cell>
          <cell r="J49">
            <v>19.018000000000001</v>
          </cell>
          <cell r="K49">
            <v>16.971</v>
          </cell>
          <cell r="L49">
            <v>15.173</v>
          </cell>
          <cell r="M49">
            <v>18.074999999999999</v>
          </cell>
          <cell r="N49">
            <v>16.738</v>
          </cell>
          <cell r="O49">
            <v>15.85</v>
          </cell>
        </row>
        <row r="50">
          <cell r="B50" t="str">
            <v>NWE</v>
          </cell>
          <cell r="C50" t="str">
            <v xml:space="preserve">NorthWestern Corp             </v>
          </cell>
          <cell r="D50">
            <v>0</v>
          </cell>
          <cell r="E50">
            <v>17.186</v>
          </cell>
          <cell r="F50">
            <v>18.361999999999998</v>
          </cell>
          <cell r="G50">
            <v>16.234999999999999</v>
          </cell>
          <cell r="H50">
            <v>16.86</v>
          </cell>
          <cell r="I50">
            <v>15.717000000000001</v>
          </cell>
          <cell r="J50">
            <v>12.622999999999999</v>
          </cell>
          <cell r="K50">
            <v>12.895</v>
          </cell>
          <cell r="L50">
            <v>11.538</v>
          </cell>
          <cell r="M50">
            <v>13.866</v>
          </cell>
          <cell r="N50">
            <v>21.734999999999999</v>
          </cell>
          <cell r="O50">
            <v>25.952999999999999</v>
          </cell>
          <cell r="P50">
            <v>17.091000000000001</v>
          </cell>
          <cell r="Q50" t="str">
            <v>N/A</v>
          </cell>
          <cell r="R50" t="str">
            <v>N/A</v>
          </cell>
          <cell r="S50" t="str">
            <v>N/A</v>
          </cell>
        </row>
        <row r="51">
          <cell r="B51" t="str">
            <v>OGE</v>
          </cell>
          <cell r="C51" t="str">
            <v xml:space="preserve">OGE Energy                    </v>
          </cell>
          <cell r="D51">
            <v>0</v>
          </cell>
          <cell r="E51">
            <v>17.68</v>
          </cell>
          <cell r="F51">
            <v>17.689</v>
          </cell>
          <cell r="G51">
            <v>18.265999999999998</v>
          </cell>
          <cell r="H51">
            <v>17.693000000000001</v>
          </cell>
          <cell r="I51">
            <v>15.156000000000001</v>
          </cell>
          <cell r="J51">
            <v>14.366</v>
          </cell>
          <cell r="K51">
            <v>13.314</v>
          </cell>
          <cell r="L51">
            <v>10.834</v>
          </cell>
          <cell r="M51">
            <v>12.407999999999999</v>
          </cell>
          <cell r="N51">
            <v>13.750999999999999</v>
          </cell>
          <cell r="O51">
            <v>13.675000000000001</v>
          </cell>
          <cell r="P51">
            <v>14.95</v>
          </cell>
          <cell r="Q51">
            <v>14.131</v>
          </cell>
          <cell r="R51">
            <v>11.837999999999999</v>
          </cell>
          <cell r="S51">
            <v>14.122999999999999</v>
          </cell>
        </row>
        <row r="52">
          <cell r="B52" t="str">
            <v>OGS</v>
          </cell>
          <cell r="C52" t="str">
            <v>ONE Gas Inc.</v>
          </cell>
          <cell r="D52">
            <v>0</v>
          </cell>
          <cell r="E52">
            <v>22.738</v>
          </cell>
          <cell r="F52">
            <v>19.79</v>
          </cell>
          <cell r="G52">
            <v>17.827000000000002</v>
          </cell>
          <cell r="H52" t="str">
            <v>N/A</v>
          </cell>
          <cell r="I52" t="str">
            <v>N/A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B53" t="str">
            <v>OTTR</v>
          </cell>
          <cell r="C53" t="str">
            <v xml:space="preserve">Otter Tail Corp.              </v>
          </cell>
          <cell r="D53">
            <v>0</v>
          </cell>
          <cell r="E53">
            <v>20.193000000000001</v>
          </cell>
          <cell r="F53">
            <v>18.199000000000002</v>
          </cell>
          <cell r="G53">
            <v>18.838000000000001</v>
          </cell>
          <cell r="H53">
            <v>21.12</v>
          </cell>
          <cell r="I53">
            <v>21.75</v>
          </cell>
          <cell r="J53">
            <v>47.481999999999999</v>
          </cell>
          <cell r="K53">
            <v>55.097000000000001</v>
          </cell>
          <cell r="L53">
            <v>31.158999999999999</v>
          </cell>
          <cell r="M53">
            <v>30.056000000000001</v>
          </cell>
          <cell r="N53">
            <v>19.02</v>
          </cell>
          <cell r="O53">
            <v>17.349</v>
          </cell>
          <cell r="P53">
            <v>15.4</v>
          </cell>
          <cell r="Q53">
            <v>17.335000000000001</v>
          </cell>
          <cell r="R53">
            <v>17.766999999999999</v>
          </cell>
          <cell r="S53">
            <v>16.010999999999999</v>
          </cell>
        </row>
        <row r="54">
          <cell r="B54" t="str">
            <v>POM</v>
          </cell>
          <cell r="C54" t="str">
            <v xml:space="preserve">Pepco Holdings                </v>
          </cell>
          <cell r="D54">
            <v>0</v>
          </cell>
          <cell r="E54" t="str">
            <v>N/A</v>
          </cell>
          <cell r="F54" t="str">
            <v>N/A</v>
          </cell>
          <cell r="G54" t="str">
            <v>N/A</v>
          </cell>
          <cell r="H54" t="str">
            <v>N/A</v>
          </cell>
          <cell r="I54" t="str">
            <v>N/A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>
            <v>13.571999999999999</v>
          </cell>
          <cell r="R54">
            <v>13.358000000000001</v>
          </cell>
          <cell r="S54">
            <v>11.256</v>
          </cell>
        </row>
        <row r="55">
          <cell r="B55" t="str">
            <v>PCG</v>
          </cell>
          <cell r="C55" t="str">
            <v xml:space="preserve">PG&amp;E Corp.                    </v>
          </cell>
          <cell r="D55">
            <v>0</v>
          </cell>
          <cell r="E55">
            <v>21.126999999999999</v>
          </cell>
          <cell r="F55">
            <v>26.399000000000001</v>
          </cell>
          <cell r="G55">
            <v>15.003</v>
          </cell>
          <cell r="H55">
            <v>23.666</v>
          </cell>
          <cell r="I55">
            <v>20.702000000000002</v>
          </cell>
          <cell r="J55">
            <v>15.458</v>
          </cell>
          <cell r="K55">
            <v>15.803000000000001</v>
          </cell>
          <cell r="L55">
            <v>13.01</v>
          </cell>
          <cell r="M55">
            <v>12.084</v>
          </cell>
          <cell r="N55">
            <v>16.847000000000001</v>
          </cell>
          <cell r="O55">
            <v>14.842000000000001</v>
          </cell>
          <cell r="P55">
            <v>15.366</v>
          </cell>
          <cell r="Q55">
            <v>13.808</v>
          </cell>
          <cell r="R55">
            <v>9.4990000000000006</v>
          </cell>
          <cell r="S55" t="str">
            <v>N/A</v>
          </cell>
        </row>
        <row r="56">
          <cell r="B56" t="str">
            <v>PNW</v>
          </cell>
          <cell r="C56" t="str">
            <v xml:space="preserve">Pinnacle West Capital         </v>
          </cell>
          <cell r="D56">
            <v>0</v>
          </cell>
          <cell r="E56">
            <v>18.742999999999999</v>
          </cell>
          <cell r="F56">
            <v>16.036000000000001</v>
          </cell>
          <cell r="G56">
            <v>15.885999999999999</v>
          </cell>
          <cell r="H56">
            <v>15.268000000000001</v>
          </cell>
          <cell r="I56">
            <v>14.346</v>
          </cell>
          <cell r="J56">
            <v>14.603999999999999</v>
          </cell>
          <cell r="K56">
            <v>12.565</v>
          </cell>
          <cell r="L56">
            <v>13.742000000000001</v>
          </cell>
          <cell r="M56">
            <v>16.065999999999999</v>
          </cell>
          <cell r="N56">
            <v>14.930999999999999</v>
          </cell>
          <cell r="O56">
            <v>13.691000000000001</v>
          </cell>
          <cell r="P56">
            <v>19.236000000000001</v>
          </cell>
          <cell r="Q56">
            <v>15.798999999999999</v>
          </cell>
          <cell r="R56">
            <v>13.961</v>
          </cell>
          <cell r="S56">
            <v>14.430999999999999</v>
          </cell>
        </row>
        <row r="57">
          <cell r="B57" t="str">
            <v>PNM</v>
          </cell>
          <cell r="C57" t="str">
            <v xml:space="preserve">PNM Resources                 </v>
          </cell>
          <cell r="D57">
            <v>0</v>
          </cell>
          <cell r="E57">
            <v>19.832000000000001</v>
          </cell>
          <cell r="F57">
            <v>16.847000000000001</v>
          </cell>
          <cell r="G57">
            <v>18.675999999999998</v>
          </cell>
          <cell r="H57">
            <v>16.131</v>
          </cell>
          <cell r="I57">
            <v>14.971</v>
          </cell>
          <cell r="J57">
            <v>14.532</v>
          </cell>
          <cell r="K57">
            <v>14.045</v>
          </cell>
          <cell r="L57">
            <v>18.093</v>
          </cell>
          <cell r="M57" t="str">
            <v>N/A</v>
          </cell>
          <cell r="N57">
            <v>35.649000000000001</v>
          </cell>
          <cell r="O57">
            <v>15.573</v>
          </cell>
          <cell r="P57">
            <v>17.379000000000001</v>
          </cell>
          <cell r="Q57">
            <v>15.021000000000001</v>
          </cell>
          <cell r="R57">
            <v>14.73</v>
          </cell>
          <cell r="S57">
            <v>15.079000000000001</v>
          </cell>
        </row>
        <row r="58">
          <cell r="B58" t="str">
            <v>POR</v>
          </cell>
          <cell r="C58" t="str">
            <v xml:space="preserve">Portland General              </v>
          </cell>
          <cell r="D58">
            <v>0</v>
          </cell>
          <cell r="E58">
            <v>19.058</v>
          </cell>
          <cell r="F58">
            <v>17.713999999999999</v>
          </cell>
          <cell r="G58">
            <v>15.318</v>
          </cell>
          <cell r="H58">
            <v>16.88</v>
          </cell>
          <cell r="I58">
            <v>13.978999999999999</v>
          </cell>
          <cell r="J58">
            <v>12.37</v>
          </cell>
          <cell r="K58">
            <v>12</v>
          </cell>
          <cell r="L58">
            <v>14.395</v>
          </cell>
          <cell r="M58">
            <v>16.295999999999999</v>
          </cell>
          <cell r="N58">
            <v>11.942</v>
          </cell>
          <cell r="O58">
            <v>23.35</v>
          </cell>
          <cell r="P58" t="str">
            <v>N/A</v>
          </cell>
          <cell r="Q58" t="str">
            <v>N/A</v>
          </cell>
          <cell r="R58" t="str">
            <v>N/A</v>
          </cell>
          <cell r="S58" t="str">
            <v>N/A</v>
          </cell>
        </row>
        <row r="59">
          <cell r="B59" t="str">
            <v>PPL</v>
          </cell>
          <cell r="C59" t="str">
            <v xml:space="preserve">PPL Corp.                     </v>
          </cell>
          <cell r="D59">
            <v>0</v>
          </cell>
          <cell r="E59">
            <v>12.829000000000001</v>
          </cell>
          <cell r="F59">
            <v>13.914999999999999</v>
          </cell>
          <cell r="G59">
            <v>14.076000000000001</v>
          </cell>
          <cell r="H59">
            <v>12.843999999999999</v>
          </cell>
          <cell r="I59">
            <v>10.882</v>
          </cell>
          <cell r="J59">
            <v>10.516</v>
          </cell>
          <cell r="K59">
            <v>11.93</v>
          </cell>
          <cell r="L59">
            <v>25.687000000000001</v>
          </cell>
          <cell r="M59">
            <v>17.638000000000002</v>
          </cell>
          <cell r="N59">
            <v>17.262</v>
          </cell>
          <cell r="O59">
            <v>14.1</v>
          </cell>
          <cell r="P59">
            <v>15.116</v>
          </cell>
          <cell r="Q59">
            <v>12.513</v>
          </cell>
          <cell r="R59">
            <v>10.587999999999999</v>
          </cell>
          <cell r="S59">
            <v>11.064</v>
          </cell>
        </row>
        <row r="60">
          <cell r="B60" t="str">
            <v>PEG</v>
          </cell>
          <cell r="C60" t="str">
            <v xml:space="preserve">Public Serv. Enterprise       </v>
          </cell>
          <cell r="D60">
            <v>0</v>
          </cell>
          <cell r="E60">
            <v>15.347</v>
          </cell>
          <cell r="F60">
            <v>12.412000000000001</v>
          </cell>
          <cell r="G60">
            <v>12.614000000000001</v>
          </cell>
          <cell r="H60">
            <v>13.5</v>
          </cell>
          <cell r="I60">
            <v>12.788</v>
          </cell>
          <cell r="J60">
            <v>10.395</v>
          </cell>
          <cell r="K60">
            <v>10.369</v>
          </cell>
          <cell r="L60">
            <v>10.039</v>
          </cell>
          <cell r="M60">
            <v>13.646000000000001</v>
          </cell>
          <cell r="N60">
            <v>16.542999999999999</v>
          </cell>
          <cell r="O60">
            <v>17.808</v>
          </cell>
          <cell r="P60">
            <v>16.738</v>
          </cell>
          <cell r="Q60">
            <v>14.255000000000001</v>
          </cell>
          <cell r="R60">
            <v>10.576000000000001</v>
          </cell>
          <cell r="S60">
            <v>9.9949999999999992</v>
          </cell>
        </row>
        <row r="61">
          <cell r="B61" t="str">
            <v>SCG</v>
          </cell>
          <cell r="C61" t="str">
            <v xml:space="preserve">SCANA Corp.                   </v>
          </cell>
          <cell r="D61">
            <v>0</v>
          </cell>
          <cell r="E61">
            <v>16.795999999999999</v>
          </cell>
          <cell r="F61">
            <v>14.664999999999999</v>
          </cell>
          <cell r="G61">
            <v>13.677</v>
          </cell>
          <cell r="H61">
            <v>14.427</v>
          </cell>
          <cell r="I61">
            <v>14.798999999999999</v>
          </cell>
          <cell r="J61">
            <v>13.670999999999999</v>
          </cell>
          <cell r="K61">
            <v>12.933999999999999</v>
          </cell>
          <cell r="L61">
            <v>11.625999999999999</v>
          </cell>
          <cell r="M61">
            <v>12.667</v>
          </cell>
          <cell r="N61">
            <v>14.957000000000001</v>
          </cell>
          <cell r="O61">
            <v>15.42</v>
          </cell>
          <cell r="P61">
            <v>14.444000000000001</v>
          </cell>
          <cell r="Q61">
            <v>13.568</v>
          </cell>
          <cell r="R61">
            <v>13.045</v>
          </cell>
          <cell r="S61">
            <v>12.167</v>
          </cell>
        </row>
        <row r="62">
          <cell r="B62" t="str">
            <v>SRE</v>
          </cell>
          <cell r="C62" t="str">
            <v xml:space="preserve">Sempra Energy                 </v>
          </cell>
          <cell r="D62">
            <v>0</v>
          </cell>
          <cell r="E62">
            <v>24.373000000000001</v>
          </cell>
          <cell r="F62">
            <v>19.725999999999999</v>
          </cell>
          <cell r="G62">
            <v>21.870999999999999</v>
          </cell>
          <cell r="H62">
            <v>19.684000000000001</v>
          </cell>
          <cell r="I62">
            <v>14.888</v>
          </cell>
          <cell r="J62">
            <v>11.771000000000001</v>
          </cell>
          <cell r="K62">
            <v>12.595000000000001</v>
          </cell>
          <cell r="L62">
            <v>10.09</v>
          </cell>
          <cell r="M62">
            <v>11.8</v>
          </cell>
          <cell r="N62">
            <v>14.007</v>
          </cell>
          <cell r="O62">
            <v>11.500999999999999</v>
          </cell>
          <cell r="P62">
            <v>11.794</v>
          </cell>
          <cell r="Q62">
            <v>8.6470000000000002</v>
          </cell>
          <cell r="R62">
            <v>8.9589999999999996</v>
          </cell>
          <cell r="S62">
            <v>8.19</v>
          </cell>
        </row>
        <row r="63">
          <cell r="B63" t="str">
            <v>SRP</v>
          </cell>
          <cell r="C63" t="str">
            <v xml:space="preserve">Sierra Pacific Res.           </v>
          </cell>
          <cell r="D63">
            <v>0</v>
          </cell>
          <cell r="E63" t="str">
            <v>N/A</v>
          </cell>
          <cell r="F63" t="str">
            <v>N/A</v>
          </cell>
          <cell r="G63" t="str">
            <v>N/A</v>
          </cell>
          <cell r="H63" t="str">
            <v>N/A</v>
          </cell>
          <cell r="I63" t="str">
            <v>N/A</v>
          </cell>
          <cell r="J63" t="str">
            <v>N/A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N/A</v>
          </cell>
          <cell r="Q63">
            <v>20.948</v>
          </cell>
          <cell r="R63" t="str">
            <v>N/A</v>
          </cell>
          <cell r="S63" t="str">
            <v>N/A</v>
          </cell>
        </row>
        <row r="64">
          <cell r="B64" t="str">
            <v>SJW</v>
          </cell>
          <cell r="C64" t="str">
            <v>SJW Corp.</v>
          </cell>
          <cell r="D64">
            <v>0</v>
          </cell>
          <cell r="E64">
            <v>15.676</v>
          </cell>
          <cell r="F64">
            <v>16.641999999999999</v>
          </cell>
          <cell r="G64">
            <v>11.188000000000001</v>
          </cell>
          <cell r="H64">
            <v>24.338000000000001</v>
          </cell>
          <cell r="I64">
            <v>20.366</v>
          </cell>
          <cell r="J64">
            <v>21.173999999999999</v>
          </cell>
          <cell r="K64">
            <v>29.123000000000001</v>
          </cell>
          <cell r="L64">
            <v>28.667000000000002</v>
          </cell>
          <cell r="M64">
            <v>26.238</v>
          </cell>
          <cell r="N64">
            <v>33.427</v>
          </cell>
          <cell r="O64">
            <v>23.507999999999999</v>
          </cell>
        </row>
        <row r="65">
          <cell r="B65" t="str">
            <v>SJI</v>
          </cell>
          <cell r="C65" t="str">
            <v>South Jersey Inds.</v>
          </cell>
          <cell r="D65">
            <v>0</v>
          </cell>
          <cell r="E65">
            <v>21.713999999999999</v>
          </cell>
          <cell r="F65">
            <v>17.949000000000002</v>
          </cell>
          <cell r="G65">
            <v>18.033999999999999</v>
          </cell>
          <cell r="H65">
            <v>18.902999999999999</v>
          </cell>
          <cell r="I65">
            <v>16.934999999999999</v>
          </cell>
          <cell r="J65">
            <v>18.481999999999999</v>
          </cell>
          <cell r="K65">
            <v>16.806999999999999</v>
          </cell>
          <cell r="L65">
            <v>14.955</v>
          </cell>
          <cell r="M65">
            <v>15.897</v>
          </cell>
          <cell r="N65">
            <v>17.181000000000001</v>
          </cell>
          <cell r="O65">
            <v>11.858000000000001</v>
          </cell>
        </row>
        <row r="66">
          <cell r="B66" t="str">
            <v>SO</v>
          </cell>
          <cell r="C66" t="str">
            <v xml:space="preserve">Southern Co.                  </v>
          </cell>
          <cell r="D66">
            <v>0</v>
          </cell>
          <cell r="E66">
            <v>17.757999999999999</v>
          </cell>
          <cell r="F66">
            <v>15.849</v>
          </cell>
          <cell r="G66">
            <v>16.044</v>
          </cell>
          <cell r="H66">
            <v>16.186</v>
          </cell>
          <cell r="I66">
            <v>16.968</v>
          </cell>
          <cell r="J66">
            <v>15.847</v>
          </cell>
          <cell r="K66">
            <v>14.897</v>
          </cell>
          <cell r="L66">
            <v>13.521000000000001</v>
          </cell>
          <cell r="M66">
            <v>16.126999999999999</v>
          </cell>
          <cell r="N66">
            <v>15.952</v>
          </cell>
          <cell r="O66">
            <v>16.189</v>
          </cell>
          <cell r="P66">
            <v>15.917</v>
          </cell>
          <cell r="Q66">
            <v>14.683999999999999</v>
          </cell>
          <cell r="R66">
            <v>14.831</v>
          </cell>
          <cell r="S66">
            <v>14.632</v>
          </cell>
        </row>
        <row r="67">
          <cell r="B67" t="str">
            <v>SWX</v>
          </cell>
          <cell r="C67" t="str">
            <v>Southwest Gas</v>
          </cell>
          <cell r="D67">
            <v>0</v>
          </cell>
          <cell r="E67">
            <v>21.643000000000001</v>
          </cell>
          <cell r="F67">
            <v>19.353999999999999</v>
          </cell>
          <cell r="G67">
            <v>17.86</v>
          </cell>
          <cell r="H67">
            <v>15.757</v>
          </cell>
          <cell r="I67">
            <v>15.002000000000001</v>
          </cell>
          <cell r="J67">
            <v>15.688000000000001</v>
          </cell>
          <cell r="K67">
            <v>13.968999999999999</v>
          </cell>
          <cell r="L67">
            <v>12.199</v>
          </cell>
          <cell r="M67">
            <v>20.268999999999998</v>
          </cell>
          <cell r="N67">
            <v>17.260999999999999</v>
          </cell>
          <cell r="O67">
            <v>15.936999999999999</v>
          </cell>
        </row>
        <row r="68">
          <cell r="B68" t="str">
            <v>SR</v>
          </cell>
          <cell r="C68" t="str">
            <v>Spire Inc.</v>
          </cell>
          <cell r="D68">
            <v>0</v>
          </cell>
          <cell r="E68">
            <v>19.614000000000001</v>
          </cell>
          <cell r="F68">
            <v>16.486999999999998</v>
          </cell>
          <cell r="G68">
            <v>19.797999999999998</v>
          </cell>
          <cell r="H68">
            <v>21.253</v>
          </cell>
          <cell r="I68">
            <v>14.46</v>
          </cell>
          <cell r="J68">
            <v>13.047000000000001</v>
          </cell>
          <cell r="K68">
            <v>13.739000000000001</v>
          </cell>
          <cell r="L68">
            <v>13.388999999999999</v>
          </cell>
          <cell r="M68">
            <v>14.314</v>
          </cell>
          <cell r="N68">
            <v>14.185</v>
          </cell>
          <cell r="O68">
            <v>13.6</v>
          </cell>
        </row>
        <row r="69">
          <cell r="B69" t="str">
            <v>TE</v>
          </cell>
          <cell r="C69" t="str">
            <v xml:space="preserve">TECO Energy                   </v>
          </cell>
          <cell r="D69">
            <v>0</v>
          </cell>
          <cell r="E69" t="str">
            <v>N/A</v>
          </cell>
          <cell r="F69" t="e">
            <v>#N/A</v>
          </cell>
          <cell r="G69" t="e">
            <v>#N/A</v>
          </cell>
          <cell r="H69" t="e">
            <v>#N/A</v>
          </cell>
          <cell r="I69" t="e">
            <v>#N/A</v>
          </cell>
          <cell r="J69" t="e">
            <v>#N/A</v>
          </cell>
          <cell r="K69" t="e">
            <v>#N/A</v>
          </cell>
          <cell r="L69" t="e">
            <v>#N/A</v>
          </cell>
          <cell r="M69" t="e">
            <v>#N/A</v>
          </cell>
          <cell r="N69" t="e">
            <v>#N/A</v>
          </cell>
          <cell r="O69" t="e">
            <v>#N/A</v>
          </cell>
          <cell r="P69">
            <v>17.085000000000001</v>
          </cell>
          <cell r="Q69">
            <v>19.3</v>
          </cell>
          <cell r="R69" t="str">
            <v>NMF</v>
          </cell>
          <cell r="S69">
            <v>10.968</v>
          </cell>
        </row>
        <row r="70">
          <cell r="B70" t="str">
            <v>UGI</v>
          </cell>
          <cell r="C70" t="str">
            <v>UGI Corp.</v>
          </cell>
          <cell r="D70">
            <v>0</v>
          </cell>
          <cell r="E70">
            <v>19.327999999999999</v>
          </cell>
          <cell r="F70">
            <v>17.713999999999999</v>
          </cell>
          <cell r="G70">
            <v>15.805</v>
          </cell>
          <cell r="H70">
            <v>15.435</v>
          </cell>
          <cell r="I70">
            <v>16.378</v>
          </cell>
          <cell r="J70">
            <v>15.028</v>
          </cell>
          <cell r="K70">
            <v>10.863</v>
          </cell>
          <cell r="L70">
            <v>10.295</v>
          </cell>
          <cell r="M70">
            <v>13.301</v>
          </cell>
          <cell r="N70">
            <v>15.144</v>
          </cell>
          <cell r="O70">
            <v>13.965</v>
          </cell>
        </row>
        <row r="71">
          <cell r="B71" t="str">
            <v>UIL</v>
          </cell>
          <cell r="C71" t="str">
            <v xml:space="preserve">UIL Holdings                  </v>
          </cell>
          <cell r="D71">
            <v>0</v>
          </cell>
          <cell r="E71" t="str">
            <v>N/A</v>
          </cell>
          <cell r="F71" t="str">
            <v>N/A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>
            <v>18.701000000000001</v>
          </cell>
          <cell r="R71">
            <v>18.036999999999999</v>
          </cell>
          <cell r="S71">
            <v>14.98</v>
          </cell>
        </row>
        <row r="72">
          <cell r="B72" t="str">
            <v>UNS</v>
          </cell>
          <cell r="C72" t="str">
            <v xml:space="preserve">UniSource Energy              </v>
          </cell>
          <cell r="D72">
            <v>0</v>
          </cell>
          <cell r="E72" t="str">
            <v>N/A</v>
          </cell>
          <cell r="F72" t="str">
            <v>N/A</v>
          </cell>
          <cell r="G72" t="str">
            <v>N/A</v>
          </cell>
          <cell r="H72" t="str">
            <v>N/A</v>
          </cell>
          <cell r="I72" t="str">
            <v>N/A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>
            <v>18.716999999999999</v>
          </cell>
          <cell r="R72">
            <v>14.595000000000001</v>
          </cell>
          <cell r="S72">
            <v>18.231999999999999</v>
          </cell>
        </row>
        <row r="73">
          <cell r="B73" t="str">
            <v>UTL</v>
          </cell>
          <cell r="C73" t="str">
            <v xml:space="preserve">UNITIL Corp.                  </v>
          </cell>
          <cell r="D73">
            <v>0</v>
          </cell>
          <cell r="E73">
            <v>20.963999999999999</v>
          </cell>
          <cell r="F73">
            <v>18.53</v>
          </cell>
          <cell r="G73">
            <v>18.391999999999999</v>
          </cell>
          <cell r="H73">
            <v>18.495000000000001</v>
          </cell>
          <cell r="I73">
            <v>18.684999999999999</v>
          </cell>
          <cell r="J73">
            <v>16.785</v>
          </cell>
          <cell r="K73">
            <v>25.105</v>
          </cell>
          <cell r="L73">
            <v>20.309999999999999</v>
          </cell>
          <cell r="M73">
            <v>15.818</v>
          </cell>
          <cell r="N73">
            <v>18.376000000000001</v>
          </cell>
          <cell r="O73">
            <v>17.617999999999999</v>
          </cell>
          <cell r="P73">
            <v>17.774999999999999</v>
          </cell>
          <cell r="Q73">
            <v>18.581</v>
          </cell>
          <cell r="R73">
            <v>15.772</v>
          </cell>
          <cell r="S73">
            <v>21.882000000000001</v>
          </cell>
        </row>
        <row r="74">
          <cell r="B74" t="str">
            <v>VVC</v>
          </cell>
          <cell r="C74" t="str">
            <v xml:space="preserve">Vectren Corp.                 </v>
          </cell>
          <cell r="D74">
            <v>0</v>
          </cell>
          <cell r="E74">
            <v>19.178000000000001</v>
          </cell>
          <cell r="F74">
            <v>17.922000000000001</v>
          </cell>
          <cell r="G74">
            <v>19.983000000000001</v>
          </cell>
          <cell r="H74">
            <v>20.664000000000001</v>
          </cell>
          <cell r="I74">
            <v>15.018000000000001</v>
          </cell>
          <cell r="J74">
            <v>15.826000000000001</v>
          </cell>
          <cell r="K74">
            <v>15.102</v>
          </cell>
          <cell r="L74">
            <v>12.891</v>
          </cell>
          <cell r="M74">
            <v>16.788</v>
          </cell>
          <cell r="N74">
            <v>15.334</v>
          </cell>
          <cell r="O74">
            <v>18.917000000000002</v>
          </cell>
          <cell r="P74">
            <v>15.106</v>
          </cell>
          <cell r="Q74">
            <v>17.57</v>
          </cell>
          <cell r="R74">
            <v>14.795999999999999</v>
          </cell>
          <cell r="S74">
            <v>14.157</v>
          </cell>
        </row>
        <row r="75">
          <cell r="B75" t="str">
            <v>WEC</v>
          </cell>
          <cell r="C75" t="str">
            <v>WEC Energy Group</v>
          </cell>
          <cell r="D75">
            <v>0</v>
          </cell>
          <cell r="E75">
            <v>19.946999999999999</v>
          </cell>
          <cell r="F75">
            <v>21.334</v>
          </cell>
          <cell r="G75">
            <v>17.71</v>
          </cell>
          <cell r="H75">
            <v>16.504000000000001</v>
          </cell>
          <cell r="I75">
            <v>15.757</v>
          </cell>
          <cell r="J75">
            <v>14.249000000000001</v>
          </cell>
          <cell r="K75">
            <v>14.01</v>
          </cell>
          <cell r="L75">
            <v>13.346</v>
          </cell>
          <cell r="M75">
            <v>14.772</v>
          </cell>
          <cell r="N75">
            <v>16.472000000000001</v>
          </cell>
          <cell r="O75">
            <v>15.967000000000001</v>
          </cell>
          <cell r="P75">
            <v>14.462999999999999</v>
          </cell>
          <cell r="Q75">
            <v>17.513999999999999</v>
          </cell>
          <cell r="R75">
            <v>12.427</v>
          </cell>
          <cell r="S75">
            <v>10.459</v>
          </cell>
        </row>
        <row r="76">
          <cell r="B76" t="str">
            <v>WR</v>
          </cell>
          <cell r="C76" t="str">
            <v xml:space="preserve">Westar Energy                 </v>
          </cell>
          <cell r="D76">
            <v>0</v>
          </cell>
          <cell r="E76">
            <v>21.585999999999999</v>
          </cell>
          <cell r="F76">
            <v>18.454000000000001</v>
          </cell>
          <cell r="G76">
            <v>15.358000000000001</v>
          </cell>
          <cell r="H76">
            <v>14.037000000000001</v>
          </cell>
          <cell r="I76">
            <v>13.43</v>
          </cell>
          <cell r="J76">
            <v>14.778</v>
          </cell>
          <cell r="K76">
            <v>12.957000000000001</v>
          </cell>
          <cell r="L76">
            <v>14.946999999999999</v>
          </cell>
          <cell r="M76">
            <v>16.963000000000001</v>
          </cell>
          <cell r="N76">
            <v>14.103</v>
          </cell>
          <cell r="O76">
            <v>12.177</v>
          </cell>
          <cell r="P76">
            <v>14.785</v>
          </cell>
          <cell r="Q76">
            <v>17.436</v>
          </cell>
          <cell r="R76">
            <v>10.781000000000001</v>
          </cell>
          <cell r="S76">
            <v>14.023</v>
          </cell>
        </row>
        <row r="77">
          <cell r="B77" t="str">
            <v>WGL</v>
          </cell>
          <cell r="C77" t="str">
            <v>WGL Holdings Inc.</v>
          </cell>
          <cell r="D77">
            <v>0</v>
          </cell>
          <cell r="E77">
            <v>20.047999999999998</v>
          </cell>
          <cell r="F77">
            <v>16.992999999999999</v>
          </cell>
          <cell r="G77">
            <v>15.151</v>
          </cell>
          <cell r="H77">
            <v>18.245000000000001</v>
          </cell>
          <cell r="I77">
            <v>15.268000000000001</v>
          </cell>
          <cell r="J77">
            <v>16.972000000000001</v>
          </cell>
          <cell r="K77">
            <v>15.111000000000001</v>
          </cell>
          <cell r="L77">
            <v>12.584</v>
          </cell>
          <cell r="M77">
            <v>13.661</v>
          </cell>
          <cell r="N77">
            <v>15.603999999999999</v>
          </cell>
          <cell r="O77">
            <v>15.46</v>
          </cell>
        </row>
        <row r="78">
          <cell r="B78" t="str">
            <v>XEL</v>
          </cell>
          <cell r="C78" t="str">
            <v xml:space="preserve">Xcel Energy Inc.              </v>
          </cell>
          <cell r="D78">
            <v>0</v>
          </cell>
          <cell r="E78">
            <v>18.475000000000001</v>
          </cell>
          <cell r="F78">
            <v>16.538</v>
          </cell>
          <cell r="G78">
            <v>15.44</v>
          </cell>
          <cell r="H78">
            <v>15.039</v>
          </cell>
          <cell r="I78">
            <v>14.821999999999999</v>
          </cell>
          <cell r="J78">
            <v>14.242000000000001</v>
          </cell>
          <cell r="K78">
            <v>14.129</v>
          </cell>
          <cell r="L78">
            <v>12.664</v>
          </cell>
          <cell r="M78">
            <v>13.686</v>
          </cell>
          <cell r="N78">
            <v>16.652999999999999</v>
          </cell>
          <cell r="O78">
            <v>14.801</v>
          </cell>
          <cell r="P78">
            <v>15.362</v>
          </cell>
          <cell r="Q78">
            <v>13.648</v>
          </cell>
          <cell r="R78">
            <v>11.616</v>
          </cell>
          <cell r="S78">
            <v>40.799999999999997</v>
          </cell>
        </row>
        <row r="79">
          <cell r="B79" t="str">
            <v>YORW</v>
          </cell>
          <cell r="C79" t="str">
            <v>York Water Co. (The)</v>
          </cell>
          <cell r="D79">
            <v>0</v>
          </cell>
          <cell r="E79" t="str">
            <v>N/A</v>
          </cell>
          <cell r="F79">
            <v>23.523</v>
          </cell>
          <cell r="G79">
            <v>23.065999999999999</v>
          </cell>
          <cell r="H79">
            <v>26.263000000000002</v>
          </cell>
          <cell r="I79">
            <v>24.443999999999999</v>
          </cell>
          <cell r="J79">
            <v>23.905999999999999</v>
          </cell>
          <cell r="K79">
            <v>20.72</v>
          </cell>
          <cell r="L79">
            <v>21.867000000000001</v>
          </cell>
          <cell r="M79">
            <v>24.574999999999999</v>
          </cell>
          <cell r="N79">
            <v>30.263000000000002</v>
          </cell>
          <cell r="O79">
            <v>31.248000000000001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</sheetData>
      <sheetData sheetId="19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8.2644441305269112</v>
          </cell>
          <cell r="H5">
            <v>7.4948453608247423</v>
          </cell>
          <cell r="I5">
            <v>8.8042290748898679</v>
          </cell>
          <cell r="J5">
            <v>9.1492984097287184</v>
          </cell>
          <cell r="K5">
            <v>8.1817092651757175</v>
          </cell>
          <cell r="L5">
            <v>7.9102198697068395</v>
          </cell>
          <cell r="M5">
            <v>8.0392922794117645</v>
          </cell>
          <cell r="N5">
            <v>8.5107812937552509</v>
          </cell>
          <cell r="O5">
            <v>9.2917552563193961</v>
          </cell>
          <cell r="P5">
            <v>10.302330844082373</v>
          </cell>
          <cell r="Q5">
            <v>11.056694813027745</v>
          </cell>
          <cell r="R5">
            <v>11.543020535482194</v>
          </cell>
          <cell r="S5">
            <v>11.46027</v>
          </cell>
          <cell r="T5" t="str">
            <v>N/A</v>
          </cell>
          <cell r="U5" t="str">
            <v>N/A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10.666956521739131</v>
          </cell>
          <cell r="H6">
            <v>8.8627394080092863</v>
          </cell>
          <cell r="I6">
            <v>8.3958151700087189</v>
          </cell>
          <cell r="J6">
            <v>7.5191502094554163</v>
          </cell>
          <cell r="K6">
            <v>7.4996607869742204</v>
          </cell>
          <cell r="L6">
            <v>7.2149600580973132</v>
          </cell>
          <cell r="M6">
            <v>6.5860215053763431</v>
          </cell>
          <cell r="N6">
            <v>6.2287208749405609</v>
          </cell>
          <cell r="O6">
            <v>7.4890254609306401</v>
          </cell>
          <cell r="P6">
            <v>7.924579914028917</v>
          </cell>
          <cell r="Q6">
            <v>8.0023094688221708</v>
          </cell>
          <cell r="R6">
            <v>5.0915080527086376</v>
          </cell>
          <cell r="S6">
            <v>5.5218499999999997</v>
          </cell>
          <cell r="T6">
            <v>4.7578800000000001</v>
          </cell>
          <cell r="U6">
            <v>5.2005309999999998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15.338882722900481</v>
          </cell>
          <cell r="H7">
            <v>14.08508365966536</v>
          </cell>
          <cell r="I7">
            <v>11.824962518740628</v>
          </cell>
          <cell r="J7">
            <v>10.413715146948004</v>
          </cell>
          <cell r="K7">
            <v>8.1306451612903228</v>
          </cell>
          <cell r="L7">
            <v>8.0675422138836765</v>
          </cell>
          <cell r="M7">
            <v>8.25626477541371</v>
          </cell>
          <cell r="N7">
            <v>10.087544065804936</v>
          </cell>
          <cell r="O7">
            <v>10.381376037959669</v>
          </cell>
          <cell r="P7">
            <v>11.762250453720508</v>
          </cell>
          <cell r="Q7">
            <v>12.743607463718037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13.800418171450294</v>
          </cell>
          <cell r="H8">
            <v>10.549688230709275</v>
          </cell>
          <cell r="I8">
            <v>10.065432358510414</v>
          </cell>
          <cell r="J8">
            <v>9.4051387933012158</v>
          </cell>
          <cell r="K8">
            <v>8.2557377049180349</v>
          </cell>
          <cell r="L8">
            <v>7.735742971887551</v>
          </cell>
          <cell r="M8">
            <v>6.2856339612032617</v>
          </cell>
          <cell r="N8">
            <v>6.769657083477659</v>
          </cell>
          <cell r="O8">
            <v>7.2631762652705056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7.4442757364105674</v>
          </cell>
          <cell r="H9">
            <v>6.8692219114986024</v>
          </cell>
          <cell r="I9">
            <v>6.9488734835355288</v>
          </cell>
          <cell r="J9">
            <v>6.6104440632742527</v>
          </cell>
          <cell r="K9">
            <v>5.4788012940575515</v>
          </cell>
          <cell r="L9">
            <v>5.0182158665304737</v>
          </cell>
          <cell r="M9">
            <v>4.2268057531215426</v>
          </cell>
          <cell r="N9">
            <v>4.2504540201419845</v>
          </cell>
          <cell r="O9">
            <v>6.3536263394937107</v>
          </cell>
          <cell r="P9">
            <v>7.6877587226493196</v>
          </cell>
          <cell r="Q9">
            <v>8.5713098404255312</v>
          </cell>
          <cell r="R9">
            <v>8.5745657161586362</v>
          </cell>
          <cell r="S9">
            <v>8.241695</v>
          </cell>
          <cell r="T9">
            <v>6.7395110000000003</v>
          </cell>
          <cell r="U9">
            <v>7.9554590000000003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7.5706695005313502</v>
          </cell>
          <cell r="H10">
            <v>7.0949993733550567</v>
          </cell>
          <cell r="I10">
            <v>7</v>
          </cell>
          <cell r="J10">
            <v>6.5675406098603597</v>
          </cell>
          <cell r="K10">
            <v>5.9286127167630065</v>
          </cell>
          <cell r="L10">
            <v>5.4648403164371517</v>
          </cell>
          <cell r="M10">
            <v>5.5438652256834073</v>
          </cell>
          <cell r="N10">
            <v>4.7136529030216741</v>
          </cell>
          <cell r="O10">
            <v>5.7125511995318901</v>
          </cell>
          <cell r="P10">
            <v>6.8440717858193594</v>
          </cell>
          <cell r="Q10">
            <v>5.5355428914217155</v>
          </cell>
          <cell r="R10">
            <v>6.0654252642174127</v>
          </cell>
          <cell r="S10">
            <v>5.5033099999999999</v>
          </cell>
          <cell r="T10">
            <v>4.6854269999999998</v>
          </cell>
          <cell r="U10">
            <v>5.1870079999999996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15.216908212560387</v>
          </cell>
          <cell r="H11">
            <v>14.316239316239315</v>
          </cell>
          <cell r="I11">
            <v>13.202437731849496</v>
          </cell>
          <cell r="J11">
            <v>13.484632272228319</v>
          </cell>
          <cell r="K11">
            <v>12.668211920529803</v>
          </cell>
          <cell r="L11">
            <v>12.214088397790055</v>
          </cell>
          <cell r="M11">
            <v>10.679802955665025</v>
          </cell>
          <cell r="N11">
            <v>11.07081712062257</v>
          </cell>
          <cell r="O11">
            <v>12.815140845070424</v>
          </cell>
          <cell r="P11">
            <v>16.537340619307834</v>
          </cell>
          <cell r="Q11">
            <v>19.241584158415844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11.359670382937471</v>
          </cell>
          <cell r="H12">
            <v>9.3031137106485478</v>
          </cell>
          <cell r="I12">
            <v>8.7932434927081413</v>
          </cell>
          <cell r="J12">
            <v>7.7219303366413694</v>
          </cell>
          <cell r="K12">
            <v>7.0247795044099117</v>
          </cell>
          <cell r="L12">
            <v>6.8703939008894528</v>
          </cell>
          <cell r="M12">
            <v>6.1520051746442439</v>
          </cell>
          <cell r="N12">
            <v>5.7602611940298498</v>
          </cell>
          <cell r="O12">
            <v>6.4796088719294067</v>
          </cell>
          <cell r="P12">
            <v>7.443772672309553</v>
          </cell>
          <cell r="Q12">
            <v>6.3552631578947363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8.563739974672858</v>
          </cell>
          <cell r="H13">
            <v>11.301765650080256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 t="str">
            <v>N/A</v>
          </cell>
          <cell r="T13" t="str">
            <v>N/A</v>
          </cell>
          <cell r="U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7.6315391879131251</v>
          </cell>
          <cell r="H14">
            <v>6.7580743449116394</v>
          </cell>
          <cell r="I14">
            <v>7.3000459136822773</v>
          </cell>
          <cell r="J14">
            <v>6.2096330275229361</v>
          </cell>
          <cell r="K14">
            <v>6.882464198865172</v>
          </cell>
          <cell r="L14">
            <v>6.404125892620999</v>
          </cell>
          <cell r="M14">
            <v>5.8034235229155167</v>
          </cell>
          <cell r="N14">
            <v>4.0559928041376203</v>
          </cell>
          <cell r="O14">
            <v>5.1186525892408241</v>
          </cell>
          <cell r="P14">
            <v>7.5844421699078817</v>
          </cell>
          <cell r="Q14">
            <v>5.2971201123858576</v>
          </cell>
          <cell r="R14">
            <v>6.582413539367181</v>
          </cell>
          <cell r="S14">
            <v>7.5796849999999996</v>
          </cell>
          <cell r="T14">
            <v>5.3602889999999999</v>
          </cell>
          <cell r="U14">
            <v>5.8981279999999998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9.3268098647573581</v>
          </cell>
          <cell r="H15">
            <v>8.0614298323036184</v>
          </cell>
          <cell r="I15">
            <v>8.8062449959967974</v>
          </cell>
          <cell r="J15">
            <v>8.0283353010625742</v>
          </cell>
          <cell r="K15">
            <v>6.0373881932021476</v>
          </cell>
          <cell r="L15">
            <v>7.8482276585122319</v>
          </cell>
          <cell r="M15">
            <v>6.1607875307629199</v>
          </cell>
          <cell r="N15">
            <v>4.2542028450027702</v>
          </cell>
          <cell r="O15">
            <v>11.257026752455131</v>
          </cell>
          <cell r="P15">
            <v>7.6150936258747874</v>
          </cell>
          <cell r="Q15">
            <v>6.9166335847558544</v>
          </cell>
          <cell r="R15">
            <v>7.5738045738045745</v>
          </cell>
          <cell r="S15">
            <v>6.6870099999999999</v>
          </cell>
          <cell r="T15">
            <v>6.8855000000000004</v>
          </cell>
          <cell r="U15">
            <v>5.9184089999999996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12.791969243912858</v>
          </cell>
          <cell r="H16">
            <v>10.489639639639638</v>
          </cell>
          <cell r="I16">
            <v>9.4981759221726794</v>
          </cell>
          <cell r="J16">
            <v>9.2844866576209863</v>
          </cell>
          <cell r="K16">
            <v>7.8671268334771352</v>
          </cell>
          <cell r="L16">
            <v>8.8481624758220487</v>
          </cell>
          <cell r="M16">
            <v>9.5067287784679095</v>
          </cell>
          <cell r="N16">
            <v>9.9245087900723892</v>
          </cell>
          <cell r="O16">
            <v>10.090274046211713</v>
          </cell>
          <cell r="P16">
            <v>12.511523687580025</v>
          </cell>
          <cell r="Q16">
            <v>14.436256448047162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5.957041870581838</v>
          </cell>
          <cell r="H17">
            <v>5.7488235294117649</v>
          </cell>
          <cell r="I17">
            <v>6.2537003375746556</v>
          </cell>
          <cell r="J17">
            <v>6.5611064069997171</v>
          </cell>
          <cell r="K17">
            <v>5.1511179645335385</v>
          </cell>
          <cell r="L17">
            <v>5.3933566433566442</v>
          </cell>
          <cell r="M17">
            <v>4.6976744186046515</v>
          </cell>
          <cell r="N17">
            <v>4.0547432845970759</v>
          </cell>
          <cell r="O17">
            <v>4.2873025160912812</v>
          </cell>
          <cell r="P17">
            <v>5.1730032419687593</v>
          </cell>
          <cell r="Q17">
            <v>3.938834391229082</v>
          </cell>
          <cell r="R17">
            <v>4.698932646301067</v>
          </cell>
          <cell r="S17">
            <v>4.2561600000000004</v>
          </cell>
          <cell r="T17">
            <v>2.080613</v>
          </cell>
          <cell r="U17">
            <v>2.1596289999999998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  <cell r="R18" t="str">
            <v>N/A</v>
          </cell>
          <cell r="S18">
            <v>9.4581719999999994</v>
          </cell>
          <cell r="T18">
            <v>8.6922759999999997</v>
          </cell>
          <cell r="U18">
            <v>11.4496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12.061785783459229</v>
          </cell>
          <cell r="H19">
            <v>10.156175771971498</v>
          </cell>
          <cell r="I19">
            <v>9.2457179107633749</v>
          </cell>
          <cell r="J19">
            <v>8.1181880892159111</v>
          </cell>
          <cell r="K19">
            <v>7.4640870005058169</v>
          </cell>
          <cell r="L19">
            <v>7.3488876831253398</v>
          </cell>
          <cell r="M19">
            <v>6.3584096109839816</v>
          </cell>
          <cell r="N19">
            <v>9.4753258845437625</v>
          </cell>
          <cell r="O19">
            <v>7.8808000000000007</v>
          </cell>
          <cell r="P19">
            <v>8.5781746031746042</v>
          </cell>
          <cell r="Q19">
            <v>9.4022038567493116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>
            <v>7.0826840000000004</v>
          </cell>
          <cell r="T20">
            <v>5.2404299999999999</v>
          </cell>
          <cell r="U20">
            <v>6.100295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8.5008200082000815</v>
          </cell>
          <cell r="H21">
            <v>7.5266710211190944</v>
          </cell>
          <cell r="I21">
            <v>7.1293225959261006</v>
          </cell>
          <cell r="J21">
            <v>6.6755358462675529</v>
          </cell>
          <cell r="K21">
            <v>6.0340225071970686</v>
          </cell>
          <cell r="L21">
            <v>5.405805038335159</v>
          </cell>
          <cell r="M21">
            <v>4.4751485683414369</v>
          </cell>
          <cell r="N21">
            <v>3.6362849725987885</v>
          </cell>
          <cell r="O21">
            <v>3.4463641052088705</v>
          </cell>
          <cell r="P21">
            <v>5.5730045425048669</v>
          </cell>
          <cell r="Q21">
            <v>4.4045919950356813</v>
          </cell>
          <cell r="R21">
            <v>4.0422863808690588</v>
          </cell>
          <cell r="S21">
            <v>3.1967210000000001</v>
          </cell>
          <cell r="T21">
            <v>2.876099</v>
          </cell>
          <cell r="U21" t="str">
            <v>NMF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14.623490338164252</v>
          </cell>
          <cell r="H22">
            <v>11.275786163522012</v>
          </cell>
          <cell r="I22">
            <v>11.319313593539704</v>
          </cell>
          <cell r="J22">
            <v>11.597185241536707</v>
          </cell>
          <cell r="K22">
            <v>11.221717744986758</v>
          </cell>
          <cell r="L22">
            <v>12.344418052256533</v>
          </cell>
          <cell r="M22">
            <v>11.454634624816086</v>
          </cell>
          <cell r="N22">
            <v>11.330574236937403</v>
          </cell>
          <cell r="O22">
            <v>12.644398766700926</v>
          </cell>
          <cell r="P22">
            <v>12.717746182201159</v>
          </cell>
          <cell r="Q22">
            <v>15.461791831357049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9.3949270767279636</v>
          </cell>
          <cell r="H23">
            <v>7.963546922300706</v>
          </cell>
          <cell r="I23">
            <v>7.8885843497327679</v>
          </cell>
          <cell r="J23">
            <v>7.7697059218477236</v>
          </cell>
          <cell r="K23">
            <v>8.3131821998320738</v>
          </cell>
          <cell r="L23">
            <v>8.1457545028000613</v>
          </cell>
          <cell r="M23">
            <v>7.3884707766212969</v>
          </cell>
          <cell r="N23">
            <v>6.7200614124872056</v>
          </cell>
          <cell r="O23">
            <v>6.8936205744822976</v>
          </cell>
          <cell r="P23">
            <v>8.3095980595980592</v>
          </cell>
          <cell r="Q23">
            <v>8.6531540064406141</v>
          </cell>
          <cell r="R23">
            <v>8.5887602050503133</v>
          </cell>
          <cell r="S23">
            <v>9.3134920000000001</v>
          </cell>
          <cell r="T23">
            <v>7.8992769999999997</v>
          </cell>
          <cell r="U23">
            <v>7.6411100000000003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12.681341719077569</v>
          </cell>
          <cell r="H24">
            <v>12.988776655443322</v>
          </cell>
          <cell r="I24">
            <v>14.85125</v>
          </cell>
          <cell r="J24">
            <v>12.134796238244514</v>
          </cell>
          <cell r="K24">
            <v>6.8080548414738642</v>
          </cell>
          <cell r="L24">
            <v>11.31768953068592</v>
          </cell>
          <cell r="M24">
            <v>13.371527777777779</v>
          </cell>
          <cell r="N24">
            <v>11.934745762711865</v>
          </cell>
          <cell r="O24">
            <v>19.910432033719704</v>
          </cell>
          <cell r="P24">
            <v>23.259567387687188</v>
          </cell>
          <cell r="Q24">
            <v>29.194252873563219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11.594436541804964</v>
          </cell>
          <cell r="H25">
            <v>11.837733957219251</v>
          </cell>
          <cell r="I25">
            <v>12.270753064798599</v>
          </cell>
          <cell r="J25">
            <v>10.877263581488934</v>
          </cell>
          <cell r="K25">
            <v>9.9176201372997728</v>
          </cell>
          <cell r="L25">
            <v>9.4481665014866199</v>
          </cell>
          <cell r="M25">
            <v>8.1228207639569039</v>
          </cell>
          <cell r="N25">
            <v>6.9848421926910307</v>
          </cell>
          <cell r="O25">
            <v>8.2672192618906646</v>
          </cell>
          <cell r="P25">
            <v>8.6465262743554412</v>
          </cell>
          <cell r="Q25">
            <v>7.8091649694501024</v>
          </cell>
          <cell r="R25">
            <v>10.089435287760065</v>
          </cell>
          <cell r="S25">
            <v>7.6822210000000002</v>
          </cell>
          <cell r="T25">
            <v>7.50718</v>
          </cell>
          <cell r="U25">
            <v>6.5263039999999997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8.6420754716981136</v>
          </cell>
          <cell r="H26">
            <v>8.5202881661192933</v>
          </cell>
          <cell r="I26">
            <v>6.4158090096170071</v>
          </cell>
          <cell r="J26">
            <v>6.6529382716049383</v>
          </cell>
          <cell r="K26">
            <v>5.9124961621123733</v>
          </cell>
          <cell r="L26">
            <v>5.1828350407693913</v>
          </cell>
          <cell r="M26">
            <v>4.6905930470347652</v>
          </cell>
          <cell r="N26">
            <v>3.5945859533198341</v>
          </cell>
          <cell r="O26">
            <v>4.8969359331476321</v>
          </cell>
          <cell r="P26">
            <v>5.7259870359457867</v>
          </cell>
          <cell r="Q26">
            <v>5.2138932975216701</v>
          </cell>
          <cell r="R26">
            <v>5.5403413975193416</v>
          </cell>
          <cell r="S26">
            <v>6.0036690000000004</v>
          </cell>
          <cell r="T26">
            <v>5.6177109999999999</v>
          </cell>
          <cell r="U26">
            <v>5.20106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8.5698913043478271</v>
          </cell>
          <cell r="H27">
            <v>7.9461702127659573</v>
          </cell>
          <cell r="I27">
            <v>8.1206366630076836</v>
          </cell>
          <cell r="J27">
            <v>8.1148632858144438</v>
          </cell>
          <cell r="K27">
            <v>9.5307443365695796</v>
          </cell>
          <cell r="L27">
            <v>6.5644009216589865</v>
          </cell>
          <cell r="M27">
            <v>6.0090737685599809</v>
          </cell>
          <cell r="N27">
            <v>5.9555408970976256</v>
          </cell>
          <cell r="O27">
            <v>7.1315538608198281</v>
          </cell>
          <cell r="P27">
            <v>7.1623288516097201</v>
          </cell>
          <cell r="Q27">
            <v>0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6.7719163629388071</v>
          </cell>
          <cell r="H28">
            <v>5.9209661835748788</v>
          </cell>
          <cell r="I28">
            <v>5.6784242789669381</v>
          </cell>
          <cell r="J28">
            <v>5.4568602932817996</v>
          </cell>
          <cell r="K28">
            <v>4.5871416701287906</v>
          </cell>
          <cell r="L28">
            <v>4.22358803986711</v>
          </cell>
          <cell r="M28">
            <v>4.1089979793177225</v>
          </cell>
          <cell r="N28">
            <v>3.9531701192718138</v>
          </cell>
          <cell r="O28">
            <v>5.6253092528451267</v>
          </cell>
          <cell r="P28">
            <v>7.0055292259083721</v>
          </cell>
          <cell r="Q28">
            <v>5.873293809458155</v>
          </cell>
          <cell r="R28">
            <v>5.6129401660463794</v>
          </cell>
          <cell r="S28">
            <v>6.8365840000000002</v>
          </cell>
          <cell r="T28">
            <v>2.8197589999999999</v>
          </cell>
          <cell r="U28">
            <v>2.960502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7.4615127175368148</v>
          </cell>
          <cell r="H29">
            <v>6.4707826086956519</v>
          </cell>
          <cell r="I29">
            <v>6.3323684658607178</v>
          </cell>
          <cell r="J29">
            <v>6.1883082373782115</v>
          </cell>
          <cell r="K29">
            <v>5.77813107224872</v>
          </cell>
          <cell r="L29">
            <v>5.1629752066115708</v>
          </cell>
          <cell r="M29">
            <v>4.3062293809431402</v>
          </cell>
          <cell r="N29">
            <v>3.9808212441603148</v>
          </cell>
          <cell r="O29">
            <v>4.9475835537388804</v>
          </cell>
          <cell r="P29">
            <v>6.4357050452781364</v>
          </cell>
          <cell r="Q29">
            <v>6.2486187845303869</v>
          </cell>
          <cell r="R29">
            <v>6.6677609980302037</v>
          </cell>
          <cell r="S29">
            <v>4.6549300000000002</v>
          </cell>
          <cell r="T29">
            <v>3.8985989999999999</v>
          </cell>
          <cell r="U29">
            <v>4.3862110000000003</v>
          </cell>
        </row>
        <row r="30">
          <cell r="B30" t="str">
            <v>EDE</v>
          </cell>
          <cell r="C30" t="str">
            <v>Empire District Electric</v>
          </cell>
          <cell r="D30">
            <v>29</v>
          </cell>
          <cell r="E30">
            <v>29</v>
          </cell>
          <cell r="F30">
            <v>0</v>
          </cell>
          <cell r="G30" t="str">
            <v>N/A</v>
          </cell>
          <cell r="H30">
            <v>7.2742616033755274</v>
          </cell>
          <cell r="I30">
            <v>7.2901073397156955</v>
          </cell>
          <cell r="J30">
            <v>7.0684713375796173</v>
          </cell>
          <cell r="K30">
            <v>6.9661754855994635</v>
          </cell>
          <cell r="L30">
            <v>6.4347148644437517</v>
          </cell>
          <cell r="M30">
            <v>6.8796068796068797</v>
          </cell>
          <cell r="N30">
            <v>6.227088700772911</v>
          </cell>
          <cell r="O30">
            <v>6.9446164430684547</v>
          </cell>
          <cell r="P30">
            <v>8.7838841440772377</v>
          </cell>
          <cell r="Q30">
            <v>8.1666666666666661</v>
          </cell>
          <cell r="R30">
            <v>9.1954304365565083</v>
          </cell>
          <cell r="S30">
            <v>9.6012599999999999</v>
          </cell>
          <cell r="T30">
            <v>8.2227139999999999</v>
          </cell>
          <cell r="U30">
            <v>7.9267190000000003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30</v>
          </cell>
          <cell r="E31">
            <v>30</v>
          </cell>
          <cell r="F31">
            <v>0</v>
          </cell>
          <cell r="G31">
            <v>4.0131916257209994</v>
          </cell>
          <cell r="H31">
            <v>4.1113181972212809</v>
          </cell>
          <cell r="I31">
            <v>4.2062683865127859</v>
          </cell>
          <cell r="J31">
            <v>4.0342238089375853</v>
          </cell>
          <cell r="K31">
            <v>4.2285499718380377</v>
          </cell>
          <cell r="L31">
            <v>3.9024070271503537</v>
          </cell>
          <cell r="M31">
            <v>4.6604172966434838</v>
          </cell>
          <cell r="N31">
            <v>5.6803883202889818</v>
          </cell>
          <cell r="O31">
            <v>7.963460046547711</v>
          </cell>
          <cell r="P31">
            <v>9.2136890555744984</v>
          </cell>
          <cell r="Q31">
            <v>7.1561769381838589</v>
          </cell>
          <cell r="R31">
            <v>8.756049865558543</v>
          </cell>
          <cell r="S31">
            <v>7.1220420000000004</v>
          </cell>
          <cell r="T31">
            <v>6.8374600000000001</v>
          </cell>
          <cell r="U31">
            <v>5.5696649999999996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31</v>
          </cell>
          <cell r="E32">
            <v>31</v>
          </cell>
          <cell r="F32">
            <v>0</v>
          </cell>
          <cell r="G32">
            <v>10.136863319897397</v>
          </cell>
          <cell r="H32">
            <v>10.12006479044341</v>
          </cell>
          <cell r="I32">
            <v>10.143264589732338</v>
          </cell>
          <cell r="J32">
            <v>8.0810344827586214</v>
          </cell>
          <cell r="K32">
            <v>9.3024293505205762</v>
          </cell>
          <cell r="L32">
            <v>6.9887202625102534</v>
          </cell>
          <cell r="M32">
            <v>4.9663495419309376</v>
          </cell>
          <cell r="N32">
            <v>4.6065739060294417</v>
          </cell>
          <cell r="O32">
            <v>4.1233165666071718</v>
          </cell>
          <cell r="P32">
            <v>6.1838174273858924</v>
          </cell>
          <cell r="Q32">
            <v>6.0159934941718625</v>
          </cell>
          <cell r="R32">
            <v>3.5481033534909288</v>
          </cell>
          <cell r="S32">
            <v>3.782826</v>
          </cell>
          <cell r="T32">
            <v>2.852541</v>
          </cell>
          <cell r="U32">
            <v>2.746715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32</v>
          </cell>
          <cell r="E33">
            <v>32</v>
          </cell>
          <cell r="F33">
            <v>0</v>
          </cell>
          <cell r="G33">
            <v>4.8002855103497497</v>
          </cell>
          <cell r="H33">
            <v>4.6968092927510661</v>
          </cell>
          <cell r="I33">
            <v>5.0912668382019071</v>
          </cell>
          <cell r="J33">
            <v>4.6141263940520449</v>
          </cell>
          <cell r="K33">
            <v>5.5449591280653951</v>
          </cell>
          <cell r="L33">
            <v>5.858446226154272</v>
          </cell>
          <cell r="M33">
            <v>5.1031373963216735</v>
          </cell>
          <cell r="N33">
            <v>5.9759912695525648</v>
          </cell>
          <cell r="O33">
            <v>9.6510805500982322</v>
          </cell>
          <cell r="P33">
            <v>9.8861066235864303</v>
          </cell>
          <cell r="Q33">
            <v>8.615040953090098</v>
          </cell>
          <cell r="R33">
            <v>7.9709208400646201</v>
          </cell>
          <cell r="S33">
            <v>6.2868700000000004</v>
          </cell>
          <cell r="T33">
            <v>5.7122630000000001</v>
          </cell>
          <cell r="U33">
            <v>4.9749699999999999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33</v>
          </cell>
          <cell r="E34">
            <v>33</v>
          </cell>
          <cell r="F34">
            <v>0</v>
          </cell>
          <cell r="G34">
            <v>5.1169805542795892</v>
          </cell>
          <cell r="H34">
            <v>5.3809072230124864</v>
          </cell>
          <cell r="I34">
            <v>7.4331868131868131</v>
          </cell>
          <cell r="J34">
            <v>6.1523325928276735</v>
          </cell>
          <cell r="K34">
            <v>7.4218698381235546</v>
          </cell>
          <cell r="L34">
            <v>7.3257918552036196</v>
          </cell>
          <cell r="M34">
            <v>4.4901799364930026</v>
          </cell>
          <cell r="N34">
            <v>4.9147533530347811</v>
          </cell>
          <cell r="O34">
            <v>7.5785864395531464</v>
          </cell>
          <cell r="P34">
            <v>7.8850395588587867</v>
          </cell>
          <cell r="Q34">
            <v>7.5272122974657245</v>
          </cell>
          <cell r="R34">
            <v>6.0413135593220346</v>
          </cell>
          <cell r="S34">
            <v>5.149756</v>
          </cell>
          <cell r="T34">
            <v>6.8987049999999996</v>
          </cell>
          <cell r="U34">
            <v>5.104406</v>
          </cell>
        </row>
        <row r="35">
          <cell r="B35" t="str">
            <v>FTS.TO</v>
          </cell>
          <cell r="C35" t="str">
            <v>Fortis Inc.</v>
          </cell>
          <cell r="D35">
            <v>34</v>
          </cell>
          <cell r="E35">
            <v>34</v>
          </cell>
          <cell r="F35">
            <v>0</v>
          </cell>
          <cell r="G35">
            <v>10.455569782330347</v>
          </cell>
          <cell r="H35">
            <v>7.2851937092443411</v>
          </cell>
          <cell r="I35">
            <v>9.2506210322936795</v>
          </cell>
          <cell r="J35">
            <v>7.9295980511571251</v>
          </cell>
          <cell r="K35">
            <v>8.0921277114306598</v>
          </cell>
          <cell r="L35">
            <v>8.3779144248014337</v>
          </cell>
          <cell r="M35">
            <v>7.4047678795483058</v>
          </cell>
          <cell r="N35">
            <v>6.7606019151846795</v>
          </cell>
          <cell r="O35">
            <v>7.5814550641940093</v>
          </cell>
          <cell r="P35">
            <v>9.183935200809989</v>
          </cell>
          <cell r="Q35">
            <v>7.8926108374384238</v>
          </cell>
          <cell r="R35" t="str">
            <v>N/A</v>
          </cell>
          <cell r="S35" t="str">
            <v>N/A</v>
          </cell>
          <cell r="T35" t="str">
            <v>N/A</v>
          </cell>
          <cell r="U35" t="str">
            <v>N/A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>
            <v>5.974291</v>
          </cell>
          <cell r="T36">
            <v>5.7684699999999998</v>
          </cell>
          <cell r="U36">
            <v>6.3455389999999996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36</v>
          </cell>
          <cell r="E37">
            <v>36</v>
          </cell>
          <cell r="F37">
            <v>0</v>
          </cell>
          <cell r="G37">
            <v>8.628614008941879</v>
          </cell>
          <cell r="H37">
            <v>6.66273229532898</v>
          </cell>
          <cell r="I37">
            <v>6.4499875280618602</v>
          </cell>
          <cell r="J37">
            <v>5.7326016462958336</v>
          </cell>
          <cell r="K37">
            <v>6.087373004354137</v>
          </cell>
          <cell r="L37">
            <v>5.7353276353276357</v>
          </cell>
          <cell r="M37">
            <v>4.491504854368932</v>
          </cell>
          <cell r="N37">
            <v>5.0578866768759569</v>
          </cell>
          <cell r="O37">
            <v>7.7057872615583571</v>
          </cell>
          <cell r="P37">
            <v>7.132783018867924</v>
          </cell>
          <cell r="Q37">
            <v>7.6797927461139892</v>
          </cell>
          <cell r="R37">
            <v>6.6982834507042259</v>
          </cell>
          <cell r="S37">
            <v>6.5216839999999996</v>
          </cell>
          <cell r="T37">
            <v>5.9151930000000004</v>
          </cell>
          <cell r="U37">
            <v>5.1369210000000001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37</v>
          </cell>
          <cell r="E38">
            <v>37</v>
          </cell>
          <cell r="F38">
            <v>0</v>
          </cell>
          <cell r="G38">
            <v>7.441035474592522</v>
          </cell>
          <cell r="H38">
            <v>9.2515114873035067</v>
          </cell>
          <cell r="I38">
            <v>7.6423122065727709</v>
          </cell>
          <cell r="J38">
            <v>8.1517690875232773</v>
          </cell>
          <cell r="K38">
            <v>8.0463132236441197</v>
          </cell>
          <cell r="L38">
            <v>7.731385485391141</v>
          </cell>
          <cell r="M38">
            <v>7.8093750000000002</v>
          </cell>
          <cell r="N38">
            <v>6.9490544191431871</v>
          </cell>
          <cell r="O38">
            <v>9.104335047759001</v>
          </cell>
          <cell r="P38">
            <v>7.945255474452555</v>
          </cell>
          <cell r="Q38">
            <v>8.473205891570041</v>
          </cell>
          <cell r="R38">
            <v>8.290553138595401</v>
          </cell>
          <cell r="S38">
            <v>8.4448039999999995</v>
          </cell>
          <cell r="T38">
            <v>6.1214690000000003</v>
          </cell>
          <cell r="U38">
            <v>6.1993749999999999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38</v>
          </cell>
          <cell r="E39">
            <v>38</v>
          </cell>
          <cell r="F39">
            <v>0</v>
          </cell>
          <cell r="G39">
            <v>10.952019833746537</v>
          </cell>
          <cell r="H39">
            <v>9.3677611940298515</v>
          </cell>
          <cell r="I39">
            <v>8.5856143552311437</v>
          </cell>
          <cell r="J39">
            <v>7.7771247021445591</v>
          </cell>
          <cell r="K39">
            <v>7.0498988536749829</v>
          </cell>
          <cell r="L39">
            <v>6.6411925976696367</v>
          </cell>
          <cell r="M39">
            <v>6.5214953271028042</v>
          </cell>
          <cell r="N39">
            <v>5.3067218608318543</v>
          </cell>
          <cell r="O39">
            <v>7.104376316405336</v>
          </cell>
          <cell r="P39">
            <v>8.2275711159737419</v>
          </cell>
          <cell r="Q39">
            <v>7.7289393278044525</v>
          </cell>
          <cell r="R39">
            <v>7.5475206611570247</v>
          </cell>
          <cell r="S39">
            <v>7.1459450000000002</v>
          </cell>
          <cell r="T39">
            <v>7.2654870000000003</v>
          </cell>
          <cell r="U39">
            <v>7.5333009999999998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 t="str">
            <v>N/A</v>
          </cell>
          <cell r="H40" t="str">
            <v>N/A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>
            <v>6.7337059999999997</v>
          </cell>
          <cell r="T40">
            <v>6.5950199999999999</v>
          </cell>
          <cell r="U40">
            <v>6.4653359999999997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  <cell r="R41">
            <v>13.66813509544787</v>
          </cell>
          <cell r="S41" t="str">
            <v>N/A</v>
          </cell>
          <cell r="T41" t="str">
            <v>N/A</v>
          </cell>
          <cell r="U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  <cell r="R42">
            <v>7.1101179835538071</v>
          </cell>
          <cell r="S42">
            <v>6.9013080000000002</v>
          </cell>
          <cell r="T42">
            <v>6.4263430000000001</v>
          </cell>
          <cell r="U42">
            <v>6.7717580000000002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39</v>
          </cell>
          <cell r="E43">
            <v>39</v>
          </cell>
          <cell r="F43">
            <v>0</v>
          </cell>
          <cell r="G43">
            <v>15.659071243149697</v>
          </cell>
          <cell r="H43">
            <v>12.529994001199759</v>
          </cell>
          <cell r="I43">
            <v>11.424520194786595</v>
          </cell>
          <cell r="J43">
            <v>11.201158183480645</v>
          </cell>
          <cell r="K43">
            <v>10.772773109243698</v>
          </cell>
          <cell r="L43">
            <v>9.4788972089857033</v>
          </cell>
          <cell r="M43">
            <v>9.0492932221819498</v>
          </cell>
          <cell r="N43">
            <v>8.3960843373493983</v>
          </cell>
          <cell r="O43">
            <v>8.4240388204553955</v>
          </cell>
          <cell r="P43">
            <v>9.2263307598537185</v>
          </cell>
          <cell r="Q43">
            <v>9.3011945392491473</v>
          </cell>
          <cell r="R43">
            <v>11.727</v>
          </cell>
          <cell r="S43">
            <v>11.044409999999999</v>
          </cell>
          <cell r="T43">
            <v>10.19708</v>
          </cell>
          <cell r="U43">
            <v>8.0936369999999993</v>
          </cell>
        </row>
        <row r="44">
          <cell r="B44" t="str">
            <v>MSEX</v>
          </cell>
          <cell r="C44" t="str">
            <v>Middlesex Water</v>
          </cell>
          <cell r="D44">
            <v>40</v>
          </cell>
          <cell r="E44">
            <v>40</v>
          </cell>
          <cell r="F44">
            <v>0</v>
          </cell>
          <cell r="G44">
            <v>16.293738489871085</v>
          </cell>
          <cell r="H44">
            <v>11.846544715447155</v>
          </cell>
          <cell r="I44">
            <v>11.328633405639913</v>
          </cell>
          <cell r="J44">
            <v>11.81315483119907</v>
          </cell>
          <cell r="K44">
            <v>12.055305466237941</v>
          </cell>
          <cell r="L44">
            <v>12.46584699453552</v>
          </cell>
          <cell r="M44">
            <v>11.051712992889465</v>
          </cell>
          <cell r="N44">
            <v>10.777777777777779</v>
          </cell>
          <cell r="O44">
            <v>11.509470934030045</v>
          </cell>
          <cell r="P44">
            <v>12.580040187541861</v>
          </cell>
          <cell r="Q44">
            <v>13.97524381095274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NJR</v>
          </cell>
          <cell r="C45" t="str">
            <v>New Jersey Resources</v>
          </cell>
          <cell r="D45">
            <v>41</v>
          </cell>
          <cell r="E45">
            <v>41</v>
          </cell>
          <cell r="F45">
            <v>0</v>
          </cell>
          <cell r="G45">
            <v>13.936048879837067</v>
          </cell>
          <cell r="H45">
            <v>11.711287128712872</v>
          </cell>
          <cell r="I45">
            <v>8.9486615328199495</v>
          </cell>
          <cell r="J45">
            <v>11.286601138127264</v>
          </cell>
          <cell r="K45">
            <v>12.292722371967656</v>
          </cell>
          <cell r="L45">
            <v>12.714117647058824</v>
          </cell>
          <cell r="M45">
            <v>11.320638820638822</v>
          </cell>
          <cell r="N45">
            <v>11.342621912602914</v>
          </cell>
          <cell r="O45">
            <v>9.1496410822749858</v>
          </cell>
          <cell r="P45">
            <v>13.763934426229509</v>
          </cell>
          <cell r="Q45">
            <v>11.00585223116313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NEE</v>
          </cell>
          <cell r="C46" t="str">
            <v>NextEra Energy, Inc.</v>
          </cell>
          <cell r="D46">
            <v>42</v>
          </cell>
          <cell r="E46">
            <v>42</v>
          </cell>
          <cell r="F46">
            <v>0</v>
          </cell>
          <cell r="G46">
            <v>9.229915188897456</v>
          </cell>
          <cell r="H46">
            <v>7.9253754451153426</v>
          </cell>
          <cell r="I46">
            <v>7.9842174847132705</v>
          </cell>
          <cell r="J46">
            <v>7.5967160212604412</v>
          </cell>
          <cell r="K46">
            <v>7.5773658761224949</v>
          </cell>
          <cell r="L46">
            <v>5.9845011301259277</v>
          </cell>
          <cell r="M46">
            <v>5.33489242282507</v>
          </cell>
          <cell r="N46">
            <v>6.0868571428571423</v>
          </cell>
          <cell r="O46">
            <v>7.3440069773236978</v>
          </cell>
          <cell r="P46">
            <v>9.0182428488032684</v>
          </cell>
          <cell r="Q46">
            <v>6.5145516324420152</v>
          </cell>
          <cell r="R46">
            <v>6.7148405890920859</v>
          </cell>
          <cell r="S46">
            <v>6.7148405890920859</v>
          </cell>
          <cell r="T46">
            <v>5.9742903053026248</v>
          </cell>
          <cell r="U46">
            <v>5.7684701492537309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43</v>
          </cell>
          <cell r="E47">
            <v>43</v>
          </cell>
          <cell r="F47">
            <v>0</v>
          </cell>
          <cell r="G47">
            <v>8.5609305760709002</v>
          </cell>
          <cell r="H47">
            <v>10.381288614298324</v>
          </cell>
          <cell r="I47">
            <v>10.564394993045896</v>
          </cell>
          <cell r="J47">
            <v>8.7092511013215859</v>
          </cell>
          <cell r="K47">
            <v>7.8117421825143589</v>
          </cell>
          <cell r="L47">
            <v>6.8133378016085793</v>
          </cell>
          <cell r="M47">
            <v>5.0931034482758619</v>
          </cell>
          <cell r="N47">
            <v>4.0637867026662171</v>
          </cell>
          <cell r="O47">
            <v>4.8725135623869802</v>
          </cell>
          <cell r="P47">
            <v>6.6947565543071157</v>
          </cell>
          <cell r="Q47">
            <v>6.866394215655454</v>
          </cell>
          <cell r="R47">
            <v>7.3603689567430015</v>
          </cell>
          <cell r="S47">
            <v>6.0803339999999997</v>
          </cell>
          <cell r="T47">
            <v>5.6005190000000002</v>
          </cell>
          <cell r="U47">
            <v>5.2161540000000004</v>
          </cell>
        </row>
        <row r="48">
          <cell r="B48" t="str">
            <v>NWN</v>
          </cell>
          <cell r="C48" t="str">
            <v>Northwest Nat. Gas</v>
          </cell>
          <cell r="D48">
            <v>44</v>
          </cell>
          <cell r="E48">
            <v>44</v>
          </cell>
          <cell r="F48">
            <v>0</v>
          </cell>
          <cell r="G48">
            <v>11.574934090448185</v>
          </cell>
          <cell r="H48">
            <v>9.4593603585251582</v>
          </cell>
          <cell r="I48">
            <v>8.8426988523941432</v>
          </cell>
          <cell r="J48">
            <v>8.6148045247072833</v>
          </cell>
          <cell r="K48">
            <v>9.4791329011345216</v>
          </cell>
          <cell r="L48">
            <v>9.0817182817182829</v>
          </cell>
          <cell r="M48">
            <v>8.9357762777242051</v>
          </cell>
          <cell r="N48">
            <v>8.2592806308905562</v>
          </cell>
          <cell r="O48">
            <v>8.7531562087808545</v>
          </cell>
          <cell r="P48">
            <v>8.5409502680717324</v>
          </cell>
          <cell r="Q48">
            <v>7.8252100840336132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45</v>
          </cell>
          <cell r="E49">
            <v>45</v>
          </cell>
          <cell r="F49">
            <v>0</v>
          </cell>
          <cell r="G49">
            <v>8.647914502003859</v>
          </cell>
          <cell r="H49">
            <v>8.9886900742741389</v>
          </cell>
          <cell r="I49">
            <v>9.0096510764662217</v>
          </cell>
          <cell r="J49">
            <v>7.607300073367572</v>
          </cell>
          <cell r="K49">
            <v>6.8546893091470471</v>
          </cell>
          <cell r="L49">
            <v>5.8909795240730487</v>
          </cell>
          <cell r="M49">
            <v>5.7926112510495376</v>
          </cell>
          <cell r="N49">
            <v>5.0469900389779117</v>
          </cell>
          <cell r="O49">
            <v>5.5741539859186924</v>
          </cell>
          <cell r="P49">
            <v>8.4497840172786169</v>
          </cell>
          <cell r="Q49">
            <v>9.3943078198397334</v>
          </cell>
          <cell r="R49">
            <v>7.3119839879909936</v>
          </cell>
          <cell r="S49">
            <v>8.1297280000000001</v>
          </cell>
          <cell r="T49" t="str">
            <v>N/A</v>
          </cell>
          <cell r="U49" t="str">
            <v>N/A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46</v>
          </cell>
          <cell r="E50">
            <v>46</v>
          </cell>
          <cell r="F50">
            <v>0</v>
          </cell>
          <cell r="G50">
            <v>9.0299184043517666</v>
          </cell>
          <cell r="H50">
            <v>9.2496905940594054</v>
          </cell>
          <cell r="I50">
            <v>10.649587750294463</v>
          </cell>
          <cell r="J50">
            <v>9.9288400347121772</v>
          </cell>
          <cell r="K50">
            <v>7.3460601137286758</v>
          </cell>
          <cell r="L50">
            <v>7.4802293993359488</v>
          </cell>
          <cell r="M50">
            <v>6.6104284290933242</v>
          </cell>
          <cell r="N50">
            <v>5.3664804469273744</v>
          </cell>
          <cell r="O50">
            <v>6.4339858392336531</v>
          </cell>
          <cell r="P50">
            <v>7.5818713450292394</v>
          </cell>
          <cell r="Q50">
            <v>7.498657117278424</v>
          </cell>
          <cell r="R50">
            <v>7.0365226337448563</v>
          </cell>
          <cell r="S50">
            <v>6.7290000000000001</v>
          </cell>
          <cell r="T50">
            <v>5.6171150000000001</v>
          </cell>
          <cell r="U50">
            <v>5.3884740000000004</v>
          </cell>
        </row>
        <row r="51">
          <cell r="B51" t="str">
            <v>OGS</v>
          </cell>
          <cell r="C51" t="str">
            <v>ONE Gas Inc.</v>
          </cell>
          <cell r="D51">
            <v>47</v>
          </cell>
          <cell r="E51">
            <v>47</v>
          </cell>
          <cell r="F51">
            <v>0</v>
          </cell>
          <cell r="G51">
            <v>11.095010127048425</v>
          </cell>
          <cell r="H51">
            <v>9.1913746630727751</v>
          </cell>
          <cell r="I51">
            <v>8.1605484298982756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48</v>
          </cell>
          <cell r="E52">
            <v>48</v>
          </cell>
          <cell r="F52">
            <v>0</v>
          </cell>
          <cell r="G52">
            <v>9.3839674702294502</v>
          </cell>
          <cell r="H52">
            <v>9.0356460852959906</v>
          </cell>
          <cell r="I52">
            <v>9.4525736484299134</v>
          </cell>
          <cell r="J52">
            <v>9.5807947019867559</v>
          </cell>
          <cell r="K52">
            <v>8.430047988187523</v>
          </cell>
          <cell r="L52">
            <v>9.03849407783418</v>
          </cell>
          <cell r="M52">
            <v>8.0651001540832059</v>
          </cell>
          <cell r="N52">
            <v>8.0097755249818974</v>
          </cell>
          <cell r="O52">
            <v>11.65457132692992</v>
          </cell>
          <cell r="P52">
            <v>9.5285674078243723</v>
          </cell>
          <cell r="Q52">
            <v>8.6563330380868013</v>
          </cell>
          <cell r="R52">
            <v>8.1753653444676395</v>
          </cell>
          <cell r="S52">
            <v>9.0128249999999994</v>
          </cell>
          <cell r="T52">
            <v>8.1296970000000002</v>
          </cell>
          <cell r="U52">
            <v>8.3335279999999994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 t="str">
            <v>N/A</v>
          </cell>
          <cell r="H53" t="str">
            <v>N/A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  <cell r="R53" t="str">
            <v>N/A</v>
          </cell>
          <cell r="S53">
            <v>5.3380929999999998</v>
          </cell>
          <cell r="T53">
            <v>4.7405369999999998</v>
          </cell>
          <cell r="U53">
            <v>6.4597629999999997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49</v>
          </cell>
          <cell r="E54">
            <v>49</v>
          </cell>
          <cell r="F54">
            <v>0</v>
          </cell>
          <cell r="G54">
            <v>7.2637589600291577</v>
          </cell>
          <cell r="H54">
            <v>7.2443743139407237</v>
          </cell>
          <cell r="I54">
            <v>5.6468634686346855</v>
          </cell>
          <cell r="J54">
            <v>6.8407834465329325</v>
          </cell>
          <cell r="K54">
            <v>5.8574357572443958</v>
          </cell>
          <cell r="L54">
            <v>5.3151515151515145</v>
          </cell>
          <cell r="M54">
            <v>5.4195549069682594</v>
          </cell>
          <cell r="N54">
            <v>4.7112465638819163</v>
          </cell>
          <cell r="O54">
            <v>4.6108543666311173</v>
          </cell>
          <cell r="P54">
            <v>5.8399002493765586</v>
          </cell>
          <cell r="Q54">
            <v>5.2815884476534292</v>
          </cell>
          <cell r="R54">
            <v>5.069493191071178</v>
          </cell>
          <cell r="S54">
            <v>5.1284159999999996</v>
          </cell>
          <cell r="T54">
            <v>4.0549770000000001</v>
          </cell>
          <cell r="U54">
            <v>14.685969999999999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50</v>
          </cell>
          <cell r="E55">
            <v>50</v>
          </cell>
          <cell r="F55">
            <v>0</v>
          </cell>
          <cell r="G55">
            <v>7.8861312313591814</v>
          </cell>
          <cell r="H55">
            <v>6.9145308546914537</v>
          </cell>
          <cell r="I55">
            <v>7.033391046252782</v>
          </cell>
          <cell r="J55">
            <v>6.8530782438067206</v>
          </cell>
          <cell r="K55">
            <v>6.3436512950094759</v>
          </cell>
          <cell r="L55">
            <v>5.8035619351408823</v>
          </cell>
          <cell r="M55">
            <v>5.6503139144400638</v>
          </cell>
          <cell r="N55">
            <v>3.8445159692993318</v>
          </cell>
          <cell r="O55">
            <v>4.1873616916646181</v>
          </cell>
          <cell r="P55">
            <v>4.7558377273216399</v>
          </cell>
          <cell r="Q55">
            <v>4.4759694719471952</v>
          </cell>
          <cell r="R55">
            <v>7.479257073424753</v>
          </cell>
          <cell r="S55">
            <v>5.8802649999999996</v>
          </cell>
          <cell r="T55">
            <v>4.8030030000000004</v>
          </cell>
          <cell r="U55">
            <v>5.2054470000000004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51</v>
          </cell>
          <cell r="E56">
            <v>51</v>
          </cell>
          <cell r="F56">
            <v>0</v>
          </cell>
          <cell r="G56">
            <v>7.6435412286848878</v>
          </cell>
          <cell r="H56">
            <v>6.9454499748617398</v>
          </cell>
          <cell r="I56">
            <v>7.4806629834254137</v>
          </cell>
          <cell r="J56">
            <v>6.4745231995445494</v>
          </cell>
          <cell r="K56">
            <v>5.8023668639053252</v>
          </cell>
          <cell r="L56">
            <v>4.9386406544996859</v>
          </cell>
          <cell r="M56">
            <v>4.5815523059617549</v>
          </cell>
          <cell r="N56">
            <v>4.5271786022433131</v>
          </cell>
          <cell r="O56">
            <v>7.1007972665148058</v>
          </cell>
          <cell r="P56">
            <v>10.670736510437179</v>
          </cell>
          <cell r="Q56">
            <v>7.4967814161768827</v>
          </cell>
          <cell r="R56">
            <v>7.6200112422709383</v>
          </cell>
          <cell r="S56">
            <v>6.8385860000000003</v>
          </cell>
          <cell r="T56">
            <v>5.5484400000000003</v>
          </cell>
          <cell r="U56">
            <v>5.7152950000000002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52</v>
          </cell>
          <cell r="E57">
            <v>52</v>
          </cell>
          <cell r="F57">
            <v>0</v>
          </cell>
          <cell r="G57">
            <v>7.1232047066966606</v>
          </cell>
          <cell r="H57">
            <v>6.7269173492181684</v>
          </cell>
          <cell r="I57">
            <v>5.4877567789646671</v>
          </cell>
          <cell r="J57">
            <v>6.0602434077079108</v>
          </cell>
          <cell r="K57">
            <v>5.0777000777000785</v>
          </cell>
          <cell r="L57">
            <v>4.8601652226475922</v>
          </cell>
          <cell r="M57">
            <v>4.1327800829875523</v>
          </cell>
          <cell r="N57">
            <v>4.6343081838289502</v>
          </cell>
          <cell r="O57">
            <v>4.8050487908358077</v>
          </cell>
          <cell r="P57">
            <v>5.3364019946298429</v>
          </cell>
          <cell r="Q57">
            <v>5.7368534482758626</v>
          </cell>
          <cell r="R57" t="str">
            <v>N/A</v>
          </cell>
          <cell r="S57" t="str">
            <v>N/A</v>
          </cell>
          <cell r="T57" t="str">
            <v>N/A</v>
          </cell>
          <cell r="U57" t="str">
            <v>N/A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53</v>
          </cell>
          <cell r="E58">
            <v>53</v>
          </cell>
          <cell r="F58">
            <v>0</v>
          </cell>
          <cell r="G58">
            <v>8.3669939223936414</v>
          </cell>
          <cell r="H58">
            <v>8.7315329626687834</v>
          </cell>
          <cell r="I58">
            <v>7.3180428134556577</v>
          </cell>
          <cell r="J58">
            <v>6.58935115326579</v>
          </cell>
          <cell r="K58">
            <v>5.8655514250309793</v>
          </cell>
          <cell r="L58">
            <v>5.9795206971677564</v>
          </cell>
          <cell r="M58">
            <v>7.4642076502732237</v>
          </cell>
          <cell r="N58">
            <v>8.821645021645022</v>
          </cell>
          <cell r="O58">
            <v>9.1652173913043473</v>
          </cell>
          <cell r="P58">
            <v>8.9002156439913733</v>
          </cell>
          <cell r="Q58">
            <v>7.5813571260859351</v>
          </cell>
          <cell r="R58">
            <v>7.5679269882659712</v>
          </cell>
          <cell r="S58">
            <v>6.493322</v>
          </cell>
          <cell r="T58">
            <v>5.4071610000000003</v>
          </cell>
          <cell r="U58">
            <v>5.3008740000000003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54</v>
          </cell>
          <cell r="E59">
            <v>54</v>
          </cell>
          <cell r="F59">
            <v>0</v>
          </cell>
          <cell r="G59">
            <v>8.5649773220272145</v>
          </cell>
          <cell r="H59">
            <v>6.6634130470148039</v>
          </cell>
          <cell r="I59">
            <v>6.4780144280316048</v>
          </cell>
          <cell r="J59">
            <v>6.4036786060019368</v>
          </cell>
          <cell r="K59">
            <v>6.4006153846153842</v>
          </cell>
          <cell r="L59">
            <v>6.0311567164179101</v>
          </cell>
          <cell r="M59">
            <v>6.0390817681654339</v>
          </cell>
          <cell r="N59">
            <v>6.2038523274478337</v>
          </cell>
          <cell r="O59">
            <v>8.4593843522873033</v>
          </cell>
          <cell r="P59">
            <v>9.8315741165672321</v>
          </cell>
          <cell r="Q59">
            <v>8.4095213718965969</v>
          </cell>
          <cell r="R59">
            <v>8.5944997074312468</v>
          </cell>
          <cell r="S59">
            <v>7.1653440000000002</v>
          </cell>
          <cell r="T59">
            <v>6.7910959999999996</v>
          </cell>
          <cell r="U59">
            <v>6.2383800000000003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56</v>
          </cell>
          <cell r="E60">
            <v>56</v>
          </cell>
          <cell r="F60">
            <v>0</v>
          </cell>
          <cell r="G60">
            <v>9.5910775566231976</v>
          </cell>
          <cell r="H60">
            <v>8.3345763723150359</v>
          </cell>
          <cell r="I60">
            <v>7.5013024602026048</v>
          </cell>
          <cell r="J60">
            <v>7.4871402327005505</v>
          </cell>
          <cell r="K60">
            <v>7.3960019038553071</v>
          </cell>
          <cell r="L60">
            <v>6.7523698652918673</v>
          </cell>
          <cell r="M60">
            <v>6.5238659444820577</v>
          </cell>
          <cell r="N60">
            <v>5.8802129547471162</v>
          </cell>
          <cell r="O60">
            <v>6.3791396381017416</v>
          </cell>
          <cell r="P60">
            <v>7.1470177886292294</v>
          </cell>
          <cell r="Q60">
            <v>7.0274502903396092</v>
          </cell>
          <cell r="R60">
            <v>5.4041722745625842</v>
          </cell>
          <cell r="S60">
            <v>6.8624739999999997</v>
          </cell>
          <cell r="T60">
            <v>6.5898159999999999</v>
          </cell>
          <cell r="U60">
            <v>6.3557940000000004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57</v>
          </cell>
          <cell r="E61">
            <v>57</v>
          </cell>
          <cell r="F61">
            <v>0</v>
          </cell>
          <cell r="G61">
            <v>10.880185302168879</v>
          </cell>
          <cell r="H61">
            <v>9.9947684557256355</v>
          </cell>
          <cell r="I61">
            <v>10.766000425260472</v>
          </cell>
          <cell r="J61">
            <v>9.3668245376635095</v>
          </cell>
          <cell r="K61">
            <v>7.2571716718960122</v>
          </cell>
          <cell r="L61">
            <v>6.1345458785123004</v>
          </cell>
          <cell r="M61">
            <v>6.5281072717895814</v>
          </cell>
          <cell r="N61">
            <v>6.0718871962734484</v>
          </cell>
          <cell r="O61">
            <v>7.0656934306569346</v>
          </cell>
          <cell r="P61">
            <v>8.6065195442088562</v>
          </cell>
          <cell r="Q61">
            <v>7.222090261282661</v>
          </cell>
          <cell r="R61">
            <v>6.9599329421626148</v>
          </cell>
          <cell r="S61">
            <v>5.163653</v>
          </cell>
          <cell r="T61">
            <v>4.8501799999999999</v>
          </cell>
          <cell r="U61">
            <v>3.9982500000000001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>
            <v>1.8034870000000001</v>
          </cell>
          <cell r="T62">
            <v>1.884924</v>
          </cell>
          <cell r="U62">
            <v>-7.0251169999999998</v>
          </cell>
        </row>
        <row r="63">
          <cell r="B63" t="str">
            <v>SJW</v>
          </cell>
          <cell r="C63" t="str">
            <v>SJW Corp.</v>
          </cell>
          <cell r="D63">
            <v>58</v>
          </cell>
          <cell r="E63">
            <v>58</v>
          </cell>
          <cell r="F63">
            <v>0</v>
          </cell>
          <cell r="G63">
            <v>8.4547743966421827</v>
          </cell>
          <cell r="H63">
            <v>7.9823697173969403</v>
          </cell>
          <cell r="I63">
            <v>6.4265038444142926</v>
          </cell>
          <cell r="J63">
            <v>9.3993103448275868</v>
          </cell>
          <cell r="K63">
            <v>8.0970350404312672</v>
          </cell>
          <cell r="L63">
            <v>8.3909318100678316</v>
          </cell>
          <cell r="M63">
            <v>10.28721614802355</v>
          </cell>
          <cell r="N63">
            <v>10.525838621940164</v>
          </cell>
          <cell r="O63">
            <v>11.675697865353039</v>
          </cell>
          <cell r="P63">
            <v>15.134523291249456</v>
          </cell>
          <cell r="Q63">
            <v>11.749265014699708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B64" t="str">
            <v>SJI</v>
          </cell>
          <cell r="C64" t="str">
            <v>South Jersey Inds.</v>
          </cell>
          <cell r="D64">
            <v>59</v>
          </cell>
          <cell r="E64">
            <v>59</v>
          </cell>
          <cell r="F64">
            <v>0</v>
          </cell>
          <cell r="G64">
            <v>10.877383177570096</v>
          </cell>
          <cell r="H64">
            <v>10.697847682119205</v>
          </cell>
          <cell r="I64">
            <v>10.566454511418945</v>
          </cell>
          <cell r="J64">
            <v>11.566235864297255</v>
          </cell>
          <cell r="K64">
            <v>10.945392491467578</v>
          </cell>
          <cell r="L64">
            <v>11.975784753363229</v>
          </cell>
          <cell r="M64">
            <v>10.784220532319392</v>
          </cell>
          <cell r="N64">
            <v>9.5734265734265733</v>
          </cell>
          <cell r="O64">
            <v>10.381472957422325</v>
          </cell>
          <cell r="P64">
            <v>11.228267667292059</v>
          </cell>
          <cell r="Q64">
            <v>8.3200228180262421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60</v>
          </cell>
          <cell r="E65">
            <v>60</v>
          </cell>
          <cell r="F65">
            <v>0</v>
          </cell>
          <cell r="G65">
            <v>8.832337434094903</v>
          </cell>
          <cell r="H65">
            <v>8.2270151709011152</v>
          </cell>
          <cell r="I65">
            <v>8.4186398939193037</v>
          </cell>
          <cell r="J65">
            <v>8.2988985947588301</v>
          </cell>
          <cell r="K65">
            <v>8.7459459459459463</v>
          </cell>
          <cell r="L65">
            <v>8.2234432234432226</v>
          </cell>
          <cell r="M65">
            <v>7.7901617549302014</v>
          </cell>
          <cell r="N65">
            <v>7.0776173285198549</v>
          </cell>
          <cell r="O65">
            <v>8.1835814163283711</v>
          </cell>
          <cell r="P65">
            <v>8.6184834123222753</v>
          </cell>
          <cell r="Q65">
            <v>8.4714677298778973</v>
          </cell>
          <cell r="R65">
            <v>8.4108161746464916</v>
          </cell>
          <cell r="S65">
            <v>8.2763340000000003</v>
          </cell>
          <cell r="T65">
            <v>8.2793989999999997</v>
          </cell>
          <cell r="U65">
            <v>7.832465</v>
          </cell>
        </row>
        <row r="66">
          <cell r="B66" t="str">
            <v>SWX</v>
          </cell>
          <cell r="C66" t="str">
            <v>Southwest Gas</v>
          </cell>
          <cell r="D66">
            <v>61</v>
          </cell>
          <cell r="E66">
            <v>61</v>
          </cell>
          <cell r="F66">
            <v>0</v>
          </cell>
          <cell r="G66">
            <v>7.4075987514799264</v>
          </cell>
          <cell r="H66">
            <v>6.5555040018559332</v>
          </cell>
          <cell r="I66">
            <v>6.3454910292728997</v>
          </cell>
          <cell r="J66">
            <v>5.9443231441048043</v>
          </cell>
          <cell r="K66">
            <v>5.5499935325313672</v>
          </cell>
          <cell r="L66">
            <v>5.6010872759330006</v>
          </cell>
          <cell r="M66">
            <v>4.9079089924160346</v>
          </cell>
          <cell r="N66">
            <v>3.844379467186485</v>
          </cell>
          <cell r="O66">
            <v>4.8887732083984039</v>
          </cell>
          <cell r="P66">
            <v>5.4208407150909972</v>
          </cell>
          <cell r="Q66">
            <v>5.284876905041032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SR</v>
          </cell>
          <cell r="C67" t="str">
            <v>Spire Inc.</v>
          </cell>
          <cell r="D67">
            <v>62</v>
          </cell>
          <cell r="E67">
            <v>62</v>
          </cell>
          <cell r="F67">
            <v>0</v>
          </cell>
          <cell r="G67">
            <v>10.319909061383566</v>
          </cell>
          <cell r="H67">
            <v>8.4657133571660701</v>
          </cell>
          <cell r="I67">
            <v>12.031290405999483</v>
          </cell>
          <cell r="J67">
            <v>13.755847484780519</v>
          </cell>
          <cell r="K67">
            <v>8.8010471204188487</v>
          </cell>
          <cell r="L67">
            <v>8.079904720658293</v>
          </cell>
          <cell r="M67">
            <v>8.1248478948649296</v>
          </cell>
          <cell r="N67">
            <v>8.579328505595786</v>
          </cell>
          <cell r="O67">
            <v>8.9523809523809508</v>
          </cell>
          <cell r="P67">
            <v>8.4581827568404755</v>
          </cell>
          <cell r="Q67">
            <v>8.4618009976371749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 t="str">
            <v>N/A</v>
          </cell>
          <cell r="H68" t="str">
            <v>N/A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  <cell r="R68">
            <v>7.2119037568594342</v>
          </cell>
          <cell r="S68">
            <v>6.4092609999999999</v>
          </cell>
          <cell r="T68">
            <v>6.3931490000000002</v>
          </cell>
          <cell r="U68">
            <v>6.681349</v>
          </cell>
        </row>
        <row r="69">
          <cell r="B69" t="str">
            <v>UGI</v>
          </cell>
          <cell r="C69" t="str">
            <v>UGI Corp.</v>
          </cell>
          <cell r="D69">
            <v>64</v>
          </cell>
          <cell r="E69">
            <v>64</v>
          </cell>
          <cell r="F69">
            <v>0</v>
          </cell>
          <cell r="G69">
            <v>9.0175238962221211</v>
          </cell>
          <cell r="H69">
            <v>8.467300832342449</v>
          </cell>
          <cell r="I69">
            <v>7.4872933629410312</v>
          </cell>
          <cell r="J69">
            <v>6.5533049040511733</v>
          </cell>
          <cell r="K69">
            <v>6.3007543456871105</v>
          </cell>
          <cell r="L69">
            <v>7.5111030214779761</v>
          </cell>
          <cell r="M69">
            <v>6.0150034891835311</v>
          </cell>
          <cell r="N69">
            <v>5.7384833451452861</v>
          </cell>
          <cell r="O69">
            <v>7.1116035455277995</v>
          </cell>
          <cell r="P69">
            <v>7.9175897208684098</v>
          </cell>
          <cell r="Q69">
            <v>7.4790652385589098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 t="str">
            <v>N/A</v>
          </cell>
          <cell r="H70" t="str">
            <v>N/A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  <cell r="S70">
            <v>6.5928209999999998</v>
          </cell>
          <cell r="T70">
            <v>4.781644</v>
          </cell>
          <cell r="U70">
            <v>4.7159110000000002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  <cell r="R71" t="str">
            <v>N/A</v>
          </cell>
          <cell r="S71">
            <v>4.6349720000000003</v>
          </cell>
          <cell r="T71">
            <v>3.64655</v>
          </cell>
          <cell r="U71">
            <v>3.6843750000000002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65</v>
          </cell>
          <cell r="E72">
            <v>65</v>
          </cell>
          <cell r="F72">
            <v>0</v>
          </cell>
          <cell r="G72">
            <v>7.7614503816793894</v>
          </cell>
          <cell r="H72">
            <v>6.8056743101438011</v>
          </cell>
          <cell r="I72">
            <v>6.8585416666666665</v>
          </cell>
          <cell r="J72">
            <v>6.7780112044817926</v>
          </cell>
          <cell r="K72">
            <v>6.9222797927461137</v>
          </cell>
          <cell r="L72">
            <v>6.052163461538461</v>
          </cell>
          <cell r="M72">
            <v>6.2707919386886175</v>
          </cell>
          <cell r="N72">
            <v>6.0775711795467746</v>
          </cell>
          <cell r="O72">
            <v>7.0863426554439322</v>
          </cell>
          <cell r="P72">
            <v>6.0732767993041969</v>
          </cell>
          <cell r="Q72">
            <v>5.8232536333802152</v>
          </cell>
          <cell r="R72">
            <v>5.4577063847092315</v>
          </cell>
          <cell r="S72">
            <v>5.5678859999999997</v>
          </cell>
          <cell r="T72">
            <v>5.1765679999999996</v>
          </cell>
          <cell r="U72">
            <v>6.0934340000000002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66</v>
          </cell>
          <cell r="E73">
            <v>66</v>
          </cell>
          <cell r="F73">
            <v>0</v>
          </cell>
          <cell r="G73">
            <v>8.5962383547196346</v>
          </cell>
          <cell r="H73">
            <v>7.8192771084337362</v>
          </cell>
          <cell r="I73">
            <v>7.5717501406865502</v>
          </cell>
          <cell r="J73">
            <v>6.8210379797176373</v>
          </cell>
          <cell r="K73">
            <v>5.7899443561208273</v>
          </cell>
          <cell r="L73">
            <v>5.8104838709677429</v>
          </cell>
          <cell r="M73">
            <v>5.5771222697590632</v>
          </cell>
          <cell r="N73">
            <v>5.2428993410588509</v>
          </cell>
          <cell r="O73">
            <v>6.9016393442622945</v>
          </cell>
          <cell r="P73">
            <v>6.5349324639031217</v>
          </cell>
          <cell r="Q73">
            <v>7.3743909041689228</v>
          </cell>
          <cell r="R73">
            <v>7.0612086776859506</v>
          </cell>
          <cell r="S73">
            <v>7.6323040000000004</v>
          </cell>
          <cell r="T73">
            <v>7.2745040000000003</v>
          </cell>
          <cell r="U73">
            <v>6.9240180000000002</v>
          </cell>
        </row>
        <row r="74">
          <cell r="B74" t="str">
            <v>WEC</v>
          </cell>
          <cell r="C74" t="str">
            <v>WEC Energy Group</v>
          </cell>
          <cell r="D74">
            <v>67</v>
          </cell>
          <cell r="E74">
            <v>67</v>
          </cell>
          <cell r="F74">
            <v>0</v>
          </cell>
          <cell r="G74">
            <v>10.951956965312558</v>
          </cell>
          <cell r="H74">
            <v>12.896150865409455</v>
          </cell>
          <cell r="I74">
            <v>10.266114592658909</v>
          </cell>
          <cell r="J74">
            <v>9.5760517799352769</v>
          </cell>
          <cell r="K74">
            <v>9.2385229540918168</v>
          </cell>
          <cell r="L74">
            <v>8.4315960912052113</v>
          </cell>
          <cell r="M74">
            <v>8.1465778316172006</v>
          </cell>
          <cell r="N74">
            <v>6.8706563706563699</v>
          </cell>
          <cell r="O74">
            <v>7.5732656514382404</v>
          </cell>
          <cell r="P74">
            <v>7.8410995641971173</v>
          </cell>
          <cell r="Q74">
            <v>7.2726017943409245</v>
          </cell>
          <cell r="R74">
            <v>6.4014522821576767</v>
          </cell>
          <cell r="S74">
            <v>6.2742060000000004</v>
          </cell>
          <cell r="T74">
            <v>4.9149459999999996</v>
          </cell>
          <cell r="U74">
            <v>4.2733350000000003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68</v>
          </cell>
          <cell r="E75">
            <v>68</v>
          </cell>
          <cell r="F75">
            <v>0</v>
          </cell>
          <cell r="G75">
            <v>10.855546357615895</v>
          </cell>
          <cell r="H75">
            <v>9.0473844710297922</v>
          </cell>
          <cell r="I75">
            <v>7.92512077294686</v>
          </cell>
          <cell r="J75">
            <v>7.2319564230594651</v>
          </cell>
          <cell r="K75">
            <v>6.7148837209302323</v>
          </cell>
          <cell r="L75">
            <v>6.6716267339218156</v>
          </cell>
          <cell r="M75">
            <v>5.5069657615112151</v>
          </cell>
          <cell r="N75">
            <v>5.3247982187586977</v>
          </cell>
          <cell r="O75">
            <v>7.0880382775119619</v>
          </cell>
          <cell r="P75">
            <v>6.875993640699523</v>
          </cell>
          <cell r="Q75">
            <v>5.8074581430745811</v>
          </cell>
          <cell r="R75">
            <v>6.9972519083969464</v>
          </cell>
          <cell r="S75">
            <v>6.538462</v>
          </cell>
          <cell r="T75">
            <v>4.2357319999999996</v>
          </cell>
          <cell r="U75">
            <v>2.941065</v>
          </cell>
        </row>
        <row r="76">
          <cell r="B76" t="str">
            <v>WGL</v>
          </cell>
          <cell r="C76" t="str">
            <v>WGL Holdings Inc.</v>
          </cell>
          <cell r="D76">
            <v>69</v>
          </cell>
          <cell r="E76">
            <v>69</v>
          </cell>
          <cell r="F76">
            <v>0</v>
          </cell>
          <cell r="G76">
            <v>11.36384122031548</v>
          </cell>
          <cell r="H76">
            <v>9.5870380289234074</v>
          </cell>
          <cell r="I76">
            <v>8.4593749999999996</v>
          </cell>
          <cell r="J76">
            <v>9.8308840681128995</v>
          </cell>
          <cell r="K76">
            <v>9.0269137436576212</v>
          </cell>
          <cell r="L76">
            <v>9.5160727635185651</v>
          </cell>
          <cell r="M76">
            <v>8.3439552420335694</v>
          </cell>
          <cell r="N76">
            <v>7.1658789106459606</v>
          </cell>
          <cell r="O76">
            <v>7.6821848352154865</v>
          </cell>
          <cell r="P76">
            <v>8.3900180087471057</v>
          </cell>
          <cell r="Q76">
            <v>7.8083832335329344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70</v>
          </cell>
          <cell r="E77">
            <v>70</v>
          </cell>
          <cell r="F77">
            <v>0</v>
          </cell>
          <cell r="G77">
            <v>8.0961729129486422</v>
          </cell>
          <cell r="H77">
            <v>7.6210226025894219</v>
          </cell>
          <cell r="I77">
            <v>7.314819136522754</v>
          </cell>
          <cell r="J77">
            <v>7.0043891733723482</v>
          </cell>
          <cell r="K77">
            <v>6.8532866783304174</v>
          </cell>
          <cell r="L77">
            <v>6.4721268163804488</v>
          </cell>
          <cell r="M77">
            <v>6.2759111617312078</v>
          </cell>
          <cell r="N77">
            <v>5.4270923209663504</v>
          </cell>
          <cell r="O77">
            <v>5.7058823529411766</v>
          </cell>
          <cell r="P77">
            <v>6.5089751013317887</v>
          </cell>
          <cell r="Q77">
            <v>5.5397837538120314</v>
          </cell>
          <cell r="R77">
            <v>5.6238560097620498</v>
          </cell>
          <cell r="S77">
            <v>5.3087289999999996</v>
          </cell>
          <cell r="T77">
            <v>4.2676220000000002</v>
          </cell>
          <cell r="U77">
            <v>5.4642860000000004</v>
          </cell>
        </row>
        <row r="78">
          <cell r="B78" t="str">
            <v>YORW</v>
          </cell>
          <cell r="C78" t="str">
            <v>York Water Co. (The)</v>
          </cell>
          <cell r="D78">
            <v>71</v>
          </cell>
          <cell r="E78">
            <v>71</v>
          </cell>
          <cell r="F78">
            <v>0</v>
          </cell>
          <cell r="G78" t="str">
            <v>N/A</v>
          </cell>
          <cell r="H78">
            <v>15.681786941580755</v>
          </cell>
          <cell r="I78">
            <v>15.12822402358143</v>
          </cell>
          <cell r="J78">
            <v>16.607925801011806</v>
          </cell>
          <cell r="K78">
            <v>15.714285714285714</v>
          </cell>
          <cell r="L78">
            <v>15.514625228519193</v>
          </cell>
          <cell r="M78">
            <v>13.813145539906104</v>
          </cell>
          <cell r="N78">
            <v>14.747102212855637</v>
          </cell>
          <cell r="O78">
            <v>15.846153846153845</v>
          </cell>
          <cell r="P78">
            <v>20.151869158878505</v>
          </cell>
          <cell r="Q78">
            <v>23.568270481144342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</sheetData>
      <sheetData sheetId="20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R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1.5329228350582995</v>
          </cell>
          <cell r="H5">
            <v>1.3727711688381754</v>
          </cell>
          <cell r="I5">
            <v>1.4249778969283859</v>
          </cell>
          <cell r="J5">
            <v>1.5076301754169621</v>
          </cell>
          <cell r="K5">
            <v>1.3442031362771472</v>
          </cell>
          <cell r="L5">
            <v>1.3500225843438378</v>
          </cell>
          <cell r="M5">
            <v>1.2833143821296262</v>
          </cell>
          <cell r="N5">
            <v>1.1509505415435886</v>
          </cell>
          <cell r="O5">
            <v>1.5502739348074575</v>
          </cell>
          <cell r="P5">
            <v>1.8882621318954793</v>
          </cell>
          <cell r="Q5">
            <v>2.092598511483494</v>
          </cell>
          <cell r="R5">
            <v>2.2173066360413438</v>
          </cell>
          <cell r="S5">
            <v>0</v>
          </cell>
          <cell r="T5">
            <v>0</v>
          </cell>
          <cell r="U5">
            <v>0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2.1694865295053942</v>
          </cell>
          <cell r="H6">
            <v>1.8608944674628323</v>
          </cell>
          <cell r="I6">
            <v>1.8585949562532167</v>
          </cell>
          <cell r="J6">
            <v>1.6991683007640814</v>
          </cell>
          <cell r="K6">
            <v>1.5654605961906112</v>
          </cell>
          <cell r="L6">
            <v>1.4642593957258658</v>
          </cell>
          <cell r="M6">
            <v>1.3144784241588103</v>
          </cell>
          <cell r="N6">
            <v>1.0448273111589694</v>
          </cell>
          <cell r="O6">
            <v>1.3346894069785635</v>
          </cell>
          <cell r="P6">
            <v>1.6693282844912742</v>
          </cell>
          <cell r="Q6">
            <v>1.5176068675543097</v>
          </cell>
          <cell r="R6">
            <v>1.3341645885286784</v>
          </cell>
          <cell r="S6">
            <v>0</v>
          </cell>
          <cell r="T6">
            <v>0</v>
          </cell>
          <cell r="U6">
            <v>0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3.067549570878958</v>
          </cell>
          <cell r="H7">
            <v>3.0994907951429687</v>
          </cell>
          <cell r="I7">
            <v>2.3833950290851402</v>
          </cell>
          <cell r="J7">
            <v>2.1733113155618464</v>
          </cell>
          <cell r="K7">
            <v>1.7089583863039242</v>
          </cell>
          <cell r="L7">
            <v>1.586569504658242</v>
          </cell>
          <cell r="M7">
            <v>1.7234504540071063</v>
          </cell>
          <cell r="N7">
            <v>1.770547592038775</v>
          </cell>
          <cell r="O7">
            <v>1.950412302206374</v>
          </cell>
          <cell r="P7">
            <v>2.2177483745865181</v>
          </cell>
          <cell r="Q7">
            <v>2.2160797981011902</v>
          </cell>
          <cell r="S7">
            <v>0</v>
          </cell>
          <cell r="T7">
            <v>0</v>
          </cell>
          <cell r="U7">
            <v>0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2.4827822042882057</v>
          </cell>
          <cell r="H8">
            <v>1.9162920751778572</v>
          </cell>
          <cell r="I8">
            <v>1.7465955970939362</v>
          </cell>
          <cell r="J8">
            <v>1.5456567636857186</v>
          </cell>
          <cell r="K8">
            <v>1.4041824337781319</v>
          </cell>
          <cell r="L8">
            <v>1.1982333181271514</v>
          </cell>
          <cell r="M8">
            <v>0.94785484144480248</v>
          </cell>
          <cell r="N8">
            <v>0.85307725883893493</v>
          </cell>
          <cell r="O8">
            <v>0.81164677431936971</v>
          </cell>
          <cell r="P8" t="str">
            <v>N/A</v>
          </cell>
          <cell r="Q8" t="str">
            <v>N/A</v>
          </cell>
          <cell r="S8">
            <v>0</v>
          </cell>
          <cell r="T8">
            <v>0</v>
          </cell>
          <cell r="U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1.6747967479674797</v>
          </cell>
          <cell r="H9">
            <v>1.4586928424214904</v>
          </cell>
          <cell r="I9">
            <v>1.4491994072360572</v>
          </cell>
          <cell r="J9">
            <v>1.2860109005969376</v>
          </cell>
          <cell r="K9">
            <v>1.180071148274471</v>
          </cell>
          <cell r="L9">
            <v>0.90303902947123327</v>
          </cell>
          <cell r="M9">
            <v>0.83169025034986777</v>
          </cell>
          <cell r="N9">
            <v>0.77828834003446301</v>
          </cell>
          <cell r="O9">
            <v>1.2473626440636625</v>
          </cell>
          <cell r="P9">
            <v>1.6041955884621317</v>
          </cell>
          <cell r="Q9">
            <v>1.61828395681647</v>
          </cell>
          <cell r="R9">
            <v>1.6829746855801089</v>
          </cell>
          <cell r="S9">
            <v>0</v>
          </cell>
          <cell r="T9">
            <v>0</v>
          </cell>
          <cell r="U9">
            <v>0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1.8122102882984736</v>
          </cell>
          <cell r="H10">
            <v>1.5537532592287633</v>
          </cell>
          <cell r="I10">
            <v>1.5428596368715082</v>
          </cell>
          <cell r="J10">
            <v>1.3977134885977682</v>
          </cell>
          <cell r="K10">
            <v>1.3076849520288147</v>
          </cell>
          <cell r="L10">
            <v>1.2297422034680556</v>
          </cell>
          <cell r="M10">
            <v>1.2311873499929407</v>
          </cell>
          <cell r="N10">
            <v>1.0840064032598413</v>
          </cell>
          <cell r="O10">
            <v>1.4829681388372007</v>
          </cell>
          <cell r="P10">
            <v>1.8483969647610348</v>
          </cell>
          <cell r="Q10">
            <v>1.5556538964049396</v>
          </cell>
          <cell r="R10">
            <v>1.5664153886145047</v>
          </cell>
          <cell r="S10">
            <v>0</v>
          </cell>
          <cell r="T10">
            <v>0</v>
          </cell>
          <cell r="U10">
            <v>0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3.0203279317288327</v>
          </cell>
          <cell r="H11">
            <v>2.7414075286415711</v>
          </cell>
          <cell r="I11">
            <v>2.6877764591649584</v>
          </cell>
          <cell r="J11">
            <v>2.8479193230555229</v>
          </cell>
          <cell r="K11">
            <v>2.4216989492340804</v>
          </cell>
          <cell r="L11">
            <v>2.4536625971143176</v>
          </cell>
          <cell r="M11">
            <v>2.228814803935967</v>
          </cell>
          <cell r="N11">
            <v>2.1886153846153849</v>
          </cell>
          <cell r="O11">
            <v>2.3274180655475618</v>
          </cell>
          <cell r="P11">
            <v>3.1012809564474808</v>
          </cell>
          <cell r="Q11">
            <v>3.4877961234745154</v>
          </cell>
          <cell r="S11">
            <v>0</v>
          </cell>
          <cell r="T11">
            <v>0</v>
          </cell>
          <cell r="U11">
            <v>0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2.1099306743495099</v>
          </cell>
          <cell r="H12">
            <v>1.7177752366431611</v>
          </cell>
          <cell r="I12">
            <v>1.5493933578375567</v>
          </cell>
          <cell r="J12">
            <v>1.3939021391689206</v>
          </cell>
          <cell r="K12">
            <v>1.2795287637698898</v>
          </cell>
          <cell r="L12">
            <v>1.2988229642085034</v>
          </cell>
          <cell r="M12">
            <v>1.1810016556291392</v>
          </cell>
          <cell r="N12">
            <v>1.0502147200136061</v>
          </cell>
          <cell r="O12">
            <v>1.2021149506658999</v>
          </cell>
          <cell r="P12">
            <v>1.3987094428792148</v>
          </cell>
          <cell r="Q12">
            <v>1.3414670435947031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0.82978853940856478</v>
          </cell>
          <cell r="H13">
            <v>0.72234647187968071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1.5731916218951958</v>
          </cell>
          <cell r="H14">
            <v>1.3561878362954509</v>
          </cell>
          <cell r="I14">
            <v>1.3340185426018374</v>
          </cell>
          <cell r="J14">
            <v>1.2528459046737623</v>
          </cell>
          <cell r="K14">
            <v>1.2096689936838108</v>
          </cell>
          <cell r="L14">
            <v>1.1931017491993101</v>
          </cell>
          <cell r="M14">
            <v>1.0665178344918564</v>
          </cell>
          <cell r="N14">
            <v>0.94084815606906258</v>
          </cell>
          <cell r="O14">
            <v>1.1129208570179274</v>
          </cell>
          <cell r="P14">
            <v>1.2869051754081278</v>
          </cell>
          <cell r="Q14">
            <v>1.2958359585314163</v>
          </cell>
          <cell r="R14">
            <v>1.1274182368139138</v>
          </cell>
          <cell r="S14">
            <v>0</v>
          </cell>
          <cell r="T14">
            <v>0</v>
          </cell>
          <cell r="U14">
            <v>0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1.9380103811948293</v>
          </cell>
          <cell r="H15">
            <v>1.5948314999126942</v>
          </cell>
          <cell r="I15">
            <v>1.7853780475927667</v>
          </cell>
          <cell r="J15">
            <v>1.6197087246495168</v>
          </cell>
          <cell r="K15">
            <v>1.2104659086833327</v>
          </cell>
          <cell r="L15">
            <v>1.1419439198024117</v>
          </cell>
          <cell r="M15">
            <v>1.0721296263249938</v>
          </cell>
          <cell r="N15">
            <v>0.82718488451452998</v>
          </cell>
          <cell r="O15">
            <v>1.2225368688168878</v>
          </cell>
          <cell r="P15">
            <v>1.5690179267342168</v>
          </cell>
          <cell r="Q15">
            <v>1.4717857746240919</v>
          </cell>
          <cell r="R15">
            <v>1.6347318824321293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2.1780493126772855</v>
          </cell>
          <cell r="H16">
            <v>1.7361514948184595</v>
          </cell>
          <cell r="I16">
            <v>1.7876106194690264</v>
          </cell>
          <cell r="J16">
            <v>1.6367405517461329</v>
          </cell>
          <cell r="K16">
            <v>1.6160935838355193</v>
          </cell>
          <cell r="L16">
            <v>1.7010318862136282</v>
          </cell>
          <cell r="M16">
            <v>1.7571032239548456</v>
          </cell>
          <cell r="N16">
            <v>1.8951421800947865</v>
          </cell>
          <cell r="O16">
            <v>1.931495577041761</v>
          </cell>
          <cell r="P16">
            <v>2.1132136678200695</v>
          </cell>
          <cell r="Q16">
            <v>2.1591535324589439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2.7271595718197656</v>
          </cell>
          <cell r="H17">
            <v>2.4283761958007206</v>
          </cell>
          <cell r="I17">
            <v>2.2717668144514667</v>
          </cell>
          <cell r="J17">
            <v>2.3036369041720346</v>
          </cell>
          <cell r="K17">
            <v>1.9919499105545617</v>
          </cell>
          <cell r="L17">
            <v>1.8678102926337035</v>
          </cell>
          <cell r="M17">
            <v>1.9583001328021248</v>
          </cell>
          <cell r="N17">
            <v>1.7703384798099764</v>
          </cell>
          <cell r="O17">
            <v>2.4896364254162417</v>
          </cell>
          <cell r="P17">
            <v>3.1292565519700482</v>
          </cell>
          <cell r="Q17">
            <v>2.7518645434388227</v>
          </cell>
          <cell r="R17">
            <v>3.0572318007662833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  <cell r="R18" t="str">
            <v>N/A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2.2760498519790944</v>
          </cell>
          <cell r="H19">
            <v>2.1877371764806206</v>
          </cell>
          <cell r="I19">
            <v>2.1239191683668515</v>
          </cell>
          <cell r="J19">
            <v>1.831034125090758</v>
          </cell>
          <cell r="K19">
            <v>1.6558011669658885</v>
          </cell>
          <cell r="L19">
            <v>1.6144951722493743</v>
          </cell>
          <cell r="M19">
            <v>1.403700429401364</v>
          </cell>
          <cell r="N19">
            <v>1.3671659837442065</v>
          </cell>
          <cell r="O19">
            <v>1.6393742719254452</v>
          </cell>
          <cell r="P19">
            <v>1.8378677095732019</v>
          </cell>
          <cell r="Q19">
            <v>1.8481949458483755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2.7223608193277311</v>
          </cell>
          <cell r="H21">
            <v>2.4331362612612613</v>
          </cell>
          <cell r="I21">
            <v>2.2570485902819435</v>
          </cell>
          <cell r="J21">
            <v>2.0875192604006161</v>
          </cell>
          <cell r="K21">
            <v>1.9063998677029934</v>
          </cell>
          <cell r="L21">
            <v>1.656624989510783</v>
          </cell>
          <cell r="M21">
            <v>1.4805183199285077</v>
          </cell>
          <cell r="N21">
            <v>1.1041338237870031</v>
          </cell>
          <cell r="O21">
            <v>1.2286265857694429</v>
          </cell>
          <cell r="P21">
            <v>1.8154529119543386</v>
          </cell>
          <cell r="Q21">
            <v>1.4156362185879536</v>
          </cell>
          <cell r="R21">
            <v>1.3162092868673441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2.3082018777105273</v>
          </cell>
          <cell r="H22">
            <v>1.7919540229885056</v>
          </cell>
          <cell r="I22">
            <v>1.786658877263795</v>
          </cell>
          <cell r="J22">
            <v>1.7018699413898968</v>
          </cell>
          <cell r="K22">
            <v>1.4159744103886183</v>
          </cell>
          <cell r="L22">
            <v>1.9252426465140402</v>
          </cell>
          <cell r="M22">
            <v>1.7904177845917977</v>
          </cell>
          <cell r="N22">
            <v>1.7286503551696923</v>
          </cell>
          <cell r="O22">
            <v>2.0114444535273441</v>
          </cell>
          <cell r="P22">
            <v>2.0210041841004185</v>
          </cell>
          <cell r="Q22">
            <v>2.0237109846525261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1.5802171548027901</v>
          </cell>
          <cell r="H23">
            <v>1.4172989718493243</v>
          </cell>
          <cell r="I23">
            <v>1.3405449464368888</v>
          </cell>
          <cell r="J23">
            <v>1.3839033723989476</v>
          </cell>
          <cell r="K23">
            <v>1.4658737600552729</v>
          </cell>
          <cell r="L23">
            <v>1.3783486144547459</v>
          </cell>
          <cell r="M23">
            <v>1.2164777221196941</v>
          </cell>
          <cell r="N23">
            <v>1.0805332309295883</v>
          </cell>
          <cell r="O23">
            <v>1.1650860852384985</v>
          </cell>
          <cell r="P23">
            <v>1.4720704683567614</v>
          </cell>
          <cell r="Q23">
            <v>1.4693299880986845</v>
          </cell>
          <cell r="R23">
            <v>1.5179182605194284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1.2358770048013077</v>
          </cell>
          <cell r="H24">
            <v>1.1795943328916523</v>
          </cell>
          <cell r="I24">
            <v>1.2405763809126031</v>
          </cell>
          <cell r="J24">
            <v>1.2297998517420312</v>
          </cell>
          <cell r="K24">
            <v>0.86405655247417079</v>
          </cell>
          <cell r="L24">
            <v>1.0645161290322578</v>
          </cell>
          <cell r="M24">
            <v>1.3299182686773341</v>
          </cell>
          <cell r="N24">
            <v>1.6504160318762453</v>
          </cell>
          <cell r="O24">
            <v>2.2590865614538496</v>
          </cell>
          <cell r="P24">
            <v>3.4032866707242846</v>
          </cell>
          <cell r="Q24">
            <v>3.3919604700854702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3.1532840440165066</v>
          </cell>
          <cell r="H25">
            <v>3.3353893963650063</v>
          </cell>
          <cell r="I25">
            <v>3.5490831729308074</v>
          </cell>
          <cell r="J25">
            <v>2.9701813096248939</v>
          </cell>
          <cell r="K25">
            <v>2.8351504579153946</v>
          </cell>
          <cell r="L25">
            <v>2.3725051017868695</v>
          </cell>
          <cell r="M25">
            <v>2.0075038729666925</v>
          </cell>
          <cell r="N25">
            <v>1.8027331189710611</v>
          </cell>
          <cell r="O25">
            <v>2.4243301116962788</v>
          </cell>
          <cell r="P25">
            <v>2.6941190899613665</v>
          </cell>
          <cell r="Q25">
            <v>2.0725945945945949</v>
          </cell>
          <cell r="R25">
            <v>2.4960561497326204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1.8241303092455046</v>
          </cell>
          <cell r="H26">
            <v>1.6454160443562411</v>
          </cell>
          <cell r="I26">
            <v>1.6164980445502464</v>
          </cell>
          <cell r="J26">
            <v>1.5059804601041831</v>
          </cell>
          <cell r="K26">
            <v>1.3504523247387736</v>
          </cell>
          <cell r="L26">
            <v>1.1971844589863088</v>
          </cell>
          <cell r="M26">
            <v>1.1562444864524262</v>
          </cell>
          <cell r="N26">
            <v>0.88860786173464013</v>
          </cell>
          <cell r="O26">
            <v>1.0994969408565602</v>
          </cell>
          <cell r="P26">
            <v>1.3549655576317037</v>
          </cell>
          <cell r="Q26">
            <v>1.2934068263726946</v>
          </cell>
          <cell r="R26">
            <v>1.3905498705461719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1.3450075913952815</v>
          </cell>
          <cell r="H27">
            <v>1.2935593924804738</v>
          </cell>
          <cell r="I27">
            <v>1.2795814235060106</v>
          </cell>
          <cell r="J27">
            <v>1.1862967834509148</v>
          </cell>
          <cell r="K27">
            <v>1.1162221762800635</v>
          </cell>
          <cell r="L27">
            <v>1.1141767696519358</v>
          </cell>
          <cell r="M27">
            <v>1.0029108073556889</v>
          </cell>
          <cell r="N27">
            <v>0.90554039958276511</v>
          </cell>
          <cell r="O27">
            <v>1.0578123421876577</v>
          </cell>
          <cell r="P27">
            <v>1.1521061925831861</v>
          </cell>
          <cell r="Q27" t="str">
            <v>N/A</v>
          </cell>
          <cell r="R27" t="str">
            <v>N/A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1.9175968929085525</v>
          </cell>
          <cell r="H28">
            <v>1.756384167836978</v>
          </cell>
          <cell r="I28">
            <v>1.6797764499539225</v>
          </cell>
          <cell r="J28">
            <v>1.5737984394465936</v>
          </cell>
          <cell r="K28">
            <v>1.5256140108466612</v>
          </cell>
          <cell r="L28">
            <v>1.2358316321570915</v>
          </cell>
          <cell r="M28">
            <v>1.065563158868134</v>
          </cell>
          <cell r="N28">
            <v>1.0424433040887271</v>
          </cell>
          <cell r="O28">
            <v>1.5568298527901403</v>
          </cell>
          <cell r="P28">
            <v>2.0532469035768028</v>
          </cell>
          <cell r="Q28">
            <v>1.8003888254934277</v>
          </cell>
          <cell r="R28">
            <v>1.9313401960301435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1.6815627710525325</v>
          </cell>
          <cell r="H29">
            <v>1.4802864531529738</v>
          </cell>
          <cell r="I29">
            <v>1.5248677682561811</v>
          </cell>
          <cell r="J29">
            <v>1.490315699658703</v>
          </cell>
          <cell r="K29">
            <v>1.590411824767832</v>
          </cell>
          <cell r="L29">
            <v>1.641753390097761</v>
          </cell>
          <cell r="M29">
            <v>1.165686068501786</v>
          </cell>
          <cell r="N29">
            <v>0.9839552692354443</v>
          </cell>
          <cell r="O29">
            <v>1.330380810758389</v>
          </cell>
          <cell r="P29">
            <v>1.6851161845403428</v>
          </cell>
          <cell r="Q29">
            <v>1.7050702213758631</v>
          </cell>
          <cell r="R29">
            <v>1.7572244332929572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>EDE</v>
          </cell>
          <cell r="C30" t="str">
            <v>Empire District Electric</v>
          </cell>
          <cell r="D30">
            <v>29</v>
          </cell>
          <cell r="E30">
            <v>29</v>
          </cell>
          <cell r="F30">
            <v>0</v>
          </cell>
          <cell r="G30" t="str">
            <v>N/A</v>
          </cell>
          <cell r="H30">
            <v>1.3175391669850975</v>
          </cell>
          <cell r="I30">
            <v>1.3948931446017208</v>
          </cell>
          <cell r="J30">
            <v>1.2735984392035349</v>
          </cell>
          <cell r="K30">
            <v>1.2311197916666665</v>
          </cell>
          <cell r="L30">
            <v>1.2490321800145174</v>
          </cell>
          <cell r="M30">
            <v>1.2391730416640325</v>
          </cell>
          <cell r="N30">
            <v>1.0744268749603099</v>
          </cell>
          <cell r="O30">
            <v>1.2971792070937478</v>
          </cell>
          <cell r="P30">
            <v>1.4743829468960359</v>
          </cell>
          <cell r="Q30">
            <v>1.4487121554450972</v>
          </cell>
          <cell r="R30">
            <v>1.4943641426866463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30</v>
          </cell>
          <cell r="E31">
            <v>30</v>
          </cell>
          <cell r="F31">
            <v>0</v>
          </cell>
          <cell r="G31">
            <v>1.6655141077642575</v>
          </cell>
          <cell r="H31">
            <v>1.4028444238885356</v>
          </cell>
          <cell r="I31">
            <v>1.3316258910341368</v>
          </cell>
          <cell r="J31">
            <v>1.2136587533795045</v>
          </cell>
          <cell r="K31">
            <v>1.3062928951184145</v>
          </cell>
          <cell r="L31">
            <v>1.3464202778761758</v>
          </cell>
          <cell r="M31">
            <v>1.6211894894073591</v>
          </cell>
          <cell r="N31">
            <v>1.6572840048303874</v>
          </cell>
          <cell r="O31">
            <v>2.4398992179886383</v>
          </cell>
          <cell r="P31">
            <v>2.6549835437441667</v>
          </cell>
          <cell r="Q31">
            <v>1.8917428924598267</v>
          </cell>
          <cell r="R31">
            <v>2.0062729283934018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31</v>
          </cell>
          <cell r="E32">
            <v>31</v>
          </cell>
          <cell r="F32">
            <v>0</v>
          </cell>
          <cell r="G32">
            <v>1.6367482176138213</v>
          </cell>
          <cell r="H32">
            <v>1.5314826730398012</v>
          </cell>
          <cell r="I32">
            <v>1.4689267331765901</v>
          </cell>
          <cell r="J32">
            <v>1.3836843141113953</v>
          </cell>
          <cell r="K32">
            <v>1.275873793009656</v>
          </cell>
          <cell r="L32">
            <v>1.5045033112582782</v>
          </cell>
          <cell r="M32">
            <v>1.3051067179036067</v>
          </cell>
          <cell r="N32">
            <v>1.1212879791881412</v>
          </cell>
          <cell r="O32">
            <v>1.3111134041894539</v>
          </cell>
          <cell r="P32">
            <v>1.5980055758095646</v>
          </cell>
          <cell r="Q32">
            <v>1.2232265887670175</v>
          </cell>
          <cell r="R32">
            <v>1.0488055901630464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32</v>
          </cell>
          <cell r="E33">
            <v>32</v>
          </cell>
          <cell r="F33">
            <v>0</v>
          </cell>
          <cell r="G33">
            <v>1.2026036264797395</v>
          </cell>
          <cell r="H33">
            <v>1.1392752692774093</v>
          </cell>
          <cell r="I33">
            <v>1.2793519187616476</v>
          </cell>
          <cell r="J33">
            <v>1.1702368381354655</v>
          </cell>
          <cell r="K33">
            <v>1.460992342054882</v>
          </cell>
          <cell r="L33">
            <v>1.9543463223426334</v>
          </cell>
          <cell r="M33">
            <v>2.0720909800859042</v>
          </cell>
          <cell r="N33">
            <v>2.5723680776658489</v>
          </cell>
          <cell r="O33">
            <v>4.389991063449509</v>
          </cell>
          <cell r="P33">
            <v>4.7874046548014864</v>
          </cell>
          <cell r="Q33">
            <v>3.8856797420741538</v>
          </cell>
          <cell r="R33">
            <v>3.6030378267854535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33</v>
          </cell>
          <cell r="E34">
            <v>33</v>
          </cell>
          <cell r="F34">
            <v>0</v>
          </cell>
          <cell r="G34">
            <v>2.3686299525125802</v>
          </cell>
          <cell r="H34">
            <v>1.1609548167092925</v>
          </cell>
          <cell r="I34">
            <v>1.1467078049772834</v>
          </cell>
          <cell r="J34">
            <v>1.2788442509400355</v>
          </cell>
          <cell r="K34">
            <v>1.4362154387086463</v>
          </cell>
          <cell r="L34">
            <v>1.3256282673049065</v>
          </cell>
          <cell r="M34">
            <v>1.3620148401826484</v>
          </cell>
          <cell r="N34">
            <v>1.5400505752039035</v>
          </cell>
          <cell r="O34">
            <v>2.5216399234506111</v>
          </cell>
          <cell r="P34">
            <v>2.2335902747122143</v>
          </cell>
          <cell r="Q34">
            <v>1.9202967673555909</v>
          </cell>
          <cell r="R34">
            <v>1.6378518093049972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FTS.TO</v>
          </cell>
          <cell r="C35" t="str">
            <v>Fortis Inc.</v>
          </cell>
          <cell r="D35">
            <v>34</v>
          </cell>
          <cell r="E35">
            <v>34</v>
          </cell>
          <cell r="F35">
            <v>0</v>
          </cell>
          <cell r="G35">
            <v>1.2634689772551448</v>
          </cell>
          <cell r="H35">
            <v>1.3269405435617969</v>
          </cell>
          <cell r="I35">
            <v>1.3462542679252862</v>
          </cell>
          <cell r="J35">
            <v>1.4540784418833201</v>
          </cell>
          <cell r="K35">
            <v>1.5932626325639425</v>
          </cell>
          <cell r="L35">
            <v>1.5925871809857781</v>
          </cell>
          <cell r="M35">
            <v>1.5570682285895203</v>
          </cell>
          <cell r="N35">
            <v>1.3307124777855568</v>
          </cell>
          <cell r="O35">
            <v>1.4760317724823642</v>
          </cell>
          <cell r="P35">
            <v>1.627122697919158</v>
          </cell>
          <cell r="Q35">
            <v>1.9610771113831089</v>
          </cell>
          <cell r="R35" t="str">
            <v>N/A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36</v>
          </cell>
          <cell r="E37">
            <v>36</v>
          </cell>
          <cell r="F37">
            <v>0</v>
          </cell>
          <cell r="G37">
            <v>1.170555173668675</v>
          </cell>
          <cell r="H37">
            <v>1.120349647396647</v>
          </cell>
          <cell r="I37">
            <v>1.1115983148482504</v>
          </cell>
          <cell r="J37">
            <v>1.0177582923696913</v>
          </cell>
          <cell r="K37">
            <v>0.96396230751551371</v>
          </cell>
          <cell r="L37">
            <v>0.9259463686122994</v>
          </cell>
          <cell r="M37">
            <v>0.87020926404890664</v>
          </cell>
          <cell r="N37">
            <v>0.80083410115901266</v>
          </cell>
          <cell r="O37">
            <v>1.1143631943145689</v>
          </cell>
          <cell r="P37">
            <v>1.6633483665163349</v>
          </cell>
          <cell r="Q37">
            <v>1.7749835339201243</v>
          </cell>
          <cell r="R37">
            <v>1.8594294092491905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37</v>
          </cell>
          <cell r="E38">
            <v>37</v>
          </cell>
          <cell r="F38">
            <v>0</v>
          </cell>
          <cell r="G38">
            <v>1.6309761479457814</v>
          </cell>
          <cell r="H38">
            <v>1.7060987847028655</v>
          </cell>
          <cell r="I38">
            <v>1.4911828695751745</v>
          </cell>
          <cell r="J38">
            <v>1.5399272983114447</v>
          </cell>
          <cell r="K38">
            <v>1.6225116736298846</v>
          </cell>
          <cell r="L38">
            <v>1.5427872860635699</v>
          </cell>
          <cell r="M38">
            <v>1.4354735767168751</v>
          </cell>
          <cell r="N38">
            <v>1.1554999358233859</v>
          </cell>
          <cell r="O38">
            <v>1.6144625407166124</v>
          </cell>
          <cell r="P38">
            <v>1.5664944070124942</v>
          </cell>
          <cell r="Q38">
            <v>2.0110078095946449</v>
          </cell>
          <cell r="R38">
            <v>1.7758769886174532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38</v>
          </cell>
          <cell r="E39">
            <v>38</v>
          </cell>
          <cell r="F39">
            <v>0</v>
          </cell>
          <cell r="G39">
            <v>1.7571304897166524</v>
          </cell>
          <cell r="H39">
            <v>1.535360454022848</v>
          </cell>
          <cell r="I39">
            <v>1.4531065012611315</v>
          </cell>
          <cell r="J39">
            <v>1.3288366538190111</v>
          </cell>
          <cell r="K39">
            <v>1.1926422358477116</v>
          </cell>
          <cell r="L39">
            <v>1.1679373210788007</v>
          </cell>
          <cell r="M39">
            <v>1.1250846473831866</v>
          </cell>
          <cell r="N39">
            <v>0.92277370261191471</v>
          </cell>
          <cell r="O39">
            <v>1.093591267696963</v>
          </cell>
          <cell r="P39">
            <v>1.2630636010749479</v>
          </cell>
          <cell r="Q39">
            <v>1.3744469455872081</v>
          </cell>
          <cell r="R39">
            <v>1.2158934886623673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 t="str">
            <v>N/A</v>
          </cell>
          <cell r="H40" t="str">
            <v>N/A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  <cell r="R41">
            <v>3.5244225672093905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  <cell r="R42">
            <v>1.9059804485336402</v>
          </cell>
          <cell r="S42">
            <v>0</v>
          </cell>
          <cell r="T42">
            <v>0</v>
          </cell>
          <cell r="U42">
            <v>0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39</v>
          </cell>
          <cell r="E43">
            <v>39</v>
          </cell>
          <cell r="F43">
            <v>0</v>
          </cell>
          <cell r="G43">
            <v>2.5993488461170164</v>
          </cell>
          <cell r="H43">
            <v>2.0975597509540069</v>
          </cell>
          <cell r="I43">
            <v>2.0968980021030497</v>
          </cell>
          <cell r="J43">
            <v>2.0632719514933751</v>
          </cell>
          <cell r="K43">
            <v>1.9177237912876974</v>
          </cell>
          <cell r="L43">
            <v>1.7526117054751416</v>
          </cell>
          <cell r="M43">
            <v>1.6486397253037506</v>
          </cell>
          <cell r="N43">
            <v>1.5408001105506806</v>
          </cell>
          <cell r="O43">
            <v>1.621497341572065</v>
          </cell>
          <cell r="P43">
            <v>1.7479599692070824</v>
          </cell>
          <cell r="Q43">
            <v>1.8276469108894291</v>
          </cell>
          <cell r="R43">
            <v>2.09242572932465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MSEX</v>
          </cell>
          <cell r="C44" t="str">
            <v>Middlesex Water</v>
          </cell>
          <cell r="D44">
            <v>40</v>
          </cell>
          <cell r="E44">
            <v>40</v>
          </cell>
          <cell r="F44">
            <v>0</v>
          </cell>
          <cell r="G44">
            <v>2.6402566398090124</v>
          </cell>
          <cell r="H44">
            <v>1.8301279535285344</v>
          </cell>
          <cell r="I44">
            <v>1.7072572736188296</v>
          </cell>
          <cell r="J44">
            <v>1.7164242219215158</v>
          </cell>
          <cell r="K44">
            <v>1.6323580633925461</v>
          </cell>
          <cell r="L44">
            <v>1.6193433895297249</v>
          </cell>
          <cell r="M44">
            <v>1.5358426158821417</v>
          </cell>
          <cell r="N44">
            <v>1.4650014522218995</v>
          </cell>
          <cell r="O44">
            <v>1.7570046864094127</v>
          </cell>
          <cell r="P44">
            <v>1.8681121941515815</v>
          </cell>
          <cell r="Q44">
            <v>1.9564167191766437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NJR</v>
          </cell>
          <cell r="C45" t="str">
            <v>New Jersey Resources</v>
          </cell>
          <cell r="D45">
            <v>41</v>
          </cell>
          <cell r="E45">
            <v>41</v>
          </cell>
          <cell r="F45">
            <v>0</v>
          </cell>
          <cell r="G45">
            <v>2.5188102775528236</v>
          </cell>
          <cell r="H45">
            <v>2.2755675259715278</v>
          </cell>
          <cell r="I45">
            <v>2.1266230936819173</v>
          </cell>
          <cell r="J45">
            <v>2.0483522673927332</v>
          </cell>
          <cell r="K45">
            <v>2.3270741912440047</v>
          </cell>
          <cell r="L45">
            <v>2.3079551521623065</v>
          </cell>
          <cell r="M45">
            <v>2.0919409761634506</v>
          </cell>
          <cell r="N45">
            <v>2.159652719160738</v>
          </cell>
          <cell r="O45">
            <v>1.9173802360564685</v>
          </cell>
          <cell r="P45">
            <v>2.1672689726381003</v>
          </cell>
          <cell r="Q45">
            <v>2.0057325689908012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NEE</v>
          </cell>
          <cell r="C46" t="str">
            <v>NextEra Energy, Inc.</v>
          </cell>
          <cell r="D46">
            <v>42</v>
          </cell>
          <cell r="E46">
            <v>42</v>
          </cell>
          <cell r="F46">
            <v>0</v>
          </cell>
          <cell r="G46">
            <v>2.3016669550671973</v>
          </cell>
          <cell r="H46">
            <v>2.0907958420977391</v>
          </cell>
          <cell r="I46">
            <v>2.1492759748203838</v>
          </cell>
          <cell r="J46">
            <v>1.9299992766029275</v>
          </cell>
          <cell r="K46">
            <v>1.7367796073464217</v>
          </cell>
          <cell r="L46">
            <v>1.5478967734751259</v>
          </cell>
          <cell r="M46">
            <v>1.4938009313154832</v>
          </cell>
          <cell r="N46">
            <v>1.6988835725677829</v>
          </cell>
          <cell r="O46">
            <v>2.0633970454386334</v>
          </cell>
          <cell r="P46">
            <v>2.3447294528344842</v>
          </cell>
          <cell r="Q46">
            <v>1.8003184453335512</v>
          </cell>
          <cell r="R46">
            <v>1.9276621445827913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43</v>
          </cell>
          <cell r="E47">
            <v>43</v>
          </cell>
          <cell r="F47">
            <v>0</v>
          </cell>
          <cell r="G47">
            <v>1.840212732179711</v>
          </cell>
          <cell r="H47">
            <v>1.9531717037529059</v>
          </cell>
          <cell r="I47">
            <v>1.943654042988741</v>
          </cell>
          <cell r="J47">
            <v>1.5801673149677626</v>
          </cell>
          <cell r="K47">
            <v>1.3676330931232892</v>
          </cell>
          <cell r="L47">
            <v>1.1479954827780914</v>
          </cell>
          <cell r="M47">
            <v>0.92171101151642376</v>
          </cell>
          <cell r="N47">
            <v>0.68660546273592982</v>
          </cell>
          <cell r="O47">
            <v>0.93765224451919738</v>
          </cell>
          <cell r="P47">
            <v>1.1584575502268308</v>
          </cell>
          <cell r="Q47">
            <v>1.1921838327602203</v>
          </cell>
          <cell r="R47">
            <v>1.278861563967947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NWN</v>
          </cell>
          <cell r="C48" t="str">
            <v>Northwest Nat. Gas</v>
          </cell>
          <cell r="D48">
            <v>44</v>
          </cell>
          <cell r="E48">
            <v>44</v>
          </cell>
          <cell r="F48">
            <v>0</v>
          </cell>
          <cell r="G48">
            <v>1.921362687672524</v>
          </cell>
          <cell r="H48">
            <v>1.6307638279192274</v>
          </cell>
          <cell r="I48">
            <v>1.5891263378729155</v>
          </cell>
          <cell r="J48">
            <v>1.5631976953546993</v>
          </cell>
          <cell r="K48">
            <v>1.7180993647413065</v>
          </cell>
          <cell r="L48">
            <v>1.7021420011983224</v>
          </cell>
          <cell r="M48">
            <v>1.7765337423312886</v>
          </cell>
          <cell r="N48">
            <v>1.7259536154990152</v>
          </cell>
          <cell r="O48">
            <v>1.9591328919067101</v>
          </cell>
          <cell r="P48">
            <v>2.0512387887398988</v>
          </cell>
          <cell r="Q48">
            <v>1.6922447866975603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45</v>
          </cell>
          <cell r="E49">
            <v>45</v>
          </cell>
          <cell r="F49">
            <v>0</v>
          </cell>
          <cell r="G49">
            <v>1.6798627530130903</v>
          </cell>
          <cell r="H49">
            <v>1.6030164368715756</v>
          </cell>
          <cell r="I49">
            <v>1.5411282897869774</v>
          </cell>
          <cell r="J49">
            <v>1.5591519115822714</v>
          </cell>
          <cell r="K49">
            <v>1.4155176536223799</v>
          </cell>
          <cell r="L49">
            <v>1.3485494700392719</v>
          </cell>
          <cell r="M49">
            <v>1.218743099412622</v>
          </cell>
          <cell r="N49">
            <v>1.0661939615736504</v>
          </cell>
          <cell r="O49">
            <v>1.1549103571596631</v>
          </cell>
          <cell r="P49">
            <v>1.4819830484397936</v>
          </cell>
          <cell r="Q49">
            <v>1.6463125272383903</v>
          </cell>
          <cell r="R49">
            <v>1.418462434478742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46</v>
          </cell>
          <cell r="E50">
            <v>46</v>
          </cell>
          <cell r="F50">
            <v>0</v>
          </cell>
          <cell r="G50">
            <v>1.7326761380110176</v>
          </cell>
          <cell r="H50">
            <v>1.7949564695286699</v>
          </cell>
          <cell r="I50">
            <v>2.2227275520865342</v>
          </cell>
          <cell r="J50">
            <v>2.2433986928104575</v>
          </cell>
          <cell r="K50">
            <v>1.9372322193658955</v>
          </cell>
          <cell r="L50">
            <v>1.8968235744355149</v>
          </cell>
          <cell r="M50">
            <v>1.6968456947996589</v>
          </cell>
          <cell r="N50">
            <v>1.3696768060836504</v>
          </cell>
          <cell r="O50">
            <v>1.523020802523908</v>
          </cell>
          <cell r="P50">
            <v>1.9826324412889134</v>
          </cell>
          <cell r="Q50">
            <v>1.9051518253155919</v>
          </cell>
          <cell r="R50">
            <v>1.8015277229026736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OGS</v>
          </cell>
          <cell r="C51" t="str">
            <v>ONE Gas Inc.</v>
          </cell>
          <cell r="D51">
            <v>47</v>
          </cell>
          <cell r="E51">
            <v>47</v>
          </cell>
          <cell r="F51">
            <v>0</v>
          </cell>
          <cell r="G51">
            <v>1.6683833097987097</v>
          </cell>
          <cell r="H51">
            <v>1.2579812139958568</v>
          </cell>
          <cell r="I51">
            <v>1.0713311075627812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48</v>
          </cell>
          <cell r="E52">
            <v>48</v>
          </cell>
          <cell r="F52">
            <v>0</v>
          </cell>
          <cell r="G52">
            <v>1.8971814445096886</v>
          </cell>
          <cell r="H52">
            <v>1.77637342009761</v>
          </cell>
          <cell r="I52">
            <v>1.8973942426408474</v>
          </cell>
          <cell r="J52">
            <v>1.9622923024754155</v>
          </cell>
          <cell r="K52">
            <v>1.5823863636363635</v>
          </cell>
          <cell r="L52">
            <v>1.349864173352707</v>
          </cell>
          <cell r="M52">
            <v>1.1919726729291205</v>
          </cell>
          <cell r="N52">
            <v>1.1776949693904712</v>
          </cell>
          <cell r="O52">
            <v>1.7117404253095776</v>
          </cell>
          <cell r="P52">
            <v>1.9289499173836249</v>
          </cell>
          <cell r="Q52">
            <v>1.7591048179036417</v>
          </cell>
          <cell r="R52">
            <v>1.7353760445682451</v>
          </cell>
          <cell r="S52">
            <v>0</v>
          </cell>
          <cell r="T52">
            <v>0</v>
          </cell>
          <cell r="U52">
            <v>0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 t="str">
            <v>N/A</v>
          </cell>
          <cell r="H53" t="str">
            <v>N/A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  <cell r="R53" t="str">
            <v>N/A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49</v>
          </cell>
          <cell r="E54">
            <v>49</v>
          </cell>
          <cell r="F54">
            <v>0</v>
          </cell>
          <cell r="G54">
            <v>1.6893083182640143</v>
          </cell>
          <cell r="H54">
            <v>1.5671881029416128</v>
          </cell>
          <cell r="I54">
            <v>1.3873980054397097</v>
          </cell>
          <cell r="J54">
            <v>1.3790040119722347</v>
          </cell>
          <cell r="K54">
            <v>1.4117743954668249</v>
          </cell>
          <cell r="L54">
            <v>1.4640070861581438</v>
          </cell>
          <cell r="M54">
            <v>1.5611644363483499</v>
          </cell>
          <cell r="N54">
            <v>1.4137794993185566</v>
          </cell>
          <cell r="O54">
            <v>1.4982480458973471</v>
          </cell>
          <cell r="P54">
            <v>1.9369727047146401</v>
          </cell>
          <cell r="Q54">
            <v>1.8257342782011854</v>
          </cell>
          <cell r="R54">
            <v>1.84234693877551</v>
          </cell>
          <cell r="S54">
            <v>0</v>
          </cell>
          <cell r="T54">
            <v>0</v>
          </cell>
          <cell r="U54">
            <v>0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50</v>
          </cell>
          <cell r="E55">
            <v>50</v>
          </cell>
          <cell r="F55">
            <v>0</v>
          </cell>
          <cell r="G55">
            <v>1.7159578166647349</v>
          </cell>
          <cell r="H55">
            <v>1.5218865000968429</v>
          </cell>
          <cell r="I55">
            <v>1.4398339198460719</v>
          </cell>
          <cell r="J55">
            <v>1.4678609892563503</v>
          </cell>
          <cell r="K55">
            <v>1.3869782602690532</v>
          </cell>
          <cell r="L55">
            <v>1.2481705922707522</v>
          </cell>
          <cell r="M55">
            <v>1.142776990314198</v>
          </cell>
          <cell r="N55">
            <v>0.94995717606753949</v>
          </cell>
          <cell r="O55">
            <v>0.99718936643635092</v>
          </cell>
          <cell r="P55">
            <v>1.2575330772513869</v>
          </cell>
          <cell r="Q55">
            <v>1.2588542422044959</v>
          </cell>
          <cell r="R55">
            <v>1.2464346668980879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51</v>
          </cell>
          <cell r="E56">
            <v>51</v>
          </cell>
          <cell r="F56">
            <v>0</v>
          </cell>
          <cell r="G56">
            <v>1.5552281368821295</v>
          </cell>
          <cell r="H56">
            <v>1.3299157641395911</v>
          </cell>
          <cell r="I56">
            <v>1.2094144968960743</v>
          </cell>
          <cell r="J56">
            <v>1.0900508003450591</v>
          </cell>
          <cell r="K56">
            <v>0.97839860314292826</v>
          </cell>
          <cell r="L56">
            <v>0.80011215334420882</v>
          </cell>
          <cell r="M56">
            <v>0.69437972381655955</v>
          </cell>
          <cell r="N56">
            <v>0.55520871911539071</v>
          </cell>
          <cell r="O56">
            <v>0.65997988673053509</v>
          </cell>
          <cell r="P56">
            <v>1.2297113289760349</v>
          </cell>
          <cell r="Q56">
            <v>1.2124751041100852</v>
          </cell>
          <cell r="R56">
            <v>1.4496845257191742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52</v>
          </cell>
          <cell r="E57">
            <v>52</v>
          </cell>
          <cell r="F57">
            <v>0</v>
          </cell>
          <cell r="G57">
            <v>1.5620612453990057</v>
          </cell>
          <cell r="H57">
            <v>1.4210381439244986</v>
          </cell>
          <cell r="I57">
            <v>1.3669968888161126</v>
          </cell>
          <cell r="J57">
            <v>1.2825499034127494</v>
          </cell>
          <cell r="K57">
            <v>1.1429820725841713</v>
          </cell>
          <cell r="L57">
            <v>1.0930801649521911</v>
          </cell>
          <cell r="M57">
            <v>0.94242323887022761</v>
          </cell>
          <cell r="N57">
            <v>0.91976392547068575</v>
          </cell>
          <cell r="O57">
            <v>1.0468157870413162</v>
          </cell>
          <cell r="P57">
            <v>1.3220564477810512</v>
          </cell>
          <cell r="Q57">
            <v>1.3592912219782465</v>
          </cell>
          <cell r="R57" t="str">
            <v>N/A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53</v>
          </cell>
          <cell r="E58">
            <v>53</v>
          </cell>
          <cell r="F58">
            <v>0</v>
          </cell>
          <cell r="G58">
            <v>2.457872691066401</v>
          </cell>
          <cell r="H58">
            <v>2.2404211956521736</v>
          </cell>
          <cell r="I58">
            <v>1.6368788781941663</v>
          </cell>
          <cell r="J58">
            <v>1.5456338170602215</v>
          </cell>
          <cell r="K58">
            <v>1.5770448109278694</v>
          </cell>
          <cell r="L58">
            <v>1.4661324786324788</v>
          </cell>
          <cell r="M58">
            <v>1.6085138954309937</v>
          </cell>
          <cell r="N58">
            <v>2.097796994029236</v>
          </cell>
          <cell r="O58">
            <v>3.1882839014313116</v>
          </cell>
          <cell r="P58">
            <v>3.0500503862949278</v>
          </cell>
          <cell r="Q58">
            <v>2.4271968728858151</v>
          </cell>
          <cell r="R58">
            <v>2.4972466012734471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54</v>
          </cell>
          <cell r="E59">
            <v>54</v>
          </cell>
          <cell r="F59">
            <v>0</v>
          </cell>
          <cell r="G59">
            <v>1.6700503710539469</v>
          </cell>
          <cell r="H59">
            <v>1.5839746316562897</v>
          </cell>
          <cell r="I59">
            <v>1.5656523724521567</v>
          </cell>
          <cell r="J59">
            <v>1.4413648842986013</v>
          </cell>
          <cell r="K59">
            <v>1.4643108545684922</v>
          </cell>
          <cell r="L59">
            <v>1.5925415045076112</v>
          </cell>
          <cell r="M59">
            <v>1.6719365512894584</v>
          </cell>
          <cell r="N59">
            <v>1.7802855826807924</v>
          </cell>
          <cell r="O59">
            <v>2.5768704825161164</v>
          </cell>
          <cell r="P59">
            <v>2.9851598968856683</v>
          </cell>
          <cell r="Q59">
            <v>2.4605706582790385</v>
          </cell>
          <cell r="R59">
            <v>2.4504504504504507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56</v>
          </cell>
          <cell r="E60">
            <v>56</v>
          </cell>
          <cell r="F60">
            <v>0</v>
          </cell>
          <cell r="G60">
            <v>1.7440281556548434</v>
          </cell>
          <cell r="H60">
            <v>1.4669204515620897</v>
          </cell>
          <cell r="I60">
            <v>1.4832174435573868</v>
          </cell>
          <cell r="J60">
            <v>1.4785053509885724</v>
          </cell>
          <cell r="K60">
            <v>1.4814567642291925</v>
          </cell>
          <cell r="L60">
            <v>1.3559763550746415</v>
          </cell>
          <cell r="M60">
            <v>1.3268727623244285</v>
          </cell>
          <cell r="N60">
            <v>1.1991965545944772</v>
          </cell>
          <cell r="O60">
            <v>1.4454415348315475</v>
          </cell>
          <cell r="P60">
            <v>1.6152057386094909</v>
          </cell>
          <cell r="Q60">
            <v>1.6370977659356425</v>
          </cell>
          <cell r="R60">
            <v>1.7199828657100023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57</v>
          </cell>
          <cell r="E61">
            <v>57</v>
          </cell>
          <cell r="F61">
            <v>0</v>
          </cell>
          <cell r="G61">
            <v>1.9960596461407711</v>
          </cell>
          <cell r="H61">
            <v>2.1691757779646759</v>
          </cell>
          <cell r="I61">
            <v>2.2024184954000741</v>
          </cell>
          <cell r="J61">
            <v>1.8446591161447923</v>
          </cell>
          <cell r="K61">
            <v>1.5266011361761309</v>
          </cell>
          <cell r="L61">
            <v>1.2832231787917958</v>
          </cell>
          <cell r="M61">
            <v>1.3486402258743306</v>
          </cell>
          <cell r="N61">
            <v>1.3199682522305547</v>
          </cell>
          <cell r="O61">
            <v>1.596042868920033</v>
          </cell>
          <cell r="P61">
            <v>1.8722623156573579</v>
          </cell>
          <cell r="Q61">
            <v>1.6976549413735345</v>
          </cell>
          <cell r="R61">
            <v>1.7333723017828064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</row>
        <row r="63">
          <cell r="B63" t="str">
            <v>SJW</v>
          </cell>
          <cell r="C63" t="str">
            <v>SJW Corp.</v>
          </cell>
          <cell r="D63">
            <v>58</v>
          </cell>
          <cell r="E63">
            <v>58</v>
          </cell>
          <cell r="F63">
            <v>0</v>
          </cell>
          <cell r="G63">
            <v>1.9545410440520086</v>
          </cell>
          <cell r="H63">
            <v>1.635050451407329</v>
          </cell>
          <cell r="I63">
            <v>1.6007435363037232</v>
          </cell>
          <cell r="J63">
            <v>1.7117558402411455</v>
          </cell>
          <cell r="K63">
            <v>1.6339407125373946</v>
          </cell>
          <cell r="L63">
            <v>1.6552574124938375</v>
          </cell>
          <cell r="M63">
            <v>1.7795155306612354</v>
          </cell>
          <cell r="N63">
            <v>1.6996047430830037</v>
          </cell>
          <cell r="O63">
            <v>2.0325877224326447</v>
          </cell>
          <cell r="P63">
            <v>2.6940483570985743</v>
          </cell>
          <cell r="Q63">
            <v>2.2414069385465911</v>
          </cell>
        </row>
        <row r="64">
          <cell r="B64" t="str">
            <v>SJI</v>
          </cell>
          <cell r="C64" t="str">
            <v>South Jersey Inds.</v>
          </cell>
          <cell r="D64">
            <v>59</v>
          </cell>
          <cell r="E64">
            <v>59</v>
          </cell>
          <cell r="F64">
            <v>0</v>
          </cell>
          <cell r="G64">
            <v>1.7937858331792123</v>
          </cell>
          <cell r="H64">
            <v>1.7678522571819426</v>
          </cell>
          <cell r="I64">
            <v>2.0683766947599853</v>
          </cell>
          <cell r="J64">
            <v>2.2658438167576551</v>
          </cell>
          <cell r="K64">
            <v>2.2062086163900592</v>
          </cell>
          <cell r="L64">
            <v>2.5855358698809177</v>
          </cell>
          <cell r="M64">
            <v>2.3779081953468877</v>
          </cell>
          <cell r="N64">
            <v>1.9509975882481914</v>
          </cell>
          <cell r="O64">
            <v>2.0820447726748208</v>
          </cell>
          <cell r="P64">
            <v>2.2099950763170852</v>
          </cell>
          <cell r="Q64">
            <v>1.9307651575324332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60</v>
          </cell>
          <cell r="E65">
            <v>60</v>
          </cell>
          <cell r="F65">
            <v>0</v>
          </cell>
          <cell r="G65">
            <v>2.0104008320665652</v>
          </cell>
          <cell r="H65">
            <v>1.9928274152129639</v>
          </cell>
          <cell r="I65">
            <v>2.0222970513287222</v>
          </cell>
          <cell r="J65">
            <v>2.03957623559061</v>
          </cell>
          <cell r="K65">
            <v>2.148636471425184</v>
          </cell>
          <cell r="L65">
            <v>1.9888768579584601</v>
          </cell>
          <cell r="M65">
            <v>1.8299500312304808</v>
          </cell>
          <cell r="N65">
            <v>1.7280740414279416</v>
          </cell>
          <cell r="O65">
            <v>2.1242243297037819</v>
          </cell>
          <cell r="P65">
            <v>2.2409118915588415</v>
          </cell>
          <cell r="Q65">
            <v>2.2311478637527076</v>
          </cell>
          <cell r="R65">
            <v>2.3518312985571588</v>
          </cell>
        </row>
        <row r="66">
          <cell r="B66" t="str">
            <v>SWX</v>
          </cell>
          <cell r="C66" t="str">
            <v>Southwest Gas</v>
          </cell>
          <cell r="D66">
            <v>61</v>
          </cell>
          <cell r="E66">
            <v>61</v>
          </cell>
          <cell r="F66">
            <v>0</v>
          </cell>
          <cell r="G66">
            <v>1.9644916366957812</v>
          </cell>
          <cell r="H66">
            <v>1.6815436341456156</v>
          </cell>
          <cell r="I66">
            <v>1.6827558143174635</v>
          </cell>
          <cell r="J66">
            <v>1.6084088223710122</v>
          </cell>
          <cell r="K66">
            <v>1.5132075471698112</v>
          </cell>
          <cell r="L66">
            <v>1.4300558952620326</v>
          </cell>
          <cell r="M66">
            <v>1.2379465157134493</v>
          </cell>
          <cell r="N66">
            <v>0.9682909864571827</v>
          </cell>
          <cell r="O66">
            <v>1.1996593570364062</v>
          </cell>
          <cell r="P66">
            <v>1.4646649260226283</v>
          </cell>
          <cell r="Q66">
            <v>1.4622121310411937</v>
          </cell>
        </row>
        <row r="67">
          <cell r="B67" t="str">
            <v>SR</v>
          </cell>
          <cell r="C67" t="str">
            <v>Spire Inc.</v>
          </cell>
          <cell r="D67">
            <v>62</v>
          </cell>
          <cell r="E67">
            <v>62</v>
          </cell>
          <cell r="F67">
            <v>0</v>
          </cell>
          <cell r="G67">
            <v>1.6407197996540419</v>
          </cell>
          <cell r="H67">
            <v>1.4353647784879877</v>
          </cell>
          <cell r="I67">
            <v>1.3319496135127398</v>
          </cell>
          <cell r="J67">
            <v>1.3416669270914716</v>
          </cell>
          <cell r="K67">
            <v>1.5124840668816075</v>
          </cell>
          <cell r="L67">
            <v>1.4598200312989047</v>
          </cell>
          <cell r="M67">
            <v>1.3895941727367325</v>
          </cell>
          <cell r="N67">
            <v>1.6762852120224669</v>
          </cell>
          <cell r="O67">
            <v>1.7083954970839548</v>
          </cell>
          <cell r="P67">
            <v>1.6559025672124521</v>
          </cell>
          <cell r="Q67">
            <v>1.7099580879622263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 t="str">
            <v>N/A</v>
          </cell>
          <cell r="H68" t="str">
            <v>N/A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  <cell r="R68">
            <v>2.2347939829954222</v>
          </cell>
        </row>
        <row r="69">
          <cell r="B69" t="str">
            <v>UGI</v>
          </cell>
          <cell r="C69" t="str">
            <v>UGI Corp.</v>
          </cell>
          <cell r="D69">
            <v>64</v>
          </cell>
          <cell r="E69">
            <v>64</v>
          </cell>
          <cell r="F69">
            <v>0</v>
          </cell>
          <cell r="G69">
            <v>2.4064986334649254</v>
          </cell>
          <cell r="H69">
            <v>2.2897106109324756</v>
          </cell>
          <cell r="I69">
            <v>1.9712875146160842</v>
          </cell>
          <cell r="J69">
            <v>1.6857260386672153</v>
          </cell>
          <cell r="K69">
            <v>1.4543871602695131</v>
          </cell>
          <cell r="L69">
            <v>1.7501908558826025</v>
          </cell>
          <cell r="M69">
            <v>1.5532029912604739</v>
          </cell>
          <cell r="N69">
            <v>1.6565057283142388</v>
          </cell>
          <cell r="O69">
            <v>2.0057954545454542</v>
          </cell>
          <cell r="P69">
            <v>2.1626527895437495</v>
          </cell>
          <cell r="Q69">
            <v>2.2097238204833141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 t="str">
            <v>N/A</v>
          </cell>
          <cell r="H70" t="str">
            <v>N/A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  <cell r="R71" t="str">
            <v>N/A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65</v>
          </cell>
          <cell r="E72">
            <v>65</v>
          </cell>
          <cell r="F72">
            <v>0</v>
          </cell>
          <cell r="G72">
            <v>1.9529411764705884</v>
          </cell>
          <cell r="H72">
            <v>1.7338482103074409</v>
          </cell>
          <cell r="I72">
            <v>1.6775031847133757</v>
          </cell>
          <cell r="J72">
            <v>1.516688430399582</v>
          </cell>
          <cell r="K72">
            <v>1.4140558848433529</v>
          </cell>
          <cell r="L72">
            <v>1.4386857142857143</v>
          </cell>
          <cell r="M72">
            <v>1.2729472774416593</v>
          </cell>
          <cell r="N72">
            <v>1.1739716033447445</v>
          </cell>
          <cell r="O72">
            <v>1.4577189454870421</v>
          </cell>
          <cell r="P72">
            <v>1.5968783946029388</v>
          </cell>
          <cell r="Q72">
            <v>1.4355388616006934</v>
          </cell>
          <cell r="R72">
            <v>1.559888417504504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66</v>
          </cell>
          <cell r="E73">
            <v>66</v>
          </cell>
          <cell r="F73">
            <v>0</v>
          </cell>
          <cell r="G73">
            <v>2.2929482370592651</v>
          </cell>
          <cell r="H73">
            <v>2.1063139260424864</v>
          </cell>
          <cell r="I73">
            <v>2.0753213367609256</v>
          </cell>
          <cell r="J73">
            <v>1.8185336372793297</v>
          </cell>
          <cell r="K73">
            <v>1.5692664009479695</v>
          </cell>
          <cell r="L73">
            <v>1.5300659438918076</v>
          </cell>
          <cell r="M73">
            <v>1.4063138769021124</v>
          </cell>
          <cell r="N73">
            <v>1.3393313211051776</v>
          </cell>
          <cell r="O73">
            <v>1.6404891793057967</v>
          </cell>
          <cell r="P73">
            <v>1.7367704400569413</v>
          </cell>
          <cell r="Q73">
            <v>1.7654569021386908</v>
          </cell>
          <cell r="R73">
            <v>1.8218831212101021</v>
          </cell>
        </row>
        <row r="74">
          <cell r="B74" t="str">
            <v>WEC</v>
          </cell>
          <cell r="C74" t="str">
            <v>WEC Energy Group</v>
          </cell>
          <cell r="D74">
            <v>67</v>
          </cell>
          <cell r="E74">
            <v>67</v>
          </cell>
          <cell r="F74">
            <v>0</v>
          </cell>
          <cell r="G74">
            <v>2.0868059237267169</v>
          </cell>
          <cell r="H74">
            <v>1.8208710242194339</v>
          </cell>
          <cell r="I74">
            <v>2.3404939279518318</v>
          </cell>
          <cell r="J74">
            <v>2.2113916617733413</v>
          </cell>
          <cell r="K74">
            <v>2.0509582364019057</v>
          </cell>
          <cell r="L74">
            <v>1.8064553649316661</v>
          </cell>
          <cell r="M74">
            <v>1.6539596655189375</v>
          </cell>
          <cell r="N74">
            <v>1.3998033431661749</v>
          </cell>
          <cell r="O74">
            <v>1.5682550805886477</v>
          </cell>
          <cell r="P74">
            <v>1.7651498000150934</v>
          </cell>
          <cell r="Q74">
            <v>1.7066968985342943</v>
          </cell>
          <cell r="R74">
            <v>1.6161501527717155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68</v>
          </cell>
          <cell r="E75">
            <v>68</v>
          </cell>
          <cell r="F75">
            <v>0</v>
          </cell>
          <cell r="G75">
            <v>1.9542490965314256</v>
          </cell>
          <cell r="H75">
            <v>1.4909350960609224</v>
          </cell>
          <cell r="I75">
            <v>1.4424860111910471</v>
          </cell>
          <cell r="J75">
            <v>1.3343942376146405</v>
          </cell>
          <cell r="K75">
            <v>1.2612038088582163</v>
          </cell>
          <cell r="L75">
            <v>1.200717171258681</v>
          </cell>
          <cell r="M75">
            <v>1.0974542374476495</v>
          </cell>
          <cell r="N75">
            <v>0.92936947440007789</v>
          </cell>
          <cell r="O75">
            <v>1.1009215219976218</v>
          </cell>
          <cell r="P75">
            <v>1.3558702126547886</v>
          </cell>
          <cell r="Q75">
            <v>1.2996309963099633</v>
          </cell>
          <cell r="R75">
            <v>1.4052860734653831</v>
          </cell>
        </row>
        <row r="76">
          <cell r="B76" t="str">
            <v>WGL</v>
          </cell>
          <cell r="C76" t="str">
            <v>WGL Holdings Inc.</v>
          </cell>
          <cell r="D76">
            <v>69</v>
          </cell>
          <cell r="E76">
            <v>69</v>
          </cell>
          <cell r="F76">
            <v>0</v>
          </cell>
          <cell r="G76">
            <v>2.448203749346479</v>
          </cell>
          <cell r="H76">
            <v>2.1502022183958678</v>
          </cell>
          <cell r="I76">
            <v>1.6859740906826108</v>
          </cell>
          <cell r="J76">
            <v>1.7094589113328467</v>
          </cell>
          <cell r="K76">
            <v>1.6606063065622336</v>
          </cell>
          <cell r="L76">
            <v>1.6255054697143831</v>
          </cell>
          <cell r="M76">
            <v>1.5030233984751555</v>
          </cell>
          <cell r="N76">
            <v>1.4543876478918278</v>
          </cell>
          <cell r="O76">
            <v>1.5883446106928427</v>
          </cell>
          <cell r="P76">
            <v>1.6442472521932037</v>
          </cell>
          <cell r="Q76">
            <v>1.5905812473483241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70</v>
          </cell>
          <cell r="E77">
            <v>70</v>
          </cell>
          <cell r="F77">
            <v>0</v>
          </cell>
          <cell r="G77">
            <v>1.8790960972017672</v>
          </cell>
          <cell r="H77">
            <v>1.6627088619715611</v>
          </cell>
          <cell r="I77">
            <v>1.5519136505421598</v>
          </cell>
          <cell r="J77">
            <v>1.4953149401353463</v>
          </cell>
          <cell r="K77">
            <v>1.5077532167601453</v>
          </cell>
          <cell r="L77">
            <v>1.4050473186119874</v>
          </cell>
          <cell r="M77">
            <v>1.3151739363923862</v>
          </cell>
          <cell r="N77">
            <v>1.1853759658269991</v>
          </cell>
          <cell r="O77">
            <v>1.3020982666492897</v>
          </cell>
          <cell r="P77">
            <v>1.529908132017693</v>
          </cell>
          <cell r="Q77">
            <v>1.3991037669794146</v>
          </cell>
          <cell r="R77">
            <v>1.3783177570093457</v>
          </cell>
        </row>
        <row r="78">
          <cell r="B78" t="str">
            <v>YORW</v>
          </cell>
          <cell r="C78" t="str">
            <v>York Water Co. (The)</v>
          </cell>
          <cell r="D78">
            <v>71</v>
          </cell>
          <cell r="E78">
            <v>71</v>
          </cell>
          <cell r="F78">
            <v>0</v>
          </cell>
          <cell r="G78" t="str">
            <v>N/A</v>
          </cell>
          <cell r="H78">
            <v>2.6802537295900386</v>
          </cell>
          <cell r="I78">
            <v>2.5188957055214725</v>
          </cell>
          <cell r="J78">
            <v>2.469843260188088</v>
          </cell>
          <cell r="K78">
            <v>2.2777274492040895</v>
          </cell>
          <cell r="L78">
            <v>2.27917282127031</v>
          </cell>
          <cell r="M78">
            <v>2.0460361613351878</v>
          </cell>
          <cell r="N78">
            <v>2.0221066319895966</v>
          </cell>
          <cell r="O78">
            <v>2.2825484764542936</v>
          </cell>
          <cell r="P78">
            <v>2.8884795713328866</v>
          </cell>
          <cell r="Q78">
            <v>3.1060839760068548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</sheetData>
      <sheetData sheetId="2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3.5553124572678792E-2</v>
          </cell>
          <cell r="H5">
            <v>3.9693456474749457E-2</v>
          </cell>
          <cell r="I5">
            <v>3.9228244335921862E-2</v>
          </cell>
          <cell r="J5">
            <v>3.8852422141790889E-2</v>
          </cell>
          <cell r="K5">
            <v>4.4906526089715432E-2</v>
          </cell>
          <cell r="L5">
            <v>4.5811349890618976E-2</v>
          </cell>
          <cell r="M5">
            <v>5.0304398776688485E-2</v>
          </cell>
          <cell r="N5">
            <v>5.7909976309555147E-2</v>
          </cell>
          <cell r="O5">
            <v>4.3730295942235327E-2</v>
          </cell>
          <cell r="P5">
            <v>3.6023371260378682E-2</v>
          </cell>
          <cell r="Q5">
            <v>3.1638664630154918E-2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3.2064346077552236E-2</v>
          </cell>
          <cell r="H6">
            <v>3.6017157264005763E-2</v>
          </cell>
          <cell r="I6">
            <v>3.5306334371754934E-2</v>
          </cell>
          <cell r="J6">
            <v>3.7406979983286237E-2</v>
          </cell>
          <cell r="K6">
            <v>4.0707404224523951E-2</v>
          </cell>
          <cell r="L6">
            <v>4.2778057372924005E-2</v>
          </cell>
          <cell r="M6">
            <v>4.6064139941690965E-2</v>
          </cell>
          <cell r="N6">
            <v>5.7256279105275212E-2</v>
          </cell>
          <cell r="O6">
            <v>4.1031652989449004E-2</v>
          </cell>
          <cell r="P6">
            <v>3.131318112332955E-2</v>
          </cell>
          <cell r="Q6">
            <v>3.3189033189033185E-2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2.204481319794506E-2</v>
          </cell>
          <cell r="H7">
            <v>2.2090231265006952E-2</v>
          </cell>
          <cell r="I7">
            <v>2.633997908016102E-2</v>
          </cell>
          <cell r="J7">
            <v>2.7498371806932483E-2</v>
          </cell>
          <cell r="K7">
            <v>3.1491767506447131E-2</v>
          </cell>
          <cell r="L7">
            <v>3.1976744186046513E-2</v>
          </cell>
          <cell r="M7">
            <v>2.9778948574046501E-2</v>
          </cell>
          <cell r="N7">
            <v>2.9413477779719262E-2</v>
          </cell>
          <cell r="O7">
            <v>2.8566531451751129E-2</v>
          </cell>
          <cell r="P7">
            <v>2.4584683433626495E-2</v>
          </cell>
          <cell r="Q7">
            <v>2.467462039045553E-2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2.0246818357115309E-2</v>
          </cell>
          <cell r="H8">
            <v>2.4565486415101312E-2</v>
          </cell>
          <cell r="I8">
            <v>2.5292113459166821E-2</v>
          </cell>
          <cell r="J8">
            <v>2.0489304095421615E-2</v>
          </cell>
          <cell r="K8">
            <v>3.4324293657097465E-2</v>
          </cell>
          <cell r="L8">
            <v>3.1149413352715191E-2</v>
          </cell>
          <cell r="M8">
            <v>3.846497897844172E-2</v>
          </cell>
          <cell r="N8">
            <v>4.1956610724519033E-2</v>
          </cell>
          <cell r="O8">
            <v>1.9222451823730117E-2</v>
          </cell>
          <cell r="P8" t="str">
            <v>N/A</v>
          </cell>
          <cell r="Q8" t="str">
            <v>N/A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3.498001142204455E-2</v>
          </cell>
          <cell r="H9">
            <v>3.9633124191771632E-2</v>
          </cell>
          <cell r="I9">
            <v>4.0154632747225347E-2</v>
          </cell>
          <cell r="J9">
            <v>4.6129450771226752E-2</v>
          </cell>
          <cell r="K9">
            <v>4.9724958821518478E-2</v>
          </cell>
          <cell r="L9">
            <v>5.275299385961936E-2</v>
          </cell>
          <cell r="M9">
            <v>5.7585162472422693E-2</v>
          </cell>
          <cell r="N9">
            <v>5.9817440279665957E-2</v>
          </cell>
          <cell r="O9">
            <v>6.2085991542616896E-2</v>
          </cell>
          <cell r="P9">
            <v>4.8846153846153845E-2</v>
          </cell>
          <cell r="Q9">
            <v>4.9258217783380201E-2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3.540457920019964E-2</v>
          </cell>
          <cell r="H10">
            <v>3.7978484746780658E-2</v>
          </cell>
          <cell r="I10">
            <v>3.8283828382838281E-2</v>
          </cell>
          <cell r="J10">
            <v>4.2307608860732031E-2</v>
          </cell>
          <cell r="K10">
            <v>4.582459903475844E-2</v>
          </cell>
          <cell r="L10">
            <v>4.9593866445058046E-2</v>
          </cell>
          <cell r="M10">
            <v>4.9022418439309677E-2</v>
          </cell>
          <cell r="N10">
            <v>5.5042792414834694E-2</v>
          </cell>
          <cell r="O10">
            <v>4.1996363729481956E-2</v>
          </cell>
          <cell r="P10">
            <v>3.3959506512487643E-2</v>
          </cell>
          <cell r="Q10">
            <v>4.0638292108043671E-2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2.3492809295533192E-2</v>
          </cell>
          <cell r="H11">
            <v>2.5746268656716417E-2</v>
          </cell>
          <cell r="I11">
            <v>2.5288002247822423E-2</v>
          </cell>
          <cell r="J11">
            <v>2.3606984411249948E-2</v>
          </cell>
          <cell r="K11">
            <v>2.8020283339432274E-2</v>
          </cell>
          <cell r="L11">
            <v>2.8497116363225151E-2</v>
          </cell>
          <cell r="M11">
            <v>3.1101739588824458E-2</v>
          </cell>
          <cell r="N11">
            <v>3.0929284408828903E-2</v>
          </cell>
          <cell r="O11">
            <v>2.8025827723588404E-2</v>
          </cell>
          <cell r="P11">
            <v>2.1147703491573962E-2</v>
          </cell>
          <cell r="Q11">
            <v>1.811258618915303E-2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2.389588222743759E-2</v>
          </cell>
          <cell r="H12">
            <v>2.8846687253832357E-2</v>
          </cell>
          <cell r="I12">
            <v>3.1070896227405369E-2</v>
          </cell>
          <cell r="J12">
            <v>3.527959075674722E-2</v>
          </cell>
          <cell r="K12">
            <v>4.1253138825780224E-2</v>
          </cell>
          <cell r="L12">
            <v>4.1920966648172124E-2</v>
          </cell>
          <cell r="M12">
            <v>4.6963165457540396E-2</v>
          </cell>
          <cell r="N12">
            <v>5.3441295546558708E-2</v>
          </cell>
          <cell r="O12">
            <v>4.7848651036107331E-2</v>
          </cell>
          <cell r="P12">
            <v>4.1585445094217022E-2</v>
          </cell>
          <cell r="Q12">
            <v>4.6583850931677023E-2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4.2587800369685763E-2</v>
          </cell>
          <cell r="H13">
            <v>0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3.3903338365215675E-2</v>
          </cell>
          <cell r="H14">
            <v>3.9675383228133451E-2</v>
          </cell>
          <cell r="I14">
            <v>3.9938362841598796E-2</v>
          </cell>
          <cell r="J14">
            <v>4.5061682795301761E-2</v>
          </cell>
          <cell r="K14">
            <v>4.5540201005025122E-2</v>
          </cell>
          <cell r="L14">
            <v>4.5428264640290747E-2</v>
          </cell>
          <cell r="M14">
            <v>4.7573739295908662E-2</v>
          </cell>
          <cell r="N14">
            <v>4.4907689748849594E-2</v>
          </cell>
          <cell r="O14">
            <v>3.388665160593262E-2</v>
          </cell>
          <cell r="P14">
            <v>2.6765632028789923E-2</v>
          </cell>
          <cell r="Q14">
            <v>2.5194483734087694E-2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2.8659649601664988E-2</v>
          </cell>
          <cell r="H15">
            <v>3.5473416834544982E-2</v>
          </cell>
          <cell r="I15">
            <v>2.8366215110464589E-2</v>
          </cell>
          <cell r="J15">
            <v>3.1932773109243695E-2</v>
          </cell>
          <cell r="K15">
            <v>4.3853151204480127E-2</v>
          </cell>
          <cell r="L15">
            <v>4.6437659033078879E-2</v>
          </cell>
          <cell r="M15">
            <v>4.7936085219707054E-2</v>
          </cell>
          <cell r="N15">
            <v>6.1664061142956403E-2</v>
          </cell>
          <cell r="O15">
            <v>4.2115396185548402E-2</v>
          </cell>
          <cell r="P15">
            <v>3.4027967511984301E-2</v>
          </cell>
          <cell r="Q15">
            <v>3.7880961946851865E-2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2.3041474654377878E-2</v>
          </cell>
          <cell r="H16">
            <v>2.8771417529093488E-2</v>
          </cell>
          <cell r="I16">
            <v>2.7739842949812226E-2</v>
          </cell>
          <cell r="J16">
            <v>3.1176929072486363E-2</v>
          </cell>
          <cell r="K16">
            <v>3.4547049791620967E-2</v>
          </cell>
          <cell r="L16">
            <v>3.3610230626297956E-2</v>
          </cell>
          <cell r="M16">
            <v>3.2395056351064405E-2</v>
          </cell>
          <cell r="N16">
            <v>3.0738772533083256E-2</v>
          </cell>
          <cell r="O16">
            <v>3.1153477473639366E-2</v>
          </cell>
          <cell r="P16">
            <v>2.9678145627590441E-2</v>
          </cell>
          <cell r="Q16">
            <v>2.9351710056151094E-2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4.701049748973072E-2</v>
          </cell>
          <cell r="H17">
            <v>5.0649749309321604E-2</v>
          </cell>
          <cell r="I17">
            <v>3.94469127600382E-2</v>
          </cell>
          <cell r="J17">
            <v>3.5705067538501251E-2</v>
          </cell>
          <cell r="K17">
            <v>4.0413111809609346E-2</v>
          </cell>
          <cell r="L17">
            <v>4.267963263101026E-2</v>
          </cell>
          <cell r="M17">
            <v>5.2895700528957007E-2</v>
          </cell>
          <cell r="N17">
            <v>6.3731656184486368E-2</v>
          </cell>
          <cell r="O17">
            <v>4.9815749965879626E-2</v>
          </cell>
          <cell r="P17">
            <v>3.8742023701002735E-2</v>
          </cell>
          <cell r="Q17">
            <v>4.3949604453559922E-2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1.9108791649939783E-2</v>
          </cell>
          <cell r="H19">
            <v>2.1828529107953774E-2</v>
          </cell>
          <cell r="I19">
            <v>2.4403631955721244E-2</v>
          </cell>
          <cell r="J19">
            <v>2.8692007024301816E-2</v>
          </cell>
          <cell r="K19">
            <v>3.2528038491512215E-2</v>
          </cell>
          <cell r="L19">
            <v>3.3594211458948614E-2</v>
          </cell>
          <cell r="M19">
            <v>3.9138062890818302E-2</v>
          </cell>
          <cell r="N19">
            <v>4.0927627376799482E-2</v>
          </cell>
          <cell r="O19">
            <v>4.0960308598111866E-2</v>
          </cell>
          <cell r="P19">
            <v>3.6221492343988526E-2</v>
          </cell>
          <cell r="Q19">
            <v>3.7601328254712373E-2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2.9903296597294234E-2</v>
          </cell>
          <cell r="H21">
            <v>3.3555105582875326E-2</v>
          </cell>
          <cell r="I21">
            <v>3.5880398671096346E-2</v>
          </cell>
          <cell r="J21">
            <v>3.7643932683790966E-2</v>
          </cell>
          <cell r="K21">
            <v>4.1637751561415678E-2</v>
          </cell>
          <cell r="L21">
            <v>4.2548880559213853E-2</v>
          </cell>
          <cell r="M21">
            <v>3.9838232631134181E-2</v>
          </cell>
          <cell r="N21">
            <v>3.9660506068057433E-2</v>
          </cell>
          <cell r="O21">
            <v>2.6936026936026935E-2</v>
          </cell>
          <cell r="P21">
            <v>1.1644154634373547E-2</v>
          </cell>
          <cell r="Q21">
            <v>0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2.312472900708195E-2</v>
          </cell>
          <cell r="H22">
            <v>2.9282985191176062E-2</v>
          </cell>
          <cell r="I22">
            <v>3.0022888736957881E-2</v>
          </cell>
          <cell r="J22">
            <v>3.2142740004591816E-2</v>
          </cell>
          <cell r="K22">
            <v>3.2367915303954956E-2</v>
          </cell>
          <cell r="L22">
            <v>3.6174716182412928E-2</v>
          </cell>
          <cell r="M22">
            <v>3.939030655934235E-2</v>
          </cell>
          <cell r="N22">
            <v>4.1092137704319243E-2</v>
          </cell>
          <cell r="O22">
            <v>3.5763634885800206E-2</v>
          </cell>
          <cell r="P22">
            <v>3.6023353070266238E-2</v>
          </cell>
          <cell r="Q22">
            <v>3.6427932342039109E-2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3.6177594189986374E-2</v>
          </cell>
          <cell r="H23">
            <v>4.1181594994852307E-2</v>
          </cell>
          <cell r="I23">
            <v>4.3778121362680888E-2</v>
          </cell>
          <cell r="J23">
            <v>4.2515684139575884E-2</v>
          </cell>
          <cell r="K23">
            <v>4.0736625930040737E-2</v>
          </cell>
          <cell r="L23">
            <v>4.4593916646537467E-2</v>
          </cell>
          <cell r="M23">
            <v>5.1581023384842113E-2</v>
          </cell>
          <cell r="N23">
            <v>5.990912090980631E-2</v>
          </cell>
          <cell r="O23">
            <v>5.6687419753385489E-2</v>
          </cell>
          <cell r="P23">
            <v>4.8370619018827006E-2</v>
          </cell>
          <cell r="Q23">
            <v>5.0350262697022766E-2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2.4797487187964949E-2</v>
          </cell>
          <cell r="H24">
            <v>2.5922405599239608E-2</v>
          </cell>
          <cell r="I24">
            <v>2.52503997979968E-2</v>
          </cell>
          <cell r="J24">
            <v>2.5833118057349523E-2</v>
          </cell>
          <cell r="K24">
            <v>3.7759597230962866E-2</v>
          </cell>
          <cell r="L24">
            <v>3.1897926634768738E-2</v>
          </cell>
          <cell r="M24">
            <v>2.596728122565567E-2</v>
          </cell>
          <cell r="N24">
            <v>1.9882127387630479E-2</v>
          </cell>
          <cell r="O24">
            <v>1.7200317544323895E-2</v>
          </cell>
          <cell r="P24">
            <v>6.9747478360397746E-3</v>
          </cell>
          <cell r="Q24">
            <v>9.4491909130280712E-3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3.8168979525068834E-2</v>
          </cell>
          <cell r="H25">
            <v>3.656281321908042E-2</v>
          </cell>
          <cell r="I25">
            <v>3.4253418205691777E-2</v>
          </cell>
          <cell r="J25">
            <v>3.7836747048733729E-2</v>
          </cell>
          <cell r="K25">
            <v>4.0570681433625591E-2</v>
          </cell>
          <cell r="L25">
            <v>4.132924936013091E-2</v>
          </cell>
          <cell r="M25">
            <v>4.413147804278101E-2</v>
          </cell>
          <cell r="N25">
            <v>5.2022949552602629E-2</v>
          </cell>
          <cell r="O25">
            <v>3.7717832418238242E-2</v>
          </cell>
          <cell r="P25">
            <v>3.3232422097284497E-2</v>
          </cell>
          <cell r="Q25">
            <v>3.5990924027853838E-2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3.3403925507062858E-2</v>
          </cell>
          <cell r="H26">
            <v>3.5313281026571997E-2</v>
          </cell>
          <cell r="I26">
            <v>3.5370070871628995E-2</v>
          </cell>
          <cell r="J26">
            <v>3.8449547958017243E-2</v>
          </cell>
          <cell r="K26">
            <v>4.1889529348635129E-2</v>
          </cell>
          <cell r="L26">
            <v>4.6794005526533407E-2</v>
          </cell>
          <cell r="M26">
            <v>4.7521471857697173E-2</v>
          </cell>
          <cell r="N26">
            <v>6.2855787476280831E-2</v>
          </cell>
          <cell r="O26">
            <v>5.2431122322797653E-2</v>
          </cell>
          <cell r="P26">
            <v>4.3634866728414122E-2</v>
          </cell>
          <cell r="Q26">
            <v>4.8586882712435907E-2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4.2616338799893454E-2</v>
          </cell>
          <cell r="H27">
            <v>4.3376978070527754E-2</v>
          </cell>
          <cell r="I27">
            <v>4.2579650982035443E-2</v>
          </cell>
          <cell r="J27">
            <v>4.4494362607456039E-2</v>
          </cell>
          <cell r="K27">
            <v>4.6766476308072229E-2</v>
          </cell>
          <cell r="L27">
            <v>5.2124466908861161E-2</v>
          </cell>
          <cell r="M27">
            <v>5.7066656207714783E-2</v>
          </cell>
          <cell r="N27">
            <v>6.2468156746339404E-2</v>
          </cell>
          <cell r="O27">
            <v>5.155918803826838E-2</v>
          </cell>
          <cell r="P27">
            <v>4.4432963058641181E-2</v>
          </cell>
          <cell r="Q27" t="str">
            <v>N/A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2.8086227409211944E-2</v>
          </cell>
          <cell r="H28">
            <v>2.8279103162429427E-2</v>
          </cell>
          <cell r="I28">
            <v>2.6245000530917072E-2</v>
          </cell>
          <cell r="J28">
            <v>2.8497625197900178E-2</v>
          </cell>
          <cell r="K28">
            <v>2.9729423751839693E-2</v>
          </cell>
          <cell r="L28">
            <v>3.3692545688140743E-2</v>
          </cell>
          <cell r="M28">
            <v>3.6593479707252158E-2</v>
          </cell>
          <cell r="N28">
            <v>3.9540127671737549E-2</v>
          </cell>
          <cell r="O28">
            <v>2.6937877954920288E-2</v>
          </cell>
          <cell r="P28">
            <v>2.2080655466606532E-2</v>
          </cell>
          <cell r="Q28">
            <v>2.5822202399117353E-2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2.7472527472527472E-2</v>
          </cell>
          <cell r="H29">
            <v>3.1311312387453973E-2</v>
          </cell>
          <cell r="I29">
            <v>2.9712288249529446E-2</v>
          </cell>
          <cell r="J29">
            <v>2.9914407580225E-2</v>
          </cell>
          <cell r="K29">
            <v>2.9654539896056251E-2</v>
          </cell>
          <cell r="L29">
            <v>2.1129466000768343E-2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EDE</v>
          </cell>
          <cell r="C30" t="str">
            <v>Empire District Electric</v>
          </cell>
          <cell r="D30" t="e">
            <v>#N/A</v>
          </cell>
          <cell r="E30">
            <v>29</v>
          </cell>
          <cell r="F30">
            <v>0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29</v>
          </cell>
          <cell r="E31">
            <v>30</v>
          </cell>
          <cell r="F31">
            <v>0</v>
          </cell>
          <cell r="G31">
            <v>4.5513221457753883E-2</v>
          </cell>
          <cell r="H31">
            <v>4.5882272134075142E-2</v>
          </cell>
          <cell r="I31">
            <v>4.4653665097511772E-2</v>
          </cell>
          <cell r="J31">
            <v>5.0656087885260902E-2</v>
          </cell>
          <cell r="K31">
            <v>4.91356855316126E-2</v>
          </cell>
          <cell r="L31">
            <v>4.8525951152491337E-2</v>
          </cell>
          <cell r="M31">
            <v>4.2045159615883732E-2</v>
          </cell>
          <cell r="N31">
            <v>3.9745101416250449E-2</v>
          </cell>
          <cell r="O31">
            <v>2.9225808337148926E-2</v>
          </cell>
          <cell r="P31">
            <v>2.3867893982145335E-2</v>
          </cell>
          <cell r="Q31">
            <v>2.8227545379699692E-2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30</v>
          </cell>
          <cell r="E32">
            <v>31</v>
          </cell>
          <cell r="F32">
            <v>0</v>
          </cell>
          <cell r="G32">
            <v>3.2172357077014838E-2</v>
          </cell>
          <cell r="H32">
            <v>3.3411359862353197E-2</v>
          </cell>
          <cell r="I32">
            <v>3.3958427962710619E-2</v>
          </cell>
          <cell r="J32">
            <v>3.4848161581679825E-2</v>
          </cell>
          <cell r="K32">
            <v>3.5175611575973993E-2</v>
          </cell>
          <cell r="L32">
            <v>3.2279836840097428E-2</v>
          </cell>
          <cell r="M32">
            <v>3.6361701372875942E-2</v>
          </cell>
          <cell r="N32">
            <v>4.1586412187007524E-2</v>
          </cell>
          <cell r="O32">
            <v>3.2464977176137257E-2</v>
          </cell>
          <cell r="P32">
            <v>2.6001476212843051E-2</v>
          </cell>
          <cell r="Q32">
            <v>3.2667958365250299E-2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31</v>
          </cell>
          <cell r="E33">
            <v>32</v>
          </cell>
          <cell r="F33">
            <v>0</v>
          </cell>
          <cell r="G33">
            <v>3.7471004579789455E-2</v>
          </cell>
          <cell r="H33">
            <v>3.8819146604889956E-2</v>
          </cell>
          <cell r="I33">
            <v>3.6863071526250075E-2</v>
          </cell>
          <cell r="J33">
            <v>4.689010634869481E-2</v>
          </cell>
          <cell r="K33">
            <v>5.7330057330057325E-2</v>
          </cell>
          <cell r="L33">
            <v>4.9551675318546484E-2</v>
          </cell>
          <cell r="M33">
            <v>4.946646880079146E-2</v>
          </cell>
          <cell r="N33">
            <v>4.261017774531288E-2</v>
          </cell>
          <cell r="O33">
            <v>2.7820752924571826E-2</v>
          </cell>
          <cell r="P33">
            <v>2.4784159925919876E-2</v>
          </cell>
          <cell r="Q33">
            <v>2.8349178910976661E-2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32</v>
          </cell>
          <cell r="E34">
            <v>33</v>
          </cell>
          <cell r="F34">
            <v>0</v>
          </cell>
          <cell r="G34">
            <v>4.3089260600257341E-2</v>
          </cell>
          <cell r="H34">
            <v>4.2296959906006751E-2</v>
          </cell>
          <cell r="I34">
            <v>4.2577097069867835E-2</v>
          </cell>
          <cell r="J34">
            <v>4.2556484060662335E-2</v>
          </cell>
          <cell r="K34">
            <v>4.8962877236713255E-2</v>
          </cell>
          <cell r="L34">
            <v>5.2263980614814465E-2</v>
          </cell>
          <cell r="M34">
            <v>5.7621791513881616E-2</v>
          </cell>
          <cell r="N34">
            <v>5.0878815911193344E-2</v>
          </cell>
          <cell r="O34">
            <v>3.2108351090224467E-2</v>
          </cell>
          <cell r="P34">
            <v>3.1165909056357081E-2</v>
          </cell>
          <cell r="Q34">
            <v>3.4036133495234946E-2</v>
          </cell>
        </row>
        <row r="35">
          <cell r="B35" t="str">
            <v>FTS.TO</v>
          </cell>
          <cell r="C35" t="str">
            <v>Fortis Inc.</v>
          </cell>
          <cell r="D35">
            <v>33</v>
          </cell>
          <cell r="E35">
            <v>34</v>
          </cell>
          <cell r="F35">
            <v>0</v>
          </cell>
          <cell r="G35">
            <v>3.7963212422542802E-2</v>
          </cell>
          <cell r="H35">
            <v>3.7646439383967355E-2</v>
          </cell>
          <cell r="I35">
            <v>3.8788602118454425E-2</v>
          </cell>
          <cell r="J35">
            <v>3.8401277994531656E-2</v>
          </cell>
          <cell r="K35">
            <v>3.6443587735678573E-2</v>
          </cell>
          <cell r="L35">
            <v>3.5780910731215025E-2</v>
          </cell>
          <cell r="M35">
            <v>3.7955808594279522E-2</v>
          </cell>
          <cell r="N35">
            <v>4.2088223391339538E-2</v>
          </cell>
          <cell r="O35">
            <v>3.7632183042938319E-2</v>
          </cell>
          <cell r="P35">
            <v>3.0133764515654856E-2</v>
          </cell>
          <cell r="Q35">
            <v>2.7878333957475139E-2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35</v>
          </cell>
          <cell r="E37">
            <v>36</v>
          </cell>
          <cell r="F37">
            <v>0</v>
          </cell>
          <cell r="G37">
            <v>3.6443400462882997E-2</v>
          </cell>
          <cell r="H37">
            <v>3.7616373299159477E-2</v>
          </cell>
          <cell r="I37">
            <v>3.6159022352850186E-2</v>
          </cell>
          <cell r="J37">
            <v>3.8377860934644507E-2</v>
          </cell>
          <cell r="K37">
            <v>4.0770587954794713E-2</v>
          </cell>
          <cell r="L37">
            <v>4.1478317023496102E-2</v>
          </cell>
          <cell r="M37">
            <v>4.4852742502026477E-2</v>
          </cell>
          <cell r="N37">
            <v>5.0260385127770375E-2</v>
          </cell>
          <cell r="O37">
            <v>6.9648401443316271E-2</v>
          </cell>
          <cell r="P37">
            <v>5.4888734583209337E-2</v>
          </cell>
          <cell r="Q37">
            <v>5.5997841047092163E-2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36</v>
          </cell>
          <cell r="E38">
            <v>37</v>
          </cell>
          <cell r="F38">
            <v>0</v>
          </cell>
          <cell r="G38">
            <v>3.9943306274964563E-2</v>
          </cell>
          <cell r="H38">
            <v>4.0517579401385444E-2</v>
          </cell>
          <cell r="I38">
            <v>4.7609905932040696E-2</v>
          </cell>
          <cell r="J38">
            <v>4.7211117456691411E-2</v>
          </cell>
          <cell r="K38">
            <v>4.6955468039987881E-2</v>
          </cell>
          <cell r="L38">
            <v>5.0388069405502049E-2</v>
          </cell>
          <cell r="M38">
            <v>5.513316437686186E-2</v>
          </cell>
          <cell r="N38">
            <v>6.886975840044432E-2</v>
          </cell>
          <cell r="O38">
            <v>5.0036316681462349E-2</v>
          </cell>
          <cell r="P38">
            <v>5.1781016411241491E-2</v>
          </cell>
          <cell r="Q38">
            <v>4.5861380279606477E-2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37</v>
          </cell>
          <cell r="E39">
            <v>38</v>
          </cell>
          <cell r="F39">
            <v>0</v>
          </cell>
          <cell r="G39">
            <v>2.7697142400596553E-2</v>
          </cell>
          <cell r="H39">
            <v>3.0590784526161492E-2</v>
          </cell>
          <cell r="I39">
            <v>3.117306363910094E-2</v>
          </cell>
          <cell r="J39">
            <v>3.206895847376269E-2</v>
          </cell>
          <cell r="K39">
            <v>3.275944524151124E-2</v>
          </cell>
          <cell r="L39">
            <v>3.0961349914856284E-2</v>
          </cell>
          <cell r="M39">
            <v>3.4393809114359415E-2</v>
          </cell>
          <cell r="N39">
            <v>4.4574867204041455E-2</v>
          </cell>
          <cell r="O39">
            <v>3.9529597786342525E-2</v>
          </cell>
          <cell r="P39">
            <v>3.5460992907801414E-2</v>
          </cell>
          <cell r="Q39">
            <v>3.3884904275145421E-2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 t="str">
            <v>N/A</v>
          </cell>
          <cell r="H40" t="str">
            <v>N/A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38</v>
          </cell>
          <cell r="E43">
            <v>39</v>
          </cell>
          <cell r="F43">
            <v>0</v>
          </cell>
          <cell r="G43">
            <v>2.2287714127832012E-2</v>
          </cell>
          <cell r="H43">
            <v>2.7767803710353083E-2</v>
          </cell>
          <cell r="I43">
            <v>2.7831406865080361E-2</v>
          </cell>
          <cell r="J43">
            <v>2.9114854017577758E-2</v>
          </cell>
          <cell r="K43">
            <v>3.2450310462104906E-2</v>
          </cell>
          <cell r="L43">
            <v>3.6302919314876655E-2</v>
          </cell>
          <cell r="M43">
            <v>3.9772499699603475E-2</v>
          </cell>
          <cell r="N43">
            <v>4.363228699551569E-2</v>
          </cell>
          <cell r="O43">
            <v>4.2360864941510097E-2</v>
          </cell>
          <cell r="P43">
            <v>4.1398749229278602E-2</v>
          </cell>
          <cell r="Q43">
            <v>4.2519034950921936E-2</v>
          </cell>
        </row>
        <row r="44">
          <cell r="B44" t="str">
            <v>MSEX</v>
          </cell>
          <cell r="C44" t="str">
            <v>Middlesex Water</v>
          </cell>
          <cell r="D44">
            <v>39</v>
          </cell>
          <cell r="E44">
            <v>40</v>
          </cell>
          <cell r="F44">
            <v>0</v>
          </cell>
          <cell r="G44">
            <v>2.283130827917491E-2</v>
          </cell>
          <cell r="H44">
            <v>3.3284721626490522E-2</v>
          </cell>
          <cell r="I44">
            <v>3.652465294399234E-2</v>
          </cell>
          <cell r="J44">
            <v>3.7102734663710273E-2</v>
          </cell>
          <cell r="K44">
            <v>3.9635122159394007E-2</v>
          </cell>
          <cell r="L44">
            <v>4.0164383561643834E-2</v>
          </cell>
          <cell r="M44">
            <v>4.2288120722933843E-2</v>
          </cell>
          <cell r="N44">
            <v>4.711868887126619E-2</v>
          </cell>
          <cell r="O44">
            <v>3.9895579138527891E-2</v>
          </cell>
          <cell r="P44">
            <v>3.6897029070386535E-2</v>
          </cell>
          <cell r="Q44">
            <v>3.6663266949379998E-2</v>
          </cell>
        </row>
        <row r="45">
          <cell r="B45" t="str">
            <v>NJR</v>
          </cell>
          <cell r="C45" t="str">
            <v>New Jersey Resources</v>
          </cell>
          <cell r="D45">
            <v>40</v>
          </cell>
          <cell r="E45">
            <v>41</v>
          </cell>
          <cell r="F45">
            <v>0</v>
          </cell>
          <cell r="G45">
            <v>2.8644082658638527E-2</v>
          </cell>
          <cell r="H45">
            <v>3.1449731155523991E-2</v>
          </cell>
          <cell r="I45">
            <v>3.50366758185469E-2</v>
          </cell>
          <cell r="J45">
            <v>3.7127011046431686E-2</v>
          </cell>
          <cell r="K45">
            <v>3.3767486734201636E-2</v>
          </cell>
          <cell r="L45">
            <v>3.3311742389192191E-2</v>
          </cell>
          <cell r="M45">
            <v>3.689636462289745E-2</v>
          </cell>
          <cell r="N45">
            <v>3.461753210496929E-2</v>
          </cell>
          <cell r="O45">
            <v>3.3494266747133378E-2</v>
          </cell>
          <cell r="P45">
            <v>3.0192949023344448E-2</v>
          </cell>
          <cell r="Q45">
            <v>3.1904287138584245E-2</v>
          </cell>
        </row>
        <row r="46">
          <cell r="B46" t="str">
            <v>NEE</v>
          </cell>
          <cell r="C46" t="str">
            <v>NextEra Energy, Inc.</v>
          </cell>
          <cell r="D46">
            <v>41</v>
          </cell>
          <cell r="E46">
            <v>42</v>
          </cell>
          <cell r="F46">
            <v>0</v>
          </cell>
          <cell r="G46">
            <v>2.9069767441860465E-2</v>
          </cell>
          <cell r="H46">
            <v>3.0084000781402619E-2</v>
          </cell>
          <cell r="I46">
            <v>3.0012936610608019E-2</v>
          </cell>
          <cell r="J46">
            <v>3.2983920338834821E-2</v>
          </cell>
          <cell r="K46">
            <v>3.6464743151465431E-2</v>
          </cell>
          <cell r="L46">
            <v>3.9566922053163561E-2</v>
          </cell>
          <cell r="M46">
            <v>3.8965846435599201E-2</v>
          </cell>
          <cell r="N46">
            <v>3.548629365377394E-2</v>
          </cell>
          <cell r="O46">
            <v>3.0198666508321599E-2</v>
          </cell>
          <cell r="P46">
            <v>2.6540223002605473E-2</v>
          </cell>
          <cell r="Q46">
            <v>3.4015919450302738E-2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42</v>
          </cell>
          <cell r="E47">
            <v>43</v>
          </cell>
          <cell r="F47">
            <v>0</v>
          </cell>
          <cell r="G47">
            <v>2.7606435750334297E-2</v>
          </cell>
          <cell r="H47">
            <v>3.5283115116476783E-2</v>
          </cell>
          <cell r="I47">
            <v>2.6856947260328078E-2</v>
          </cell>
          <cell r="J47">
            <v>3.304670375990558E-2</v>
          </cell>
          <cell r="K47">
            <v>3.8395555918634097E-2</v>
          </cell>
          <cell r="L47">
            <v>4.525109438788058E-2</v>
          </cell>
          <cell r="M47">
            <v>5.6625838616359947E-2</v>
          </cell>
          <cell r="N47">
            <v>7.6405614151648538E-2</v>
          </cell>
          <cell r="O47">
            <v>5.6906043174367538E-2</v>
          </cell>
          <cell r="P47">
            <v>4.2890442890442894E-2</v>
          </cell>
          <cell r="Q47">
            <v>4.2120684918963466E-2</v>
          </cell>
        </row>
        <row r="48">
          <cell r="B48" t="str">
            <v>NWN</v>
          </cell>
          <cell r="C48" t="str">
            <v>Northwest Nat. Gas</v>
          </cell>
          <cell r="D48">
            <v>43</v>
          </cell>
          <cell r="E48">
            <v>44</v>
          </cell>
          <cell r="F48">
            <v>0</v>
          </cell>
          <cell r="G48">
            <v>3.2763333099726684E-2</v>
          </cell>
          <cell r="H48">
            <v>4.0055129640795939E-2</v>
          </cell>
          <cell r="I48">
            <v>4.1395359244590632E-2</v>
          </cell>
          <cell r="J48">
            <v>4.2156185210780933E-2</v>
          </cell>
          <cell r="K48">
            <v>3.8256855243753871E-2</v>
          </cell>
          <cell r="L48">
            <v>3.8500462005544064E-2</v>
          </cell>
          <cell r="M48">
            <v>3.6260036260036259E-2</v>
          </cell>
          <cell r="N48">
            <v>3.7261294829995344E-2</v>
          </cell>
          <cell r="O48">
            <v>3.2721245129485717E-2</v>
          </cell>
          <cell r="P48">
            <v>3.1170180527295553E-2</v>
          </cell>
          <cell r="Q48">
            <v>3.7317439862542955E-2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44</v>
          </cell>
          <cell r="E49">
            <v>45</v>
          </cell>
          <cell r="F49">
            <v>0</v>
          </cell>
          <cell r="G49">
            <v>3.4328281354593981E-2</v>
          </cell>
          <cell r="H49">
            <v>3.605701515521418E-2</v>
          </cell>
          <cell r="I49">
            <v>3.2959789057350038E-2</v>
          </cell>
          <cell r="J49">
            <v>3.6648583484026519E-2</v>
          </cell>
          <cell r="K49">
            <v>4.1665493651642689E-2</v>
          </cell>
          <cell r="L49">
            <v>4.5091592296852979E-2</v>
          </cell>
          <cell r="M49">
            <v>4.9282504710827658E-2</v>
          </cell>
          <cell r="N49">
            <v>5.749345690136011E-2</v>
          </cell>
          <cell r="O49">
            <v>5.3783156093387123E-2</v>
          </cell>
          <cell r="P49">
            <v>4.0897181928557735E-2</v>
          </cell>
          <cell r="Q49">
            <v>3.6472733690217071E-2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45</v>
          </cell>
          <cell r="E50">
            <v>46</v>
          </cell>
          <cell r="F50">
            <v>0</v>
          </cell>
          <cell r="G50">
            <v>3.8654618473895584E-2</v>
          </cell>
          <cell r="H50">
            <v>3.5122930255895635E-2</v>
          </cell>
          <cell r="I50">
            <v>2.6267765304429577E-2</v>
          </cell>
          <cell r="J50">
            <v>2.4793147651788836E-2</v>
          </cell>
          <cell r="K50">
            <v>2.9415017140329538E-2</v>
          </cell>
          <cell r="L50">
            <v>3.0627068033249941E-2</v>
          </cell>
          <cell r="M50">
            <v>3.6776527331189711E-2</v>
          </cell>
          <cell r="N50">
            <v>4.9552363106391835E-2</v>
          </cell>
          <cell r="O50">
            <v>4.52485758674262E-2</v>
          </cell>
          <cell r="P50">
            <v>3.768387416671258E-2</v>
          </cell>
          <cell r="Q50">
            <v>3.9935530085959889E-2</v>
          </cell>
        </row>
        <row r="51">
          <cell r="B51" t="str">
            <v>OGS</v>
          </cell>
          <cell r="C51" t="str">
            <v>ONE Gas Inc.</v>
          </cell>
          <cell r="D51">
            <v>46</v>
          </cell>
          <cell r="E51">
            <v>47</v>
          </cell>
          <cell r="F51">
            <v>0</v>
          </cell>
          <cell r="G51">
            <v>2.3233815158404832E-2</v>
          </cell>
          <cell r="H51">
            <v>2.7069704489059328E-2</v>
          </cell>
          <cell r="I51">
            <v>2.2762993875670694E-2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47</v>
          </cell>
          <cell r="E52">
            <v>48</v>
          </cell>
          <cell r="F52">
            <v>0</v>
          </cell>
          <cell r="G52">
            <v>3.8688910210777187E-2</v>
          </cell>
          <cell r="H52">
            <v>4.3325114476928495E-2</v>
          </cell>
          <cell r="I52">
            <v>4.1439775334771736E-2</v>
          </cell>
          <cell r="J52">
            <v>4.1128084606345469E-2</v>
          </cell>
          <cell r="K52">
            <v>5.2108420545605813E-2</v>
          </cell>
          <cell r="L52">
            <v>5.569335891795759E-2</v>
          </cell>
          <cell r="M52">
            <v>5.6837178201270475E-2</v>
          </cell>
          <cell r="N52">
            <v>5.3790173122994167E-2</v>
          </cell>
          <cell r="O52">
            <v>3.6323677543420523E-2</v>
          </cell>
          <cell r="P52">
            <v>3.4559149313247675E-2</v>
          </cell>
          <cell r="Q52">
            <v>3.9223711586343322E-2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 t="str">
            <v>N/A</v>
          </cell>
          <cell r="H53" t="str">
            <v>N/A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48</v>
          </cell>
          <cell r="E54">
            <v>49</v>
          </cell>
          <cell r="F54">
            <v>0</v>
          </cell>
          <cell r="G54">
            <v>3.2197096407305816E-2</v>
          </cell>
          <cell r="H54">
            <v>3.4471655586491658E-2</v>
          </cell>
          <cell r="I54">
            <v>3.964364285869873E-2</v>
          </cell>
          <cell r="J54">
            <v>4.2023597866494268E-2</v>
          </cell>
          <cell r="K54">
            <v>4.2470772174643547E-2</v>
          </cell>
          <cell r="L54">
            <v>4.2352174621273823E-2</v>
          </cell>
          <cell r="M54">
            <v>4.0839223605968811E-2</v>
          </cell>
          <cell r="N54">
            <v>4.2619041578934015E-2</v>
          </cell>
          <cell r="O54">
            <v>4.009149083806636E-2</v>
          </cell>
          <cell r="P54">
            <v>3.0745580322828592E-2</v>
          </cell>
          <cell r="Q54">
            <v>3.2223415682062301E-2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49</v>
          </cell>
          <cell r="E55">
            <v>50</v>
          </cell>
          <cell r="F55">
            <v>0</v>
          </cell>
          <cell r="G55">
            <v>3.4578240021611403E-2</v>
          </cell>
          <cell r="H55">
            <v>3.8816417435571113E-2</v>
          </cell>
          <cell r="I55">
            <v>4.088127725418484E-2</v>
          </cell>
          <cell r="J55">
            <v>3.9817465998568363E-2</v>
          </cell>
          <cell r="K55">
            <v>5.3176658036247756E-2</v>
          </cell>
          <cell r="L55">
            <v>4.8092337287592185E-2</v>
          </cell>
          <cell r="M55">
            <v>5.4264968087030678E-2</v>
          </cell>
          <cell r="N55">
            <v>6.7619783616692422E-2</v>
          </cell>
          <cell r="O55">
            <v>6.1655901350557839E-2</v>
          </cell>
          <cell r="P55">
            <v>4.7515612272603862E-2</v>
          </cell>
          <cell r="Q55">
            <v>4.6660061291734826E-2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50</v>
          </cell>
          <cell r="E56">
            <v>51</v>
          </cell>
          <cell r="F56">
            <v>0</v>
          </cell>
          <cell r="G56">
            <v>2.6893221685716031E-2</v>
          </cell>
          <cell r="H56">
            <v>2.8955083426834123E-2</v>
          </cell>
          <cell r="I56">
            <v>2.7880354505169867E-2</v>
          </cell>
          <cell r="J56">
            <v>2.9896680589140471E-2</v>
          </cell>
          <cell r="K56">
            <v>2.9573730369161739E-2</v>
          </cell>
          <cell r="L56">
            <v>3.1857279388340237E-2</v>
          </cell>
          <cell r="M56">
            <v>4.0919878877158526E-2</v>
          </cell>
          <cell r="N56">
            <v>4.7646274061368399E-2</v>
          </cell>
          <cell r="O56">
            <v>4.8520330419440212E-2</v>
          </cell>
          <cell r="P56">
            <v>3.3588011663529323E-2</v>
          </cell>
          <cell r="Q56">
            <v>3.2106324199208537E-2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51</v>
          </cell>
          <cell r="E57">
            <v>52</v>
          </cell>
          <cell r="F57">
            <v>0</v>
          </cell>
          <cell r="G57">
            <v>3.0608526660998423E-2</v>
          </cell>
          <cell r="H57">
            <v>3.2653513019896503E-2</v>
          </cell>
          <cell r="I57">
            <v>3.3390231485640701E-2</v>
          </cell>
          <cell r="J57">
            <v>3.6650266090972987E-2</v>
          </cell>
          <cell r="K57">
            <v>4.1124713083397088E-2</v>
          </cell>
          <cell r="L57">
            <v>4.3737821815015961E-2</v>
          </cell>
          <cell r="M57">
            <v>5.1957831325301199E-2</v>
          </cell>
          <cell r="N57">
            <v>5.3561011825847167E-2</v>
          </cell>
          <cell r="O57">
            <v>4.282371639221226E-2</v>
          </cell>
          <cell r="P57">
            <v>3.3424381828637148E-2</v>
          </cell>
          <cell r="Q57">
            <v>2.5357827115969799E-2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52</v>
          </cell>
          <cell r="E58">
            <v>53</v>
          </cell>
          <cell r="F58">
            <v>0</v>
          </cell>
          <cell r="G58">
            <v>4.2465217634240382E-2</v>
          </cell>
          <cell r="H58">
            <v>4.5483489493313926E-2</v>
          </cell>
          <cell r="I58">
            <v>4.4474956719001847E-2</v>
          </cell>
          <cell r="J58">
            <v>4.8089505365087673E-2</v>
          </cell>
          <cell r="K58">
            <v>5.070244005492764E-2</v>
          </cell>
          <cell r="L58">
            <v>5.1009254536180132E-2</v>
          </cell>
          <cell r="M58">
            <v>5.124638529960833E-2</v>
          </cell>
          <cell r="N58">
            <v>4.5146726862302478E-2</v>
          </cell>
          <cell r="O58">
            <v>3.100846947748415E-2</v>
          </cell>
          <cell r="P58">
            <v>2.6872246696035242E-2</v>
          </cell>
          <cell r="Q58">
            <v>3.4067329431075599E-2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53</v>
          </cell>
          <cell r="E59">
            <v>54</v>
          </cell>
          <cell r="F59">
            <v>0</v>
          </cell>
          <cell r="G59">
            <v>3.7759307439044043E-2</v>
          </cell>
          <cell r="H59">
            <v>3.80859375E-2</v>
          </cell>
          <cell r="I59">
            <v>3.9241681028768391E-2</v>
          </cell>
          <cell r="J59">
            <v>4.3537414965986392E-2</v>
          </cell>
          <cell r="K59">
            <v>4.5508444700830049E-2</v>
          </cell>
          <cell r="L59">
            <v>4.2379435147090673E-2</v>
          </cell>
          <cell r="M59">
            <v>4.3038451872329735E-2</v>
          </cell>
          <cell r="N59">
            <v>4.301423027166882E-2</v>
          </cell>
          <cell r="O59">
            <v>3.259798347358047E-2</v>
          </cell>
          <cell r="P59">
            <v>2.7307099845959949E-2</v>
          </cell>
          <cell r="Q59">
            <v>3.4696859021183343E-2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55</v>
          </cell>
          <cell r="E60">
            <v>56</v>
          </cell>
          <cell r="F60">
            <v>0</v>
          </cell>
          <cell r="G60">
            <v>3.2917805670449829E-2</v>
          </cell>
          <cell r="H60">
            <v>3.901565995525727E-2</v>
          </cell>
          <cell r="I60">
            <v>4.0513948373654358E-2</v>
          </cell>
          <cell r="J60">
            <v>4.1508199402936242E-2</v>
          </cell>
          <cell r="K60">
            <v>4.2473775661239464E-2</v>
          </cell>
          <cell r="L60">
            <v>4.7780897492734349E-2</v>
          </cell>
          <cell r="M60">
            <v>4.9295591936278957E-2</v>
          </cell>
          <cell r="N60">
            <v>5.6737588652482268E-2</v>
          </cell>
          <cell r="O60">
            <v>4.9238673767026148E-2</v>
          </cell>
          <cell r="P60">
            <v>4.2946731412117807E-2</v>
          </cell>
          <cell r="Q60">
            <v>4.2066254350602197E-2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56</v>
          </cell>
          <cell r="E61">
            <v>57</v>
          </cell>
          <cell r="F61">
            <v>0</v>
          </cell>
          <cell r="G61">
            <v>2.9223921037352427E-2</v>
          </cell>
          <cell r="H61">
            <v>2.7140724657348351E-2</v>
          </cell>
          <cell r="I61">
            <v>2.6070211820471041E-2</v>
          </cell>
          <cell r="J61">
            <v>3.0337687353277555E-2</v>
          </cell>
          <cell r="K61">
            <v>3.7058196809906886E-2</v>
          </cell>
          <cell r="L61">
            <v>3.6490801277178041E-2</v>
          </cell>
          <cell r="M61">
            <v>3.0810554589982622E-2</v>
          </cell>
          <cell r="N61">
            <v>3.2345684131953809E-2</v>
          </cell>
          <cell r="O61">
            <v>2.6209060299969392E-2</v>
          </cell>
          <cell r="P61">
            <v>2.078131022809164E-2</v>
          </cell>
          <cell r="Q61">
            <v>2.4666995559940796E-2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</row>
        <row r="63">
          <cell r="B63" t="str">
            <v>SJW</v>
          </cell>
          <cell r="C63" t="str">
            <v>SJW Corp.</v>
          </cell>
          <cell r="D63">
            <v>57</v>
          </cell>
          <cell r="E63">
            <v>58</v>
          </cell>
          <cell r="F63">
            <v>0</v>
          </cell>
          <cell r="G63">
            <v>2.0105741306128529E-2</v>
          </cell>
          <cell r="H63">
            <v>2.5334545926984541E-2</v>
          </cell>
          <cell r="I63">
            <v>2.6391723555492998E-2</v>
          </cell>
          <cell r="J63">
            <v>2.678112847604373E-2</v>
          </cell>
          <cell r="K63">
            <v>2.9543941411451398E-2</v>
          </cell>
          <cell r="L63">
            <v>2.9357954303705906E-2</v>
          </cell>
          <cell r="M63">
            <v>2.7797081306462822E-2</v>
          </cell>
          <cell r="N63">
            <v>2.8423772609819126E-2</v>
          </cell>
          <cell r="O63">
            <v>2.2677730117431967E-2</v>
          </cell>
          <cell r="P63">
            <v>1.7403060637441028E-2</v>
          </cell>
          <cell r="Q63">
            <v>2.0196604110813223E-2</v>
          </cell>
        </row>
        <row r="64">
          <cell r="B64" t="str">
            <v>SJI</v>
          </cell>
          <cell r="C64" t="str">
            <v>South Jersey Inds.</v>
          </cell>
          <cell r="D64">
            <v>58</v>
          </cell>
          <cell r="E64">
            <v>59</v>
          </cell>
          <cell r="F64">
            <v>0</v>
          </cell>
          <cell r="G64">
            <v>3.6429872495446269E-2</v>
          </cell>
          <cell r="H64">
            <v>3.9464520622146559E-2</v>
          </cell>
          <cell r="I64">
            <v>3.4014810615455478E-2</v>
          </cell>
          <cell r="J64">
            <v>3.1426775612822123E-2</v>
          </cell>
          <cell r="K64">
            <v>3.215622076707203E-2</v>
          </cell>
          <cell r="L64">
            <v>2.8083576724331611E-2</v>
          </cell>
          <cell r="M64">
            <v>2.996914940502424E-2</v>
          </cell>
          <cell r="N64">
            <v>3.4275439680845086E-2</v>
          </cell>
          <cell r="O64">
            <v>3.0759851465942473E-2</v>
          </cell>
          <cell r="P64">
            <v>2.8127436782889606E-2</v>
          </cell>
          <cell r="Q64">
            <v>3.1539252656839219E-2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59</v>
          </cell>
          <cell r="E65">
            <v>60</v>
          </cell>
          <cell r="F65">
            <v>0</v>
          </cell>
          <cell r="G65">
            <v>4.4233524355300854E-2</v>
          </cell>
          <cell r="H65">
            <v>4.7833814707842703E-2</v>
          </cell>
          <cell r="I65">
            <v>4.6870077854281988E-2</v>
          </cell>
          <cell r="J65">
            <v>4.606196512745412E-2</v>
          </cell>
          <cell r="K65">
            <v>4.2888045205721349E-2</v>
          </cell>
          <cell r="L65">
            <v>4.6349913387775304E-2</v>
          </cell>
          <cell r="M65">
            <v>5.128423926956225E-2</v>
          </cell>
          <cell r="N65">
            <v>5.5247385870951293E-2</v>
          </cell>
          <cell r="O65">
            <v>4.5830347792537064E-2</v>
          </cell>
          <cell r="P65">
            <v>4.3854825405554028E-2</v>
          </cell>
          <cell r="Q65">
            <v>4.515237086716084E-2</v>
          </cell>
        </row>
        <row r="66">
          <cell r="B66" t="str">
            <v>SWX</v>
          </cell>
          <cell r="C66" t="str">
            <v>Southwest Gas</v>
          </cell>
          <cell r="D66">
            <v>60</v>
          </cell>
          <cell r="E66">
            <v>61</v>
          </cell>
          <cell r="F66">
            <v>0</v>
          </cell>
          <cell r="G66">
            <v>2.6153667325351623E-2</v>
          </cell>
          <cell r="H66">
            <v>2.866495620631691E-2</v>
          </cell>
          <cell r="I66">
            <v>2.7158243270894174E-2</v>
          </cell>
          <cell r="J66">
            <v>2.6936026936026935E-2</v>
          </cell>
          <cell r="K66">
            <v>2.750134010767474E-2</v>
          </cell>
          <cell r="L66">
            <v>2.7806196059914481E-2</v>
          </cell>
          <cell r="M66">
            <v>3.1535793125197095E-2</v>
          </cell>
          <cell r="N66">
            <v>4.0141975830305078E-2</v>
          </cell>
          <cell r="O66">
            <v>3.1944345850784414E-2</v>
          </cell>
          <cell r="P66">
            <v>2.5551131974567709E-2</v>
          </cell>
          <cell r="Q66">
            <v>2.5985549499302825E-2</v>
          </cell>
        </row>
        <row r="67">
          <cell r="B67" t="str">
            <v>SR</v>
          </cell>
          <cell r="C67" t="str">
            <v>Spire Inc.</v>
          </cell>
          <cell r="D67">
            <v>61</v>
          </cell>
          <cell r="E67">
            <v>62</v>
          </cell>
          <cell r="F67">
            <v>0</v>
          </cell>
          <cell r="G67">
            <v>3.0841856805664831E-2</v>
          </cell>
          <cell r="H67">
            <v>3.5318054435870862E-2</v>
          </cell>
          <cell r="I67">
            <v>3.7829124126813544E-2</v>
          </cell>
          <cell r="J67">
            <v>3.9597503028044344E-2</v>
          </cell>
          <cell r="K67">
            <v>4.1146143168748754E-2</v>
          </cell>
          <cell r="L67">
            <v>4.3148500522606062E-2</v>
          </cell>
          <cell r="M67">
            <v>4.702710798262693E-2</v>
          </cell>
          <cell r="N67">
            <v>3.9134438305709028E-2</v>
          </cell>
          <cell r="O67">
            <v>3.9430507039271728E-2</v>
          </cell>
          <cell r="P67">
            <v>4.425183874019592E-2</v>
          </cell>
          <cell r="Q67">
            <v>4.3436443175824513E-2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 t="str">
            <v>N/A</v>
          </cell>
          <cell r="H68" t="str">
            <v>N/A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</row>
        <row r="69">
          <cell r="B69" t="str">
            <v>UGI</v>
          </cell>
          <cell r="C69" t="str">
            <v>UGI Corp.</v>
          </cell>
          <cell r="D69">
            <v>63</v>
          </cell>
          <cell r="E69">
            <v>64</v>
          </cell>
          <cell r="F69">
            <v>0</v>
          </cell>
          <cell r="G69">
            <v>2.3471216212805696E-2</v>
          </cell>
          <cell r="H69">
            <v>2.499648925712681E-2</v>
          </cell>
          <cell r="I69">
            <v>2.6066038357608911E-2</v>
          </cell>
          <cell r="J69">
            <v>3.0095981779729948E-2</v>
          </cell>
          <cell r="K69">
            <v>3.6801832283587528E-2</v>
          </cell>
          <cell r="L69">
            <v>3.2956913681965787E-2</v>
          </cell>
          <cell r="M69">
            <v>3.4804803062822666E-2</v>
          </cell>
          <cell r="N69">
            <v>3.2295912066197363E-2</v>
          </cell>
          <cell r="O69">
            <v>2.8496969010254378E-2</v>
          </cell>
          <cell r="P69">
            <v>2.6916620033575821E-2</v>
          </cell>
          <cell r="Q69">
            <v>2.9618539252701474E-2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 t="str">
            <v>N/A</v>
          </cell>
          <cell r="H70" t="str">
            <v>N/A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64</v>
          </cell>
          <cell r="E72">
            <v>65</v>
          </cell>
          <cell r="F72">
            <v>0</v>
          </cell>
          <cell r="G72">
            <v>3.4915170887632158E-2</v>
          </cell>
          <cell r="H72">
            <v>3.9974872937011019E-2</v>
          </cell>
          <cell r="I72">
            <v>4.2070410983870481E-2</v>
          </cell>
          <cell r="J72">
            <v>4.7525570823432173E-2</v>
          </cell>
          <cell r="K72">
            <v>5.1646706586826345E-2</v>
          </cell>
          <cell r="L72">
            <v>5.4811931524804382E-2</v>
          </cell>
          <cell r="M72">
            <v>6.2466051059206953E-2</v>
          </cell>
          <cell r="N72">
            <v>6.5968736555284666E-2</v>
          </cell>
          <cell r="O72">
            <v>5.2875589103030765E-2</v>
          </cell>
          <cell r="P72">
            <v>4.9407468404281972E-2</v>
          </cell>
          <cell r="Q72">
            <v>5.5551082843571367E-2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65</v>
          </cell>
          <cell r="E73">
            <v>66</v>
          </cell>
          <cell r="F73">
            <v>0</v>
          </cell>
          <cell r="G73">
            <v>3.3126124652380171E-2</v>
          </cell>
          <cell r="H73">
            <v>3.5952747817154594E-2</v>
          </cell>
          <cell r="I73">
            <v>3.616994921342747E-2</v>
          </cell>
          <cell r="J73">
            <v>4.1541556132116728E-2</v>
          </cell>
          <cell r="K73">
            <v>4.8223785824609573E-2</v>
          </cell>
          <cell r="L73">
            <v>5.058621571277256E-2</v>
          </cell>
          <cell r="M73">
            <v>5.5313307493540055E-2</v>
          </cell>
          <cell r="N73">
            <v>5.8507410938718904E-2</v>
          </cell>
          <cell r="O73">
            <v>4.7871368536451679E-2</v>
          </cell>
          <cell r="P73">
            <v>4.5258543886532908E-2</v>
          </cell>
          <cell r="Q73">
            <v>4.5152527440255497E-2</v>
          </cell>
        </row>
        <row r="74">
          <cell r="B74" t="str">
            <v>WEC</v>
          </cell>
          <cell r="C74" t="str">
            <v>WEC Energy Group</v>
          </cell>
          <cell r="D74">
            <v>66</v>
          </cell>
          <cell r="E74">
            <v>67</v>
          </cell>
          <cell r="F74">
            <v>0</v>
          </cell>
          <cell r="G74">
            <v>3.3535449341146981E-2</v>
          </cell>
          <cell r="H74">
            <v>3.4855071012199278E-2</v>
          </cell>
          <cell r="I74">
            <v>3.4009897752294578E-2</v>
          </cell>
          <cell r="J74">
            <v>3.4881475401921498E-2</v>
          </cell>
          <cell r="K74">
            <v>3.2407907529437181E-2</v>
          </cell>
          <cell r="L74">
            <v>3.3481424248277637E-2</v>
          </cell>
          <cell r="M74">
            <v>2.9739776951672865E-2</v>
          </cell>
          <cell r="N74">
            <v>3.1610002809778028E-2</v>
          </cell>
          <cell r="O74">
            <v>2.4129764511372269E-2</v>
          </cell>
          <cell r="P74">
            <v>2.1376656690893545E-2</v>
          </cell>
          <cell r="Q74">
            <v>2.1825773391535398E-2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67</v>
          </cell>
          <cell r="E75">
            <v>68</v>
          </cell>
          <cell r="F75">
            <v>0</v>
          </cell>
          <cell r="G75">
            <v>2.8977770999351813E-2</v>
          </cell>
          <cell r="H75">
            <v>3.7335684098628426E-2</v>
          </cell>
          <cell r="I75">
            <v>3.8790834280014404E-2</v>
          </cell>
          <cell r="J75">
            <v>4.2681395932714035E-2</v>
          </cell>
          <cell r="K75">
            <v>4.5715868947842353E-2</v>
          </cell>
          <cell r="L75">
            <v>4.8387706498317772E-2</v>
          </cell>
          <cell r="M75">
            <v>5.3168681931223739E-2</v>
          </cell>
          <cell r="N75">
            <v>6.2722140915743255E-2</v>
          </cell>
          <cell r="O75">
            <v>5.220287115791368E-2</v>
          </cell>
          <cell r="P75">
            <v>4.1618497109826597E-2</v>
          </cell>
          <cell r="Q75">
            <v>4.2807845192853709E-2</v>
          </cell>
        </row>
        <row r="76">
          <cell r="B76" t="str">
            <v>WGL</v>
          </cell>
          <cell r="C76" t="str">
            <v>WGL Holdings Inc.</v>
          </cell>
          <cell r="D76">
            <v>68</v>
          </cell>
          <cell r="E76">
            <v>69</v>
          </cell>
          <cell r="F76">
            <v>0</v>
          </cell>
          <cell r="G76">
            <v>2.9439580219042676E-2</v>
          </cell>
          <cell r="H76">
            <v>3.4080116207609361E-2</v>
          </cell>
          <cell r="I76">
            <v>4.2359315355251816E-2</v>
          </cell>
          <cell r="J76">
            <v>3.9387827737572663E-2</v>
          </cell>
          <cell r="K76">
            <v>3.8857254576113789E-2</v>
          </cell>
          <cell r="L76">
            <v>4.0588666596836701E-2</v>
          </cell>
          <cell r="M76">
            <v>4.3729228616407205E-2</v>
          </cell>
          <cell r="N76">
            <v>4.6171241912180409E-2</v>
          </cell>
          <cell r="O76">
            <v>4.2240422404224043E-2</v>
          </cell>
          <cell r="P76">
            <v>4.1855758616460195E-2</v>
          </cell>
          <cell r="Q76">
            <v>4.4845292077887434E-2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69</v>
          </cell>
          <cell r="E77">
            <v>70</v>
          </cell>
          <cell r="F77">
            <v>0</v>
          </cell>
          <cell r="G77">
            <v>3.3309657351392394E-2</v>
          </cell>
          <cell r="H77">
            <v>3.6856805551556335E-2</v>
          </cell>
          <cell r="I77">
            <v>3.8284839203675342E-2</v>
          </cell>
          <cell r="J77">
            <v>3.8642297650130553E-2</v>
          </cell>
          <cell r="K77">
            <v>3.9022611232676876E-2</v>
          </cell>
          <cell r="L77">
            <v>4.2045964812017798E-2</v>
          </cell>
          <cell r="M77">
            <v>4.5369992287101313E-2</v>
          </cell>
          <cell r="N77">
            <v>5.1404345521992578E-2</v>
          </cell>
          <cell r="O77">
            <v>4.7042338104293861E-2</v>
          </cell>
          <cell r="P77">
            <v>4.047682590516858E-2</v>
          </cell>
          <cell r="Q77">
            <v>4.4039635672104893E-2</v>
          </cell>
        </row>
        <row r="78">
          <cell r="B78" t="str">
            <v>YORW</v>
          </cell>
          <cell r="C78" t="str">
            <v>York Water Co. (The)</v>
          </cell>
          <cell r="D78">
            <v>70</v>
          </cell>
          <cell r="E78">
            <v>71</v>
          </cell>
          <cell r="F78">
            <v>0</v>
          </cell>
          <cell r="G78" t="str">
            <v>N/A</v>
          </cell>
          <cell r="H78">
            <v>2.629618267081562E-2</v>
          </cell>
          <cell r="I78">
            <v>2.7863023040576744E-2</v>
          </cell>
          <cell r="J78">
            <v>2.8024572269888821E-2</v>
          </cell>
          <cell r="K78">
            <v>3.0624999999999999E-2</v>
          </cell>
          <cell r="L78">
            <v>3.1049313615742653E-2</v>
          </cell>
          <cell r="M78">
            <v>3.5007817279586705E-2</v>
          </cell>
          <cell r="N78">
            <v>3.6155769917827797E-2</v>
          </cell>
          <cell r="O78">
            <v>3.490862364363221E-2</v>
          </cell>
          <cell r="P78">
            <v>2.753623188405797E-2</v>
          </cell>
          <cell r="Q78">
            <v>2.5049657912160673E-2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</sheetData>
      <sheetData sheetId="22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5.4500196515131667E-2</v>
          </cell>
          <cell r="H5">
            <v>5.4490032640069061E-2</v>
          </cell>
          <cell r="I5">
            <v>5.5899381113994805E-2</v>
          </cell>
          <cell r="J5">
            <v>5.8575084009002069E-2</v>
          </cell>
          <cell r="K5">
            <v>6.0363493209107021E-2</v>
          </cell>
          <cell r="L5">
            <v>6.1846356971613219E-2</v>
          </cell>
          <cell r="M5">
            <v>6.4556358434508299E-2</v>
          </cell>
          <cell r="N5">
            <v>6.6651518594258885E-2</v>
          </cell>
          <cell r="O5">
            <v>6.7793937960663755E-2</v>
          </cell>
          <cell r="P5">
            <v>6.8021567814184988E-2</v>
          </cell>
          <cell r="Q5">
            <v>6.6207022510387653E-2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6.9563166892648701E-2</v>
          </cell>
          <cell r="H6">
            <v>6.7024128686327081E-2</v>
          </cell>
          <cell r="I6">
            <v>6.5620174987133295E-2</v>
          </cell>
          <cell r="J6">
            <v>6.356075461491649E-2</v>
          </cell>
          <cell r="K6">
            <v>6.3725837286695466E-2</v>
          </cell>
          <cell r="L6">
            <v>6.2638172439204123E-2</v>
          </cell>
          <cell r="M6">
            <v>6.0550318080784857E-2</v>
          </cell>
          <cell r="N6">
            <v>5.9822924144532177E-2</v>
          </cell>
          <cell r="O6">
            <v>5.4764512595837894E-2</v>
          </cell>
          <cell r="P6">
            <v>5.2271978926572274E-2</v>
          </cell>
          <cell r="Q6">
            <v>5.0367904695164674E-2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6.7623557265463152E-2</v>
          </cell>
          <cell r="H7">
            <v>6.8468468468468463E-2</v>
          </cell>
          <cell r="I7">
            <v>6.2778575205862358E-2</v>
          </cell>
          <cell r="J7">
            <v>5.9762522607533224E-2</v>
          </cell>
          <cell r="K7">
            <v>5.381812017967625E-2</v>
          </cell>
          <cell r="L7">
            <v>5.073332718383914E-2</v>
          </cell>
          <cell r="M7">
            <v>5.1322542439794713E-2</v>
          </cell>
          <cell r="N7">
            <v>5.2077962256367953E-2</v>
          </cell>
          <cell r="O7">
            <v>5.5716514374860707E-2</v>
          </cell>
          <cell r="P7">
            <v>5.4522641724649254E-2</v>
          </cell>
          <cell r="Q7">
            <v>5.4680927773104196E-2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5.0268440310501657E-2</v>
          </cell>
          <cell r="H8">
            <v>4.707464694014795E-2</v>
          </cell>
          <cell r="I8">
            <v>4.4175094008981057E-2</v>
          </cell>
          <cell r="J8">
            <v>3.1669431458301915E-2</v>
          </cell>
          <cell r="K8">
            <v>4.8197570205138415E-2</v>
          </cell>
          <cell r="L8">
            <v>3.7324264919338115E-2</v>
          </cell>
          <cell r="M8">
            <v>3.6459216550788535E-2</v>
          </cell>
          <cell r="N8">
            <v>3.579223046704496E-2</v>
          </cell>
          <cell r="O8">
            <v>1.5601841017240034E-2</v>
          </cell>
          <cell r="P8">
            <v>0</v>
          </cell>
          <cell r="Q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5.8584409373505501E-2</v>
          </cell>
          <cell r="H9">
            <v>5.7812554581339298E-2</v>
          </cell>
          <cell r="I9">
            <v>5.8192069975060538E-2</v>
          </cell>
          <cell r="J9">
            <v>5.9322976530347411E-2</v>
          </cell>
          <cell r="K9">
            <v>5.8678989254410098E-2</v>
          </cell>
          <cell r="L9">
            <v>4.7638012376692601E-2</v>
          </cell>
          <cell r="M9">
            <v>4.7893018193127038E-2</v>
          </cell>
          <cell r="N9">
            <v>4.6555216300371835E-2</v>
          </cell>
          <cell r="O9">
            <v>7.7443746569912791E-2</v>
          </cell>
          <cell r="P9">
            <v>7.8358784513342591E-2</v>
          </cell>
          <cell r="Q9">
            <v>7.9713783580215913E-2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6.4160542679479932E-2</v>
          </cell>
          <cell r="H10">
            <v>5.9009194455880327E-2</v>
          </cell>
          <cell r="I10">
            <v>5.9066573556797008E-2</v>
          </cell>
          <cell r="J10">
            <v>5.9133915574963614E-2</v>
          </cell>
          <cell r="K10">
            <v>5.9924138590507756E-2</v>
          </cell>
          <cell r="L10">
            <v>6.0987670600646145E-2</v>
          </cell>
          <cell r="M10">
            <v>6.0355781448538752E-2</v>
          </cell>
          <cell r="N10">
            <v>5.9666739430983044E-2</v>
          </cell>
          <cell r="O10">
            <v>6.2279269357839971E-2</v>
          </cell>
          <cell r="P10">
            <v>6.2770648762464742E-2</v>
          </cell>
          <cell r="Q10">
            <v>6.3219117461120244E-2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7.0955988110077667E-2</v>
          </cell>
          <cell r="H11">
            <v>7.0581014729950903E-2</v>
          </cell>
          <cell r="I11">
            <v>6.7968497141007653E-2</v>
          </cell>
          <cell r="J11">
            <v>6.7230787063869243E-2</v>
          </cell>
          <cell r="K11">
            <v>6.7856690720344351E-2</v>
          </cell>
          <cell r="L11">
            <v>6.9922308546059936E-2</v>
          </cell>
          <cell r="M11">
            <v>6.9320017623733285E-2</v>
          </cell>
          <cell r="N11">
            <v>6.7692307692307691E-2</v>
          </cell>
          <cell r="O11">
            <v>6.5227817745803357E-2</v>
          </cell>
          <cell r="P11">
            <v>6.5584970111016216E-2</v>
          </cell>
          <cell r="Q11">
            <v>6.3173007896625985E-2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5.0418654902313856E-2</v>
          </cell>
          <cell r="H12">
            <v>4.955212502382314E-2</v>
          </cell>
          <cell r="I12">
            <v>4.8141040236801873E-2</v>
          </cell>
          <cell r="J12">
            <v>4.9176297024834024E-2</v>
          </cell>
          <cell r="K12">
            <v>5.2784577723378211E-2</v>
          </cell>
          <cell r="L12">
            <v>5.4447914164464727E-2</v>
          </cell>
          <cell r="M12">
            <v>5.5463576158940403E-2</v>
          </cell>
          <cell r="N12">
            <v>5.6124835239593523E-2</v>
          </cell>
          <cell r="O12">
            <v>5.7519578779700015E-2</v>
          </cell>
          <cell r="P12">
            <v>5.8165954739616471E-2</v>
          </cell>
          <cell r="Q12">
            <v>6.2490700788573127E-2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3.5338868665385083E-2</v>
          </cell>
          <cell r="H13">
            <v>0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5.3336447870435261E-2</v>
          </cell>
          <cell r="H14">
            <v>5.3807272134355127E-2</v>
          </cell>
          <cell r="I14">
            <v>5.3278516591853002E-2</v>
          </cell>
          <cell r="J14">
            <v>5.6455344747801943E-2</v>
          </cell>
          <cell r="K14">
            <v>5.5088569121907204E-2</v>
          </cell>
          <cell r="L14">
            <v>5.4200542005420051E-2</v>
          </cell>
          <cell r="M14">
            <v>5.0738241412552641E-2</v>
          </cell>
          <cell r="N14">
            <v>4.2251317093526683E-2</v>
          </cell>
          <cell r="O14">
            <v>3.7713161346742456E-2</v>
          </cell>
          <cell r="P14">
            <v>3.4444830380919299E-2</v>
          </cell>
          <cell r="Q14">
            <v>3.2647917979265709E-2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5.5542698449432999E-2</v>
          </cell>
          <cell r="H15">
            <v>5.6574122577265587E-2</v>
          </cell>
          <cell r="I15">
            <v>5.0644417751517706E-2</v>
          </cell>
          <cell r="J15">
            <v>5.1721791207295489E-2</v>
          </cell>
          <cell r="K15">
            <v>5.3082744521358631E-2</v>
          </cell>
          <cell r="L15">
            <v>5.3029202382681967E-2</v>
          </cell>
          <cell r="M15">
            <v>5.1393697134087583E-2</v>
          </cell>
          <cell r="N15">
            <v>5.1007579295233307E-2</v>
          </cell>
          <cell r="O15">
            <v>5.1487624581663047E-2</v>
          </cell>
          <cell r="P15">
            <v>5.3390491036632896E-2</v>
          </cell>
          <cell r="Q15">
            <v>5.5752660922453123E-2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5.0185468034038831E-2</v>
          </cell>
          <cell r="H16">
            <v>4.9951539551181694E-2</v>
          </cell>
          <cell r="I16">
            <v>4.9588037839487335E-2</v>
          </cell>
          <cell r="J16">
            <v>5.1028544091851383E-2</v>
          </cell>
          <cell r="K16">
            <v>5.5831265508684863E-2</v>
          </cell>
          <cell r="L16">
            <v>5.7172073998326675E-2</v>
          </cell>
          <cell r="M16">
            <v>5.692145795465417E-2</v>
          </cell>
          <cell r="N16">
            <v>5.8254344391785146E-2</v>
          </cell>
          <cell r="O16">
            <v>6.0172803949804565E-2</v>
          </cell>
          <cell r="P16">
            <v>6.271626297577855E-2</v>
          </cell>
          <cell r="Q16">
            <v>6.3374848451449348E-2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0.12820512820512819</v>
          </cell>
          <cell r="H17">
            <v>0.12299664554603057</v>
          </cell>
          <cell r="I17">
            <v>8.9614187340816887E-2</v>
          </cell>
          <cell r="J17">
            <v>8.2251511247646417E-2</v>
          </cell>
          <cell r="K17">
            <v>8.050089445438284E-2</v>
          </cell>
          <cell r="L17">
            <v>7.9717457114026238E-2</v>
          </cell>
          <cell r="M17">
            <v>0.10358565737051793</v>
          </cell>
          <cell r="N17">
            <v>0.11282660332541568</v>
          </cell>
          <cell r="O17">
            <v>0.12402310567448181</v>
          </cell>
          <cell r="P17">
            <v>0.12123373150294171</v>
          </cell>
          <cell r="Q17">
            <v>0.12094335819391251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4.3492562406344797E-2</v>
          </cell>
          <cell r="H19">
            <v>4.7755084637359835E-2</v>
          </cell>
          <cell r="I19">
            <v>5.1831341688526184E-2</v>
          </cell>
          <cell r="J19">
            <v>5.2536043978840367E-2</v>
          </cell>
          <cell r="K19">
            <v>5.3859964093357263E-2</v>
          </cell>
          <cell r="L19">
            <v>5.4237692215997148E-2</v>
          </cell>
          <cell r="M19">
            <v>5.4938115685779235E-2</v>
          </cell>
          <cell r="N19">
            <v>5.5954859944918382E-2</v>
          </cell>
          <cell r="O19">
            <v>6.7149276085871193E-2</v>
          </cell>
          <cell r="P19">
            <v>6.657031117156946E-2</v>
          </cell>
          <cell r="Q19">
            <v>6.9494584837545129E-2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8.1407563025210086E-2</v>
          </cell>
          <cell r="H21">
            <v>8.1644144144144143E-2</v>
          </cell>
          <cell r="I21">
            <v>8.0983803239352128E-2</v>
          </cell>
          <cell r="J21">
            <v>7.8582434514637908E-2</v>
          </cell>
          <cell r="K21">
            <v>7.9378204068132965E-2</v>
          </cell>
          <cell r="L21">
            <v>7.0487538810103209E-2</v>
          </cell>
          <cell r="M21">
            <v>5.8981233243967833E-2</v>
          </cell>
          <cell r="N21">
            <v>4.3790506218251889E-2</v>
          </cell>
          <cell r="O21">
            <v>3.3094318808604521E-2</v>
          </cell>
          <cell r="P21">
            <v>2.1139414438220063E-2</v>
          </cell>
          <cell r="Q21">
            <v>0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5.3376542915693659E-2</v>
          </cell>
          <cell r="H22">
            <v>5.2473763118440778E-2</v>
          </cell>
          <cell r="I22">
            <v>5.3640660682989005E-2</v>
          </cell>
          <cell r="J22">
            <v>5.4702763047725374E-2</v>
          </cell>
          <cell r="K22">
            <v>4.5832139788026346E-2</v>
          </cell>
          <cell r="L22">
            <v>6.9645106319922948E-2</v>
          </cell>
          <cell r="M22">
            <v>7.0525105404369487E-2</v>
          </cell>
          <cell r="N22">
            <v>7.1033938437253363E-2</v>
          </cell>
          <cell r="O22">
            <v>7.1936565029019864E-2</v>
          </cell>
          <cell r="P22">
            <v>7.2803347280334732E-2</v>
          </cell>
          <cell r="Q22">
            <v>7.3719606828763579E-2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5.7168454958510216E-2</v>
          </cell>
          <cell r="H23">
            <v>5.8366632245319447E-2</v>
          </cell>
          <cell r="I23">
            <v>5.8686539357242669E-2</v>
          </cell>
          <cell r="J23">
            <v>5.8837598660607504E-2</v>
          </cell>
          <cell r="K23">
            <v>5.9714751024033945E-2</v>
          </cell>
          <cell r="L23">
            <v>6.1465963222865336E-2</v>
          </cell>
          <cell r="M23">
            <v>6.2747165831795404E-2</v>
          </cell>
          <cell r="N23">
            <v>6.4733795978824366E-2</v>
          </cell>
          <cell r="O23">
            <v>6.6045723962743441E-2</v>
          </cell>
          <cell r="P23">
            <v>7.1204959793751146E-2</v>
          </cell>
          <cell r="Q23">
            <v>7.3981150889382091E-2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3.0646644192460926E-2</v>
          </cell>
          <cell r="H24">
            <v>3.0577922739781875E-2</v>
          </cell>
          <cell r="I24">
            <v>3.1325049597995196E-2</v>
          </cell>
          <cell r="J24">
            <v>3.1769564756962833E-2</v>
          </cell>
          <cell r="K24">
            <v>3.2626427406199018E-2</v>
          </cell>
          <cell r="L24">
            <v>3.3955857385398976E-2</v>
          </cell>
          <cell r="M24">
            <v>3.4534361689881436E-2</v>
          </cell>
          <cell r="N24">
            <v>3.2813781788351114E-2</v>
          </cell>
          <cell r="O24">
            <v>3.8857006217120994E-2</v>
          </cell>
          <cell r="P24">
            <v>2.3737066342057214E-2</v>
          </cell>
          <cell r="Q24">
            <v>3.2051282051282048E-2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0.12035763411279229</v>
          </cell>
          <cell r="H25">
            <v>0.12195121951219512</v>
          </cell>
          <cell r="I25">
            <v>0.12156823016918245</v>
          </cell>
          <cell r="J25">
            <v>0.11238199890115379</v>
          </cell>
          <cell r="K25">
            <v>0.11502398604448319</v>
          </cell>
          <cell r="L25">
            <v>9.8053854959932296E-2</v>
          </cell>
          <cell r="M25">
            <v>8.8594113090627424E-2</v>
          </cell>
          <cell r="N25">
            <v>9.3783494105037515E-2</v>
          </cell>
          <cell r="O25">
            <v>9.1440476879449048E-2</v>
          </cell>
          <cell r="P25">
            <v>8.9532102777948125E-2</v>
          </cell>
          <cell r="Q25">
            <v>7.4594594594594582E-2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6.0933112965212366E-2</v>
          </cell>
          <cell r="H26">
            <v>5.8105039179982401E-2</v>
          </cell>
          <cell r="I26">
            <v>5.7175650399591903E-2</v>
          </cell>
          <cell r="J26">
            <v>5.7904267924612667E-2</v>
          </cell>
          <cell r="K26">
            <v>5.6569812291077388E-2</v>
          </cell>
          <cell r="L26">
            <v>5.6021056190085239E-2</v>
          </cell>
          <cell r="M26">
            <v>5.4946439823566486E-2</v>
          </cell>
          <cell r="N26">
            <v>5.5854146906944881E-2</v>
          </cell>
          <cell r="O26">
            <v>5.7647858599592122E-2</v>
          </cell>
          <cell r="P26">
            <v>5.9123741528850714E-2</v>
          </cell>
          <cell r="Q26">
            <v>6.2842605772434057E-2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5.7319299203329975E-2</v>
          </cell>
          <cell r="H27">
            <v>5.6110697400550719E-2</v>
          </cell>
          <cell r="I27">
            <v>5.4484130415982011E-2</v>
          </cell>
          <cell r="J27">
            <v>5.2783519242923765E-2</v>
          </cell>
          <cell r="K27">
            <v>5.220177796154641E-2</v>
          </cell>
          <cell r="L27">
            <v>5.8075870160344156E-2</v>
          </cell>
          <cell r="M27">
            <v>5.7232766250368772E-2</v>
          </cell>
          <cell r="N27">
            <v>5.6567439621278984E-2</v>
          </cell>
          <cell r="O27">
            <v>5.4539945460054542E-2</v>
          </cell>
          <cell r="P27">
            <v>5.1191491894680453E-2</v>
          </cell>
          <cell r="Q27">
            <v>0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5.3858062413427846E-2</v>
          </cell>
          <cell r="H28">
            <v>4.9668969075119661E-2</v>
          </cell>
          <cell r="I28">
            <v>4.4085733820862685E-2</v>
          </cell>
          <cell r="J28">
            <v>4.4849518064389228E-2</v>
          </cell>
          <cell r="K28">
            <v>4.5355625410204145E-2</v>
          </cell>
          <cell r="L28">
            <v>4.1638313729302351E-2</v>
          </cell>
          <cell r="M28">
            <v>3.899266383083657E-2</v>
          </cell>
          <cell r="N28">
            <v>4.1218341334216195E-2</v>
          </cell>
          <cell r="O28">
            <v>4.193769257103732E-2</v>
          </cell>
          <cell r="P28">
            <v>4.5337037465756069E-2</v>
          </cell>
          <cell r="Q28">
            <v>4.6490004649000466E-2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4.6196779424520121E-2</v>
          </cell>
          <cell r="H29">
            <v>4.6349711557589018E-2</v>
          </cell>
          <cell r="I29">
            <v>4.5307310672844318E-2</v>
          </cell>
          <cell r="J29">
            <v>4.4581911262798632E-2</v>
          </cell>
          <cell r="K29">
            <v>4.7162930908737292E-2</v>
          </cell>
          <cell r="L29">
            <v>3.468937243771681E-2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EDE</v>
          </cell>
          <cell r="C30" t="str">
            <v>Empire District Electric</v>
          </cell>
          <cell r="D30" t="e">
            <v>#N/A</v>
          </cell>
          <cell r="E30">
            <v>29</v>
          </cell>
          <cell r="F30">
            <v>0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29</v>
          </cell>
          <cell r="E31">
            <v>30</v>
          </cell>
          <cell r="F31">
            <v>0</v>
          </cell>
          <cell r="G31">
            <v>7.580291242768801E-2</v>
          </cell>
          <cell r="H31">
            <v>6.4365689618623656E-2</v>
          </cell>
          <cell r="I31">
            <v>5.9461976573414045E-2</v>
          </cell>
          <cell r="J31">
            <v>6.1479204473908367E-2</v>
          </cell>
          <cell r="K31">
            <v>6.4185596906718212E-2</v>
          </cell>
          <cell r="L31">
            <v>6.5336324634943127E-2</v>
          </cell>
          <cell r="M31">
            <v>6.8163170849725452E-2</v>
          </cell>
          <cell r="N31">
            <v>6.5868920847513446E-2</v>
          </cell>
          <cell r="O31">
            <v>7.1308026906895486E-2</v>
          </cell>
          <cell r="P31">
            <v>6.3368865746426292E-2</v>
          </cell>
          <cell r="Q31">
            <v>5.3399258343634119E-2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30</v>
          </cell>
          <cell r="E32">
            <v>31</v>
          </cell>
          <cell r="F32">
            <v>0</v>
          </cell>
          <cell r="G32">
            <v>5.2658048102239452E-2</v>
          </cell>
          <cell r="H32">
            <v>5.1168918711891408E-2</v>
          </cell>
          <cell r="I32">
            <v>4.988244265107708E-2</v>
          </cell>
          <cell r="J32">
            <v>4.8218854556189725E-2</v>
          </cell>
          <cell r="K32">
            <v>4.4879640962872301E-2</v>
          </cell>
          <cell r="L32">
            <v>4.8565121412803537E-2</v>
          </cell>
          <cell r="M32">
            <v>4.7455900736145189E-2</v>
          </cell>
          <cell r="N32">
            <v>4.6630344082854755E-2</v>
          </cell>
          <cell r="O32">
            <v>4.2565266742338244E-2</v>
          </cell>
          <cell r="P32">
            <v>4.1550503967402959E-2</v>
          </cell>
          <cell r="Q32">
            <v>3.9960315273108081E-2</v>
          </cell>
        </row>
        <row r="33">
          <cell r="B33" t="str">
            <v>EVRG</v>
          </cell>
          <cell r="C33" t="str">
            <v>Evergy, Inc.</v>
          </cell>
          <cell r="D33" t="e">
            <v>#N/A</v>
          </cell>
          <cell r="E33" t="e">
            <v>#N/A</v>
          </cell>
          <cell r="F33">
            <v>0</v>
          </cell>
          <cell r="G33" t="str">
            <v>N/A</v>
          </cell>
          <cell r="H33" t="str">
            <v>N/A</v>
          </cell>
          <cell r="I33" t="str">
            <v>N/A</v>
          </cell>
          <cell r="J33" t="str">
            <v>N/A</v>
          </cell>
          <cell r="K33" t="str">
            <v>N/A</v>
          </cell>
          <cell r="L33" t="str">
            <v>N/A</v>
          </cell>
          <cell r="M33" t="str">
            <v>N/A</v>
          </cell>
          <cell r="N33" t="str">
            <v>N/A</v>
          </cell>
          <cell r="O33" t="str">
            <v>N/A</v>
          </cell>
          <cell r="P33" t="str">
            <v>N/A</v>
          </cell>
          <cell r="Q33" t="str">
            <v>N/A</v>
          </cell>
        </row>
        <row r="34">
          <cell r="B34" t="str">
            <v>EXC</v>
          </cell>
          <cell r="C34" t="str">
            <v xml:space="preserve">Exelon Corp.                  </v>
          </cell>
          <cell r="D34">
            <v>31</v>
          </cell>
          <cell r="E34">
            <v>32</v>
          </cell>
          <cell r="F34">
            <v>0</v>
          </cell>
          <cell r="G34">
            <v>4.5062765995493727E-2</v>
          </cell>
          <cell r="H34">
            <v>4.4225693701405236E-2</v>
          </cell>
          <cell r="I34">
            <v>4.7160841288555889E-2</v>
          </cell>
          <cell r="J34">
            <v>5.4872529793332334E-2</v>
          </cell>
          <cell r="K34">
            <v>8.3758774728781113E-2</v>
          </cell>
          <cell r="L34">
            <v>9.6841134424717562E-2</v>
          </cell>
          <cell r="M34">
            <v>0.10249902381882078</v>
          </cell>
          <cell r="N34">
            <v>0.10960906101571065</v>
          </cell>
          <cell r="O34">
            <v>0.12213285671730711</v>
          </cell>
          <cell r="P34">
            <v>0.11865180259469327</v>
          </cell>
          <cell r="Q34">
            <v>0.11015583019881783</v>
          </cell>
        </row>
        <row r="35">
          <cell r="B35" t="str">
            <v>FE</v>
          </cell>
          <cell r="C35" t="str">
            <v xml:space="preserve">FirstEnergy Corp.             </v>
          </cell>
          <cell r="D35">
            <v>32</v>
          </cell>
          <cell r="E35">
            <v>33</v>
          </cell>
          <cell r="F35">
            <v>0</v>
          </cell>
          <cell r="G35">
            <v>0.10206251328938974</v>
          </cell>
          <cell r="H35">
            <v>4.9104859335038366E-2</v>
          </cell>
          <cell r="I35">
            <v>4.8823489523292872E-2</v>
          </cell>
          <cell r="J35">
            <v>5.4423114981199283E-2</v>
          </cell>
          <cell r="K35">
            <v>7.0321240210963726E-2</v>
          </cell>
          <cell r="L35">
            <v>6.9282610064873726E-2</v>
          </cell>
          <cell r="M35">
            <v>7.8481735159817365E-2</v>
          </cell>
          <cell r="N35">
            <v>7.8355949709726827E-2</v>
          </cell>
          <cell r="O35">
            <v>8.0965699985278972E-2</v>
          </cell>
          <cell r="P35">
            <v>6.96118713708445E-2</v>
          </cell>
          <cell r="Q35">
            <v>6.535947712418301E-2</v>
          </cell>
        </row>
        <row r="36">
          <cell r="B36" t="str">
            <v>FTS.TO</v>
          </cell>
          <cell r="C36" t="str">
            <v>Fortis Inc.</v>
          </cell>
          <cell r="D36">
            <v>33</v>
          </cell>
          <cell r="E36">
            <v>34</v>
          </cell>
          <cell r="F36">
            <v>0</v>
          </cell>
          <cell r="G36">
            <v>4.796534117282996E-2</v>
          </cell>
          <cell r="H36">
            <v>4.9954586739327879E-2</v>
          </cell>
          <cell r="I36">
            <v>5.2219321148825069E-2</v>
          </cell>
          <cell r="J36">
            <v>5.5838470472616815E-2</v>
          </cell>
          <cell r="K36">
            <v>5.8064206535822262E-2</v>
          </cell>
          <cell r="L36">
            <v>5.6984219754529511E-2</v>
          </cell>
          <cell r="M36">
            <v>5.9099783652577703E-2</v>
          </cell>
          <cell r="N36">
            <v>5.6007324034681463E-2</v>
          </cell>
          <cell r="O36">
            <v>5.5546297839249012E-2</v>
          </cell>
          <cell r="P36">
            <v>4.9031332217172922E-2</v>
          </cell>
          <cell r="Q36">
            <v>5.4671562627498976E-2</v>
          </cell>
        </row>
        <row r="37">
          <cell r="B37" t="str">
            <v>FPL</v>
          </cell>
          <cell r="C37" t="str">
            <v xml:space="preserve">FPL Group                     </v>
          </cell>
          <cell r="D37" t="e">
            <v>#N/A</v>
          </cell>
          <cell r="E37" t="e">
            <v>#N/A</v>
          </cell>
          <cell r="F37">
            <v>0</v>
          </cell>
          <cell r="G37" t="str">
            <v>N/A</v>
          </cell>
          <cell r="H37" t="str">
            <v>N/A</v>
          </cell>
          <cell r="I37" t="str">
            <v>N/A</v>
          </cell>
          <cell r="J37" t="str">
            <v>N/A</v>
          </cell>
          <cell r="K37" t="str">
            <v>N/A</v>
          </cell>
          <cell r="L37" t="str">
            <v>N/A</v>
          </cell>
          <cell r="M37" t="str">
            <v>N/A</v>
          </cell>
          <cell r="N37" t="str">
            <v>N/A</v>
          </cell>
          <cell r="O37" t="str">
            <v>N/A</v>
          </cell>
          <cell r="P37" t="str">
            <v>N/A</v>
          </cell>
          <cell r="Q37" t="str">
            <v>N/A</v>
          </cell>
        </row>
        <row r="38">
          <cell r="B38" t="str">
            <v>GXP</v>
          </cell>
          <cell r="C38" t="str">
            <v xml:space="preserve">Great Plains Energy             </v>
          </cell>
          <cell r="D38">
            <v>35</v>
          </cell>
          <cell r="E38">
            <v>36</v>
          </cell>
          <cell r="F38">
            <v>0</v>
          </cell>
          <cell r="G38">
            <v>4.2659010957907077E-2</v>
          </cell>
          <cell r="H38">
            <v>4.2143490562053965E-2</v>
          </cell>
          <cell r="I38">
            <v>4.0194308313988479E-2</v>
          </cell>
          <cell r="J38">
            <v>3.9059386209645275E-2</v>
          </cell>
          <cell r="K38">
            <v>3.9301310043668124E-2</v>
          </cell>
          <cell r="L38">
            <v>3.8406697024055927E-2</v>
          </cell>
          <cell r="M38">
            <v>3.9031272043263579E-2</v>
          </cell>
          <cell r="N38">
            <v>4.0250230347703801E-2</v>
          </cell>
          <cell r="O38">
            <v>7.7613615111277345E-2</v>
          </cell>
          <cell r="P38">
            <v>9.1299087009129906E-2</v>
          </cell>
          <cell r="Q38">
            <v>9.9395245793665044E-2</v>
          </cell>
        </row>
        <row r="39">
          <cell r="B39" t="str">
            <v>HE</v>
          </cell>
          <cell r="C39" t="str">
            <v xml:space="preserve">Hawaiian Elec.                </v>
          </cell>
          <cell r="D39">
            <v>36</v>
          </cell>
          <cell r="E39">
            <v>37</v>
          </cell>
          <cell r="F39">
            <v>0</v>
          </cell>
          <cell r="G39">
            <v>6.5146579804560262E-2</v>
          </cell>
          <cell r="H39">
            <v>6.912699297580556E-2</v>
          </cell>
          <cell r="I39">
            <v>7.0995076147944577E-2</v>
          </cell>
          <cell r="J39">
            <v>7.2701688555347088E-2</v>
          </cell>
          <cell r="K39">
            <v>7.6185795035635287E-2</v>
          </cell>
          <cell r="L39">
            <v>7.7738072848097292E-2</v>
          </cell>
          <cell r="M39">
            <v>7.9142200663773296E-2</v>
          </cell>
          <cell r="N39">
            <v>7.9579001411885508E-2</v>
          </cell>
          <cell r="O39">
            <v>8.0781758957654728E-2</v>
          </cell>
          <cell r="P39">
            <v>8.111467259763197E-2</v>
          </cell>
          <cell r="Q39">
            <v>9.2227593901078458E-2</v>
          </cell>
        </row>
        <row r="40">
          <cell r="B40" t="str">
            <v>IDA</v>
          </cell>
          <cell r="C40" t="str">
            <v xml:space="preserve">IDACORP, Inc.                 </v>
          </cell>
          <cell r="D40">
            <v>37</v>
          </cell>
          <cell r="E40">
            <v>38</v>
          </cell>
          <cell r="F40">
            <v>0</v>
          </cell>
          <cell r="G40">
            <v>4.8667493390112081E-2</v>
          </cell>
          <cell r="H40">
            <v>4.6967880819002425E-2</v>
          </cell>
          <cell r="I40">
            <v>4.5297781438204565E-2</v>
          </cell>
          <cell r="J40">
            <v>4.2614407469735632E-2</v>
          </cell>
          <cell r="K40">
            <v>3.9070298017966638E-2</v>
          </cell>
          <cell r="L40">
            <v>3.6160916076540602E-2</v>
          </cell>
          <cell r="M40">
            <v>3.8695946599593689E-2</v>
          </cell>
          <cell r="N40">
            <v>4.1132515253307737E-2</v>
          </cell>
          <cell r="O40">
            <v>4.3229222954717386E-2</v>
          </cell>
          <cell r="P40">
            <v>4.4789489399820838E-2</v>
          </cell>
          <cell r="Q40">
            <v>4.6573003182488554E-2</v>
          </cell>
        </row>
        <row r="41">
          <cell r="B41" t="str">
            <v>TEG</v>
          </cell>
          <cell r="C41" t="str">
            <v xml:space="preserve">Integrys Energy               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</row>
        <row r="42">
          <cell r="B42" t="str">
            <v>ITC</v>
          </cell>
          <cell r="C42" t="str">
            <v>ITC Holdings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</row>
        <row r="43">
          <cell r="B43" t="str">
            <v>MDU</v>
          </cell>
          <cell r="C43" t="str">
            <v xml:space="preserve">MDU Resources                 </v>
          </cell>
          <cell r="D43" t="e">
            <v>#N/A</v>
          </cell>
          <cell r="E43" t="e">
            <v>#N/A</v>
          </cell>
          <cell r="F43">
            <v>0</v>
          </cell>
          <cell r="G43" t="str">
            <v>N/A</v>
          </cell>
          <cell r="H43" t="str">
            <v>N/A</v>
          </cell>
          <cell r="I43" t="str">
            <v>N/A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  <cell r="P43" t="str">
            <v>N/A</v>
          </cell>
          <cell r="Q43" t="str">
            <v>N/A</v>
          </cell>
        </row>
        <row r="44">
          <cell r="B44" t="str">
            <v>MGEE</v>
          </cell>
          <cell r="C44" t="str">
            <v xml:space="preserve">MGE Energy                    </v>
          </cell>
          <cell r="D44">
            <v>38</v>
          </cell>
          <cell r="E44">
            <v>39</v>
          </cell>
          <cell r="F44">
            <v>0</v>
          </cell>
          <cell r="G44">
            <v>5.7933544000766064E-2</v>
          </cell>
          <cell r="H44">
            <v>5.8244627435227951E-2</v>
          </cell>
          <cell r="I44">
            <v>5.8359621451104106E-2</v>
          </cell>
          <cell r="J44">
            <v>6.0071861666292387E-2</v>
          </cell>
          <cell r="K44">
            <v>6.2230732407850646E-2</v>
          </cell>
          <cell r="L44">
            <v>6.3624921334172427E-2</v>
          </cell>
          <cell r="M44">
            <v>6.5570522979397777E-2</v>
          </cell>
          <cell r="N44">
            <v>6.7228632626269602E-2</v>
          </cell>
          <cell r="O44">
            <v>6.8688029889351923E-2</v>
          </cell>
          <cell r="P44">
            <v>7.2363356428021552E-2</v>
          </cell>
          <cell r="Q44">
            <v>7.7709782882052145E-2</v>
          </cell>
        </row>
        <row r="45">
          <cell r="B45" t="str">
            <v>MSEX</v>
          </cell>
          <cell r="C45" t="str">
            <v>Middlesex Water</v>
          </cell>
          <cell r="D45">
            <v>39</v>
          </cell>
          <cell r="E45">
            <v>40</v>
          </cell>
          <cell r="F45">
            <v>0</v>
          </cell>
          <cell r="G45">
            <v>6.0280513279618031E-2</v>
          </cell>
          <cell r="H45">
            <v>6.0915299474056044E-2</v>
          </cell>
          <cell r="I45">
            <v>6.2356979405034325E-2</v>
          </cell>
          <cell r="J45">
            <v>6.3684032476319347E-2</v>
          </cell>
          <cell r="K45">
            <v>6.4698711250435387E-2</v>
          </cell>
          <cell r="L45">
            <v>6.5039929015084291E-2</v>
          </cell>
          <cell r="M45">
            <v>6.494789795185052E-2</v>
          </cell>
          <cell r="N45">
            <v>6.9028947623196821E-2</v>
          </cell>
          <cell r="O45">
            <v>7.0096719513411107E-2</v>
          </cell>
          <cell r="P45">
            <v>6.8927789934354472E-2</v>
          </cell>
          <cell r="Q45">
            <v>7.1728628439403488E-2</v>
          </cell>
        </row>
        <row r="46">
          <cell r="B46" t="str">
            <v>NJR</v>
          </cell>
          <cell r="C46" t="str">
            <v>New Jersey Resources</v>
          </cell>
          <cell r="D46">
            <v>40</v>
          </cell>
          <cell r="E46">
            <v>41</v>
          </cell>
          <cell r="F46">
            <v>0</v>
          </cell>
          <cell r="G46">
            <v>7.2149009791651328E-2</v>
          </cell>
          <cell r="H46">
            <v>7.1565986918045416E-2</v>
          </cell>
          <cell r="I46">
            <v>7.4509803921568626E-2</v>
          </cell>
          <cell r="J46">
            <v>7.6049197258473394E-2</v>
          </cell>
          <cell r="K46">
            <v>7.8579446882334938E-2</v>
          </cell>
          <cell r="L46">
            <v>7.6882007474639608E-2</v>
          </cell>
          <cell r="M46">
            <v>7.7185017026106695E-2</v>
          </cell>
          <cell r="N46">
            <v>7.4761847341131074E-2</v>
          </cell>
          <cell r="O46">
            <v>6.4221245082156916E-2</v>
          </cell>
          <cell r="P46">
            <v>6.5436241610738258E-2</v>
          </cell>
          <cell r="Q46">
            <v>6.3991467804292754E-2</v>
          </cell>
        </row>
        <row r="47">
          <cell r="B47" t="str">
            <v>NEE</v>
          </cell>
          <cell r="C47" t="str">
            <v>NextEra Energy, Inc.</v>
          </cell>
          <cell r="D47">
            <v>41</v>
          </cell>
          <cell r="E47">
            <v>42</v>
          </cell>
          <cell r="F47">
            <v>0</v>
          </cell>
          <cell r="G47">
            <v>6.6908923112418528E-2</v>
          </cell>
          <cell r="H47">
            <v>6.2899503747421731E-2</v>
          </cell>
          <cell r="I47">
            <v>6.4506083590986946E-2</v>
          </cell>
          <cell r="J47">
            <v>6.3658942393479787E-2</v>
          </cell>
          <cell r="K47">
            <v>6.333122229259025E-2</v>
          </cell>
          <cell r="L47">
            <v>6.1245510982433679E-2</v>
          </cell>
          <cell r="M47">
            <v>5.8207217694994179E-2</v>
          </cell>
          <cell r="N47">
            <v>6.028708133971291E-2</v>
          </cell>
          <cell r="O47">
            <v>6.23118392494574E-2</v>
          </cell>
          <cell r="P47">
            <v>6.2229642559004324E-2</v>
          </cell>
          <cell r="Q47">
            <v>6.1239487221360335E-2</v>
          </cell>
        </row>
        <row r="48">
          <cell r="B48" t="str">
            <v>NI</v>
          </cell>
          <cell r="C48" t="str">
            <v xml:space="preserve">NiSource Inc.                 </v>
          </cell>
          <cell r="D48">
            <v>42</v>
          </cell>
          <cell r="E48">
            <v>43</v>
          </cell>
          <cell r="F48">
            <v>0</v>
          </cell>
          <cell r="G48">
            <v>5.0801714557866327E-2</v>
          </cell>
          <cell r="H48">
            <v>6.8913982065758883E-2</v>
          </cell>
          <cell r="I48">
            <v>5.2200614124872063E-2</v>
          </cell>
          <cell r="J48">
            <v>5.2219321148825062E-2</v>
          </cell>
          <cell r="K48">
            <v>5.2511032903189765E-2</v>
          </cell>
          <cell r="L48">
            <v>5.1948051948051945E-2</v>
          </cell>
          <cell r="M48">
            <v>5.2192658989050893E-2</v>
          </cell>
          <cell r="N48">
            <v>5.2460512060215549E-2</v>
          </cell>
          <cell r="O48">
            <v>5.3358079109152072E-2</v>
          </cell>
          <cell r="P48">
            <v>4.9686757399006271E-2</v>
          </cell>
          <cell r="Q48">
            <v>5.0215599585175477E-2</v>
          </cell>
        </row>
        <row r="49">
          <cell r="B49" t="str">
            <v>NWN</v>
          </cell>
          <cell r="C49" t="str">
            <v>Northwest Nat. Gas</v>
          </cell>
          <cell r="D49">
            <v>43</v>
          </cell>
          <cell r="E49">
            <v>44</v>
          </cell>
          <cell r="F49">
            <v>0</v>
          </cell>
          <cell r="G49">
            <v>6.2950245741601032E-2</v>
          </cell>
          <cell r="H49">
            <v>6.5320456540825286E-2</v>
          </cell>
          <cell r="I49">
            <v>6.5782455641290052E-2</v>
          </cell>
          <cell r="J49">
            <v>6.5898451566438601E-2</v>
          </cell>
          <cell r="K49">
            <v>6.5729078691293658E-2</v>
          </cell>
          <cell r="L49">
            <v>6.5533253445176756E-2</v>
          </cell>
          <cell r="M49">
            <v>6.4417177914110432E-2</v>
          </cell>
          <cell r="N49">
            <v>6.4311266530005226E-2</v>
          </cell>
          <cell r="O49">
            <v>6.4105267597317703E-2</v>
          </cell>
          <cell r="P49">
            <v>6.3937483349613716E-2</v>
          </cell>
          <cell r="Q49">
            <v>6.3150243060288033E-2</v>
          </cell>
        </row>
        <row r="50">
          <cell r="B50" t="str">
            <v>NWE</v>
          </cell>
          <cell r="C50" t="str">
            <v xml:space="preserve">NorthWestern Corp             </v>
          </cell>
          <cell r="D50">
            <v>44</v>
          </cell>
          <cell r="E50">
            <v>45</v>
          </cell>
          <cell r="F50">
            <v>0</v>
          </cell>
          <cell r="G50">
            <v>5.7666801222536181E-2</v>
          </cell>
          <cell r="H50">
            <v>5.7799987958335831E-2</v>
          </cell>
          <cell r="I50">
            <v>5.0795263341693389E-2</v>
          </cell>
          <cell r="J50">
            <v>5.7140708995902414E-2</v>
          </cell>
          <cell r="K50">
            <v>5.8978241810791421E-2</v>
          </cell>
          <cell r="L50">
            <v>6.0808242895148003E-2</v>
          </cell>
          <cell r="M50">
            <v>6.0062712538091242E-2</v>
          </cell>
          <cell r="N50">
            <v>6.1299176578225076E-2</v>
          </cell>
          <cell r="O50">
            <v>6.2114724012987621E-2</v>
          </cell>
          <cell r="P50">
            <v>6.0608930347080828E-2</v>
          </cell>
          <cell r="Q50">
            <v>6.0045518376834049E-2</v>
          </cell>
        </row>
        <row r="51">
          <cell r="B51" t="str">
            <v>OGE</v>
          </cell>
          <cell r="C51" t="str">
            <v xml:space="preserve">OGE Energy                    </v>
          </cell>
          <cell r="D51">
            <v>45</v>
          </cell>
          <cell r="E51">
            <v>46</v>
          </cell>
          <cell r="F51">
            <v>0</v>
          </cell>
          <cell r="G51">
            <v>6.6975935053638733E-2</v>
          </cell>
          <cell r="H51">
            <v>6.3044130891624139E-2</v>
          </cell>
          <cell r="I51">
            <v>5.8386085673898344E-2</v>
          </cell>
          <cell r="J51">
            <v>5.5620915032679734E-2</v>
          </cell>
          <cell r="K51">
            <v>5.698371893744645E-2</v>
          </cell>
          <cell r="L51">
            <v>5.8094144661308841E-2</v>
          </cell>
          <cell r="M51">
            <v>6.2404092071611253E-2</v>
          </cell>
          <cell r="N51">
            <v>6.7870722433460082E-2</v>
          </cell>
          <cell r="O51">
            <v>6.8914522330671385E-2</v>
          </cell>
          <cell r="P51">
            <v>7.4713271436373574E-2</v>
          </cell>
          <cell r="Q51">
            <v>7.6083248038212231E-2</v>
          </cell>
        </row>
        <row r="52">
          <cell r="B52" t="str">
            <v>OGS</v>
          </cell>
          <cell r="C52" t="str">
            <v>ONE Gas Inc.</v>
          </cell>
          <cell r="D52">
            <v>46</v>
          </cell>
          <cell r="E52">
            <v>47</v>
          </cell>
          <cell r="F52">
            <v>0</v>
          </cell>
          <cell r="G52">
            <v>3.8762909433230887E-2</v>
          </cell>
          <cell r="H52">
            <v>3.4053179715655954E-2</v>
          </cell>
          <cell r="I52">
            <v>2.4386703440267093E-2</v>
          </cell>
          <cell r="J52" t="str">
            <v>N/A</v>
          </cell>
          <cell r="K52" t="str">
            <v>N/A</v>
          </cell>
          <cell r="L52" t="str">
            <v>N/A</v>
          </cell>
          <cell r="M52" t="str">
            <v>N/A</v>
          </cell>
          <cell r="N52" t="str">
            <v>N/A</v>
          </cell>
          <cell r="O52" t="str">
            <v>N/A</v>
          </cell>
          <cell r="P52" t="str">
            <v>N/A</v>
          </cell>
          <cell r="Q52" t="str">
            <v>N/A</v>
          </cell>
        </row>
        <row r="53">
          <cell r="B53" t="str">
            <v>OTTR</v>
          </cell>
          <cell r="C53" t="str">
            <v xml:space="preserve">Otter Tail Corp.              </v>
          </cell>
          <cell r="D53">
            <v>47</v>
          </cell>
          <cell r="E53">
            <v>48</v>
          </cell>
          <cell r="F53">
            <v>0</v>
          </cell>
          <cell r="G53">
            <v>7.3399882560187896E-2</v>
          </cell>
          <cell r="H53">
            <v>7.6961581779501936E-2</v>
          </cell>
          <cell r="I53">
            <v>7.8627591136526093E-2</v>
          </cell>
          <cell r="J53">
            <v>8.0705323838589346E-2</v>
          </cell>
          <cell r="K53">
            <v>8.2455654101995554E-2</v>
          </cell>
          <cell r="L53">
            <v>7.5178469897024439E-2</v>
          </cell>
          <cell r="M53">
            <v>6.7748363222317101E-2</v>
          </cell>
          <cell r="N53">
            <v>6.3348416289592757E-2</v>
          </cell>
          <cell r="O53">
            <v>6.2176707246982599E-2</v>
          </cell>
          <cell r="P53">
            <v>6.6662868212637463E-2</v>
          </cell>
          <cell r="Q53">
            <v>6.8998620027599433E-2</v>
          </cell>
        </row>
        <row r="54">
          <cell r="B54" t="str">
            <v>POM</v>
          </cell>
          <cell r="C54" t="str">
            <v xml:space="preserve">Pepco Holdings                </v>
          </cell>
          <cell r="D54" t="e">
            <v>#N/A</v>
          </cell>
          <cell r="E54" t="e">
            <v>#N/A</v>
          </cell>
          <cell r="F54">
            <v>0</v>
          </cell>
          <cell r="G54" t="str">
            <v>N/A</v>
          </cell>
          <cell r="H54" t="str">
            <v>N/A</v>
          </cell>
          <cell r="I54" t="str">
            <v>N/A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</row>
        <row r="55">
          <cell r="B55" t="str">
            <v>PCG</v>
          </cell>
          <cell r="C55" t="str">
            <v xml:space="preserve">PG&amp;E Corp.                    </v>
          </cell>
          <cell r="D55">
            <v>48</v>
          </cell>
          <cell r="E55">
            <v>49</v>
          </cell>
          <cell r="F55">
            <v>0</v>
          </cell>
          <cell r="G55">
            <v>5.4390822784810125E-2</v>
          </cell>
          <cell r="H55">
            <v>5.4023568523850519E-2</v>
          </cell>
          <cell r="I55">
            <v>5.5001511030522809E-2</v>
          </cell>
          <cell r="J55">
            <v>5.7950710055403427E-2</v>
          </cell>
          <cell r="K55">
            <v>5.9959148711866646E-2</v>
          </cell>
          <cell r="L55">
            <v>6.2003883759751986E-2</v>
          </cell>
          <cell r="M55">
            <v>6.3756743501716534E-2</v>
          </cell>
          <cell r="N55">
            <v>6.0253927264902085E-2</v>
          </cell>
          <cell r="O55">
            <v>6.0066997805244313E-2</v>
          </cell>
          <cell r="P55">
            <v>5.9553349875930521E-2</v>
          </cell>
          <cell r="Q55">
            <v>5.8831394571466772E-2</v>
          </cell>
        </row>
        <row r="56">
          <cell r="B56" t="str">
            <v>PNW</v>
          </cell>
          <cell r="C56" t="str">
            <v xml:space="preserve">Pinnacle West Capital         </v>
          </cell>
          <cell r="D56">
            <v>49</v>
          </cell>
          <cell r="E56">
            <v>50</v>
          </cell>
          <cell r="F56">
            <v>0</v>
          </cell>
          <cell r="G56">
            <v>5.9334801251593461E-2</v>
          </cell>
          <cell r="H56">
            <v>5.9074181677319385E-2</v>
          </cell>
          <cell r="I56">
            <v>5.8862249677207018E-2</v>
          </cell>
          <cell r="J56">
            <v>5.8446505030339643E-2</v>
          </cell>
          <cell r="K56">
            <v>7.3754868650037289E-2</v>
          </cell>
          <cell r="L56">
            <v>6.0027441115938718E-2</v>
          </cell>
          <cell r="M56">
            <v>6.2012756909992924E-2</v>
          </cell>
          <cell r="N56">
            <v>6.4235898690811213E-2</v>
          </cell>
          <cell r="O56">
            <v>6.1482609204824928E-2</v>
          </cell>
          <cell r="P56">
            <v>5.9752454118651301E-2</v>
          </cell>
          <cell r="Q56">
            <v>5.8738216098622183E-2</v>
          </cell>
        </row>
        <row r="57">
          <cell r="B57" t="str">
            <v>PNM</v>
          </cell>
          <cell r="C57" t="str">
            <v xml:space="preserve">PNM Resources                 </v>
          </cell>
          <cell r="D57">
            <v>50</v>
          </cell>
          <cell r="E57">
            <v>51</v>
          </cell>
          <cell r="F57">
            <v>0</v>
          </cell>
          <cell r="G57">
            <v>4.1825095057034224E-2</v>
          </cell>
          <cell r="H57">
            <v>3.8507821901323708E-2</v>
          </cell>
          <cell r="I57">
            <v>3.3718904917154215E-2</v>
          </cell>
          <cell r="J57">
            <v>3.2588900603853159E-2</v>
          </cell>
          <cell r="K57">
            <v>2.893489648291344E-2</v>
          </cell>
          <cell r="L57">
            <v>2.5489396411092987E-2</v>
          </cell>
          <cell r="M57">
            <v>2.8413934193328407E-2</v>
          </cell>
          <cell r="N57">
            <v>2.6453626792233214E-2</v>
          </cell>
          <cell r="O57">
            <v>3.2022442174350289E-2</v>
          </cell>
          <cell r="P57">
            <v>4.1303558460421205E-2</v>
          </cell>
          <cell r="Q57">
            <v>3.8928118776027525E-2</v>
          </cell>
        </row>
        <row r="58">
          <cell r="B58" t="str">
            <v>POR</v>
          </cell>
          <cell r="C58" t="str">
            <v xml:space="preserve">Portland General              </v>
          </cell>
          <cell r="D58">
            <v>51</v>
          </cell>
          <cell r="E58">
            <v>52</v>
          </cell>
          <cell r="F58">
            <v>0</v>
          </cell>
          <cell r="G58">
            <v>4.7812393275907861E-2</v>
          </cell>
          <cell r="H58">
            <v>4.640188753440818E-2</v>
          </cell>
          <cell r="I58">
            <v>4.5644342557720645E-2</v>
          </cell>
          <cell r="J58">
            <v>4.7005795235028972E-2</v>
          </cell>
          <cell r="K58">
            <v>4.7004809794490593E-2</v>
          </cell>
          <cell r="L58">
            <v>4.7808945484207187E-2</v>
          </cell>
          <cell r="M58">
            <v>4.8966267682263323E-2</v>
          </cell>
          <cell r="N58">
            <v>4.9263486489123015E-2</v>
          </cell>
          <cell r="O58">
            <v>4.4828542379147789E-2</v>
          </cell>
          <cell r="P58">
            <v>4.4188919509645541E-2</v>
          </cell>
          <cell r="Q58">
            <v>3.4468671807179704E-2</v>
          </cell>
        </row>
        <row r="59">
          <cell r="B59" t="str">
            <v>PPL</v>
          </cell>
          <cell r="C59" t="str">
            <v xml:space="preserve">PPL Corp.                     </v>
          </cell>
          <cell r="D59">
            <v>52</v>
          </cell>
          <cell r="E59">
            <v>53</v>
          </cell>
          <cell r="F59">
            <v>0</v>
          </cell>
          <cell r="G59">
            <v>0.10437409874339078</v>
          </cell>
          <cell r="H59">
            <v>0.10190217391304347</v>
          </cell>
          <cell r="I59">
            <v>7.2800117261933847E-2</v>
          </cell>
          <cell r="J59">
            <v>7.4328765737978461E-2</v>
          </cell>
          <cell r="K59">
            <v>7.9960019990004988E-2</v>
          </cell>
          <cell r="L59">
            <v>7.4786324786324784E-2</v>
          </cell>
          <cell r="M59">
            <v>8.2430522845030607E-2</v>
          </cell>
          <cell r="N59">
            <v>9.4708667901997112E-2</v>
          </cell>
          <cell r="O59">
            <v>9.8863804043086909E-2</v>
          </cell>
          <cell r="P59">
            <v>8.1961706415854887E-2</v>
          </cell>
          <cell r="Q59">
            <v>8.2688115462677597E-2</v>
          </cell>
        </row>
        <row r="60">
          <cell r="B60" t="str">
            <v>PEG</v>
          </cell>
          <cell r="C60" t="str">
            <v xml:space="preserve">Public Serv. Enterprise       </v>
          </cell>
          <cell r="D60">
            <v>53</v>
          </cell>
          <cell r="E60">
            <v>54</v>
          </cell>
          <cell r="F60">
            <v>0</v>
          </cell>
          <cell r="G60">
            <v>6.3059945399315559E-2</v>
          </cell>
          <cell r="H60">
            <v>6.0327158822846977E-2</v>
          </cell>
          <cell r="I60">
            <v>6.1438831001702027E-2</v>
          </cell>
          <cell r="J60">
            <v>6.2753301085109167E-2</v>
          </cell>
          <cell r="K60">
            <v>6.6638509549955413E-2</v>
          </cell>
          <cell r="L60">
            <v>6.7491009409330519E-2</v>
          </cell>
          <cell r="M60">
            <v>7.1957560796260311E-2</v>
          </cell>
          <cell r="N60">
            <v>7.6577614002763708E-2</v>
          </cell>
          <cell r="O60">
            <v>8.40007814026177E-2</v>
          </cell>
          <cell r="P60">
            <v>8.1516059360412452E-2</v>
          </cell>
          <cell r="Q60">
            <v>8.5374073241968093E-2</v>
          </cell>
        </row>
        <row r="61">
          <cell r="B61" t="str">
            <v>SCG</v>
          </cell>
          <cell r="C61" t="str">
            <v xml:space="preserve">SCANA Corp.                   </v>
          </cell>
          <cell r="D61">
            <v>55</v>
          </cell>
          <cell r="E61">
            <v>56</v>
          </cell>
          <cell r="F61">
            <v>0</v>
          </cell>
          <cell r="G61">
            <v>5.7409579911639162E-2</v>
          </cell>
          <cell r="H61">
            <v>5.7232869519558936E-2</v>
          </cell>
          <cell r="I61">
            <v>6.0090994935187568E-2</v>
          </cell>
          <cell r="J61">
            <v>6.1370094927141898E-2</v>
          </cell>
          <cell r="K61">
            <v>6.2923062255696452E-2</v>
          </cell>
          <cell r="L61">
            <v>6.4789767224393002E-2</v>
          </cell>
          <cell r="M61">
            <v>6.5408978242908297E-2</v>
          </cell>
          <cell r="N61">
            <v>6.8039520828055436E-2</v>
          </cell>
          <cell r="O61">
            <v>7.117162418288013E-2</v>
          </cell>
          <cell r="P61">
            <v>6.9367807031373172E-2</v>
          </cell>
          <cell r="Q61">
            <v>6.886657101865136E-2</v>
          </cell>
        </row>
        <row r="62">
          <cell r="B62" t="str">
            <v>SRE</v>
          </cell>
          <cell r="C62" t="str">
            <v xml:space="preserve">Sempra Energy                 </v>
          </cell>
          <cell r="D62">
            <v>56</v>
          </cell>
          <cell r="E62">
            <v>57</v>
          </cell>
          <cell r="F62">
            <v>0</v>
          </cell>
          <cell r="G62">
            <v>5.8332689484663525E-2</v>
          </cell>
          <cell r="H62">
            <v>5.8873002523128673E-2</v>
          </cell>
          <cell r="I62">
            <v>5.741751669240306E-2</v>
          </cell>
          <cell r="J62">
            <v>5.5962691538974013E-2</v>
          </cell>
          <cell r="K62">
            <v>5.6573085354642526E-2</v>
          </cell>
          <cell r="L62">
            <v>4.6825842011560127E-2</v>
          </cell>
          <cell r="M62">
            <v>4.1552353301547558E-2</v>
          </cell>
          <cell r="N62">
            <v>4.2695276150856651E-2</v>
          </cell>
          <cell r="O62">
            <v>4.1830783792861294E-2</v>
          </cell>
          <cell r="P62">
            <v>3.8908064010040787E-2</v>
          </cell>
          <cell r="Q62">
            <v>4.1876046901172533E-2</v>
          </cell>
        </row>
        <row r="63">
          <cell r="B63" t="str">
            <v>SRP</v>
          </cell>
          <cell r="C63" t="str">
            <v xml:space="preserve">Sierra Pacific Res.           </v>
          </cell>
          <cell r="D63" t="e">
            <v>#N/A</v>
          </cell>
          <cell r="E63" t="e">
            <v>#N/A</v>
          </cell>
          <cell r="F63">
            <v>0</v>
          </cell>
          <cell r="G63" t="str">
            <v>N/A</v>
          </cell>
          <cell r="H63" t="str">
            <v>N/A</v>
          </cell>
          <cell r="I63" t="str">
            <v>N/A</v>
          </cell>
          <cell r="J63" t="str">
            <v>N/A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N/A</v>
          </cell>
          <cell r="Q63" t="str">
            <v>N/A</v>
          </cell>
        </row>
        <row r="64">
          <cell r="B64" t="str">
            <v>SJW</v>
          </cell>
          <cell r="C64" t="str">
            <v>SJW Corp.</v>
          </cell>
          <cell r="D64">
            <v>57</v>
          </cell>
          <cell r="E64">
            <v>58</v>
          </cell>
          <cell r="F64">
            <v>0</v>
          </cell>
          <cell r="G64">
            <v>3.9297496603920054E-2</v>
          </cell>
          <cell r="H64">
            <v>4.142326075411578E-2</v>
          </cell>
          <cell r="I64">
            <v>4.2246380893370135E-2</v>
          </cell>
          <cell r="J64">
            <v>4.5842753077116299E-2</v>
          </cell>
          <cell r="K64">
            <v>4.8273048680989937E-2</v>
          </cell>
          <cell r="L64">
            <v>4.8594971476864562E-2</v>
          </cell>
          <cell r="M64">
            <v>4.9465337891903695E-2</v>
          </cell>
          <cell r="N64">
            <v>4.8309178743961352E-2</v>
          </cell>
          <cell r="O64">
            <v>4.6094475809333235E-2</v>
          </cell>
          <cell r="P64">
            <v>4.6884686918784869E-2</v>
          </cell>
          <cell r="Q64">
            <v>4.5268808589055361E-2</v>
          </cell>
        </row>
        <row r="65">
          <cell r="B65" t="str">
            <v>SJI</v>
          </cell>
          <cell r="C65" t="str">
            <v>South Jersey Inds.</v>
          </cell>
          <cell r="D65">
            <v>58</v>
          </cell>
          <cell r="E65">
            <v>59</v>
          </cell>
          <cell r="F65">
            <v>0</v>
          </cell>
          <cell r="G65">
            <v>6.534738918685655E-2</v>
          </cell>
          <cell r="H65">
            <v>6.9767441860465115E-2</v>
          </cell>
          <cell r="I65">
            <v>7.0355441553682674E-2</v>
          </cell>
          <cell r="J65">
            <v>7.1208165202943277E-2</v>
          </cell>
          <cell r="K65">
            <v>7.0943331326855277E-2</v>
          </cell>
          <cell r="L65">
            <v>7.2611094975312221E-2</v>
          </cell>
          <cell r="M65">
            <v>7.1263885977782437E-2</v>
          </cell>
          <cell r="N65">
            <v>6.6871300153475116E-2</v>
          </cell>
          <cell r="O65">
            <v>6.4043387952919459E-2</v>
          </cell>
          <cell r="P65">
            <v>6.21614967996061E-2</v>
          </cell>
          <cell r="Q65">
            <v>6.0894890124437384E-2</v>
          </cell>
        </row>
        <row r="66">
          <cell r="B66" t="str">
            <v>SO</v>
          </cell>
          <cell r="C66" t="str">
            <v xml:space="preserve">Southern Co.                  </v>
          </cell>
          <cell r="D66">
            <v>59</v>
          </cell>
          <cell r="E66">
            <v>60</v>
          </cell>
          <cell r="F66">
            <v>0</v>
          </cell>
          <cell r="G66">
            <v>8.8927114169133528E-2</v>
          </cell>
          <cell r="H66">
            <v>9.5324537324006031E-2</v>
          </cell>
          <cell r="I66">
            <v>9.4785220240262119E-2</v>
          </cell>
          <cell r="J66">
            <v>9.394688943855882E-2</v>
          </cell>
          <cell r="K66">
            <v>9.2150818117144886E-2</v>
          </cell>
          <cell r="L66">
            <v>9.2184270105325317E-2</v>
          </cell>
          <cell r="M66">
            <v>9.3847595252966889E-2</v>
          </cell>
          <cell r="N66">
            <v>9.5471573380343761E-2</v>
          </cell>
          <cell r="O66">
            <v>9.7353939819693244E-2</v>
          </cell>
          <cell r="P66">
            <v>9.8274799753542821E-2</v>
          </cell>
          <cell r="Q66">
            <v>0.10074161580363589</v>
          </cell>
        </row>
        <row r="67">
          <cell r="B67" t="str">
            <v>SWX</v>
          </cell>
          <cell r="C67" t="str">
            <v>Southwest Gas</v>
          </cell>
          <cell r="D67">
            <v>60</v>
          </cell>
          <cell r="E67">
            <v>61</v>
          </cell>
          <cell r="F67">
            <v>0</v>
          </cell>
          <cell r="G67">
            <v>5.1378660729576982E-2</v>
          </cell>
          <cell r="H67">
            <v>4.8201374631795059E-2</v>
          </cell>
          <cell r="I67">
            <v>4.5700691770745296E-2</v>
          </cell>
          <cell r="J67">
            <v>4.3324143363528952E-2</v>
          </cell>
          <cell r="K67">
            <v>4.1615235408217245E-2</v>
          </cell>
          <cell r="L67">
            <v>3.9764414600292605E-2</v>
          </cell>
          <cell r="M67">
            <v>3.9039625219597897E-2</v>
          </cell>
          <cell r="N67">
            <v>3.8869113375066489E-2</v>
          </cell>
          <cell r="O67">
            <v>3.8322333404300621E-2</v>
          </cell>
          <cell r="P67">
            <v>3.7423846823324627E-2</v>
          </cell>
          <cell r="Q67">
            <v>3.7996385709652004E-2</v>
          </cell>
        </row>
        <row r="68">
          <cell r="B68" t="str">
            <v>SR</v>
          </cell>
          <cell r="C68" t="str">
            <v>Spire Inc.</v>
          </cell>
          <cell r="D68">
            <v>61</v>
          </cell>
          <cell r="E68">
            <v>62</v>
          </cell>
          <cell r="F68">
            <v>0</v>
          </cell>
          <cell r="G68">
            <v>5.0602845119149052E-2</v>
          </cell>
          <cell r="H68">
            <v>5.0694291381970472E-2</v>
          </cell>
          <cell r="I68">
            <v>5.0386487260234758E-2</v>
          </cell>
          <cell r="J68">
            <v>5.3126660208131504E-2</v>
          </cell>
          <cell r="K68">
            <v>6.2232885956361998E-2</v>
          </cell>
          <cell r="L68">
            <v>6.2989045383411588E-2</v>
          </cell>
          <cell r="M68">
            <v>6.5348595213319469E-2</v>
          </cell>
          <cell r="N68">
            <v>6.560048021266561E-2</v>
          </cell>
          <cell r="O68">
            <v>6.7362900673629003E-2</v>
          </cell>
          <cell r="P68">
            <v>7.3276733373761879E-2</v>
          </cell>
          <cell r="Q68">
            <v>7.4274497320812774E-2</v>
          </cell>
        </row>
        <row r="69">
          <cell r="B69" t="str">
            <v>TE</v>
          </cell>
          <cell r="C69" t="str">
            <v xml:space="preserve">TECO Energy                   </v>
          </cell>
          <cell r="D69" t="e">
            <v>#N/A</v>
          </cell>
          <cell r="E69" t="e">
            <v>#N/A</v>
          </cell>
          <cell r="F69">
            <v>0</v>
          </cell>
          <cell r="G69" t="str">
            <v>N/A</v>
          </cell>
          <cell r="H69" t="str">
            <v>N/A</v>
          </cell>
          <cell r="I69" t="str">
            <v>N/A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</row>
        <row r="70">
          <cell r="B70" t="str">
            <v>UGI</v>
          </cell>
          <cell r="C70" t="str">
            <v>UGI Corp.</v>
          </cell>
          <cell r="D70">
            <v>63</v>
          </cell>
          <cell r="E70">
            <v>64</v>
          </cell>
          <cell r="F70">
            <v>0</v>
          </cell>
          <cell r="G70">
            <v>5.6483449741876711E-2</v>
          </cell>
          <cell r="H70">
            <v>5.7234726688102894E-2</v>
          </cell>
          <cell r="I70">
            <v>5.1383655969858388E-2</v>
          </cell>
          <cell r="J70">
            <v>5.0733580145344848E-2</v>
          </cell>
          <cell r="K70">
            <v>5.3524112347641761E-2</v>
          </cell>
          <cell r="L70">
            <v>5.7680888964288753E-2</v>
          </cell>
          <cell r="M70">
            <v>5.4058924227407872E-2</v>
          </cell>
          <cell r="N70">
            <v>5.3498363338788872E-2</v>
          </cell>
          <cell r="O70">
            <v>5.7159090909090902E-2</v>
          </cell>
          <cell r="P70">
            <v>5.8211303400701922E-2</v>
          </cell>
          <cell r="Q70">
            <v>6.5448791714614499E-2</v>
          </cell>
        </row>
        <row r="71">
          <cell r="B71" t="str">
            <v>UIL</v>
          </cell>
          <cell r="C71" t="str">
            <v xml:space="preserve">UIL Holdings    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</row>
        <row r="72">
          <cell r="B72" t="str">
            <v>UNS</v>
          </cell>
          <cell r="C72" t="str">
            <v xml:space="preserve">UniSource Energy              </v>
          </cell>
          <cell r="D72" t="e">
            <v>#N/A</v>
          </cell>
          <cell r="E72" t="e">
            <v>#N/A</v>
          </cell>
          <cell r="F72">
            <v>0</v>
          </cell>
          <cell r="G72" t="str">
            <v>N/A</v>
          </cell>
          <cell r="H72" t="str">
            <v>N/A</v>
          </cell>
          <cell r="I72" t="str">
            <v>N/A</v>
          </cell>
          <cell r="J72" t="str">
            <v>N/A</v>
          </cell>
          <cell r="K72" t="str">
            <v>N/A</v>
          </cell>
          <cell r="L72" t="str">
            <v>N/A</v>
          </cell>
          <cell r="M72" t="str">
            <v>N/A</v>
          </cell>
          <cell r="N72" t="str">
            <v>N/A</v>
          </cell>
          <cell r="O72" t="str">
            <v>N/A</v>
          </cell>
          <cell r="P72" t="str">
            <v>N/A</v>
          </cell>
          <cell r="Q72" t="str">
            <v>N/A</v>
          </cell>
        </row>
        <row r="73">
          <cell r="B73" t="str">
            <v>UTL</v>
          </cell>
          <cell r="C73" t="str">
            <v xml:space="preserve">UNITIL Corp.                  </v>
          </cell>
          <cell r="D73">
            <v>64</v>
          </cell>
          <cell r="E73">
            <v>65</v>
          </cell>
          <cell r="F73">
            <v>0</v>
          </cell>
          <cell r="G73">
            <v>6.8187274909963985E-2</v>
          </cell>
          <cell r="H73">
            <v>6.9310361899103903E-2</v>
          </cell>
          <cell r="I73">
            <v>7.0573248407643313E-2</v>
          </cell>
          <cell r="J73">
            <v>7.2081483416035513E-2</v>
          </cell>
          <cell r="K73">
            <v>7.3031329381879756E-2</v>
          </cell>
          <cell r="L73">
            <v>7.8857142857142848E-2</v>
          </cell>
          <cell r="M73">
            <v>7.9515989628349174E-2</v>
          </cell>
          <cell r="N73">
            <v>7.7445423424434584E-2</v>
          </cell>
          <cell r="O73">
            <v>7.7077747989276135E-2</v>
          </cell>
          <cell r="P73">
            <v>7.8897718826825225E-2</v>
          </cell>
          <cell r="Q73">
            <v>7.9745738225946258E-2</v>
          </cell>
        </row>
        <row r="74">
          <cell r="B74" t="str">
            <v>VVC</v>
          </cell>
          <cell r="C74" t="str">
            <v xml:space="preserve">Vectren Corp.                 </v>
          </cell>
          <cell r="D74">
            <v>65</v>
          </cell>
          <cell r="E74">
            <v>66</v>
          </cell>
          <cell r="F74">
            <v>0</v>
          </cell>
          <cell r="G74">
            <v>7.5956489122280577E-2</v>
          </cell>
          <cell r="H74">
            <v>7.5727773406766327E-2</v>
          </cell>
          <cell r="I74">
            <v>7.5064267352185091E-2</v>
          </cell>
          <cell r="J74">
            <v>7.5544717171181677E-2</v>
          </cell>
          <cell r="K74">
            <v>7.5675966821070778E-2</v>
          </cell>
          <cell r="L74">
            <v>7.7400245892477931E-2</v>
          </cell>
          <cell r="M74">
            <v>7.7787871905518974E-2</v>
          </cell>
          <cell r="N74">
            <v>7.8360807986997905E-2</v>
          </cell>
          <cell r="O74">
            <v>7.8532462082608959E-2</v>
          </cell>
          <cell r="P74">
            <v>7.8603701182150154E-2</v>
          </cell>
          <cell r="Q74">
            <v>7.9714841218405705E-2</v>
          </cell>
        </row>
        <row r="75">
          <cell r="B75" t="str">
            <v>WEC</v>
          </cell>
          <cell r="C75" t="str">
            <v>WEC Energy Group</v>
          </cell>
          <cell r="D75">
            <v>66</v>
          </cell>
          <cell r="E75">
            <v>67</v>
          </cell>
          <cell r="F75">
            <v>0</v>
          </cell>
          <cell r="G75">
            <v>6.9981974339942743E-2</v>
          </cell>
          <cell r="H75">
            <v>6.3466588853224398E-2</v>
          </cell>
          <cell r="I75">
            <v>7.9599959179508115E-2</v>
          </cell>
          <cell r="J75">
            <v>7.7136603854161101E-2</v>
          </cell>
          <cell r="K75">
            <v>6.6467264872050513E-2</v>
          </cell>
          <cell r="L75">
            <v>6.0482698458854317E-2</v>
          </cell>
          <cell r="M75">
            <v>4.9188391539596657E-2</v>
          </cell>
          <cell r="N75">
            <v>4.4247787610619468E-2</v>
          </cell>
          <cell r="O75">
            <v>3.7841625788367209E-2</v>
          </cell>
          <cell r="P75">
            <v>3.7733001282922042E-2</v>
          </cell>
          <cell r="Q75">
            <v>3.7249979755445785E-2</v>
          </cell>
        </row>
        <row r="76">
          <cell r="B76" t="str">
            <v>WR</v>
          </cell>
          <cell r="C76" t="str">
            <v xml:space="preserve">Westar Energy                 </v>
          </cell>
          <cell r="D76">
            <v>67</v>
          </cell>
          <cell r="E76">
            <v>68</v>
          </cell>
          <cell r="F76">
            <v>0</v>
          </cell>
          <cell r="G76">
            <v>5.662978279497783E-2</v>
          </cell>
          <cell r="H76">
            <v>5.5665081758088833E-2</v>
          </cell>
          <cell r="I76">
            <v>5.5955235811350916E-2</v>
          </cell>
          <cell r="J76">
            <v>5.6953808785962561E-2</v>
          </cell>
          <cell r="K76">
            <v>5.765702804228183E-2</v>
          </cell>
          <cell r="L76">
            <v>5.8099950070355413E-2</v>
          </cell>
          <cell r="M76">
            <v>5.8350195284927762E-2</v>
          </cell>
          <cell r="N76">
            <v>5.8292043136111922E-2</v>
          </cell>
          <cell r="O76">
            <v>5.7471264367816084E-2</v>
          </cell>
          <cell r="P76">
            <v>5.6429280526673294E-2</v>
          </cell>
          <cell r="Q76">
            <v>5.563440249787114E-2</v>
          </cell>
        </row>
        <row r="77">
          <cell r="B77" t="str">
            <v>WGL</v>
          </cell>
          <cell r="C77" t="str">
            <v>WGL Holdings Inc.</v>
          </cell>
          <cell r="D77">
            <v>68</v>
          </cell>
          <cell r="E77">
            <v>69</v>
          </cell>
          <cell r="F77">
            <v>0</v>
          </cell>
          <cell r="G77">
            <v>7.2074090671446711E-2</v>
          </cell>
          <cell r="H77">
            <v>7.3279141472790618E-2</v>
          </cell>
          <cell r="I77">
            <v>7.1416708188008632E-2</v>
          </cell>
          <cell r="J77">
            <v>6.733187312403667E-2</v>
          </cell>
          <cell r="K77">
            <v>6.4526602004788769E-2</v>
          </cell>
          <cell r="L77">
            <v>6.5977099561571537E-2</v>
          </cell>
          <cell r="M77">
            <v>6.572605380772939E-2</v>
          </cell>
          <cell r="N77">
            <v>6.7150883924900651E-2</v>
          </cell>
          <cell r="O77">
            <v>6.7092347279138473E-2</v>
          </cell>
          <cell r="P77">
            <v>6.8821216093576693E-2</v>
          </cell>
          <cell r="Q77">
            <v>7.1330080610946117E-2</v>
          </cell>
        </row>
        <row r="78">
          <cell r="B78" t="str">
            <v>XEL</v>
          </cell>
          <cell r="C78" t="str">
            <v xml:space="preserve">Xcel Energy Inc.              </v>
          </cell>
          <cell r="D78">
            <v>69</v>
          </cell>
          <cell r="E78">
            <v>70</v>
          </cell>
          <cell r="F78">
            <v>0</v>
          </cell>
          <cell r="G78">
            <v>6.2592047128129602E-2</v>
          </cell>
          <cell r="H78">
            <v>6.1282137214535355E-2</v>
          </cell>
          <cell r="I78">
            <v>5.9414764568995394E-2</v>
          </cell>
          <cell r="J78">
            <v>5.7782404997397188E-2</v>
          </cell>
          <cell r="K78">
            <v>5.8836467612449143E-2</v>
          </cell>
          <cell r="L78">
            <v>5.9076570117579587E-2</v>
          </cell>
          <cell r="M78">
            <v>5.9669431350319227E-2</v>
          </cell>
          <cell r="N78">
            <v>6.0933475720836731E-2</v>
          </cell>
          <cell r="O78">
            <v>6.1253746904730871E-2</v>
          </cell>
          <cell r="P78">
            <v>6.1925825110581832E-2</v>
          </cell>
          <cell r="Q78">
            <v>6.1616020165242966E-2</v>
          </cell>
        </row>
        <row r="79">
          <cell r="B79" t="str">
            <v>YORW</v>
          </cell>
          <cell r="C79" t="str">
            <v>York Water Co. (The)</v>
          </cell>
          <cell r="D79">
            <v>70</v>
          </cell>
          <cell r="E79">
            <v>71</v>
          </cell>
          <cell r="F79">
            <v>0</v>
          </cell>
          <cell r="G79" t="str">
            <v>N/A</v>
          </cell>
          <cell r="H79">
            <v>7.0480441677434516E-2</v>
          </cell>
          <cell r="I79">
            <v>7.018404907975459E-2</v>
          </cell>
          <cell r="J79">
            <v>6.9216300940438874E-2</v>
          </cell>
          <cell r="K79">
            <v>6.975540313187524E-2</v>
          </cell>
          <cell r="L79">
            <v>7.0766751712098841E-2</v>
          </cell>
          <cell r="M79">
            <v>7.1627260083449232E-2</v>
          </cell>
          <cell r="N79">
            <v>7.3110822135529552E-2</v>
          </cell>
          <cell r="O79">
            <v>7.9680625712889044E-2</v>
          </cell>
          <cell r="P79">
            <v>7.9537843268586733E-2</v>
          </cell>
          <cell r="Q79">
            <v>7.7806341045415603E-2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</sheetData>
      <sheetData sheetId="23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0.66242038216560506</v>
          </cell>
          <cell r="H5">
            <v>0.59763313609467461</v>
          </cell>
          <cell r="I5">
            <v>0.67586206896551726</v>
          </cell>
          <cell r="J5">
            <v>0.72243346007604559</v>
          </cell>
          <cell r="K5">
            <v>0.71317829457364346</v>
          </cell>
          <cell r="L5">
            <v>0.67169811320754724</v>
          </cell>
          <cell r="M5">
            <v>0.80365296803652975</v>
          </cell>
          <cell r="N5">
            <v>0.93121693121693128</v>
          </cell>
          <cell r="O5">
            <v>0.60992907801418439</v>
          </cell>
          <cell r="P5">
            <v>0.53246753246753242</v>
          </cell>
          <cell r="Q5">
            <v>0.52346570397111913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0.7151515151515152</v>
          </cell>
          <cell r="H6">
            <v>0.65088757396449715</v>
          </cell>
          <cell r="I6">
            <v>0.5862068965517242</v>
          </cell>
          <cell r="J6">
            <v>0.5714285714285714</v>
          </cell>
          <cell r="K6">
            <v>0.59016393442622961</v>
          </cell>
          <cell r="L6">
            <v>0.61818181818181817</v>
          </cell>
          <cell r="M6">
            <v>0.57454545454545458</v>
          </cell>
          <cell r="N6">
            <v>0.79365079365079372</v>
          </cell>
          <cell r="O6">
            <v>0.55118110236220463</v>
          </cell>
          <cell r="P6">
            <v>0.47211895910780671</v>
          </cell>
          <cell r="Q6">
            <v>0.55825242718446599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0.56419753086419755</v>
          </cell>
          <cell r="H7">
            <v>0.54625000000000001</v>
          </cell>
          <cell r="I7">
            <v>0.52929936305732483</v>
          </cell>
          <cell r="J7">
            <v>0.47204968944099379</v>
          </cell>
          <cell r="K7">
            <v>0.45035460992907805</v>
          </cell>
          <cell r="L7">
            <v>0.49107142857142855</v>
          </cell>
          <cell r="M7">
            <v>0.46846846846846846</v>
          </cell>
          <cell r="N7">
            <v>0.62345679012345678</v>
          </cell>
          <cell r="O7">
            <v>0.64516129032258063</v>
          </cell>
          <cell r="P7">
            <v>0.59012345679012335</v>
          </cell>
          <cell r="Q7">
            <v>0.68421052631578949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0.56106870229007633</v>
          </cell>
          <cell r="H8">
            <v>0.50378787878787878</v>
          </cell>
          <cell r="I8">
            <v>0.506276150627615</v>
          </cell>
          <cell r="J8">
            <v>0.40776699029126212</v>
          </cell>
          <cell r="K8">
            <v>0.57345971563981046</v>
          </cell>
          <cell r="L8">
            <v>0.52325581395348841</v>
          </cell>
          <cell r="M8">
            <v>0.56209150326797386</v>
          </cell>
          <cell r="N8">
            <v>0.65599999999999992</v>
          </cell>
          <cell r="O8">
            <v>0.36363636363636365</v>
          </cell>
          <cell r="P8">
            <v>0</v>
          </cell>
          <cell r="Q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0.6399253731343284</v>
          </cell>
          <cell r="H9">
            <v>0.69537815126050428</v>
          </cell>
          <cell r="I9">
            <v>0.67083333333333339</v>
          </cell>
          <cell r="J9">
            <v>0.76190476190476186</v>
          </cell>
          <cell r="K9">
            <v>0.66390041493775931</v>
          </cell>
          <cell r="L9">
            <v>0.62955465587044523</v>
          </cell>
          <cell r="M9">
            <v>0.55595667870036103</v>
          </cell>
          <cell r="N9">
            <v>0.5539568345323741</v>
          </cell>
          <cell r="O9">
            <v>0.88194444444444453</v>
          </cell>
          <cell r="P9">
            <v>0.8523489932885906</v>
          </cell>
          <cell r="Q9">
            <v>0.95488721804511278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0.53664302600472813</v>
          </cell>
          <cell r="H10">
            <v>0.59888579387186625</v>
          </cell>
          <cell r="I10">
            <v>0.60778443113772451</v>
          </cell>
          <cell r="J10">
            <v>0.6132075471698113</v>
          </cell>
          <cell r="K10">
            <v>0.63087248322147649</v>
          </cell>
          <cell r="L10">
            <v>0.59105431309904155</v>
          </cell>
          <cell r="M10">
            <v>0.65769230769230769</v>
          </cell>
          <cell r="N10">
            <v>0.55218855218855212</v>
          </cell>
          <cell r="O10">
            <v>0.54849498327759194</v>
          </cell>
          <cell r="P10">
            <v>0.5524475524475525</v>
          </cell>
          <cell r="Q10">
            <v>0.52447552447552448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0.56060606060606055</v>
          </cell>
          <cell r="H11">
            <v>0.60526315789473684</v>
          </cell>
          <cell r="I11">
            <v>0.52500000000000002</v>
          </cell>
          <cell r="J11">
            <v>0.5</v>
          </cell>
          <cell r="K11">
            <v>0.6146788990825689</v>
          </cell>
          <cell r="L11">
            <v>0.60576923076923084</v>
          </cell>
          <cell r="M11">
            <v>0.65555555555555556</v>
          </cell>
          <cell r="N11">
            <v>0.7142857142857143</v>
          </cell>
          <cell r="O11">
            <v>0.69863013698630139</v>
          </cell>
          <cell r="P11">
            <v>0.67605633802816911</v>
          </cell>
          <cell r="Q11">
            <v>0.62857142857142845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0.49704142011834318</v>
          </cell>
          <cell r="H12">
            <v>0.50485436893203883</v>
          </cell>
          <cell r="I12">
            <v>0.5</v>
          </cell>
          <cell r="J12">
            <v>0.55999999999999994</v>
          </cell>
          <cell r="K12">
            <v>0.65714285714285703</v>
          </cell>
          <cell r="L12">
            <v>0.60176991150442483</v>
          </cell>
          <cell r="M12">
            <v>0.62037037037037035</v>
          </cell>
          <cell r="N12">
            <v>0.67005076142131981</v>
          </cell>
          <cell r="O12">
            <v>0.65</v>
          </cell>
          <cell r="P12">
            <v>0.65979381443298968</v>
          </cell>
          <cell r="Q12">
            <v>0.63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0.87272727272727268</v>
          </cell>
          <cell r="H13">
            <v>0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0.63720930232558148</v>
          </cell>
          <cell r="H14">
            <v>0.69841269841269848</v>
          </cell>
          <cell r="I14">
            <v>0.69021739130434778</v>
          </cell>
          <cell r="J14">
            <v>0.65945945945945939</v>
          </cell>
          <cell r="K14">
            <v>0.87878787878787867</v>
          </cell>
          <cell r="L14">
            <v>0.63953488372093026</v>
          </cell>
          <cell r="M14">
            <v>0.60606060606060608</v>
          </cell>
          <cell r="N14">
            <v>0.51265822784810122</v>
          </cell>
          <cell r="O14">
            <v>0.50735294117647056</v>
          </cell>
          <cell r="P14">
            <v>0.82638888888888884</v>
          </cell>
          <cell r="Q14">
            <v>0.38775510204081631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0.63878326996197721</v>
          </cell>
          <cell r="H15">
            <v>0.57243816254416968</v>
          </cell>
          <cell r="I15">
            <v>0.53979238754325254</v>
          </cell>
          <cell r="J15">
            <v>0.58237547892720309</v>
          </cell>
          <cell r="K15">
            <v>0.75126903553299496</v>
          </cell>
          <cell r="L15">
            <v>1.4455445544554455</v>
          </cell>
          <cell r="M15">
            <v>0.86746987951807231</v>
          </cell>
          <cell r="N15">
            <v>0.61206896551724144</v>
          </cell>
          <cell r="O15">
            <v>7.7777777777777777</v>
          </cell>
          <cell r="P15">
            <v>0.51119402985074625</v>
          </cell>
          <cell r="Q15">
            <v>0.59728506787330315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0.68316831683168311</v>
          </cell>
          <cell r="H16">
            <v>0.7127659574468086</v>
          </cell>
          <cell r="I16">
            <v>0.54621848739495804</v>
          </cell>
          <cell r="J16">
            <v>0.62745098039215685</v>
          </cell>
          <cell r="K16">
            <v>0.61764705882352944</v>
          </cell>
          <cell r="L16">
            <v>0.71511627906976749</v>
          </cell>
          <cell r="M16">
            <v>0.65745856353591159</v>
          </cell>
          <cell r="N16">
            <v>0.60512820512820509</v>
          </cell>
          <cell r="O16">
            <v>0.61578947368421055</v>
          </cell>
          <cell r="P16">
            <v>0.77333333333333332</v>
          </cell>
          <cell r="Q16">
            <v>0.85820895522388052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1.03</v>
          </cell>
          <cell r="H17">
            <v>0.91666666666666663</v>
          </cell>
          <cell r="I17">
            <v>0.66901408450704225</v>
          </cell>
          <cell r="J17">
            <v>0.66935483870967738</v>
          </cell>
          <cell r="K17">
            <v>0.6</v>
          </cell>
          <cell r="L17">
            <v>0.62204724409448819</v>
          </cell>
          <cell r="M17">
            <v>0.7289719626168224</v>
          </cell>
          <cell r="N17">
            <v>0.75247524752475248</v>
          </cell>
          <cell r="O17">
            <v>0.56153846153846154</v>
          </cell>
          <cell r="P17">
            <v>0.58119658119658124</v>
          </cell>
          <cell r="Q17">
            <v>0.45112781954887216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0.41608391608391609</v>
          </cell>
          <cell r="H19">
            <v>0.41791044776119407</v>
          </cell>
          <cell r="I19">
            <v>0.43198380566801614</v>
          </cell>
          <cell r="J19">
            <v>0.44823008849557522</v>
          </cell>
          <cell r="K19">
            <v>0.48168590065228295</v>
          </cell>
          <cell r="L19">
            <v>0.47569262937794043</v>
          </cell>
          <cell r="M19">
            <v>0.47802197802197799</v>
          </cell>
          <cell r="N19">
            <v>0.58129797627355195</v>
          </cell>
          <cell r="O19">
            <v>0.57974137931034486</v>
          </cell>
          <cell r="P19">
            <v>0.60556844547563815</v>
          </cell>
          <cell r="Q19">
            <v>0.67131647776809067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0.6262626262626263</v>
          </cell>
          <cell r="H21">
            <v>0.61375661375661372</v>
          </cell>
          <cell r="I21">
            <v>0.62068965517241381</v>
          </cell>
          <cell r="J21">
            <v>0.6144578313253013</v>
          </cell>
          <cell r="K21">
            <v>0.62745098039215685</v>
          </cell>
          <cell r="L21">
            <v>0.57931034482758625</v>
          </cell>
          <cell r="M21">
            <v>0.49624060150375937</v>
          </cell>
          <cell r="N21">
            <v>0.5376344086021505</v>
          </cell>
          <cell r="O21">
            <v>0.29268292682926828</v>
          </cell>
          <cell r="P21">
            <v>0.3125</v>
          </cell>
          <cell r="Q21">
            <v>0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0.53846153846153855</v>
          </cell>
          <cell r="H22">
            <v>0.51470588235294124</v>
          </cell>
          <cell r="I22">
            <v>0.52604166666666674</v>
          </cell>
          <cell r="J22">
            <v>0.59036144578313254</v>
          </cell>
          <cell r="K22">
            <v>0.62745098039215685</v>
          </cell>
          <cell r="L22">
            <v>0.83333333333333337</v>
          </cell>
          <cell r="M22">
            <v>0.81415929203539839</v>
          </cell>
          <cell r="N22">
            <v>0.75630252100840345</v>
          </cell>
          <cell r="O22">
            <v>0.79279279279279269</v>
          </cell>
          <cell r="P22">
            <v>0.82857142857142851</v>
          </cell>
          <cell r="Q22">
            <v>1.0555555555555554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0.68020304568527923</v>
          </cell>
          <cell r="H23">
            <v>0.64197530864197538</v>
          </cell>
          <cell r="I23">
            <v>0.69613259668508287</v>
          </cell>
          <cell r="J23">
            <v>0.62595419847328237</v>
          </cell>
          <cell r="K23">
            <v>0.62694300518134716</v>
          </cell>
          <cell r="L23">
            <v>0.67226890756302526</v>
          </cell>
          <cell r="M23">
            <v>0.68587896253602298</v>
          </cell>
          <cell r="N23">
            <v>0.75159235668789803</v>
          </cell>
          <cell r="O23">
            <v>0.6964285714285714</v>
          </cell>
          <cell r="P23">
            <v>0.66666666666666663</v>
          </cell>
          <cell r="Q23">
            <v>0.77966101694915246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1.1111111111111109</v>
          </cell>
          <cell r="H24">
            <v>0.58823529411764708</v>
          </cell>
          <cell r="I24">
            <v>0.7142857142857143</v>
          </cell>
          <cell r="J24">
            <v>0.51724137931034486</v>
          </cell>
          <cell r="K24">
            <v>0.46875</v>
          </cell>
          <cell r="L24">
            <v>0.7142857142857143</v>
          </cell>
          <cell r="M24">
            <v>0.69767441860465118</v>
          </cell>
          <cell r="N24">
            <v>0.3783783783783784</v>
          </cell>
          <cell r="O24">
            <v>0.65</v>
          </cell>
          <cell r="P24">
            <v>0.24683544303797469</v>
          </cell>
          <cell r="Q24">
            <v>0.40677966101694918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0.81395348837209303</v>
          </cell>
          <cell r="H25">
            <v>0.80937499999999996</v>
          </cell>
          <cell r="I25">
            <v>0.78688524590163933</v>
          </cell>
          <cell r="J25">
            <v>0.72815533980582525</v>
          </cell>
          <cell r="K25">
            <v>0.76727272727272722</v>
          </cell>
          <cell r="L25">
            <v>0.71376811594202905</v>
          </cell>
          <cell r="M25">
            <v>0.63321799307958482</v>
          </cell>
          <cell r="N25">
            <v>0.66287878787878785</v>
          </cell>
          <cell r="O25">
            <v>0.51973684210526316</v>
          </cell>
          <cell r="P25">
            <v>0.68544600938967137</v>
          </cell>
          <cell r="Q25">
            <v>0.57499999999999996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0.63354037267080743</v>
          </cell>
          <cell r="H26">
            <v>0.63963963963963955</v>
          </cell>
          <cell r="I26">
            <v>0.52745098039215688</v>
          </cell>
          <cell r="J26">
            <v>0.68882978723404253</v>
          </cell>
          <cell r="K26">
            <v>0.62371134020618557</v>
          </cell>
          <cell r="L26">
            <v>0.63215258855585832</v>
          </cell>
          <cell r="M26">
            <v>0.58288770053475936</v>
          </cell>
          <cell r="N26">
            <v>0.65432098765432101</v>
          </cell>
          <cell r="O26">
            <v>0.77655677655677657</v>
          </cell>
          <cell r="P26">
            <v>0.79699248120300747</v>
          </cell>
          <cell r="Q26">
            <v>0.84693877551020413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0.90566037735849059</v>
          </cell>
          <cell r="H27">
            <v>0.79024390243902454</v>
          </cell>
          <cell r="I27">
            <v>0.76271186440677963</v>
          </cell>
          <cell r="J27">
            <v>0.77638190954773867</v>
          </cell>
          <cell r="K27">
            <v>0.81671159029649587</v>
          </cell>
          <cell r="L27">
            <v>0.71739130434782616</v>
          </cell>
          <cell r="M27">
            <v>0.72388059701492546</v>
          </cell>
          <cell r="N27">
            <v>0.83185840707964598</v>
          </cell>
          <cell r="O27">
            <v>0.89108910891089121</v>
          </cell>
          <cell r="P27">
            <v>0.71666666666666667</v>
          </cell>
          <cell r="Q27">
            <v>0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0.50329949238578686</v>
          </cell>
          <cell r="H28">
            <v>0.4175903614457831</v>
          </cell>
          <cell r="I28">
            <v>0.34249422632794457</v>
          </cell>
          <cell r="J28">
            <v>0.36190476190476195</v>
          </cell>
          <cell r="K28">
            <v>0.28857142857142859</v>
          </cell>
          <cell r="L28">
            <v>0.39783281733746129</v>
          </cell>
          <cell r="M28">
            <v>0.37761194029850742</v>
          </cell>
          <cell r="N28">
            <v>0.38425925925925924</v>
          </cell>
          <cell r="O28">
            <v>0.3328804347826087</v>
          </cell>
          <cell r="P28">
            <v>0.35391566265060243</v>
          </cell>
          <cell r="Q28">
            <v>0.33536585365853661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0.5125523012552301</v>
          </cell>
          <cell r="H29">
            <v>0.57389162561576357</v>
          </cell>
          <cell r="I29">
            <v>0.486784140969163</v>
          </cell>
          <cell r="J29">
            <v>0.47499999999999992</v>
          </cell>
          <cell r="K29">
            <v>0.42920353982300885</v>
          </cell>
          <cell r="L29">
            <v>0.26612903225806456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EDE</v>
          </cell>
          <cell r="C30" t="str">
            <v>Empire District Electric</v>
          </cell>
          <cell r="D30" t="e">
            <v>#N/A</v>
          </cell>
          <cell r="E30" t="e">
            <v>#N/A</v>
          </cell>
          <cell r="F30">
            <v>0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29</v>
          </cell>
          <cell r="E31">
            <v>29</v>
          </cell>
          <cell r="F31">
            <v>0</v>
          </cell>
          <cell r="G31">
            <v>0.49709302325581395</v>
          </cell>
          <cell r="H31">
            <v>0.57487091222030984</v>
          </cell>
          <cell r="I31">
            <v>0.57538994800693244</v>
          </cell>
          <cell r="J31">
            <v>0.66935483870967738</v>
          </cell>
          <cell r="K31">
            <v>0.55149501661129574</v>
          </cell>
          <cell r="L31">
            <v>0.43973509933774835</v>
          </cell>
          <cell r="M31">
            <v>0.48648648648648651</v>
          </cell>
          <cell r="N31">
            <v>0.47619047619047622</v>
          </cell>
          <cell r="O31">
            <v>0.48387096774193544</v>
          </cell>
          <cell r="P31">
            <v>0.46071428571428574</v>
          </cell>
          <cell r="Q31">
            <v>0.40298507462686567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30</v>
          </cell>
          <cell r="E32">
            <v>30</v>
          </cell>
          <cell r="F32">
            <v>0</v>
          </cell>
          <cell r="G32">
            <v>0.60135135135135132</v>
          </cell>
          <cell r="H32">
            <v>0.60507246376811596</v>
          </cell>
          <cell r="I32">
            <v>0.60852713178294571</v>
          </cell>
          <cell r="J32">
            <v>0.59036144578313243</v>
          </cell>
          <cell r="K32">
            <v>0.69841269841269848</v>
          </cell>
          <cell r="L32">
            <v>0.49549549549549549</v>
          </cell>
          <cell r="M32">
            <v>0.48809523809523803</v>
          </cell>
          <cell r="N32">
            <v>0.49738219895287961</v>
          </cell>
          <cell r="O32">
            <v>0.44354838709677413</v>
          </cell>
          <cell r="P32">
            <v>0.48742138364779874</v>
          </cell>
          <cell r="Q32">
            <v>0.88414634146341464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31</v>
          </cell>
          <cell r="E33">
            <v>31</v>
          </cell>
          <cell r="F33">
            <v>0</v>
          </cell>
          <cell r="G33">
            <v>0.7</v>
          </cell>
          <cell r="H33">
            <v>0.48818897637795272</v>
          </cell>
          <cell r="I33">
            <v>0.59047619047619049</v>
          </cell>
          <cell r="J33">
            <v>0.62987012987012991</v>
          </cell>
          <cell r="K33">
            <v>1.09375</v>
          </cell>
          <cell r="L33">
            <v>0.56000000000000005</v>
          </cell>
          <cell r="M33">
            <v>0.54263565891472865</v>
          </cell>
          <cell r="N33">
            <v>0.48951048951048953</v>
          </cell>
          <cell r="O33">
            <v>0.5</v>
          </cell>
          <cell r="P33">
            <v>0.45161290322580644</v>
          </cell>
          <cell r="Q33">
            <v>0.46857142857142853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32</v>
          </cell>
          <cell r="E34">
            <v>32</v>
          </cell>
          <cell r="F34">
            <v>0</v>
          </cell>
          <cell r="G34">
            <v>0.68571428571428561</v>
          </cell>
          <cell r="H34">
            <v>0.72</v>
          </cell>
          <cell r="I34">
            <v>1.6941176470588235</v>
          </cell>
          <cell r="J34">
            <v>0.55555555555555547</v>
          </cell>
          <cell r="K34">
            <v>1.0328638497652582</v>
          </cell>
          <cell r="L34">
            <v>1.1702127659574471</v>
          </cell>
          <cell r="M34">
            <v>0.67692307692307696</v>
          </cell>
          <cell r="N34">
            <v>0.66265060240963869</v>
          </cell>
          <cell r="O34">
            <v>0.50228310502283113</v>
          </cell>
          <cell r="P34">
            <v>0.48578199052132698</v>
          </cell>
          <cell r="Q34">
            <v>0.48429319371727753</v>
          </cell>
        </row>
        <row r="35">
          <cell r="B35" t="str">
            <v>FTS.TO</v>
          </cell>
          <cell r="C35" t="str">
            <v>Fortis Inc.</v>
          </cell>
          <cell r="D35">
            <v>33</v>
          </cell>
          <cell r="E35">
            <v>33</v>
          </cell>
          <cell r="F35">
            <v>0</v>
          </cell>
          <cell r="G35">
            <v>0.82010582010582023</v>
          </cell>
          <cell r="H35">
            <v>0.67772511848341233</v>
          </cell>
          <cell r="I35">
            <v>0.94202898550724645</v>
          </cell>
          <cell r="J35">
            <v>0.76687116564417179</v>
          </cell>
          <cell r="K35">
            <v>0.73333333333333339</v>
          </cell>
          <cell r="L35">
            <v>0.67241379310344829</v>
          </cell>
          <cell r="M35">
            <v>0.6913580246913581</v>
          </cell>
          <cell r="N35">
            <v>0.6887417218543046</v>
          </cell>
          <cell r="O35">
            <v>0.65789473684210531</v>
          </cell>
          <cell r="P35">
            <v>0.63714063714063718</v>
          </cell>
          <cell r="Q35">
            <v>0.49300956585724803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35</v>
          </cell>
          <cell r="E37">
            <v>35</v>
          </cell>
          <cell r="F37">
            <v>0</v>
          </cell>
          <cell r="G37">
            <v>0.65527950310559002</v>
          </cell>
          <cell r="H37">
            <v>0.72846715328467149</v>
          </cell>
          <cell r="I37">
            <v>0.59554140127388533</v>
          </cell>
          <cell r="J37">
            <v>0.5444444444444444</v>
          </cell>
          <cell r="K37">
            <v>0.6333333333333333</v>
          </cell>
          <cell r="L37">
            <v>0.66799999999999993</v>
          </cell>
          <cell r="M37">
            <v>0.54248366013071891</v>
          </cell>
          <cell r="N37">
            <v>0.80582524271844658</v>
          </cell>
          <cell r="O37">
            <v>1.4310344827586208</v>
          </cell>
          <cell r="P37">
            <v>0.89729729729729724</v>
          </cell>
          <cell r="Q37">
            <v>1.0246913580246912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36</v>
          </cell>
          <cell r="E38">
            <v>36</v>
          </cell>
          <cell r="F38">
            <v>0</v>
          </cell>
          <cell r="G38">
            <v>0.54148471615720528</v>
          </cell>
          <cell r="H38">
            <v>0.82666666666666666</v>
          </cell>
          <cell r="I38">
            <v>0.75609756097560976</v>
          </cell>
          <cell r="J38">
            <v>0.76543209876543206</v>
          </cell>
          <cell r="K38">
            <v>0.74251497005988032</v>
          </cell>
          <cell r="L38">
            <v>0.86111111111111116</v>
          </cell>
          <cell r="M38">
            <v>1.024793388429752</v>
          </cell>
          <cell r="N38">
            <v>1.3626373626373627</v>
          </cell>
          <cell r="O38">
            <v>1.1588785046728971</v>
          </cell>
          <cell r="P38">
            <v>1.117117117117117</v>
          </cell>
          <cell r="Q38">
            <v>0.93233082706766912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37</v>
          </cell>
          <cell r="E39">
            <v>37</v>
          </cell>
          <cell r="F39">
            <v>0</v>
          </cell>
          <cell r="G39">
            <v>0.52791878172588835</v>
          </cell>
          <cell r="H39">
            <v>0.49612403100775193</v>
          </cell>
          <cell r="I39">
            <v>0.45714285714285713</v>
          </cell>
          <cell r="J39">
            <v>0.43131868131868134</v>
          </cell>
          <cell r="K39">
            <v>0.40652818991097922</v>
          </cell>
          <cell r="L39">
            <v>0.35714285714285715</v>
          </cell>
          <cell r="M39">
            <v>0.40677966101694912</v>
          </cell>
          <cell r="N39">
            <v>0.45454545454545453</v>
          </cell>
          <cell r="O39">
            <v>0.55045871559633019</v>
          </cell>
          <cell r="P39">
            <v>0.64516129032258063</v>
          </cell>
          <cell r="Q39">
            <v>0.51063829787234039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 t="str">
            <v>N/A</v>
          </cell>
          <cell r="H40" t="str">
            <v>N/A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38</v>
          </cell>
          <cell r="E43">
            <v>38</v>
          </cell>
          <cell r="F43">
            <v>0</v>
          </cell>
          <cell r="G43">
            <v>0.55504587155963292</v>
          </cell>
          <cell r="H43">
            <v>0.56310679611650483</v>
          </cell>
          <cell r="I43">
            <v>0.47844827586206906</v>
          </cell>
          <cell r="J43">
            <v>0.49537037037037035</v>
          </cell>
          <cell r="K43">
            <v>0.55913978494623651</v>
          </cell>
          <cell r="L43">
            <v>0.5744318181818181</v>
          </cell>
          <cell r="M43">
            <v>0.59568086382723451</v>
          </cell>
          <cell r="N43">
            <v>0.66055668703326542</v>
          </cell>
          <cell r="O43">
            <v>0.60239445494643984</v>
          </cell>
          <cell r="P43">
            <v>0.62128222075346995</v>
          </cell>
          <cell r="Q43">
            <v>0.67516387472687545</v>
          </cell>
        </row>
        <row r="44">
          <cell r="B44" t="str">
            <v>MSEX</v>
          </cell>
          <cell r="C44" t="str">
            <v>Middlesex Water</v>
          </cell>
          <cell r="D44">
            <v>39</v>
          </cell>
          <cell r="E44">
            <v>39</v>
          </cell>
          <cell r="F44">
            <v>0</v>
          </cell>
          <cell r="G44">
            <v>0.58550724637681173</v>
          </cell>
          <cell r="H44">
            <v>0.63606557377049189</v>
          </cell>
          <cell r="I44">
            <v>0.67522123893805319</v>
          </cell>
          <cell r="J44">
            <v>0.73106796116504857</v>
          </cell>
          <cell r="K44">
            <v>0.82555555555555549</v>
          </cell>
          <cell r="L44">
            <v>0.87261904761904763</v>
          </cell>
          <cell r="M44">
            <v>0.75312500000000004</v>
          </cell>
          <cell r="N44">
            <v>0.99027777777777781</v>
          </cell>
          <cell r="O44">
            <v>0.78988764044943816</v>
          </cell>
          <cell r="P44">
            <v>0.79655172413793096</v>
          </cell>
          <cell r="Q44">
            <v>0.83292682926829276</v>
          </cell>
        </row>
        <row r="45">
          <cell r="B45" t="str">
            <v>NJR</v>
          </cell>
          <cell r="C45" t="str">
            <v>New Jersey Resources</v>
          </cell>
          <cell r="D45">
            <v>40</v>
          </cell>
          <cell r="E45">
            <v>40</v>
          </cell>
          <cell r="F45">
            <v>0</v>
          </cell>
          <cell r="G45">
            <v>0.60869565217391297</v>
          </cell>
          <cell r="H45">
            <v>0.52247191011235961</v>
          </cell>
          <cell r="I45">
            <v>0.41105769230769229</v>
          </cell>
          <cell r="J45">
            <v>0.59340659340659341</v>
          </cell>
          <cell r="K45">
            <v>0.56826568265682664</v>
          </cell>
          <cell r="L45">
            <v>0.55813953488372092</v>
          </cell>
          <cell r="M45">
            <v>0.55284552845528456</v>
          </cell>
          <cell r="N45">
            <v>0.51666666666666672</v>
          </cell>
          <cell r="O45">
            <v>0.41111111111111109</v>
          </cell>
          <cell r="P45">
            <v>0.65250965250965254</v>
          </cell>
          <cell r="Q45">
            <v>0.51446945337620575</v>
          </cell>
        </row>
        <row r="46">
          <cell r="B46" t="str">
            <v>NEE</v>
          </cell>
          <cell r="C46" t="str">
            <v>NextEra Energy, Inc.</v>
          </cell>
          <cell r="D46">
            <v>41</v>
          </cell>
          <cell r="E46">
            <v>41</v>
          </cell>
          <cell r="F46">
            <v>0</v>
          </cell>
          <cell r="G46">
            <v>0.60207612456747406</v>
          </cell>
          <cell r="H46">
            <v>0.5082508250825083</v>
          </cell>
          <cell r="I46">
            <v>0.5178571428571429</v>
          </cell>
          <cell r="J46">
            <v>0.54658385093167705</v>
          </cell>
          <cell r="K46">
            <v>0.52631578947368418</v>
          </cell>
          <cell r="L46">
            <v>0.45643153526970953</v>
          </cell>
          <cell r="M46">
            <v>0.42194092827004215</v>
          </cell>
          <cell r="N46">
            <v>0.47607052896725438</v>
          </cell>
          <cell r="O46">
            <v>0.4373464373464373</v>
          </cell>
          <cell r="P46">
            <v>0.50152905198776754</v>
          </cell>
          <cell r="Q46">
            <v>0.46439628482972134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42</v>
          </cell>
          <cell r="E47">
            <v>42</v>
          </cell>
          <cell r="F47">
            <v>0</v>
          </cell>
          <cell r="G47">
            <v>0.64</v>
          </cell>
          <cell r="H47">
            <v>1.3174603174603174</v>
          </cell>
          <cell r="I47">
            <v>0.6107784431137725</v>
          </cell>
          <cell r="J47">
            <v>0.62420382165605093</v>
          </cell>
          <cell r="K47">
            <v>0.68613138686131381</v>
          </cell>
          <cell r="L47">
            <v>0.87619047619047619</v>
          </cell>
          <cell r="M47">
            <v>0.86792452830188682</v>
          </cell>
          <cell r="N47">
            <v>1.0952380952380953</v>
          </cell>
          <cell r="O47">
            <v>0.68656716417910446</v>
          </cell>
          <cell r="P47">
            <v>0.80701754385964919</v>
          </cell>
          <cell r="Q47">
            <v>0.80701754385964919</v>
          </cell>
        </row>
        <row r="48">
          <cell r="B48" t="str">
            <v>NWN</v>
          </cell>
          <cell r="C48" t="str">
            <v>Northwest Nat. Gas</v>
          </cell>
          <cell r="D48">
            <v>43</v>
          </cell>
          <cell r="E48">
            <v>43</v>
          </cell>
          <cell r="F48">
            <v>0</v>
          </cell>
          <cell r="G48">
            <v>0.88207547169811318</v>
          </cell>
          <cell r="H48">
            <v>0.94897959183673475</v>
          </cell>
          <cell r="I48">
            <v>0.85648148148148151</v>
          </cell>
          <cell r="J48">
            <v>0.8169642857142857</v>
          </cell>
          <cell r="K48">
            <v>0.80630630630630629</v>
          </cell>
          <cell r="L48">
            <v>0.73221757322175729</v>
          </cell>
          <cell r="M48">
            <v>0.61538461538461542</v>
          </cell>
          <cell r="N48">
            <v>0.56537102473498235</v>
          </cell>
          <cell r="O48">
            <v>0.59143968871595332</v>
          </cell>
          <cell r="P48">
            <v>0.52173913043478259</v>
          </cell>
          <cell r="Q48">
            <v>0.59148936170212763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44</v>
          </cell>
          <cell r="E49">
            <v>44</v>
          </cell>
          <cell r="F49">
            <v>0</v>
          </cell>
          <cell r="G49">
            <v>0.58997050147492625</v>
          </cell>
          <cell r="H49">
            <v>0.66206896551724137</v>
          </cell>
          <cell r="I49">
            <v>0.53511705685618727</v>
          </cell>
          <cell r="J49">
            <v>0.61788617886178865</v>
          </cell>
          <cell r="K49">
            <v>0.65486725663716816</v>
          </cell>
          <cell r="L49">
            <v>0.56916996047430835</v>
          </cell>
          <cell r="M49">
            <v>0.63551401869158874</v>
          </cell>
          <cell r="N49">
            <v>0.6633663366336634</v>
          </cell>
          <cell r="O49">
            <v>0.74576271186440679</v>
          </cell>
          <cell r="P49">
            <v>0.88888888888888895</v>
          </cell>
          <cell r="Q49">
            <v>0.94656488549618312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45</v>
          </cell>
          <cell r="E50">
            <v>45</v>
          </cell>
          <cell r="F50">
            <v>0</v>
          </cell>
          <cell r="G50">
            <v>0.68343195266272194</v>
          </cell>
          <cell r="H50">
            <v>0.62130177514792906</v>
          </cell>
          <cell r="I50">
            <v>0.47979797979797978</v>
          </cell>
          <cell r="J50">
            <v>0.43865979381443299</v>
          </cell>
          <cell r="K50">
            <v>0.44581005586592182</v>
          </cell>
          <cell r="L50">
            <v>0.44</v>
          </cell>
          <cell r="M50">
            <v>0.48963210702341131</v>
          </cell>
          <cell r="N50">
            <v>0.53684210526315779</v>
          </cell>
          <cell r="O50">
            <v>0.56144578313253002</v>
          </cell>
          <cell r="P50">
            <v>0.51818181818181819</v>
          </cell>
          <cell r="Q50">
            <v>0.54612244897959183</v>
          </cell>
        </row>
        <row r="51">
          <cell r="B51" t="str">
            <v>OGS</v>
          </cell>
          <cell r="C51" t="str">
            <v>ONE Gas Inc.</v>
          </cell>
          <cell r="D51">
            <v>46</v>
          </cell>
          <cell r="E51">
            <v>46</v>
          </cell>
          <cell r="F51">
            <v>0</v>
          </cell>
          <cell r="G51">
            <v>0.52830188679245282</v>
          </cell>
          <cell r="H51">
            <v>0.5357142857142857</v>
          </cell>
          <cell r="I51">
            <v>0.40579710144927539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47</v>
          </cell>
          <cell r="E52">
            <v>47</v>
          </cell>
          <cell r="F52">
            <v>0</v>
          </cell>
          <cell r="G52">
            <v>0.78125</v>
          </cell>
          <cell r="H52">
            <v>0.78846153846153844</v>
          </cell>
          <cell r="I52">
            <v>0.78064516129032258</v>
          </cell>
          <cell r="J52">
            <v>0.86861313868613133</v>
          </cell>
          <cell r="K52">
            <v>1.1333333333333333</v>
          </cell>
          <cell r="L52">
            <v>2.6444444444444444</v>
          </cell>
          <cell r="M52">
            <v>3.1315789473684208</v>
          </cell>
          <cell r="N52">
            <v>1.676056338028169</v>
          </cell>
          <cell r="O52">
            <v>1.0917431192660549</v>
          </cell>
          <cell r="P52">
            <v>0.65730337078651679</v>
          </cell>
          <cell r="Q52">
            <v>0.68047337278106501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 t="str">
            <v>N/A</v>
          </cell>
          <cell r="H53" t="str">
            <v>N/A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48</v>
          </cell>
          <cell r="E54">
            <v>48</v>
          </cell>
          <cell r="F54">
            <v>0</v>
          </cell>
          <cell r="G54">
            <v>0.68021201413427557</v>
          </cell>
          <cell r="H54">
            <v>0.91</v>
          </cell>
          <cell r="I54">
            <v>0.59477124183006536</v>
          </cell>
          <cell r="J54">
            <v>0.99453551912568305</v>
          </cell>
          <cell r="K54">
            <v>0.87922705314009675</v>
          </cell>
          <cell r="L54">
            <v>0.65467625899280579</v>
          </cell>
          <cell r="M54">
            <v>0.64539007092198586</v>
          </cell>
          <cell r="N54">
            <v>0.5544554455445545</v>
          </cell>
          <cell r="O54">
            <v>0.48447204968944096</v>
          </cell>
          <cell r="P54">
            <v>0.51798561151079137</v>
          </cell>
          <cell r="Q54">
            <v>0.47826086956521746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49</v>
          </cell>
          <cell r="E55">
            <v>49</v>
          </cell>
          <cell r="F55">
            <v>0</v>
          </cell>
          <cell r="G55">
            <v>0.64810126582278482</v>
          </cell>
          <cell r="H55">
            <v>0.62244897959183676</v>
          </cell>
          <cell r="I55">
            <v>0.6494413407821229</v>
          </cell>
          <cell r="J55">
            <v>0.60792349726775952</v>
          </cell>
          <cell r="K55">
            <v>0.76285714285714279</v>
          </cell>
          <cell r="L55">
            <v>0.7023411371237458</v>
          </cell>
          <cell r="M55">
            <v>0.68181818181818188</v>
          </cell>
          <cell r="N55">
            <v>0.92920353982300896</v>
          </cell>
          <cell r="O55">
            <v>0.99056603773584906</v>
          </cell>
          <cell r="P55">
            <v>0.70945945945945954</v>
          </cell>
          <cell r="Q55">
            <v>0.63880126182965302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50</v>
          </cell>
          <cell r="E56">
            <v>50</v>
          </cell>
          <cell r="F56">
            <v>0</v>
          </cell>
          <cell r="G56">
            <v>0.53333333333333333</v>
          </cell>
          <cell r="H56">
            <v>0.48780487804878053</v>
          </cell>
          <cell r="I56">
            <v>0.52068965517241383</v>
          </cell>
          <cell r="J56">
            <v>0.48226950354609938</v>
          </cell>
          <cell r="K56">
            <v>0.4427480916030534</v>
          </cell>
          <cell r="L56">
            <v>0.46296296296296291</v>
          </cell>
          <cell r="M56">
            <v>0.57471264367816088</v>
          </cell>
          <cell r="N56">
            <v>0.86206896551724144</v>
          </cell>
          <cell r="O56">
            <v>5.5</v>
          </cell>
          <cell r="P56">
            <v>1.1973684210526316</v>
          </cell>
          <cell r="Q56">
            <v>0.5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51</v>
          </cell>
          <cell r="E57">
            <v>51</v>
          </cell>
          <cell r="F57">
            <v>0</v>
          </cell>
          <cell r="G57">
            <v>0.58333333333333326</v>
          </cell>
          <cell r="H57">
            <v>0.57843137254901955</v>
          </cell>
          <cell r="I57">
            <v>0.51146788990825687</v>
          </cell>
          <cell r="J57">
            <v>0.61864406779661019</v>
          </cell>
          <cell r="K57">
            <v>0.57486631016042777</v>
          </cell>
          <cell r="L57">
            <v>0.54102564102564099</v>
          </cell>
          <cell r="M57">
            <v>0.62349397590361444</v>
          </cell>
          <cell r="N57">
            <v>0.77099236641221369</v>
          </cell>
          <cell r="O57">
            <v>0.69784172661870503</v>
          </cell>
          <cell r="P57">
            <v>0.39914163090128757</v>
          </cell>
          <cell r="Q57">
            <v>0.5921052631578948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52</v>
          </cell>
          <cell r="E58">
            <v>52</v>
          </cell>
          <cell r="F58">
            <v>0</v>
          </cell>
          <cell r="G58">
            <v>0.54480286738351258</v>
          </cell>
          <cell r="H58">
            <v>0.63291139240506322</v>
          </cell>
          <cell r="I58">
            <v>0.62605042016806722</v>
          </cell>
          <cell r="J58">
            <v>0.61764705882352944</v>
          </cell>
          <cell r="K58">
            <v>0.55172413793103448</v>
          </cell>
          <cell r="L58">
            <v>0.53639846743295017</v>
          </cell>
          <cell r="M58">
            <v>0.611353711790393</v>
          </cell>
          <cell r="N58">
            <v>1.1596638655462184</v>
          </cell>
          <cell r="O58">
            <v>0.54693877551020409</v>
          </cell>
          <cell r="P58">
            <v>0.46387832699619774</v>
          </cell>
          <cell r="Q58">
            <v>0.48034934497816595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53</v>
          </cell>
          <cell r="E59">
            <v>53</v>
          </cell>
          <cell r="F59">
            <v>0</v>
          </cell>
          <cell r="G59">
            <v>0.57950530035335679</v>
          </cell>
          <cell r="H59">
            <v>0.47272727272727277</v>
          </cell>
          <cell r="I59">
            <v>0.49498327759197319</v>
          </cell>
          <cell r="J59">
            <v>0.58775510204081627</v>
          </cell>
          <cell r="K59">
            <v>0.58196721311475408</v>
          </cell>
          <cell r="L59">
            <v>0.44051446945337625</v>
          </cell>
          <cell r="M59">
            <v>0.44625407166123782</v>
          </cell>
          <cell r="N59">
            <v>0.43181818181818182</v>
          </cell>
          <cell r="O59">
            <v>0.44482758620689655</v>
          </cell>
          <cell r="P59">
            <v>0.45173745173745172</v>
          </cell>
          <cell r="Q59">
            <v>0.61788617886178854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55</v>
          </cell>
          <cell r="E60">
            <v>55</v>
          </cell>
          <cell r="F60">
            <v>0</v>
          </cell>
          <cell r="G60">
            <v>0.55288461538461531</v>
          </cell>
          <cell r="H60">
            <v>0.57217847769028873</v>
          </cell>
          <cell r="I60">
            <v>0.55408970976253302</v>
          </cell>
          <cell r="J60">
            <v>0.59882005899705004</v>
          </cell>
          <cell r="K60">
            <v>0.62857142857142856</v>
          </cell>
          <cell r="L60">
            <v>0.65319865319865311</v>
          </cell>
          <cell r="M60">
            <v>0.63758389261744963</v>
          </cell>
          <cell r="N60">
            <v>0.65964912280701749</v>
          </cell>
          <cell r="O60">
            <v>0.62372881355932197</v>
          </cell>
          <cell r="P60">
            <v>0.64233576642335766</v>
          </cell>
          <cell r="Q60">
            <v>0.64864864864864868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56</v>
          </cell>
          <cell r="E61">
            <v>56</v>
          </cell>
          <cell r="F61">
            <v>0</v>
          </cell>
          <cell r="G61">
            <v>0.71226415094339623</v>
          </cell>
          <cell r="H61">
            <v>0.53537284894837467</v>
          </cell>
          <cell r="I61">
            <v>0.57019438444924408</v>
          </cell>
          <cell r="J61">
            <v>0.59715639810426546</v>
          </cell>
          <cell r="K61">
            <v>0.55172413793103448</v>
          </cell>
          <cell r="L61">
            <v>0.42953020134228187</v>
          </cell>
          <cell r="M61">
            <v>0.38805970149253738</v>
          </cell>
          <cell r="N61">
            <v>0.32635983263598328</v>
          </cell>
          <cell r="O61">
            <v>0.30925507900677207</v>
          </cell>
          <cell r="P61">
            <v>0.29107981220657281</v>
          </cell>
          <cell r="Q61">
            <v>0.28368794326241131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</row>
        <row r="63">
          <cell r="B63" t="str">
            <v>SJW</v>
          </cell>
          <cell r="C63" t="str">
            <v>SJW Corp.</v>
          </cell>
          <cell r="D63">
            <v>57</v>
          </cell>
          <cell r="E63">
            <v>57</v>
          </cell>
          <cell r="F63">
            <v>0</v>
          </cell>
          <cell r="G63">
            <v>0.31517509727626464</v>
          </cell>
          <cell r="H63">
            <v>0.42162162162162159</v>
          </cell>
          <cell r="I63">
            <v>0.29527559055118108</v>
          </cell>
          <cell r="J63">
            <v>0.65178571428571419</v>
          </cell>
          <cell r="K63">
            <v>0.60169491525423724</v>
          </cell>
          <cell r="L63">
            <v>0.62162162162162149</v>
          </cell>
          <cell r="M63">
            <v>0.80952380952380965</v>
          </cell>
          <cell r="N63">
            <v>0.81481481481481477</v>
          </cell>
          <cell r="O63">
            <v>0.59501845018450183</v>
          </cell>
          <cell r="P63">
            <v>0.58173076923076916</v>
          </cell>
          <cell r="Q63">
            <v>0.47478991596638653</v>
          </cell>
        </row>
        <row r="64">
          <cell r="B64" t="str">
            <v>SJI</v>
          </cell>
          <cell r="C64" t="str">
            <v>South Jersey Inds.</v>
          </cell>
          <cell r="D64">
            <v>58</v>
          </cell>
          <cell r="E64">
            <v>58</v>
          </cell>
          <cell r="F64">
            <v>0</v>
          </cell>
          <cell r="G64">
            <v>0.79104477611940294</v>
          </cell>
          <cell r="H64">
            <v>0.70833333333333337</v>
          </cell>
          <cell r="I64">
            <v>0.61341853035143767</v>
          </cell>
          <cell r="J64">
            <v>0.59405940594059414</v>
          </cell>
          <cell r="K64">
            <v>0.54455445544554459</v>
          </cell>
          <cell r="L64">
            <v>0.51903114186851207</v>
          </cell>
          <cell r="M64">
            <v>0.50370370370370365</v>
          </cell>
          <cell r="N64">
            <v>0.51260504201680679</v>
          </cell>
          <cell r="O64">
            <v>0.48898678414096919</v>
          </cell>
          <cell r="P64">
            <v>0.48325358851674644</v>
          </cell>
          <cell r="Q64">
            <v>0.37398373983739841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59</v>
          </cell>
          <cell r="E65">
            <v>59</v>
          </cell>
          <cell r="F65">
            <v>0</v>
          </cell>
          <cell r="G65">
            <v>0.78551236749116604</v>
          </cell>
          <cell r="H65">
            <v>0.75809859154929582</v>
          </cell>
          <cell r="I65">
            <v>0.75198555956678703</v>
          </cell>
          <cell r="J65">
            <v>0.74555555555555542</v>
          </cell>
          <cell r="K65">
            <v>0.72771535580524349</v>
          </cell>
          <cell r="L65">
            <v>0.73450980392156873</v>
          </cell>
          <cell r="M65">
            <v>0.76398305084745766</v>
          </cell>
          <cell r="N65">
            <v>0.74698275862068975</v>
          </cell>
          <cell r="O65">
            <v>0.73911111111111116</v>
          </cell>
          <cell r="P65">
            <v>0.69956140350877194</v>
          </cell>
          <cell r="Q65">
            <v>0.73095238095238091</v>
          </cell>
        </row>
        <row r="66">
          <cell r="B66" t="str">
            <v>SWX</v>
          </cell>
          <cell r="C66" t="str">
            <v>Southwest Gas</v>
          </cell>
          <cell r="D66">
            <v>60</v>
          </cell>
          <cell r="E66">
            <v>60</v>
          </cell>
          <cell r="F66">
            <v>0</v>
          </cell>
          <cell r="G66">
            <v>0.56603773584905659</v>
          </cell>
          <cell r="H66">
            <v>0.5547945205479452</v>
          </cell>
          <cell r="I66">
            <v>0.4850498338870432</v>
          </cell>
          <cell r="J66">
            <v>0.42443729903536981</v>
          </cell>
          <cell r="K66">
            <v>0.41258741258741261</v>
          </cell>
          <cell r="L66">
            <v>0.43621399176954734</v>
          </cell>
          <cell r="M66">
            <v>0.44052863436123346</v>
          </cell>
          <cell r="N66">
            <v>0.48969072164948452</v>
          </cell>
          <cell r="O66">
            <v>0.64748201438848929</v>
          </cell>
          <cell r="P66">
            <v>0.44102564102564101</v>
          </cell>
          <cell r="Q66">
            <v>0.41414141414141414</v>
          </cell>
        </row>
        <row r="67">
          <cell r="B67" t="str">
            <v>SR</v>
          </cell>
          <cell r="C67" t="str">
            <v>Spire Inc.</v>
          </cell>
          <cell r="D67">
            <v>61</v>
          </cell>
          <cell r="E67">
            <v>61</v>
          </cell>
          <cell r="F67">
            <v>0</v>
          </cell>
          <cell r="G67">
            <v>0.60493827160493818</v>
          </cell>
          <cell r="H67">
            <v>0.58227848101265822</v>
          </cell>
          <cell r="I67">
            <v>0.74893617021276593</v>
          </cell>
          <cell r="J67">
            <v>0.84158415841584155</v>
          </cell>
          <cell r="K67">
            <v>0.59498207885304655</v>
          </cell>
          <cell r="L67">
            <v>0.56293706293706303</v>
          </cell>
          <cell r="M67">
            <v>0.64609053497942381</v>
          </cell>
          <cell r="N67">
            <v>0.52397260273972601</v>
          </cell>
          <cell r="O67">
            <v>0.56439393939393934</v>
          </cell>
          <cell r="P67">
            <v>0.62770562770562766</v>
          </cell>
          <cell r="Q67">
            <v>0.59071729957805896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 t="str">
            <v>N/A</v>
          </cell>
          <cell r="H68" t="str">
            <v>N/A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</row>
        <row r="69">
          <cell r="B69" t="str">
            <v>UGI</v>
          </cell>
          <cell r="C69" t="str">
            <v>UGI Corp.</v>
          </cell>
          <cell r="D69">
            <v>63</v>
          </cell>
          <cell r="E69">
            <v>63</v>
          </cell>
          <cell r="F69">
            <v>0</v>
          </cell>
          <cell r="G69">
            <v>0.45365853658536592</v>
          </cell>
          <cell r="H69">
            <v>0.44278606965174133</v>
          </cell>
          <cell r="I69">
            <v>0.41197916666666667</v>
          </cell>
          <cell r="J69">
            <v>0.46453232893910862</v>
          </cell>
          <cell r="K69">
            <v>0.60272804774083544</v>
          </cell>
          <cell r="L69">
            <v>0.49526584122359801</v>
          </cell>
          <cell r="M69">
            <v>0.3780718336483932</v>
          </cell>
          <cell r="N69">
            <v>0.3324856961220598</v>
          </cell>
          <cell r="O69">
            <v>0.37905048982667672</v>
          </cell>
          <cell r="P69">
            <v>0.40762711864406781</v>
          </cell>
          <cell r="Q69">
            <v>0.41363636363636364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 t="str">
            <v>N/A</v>
          </cell>
          <cell r="H70" t="str">
            <v>N/A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64</v>
          </cell>
          <cell r="E72">
            <v>64</v>
          </cell>
          <cell r="F72">
            <v>0</v>
          </cell>
          <cell r="G72">
            <v>0.73195876288659789</v>
          </cell>
          <cell r="H72">
            <v>0.7407407407407407</v>
          </cell>
          <cell r="I72">
            <v>0.77374301675977653</v>
          </cell>
          <cell r="J72">
            <v>0.87898089171974514</v>
          </cell>
          <cell r="K72">
            <v>0.965034965034965</v>
          </cell>
          <cell r="L72">
            <v>0.91999999999999993</v>
          </cell>
          <cell r="M72">
            <v>1.5681818181818181</v>
          </cell>
          <cell r="N72">
            <v>1.3398058252427183</v>
          </cell>
          <cell r="O72">
            <v>0.83636363636363631</v>
          </cell>
          <cell r="P72">
            <v>0.9078947368421052</v>
          </cell>
          <cell r="Q72">
            <v>0.97872340425531912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65</v>
          </cell>
          <cell r="E73">
            <v>65</v>
          </cell>
          <cell r="F73">
            <v>0</v>
          </cell>
          <cell r="G73">
            <v>0.6352941176470589</v>
          </cell>
          <cell r="H73">
            <v>0.64435146443514646</v>
          </cell>
          <cell r="I73">
            <v>0.72277227722772275</v>
          </cell>
          <cell r="J73">
            <v>0.85843373493975905</v>
          </cell>
          <cell r="K73">
            <v>0.72422680412371132</v>
          </cell>
          <cell r="L73">
            <v>0.80057803468208089</v>
          </cell>
          <cell r="M73">
            <v>0.83536585365853666</v>
          </cell>
          <cell r="N73">
            <v>0.75418994413407825</v>
          </cell>
          <cell r="O73">
            <v>0.80368098159509216</v>
          </cell>
          <cell r="P73">
            <v>0.69398907103825136</v>
          </cell>
          <cell r="Q73">
            <v>0.85416666666666674</v>
          </cell>
        </row>
        <row r="74">
          <cell r="B74" t="str">
            <v>WEC</v>
          </cell>
          <cell r="C74" t="str">
            <v>WEC Energy Group</v>
          </cell>
          <cell r="D74">
            <v>66</v>
          </cell>
          <cell r="E74">
            <v>66</v>
          </cell>
          <cell r="F74">
            <v>0</v>
          </cell>
          <cell r="G74">
            <v>0.66891891891891897</v>
          </cell>
          <cell r="H74">
            <v>0.74358974358974361</v>
          </cell>
          <cell r="I74">
            <v>0.60231660231660233</v>
          </cell>
          <cell r="J74">
            <v>0.57569721115537853</v>
          </cell>
          <cell r="K74">
            <v>0.51063829787234039</v>
          </cell>
          <cell r="L74">
            <v>0.47706422018348621</v>
          </cell>
          <cell r="M74">
            <v>0.41666666666666669</v>
          </cell>
          <cell r="N74">
            <v>0.421875</v>
          </cell>
          <cell r="O74">
            <v>0.35643564356435647</v>
          </cell>
          <cell r="P74">
            <v>0.35211267605633806</v>
          </cell>
          <cell r="Q74">
            <v>0.34848484848484851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67</v>
          </cell>
          <cell r="E75">
            <v>67</v>
          </cell>
          <cell r="F75">
            <v>0</v>
          </cell>
          <cell r="G75">
            <v>0.625514403292181</v>
          </cell>
          <cell r="H75">
            <v>0.68899521531100483</v>
          </cell>
          <cell r="I75">
            <v>0.5957446808510638</v>
          </cell>
          <cell r="J75">
            <v>0.59911894273127753</v>
          </cell>
          <cell r="K75">
            <v>0.61395348837209307</v>
          </cell>
          <cell r="L75">
            <v>0.71508379888268159</v>
          </cell>
          <cell r="M75">
            <v>0.68888888888888888</v>
          </cell>
          <cell r="N75">
            <v>0.9375</v>
          </cell>
          <cell r="O75">
            <v>0.88549618320610679</v>
          </cell>
          <cell r="P75">
            <v>0.58695652173913049</v>
          </cell>
          <cell r="Q75">
            <v>0.52127659574468088</v>
          </cell>
        </row>
        <row r="76">
          <cell r="B76" t="str">
            <v>WGL</v>
          </cell>
          <cell r="C76" t="str">
            <v>WGL Holdings Inc.</v>
          </cell>
          <cell r="D76">
            <v>68</v>
          </cell>
          <cell r="E76">
            <v>68</v>
          </cell>
          <cell r="F76">
            <v>0</v>
          </cell>
          <cell r="G76">
            <v>0.5902140672782874</v>
          </cell>
          <cell r="H76">
            <v>0.57911392405063289</v>
          </cell>
          <cell r="I76">
            <v>0.64179104477611937</v>
          </cell>
          <cell r="J76">
            <v>0.7186147186147186</v>
          </cell>
          <cell r="K76">
            <v>0.59328358208955223</v>
          </cell>
          <cell r="L76">
            <v>0.68888888888888888</v>
          </cell>
          <cell r="M76">
            <v>0.66079295154185025</v>
          </cell>
          <cell r="N76">
            <v>0.58102766798418981</v>
          </cell>
          <cell r="O76">
            <v>0.57704918032786878</v>
          </cell>
          <cell r="P76">
            <v>0.65311004784688997</v>
          </cell>
          <cell r="Q76">
            <v>0.69329896907216493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69</v>
          </cell>
          <cell r="E77">
            <v>69</v>
          </cell>
          <cell r="F77">
            <v>0</v>
          </cell>
          <cell r="G77">
            <v>0.61538461538461542</v>
          </cell>
          <cell r="H77">
            <v>0.60952380952380947</v>
          </cell>
          <cell r="I77">
            <v>0.59113300492610843</v>
          </cell>
          <cell r="J77">
            <v>0.5811518324607331</v>
          </cell>
          <cell r="K77">
            <v>0.57837837837837835</v>
          </cell>
          <cell r="L77">
            <v>0.59883720930232565</v>
          </cell>
          <cell r="M77">
            <v>0.64102564102564097</v>
          </cell>
          <cell r="N77">
            <v>0.65100671140939592</v>
          </cell>
          <cell r="O77">
            <v>0.64383561643835618</v>
          </cell>
          <cell r="P77">
            <v>0.67407407407407405</v>
          </cell>
          <cell r="Q77">
            <v>0.65185185185185179</v>
          </cell>
        </row>
        <row r="78">
          <cell r="B78" t="str">
            <v>YORW</v>
          </cell>
          <cell r="C78" t="str">
            <v>York Water Co. (The)</v>
          </cell>
          <cell r="D78">
            <v>70</v>
          </cell>
          <cell r="E78">
            <v>70</v>
          </cell>
          <cell r="F78">
            <v>0</v>
          </cell>
          <cell r="G78" t="str">
            <v>N/A</v>
          </cell>
          <cell r="H78">
            <v>0.61855670103092786</v>
          </cell>
          <cell r="I78">
            <v>0.64269662921348303</v>
          </cell>
          <cell r="J78">
            <v>0.7360000000000001</v>
          </cell>
          <cell r="K78">
            <v>0.74861111111111123</v>
          </cell>
          <cell r="L78">
            <v>0.74225352112676068</v>
          </cell>
          <cell r="M78">
            <v>0.72535211267605637</v>
          </cell>
          <cell r="N78">
            <v>0.79062500000000002</v>
          </cell>
          <cell r="O78">
            <v>0.85789473684210527</v>
          </cell>
          <cell r="P78">
            <v>0.83333333333333337</v>
          </cell>
          <cell r="Q78">
            <v>0.78275862068965529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</sheetData>
      <sheetData sheetId="24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1.321942110177404</v>
          </cell>
          <cell r="H5">
            <v>1.162472179421332</v>
          </cell>
          <cell r="I5">
            <v>0.45476400352592355</v>
          </cell>
          <cell r="J5">
            <v>0.67359798361688716</v>
          </cell>
          <cell r="K5">
            <v>0.48626080201961358</v>
          </cell>
          <cell r="L5">
            <v>0.77002664994513248</v>
          </cell>
          <cell r="M5">
            <v>0.62591687041564792</v>
          </cell>
          <cell r="N5">
            <v>0.39467285587975243</v>
          </cell>
          <cell r="O5">
            <v>0.45831528800346466</v>
          </cell>
          <cell r="P5">
            <v>0.64747252747252737</v>
          </cell>
          <cell r="Q5">
            <v>1.2317979197622584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 t="str">
            <v>N/A</v>
          </cell>
          <cell r="H6">
            <v>0.81120527306967982</v>
          </cell>
          <cell r="I6">
            <v>0.91007669928590318</v>
          </cell>
          <cell r="J6">
            <v>1.0075369309617124</v>
          </cell>
          <cell r="K6">
            <v>0.56507571401188428</v>
          </cell>
          <cell r="L6">
            <v>0.90801186943620182</v>
          </cell>
          <cell r="M6">
            <v>0.66615502686108985</v>
          </cell>
          <cell r="N6">
            <v>0.3870077291129923</v>
          </cell>
          <cell r="O6">
            <v>0.57250565468710735</v>
          </cell>
          <cell r="P6">
            <v>1.0419381107491859</v>
          </cell>
          <cell r="Q6">
            <v>1.2653419053185271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0.76119402985074625</v>
          </cell>
          <cell r="H7">
            <v>1.1743311036789299</v>
          </cell>
          <cell r="I7">
            <v>1.4086589229144668</v>
          </cell>
          <cell r="J7">
            <v>1.0552683896620279</v>
          </cell>
          <cell r="K7">
            <v>1.4027149321266967</v>
          </cell>
          <cell r="L7">
            <v>1.0009389671361504</v>
          </cell>
          <cell r="M7">
            <v>0.9971711456859973</v>
          </cell>
          <cell r="N7">
            <v>0.81435406698564594</v>
          </cell>
          <cell r="O7">
            <v>0.75741239892183287</v>
          </cell>
          <cell r="P7">
            <v>1.1423635107118175</v>
          </cell>
          <cell r="Q7">
            <v>0.74091141833077323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0.71471267490830059</v>
          </cell>
          <cell r="H8">
            <v>0.78868910404180115</v>
          </cell>
          <cell r="I8">
            <v>0.89207957957957951</v>
          </cell>
          <cell r="J8">
            <v>0.79268957992362254</v>
          </cell>
          <cell r="K8">
            <v>0.81379836096817226</v>
          </cell>
          <cell r="L8">
            <v>0.70940170940170943</v>
          </cell>
          <cell r="M8">
            <v>0.81302857142857143</v>
          </cell>
          <cell r="N8">
            <v>0.64198354458527906</v>
          </cell>
          <cell r="O8">
            <v>0.45440126883425858</v>
          </cell>
          <cell r="P8">
            <v>-9.8713351613583647E-2</v>
          </cell>
          <cell r="Q8">
            <v>0.15005807200929153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0.74985767960833438</v>
          </cell>
          <cell r="H9">
            <v>0.74910659272951319</v>
          </cell>
          <cell r="I9">
            <v>0.75306708431218994</v>
          </cell>
          <cell r="J9">
            <v>0.89401942409269042</v>
          </cell>
          <cell r="K9">
            <v>1.0705432008749545</v>
          </cell>
          <cell r="L9">
            <v>1.305043323705843</v>
          </cell>
          <cell r="M9">
            <v>1.3568518121381083</v>
          </cell>
          <cell r="N9">
            <v>0.8059880239520959</v>
          </cell>
          <cell r="O9">
            <v>0.66068130515083112</v>
          </cell>
          <cell r="P9">
            <v>0.97239792984473838</v>
          </cell>
          <cell r="Q9">
            <v>1.2056112224448898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0.84817225838758137</v>
          </cell>
          <cell r="H10">
            <v>0.85172929120409901</v>
          </cell>
          <cell r="I10">
            <v>0.87229387379087986</v>
          </cell>
          <cell r="J10">
            <v>0.90613298902517747</v>
          </cell>
          <cell r="K10">
            <v>1.0730345790044968</v>
          </cell>
          <cell r="L10">
            <v>1.189198606271777</v>
          </cell>
          <cell r="M10">
            <v>1.2420055270430319</v>
          </cell>
          <cell r="N10">
            <v>1.0205037132709074</v>
          </cell>
          <cell r="O10">
            <v>0.69535143932458554</v>
          </cell>
          <cell r="P10">
            <v>0.7654543407273956</v>
          </cell>
          <cell r="Q10">
            <v>0.74971891162581517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0.95877721167207042</v>
          </cell>
          <cell r="H11">
            <v>0.90609874152952574</v>
          </cell>
          <cell r="I11">
            <v>1.0255434782608694</v>
          </cell>
          <cell r="J11">
            <v>1.0519630484988454</v>
          </cell>
          <cell r="K11">
            <v>0.76108870967741937</v>
          </cell>
          <cell r="L11">
            <v>0.76050420168067223</v>
          </cell>
          <cell r="M11">
            <v>0.75026399155227042</v>
          </cell>
          <cell r="N11">
            <v>0.77316486161251508</v>
          </cell>
          <cell r="O11">
            <v>0.71898734177215184</v>
          </cell>
          <cell r="P11">
            <v>0.76890756302521013</v>
          </cell>
          <cell r="Q11">
            <v>0.61472915398660988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0.5917957544463569</v>
          </cell>
          <cell r="H12">
            <v>0.60495368924966175</v>
          </cell>
          <cell r="I12">
            <v>0.6510817307692307</v>
          </cell>
          <cell r="J12">
            <v>0.55121741928563772</v>
          </cell>
          <cell r="K12">
            <v>0.58638098756310786</v>
          </cell>
          <cell r="L12">
            <v>0.68444702130743595</v>
          </cell>
          <cell r="M12">
            <v>0.77068793619142573</v>
          </cell>
          <cell r="N12">
            <v>0.77892824704813812</v>
          </cell>
          <cell r="O12">
            <v>0.80634615384615371</v>
          </cell>
          <cell r="P12">
            <v>0.94127020259503758</v>
          </cell>
          <cell r="Q12">
            <v>0.81798962137228526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0.85771180304127448</v>
          </cell>
          <cell r="H13">
            <v>0.88923779617470744</v>
          </cell>
          <cell r="I13" t="str">
            <v>N/A</v>
          </cell>
          <cell r="J13" t="str">
            <v>N/A</v>
          </cell>
          <cell r="K13" t="str">
            <v>N/A</v>
          </cell>
          <cell r="L13" t="str">
            <v>N/A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0.83504179151553382</v>
          </cell>
          <cell r="H14">
            <v>0.76183844011142066</v>
          </cell>
          <cell r="I14">
            <v>0.79576178297405908</v>
          </cell>
          <cell r="J14">
            <v>0.86422200198216059</v>
          </cell>
          <cell r="K14">
            <v>0.80212397052449069</v>
          </cell>
          <cell r="L14">
            <v>0.89938154138915327</v>
          </cell>
          <cell r="M14">
            <v>0.99450851180669964</v>
          </cell>
          <cell r="N14">
            <v>1.1526697770865733</v>
          </cell>
          <cell r="O14">
            <v>0.97333007095669211</v>
          </cell>
          <cell r="P14">
            <v>0.72531551596139565</v>
          </cell>
          <cell r="Q14">
            <v>1.3584605597964376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0.70665617270069714</v>
          </cell>
          <cell r="H15">
            <v>0.63673148252219847</v>
          </cell>
          <cell r="I15">
            <v>0.70011210762331844</v>
          </cell>
          <cell r="J15">
            <v>0.74372804816859006</v>
          </cell>
          <cell r="K15">
            <v>0.70777412003038742</v>
          </cell>
          <cell r="L15">
            <v>0.39928236818498958</v>
          </cell>
          <cell r="M15">
            <v>0.4050843233363795</v>
          </cell>
          <cell r="N15">
            <v>0.60813391753735535</v>
          </cell>
          <cell r="O15">
            <v>0.34688124045577351</v>
          </cell>
          <cell r="P15">
            <v>0.76456977584960228</v>
          </cell>
          <cell r="Q15">
            <v>0.54500216356555609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0.49046721139744404</v>
          </cell>
          <cell r="H16">
            <v>0.60097455332972394</v>
          </cell>
          <cell r="I16">
            <v>0.89351684172401302</v>
          </cell>
          <cell r="J16">
            <v>0.858307453416149</v>
          </cell>
          <cell r="K16">
            <v>0.76224926011180538</v>
          </cell>
          <cell r="L16">
            <v>0.72996823155665369</v>
          </cell>
          <cell r="M16">
            <v>0.64963012777404161</v>
          </cell>
          <cell r="N16">
            <v>0.7262485918137439</v>
          </cell>
          <cell r="O16">
            <v>0.77187888842803809</v>
          </cell>
          <cell r="P16">
            <v>0.84937466014138119</v>
          </cell>
          <cell r="Q16">
            <v>0.63440860215053774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1.1203167834297898</v>
          </cell>
          <cell r="H17">
            <v>0.92290988056460366</v>
          </cell>
          <cell r="I17">
            <v>1.2041901188242652</v>
          </cell>
          <cell r="J17">
            <v>1.1817878585723816</v>
          </cell>
          <cell r="K17">
            <v>1.3724867724867724</v>
          </cell>
          <cell r="L17">
            <v>1.1223021582733814</v>
          </cell>
          <cell r="M17">
            <v>0.88347875035181533</v>
          </cell>
          <cell r="N17">
            <v>0.99324552516041875</v>
          </cell>
          <cell r="O17">
            <v>1.1598235493722431</v>
          </cell>
          <cell r="P17">
            <v>0.98290845886442635</v>
          </cell>
          <cell r="Q17">
            <v>1.0794145126128933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 t="str">
            <v>N/A</v>
          </cell>
          <cell r="H18" t="str">
            <v>N/A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0.4955369997120645</v>
          </cell>
          <cell r="H19">
            <v>0.53347412882787748</v>
          </cell>
          <cell r="I19">
            <v>0.71006006006006006</v>
          </cell>
          <cell r="J19">
            <v>0.64736528728788334</v>
          </cell>
          <cell r="K19">
            <v>0.79048380647740912</v>
          </cell>
          <cell r="L19">
            <v>1.1244661378889567</v>
          </cell>
          <cell r="M19">
            <v>1.0997168921044354</v>
          </cell>
          <cell r="N19">
            <v>1.1377118644067798</v>
          </cell>
          <cell r="O19">
            <v>0.83250083250083251</v>
          </cell>
          <cell r="P19">
            <v>0.81897952551186226</v>
          </cell>
          <cell r="Q19">
            <v>0.44731977818853974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 t="str">
            <v>N/A</v>
          </cell>
          <cell r="H20" t="str">
            <v>N/A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0.81462925851703405</v>
          </cell>
          <cell r="H21">
            <v>0.81392876129718239</v>
          </cell>
          <cell r="I21">
            <v>0.73682373472949392</v>
          </cell>
          <cell r="J21">
            <v>0.81522394055031133</v>
          </cell>
          <cell r="K21">
            <v>0.8224278949634094</v>
          </cell>
          <cell r="L21">
            <v>1.052146355517142</v>
          </cell>
          <cell r="M21">
            <v>1.1255700820918211</v>
          </cell>
          <cell r="N21">
            <v>0.96600724435775986</v>
          </cell>
          <cell r="O21">
            <v>1.1086335048599198</v>
          </cell>
          <cell r="P21">
            <v>0.54937611408199638</v>
          </cell>
          <cell r="Q21">
            <v>1.0718323910874625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0.55861022094788326</v>
          </cell>
          <cell r="H22">
            <v>0.74108599394080632</v>
          </cell>
          <cell r="I22">
            <v>0.72399512789281351</v>
          </cell>
          <cell r="J22">
            <v>0.87139542591978791</v>
          </cell>
          <cell r="K22">
            <v>0.94867193108399128</v>
          </cell>
          <cell r="L22">
            <v>0.80620451934124848</v>
          </cell>
          <cell r="M22">
            <v>0.66699378475629711</v>
          </cell>
          <cell r="N22">
            <v>0.58950899664531875</v>
          </cell>
          <cell r="O22">
            <v>0.79885057471264365</v>
          </cell>
          <cell r="P22">
            <v>0.84852546916890081</v>
          </cell>
          <cell r="Q22">
            <v>0.77488514548238896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0.65348914304657713</v>
          </cell>
          <cell r="H23">
            <v>0.76062553967187951</v>
          </cell>
          <cell r="I23">
            <v>0.88352100738588202</v>
          </cell>
          <cell r="J23">
            <v>0.85933533348719127</v>
          </cell>
          <cell r="K23">
            <v>1.0114649681528662</v>
          </cell>
          <cell r="L23">
            <v>0.98377010125074449</v>
          </cell>
          <cell r="M23">
            <v>0.89752802529462483</v>
          </cell>
          <cell r="N23">
            <v>0.75144212280476863</v>
          </cell>
          <cell r="O23">
            <v>0.70463638503177228</v>
          </cell>
          <cell r="P23">
            <v>0.81433408577878108</v>
          </cell>
          <cell r="Q23">
            <v>0.73585168664622247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4.0944206008583688</v>
          </cell>
          <cell r="H24">
            <v>4.2227488151658772</v>
          </cell>
          <cell r="I24">
            <v>2.4922118380062308</v>
          </cell>
          <cell r="J24">
            <v>3.2551020408163267</v>
          </cell>
          <cell r="K24">
            <v>3.7284345047923324</v>
          </cell>
          <cell r="L24">
            <v>0.86743215031315235</v>
          </cell>
          <cell r="M24">
            <v>9.931034482758621</v>
          </cell>
          <cell r="N24">
            <v>6.7045454545454541</v>
          </cell>
          <cell r="O24">
            <v>2.0765864332603936</v>
          </cell>
          <cell r="P24">
            <v>2.2300556586270868</v>
          </cell>
          <cell r="Q24">
            <v>0.47489082969432311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0.65273909006499542</v>
          </cell>
          <cell r="H25">
            <v>0.6400684565194138</v>
          </cell>
          <cell r="I25">
            <v>0.62527376259307932</v>
          </cell>
          <cell r="J25">
            <v>0.77458203457069985</v>
          </cell>
          <cell r="K25">
            <v>0.72883947185545517</v>
          </cell>
          <cell r="L25">
            <v>0.78705148205928233</v>
          </cell>
          <cell r="M25">
            <v>0.86642905634758993</v>
          </cell>
          <cell r="N25">
            <v>0.75238244024371193</v>
          </cell>
          <cell r="O25">
            <v>0.83147358057105347</v>
          </cell>
          <cell r="P25">
            <v>0.73787394713912291</v>
          </cell>
          <cell r="Q25">
            <v>0.84582256675279943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0.93006931648679469</v>
          </cell>
          <cell r="H26">
            <v>0.83864948911594839</v>
          </cell>
          <cell r="I26">
            <v>1.023926751317267</v>
          </cell>
          <cell r="J26">
            <v>0.9557296582971494</v>
          </cell>
          <cell r="K26">
            <v>0.92528409090909092</v>
          </cell>
          <cell r="L26">
            <v>1.0910127737226278</v>
          </cell>
          <cell r="M26">
            <v>1.5076306459071989</v>
          </cell>
          <cell r="N26">
            <v>1.4993608181527642</v>
          </cell>
          <cell r="O26">
            <v>0.98040845404891941</v>
          </cell>
          <cell r="P26">
            <v>1.0662226690123147</v>
          </cell>
          <cell r="Q26">
            <v>1.0342171717171718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0.81509701426419767</v>
          </cell>
          <cell r="H27">
            <v>0.95586739882041905</v>
          </cell>
          <cell r="I27">
            <v>1.196323046618516</v>
          </cell>
          <cell r="J27">
            <v>1.0933946595119459</v>
          </cell>
          <cell r="K27">
            <v>0.86997696442283079</v>
          </cell>
          <cell r="L27">
            <v>0.8858950806286997</v>
          </cell>
          <cell r="M27">
            <v>0.78262473485197825</v>
          </cell>
          <cell r="N27">
            <v>0.76977759723773742</v>
          </cell>
          <cell r="O27">
            <v>0.70981150314161423</v>
          </cell>
          <cell r="P27">
            <v>1.0912639655404495</v>
          </cell>
          <cell r="Q27">
            <v>0.97459727385377937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0.90969374400139602</v>
          </cell>
          <cell r="H28">
            <v>0.79811844540407151</v>
          </cell>
          <cell r="I28">
            <v>0.83001084327300023</v>
          </cell>
          <cell r="J28">
            <v>0.79639688575049805</v>
          </cell>
          <cell r="K28">
            <v>0.75608606879220985</v>
          </cell>
          <cell r="L28">
            <v>0.61191299044521241</v>
          </cell>
          <cell r="M28">
            <v>0.60334193918531265</v>
          </cell>
          <cell r="N28">
            <v>0.79072768787848702</v>
          </cell>
          <cell r="O28">
            <v>0.9326257498846332</v>
          </cell>
          <cell r="P28">
            <v>0.87572054415494582</v>
          </cell>
          <cell r="Q28">
            <v>0.93178314491264136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0.8503130335799659</v>
          </cell>
          <cell r="H29">
            <v>0.67220014028524666</v>
          </cell>
          <cell r="I29">
            <v>0.6908598988354312</v>
          </cell>
          <cell r="J29">
            <v>0.78566457898399444</v>
          </cell>
          <cell r="K29">
            <v>0.84505150022391395</v>
          </cell>
          <cell r="L29">
            <v>1.0254237288135593</v>
          </cell>
          <cell r="M29">
            <v>0.97835580026580582</v>
          </cell>
          <cell r="N29">
            <v>0.68398923646148679</v>
          </cell>
          <cell r="O29">
            <v>0.77665732959850597</v>
          </cell>
          <cell r="P29">
            <v>0.83531445861249198</v>
          </cell>
          <cell r="Q29">
            <v>1.2583241858763263</v>
          </cell>
        </row>
        <row r="30">
          <cell r="B30" t="str">
            <v>EDE</v>
          </cell>
          <cell r="C30" t="str">
            <v>Empire District Electric</v>
          </cell>
          <cell r="D30">
            <v>29</v>
          </cell>
          <cell r="E30" t="e">
            <v>#N/A</v>
          </cell>
          <cell r="F30">
            <v>0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30</v>
          </cell>
          <cell r="E31">
            <v>29</v>
          </cell>
          <cell r="F31">
            <v>0</v>
          </cell>
          <cell r="G31">
            <v>1.0836902419261489</v>
          </cell>
          <cell r="H31">
            <v>1.0548075777433574</v>
          </cell>
          <cell r="I31">
            <v>1.1925516124679529</v>
          </cell>
          <cell r="J31">
            <v>1.0329348931841302</v>
          </cell>
          <cell r="K31">
            <v>0.87893289328932889</v>
          </cell>
          <cell r="L31">
            <v>1.1530417625780993</v>
          </cell>
          <cell r="M31">
            <v>1.2408074440942518</v>
          </cell>
          <cell r="N31">
            <v>1.0229407236335644</v>
          </cell>
          <cell r="O31">
            <v>0.92587271943686256</v>
          </cell>
          <cell r="P31">
            <v>1.1403576982892689</v>
          </cell>
          <cell r="Q31">
            <v>1.1333333333333333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31</v>
          </cell>
          <cell r="E32">
            <v>30</v>
          </cell>
          <cell r="F32">
            <v>0</v>
          </cell>
          <cell r="G32">
            <v>0.87495992305226034</v>
          </cell>
          <cell r="H32">
            <v>0.90857247976453281</v>
          </cell>
          <cell r="I32">
            <v>0.90096857086380699</v>
          </cell>
          <cell r="J32">
            <v>1.1296256221597056</v>
          </cell>
          <cell r="K32">
            <v>0.86049488054607515</v>
          </cell>
          <cell r="L32">
            <v>0.80223757815070751</v>
          </cell>
          <cell r="M32">
            <v>1.0493621741541874</v>
          </cell>
          <cell r="N32">
            <v>0.9590021272481144</v>
          </cell>
          <cell r="O32">
            <v>0.76501986097318775</v>
          </cell>
          <cell r="P32">
            <v>0.67544843049327352</v>
          </cell>
          <cell r="Q32">
            <v>0.67219387755102034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32</v>
          </cell>
          <cell r="E33">
            <v>31</v>
          </cell>
          <cell r="F33">
            <v>0</v>
          </cell>
          <cell r="G33">
            <v>0.75680639585133969</v>
          </cell>
          <cell r="H33">
            <v>0.82058397683397688</v>
          </cell>
          <cell r="I33">
            <v>0.93477645727221292</v>
          </cell>
          <cell r="J33">
            <v>1.0686477037978706</v>
          </cell>
          <cell r="K33">
            <v>0.9754873006497341</v>
          </cell>
          <cell r="L33">
            <v>1.1872640735269981</v>
          </cell>
          <cell r="M33">
            <v>1.6555223880597016</v>
          </cell>
          <cell r="N33">
            <v>1.6623664583753275</v>
          </cell>
          <cell r="O33">
            <v>1.6121199324324325</v>
          </cell>
          <cell r="P33">
            <v>1.8358872960949084</v>
          </cell>
          <cell r="Q33">
            <v>1.8601108033240998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33</v>
          </cell>
          <cell r="E34">
            <v>32</v>
          </cell>
          <cell r="F34">
            <v>0</v>
          </cell>
          <cell r="G34">
            <v>0.94188058840496103</v>
          </cell>
          <cell r="H34">
            <v>0.92594760720035119</v>
          </cell>
          <cell r="I34">
            <v>0.54050843430743645</v>
          </cell>
          <cell r="J34">
            <v>0.91346571966951728</v>
          </cell>
          <cell r="K34">
            <v>0.8542401580358403</v>
          </cell>
          <cell r="L34">
            <v>1.054892601431981</v>
          </cell>
          <cell r="M34">
            <v>1.3203416149068323</v>
          </cell>
          <cell r="N34">
            <v>1.2173792721737926</v>
          </cell>
          <cell r="O34">
            <v>0.95429596791218074</v>
          </cell>
          <cell r="P34">
            <v>1.5572148590629085</v>
          </cell>
          <cell r="Q34">
            <v>1.7526699029126214</v>
          </cell>
        </row>
        <row r="35">
          <cell r="B35" t="str">
            <v>FTS.TO</v>
          </cell>
          <cell r="C35" t="str">
            <v>Fortis Inc.</v>
          </cell>
          <cell r="D35">
            <v>34</v>
          </cell>
          <cell r="E35">
            <v>33</v>
          </cell>
          <cell r="F35">
            <v>0</v>
          </cell>
          <cell r="G35">
            <v>0.76076368595363331</v>
          </cell>
          <cell r="H35">
            <v>0.65453175997991464</v>
          </cell>
          <cell r="I35">
            <v>0.60383333333333333</v>
          </cell>
          <cell r="J35">
            <v>0.77089201877934277</v>
          </cell>
          <cell r="K35">
            <v>0.72235915492957747</v>
          </cell>
          <cell r="L35">
            <v>0.66040609137055839</v>
          </cell>
          <cell r="M35">
            <v>0.67668534555951765</v>
          </cell>
          <cell r="N35">
            <v>0.63104281767955794</v>
          </cell>
          <cell r="O35">
            <v>0.6559985027138312</v>
          </cell>
          <cell r="P35">
            <v>0.57389114855704049</v>
          </cell>
          <cell r="Q35">
            <v>0.63397876327295444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 t="str">
            <v>N/A</v>
          </cell>
          <cell r="H36" t="str">
            <v>N/A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36</v>
          </cell>
          <cell r="E37">
            <v>35</v>
          </cell>
          <cell r="F37">
            <v>0</v>
          </cell>
          <cell r="G37">
            <v>1.1726668996854246</v>
          </cell>
          <cell r="H37">
            <v>0.9002939181550984</v>
          </cell>
          <cell r="I37">
            <v>0.78561630413482275</v>
          </cell>
          <cell r="J37">
            <v>0.90598870056497183</v>
          </cell>
          <cell r="K37">
            <v>0.85931653778997241</v>
          </cell>
          <cell r="L37">
            <v>1.0335689045936396</v>
          </cell>
          <cell r="M37">
            <v>0.86481947942905124</v>
          </cell>
          <cell r="N37">
            <v>0.50315919247958085</v>
          </cell>
          <cell r="O37">
            <v>0.34909706546275399</v>
          </cell>
          <cell r="P37">
            <v>0.68931880994960171</v>
          </cell>
          <cell r="Q37">
            <v>0.63843863711544813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37</v>
          </cell>
          <cell r="E38">
            <v>36</v>
          </cell>
          <cell r="F38">
            <v>0</v>
          </cell>
          <cell r="G38">
            <v>1.3723684210526315</v>
          </cell>
          <cell r="H38">
            <v>0.97725258493353029</v>
          </cell>
          <cell r="I38">
            <v>1.0289855072463769</v>
          </cell>
          <cell r="J38">
            <v>0.92188841201716731</v>
          </cell>
          <cell r="K38">
            <v>0.9873646209386282</v>
          </cell>
          <cell r="L38">
            <v>1.3002450980392157</v>
          </cell>
          <cell r="M38">
            <v>1.4976599063962557</v>
          </cell>
          <cell r="N38">
            <v>0.78658166363084403</v>
          </cell>
          <cell r="O38">
            <v>0.87355584082156612</v>
          </cell>
          <cell r="P38">
            <v>1.1521406727828745</v>
          </cell>
          <cell r="Q38">
            <v>1.234907120743034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38</v>
          </cell>
          <cell r="E39">
            <v>37</v>
          </cell>
          <cell r="F39">
            <v>0</v>
          </cell>
          <cell r="G39">
            <v>1.1637813985064493</v>
          </cell>
          <cell r="H39">
            <v>1.1470638589282658</v>
          </cell>
          <cell r="I39">
            <v>1.2061628760088041</v>
          </cell>
          <cell r="J39">
            <v>1.3439368061485908</v>
          </cell>
          <cell r="K39">
            <v>1.2410041841004185</v>
          </cell>
          <cell r="L39">
            <v>0.86305826678497499</v>
          </cell>
          <cell r="M39">
            <v>0.78147823546596551</v>
          </cell>
          <cell r="N39">
            <v>0.96444866920152106</v>
          </cell>
          <cell r="O39">
            <v>0.82315546137545748</v>
          </cell>
          <cell r="P39">
            <v>0.64406514249921709</v>
          </cell>
          <cell r="Q39">
            <v>0.88832880961613014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 t="str">
            <v>N/A</v>
          </cell>
          <cell r="H40" t="str">
            <v>N/A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 t="str">
            <v>N/A</v>
          </cell>
          <cell r="H41" t="str">
            <v>N/A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 t="str">
            <v>N/A</v>
          </cell>
          <cell r="H42" t="str">
            <v>N/A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39</v>
          </cell>
          <cell r="E43">
            <v>38</v>
          </cell>
          <cell r="F43">
            <v>0</v>
          </cell>
          <cell r="G43">
            <v>1.4368006630750105</v>
          </cell>
          <cell r="H43">
            <v>1.6044273339749762</v>
          </cell>
          <cell r="I43">
            <v>1.3060231949120837</v>
          </cell>
          <cell r="J43">
            <v>0.95544554455445541</v>
          </cell>
          <cell r="K43">
            <v>1.0479041916167664</v>
          </cell>
          <cell r="L43">
            <v>1.5627659574468087</v>
          </cell>
          <cell r="M43">
            <v>1.5711845102505695</v>
          </cell>
          <cell r="N43">
            <v>1.1282922684791843</v>
          </cell>
          <cell r="O43">
            <v>0.87008769080870396</v>
          </cell>
          <cell r="P43">
            <v>0.59473175447075877</v>
          </cell>
          <cell r="Q43">
            <v>0.79673691366417398</v>
          </cell>
        </row>
        <row r="44">
          <cell r="B44" t="str">
            <v>MSEX</v>
          </cell>
          <cell r="C44" t="str">
            <v>Middlesex Water</v>
          </cell>
          <cell r="D44">
            <v>40</v>
          </cell>
          <cell r="E44">
            <v>39</v>
          </cell>
          <cell r="F44">
            <v>0</v>
          </cell>
          <cell r="G44">
            <v>0.74716202270381837</v>
          </cell>
          <cell r="H44">
            <v>1.2392947103274559</v>
          </cell>
          <cell r="I44">
            <v>1.3162027123483226</v>
          </cell>
          <cell r="J44">
            <v>1.3656597774244832</v>
          </cell>
          <cell r="K44">
            <v>1.1400293255131964</v>
          </cell>
          <cell r="L44">
            <v>0.97599999999999998</v>
          </cell>
          <cell r="M44">
            <v>0.81335436382755</v>
          </cell>
          <cell r="N44">
            <v>0.94291470785762244</v>
          </cell>
          <cell r="O44">
            <v>0.72182932578972181</v>
          </cell>
          <cell r="P44">
            <v>0.90157004830917886</v>
          </cell>
          <cell r="Q44">
            <v>0.57805724197745012</v>
          </cell>
        </row>
        <row r="45">
          <cell r="B45" t="str">
            <v>NJR</v>
          </cell>
          <cell r="C45" t="str">
            <v>New Jersey Resources</v>
          </cell>
          <cell r="D45">
            <v>41</v>
          </cell>
          <cell r="E45">
            <v>40</v>
          </cell>
          <cell r="F45">
            <v>0</v>
          </cell>
          <cell r="G45">
            <v>0.59213699951760734</v>
          </cell>
          <cell r="H45">
            <v>0.67207878626563744</v>
          </cell>
          <cell r="I45">
            <v>1.7905449770190414</v>
          </cell>
          <cell r="J45">
            <v>1.4577677224736048</v>
          </cell>
          <cell r="K45">
            <v>1.4769108280254777</v>
          </cell>
          <cell r="L45">
            <v>1.5057573073516386</v>
          </cell>
          <cell r="M45">
            <v>1.547528517110266</v>
          </cell>
          <cell r="N45">
            <v>1.7486157253599113</v>
          </cell>
          <cell r="O45">
            <v>2.1058139534883722</v>
          </cell>
          <cell r="P45">
            <v>1.6712328767123288</v>
          </cell>
          <cell r="Q45">
            <v>2.1359374999999998</v>
          </cell>
        </row>
        <row r="46">
          <cell r="B46" t="str">
            <v>NEE</v>
          </cell>
          <cell r="C46" t="str">
            <v>NextEra Energy, Inc.</v>
          </cell>
          <cell r="D46">
            <v>42</v>
          </cell>
          <cell r="E46">
            <v>41</v>
          </cell>
          <cell r="F46">
            <v>0</v>
          </cell>
          <cell r="G46">
            <v>0.62991743564837299</v>
          </cell>
          <cell r="H46">
            <v>0.71091299323097246</v>
          </cell>
          <cell r="I46">
            <v>0.76401515151515154</v>
          </cell>
          <cell r="J46">
            <v>0.68589284551786989</v>
          </cell>
          <cell r="K46">
            <v>0.38926234650891817</v>
          </cell>
          <cell r="L46">
            <v>0.58312935417058942</v>
          </cell>
          <cell r="M46">
            <v>0.69260672377798582</v>
          </cell>
          <cell r="N46">
            <v>0.60261707988980717</v>
          </cell>
          <cell r="O46">
            <v>0.6267864115579852</v>
          </cell>
          <cell r="P46">
            <v>0.55612369125882644</v>
          </cell>
          <cell r="Q46">
            <v>0.73392605442914449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43</v>
          </cell>
          <cell r="E47">
            <v>42</v>
          </cell>
          <cell r="F47">
            <v>0</v>
          </cell>
          <cell r="G47">
            <v>0.59320920043811609</v>
          </cell>
          <cell r="H47">
            <v>0.53142589118198869</v>
          </cell>
          <cell r="I47">
            <v>0.56005608350210323</v>
          </cell>
          <cell r="J47">
            <v>0.56816285666611044</v>
          </cell>
          <cell r="K47">
            <v>0.64886128364389228</v>
          </cell>
          <cell r="L47">
            <v>0.74824473420260784</v>
          </cell>
          <cell r="M47">
            <v>1.108408617095205</v>
          </cell>
          <cell r="N47">
            <v>1.0551994301994303</v>
          </cell>
          <cell r="O47">
            <v>0.93834841628959276</v>
          </cell>
          <cell r="P47">
            <v>1.1144347826086958</v>
          </cell>
          <cell r="Q47">
            <v>1.3658222413052812</v>
          </cell>
        </row>
        <row r="48">
          <cell r="B48" t="str">
            <v>NWN</v>
          </cell>
          <cell r="C48" t="str">
            <v>Northwest Nat. Gas</v>
          </cell>
          <cell r="D48">
            <v>44</v>
          </cell>
          <cell r="E48">
            <v>43</v>
          </cell>
          <cell r="F48">
            <v>0</v>
          </cell>
          <cell r="G48">
            <v>1.0119023189000615</v>
          </cell>
          <cell r="H48">
            <v>1.1233409610983982</v>
          </cell>
          <cell r="I48">
            <v>1.1481144934120855</v>
          </cell>
          <cell r="J48">
            <v>0.98206977197427392</v>
          </cell>
          <cell r="K48">
            <v>1.0063200815494393</v>
          </cell>
          <cell r="L48">
            <v>1.3321799307958477</v>
          </cell>
          <cell r="M48">
            <v>0.55448615121377387</v>
          </cell>
          <cell r="N48">
            <v>1.0208128804241114</v>
          </cell>
          <cell r="O48">
            <v>1.3524464831804281</v>
          </cell>
          <cell r="P48">
            <v>1.2081751172660262</v>
          </cell>
          <cell r="Q48">
            <v>1.3355780022446688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45</v>
          </cell>
          <cell r="E49">
            <v>44</v>
          </cell>
          <cell r="F49">
            <v>0</v>
          </cell>
          <cell r="G49">
            <v>1.130938391807957</v>
          </cell>
          <cell r="H49">
            <v>1.0059432840889795</v>
          </cell>
          <cell r="I49">
            <v>0.93492972410203024</v>
          </cell>
          <cell r="J49">
            <v>0.91661062542030924</v>
          </cell>
          <cell r="K49">
            <v>0.87979626485568774</v>
          </cell>
          <cell r="L49">
            <v>1.0420991926182239</v>
          </cell>
          <cell r="M49">
            <v>0.75583055687767731</v>
          </cell>
          <cell r="N49">
            <v>0.87811370983076631</v>
          </cell>
          <cell r="O49">
            <v>1.2699740409576001</v>
          </cell>
          <cell r="P49">
            <v>1.2330226364846872</v>
          </cell>
          <cell r="Q49">
            <v>1.2883588465646136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46</v>
          </cell>
          <cell r="E50">
            <v>45</v>
          </cell>
          <cell r="F50">
            <v>0</v>
          </cell>
          <cell r="G50">
            <v>1.0012102874432678</v>
          </cell>
          <cell r="H50">
            <v>1.178271965001823</v>
          </cell>
          <cell r="I50">
            <v>1.1894921190893171</v>
          </cell>
          <cell r="J50">
            <v>0.69278557114228456</v>
          </cell>
          <cell r="K50">
            <v>0.63085070037581137</v>
          </cell>
          <cell r="L50">
            <v>0.51166023166023167</v>
          </cell>
          <cell r="M50">
            <v>0.69012147604859042</v>
          </cell>
          <cell r="N50">
            <v>0.61441647597254001</v>
          </cell>
          <cell r="O50">
            <v>0.59860383944153572</v>
          </cell>
          <cell r="P50">
            <v>0.78801843317972364</v>
          </cell>
          <cell r="Q50">
            <v>0.83733133433283358</v>
          </cell>
        </row>
        <row r="51">
          <cell r="B51" t="str">
            <v>OGS</v>
          </cell>
          <cell r="C51" t="str">
            <v>ONE Gas Inc.</v>
          </cell>
          <cell r="D51">
            <v>47</v>
          </cell>
          <cell r="E51">
            <v>46</v>
          </cell>
          <cell r="F51">
            <v>0</v>
          </cell>
          <cell r="G51">
            <v>0.91864005412719896</v>
          </cell>
          <cell r="H51">
            <v>0.85635653409090917</v>
          </cell>
          <cell r="I51">
            <v>0.79277699859747552</v>
          </cell>
          <cell r="J51" t="str">
            <v>N/A</v>
          </cell>
          <cell r="K51" t="str">
            <v>N/A</v>
          </cell>
          <cell r="L51" t="str">
            <v>N/A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48</v>
          </cell>
          <cell r="E52">
            <v>47</v>
          </cell>
          <cell r="F52">
            <v>0</v>
          </cell>
          <cell r="G52">
            <v>0.84016593460224509</v>
          </cell>
          <cell r="H52">
            <v>0.74296524000945852</v>
          </cell>
          <cell r="I52">
            <v>0.70284414106939708</v>
          </cell>
          <cell r="J52">
            <v>0.66607851786501993</v>
          </cell>
          <cell r="K52">
            <v>0.84629803186504216</v>
          </cell>
          <cell r="L52">
            <v>1.1582557569818717</v>
          </cell>
          <cell r="M52">
            <v>1.0921329406815314</v>
          </cell>
          <cell r="N52">
            <v>0.55843105539830173</v>
          </cell>
          <cell r="O52">
            <v>0.37410167686984291</v>
          </cell>
          <cell r="P52">
            <v>0.65468951538603282</v>
          </cell>
          <cell r="Q52">
            <v>1.4400510204081634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 t="str">
            <v>N/A</v>
          </cell>
          <cell r="H53" t="str">
            <v>N/A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49</v>
          </cell>
          <cell r="E54">
            <v>48</v>
          </cell>
          <cell r="F54">
            <v>0</v>
          </cell>
          <cell r="G54">
            <v>0.73079996448548346</v>
          </cell>
          <cell r="H54">
            <v>0.69317101008179571</v>
          </cell>
          <cell r="I54">
            <v>0.80059084194977859</v>
          </cell>
          <cell r="J54">
            <v>0.55525346430450806</v>
          </cell>
          <cell r="K54">
            <v>0.6814456035767511</v>
          </cell>
          <cell r="L54">
            <v>0.82542113323124056</v>
          </cell>
          <cell r="M54">
            <v>0.8547817047817049</v>
          </cell>
          <cell r="N54">
            <v>0.78342696629213493</v>
          </cell>
          <cell r="O54">
            <v>0.83986863057324845</v>
          </cell>
          <cell r="P54">
            <v>1.0245273377618804</v>
          </cell>
          <cell r="Q54">
            <v>1.1240579710144927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50</v>
          </cell>
          <cell r="E55">
            <v>49</v>
          </cell>
          <cell r="F55">
            <v>0</v>
          </cell>
          <cell r="G55">
            <v>0.80687580575848727</v>
          </cell>
          <cell r="H55">
            <v>0.92360052829421913</v>
          </cell>
          <cell r="I55">
            <v>0.96537726838586446</v>
          </cell>
          <cell r="J55">
            <v>0.871246928090608</v>
          </cell>
          <cell r="K55">
            <v>0.96032516379519528</v>
          </cell>
          <cell r="L55">
            <v>0.91056517003509618</v>
          </cell>
          <cell r="M55">
            <v>0.97356076759061838</v>
          </cell>
          <cell r="N55">
            <v>1.0567765567765566</v>
          </cell>
          <cell r="O55">
            <v>0.85983086680761101</v>
          </cell>
          <cell r="P55">
            <v>0.99167644861807691</v>
          </cell>
          <cell r="Q55">
            <v>1.2773020682387037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51</v>
          </cell>
          <cell r="E56">
            <v>50</v>
          </cell>
          <cell r="F56">
            <v>0</v>
          </cell>
          <cell r="G56">
            <v>0.5682240509689408</v>
          </cell>
          <cell r="H56">
            <v>0.56723228290317984</v>
          </cell>
          <cell r="I56">
            <v>0.62597267854054983</v>
          </cell>
          <cell r="J56">
            <v>0.80407415884641797</v>
          </cell>
          <cell r="K56">
            <v>0.87158329035585347</v>
          </cell>
          <cell r="L56">
            <v>0.7743664717348927</v>
          </cell>
          <cell r="M56">
            <v>0.82112068965517226</v>
          </cell>
          <cell r="N56">
            <v>0.69756244357508279</v>
          </cell>
          <cell r="O56">
            <v>0.44054189663823379</v>
          </cell>
          <cell r="P56">
            <v>0.42772911051212942</v>
          </cell>
          <cell r="Q56">
            <v>0.88550185873605947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52</v>
          </cell>
          <cell r="E57">
            <v>51</v>
          </cell>
          <cell r="F57">
            <v>0</v>
          </cell>
          <cell r="G57">
            <v>0.88014011574779172</v>
          </cell>
          <cell r="H57">
            <v>0.7976243504083147</v>
          </cell>
          <cell r="I57">
            <v>0.47269478753981203</v>
          </cell>
          <cell r="J57">
            <v>0.58683490060707055</v>
          </cell>
          <cell r="K57">
            <v>1.283790523690773</v>
          </cell>
          <cell r="L57">
            <v>1.2466716905300177</v>
          </cell>
          <cell r="M57">
            <v>0.80669456066945622</v>
          </cell>
          <cell r="N57">
            <v>0.43970175059433758</v>
          </cell>
          <cell r="O57">
            <v>0.77013559875837279</v>
          </cell>
          <cell r="P57">
            <v>0.71650405386835236</v>
          </cell>
          <cell r="Q57">
            <v>0.78167115902964956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53</v>
          </cell>
          <cell r="E58">
            <v>52</v>
          </cell>
          <cell r="F58">
            <v>0</v>
          </cell>
          <cell r="G58">
            <v>0.99581005586592164</v>
          </cell>
          <cell r="H58">
            <v>0.72038909021552544</v>
          </cell>
          <cell r="I58">
            <v>0.74523848282598082</v>
          </cell>
          <cell r="J58">
            <v>0.69425321759952108</v>
          </cell>
          <cell r="K58">
            <v>0.90742128935532218</v>
          </cell>
          <cell r="L58">
            <v>1.0674418604651164</v>
          </cell>
          <cell r="M58">
            <v>1.1077481840193706</v>
          </cell>
          <cell r="N58">
            <v>1.0668103448275861</v>
          </cell>
          <cell r="O58">
            <v>1.245377707342842</v>
          </cell>
          <cell r="P58">
            <v>1.1300398759415151</v>
          </cell>
          <cell r="Q58">
            <v>1.1765193370165747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54</v>
          </cell>
          <cell r="E59">
            <v>53</v>
          </cell>
          <cell r="F59">
            <v>0</v>
          </cell>
          <cell r="G59">
            <v>0.60971504148130329</v>
          </cell>
          <cell r="H59">
            <v>0.80405493786788762</v>
          </cell>
          <cell r="I59">
            <v>1.0443049327354259</v>
          </cell>
          <cell r="J59">
            <v>0.92945834083138379</v>
          </cell>
          <cell r="K59">
            <v>0.95813679245283012</v>
          </cell>
          <cell r="L59">
            <v>1.3019188729657518</v>
          </cell>
          <cell r="M59">
            <v>1.2347153900210821</v>
          </cell>
          <cell r="N59">
            <v>1.4055273547659335</v>
          </cell>
          <cell r="O59">
            <v>1.3365714285714285</v>
          </cell>
          <cell r="P59">
            <v>1.6439079592606562</v>
          </cell>
          <cell r="Q59">
            <v>1.944748631159781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56</v>
          </cell>
          <cell r="E60">
            <v>55</v>
          </cell>
          <cell r="F60">
            <v>0</v>
          </cell>
          <cell r="G60">
            <v>0.6592760180995475</v>
          </cell>
          <cell r="H60">
            <v>0.83083405626471674</v>
          </cell>
          <cell r="I60">
            <v>0.90303188708834292</v>
          </cell>
          <cell r="J60">
            <v>0.83273839877613465</v>
          </cell>
          <cell r="K60">
            <v>0.77261583721500371</v>
          </cell>
          <cell r="L60">
            <v>0.88348516015280631</v>
          </cell>
          <cell r="M60">
            <v>0.85947046843177199</v>
          </cell>
          <cell r="N60">
            <v>0.76045883940620773</v>
          </cell>
          <cell r="O60">
            <v>0.76325732899022802</v>
          </cell>
          <cell r="P60">
            <v>0.92275506919858374</v>
          </cell>
          <cell r="Q60">
            <v>1.2581359309276068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57</v>
          </cell>
          <cell r="E61">
            <v>56</v>
          </cell>
          <cell r="F61">
            <v>0</v>
          </cell>
          <cell r="G61">
            <v>0.56381336815861327</v>
          </cell>
          <cell r="H61">
            <v>0.8120525529069309</v>
          </cell>
          <cell r="I61">
            <v>0.74191512856917496</v>
          </cell>
          <cell r="J61">
            <v>0.84288565725691467</v>
          </cell>
          <cell r="K61">
            <v>0.73171531649721222</v>
          </cell>
          <cell r="L61">
            <v>0.72361427486712226</v>
          </cell>
          <cell r="M61">
            <v>0.90438432835820892</v>
          </cell>
          <cell r="N61">
            <v>1.0241103661681279</v>
          </cell>
          <cell r="O61">
            <v>0.87343565525383693</v>
          </cell>
          <cell r="P61">
            <v>0.90050655929341472</v>
          </cell>
          <cell r="Q61">
            <v>0.92552899148117618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</row>
        <row r="63">
          <cell r="B63" t="str">
            <v>SJW</v>
          </cell>
          <cell r="C63" t="str">
            <v>SJW Corp.</v>
          </cell>
          <cell r="D63">
            <v>58</v>
          </cell>
          <cell r="E63">
            <v>57</v>
          </cell>
          <cell r="F63">
            <v>0</v>
          </cell>
          <cell r="G63">
            <v>0.68541426927502869</v>
          </cell>
          <cell r="H63">
            <v>0.73620920022905145</v>
          </cell>
          <cell r="I63">
            <v>0.88087649402390444</v>
          </cell>
          <cell r="J63">
            <v>0.62005559119093434</v>
          </cell>
          <cell r="K63">
            <v>0.52364149611856037</v>
          </cell>
          <cell r="L63">
            <v>0.74673420421221015</v>
          </cell>
          <cell r="M63">
            <v>0.42103399433427768</v>
          </cell>
          <cell r="N63">
            <v>0.69589905362776028</v>
          </cell>
          <cell r="O63">
            <v>0.6422356973372001</v>
          </cell>
          <cell r="P63">
            <v>0.3472411186696901</v>
          </cell>
          <cell r="Q63">
            <v>0.61524547803617569</v>
          </cell>
        </row>
        <row r="64">
          <cell r="B64" t="str">
            <v>SJI</v>
          </cell>
          <cell r="C64" t="str">
            <v>South Jersey Inds.</v>
          </cell>
          <cell r="D64">
            <v>59</v>
          </cell>
          <cell r="E64">
            <v>58</v>
          </cell>
          <cell r="F64">
            <v>0</v>
          </cell>
          <cell r="G64">
            <v>0.76472269868496279</v>
          </cell>
          <cell r="H64">
            <v>0.49609856262833674</v>
          </cell>
          <cell r="I64">
            <v>0.53281468182724911</v>
          </cell>
          <cell r="J64">
            <v>0.51167596610870014</v>
          </cell>
          <cell r="K64">
            <v>0.5845386533665835</v>
          </cell>
          <cell r="L64">
            <v>0.69774718397997493</v>
          </cell>
          <cell r="M64">
            <v>0.753042233357194</v>
          </cell>
          <cell r="N64">
            <v>1.0136314067611778</v>
          </cell>
          <cell r="O64">
            <v>1.6679462571976966</v>
          </cell>
          <cell r="P64">
            <v>1.7046908315565032</v>
          </cell>
          <cell r="Q64">
            <v>1.395700636942675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60</v>
          </cell>
          <cell r="E65">
            <v>59</v>
          </cell>
          <cell r="F65">
            <v>0</v>
          </cell>
          <cell r="G65">
            <v>0.77089825226934028</v>
          </cell>
          <cell r="H65">
            <v>0.8791579623975575</v>
          </cell>
          <cell r="I65">
            <v>0.80179222357229651</v>
          </cell>
          <cell r="J65">
            <v>0.85514777525170504</v>
          </cell>
          <cell r="K65">
            <v>0.9346806207145435</v>
          </cell>
          <cell r="L65">
            <v>0.93957934990439762</v>
          </cell>
          <cell r="M65">
            <v>0.93147574819401446</v>
          </cell>
          <cell r="N65">
            <v>0.77781677781677783</v>
          </cell>
          <cell r="O65">
            <v>0.86992348440258971</v>
          </cell>
          <cell r="P65">
            <v>0.90830822212656048</v>
          </cell>
          <cell r="Q65">
            <v>1.0002492522432702</v>
          </cell>
        </row>
        <row r="66">
          <cell r="B66" t="str">
            <v>SWX</v>
          </cell>
          <cell r="C66" t="str">
            <v>Southwest Gas</v>
          </cell>
          <cell r="D66">
            <v>61</v>
          </cell>
          <cell r="E66">
            <v>60</v>
          </cell>
          <cell r="F66">
            <v>0</v>
          </cell>
          <cell r="G66">
            <v>0.83312410329985664</v>
          </cell>
          <cell r="H66">
            <v>0.83699029126213587</v>
          </cell>
          <cell r="I66">
            <v>0.99308404641894255</v>
          </cell>
          <cell r="J66">
            <v>1.0491219139730212</v>
          </cell>
          <cell r="K66">
            <v>0.9015743440233237</v>
          </cell>
          <cell r="L66">
            <v>0.82098914354644159</v>
          </cell>
          <cell r="M66">
            <v>1.3662507929794883</v>
          </cell>
          <cell r="N66">
            <v>1.2793017456359101</v>
          </cell>
          <cell r="O66">
            <v>0.84824845451869302</v>
          </cell>
          <cell r="P66">
            <v>0.77973125706392055</v>
          </cell>
          <cell r="Q66">
            <v>0.72226926333615582</v>
          </cell>
        </row>
        <row r="67">
          <cell r="B67" t="str">
            <v>SR</v>
          </cell>
          <cell r="C67" t="str">
            <v>Spire Inc.</v>
          </cell>
          <cell r="D67">
            <v>62</v>
          </cell>
          <cell r="E67">
            <v>61</v>
          </cell>
          <cell r="F67">
            <v>0</v>
          </cell>
          <cell r="G67">
            <v>0.95844357976653705</v>
          </cell>
          <cell r="H67">
            <v>0.92070616397366845</v>
          </cell>
          <cell r="I67">
            <v>0.97651515151515156</v>
          </cell>
          <cell r="J67">
            <v>0.78025</v>
          </cell>
          <cell r="K67">
            <v>0.94985495234148365</v>
          </cell>
          <cell r="L67">
            <v>1.5316749585406302</v>
          </cell>
          <cell r="M67">
            <v>1.6069612827532265</v>
          </cell>
          <cell r="N67">
            <v>1.9284807448159123</v>
          </cell>
          <cell r="O67">
            <v>1.63986013986014</v>
          </cell>
          <cell r="P67">
            <v>1.424264705882353</v>
          </cell>
          <cell r="Q67">
            <v>1.2829235432805659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 t="str">
            <v>N/A</v>
          </cell>
          <cell r="H68" t="str">
            <v>N/A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</row>
        <row r="69">
          <cell r="B69" t="str">
            <v>UGI</v>
          </cell>
          <cell r="C69" t="str">
            <v>UGI Corp.</v>
          </cell>
          <cell r="D69">
            <v>64</v>
          </cell>
          <cell r="E69">
            <v>63</v>
          </cell>
          <cell r="F69">
            <v>0</v>
          </cell>
          <cell r="G69">
            <v>1.3495085995085996</v>
          </cell>
          <cell r="H69">
            <v>1.4837685250529287</v>
          </cell>
          <cell r="I69">
            <v>1.5323251417769377</v>
          </cell>
          <cell r="J69">
            <v>1.319268635724332</v>
          </cell>
          <cell r="K69">
            <v>1.518426294820717</v>
          </cell>
          <cell r="L69">
            <v>1.2776744186046511</v>
          </cell>
          <cell r="M69">
            <v>1.3563653573118788</v>
          </cell>
          <cell r="N69">
            <v>1.5229357798165137</v>
          </cell>
          <cell r="O69">
            <v>1.7224149895905623</v>
          </cell>
          <cell r="P69">
            <v>1.6179211469534052</v>
          </cell>
          <cell r="Q69">
            <v>1.6947194719471945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 t="str">
            <v>N/A</v>
          </cell>
          <cell r="H70" t="str">
            <v>N/A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 t="str">
            <v>N/A</v>
          </cell>
          <cell r="H71" t="str">
            <v>N/A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65</v>
          </cell>
          <cell r="E72">
            <v>64</v>
          </cell>
          <cell r="F72">
            <v>0</v>
          </cell>
          <cell r="G72">
            <v>0.75125448028673847</v>
          </cell>
          <cell r="H72">
            <v>0.69297064368435224</v>
          </cell>
          <cell r="I72">
            <v>0.72137060414788101</v>
          </cell>
          <cell r="J72">
            <v>0.66254253015774822</v>
          </cell>
          <cell r="K72">
            <v>0.7765037215851941</v>
          </cell>
          <cell r="L72">
            <v>0.79800498753117211</v>
          </cell>
          <cell r="M72">
            <v>0.7734357848518113</v>
          </cell>
          <cell r="N72">
            <v>0.63540705187373092</v>
          </cell>
          <cell r="O72">
            <v>1.0140418502202642</v>
          </cell>
          <cell r="P72">
            <v>0.81225715294948786</v>
          </cell>
          <cell r="Q72">
            <v>0.71649311387302661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66</v>
          </cell>
          <cell r="E73">
            <v>65</v>
          </cell>
          <cell r="F73">
            <v>0</v>
          </cell>
          <cell r="G73">
            <v>0.87014377485469563</v>
          </cell>
          <cell r="H73">
            <v>0.95104166666666667</v>
          </cell>
          <cell r="I73">
            <v>0.98231066887783325</v>
          </cell>
          <cell r="J73">
            <v>1.053414327607876</v>
          </cell>
          <cell r="K73">
            <v>1.1307865168539326</v>
          </cell>
          <cell r="L73">
            <v>1.2011215906194239</v>
          </cell>
          <cell r="M73">
            <v>1.3088712054229297</v>
          </cell>
          <cell r="N73">
            <v>0.82616857518302977</v>
          </cell>
          <cell r="O73">
            <v>0.82159138002486531</v>
          </cell>
          <cell r="P73">
            <v>0.9801415202008672</v>
          </cell>
          <cell r="Q73">
            <v>0.99891833423472143</v>
          </cell>
        </row>
        <row r="74">
          <cell r="B74" t="str">
            <v>WEC</v>
          </cell>
          <cell r="C74" t="str">
            <v>WEC Energy Group</v>
          </cell>
          <cell r="D74">
            <v>67</v>
          </cell>
          <cell r="E74">
            <v>66</v>
          </cell>
          <cell r="F74">
            <v>0</v>
          </cell>
          <cell r="G74">
            <v>1.1950786965196187</v>
          </cell>
          <cell r="H74">
            <v>0.96509598603839442</v>
          </cell>
          <cell r="I74">
            <v>1.3688725490196079</v>
          </cell>
          <cell r="J74">
            <v>1.4220907297830374</v>
          </cell>
          <cell r="K74">
            <v>1.2983479105928084</v>
          </cell>
          <cell r="L74">
            <v>1.0219140083217753</v>
          </cell>
          <cell r="M74">
            <v>0.96719390743995315</v>
          </cell>
          <cell r="N74">
            <v>0.88876179582499293</v>
          </cell>
          <cell r="O74">
            <v>0.6076495990129549</v>
          </cell>
          <cell r="P74">
            <v>0.56474820143884896</v>
          </cell>
          <cell r="Q74">
            <v>0.69429803545759461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68</v>
          </cell>
          <cell r="E75">
            <v>67</v>
          </cell>
          <cell r="F75">
            <v>0</v>
          </cell>
          <cell r="G75">
            <v>0.63031567962431512</v>
          </cell>
          <cell r="H75">
            <v>0.86051675413807027</v>
          </cell>
          <cell r="I75">
            <v>0.70386398763523961</v>
          </cell>
          <cell r="J75">
            <v>0.72443275238408411</v>
          </cell>
          <cell r="K75">
            <v>0.67135050741608115</v>
          </cell>
          <cell r="L75">
            <v>0.71454316092989723</v>
          </cell>
          <cell r="M75">
            <v>0.87917791156321368</v>
          </cell>
          <cell r="N75">
            <v>0.68346965950161698</v>
          </cell>
          <cell r="O75">
            <v>0.36230209176008316</v>
          </cell>
          <cell r="P75">
            <v>0.48156182212581344</v>
          </cell>
          <cell r="Q75">
            <v>0.99898631525595538</v>
          </cell>
        </row>
        <row r="76">
          <cell r="B76" t="str">
            <v>WGL</v>
          </cell>
          <cell r="C76" t="str">
            <v>WGL Holdings Inc.</v>
          </cell>
          <cell r="D76">
            <v>69</v>
          </cell>
          <cell r="E76">
            <v>68</v>
          </cell>
          <cell r="F76">
            <v>0</v>
          </cell>
          <cell r="G76">
            <v>0.55874092009685239</v>
          </cell>
          <cell r="H76">
            <v>0.60057902637786831</v>
          </cell>
          <cell r="I76">
            <v>0.62934312311524843</v>
          </cell>
          <cell r="J76">
            <v>0.70953326713008935</v>
          </cell>
          <cell r="K76">
            <v>0.93003693065244164</v>
          </cell>
          <cell r="L76">
            <v>1.0193040386080772</v>
          </cell>
          <cell r="M76">
            <v>1.5971250971250972</v>
          </cell>
          <cell r="N76">
            <v>1.6039711191335739</v>
          </cell>
          <cell r="O76">
            <v>1.6046597633136095</v>
          </cell>
          <cell r="P76">
            <v>1.1683198076345056</v>
          </cell>
          <cell r="Q76">
            <v>1.1753365973072216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70</v>
          </cell>
          <cell r="E77">
            <v>69</v>
          </cell>
          <cell r="F77">
            <v>0</v>
          </cell>
          <cell r="G77">
            <v>0.78575880336553439</v>
          </cell>
          <cell r="H77">
            <v>0.62794543199669295</v>
          </cell>
          <cell r="I77">
            <v>0.67725620357199312</v>
          </cell>
          <cell r="J77">
            <v>0.60149603989439726</v>
          </cell>
          <cell r="K77">
            <v>0.75963546610973987</v>
          </cell>
          <cell r="L77">
            <v>0.83480370533745041</v>
          </cell>
          <cell r="M77">
            <v>0.76397650641722858</v>
          </cell>
          <cell r="N77">
            <v>0.89016897081413204</v>
          </cell>
          <cell r="O77">
            <v>0.75198625724715473</v>
          </cell>
          <cell r="P77">
            <v>0.70633946830265859</v>
          </cell>
          <cell r="Q77">
            <v>0.90265265265265271</v>
          </cell>
        </row>
        <row r="78">
          <cell r="B78" t="str">
            <v>YORW</v>
          </cell>
          <cell r="C78" t="str">
            <v>York Water Co. (The)</v>
          </cell>
          <cell r="D78">
            <v>71</v>
          </cell>
          <cell r="E78">
            <v>70</v>
          </cell>
          <cell r="F78">
            <v>0</v>
          </cell>
          <cell r="G78" t="str">
            <v>N/A</v>
          </cell>
          <cell r="H78">
            <v>1.3131768953068592</v>
          </cell>
          <cell r="I78">
            <v>1.2313974591651542</v>
          </cell>
          <cell r="J78">
            <v>1.5625823451910408</v>
          </cell>
          <cell r="K78">
            <v>1.1851851851851853</v>
          </cell>
          <cell r="L78">
            <v>1.4783783783783786</v>
          </cell>
          <cell r="M78">
            <v>1.2815884476534296</v>
          </cell>
          <cell r="N78">
            <v>0.80697278911564629</v>
          </cell>
          <cell r="O78">
            <v>0.40681086056143578</v>
          </cell>
          <cell r="P78">
            <v>0.50620934358367831</v>
          </cell>
          <cell r="Q78">
            <v>0.41657638136511377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</sheetData>
      <sheetData sheetId="25">
        <row r="1">
          <cell r="A1">
            <v>43290</v>
          </cell>
          <cell r="B1" t="str">
            <v>Downloaded from Value Line Investment Analyzer.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</row>
        <row r="3">
          <cell r="A3" t="str">
            <v>Company Name</v>
          </cell>
          <cell r="B3" t="str">
            <v>Ticker Symbol</v>
          </cell>
          <cell r="C3" t="str">
            <v>CapSpendperShare2017</v>
          </cell>
          <cell r="D3" t="str">
            <v>CapSpendperShare2018</v>
          </cell>
          <cell r="E3" t="str">
            <v>CapSpendperShare2019</v>
          </cell>
          <cell r="F3" t="str">
            <v>CapSpendperShare3-5yr</v>
          </cell>
          <cell r="G3" t="str">
            <v>CashFlowperShare2017</v>
          </cell>
          <cell r="H3" t="str">
            <v>CashFlowperShare2018</v>
          </cell>
          <cell r="I3" t="str">
            <v>CashFlowperShare2019</v>
          </cell>
          <cell r="J3" t="str">
            <v>CashFlowperShare3-5yrs</v>
          </cell>
        </row>
        <row r="4">
          <cell r="A4" t="str">
            <v xml:space="preserve">Adams Resources &amp; Energy      </v>
          </cell>
          <cell r="B4" t="str">
            <v>AE</v>
          </cell>
          <cell r="C4">
            <v>0.627</v>
          </cell>
          <cell r="G4">
            <v>3.11</v>
          </cell>
        </row>
        <row r="5">
          <cell r="A5" t="str">
            <v xml:space="preserve">ALLETE                        </v>
          </cell>
          <cell r="B5" t="str">
            <v>ALE</v>
          </cell>
          <cell r="C5">
            <v>4.08</v>
          </cell>
          <cell r="D5">
            <v>6.3</v>
          </cell>
          <cell r="E5">
            <v>6.9</v>
          </cell>
          <cell r="F5">
            <v>6.75</v>
          </cell>
          <cell r="G5">
            <v>6.5890000000000004</v>
          </cell>
          <cell r="H5">
            <v>6.85</v>
          </cell>
          <cell r="I5">
            <v>7.2</v>
          </cell>
          <cell r="J5">
            <v>8.5</v>
          </cell>
        </row>
        <row r="6">
          <cell r="A6" t="str">
            <v xml:space="preserve">Alliant Energy                </v>
          </cell>
          <cell r="B6" t="str">
            <v>LNT</v>
          </cell>
          <cell r="C6">
            <v>6.3410000000000002</v>
          </cell>
          <cell r="D6">
            <v>6.75</v>
          </cell>
          <cell r="E6">
            <v>7.1</v>
          </cell>
          <cell r="F6">
            <v>5.3</v>
          </cell>
          <cell r="G6">
            <v>3.1019999999999999</v>
          </cell>
          <cell r="H6">
            <v>4.25</v>
          </cell>
          <cell r="I6">
            <v>4.45</v>
          </cell>
          <cell r="J6">
            <v>5</v>
          </cell>
        </row>
        <row r="7">
          <cell r="A7" t="str">
            <v xml:space="preserve">Amer. Elec. Power             </v>
          </cell>
          <cell r="B7" t="str">
            <v>AEP</v>
          </cell>
          <cell r="C7">
            <v>11.787000000000001</v>
          </cell>
          <cell r="D7">
            <v>12.5</v>
          </cell>
          <cell r="E7">
            <v>12.95</v>
          </cell>
          <cell r="F7">
            <v>11.25</v>
          </cell>
          <cell r="G7">
            <v>7.9459999999999997</v>
          </cell>
          <cell r="H7">
            <v>8.4499999999999993</v>
          </cell>
          <cell r="I7">
            <v>8.9</v>
          </cell>
          <cell r="J7">
            <v>10.25</v>
          </cell>
        </row>
        <row r="8">
          <cell r="A8" t="str">
            <v xml:space="preserve">Amer. States Water            </v>
          </cell>
          <cell r="B8" t="str">
            <v>AWR</v>
          </cell>
          <cell r="C8">
            <v>3.0840000000000001</v>
          </cell>
          <cell r="D8">
            <v>3.4</v>
          </cell>
          <cell r="E8">
            <v>3.4</v>
          </cell>
          <cell r="F8">
            <v>3.25</v>
          </cell>
          <cell r="G8">
            <v>2.9550000000000001</v>
          </cell>
          <cell r="H8">
            <v>3.05</v>
          </cell>
          <cell r="I8">
            <v>3.25</v>
          </cell>
          <cell r="J8">
            <v>4</v>
          </cell>
        </row>
        <row r="9">
          <cell r="A9" t="str">
            <v xml:space="preserve">Amer. Water Works             </v>
          </cell>
          <cell r="B9" t="str">
            <v>AWK</v>
          </cell>
          <cell r="C9">
            <v>8.0359999999999996</v>
          </cell>
          <cell r="D9">
            <v>9.6</v>
          </cell>
          <cell r="E9">
            <v>9.5500000000000007</v>
          </cell>
          <cell r="F9">
            <v>9.1999999999999993</v>
          </cell>
          <cell r="G9">
            <v>5.14</v>
          </cell>
          <cell r="H9">
            <v>5.8</v>
          </cell>
          <cell r="I9">
            <v>6.3</v>
          </cell>
          <cell r="J9">
            <v>7.7</v>
          </cell>
        </row>
        <row r="10">
          <cell r="A10" t="str">
            <v xml:space="preserve">Ameren Corp.                  </v>
          </cell>
          <cell r="B10" t="str">
            <v>AEE</v>
          </cell>
          <cell r="C10">
            <v>9.0470000000000006</v>
          </cell>
          <cell r="D10">
            <v>9.8000000000000007</v>
          </cell>
          <cell r="E10">
            <v>11.25</v>
          </cell>
          <cell r="F10">
            <v>9.5</v>
          </cell>
          <cell r="G10">
            <v>6.8040000000000003</v>
          </cell>
          <cell r="H10">
            <v>7.4</v>
          </cell>
          <cell r="I10">
            <v>7.9</v>
          </cell>
          <cell r="J10">
            <v>9.5</v>
          </cell>
        </row>
        <row r="11">
          <cell r="A11" t="str">
            <v xml:space="preserve">AmeriGas Partners             </v>
          </cell>
          <cell r="B11" t="str">
            <v>APU</v>
          </cell>
          <cell r="C11">
            <v>1.056</v>
          </cell>
          <cell r="D11">
            <v>1.2</v>
          </cell>
          <cell r="E11">
            <v>1.25</v>
          </cell>
          <cell r="F11">
            <v>1.45</v>
          </cell>
          <cell r="G11">
            <v>3.7930000000000001</v>
          </cell>
          <cell r="H11">
            <v>4</v>
          </cell>
          <cell r="I11">
            <v>4.2</v>
          </cell>
          <cell r="J11">
            <v>4.7</v>
          </cell>
        </row>
        <row r="12">
          <cell r="A12" t="str">
            <v xml:space="preserve">Aqua America                  </v>
          </cell>
          <cell r="B12" t="str">
            <v>WTR</v>
          </cell>
          <cell r="C12">
            <v>2.69</v>
          </cell>
          <cell r="D12">
            <v>2.65</v>
          </cell>
          <cell r="E12">
            <v>2.65</v>
          </cell>
          <cell r="F12">
            <v>2.1</v>
          </cell>
          <cell r="G12">
            <v>2.1179999999999999</v>
          </cell>
          <cell r="H12">
            <v>2.2000000000000002</v>
          </cell>
          <cell r="I12">
            <v>2.4</v>
          </cell>
          <cell r="J12">
            <v>2.9</v>
          </cell>
        </row>
        <row r="13">
          <cell r="A13" t="str">
            <v xml:space="preserve">Artesian Res Corp             </v>
          </cell>
          <cell r="B13" t="str">
            <v>ARTNA</v>
          </cell>
          <cell r="C13">
            <v>4.4589999999999996</v>
          </cell>
          <cell r="G13">
            <v>2.5539999999999998</v>
          </cell>
        </row>
        <row r="14">
          <cell r="A14" t="str">
            <v xml:space="preserve">Atmos Energy                  </v>
          </cell>
          <cell r="B14" t="str">
            <v>ATO</v>
          </cell>
          <cell r="C14">
            <v>10.717000000000001</v>
          </cell>
          <cell r="D14">
            <v>12.3</v>
          </cell>
          <cell r="E14">
            <v>13</v>
          </cell>
          <cell r="F14">
            <v>14.2</v>
          </cell>
          <cell r="G14">
            <v>6.6180000000000003</v>
          </cell>
          <cell r="H14">
            <v>7.15</v>
          </cell>
          <cell r="I14">
            <v>7.5</v>
          </cell>
          <cell r="J14">
            <v>8.6</v>
          </cell>
        </row>
        <row r="15">
          <cell r="A15" t="str">
            <v xml:space="preserve">AVANGRID, Inc.                </v>
          </cell>
          <cell r="B15" t="str">
            <v>AGR</v>
          </cell>
          <cell r="C15">
            <v>7.819</v>
          </cell>
          <cell r="D15">
            <v>7.75</v>
          </cell>
          <cell r="E15">
            <v>7.75</v>
          </cell>
          <cell r="F15">
            <v>7.75</v>
          </cell>
          <cell r="G15">
            <v>4.4889999999999999</v>
          </cell>
          <cell r="H15">
            <v>5.2</v>
          </cell>
          <cell r="I15">
            <v>5.6</v>
          </cell>
          <cell r="J15">
            <v>6.75</v>
          </cell>
        </row>
        <row r="16">
          <cell r="A16" t="str">
            <v xml:space="preserve">Avista Corp.                  </v>
          </cell>
          <cell r="B16" t="str">
            <v>AVA</v>
          </cell>
          <cell r="C16">
            <v>6.2960000000000003</v>
          </cell>
          <cell r="D16">
            <v>6.15</v>
          </cell>
          <cell r="E16">
            <v>6.05</v>
          </cell>
          <cell r="F16">
            <v>6.25</v>
          </cell>
          <cell r="G16">
            <v>4.8739999999999997</v>
          </cell>
          <cell r="H16">
            <v>5.0999999999999996</v>
          </cell>
          <cell r="I16">
            <v>5.4</v>
          </cell>
          <cell r="J16">
            <v>6.5</v>
          </cell>
        </row>
        <row r="17">
          <cell r="A17" t="str">
            <v xml:space="preserve">Black Hills                   </v>
          </cell>
          <cell r="B17" t="str">
            <v>BKH</v>
          </cell>
          <cell r="C17">
            <v>6.0890000000000004</v>
          </cell>
          <cell r="D17">
            <v>7.25</v>
          </cell>
          <cell r="E17">
            <v>8.5</v>
          </cell>
          <cell r="F17">
            <v>6.75</v>
          </cell>
          <cell r="G17">
            <v>7.1539999999999999</v>
          </cell>
          <cell r="H17">
            <v>6.75</v>
          </cell>
          <cell r="I17">
            <v>7.25</v>
          </cell>
          <cell r="J17">
            <v>8.5</v>
          </cell>
        </row>
        <row r="18">
          <cell r="A18" t="str">
            <v xml:space="preserve">California Water              </v>
          </cell>
          <cell r="B18" t="str">
            <v>CWT</v>
          </cell>
          <cell r="C18">
            <v>5.399</v>
          </cell>
          <cell r="D18">
            <v>4.3499999999999996</v>
          </cell>
          <cell r="E18">
            <v>3.95</v>
          </cell>
          <cell r="F18">
            <v>3.65</v>
          </cell>
          <cell r="G18">
            <v>2.9990000000000001</v>
          </cell>
          <cell r="H18">
            <v>2.8</v>
          </cell>
          <cell r="I18">
            <v>3</v>
          </cell>
          <cell r="J18">
            <v>3.3</v>
          </cell>
        </row>
        <row r="19">
          <cell r="A19" t="str">
            <v xml:space="preserve">CenterPoint Energy            </v>
          </cell>
          <cell r="B19" t="str">
            <v>CNP</v>
          </cell>
          <cell r="C19">
            <v>3.3079999999999998</v>
          </cell>
          <cell r="D19">
            <v>3.85</v>
          </cell>
          <cell r="E19">
            <v>3.75</v>
          </cell>
          <cell r="F19">
            <v>3.75</v>
          </cell>
          <cell r="G19">
            <v>4.0339999999999998</v>
          </cell>
          <cell r="H19">
            <v>4.25</v>
          </cell>
          <cell r="I19">
            <v>4.5</v>
          </cell>
          <cell r="J19">
            <v>5.25</v>
          </cell>
        </row>
        <row r="20">
          <cell r="A20" t="str">
            <v xml:space="preserve">Chesapeake Utilities          </v>
          </cell>
          <cell r="B20" t="str">
            <v>CPK</v>
          </cell>
          <cell r="C20">
            <v>10.727</v>
          </cell>
          <cell r="D20">
            <v>10.7</v>
          </cell>
          <cell r="E20">
            <v>10.8</v>
          </cell>
          <cell r="F20">
            <v>11.8</v>
          </cell>
          <cell r="G20">
            <v>5.4169999999999998</v>
          </cell>
          <cell r="H20">
            <v>6.2</v>
          </cell>
          <cell r="I20">
            <v>6.55</v>
          </cell>
          <cell r="J20">
            <v>8.25</v>
          </cell>
        </row>
        <row r="21">
          <cell r="A21" t="str">
            <v xml:space="preserve">CMS Energy Corp.              </v>
          </cell>
          <cell r="B21" t="str">
            <v>CMS</v>
          </cell>
          <cell r="C21">
            <v>5.9119999999999999</v>
          </cell>
          <cell r="D21">
            <v>7.4</v>
          </cell>
          <cell r="E21">
            <v>8.4</v>
          </cell>
          <cell r="F21">
            <v>6.5</v>
          </cell>
          <cell r="G21">
            <v>5.2869999999999999</v>
          </cell>
          <cell r="H21">
            <v>5.65</v>
          </cell>
          <cell r="I21">
            <v>5.95</v>
          </cell>
          <cell r="J21">
            <v>7</v>
          </cell>
        </row>
        <row r="22">
          <cell r="A22" t="str">
            <v xml:space="preserve">Conn. Water Services          </v>
          </cell>
          <cell r="B22" t="str">
            <v>CTWS</v>
          </cell>
          <cell r="C22">
            <v>4.3949999999999996</v>
          </cell>
          <cell r="D22">
            <v>4.45</v>
          </cell>
          <cell r="E22">
            <v>4</v>
          </cell>
          <cell r="F22">
            <v>3.35</v>
          </cell>
          <cell r="G22">
            <v>3.3919999999999999</v>
          </cell>
          <cell r="H22">
            <v>3.35</v>
          </cell>
          <cell r="I22">
            <v>3.85</v>
          </cell>
          <cell r="J22">
            <v>4.5</v>
          </cell>
        </row>
        <row r="23">
          <cell r="A23" t="str">
            <v xml:space="preserve">Consol. Edison                </v>
          </cell>
          <cell r="B23" t="str">
            <v>ED</v>
          </cell>
          <cell r="C23">
            <v>11.106</v>
          </cell>
          <cell r="D23">
            <v>12.5</v>
          </cell>
          <cell r="E23">
            <v>11.15</v>
          </cell>
          <cell r="F23">
            <v>11.25</v>
          </cell>
          <cell r="G23">
            <v>8.41</v>
          </cell>
          <cell r="H23">
            <v>8.75</v>
          </cell>
          <cell r="I23">
            <v>9.15</v>
          </cell>
          <cell r="J23">
            <v>10.5</v>
          </cell>
        </row>
        <row r="24">
          <cell r="A24" t="str">
            <v xml:space="preserve">Consolidated Water            </v>
          </cell>
          <cell r="B24" t="str">
            <v>CWCO</v>
          </cell>
          <cell r="C24">
            <v>0.307</v>
          </cell>
          <cell r="D24">
            <v>0.2</v>
          </cell>
          <cell r="E24">
            <v>0.2</v>
          </cell>
          <cell r="F24">
            <v>1.9</v>
          </cell>
          <cell r="G24">
            <v>1.117</v>
          </cell>
          <cell r="H24">
            <v>1.05</v>
          </cell>
          <cell r="I24">
            <v>1.1499999999999999</v>
          </cell>
          <cell r="J24">
            <v>1.9</v>
          </cell>
        </row>
        <row r="25">
          <cell r="A25" t="str">
            <v xml:space="preserve">Dominion Energy               </v>
          </cell>
          <cell r="B25" t="str">
            <v>D</v>
          </cell>
          <cell r="C25">
            <v>8.5389999999999997</v>
          </cell>
          <cell r="D25">
            <v>7.35</v>
          </cell>
          <cell r="E25">
            <v>6.95</v>
          </cell>
          <cell r="F25">
            <v>7.5</v>
          </cell>
          <cell r="G25">
            <v>6.8970000000000002</v>
          </cell>
          <cell r="H25">
            <v>7.15</v>
          </cell>
          <cell r="I25">
            <v>8.0500000000000007</v>
          </cell>
          <cell r="J25">
            <v>9.5</v>
          </cell>
        </row>
        <row r="26">
          <cell r="A26" t="str">
            <v xml:space="preserve">DTE Energy                    </v>
          </cell>
          <cell r="B26" t="str">
            <v>DTE</v>
          </cell>
          <cell r="C26">
            <v>12.542999999999999</v>
          </cell>
          <cell r="D26">
            <v>19.5</v>
          </cell>
          <cell r="E26">
            <v>13.3</v>
          </cell>
          <cell r="F26">
            <v>13.25</v>
          </cell>
          <cell r="G26">
            <v>11.773</v>
          </cell>
          <cell r="H26">
            <v>12.35</v>
          </cell>
          <cell r="I26">
            <v>12.8</v>
          </cell>
          <cell r="J26">
            <v>15.75</v>
          </cell>
        </row>
        <row r="27">
          <cell r="A27" t="str">
            <v xml:space="preserve">Duke Energy                   </v>
          </cell>
          <cell r="B27" t="str">
            <v>DUK</v>
          </cell>
          <cell r="C27">
            <v>11.503</v>
          </cell>
          <cell r="D27">
            <v>15.05</v>
          </cell>
          <cell r="E27">
            <v>15</v>
          </cell>
          <cell r="F27">
            <v>11.75</v>
          </cell>
          <cell r="G27">
            <v>10.013</v>
          </cell>
          <cell r="H27">
            <v>11.15</v>
          </cell>
          <cell r="I27">
            <v>11.7</v>
          </cell>
          <cell r="J27">
            <v>13.25</v>
          </cell>
        </row>
        <row r="28">
          <cell r="A28" t="str">
            <v xml:space="preserve">Edison Int'l                  </v>
          </cell>
          <cell r="B28" t="str">
            <v>EIX</v>
          </cell>
          <cell r="C28">
            <v>11.749000000000001</v>
          </cell>
          <cell r="D28">
            <v>13.3</v>
          </cell>
          <cell r="E28">
            <v>15.05</v>
          </cell>
          <cell r="F28">
            <v>15.75</v>
          </cell>
          <cell r="G28">
            <v>11.031000000000001</v>
          </cell>
          <cell r="H28">
            <v>11.45</v>
          </cell>
          <cell r="I28">
            <v>12.05</v>
          </cell>
          <cell r="J28">
            <v>14.25</v>
          </cell>
        </row>
        <row r="29">
          <cell r="A29" t="str">
            <v xml:space="preserve">El Paso Electric              </v>
          </cell>
          <cell r="B29" t="str">
            <v>EE</v>
          </cell>
          <cell r="C29">
            <v>5.9089999999999998</v>
          </cell>
          <cell r="D29">
            <v>6.8</v>
          </cell>
          <cell r="E29">
            <v>6.85</v>
          </cell>
          <cell r="F29">
            <v>7.25</v>
          </cell>
          <cell r="G29">
            <v>6.173</v>
          </cell>
          <cell r="H29">
            <v>6.35</v>
          </cell>
          <cell r="I29">
            <v>6.6</v>
          </cell>
          <cell r="J29">
            <v>7.5</v>
          </cell>
        </row>
        <row r="30">
          <cell r="A30" t="str">
            <v xml:space="preserve">Entergy Corp.                 </v>
          </cell>
          <cell r="B30" t="str">
            <v>ETR</v>
          </cell>
          <cell r="C30">
            <v>22.074999999999999</v>
          </cell>
          <cell r="D30">
            <v>21.4</v>
          </cell>
          <cell r="E30">
            <v>18.850000000000001</v>
          </cell>
          <cell r="F30">
            <v>17.5</v>
          </cell>
          <cell r="G30">
            <v>16.704999999999998</v>
          </cell>
          <cell r="H30">
            <v>15.55</v>
          </cell>
          <cell r="I30">
            <v>16.45</v>
          </cell>
          <cell r="J30">
            <v>19.5</v>
          </cell>
        </row>
        <row r="31">
          <cell r="A31" t="str">
            <v xml:space="preserve">Eversource Energy             </v>
          </cell>
          <cell r="B31" t="str">
            <v>ES</v>
          </cell>
          <cell r="C31">
            <v>7.41</v>
          </cell>
          <cell r="D31">
            <v>9.6</v>
          </cell>
          <cell r="E31">
            <v>9.4499999999999993</v>
          </cell>
          <cell r="F31">
            <v>6.25</v>
          </cell>
          <cell r="G31">
            <v>5.8440000000000003</v>
          </cell>
          <cell r="H31">
            <v>6.45</v>
          </cell>
          <cell r="I31">
            <v>6.8</v>
          </cell>
          <cell r="J31">
            <v>8</v>
          </cell>
        </row>
        <row r="32">
          <cell r="A32" t="str">
            <v xml:space="preserve">Exelon Corp.                  </v>
          </cell>
          <cell r="B32" t="str">
            <v>EXC</v>
          </cell>
          <cell r="C32">
            <v>7.8730000000000002</v>
          </cell>
          <cell r="D32">
            <v>8.15</v>
          </cell>
          <cell r="E32">
            <v>7.2</v>
          </cell>
          <cell r="F32">
            <v>7.25</v>
          </cell>
          <cell r="G32">
            <v>8.3699999999999992</v>
          </cell>
          <cell r="H32">
            <v>8.9499999999999993</v>
          </cell>
          <cell r="I32">
            <v>9.9</v>
          </cell>
          <cell r="J32">
            <v>11.75</v>
          </cell>
        </row>
        <row r="33">
          <cell r="A33" t="str">
            <v xml:space="preserve">FirstEnergy Corp.             </v>
          </cell>
          <cell r="B33" t="str">
            <v>FE</v>
          </cell>
          <cell r="C33">
            <v>6.3789999999999996</v>
          </cell>
          <cell r="D33">
            <v>5.85</v>
          </cell>
          <cell r="E33">
            <v>4.6500000000000004</v>
          </cell>
          <cell r="F33">
            <v>5</v>
          </cell>
          <cell r="G33">
            <v>6.5410000000000004</v>
          </cell>
          <cell r="H33">
            <v>3.45</v>
          </cell>
          <cell r="I33">
            <v>4.3</v>
          </cell>
          <cell r="J33">
            <v>5.25</v>
          </cell>
        </row>
        <row r="34">
          <cell r="A34" t="str">
            <v xml:space="preserve">Fortis Inc.                   </v>
          </cell>
          <cell r="B34" t="str">
            <v>FTS.TO</v>
          </cell>
          <cell r="C34">
            <v>7.181</v>
          </cell>
          <cell r="D34">
            <v>7.5</v>
          </cell>
          <cell r="E34">
            <v>6.95</v>
          </cell>
          <cell r="F34">
            <v>7</v>
          </cell>
          <cell r="G34">
            <v>5.4329999999999998</v>
          </cell>
          <cell r="H34">
            <v>5.6</v>
          </cell>
          <cell r="I34">
            <v>5.8</v>
          </cell>
          <cell r="J34">
            <v>6.75</v>
          </cell>
        </row>
        <row r="35">
          <cell r="A35" t="str">
            <v xml:space="preserve">Hawaiian Elec.                </v>
          </cell>
          <cell r="B35" t="str">
            <v>HE</v>
          </cell>
          <cell r="C35">
            <v>4.5519999999999996</v>
          </cell>
          <cell r="D35">
            <v>4.1500000000000004</v>
          </cell>
          <cell r="E35">
            <v>3.85</v>
          </cell>
          <cell r="F35">
            <v>4.5</v>
          </cell>
          <cell r="G35">
            <v>3.6829999999999998</v>
          </cell>
          <cell r="H35">
            <v>4</v>
          </cell>
          <cell r="I35">
            <v>4.1500000000000004</v>
          </cell>
          <cell r="J35">
            <v>4.75</v>
          </cell>
        </row>
        <row r="36">
          <cell r="A36" t="str">
            <v xml:space="preserve">IDACORP, Inc.                 </v>
          </cell>
          <cell r="B36" t="str">
            <v>IDA</v>
          </cell>
          <cell r="C36">
            <v>5.6619999999999999</v>
          </cell>
          <cell r="D36">
            <v>6.25</v>
          </cell>
          <cell r="E36">
            <v>6.4</v>
          </cell>
          <cell r="F36">
            <v>6.75</v>
          </cell>
          <cell r="G36">
            <v>7.5039999999999996</v>
          </cell>
          <cell r="H36">
            <v>7.65</v>
          </cell>
          <cell r="I36">
            <v>8.0500000000000007</v>
          </cell>
          <cell r="J36">
            <v>9.25</v>
          </cell>
        </row>
        <row r="37">
          <cell r="A37" t="str">
            <v xml:space="preserve">MGE Energy                    </v>
          </cell>
          <cell r="B37" t="str">
            <v>MGEE</v>
          </cell>
          <cell r="C37">
            <v>3.1190000000000002</v>
          </cell>
          <cell r="D37">
            <v>3.55</v>
          </cell>
          <cell r="E37">
            <v>4</v>
          </cell>
          <cell r="F37">
            <v>4.8499999999999996</v>
          </cell>
          <cell r="G37">
            <v>3.726</v>
          </cell>
          <cell r="H37">
            <v>3.9</v>
          </cell>
          <cell r="I37">
            <v>4.2</v>
          </cell>
          <cell r="J37">
            <v>5.55</v>
          </cell>
        </row>
        <row r="38">
          <cell r="A38" t="str">
            <v xml:space="preserve">Middlesex Water               </v>
          </cell>
          <cell r="B38" t="str">
            <v>MSEX</v>
          </cell>
          <cell r="C38">
            <v>3.0760000000000001</v>
          </cell>
          <cell r="D38">
            <v>3.05</v>
          </cell>
          <cell r="E38">
            <v>3</v>
          </cell>
          <cell r="F38">
            <v>2.5</v>
          </cell>
          <cell r="G38">
            <v>2.2370000000000001</v>
          </cell>
          <cell r="H38">
            <v>2.4</v>
          </cell>
          <cell r="I38">
            <v>2.5499999999999998</v>
          </cell>
          <cell r="J38">
            <v>3.15</v>
          </cell>
        </row>
        <row r="39">
          <cell r="A39" t="str">
            <v xml:space="preserve">New Jersey Resources          </v>
          </cell>
          <cell r="B39" t="str">
            <v>NJR</v>
          </cell>
          <cell r="C39">
            <v>3.8010000000000002</v>
          </cell>
          <cell r="D39">
            <v>2.2000000000000002</v>
          </cell>
          <cell r="E39">
            <v>2.25</v>
          </cell>
          <cell r="F39">
            <v>2.35</v>
          </cell>
          <cell r="G39">
            <v>2.6789999999999998</v>
          </cell>
          <cell r="H39">
            <v>3.65</v>
          </cell>
          <cell r="I39">
            <v>3.8</v>
          </cell>
          <cell r="J39">
            <v>4.2</v>
          </cell>
        </row>
        <row r="40">
          <cell r="A40" t="str">
            <v xml:space="preserve">NextEra Energy                </v>
          </cell>
          <cell r="B40" t="str">
            <v>NEE</v>
          </cell>
          <cell r="C40">
            <v>22.803000000000001</v>
          </cell>
          <cell r="D40">
            <v>20</v>
          </cell>
          <cell r="E40">
            <v>18.7</v>
          </cell>
          <cell r="F40">
            <v>18.75</v>
          </cell>
          <cell r="G40">
            <v>12.108000000000001</v>
          </cell>
          <cell r="H40">
            <v>15.2</v>
          </cell>
          <cell r="I40">
            <v>15.65</v>
          </cell>
          <cell r="J40">
            <v>19</v>
          </cell>
        </row>
        <row r="41">
          <cell r="A41" t="str">
            <v xml:space="preserve">NiSource Inc.                 </v>
          </cell>
          <cell r="B41" t="str">
            <v>NI</v>
          </cell>
          <cell r="C41">
            <v>5.032</v>
          </cell>
          <cell r="D41">
            <v>4.95</v>
          </cell>
          <cell r="E41">
            <v>5.2</v>
          </cell>
          <cell r="F41">
            <v>5.7</v>
          </cell>
          <cell r="G41">
            <v>2.0739999999999998</v>
          </cell>
          <cell r="H41">
            <v>3.05</v>
          </cell>
          <cell r="I41">
            <v>3</v>
          </cell>
          <cell r="J41">
            <v>3.45</v>
          </cell>
        </row>
        <row r="42">
          <cell r="A42" t="str">
            <v xml:space="preserve">Northwest Nat. Gas            </v>
          </cell>
          <cell r="B42" t="str">
            <v>NWN</v>
          </cell>
          <cell r="C42">
            <v>7.4329999999999998</v>
          </cell>
          <cell r="D42">
            <v>6.8</v>
          </cell>
          <cell r="E42">
            <v>6.65</v>
          </cell>
          <cell r="F42">
            <v>6.25</v>
          </cell>
          <cell r="G42">
            <v>1.042</v>
          </cell>
          <cell r="H42">
            <v>4.8499999999999996</v>
          </cell>
          <cell r="I42">
            <v>5.65</v>
          </cell>
          <cell r="J42">
            <v>6.35</v>
          </cell>
        </row>
        <row r="43">
          <cell r="A43" t="str">
            <v xml:space="preserve">NorthWestern Corp.            </v>
          </cell>
          <cell r="B43" t="str">
            <v>NWE</v>
          </cell>
          <cell r="C43">
            <v>5.5990000000000002</v>
          </cell>
          <cell r="D43">
            <v>5.7</v>
          </cell>
          <cell r="E43">
            <v>6.7</v>
          </cell>
          <cell r="F43">
            <v>6.25</v>
          </cell>
          <cell r="G43">
            <v>6.7569999999999997</v>
          </cell>
          <cell r="H43">
            <v>6.95</v>
          </cell>
          <cell r="I43">
            <v>7.3</v>
          </cell>
          <cell r="J43">
            <v>8.25</v>
          </cell>
        </row>
        <row r="44">
          <cell r="A44" t="str">
            <v xml:space="preserve">OGE Energy                    </v>
          </cell>
          <cell r="B44" t="str">
            <v>OGE</v>
          </cell>
          <cell r="C44">
            <v>4.1269999999999998</v>
          </cell>
          <cell r="D44">
            <v>3.15</v>
          </cell>
          <cell r="E44">
            <v>3.15</v>
          </cell>
          <cell r="F44">
            <v>2.75</v>
          </cell>
          <cell r="G44">
            <v>3.3439999999999999</v>
          </cell>
          <cell r="H44">
            <v>3.55</v>
          </cell>
          <cell r="I44">
            <v>4</v>
          </cell>
          <cell r="J44">
            <v>4.75</v>
          </cell>
        </row>
        <row r="45">
          <cell r="A45" t="str">
            <v xml:space="preserve">ONE Gas, Inc.                 </v>
          </cell>
          <cell r="B45" t="str">
            <v>OGS</v>
          </cell>
          <cell r="C45">
            <v>6.8120000000000003</v>
          </cell>
          <cell r="D45">
            <v>7.15</v>
          </cell>
          <cell r="E45">
            <v>7.3</v>
          </cell>
          <cell r="F45">
            <v>7.35</v>
          </cell>
          <cell r="G45">
            <v>5.96</v>
          </cell>
          <cell r="H45">
            <v>6.15</v>
          </cell>
          <cell r="I45">
            <v>6.45</v>
          </cell>
          <cell r="J45">
            <v>7.9</v>
          </cell>
        </row>
        <row r="46">
          <cell r="A46" t="str">
            <v xml:space="preserve">Otter Tail Corp.              </v>
          </cell>
          <cell r="B46" t="str">
            <v>OTTR</v>
          </cell>
          <cell r="C46">
            <v>3.36</v>
          </cell>
          <cell r="D46">
            <v>2.75</v>
          </cell>
          <cell r="E46">
            <v>9.65</v>
          </cell>
          <cell r="F46">
            <v>2.4500000000000002</v>
          </cell>
          <cell r="G46">
            <v>3.7010000000000001</v>
          </cell>
          <cell r="H46">
            <v>4.05</v>
          </cell>
          <cell r="I46">
            <v>4.2</v>
          </cell>
          <cell r="J46">
            <v>5.0999999999999996</v>
          </cell>
        </row>
        <row r="47">
          <cell r="A47" t="str">
            <v xml:space="preserve">PG&amp;E Corp.                    </v>
          </cell>
          <cell r="B47" t="str">
            <v>PCG</v>
          </cell>
          <cell r="C47">
            <v>10.959</v>
          </cell>
          <cell r="D47">
            <v>12.1</v>
          </cell>
          <cell r="E47">
            <v>11.4</v>
          </cell>
          <cell r="F47">
            <v>11.5</v>
          </cell>
          <cell r="G47">
            <v>9.0280000000000005</v>
          </cell>
          <cell r="H47">
            <v>9.25</v>
          </cell>
          <cell r="I47">
            <v>9.4499999999999993</v>
          </cell>
          <cell r="J47">
            <v>10.75</v>
          </cell>
        </row>
        <row r="48">
          <cell r="A48" t="str">
            <v xml:space="preserve">Pinnacle West Capital         </v>
          </cell>
          <cell r="B48" t="str">
            <v>PNW</v>
          </cell>
          <cell r="C48">
            <v>12.804</v>
          </cell>
          <cell r="D48">
            <v>11.25</v>
          </cell>
          <cell r="E48">
            <v>10.8</v>
          </cell>
          <cell r="F48">
            <v>11</v>
          </cell>
          <cell r="G48">
            <v>9.7859999999999996</v>
          </cell>
          <cell r="H48">
            <v>10.1</v>
          </cell>
          <cell r="I48">
            <v>10.65</v>
          </cell>
          <cell r="J48">
            <v>12.75</v>
          </cell>
        </row>
        <row r="49">
          <cell r="A49" t="str">
            <v xml:space="preserve">PNM Resources                 </v>
          </cell>
          <cell r="B49" t="str">
            <v>PNM</v>
          </cell>
          <cell r="C49">
            <v>6.2830000000000004</v>
          </cell>
          <cell r="D49">
            <v>6.3</v>
          </cell>
          <cell r="E49">
            <v>6.6</v>
          </cell>
          <cell r="F49">
            <v>8.25</v>
          </cell>
          <cell r="G49">
            <v>5.2990000000000004</v>
          </cell>
          <cell r="H49">
            <v>5.55</v>
          </cell>
          <cell r="I49">
            <v>6.15</v>
          </cell>
          <cell r="J49">
            <v>7.25</v>
          </cell>
        </row>
        <row r="50">
          <cell r="A50" t="str">
            <v xml:space="preserve">Portland General              </v>
          </cell>
          <cell r="B50" t="str">
            <v>POR</v>
          </cell>
          <cell r="C50">
            <v>5.7679999999999998</v>
          </cell>
          <cell r="D50">
            <v>6.35</v>
          </cell>
          <cell r="E50">
            <v>5.0999999999999996</v>
          </cell>
          <cell r="F50">
            <v>5</v>
          </cell>
          <cell r="G50">
            <v>6.1609999999999996</v>
          </cell>
          <cell r="H50">
            <v>6.4</v>
          </cell>
          <cell r="I50">
            <v>6.85</v>
          </cell>
          <cell r="J50">
            <v>8</v>
          </cell>
        </row>
        <row r="51">
          <cell r="A51" t="str">
            <v xml:space="preserve">PPL Corp.                     </v>
          </cell>
          <cell r="B51" t="str">
            <v>PPL</v>
          </cell>
          <cell r="C51">
            <v>4.5179999999999998</v>
          </cell>
          <cell r="D51">
            <v>4.75</v>
          </cell>
          <cell r="E51">
            <v>4.3499999999999996</v>
          </cell>
          <cell r="F51">
            <v>3.25</v>
          </cell>
          <cell r="G51">
            <v>3.6829999999999998</v>
          </cell>
          <cell r="H51">
            <v>3.7</v>
          </cell>
          <cell r="I51">
            <v>4</v>
          </cell>
          <cell r="J51">
            <v>4.75</v>
          </cell>
        </row>
        <row r="52">
          <cell r="A52" t="str">
            <v xml:space="preserve">Public Serv. Enterprise       </v>
          </cell>
          <cell r="B52" t="str">
            <v>PEG</v>
          </cell>
          <cell r="C52">
            <v>8.2970000000000006</v>
          </cell>
          <cell r="D52">
            <v>6.35</v>
          </cell>
          <cell r="E52">
            <v>5.35</v>
          </cell>
          <cell r="F52">
            <v>5.25</v>
          </cell>
          <cell r="G52">
            <v>5.3029999999999999</v>
          </cell>
          <cell r="H52">
            <v>5.8</v>
          </cell>
          <cell r="I52">
            <v>6.1</v>
          </cell>
          <cell r="J52">
            <v>7.5</v>
          </cell>
        </row>
        <row r="53">
          <cell r="A53" t="str">
            <v xml:space="preserve">RGC Resources Inc             </v>
          </cell>
          <cell r="B53" t="str">
            <v>RGCO</v>
          </cell>
          <cell r="C53">
            <v>2.8660000000000001</v>
          </cell>
          <cell r="G53">
            <v>1.7250000000000001</v>
          </cell>
        </row>
        <row r="54">
          <cell r="A54" t="str">
            <v xml:space="preserve">SCANA Corp.                   </v>
          </cell>
          <cell r="B54" t="str">
            <v>SCG</v>
          </cell>
          <cell r="C54">
            <v>8.5660000000000007</v>
          </cell>
          <cell r="D54">
            <v>6.2</v>
          </cell>
          <cell r="E54">
            <v>6.05</v>
          </cell>
          <cell r="F54">
            <v>6.5</v>
          </cell>
          <cell r="G54">
            <v>7.35</v>
          </cell>
          <cell r="H54">
            <v>7</v>
          </cell>
          <cell r="I54">
            <v>7.25</v>
          </cell>
          <cell r="J54">
            <v>8.25</v>
          </cell>
        </row>
        <row r="55">
          <cell r="A55" t="str">
            <v xml:space="preserve">Sempra Energy                 </v>
          </cell>
          <cell r="B55" t="str">
            <v>SRE</v>
          </cell>
          <cell r="C55">
            <v>15.711</v>
          </cell>
          <cell r="D55">
            <v>9.5</v>
          </cell>
          <cell r="E55">
            <v>9.5500000000000007</v>
          </cell>
          <cell r="F55">
            <v>9.25</v>
          </cell>
          <cell r="G55">
            <v>10.574999999999999</v>
          </cell>
          <cell r="H55">
            <v>11</v>
          </cell>
          <cell r="I55">
            <v>11.75</v>
          </cell>
          <cell r="J55">
            <v>14.25</v>
          </cell>
        </row>
        <row r="56">
          <cell r="A56" t="str">
            <v xml:space="preserve">SJW Group                     </v>
          </cell>
          <cell r="B56" t="str">
            <v>SJW</v>
          </cell>
          <cell r="C56">
            <v>7.2640000000000002</v>
          </cell>
          <cell r="D56">
            <v>5.5</v>
          </cell>
          <cell r="E56">
            <v>5.25</v>
          </cell>
          <cell r="F56">
            <v>5</v>
          </cell>
          <cell r="G56">
            <v>5.2380000000000004</v>
          </cell>
          <cell r="H56">
            <v>5</v>
          </cell>
          <cell r="I56">
            <v>5.25</v>
          </cell>
          <cell r="J56">
            <v>5.65</v>
          </cell>
        </row>
        <row r="57">
          <cell r="A57" t="str">
            <v xml:space="preserve">South Jersey Inds.            </v>
          </cell>
          <cell r="B57" t="str">
            <v>SJI</v>
          </cell>
          <cell r="C57">
            <v>3.431</v>
          </cell>
          <cell r="D57">
            <v>2.65</v>
          </cell>
          <cell r="E57">
            <v>3.1</v>
          </cell>
          <cell r="F57">
            <v>4.75</v>
          </cell>
          <cell r="G57">
            <v>2.7850000000000001</v>
          </cell>
          <cell r="H57">
            <v>2.85</v>
          </cell>
          <cell r="I57">
            <v>2.8</v>
          </cell>
          <cell r="J57">
            <v>3.6</v>
          </cell>
        </row>
        <row r="58">
          <cell r="A58" t="str">
            <v xml:space="preserve">Southern Co.                  </v>
          </cell>
          <cell r="B58" t="str">
            <v>SO</v>
          </cell>
          <cell r="C58">
            <v>7.367</v>
          </cell>
          <cell r="D58">
            <v>8.4499999999999993</v>
          </cell>
          <cell r="E58">
            <v>7.15</v>
          </cell>
          <cell r="F58">
            <v>7.25</v>
          </cell>
          <cell r="G58">
            <v>6.6379999999999999</v>
          </cell>
          <cell r="H58">
            <v>6.35</v>
          </cell>
          <cell r="I58">
            <v>6.6</v>
          </cell>
          <cell r="J58">
            <v>7.5</v>
          </cell>
        </row>
        <row r="59">
          <cell r="A59" t="str">
            <v xml:space="preserve">Southwest Gas                 </v>
          </cell>
          <cell r="B59" t="str">
            <v>SWX</v>
          </cell>
          <cell r="C59">
            <v>12.968</v>
          </cell>
          <cell r="D59">
            <v>12.75</v>
          </cell>
          <cell r="E59">
            <v>13.5</v>
          </cell>
          <cell r="F59">
            <v>15.55</v>
          </cell>
          <cell r="G59">
            <v>8.8330000000000002</v>
          </cell>
          <cell r="H59">
            <v>9.1</v>
          </cell>
          <cell r="I59">
            <v>10</v>
          </cell>
          <cell r="J59">
            <v>13.5</v>
          </cell>
        </row>
        <row r="60">
          <cell r="A60" t="str">
            <v xml:space="preserve">Spire Inc.                    </v>
          </cell>
          <cell r="B60" t="str">
            <v>SR</v>
          </cell>
          <cell r="C60">
            <v>9.077</v>
          </cell>
          <cell r="D60">
            <v>9.3000000000000007</v>
          </cell>
          <cell r="E60">
            <v>9.1999999999999993</v>
          </cell>
          <cell r="F60">
            <v>10</v>
          </cell>
          <cell r="G60">
            <v>6.5410000000000004</v>
          </cell>
          <cell r="H60">
            <v>7.3</v>
          </cell>
          <cell r="I60">
            <v>7.25</v>
          </cell>
          <cell r="J60">
            <v>8.25</v>
          </cell>
        </row>
        <row r="61">
          <cell r="A61" t="str">
            <v xml:space="preserve">Star Group L.P.               </v>
          </cell>
          <cell r="B61" t="str">
            <v>SGU</v>
          </cell>
          <cell r="C61">
            <v>0.216</v>
          </cell>
          <cell r="G61">
            <v>0.97499999999999998</v>
          </cell>
        </row>
        <row r="62">
          <cell r="A62" t="str">
            <v xml:space="preserve">UGI Corp.                     </v>
          </cell>
          <cell r="B62" t="str">
            <v>UGI</v>
          </cell>
          <cell r="C62">
            <v>3.6720000000000002</v>
          </cell>
          <cell r="D62">
            <v>3.75</v>
          </cell>
          <cell r="E62">
            <v>3.9</v>
          </cell>
          <cell r="F62">
            <v>4.3499999999999996</v>
          </cell>
          <cell r="G62">
            <v>4.7290000000000001</v>
          </cell>
          <cell r="H62">
            <v>5.3</v>
          </cell>
          <cell r="I62">
            <v>5.4</v>
          </cell>
          <cell r="J62">
            <v>5.9</v>
          </cell>
        </row>
        <row r="63">
          <cell r="A63" t="str">
            <v xml:space="preserve">Unitil Corp.                  </v>
          </cell>
          <cell r="B63" t="str">
            <v>UTL</v>
          </cell>
          <cell r="C63">
            <v>8.0519999999999996</v>
          </cell>
          <cell r="G63">
            <v>5.1230000000000002</v>
          </cell>
        </row>
        <row r="64">
          <cell r="A64" t="str">
            <v xml:space="preserve">Vectren Corp.                 </v>
          </cell>
          <cell r="B64" t="str">
            <v>VVC</v>
          </cell>
          <cell r="C64">
            <v>7.26</v>
          </cell>
          <cell r="D64">
            <v>7.5</v>
          </cell>
          <cell r="E64">
            <v>8.0500000000000007</v>
          </cell>
          <cell r="F64">
            <v>9.9</v>
          </cell>
          <cell r="G64">
            <v>5.93</v>
          </cell>
          <cell r="H64">
            <v>6.35</v>
          </cell>
          <cell r="I64">
            <v>6.65</v>
          </cell>
          <cell r="J64">
            <v>8</v>
          </cell>
        </row>
        <row r="65">
          <cell r="A65" t="str">
            <v xml:space="preserve">WEC Energy Group              </v>
          </cell>
          <cell r="B65" t="str">
            <v>WEC</v>
          </cell>
          <cell r="C65">
            <v>6.2089999999999996</v>
          </cell>
          <cell r="D65">
            <v>7.9</v>
          </cell>
          <cell r="E65">
            <v>6.35</v>
          </cell>
          <cell r="F65">
            <v>7</v>
          </cell>
          <cell r="G65">
            <v>5.69</v>
          </cell>
          <cell r="H65">
            <v>6.05</v>
          </cell>
          <cell r="I65">
            <v>6.35</v>
          </cell>
          <cell r="J65">
            <v>7.5</v>
          </cell>
        </row>
        <row r="66">
          <cell r="A66" t="str">
            <v xml:space="preserve">WGL Holdings Inc.             </v>
          </cell>
          <cell r="B66" t="str">
            <v>WGL</v>
          </cell>
          <cell r="C66">
            <v>10.087999999999999</v>
          </cell>
          <cell r="D66">
            <v>10.85</v>
          </cell>
          <cell r="E66">
            <v>11.1</v>
          </cell>
          <cell r="F66">
            <v>11.8</v>
          </cell>
          <cell r="G66">
            <v>6.1139999999999999</v>
          </cell>
          <cell r="H66">
            <v>7.05</v>
          </cell>
          <cell r="I66">
            <v>7.2</v>
          </cell>
          <cell r="J66">
            <v>7.7</v>
          </cell>
        </row>
        <row r="67">
          <cell r="A67" t="str">
            <v xml:space="preserve">Xcel Energy Inc.              </v>
          </cell>
          <cell r="B67" t="str">
            <v>XEL</v>
          </cell>
          <cell r="C67">
            <v>6.5369999999999999</v>
          </cell>
          <cell r="D67">
            <v>8.25</v>
          </cell>
          <cell r="E67">
            <v>7.95</v>
          </cell>
          <cell r="F67">
            <v>6.75</v>
          </cell>
          <cell r="G67">
            <v>5.4649999999999999</v>
          </cell>
          <cell r="H67">
            <v>5.9</v>
          </cell>
          <cell r="I67">
            <v>6.15</v>
          </cell>
          <cell r="J67">
            <v>7.25</v>
          </cell>
        </row>
        <row r="68">
          <cell r="A68" t="str">
            <v xml:space="preserve">York Water Co. (The)          </v>
          </cell>
          <cell r="B68" t="str">
            <v>YORW</v>
          </cell>
          <cell r="C68">
            <v>1.948</v>
          </cell>
          <cell r="D68">
            <v>1.5</v>
          </cell>
          <cell r="E68">
            <v>1.25</v>
          </cell>
          <cell r="F68">
            <v>1.25</v>
          </cell>
          <cell r="G68">
            <v>1.534</v>
          </cell>
          <cell r="H68">
            <v>1.65</v>
          </cell>
          <cell r="I68">
            <v>1.75</v>
          </cell>
          <cell r="J68">
            <v>2.25</v>
          </cell>
        </row>
      </sheetData>
      <sheetData sheetId="26">
        <row r="9">
          <cell r="D9" t="str">
            <v>ALE</v>
          </cell>
          <cell r="E9" t="str">
            <v xml:space="preserve">ALLETE                        </v>
          </cell>
          <cell r="F9">
            <v>23.2</v>
          </cell>
          <cell r="G9">
            <v>82.8</v>
          </cell>
          <cell r="H9">
            <v>66.599999999999994</v>
          </cell>
          <cell r="I9">
            <v>74.699999999999989</v>
          </cell>
          <cell r="J9">
            <v>6.85</v>
          </cell>
          <cell r="K9">
            <v>3.35</v>
          </cell>
          <cell r="L9">
            <v>2.2400000000000002</v>
          </cell>
          <cell r="M9">
            <v>6.3</v>
          </cell>
          <cell r="N9">
            <v>41.65</v>
          </cell>
          <cell r="O9">
            <v>7.15</v>
          </cell>
          <cell r="P9">
            <v>6.9</v>
          </cell>
          <cell r="Q9">
            <v>8.25</v>
          </cell>
          <cell r="R9">
            <v>6.75</v>
          </cell>
          <cell r="S9">
            <v>43448</v>
          </cell>
          <cell r="T9">
            <v>10.905109489051094</v>
          </cell>
          <cell r="U9">
            <v>1.7935174069627848</v>
          </cell>
          <cell r="V9">
            <v>5.3781512605042027E-2</v>
          </cell>
          <cell r="W9">
            <v>0.66865671641791047</v>
          </cell>
          <cell r="X9">
            <v>1.0873015873015872</v>
          </cell>
          <cell r="Y9">
            <v>2.9986613119143246E-2</v>
          </cell>
          <cell r="Z9">
            <v>1.036231884057971</v>
          </cell>
          <cell r="AA9">
            <v>1.2222222222222223</v>
          </cell>
          <cell r="AB9">
            <v>0</v>
          </cell>
        </row>
        <row r="10">
          <cell r="D10" t="str">
            <v>LNT</v>
          </cell>
          <cell r="E10" t="str">
            <v xml:space="preserve">Alliant Energy                </v>
          </cell>
          <cell r="F10">
            <v>21.1</v>
          </cell>
          <cell r="G10">
            <v>46.6</v>
          </cell>
          <cell r="H10">
            <v>36.799999999999997</v>
          </cell>
          <cell r="I10">
            <v>41.7</v>
          </cell>
          <cell r="J10">
            <v>4.3</v>
          </cell>
          <cell r="K10">
            <v>2.15</v>
          </cell>
          <cell r="L10">
            <v>1.34</v>
          </cell>
          <cell r="M10">
            <v>7.35</v>
          </cell>
          <cell r="N10">
            <v>20.2</v>
          </cell>
          <cell r="O10">
            <v>4.45</v>
          </cell>
          <cell r="P10">
            <v>6.7</v>
          </cell>
          <cell r="Q10">
            <v>5</v>
          </cell>
          <cell r="R10">
            <v>5.35</v>
          </cell>
          <cell r="S10">
            <v>43448</v>
          </cell>
          <cell r="T10">
            <v>9.6976744186046524</v>
          </cell>
          <cell r="U10">
            <v>2.0643564356435644</v>
          </cell>
          <cell r="V10">
            <v>6.633663366336634E-2</v>
          </cell>
          <cell r="W10">
            <v>0.62325581395348839</v>
          </cell>
          <cell r="X10">
            <v>0.58503401360544216</v>
          </cell>
          <cell r="Y10">
            <v>3.2134292565947242E-2</v>
          </cell>
          <cell r="Z10">
            <v>0.66417910447761197</v>
          </cell>
          <cell r="AA10">
            <v>0.93457943925233655</v>
          </cell>
          <cell r="AB10">
            <v>0</v>
          </cell>
        </row>
        <row r="11">
          <cell r="D11" t="str">
            <v>AWR</v>
          </cell>
          <cell r="E11" t="str">
            <v>Amer. States Water</v>
          </cell>
          <cell r="F11">
            <v>34.299999999999997</v>
          </cell>
          <cell r="G11">
            <v>61.7</v>
          </cell>
          <cell r="H11">
            <v>50.1</v>
          </cell>
          <cell r="I11">
            <v>55.900000000000006</v>
          </cell>
          <cell r="J11">
            <v>2.75</v>
          </cell>
          <cell r="K11">
            <v>1.65</v>
          </cell>
          <cell r="L11">
            <v>1.08</v>
          </cell>
          <cell r="M11">
            <v>3.4</v>
          </cell>
          <cell r="N11">
            <v>15.2</v>
          </cell>
          <cell r="O11">
            <v>3.25</v>
          </cell>
          <cell r="P11">
            <v>3.4</v>
          </cell>
          <cell r="Q11">
            <v>4</v>
          </cell>
          <cell r="R11">
            <v>3.25</v>
          </cell>
          <cell r="S11">
            <v>43385</v>
          </cell>
          <cell r="T11">
            <v>20.327272727272728</v>
          </cell>
          <cell r="U11">
            <v>3.677631578947369</v>
          </cell>
          <cell r="V11">
            <v>7.1052631578947381E-2</v>
          </cell>
          <cell r="W11">
            <v>0.65454545454545465</v>
          </cell>
          <cell r="X11">
            <v>0.80882352941176472</v>
          </cell>
          <cell r="Y11">
            <v>1.9320214669051879E-2</v>
          </cell>
          <cell r="Z11">
            <v>0.95588235294117652</v>
          </cell>
          <cell r="AA11">
            <v>1.2307692307692308</v>
          </cell>
          <cell r="AB11">
            <v>0</v>
          </cell>
        </row>
        <row r="12">
          <cell r="D12" t="str">
            <v>AWK</v>
          </cell>
          <cell r="E12" t="str">
            <v>Amer. Water Works</v>
          </cell>
          <cell r="F12">
            <v>26.7</v>
          </cell>
          <cell r="G12">
            <v>91.5</v>
          </cell>
          <cell r="H12">
            <v>76</v>
          </cell>
          <cell r="I12">
            <v>83.75</v>
          </cell>
          <cell r="J12">
            <v>5.8</v>
          </cell>
          <cell r="K12">
            <v>3.3</v>
          </cell>
          <cell r="L12">
            <v>1.78</v>
          </cell>
          <cell r="M12">
            <v>9.6</v>
          </cell>
          <cell r="N12">
            <v>31.75</v>
          </cell>
          <cell r="O12">
            <v>6.3</v>
          </cell>
          <cell r="P12">
            <v>9.5500000000000007</v>
          </cell>
          <cell r="Q12">
            <v>7.7</v>
          </cell>
          <cell r="R12">
            <v>9.1999999999999993</v>
          </cell>
          <cell r="S12">
            <v>43385</v>
          </cell>
          <cell r="T12">
            <v>14.439655172413794</v>
          </cell>
          <cell r="U12">
            <v>2.6377952755905514</v>
          </cell>
          <cell r="V12">
            <v>5.606299212598425E-2</v>
          </cell>
          <cell r="W12">
            <v>0.53939393939393943</v>
          </cell>
          <cell r="X12">
            <v>0.60416666666666663</v>
          </cell>
          <cell r="Y12">
            <v>2.1253731343283584E-2</v>
          </cell>
          <cell r="Z12">
            <v>0.65968586387434547</v>
          </cell>
          <cell r="AA12">
            <v>0.83695652173913049</v>
          </cell>
          <cell r="AB12">
            <v>0</v>
          </cell>
        </row>
        <row r="13">
          <cell r="D13" t="str">
            <v>AEE</v>
          </cell>
          <cell r="E13" t="str">
            <v xml:space="preserve">Ameren Corp.                  </v>
          </cell>
          <cell r="F13">
            <v>22.2</v>
          </cell>
          <cell r="G13">
            <v>70.900000000000006</v>
          </cell>
          <cell r="H13">
            <v>51.9</v>
          </cell>
          <cell r="I13">
            <v>61.400000000000006</v>
          </cell>
          <cell r="J13">
            <v>7.7</v>
          </cell>
          <cell r="K13">
            <v>3.35</v>
          </cell>
          <cell r="L13">
            <v>1.85</v>
          </cell>
          <cell r="M13">
            <v>9.8000000000000007</v>
          </cell>
          <cell r="N13">
            <v>31.3</v>
          </cell>
          <cell r="O13">
            <v>8</v>
          </cell>
          <cell r="P13">
            <v>11.8</v>
          </cell>
          <cell r="Q13">
            <v>9.75</v>
          </cell>
          <cell r="R13">
            <v>10.5</v>
          </cell>
          <cell r="S13">
            <v>43448</v>
          </cell>
          <cell r="T13">
            <v>7.9740259740259747</v>
          </cell>
          <cell r="U13">
            <v>1.9616613418530353</v>
          </cell>
          <cell r="V13">
            <v>5.9105431309904158E-2</v>
          </cell>
          <cell r="W13">
            <v>0.55223880597014929</v>
          </cell>
          <cell r="X13">
            <v>0.7857142857142857</v>
          </cell>
          <cell r="Y13">
            <v>3.013029315960912E-2</v>
          </cell>
          <cell r="Z13">
            <v>0.67796610169491522</v>
          </cell>
          <cell r="AA13">
            <v>0.9285714285714286</v>
          </cell>
          <cell r="AB13">
            <v>0</v>
          </cell>
        </row>
        <row r="14">
          <cell r="D14" t="str">
            <v>AEP</v>
          </cell>
          <cell r="E14" t="str">
            <v>American Electric Power</v>
          </cell>
          <cell r="F14">
            <v>20.6</v>
          </cell>
          <cell r="G14">
            <v>79.3</v>
          </cell>
          <cell r="H14">
            <v>62.7</v>
          </cell>
          <cell r="I14">
            <v>71</v>
          </cell>
          <cell r="J14">
            <v>8.6</v>
          </cell>
          <cell r="K14">
            <v>3.9</v>
          </cell>
          <cell r="L14">
            <v>2.5299999999999998</v>
          </cell>
          <cell r="M14">
            <v>12.5</v>
          </cell>
          <cell r="N14">
            <v>38.65</v>
          </cell>
          <cell r="O14">
            <v>9.0500000000000007</v>
          </cell>
          <cell r="P14">
            <v>13.55</v>
          </cell>
          <cell r="Q14">
            <v>10.5</v>
          </cell>
          <cell r="R14">
            <v>13.75</v>
          </cell>
          <cell r="S14">
            <v>43448</v>
          </cell>
          <cell r="T14">
            <v>8.2558139534883725</v>
          </cell>
          <cell r="U14">
            <v>1.8369987063389392</v>
          </cell>
          <cell r="V14">
            <v>6.545924967658473E-2</v>
          </cell>
          <cell r="W14">
            <v>0.64871794871794863</v>
          </cell>
          <cell r="X14">
            <v>0.68799999999999994</v>
          </cell>
          <cell r="Y14">
            <v>3.5633802816901407E-2</v>
          </cell>
          <cell r="Z14">
            <v>0.66789667896678973</v>
          </cell>
          <cell r="AA14">
            <v>0.76363636363636367</v>
          </cell>
          <cell r="AB14">
            <v>0</v>
          </cell>
        </row>
        <row r="15">
          <cell r="D15" t="str">
            <v>WTR</v>
          </cell>
          <cell r="E15" t="str">
            <v>Aqua America</v>
          </cell>
          <cell r="F15">
            <v>26</v>
          </cell>
          <cell r="G15">
            <v>39.4</v>
          </cell>
          <cell r="H15">
            <v>32.4</v>
          </cell>
          <cell r="I15">
            <v>35.9</v>
          </cell>
          <cell r="J15">
            <v>2.2000000000000002</v>
          </cell>
          <cell r="K15">
            <v>1.4</v>
          </cell>
          <cell r="L15">
            <v>0.85</v>
          </cell>
          <cell r="M15">
            <v>2.65</v>
          </cell>
          <cell r="N15">
            <v>11</v>
          </cell>
          <cell r="O15">
            <v>2.4</v>
          </cell>
          <cell r="P15">
            <v>2.65</v>
          </cell>
          <cell r="Q15">
            <v>2.9</v>
          </cell>
          <cell r="R15">
            <v>2.1</v>
          </cell>
          <cell r="S15">
            <v>43385</v>
          </cell>
          <cell r="T15">
            <v>16.318181818181817</v>
          </cell>
          <cell r="U15">
            <v>3.2636363636363637</v>
          </cell>
          <cell r="V15">
            <v>7.7272727272727271E-2</v>
          </cell>
          <cell r="W15">
            <v>0.60714285714285721</v>
          </cell>
          <cell r="X15">
            <v>0.83018867924528317</v>
          </cell>
          <cell r="Y15">
            <v>2.3676880222841225E-2</v>
          </cell>
          <cell r="Z15">
            <v>0.90566037735849059</v>
          </cell>
          <cell r="AA15">
            <v>1.3809523809523809</v>
          </cell>
          <cell r="AB15">
            <v>0</v>
          </cell>
        </row>
        <row r="16">
          <cell r="D16" t="str">
            <v>ATO</v>
          </cell>
          <cell r="E16" t="str">
            <v>Atmos Energy</v>
          </cell>
          <cell r="F16">
            <v>23.5</v>
          </cell>
          <cell r="G16">
            <v>99.8</v>
          </cell>
          <cell r="H16">
            <v>76.5</v>
          </cell>
          <cell r="I16">
            <v>88.15</v>
          </cell>
          <cell r="J16">
            <v>7.15</v>
          </cell>
          <cell r="K16">
            <v>4</v>
          </cell>
          <cell r="L16">
            <v>1.94</v>
          </cell>
          <cell r="M16">
            <v>13.2</v>
          </cell>
          <cell r="N16">
            <v>42.85</v>
          </cell>
          <cell r="O16">
            <v>7.7</v>
          </cell>
          <cell r="P16">
            <v>14.65</v>
          </cell>
          <cell r="Q16">
            <v>8.6</v>
          </cell>
          <cell r="R16">
            <v>14.2</v>
          </cell>
          <cell r="S16">
            <v>43434</v>
          </cell>
          <cell r="T16">
            <v>12.328671328671328</v>
          </cell>
          <cell r="U16">
            <v>2.057176196032672</v>
          </cell>
          <cell r="V16">
            <v>4.5274212368728119E-2</v>
          </cell>
          <cell r="W16">
            <v>0.48499999999999999</v>
          </cell>
          <cell r="X16">
            <v>0.54166666666666674</v>
          </cell>
          <cell r="Y16">
            <v>2.2007941009642651E-2</v>
          </cell>
          <cell r="Z16">
            <v>0.52559726962457343</v>
          </cell>
          <cell r="AA16">
            <v>0.60563380281690138</v>
          </cell>
          <cell r="AB16">
            <v>0</v>
          </cell>
        </row>
        <row r="17">
          <cell r="D17" t="str">
            <v>AGR</v>
          </cell>
          <cell r="E17" t="str">
            <v>Avangrid, Inc.</v>
          </cell>
          <cell r="F17">
            <v>19.899999999999999</v>
          </cell>
          <cell r="G17">
            <v>54.6</v>
          </cell>
          <cell r="H17">
            <v>45.2</v>
          </cell>
          <cell r="I17">
            <v>49.900000000000006</v>
          </cell>
          <cell r="J17">
            <v>5.0999999999999996</v>
          </cell>
          <cell r="K17">
            <v>2.2000000000000002</v>
          </cell>
          <cell r="L17">
            <v>1.74</v>
          </cell>
          <cell r="M17">
            <v>7.75</v>
          </cell>
          <cell r="N17">
            <v>49.25</v>
          </cell>
          <cell r="O17">
            <v>5.6</v>
          </cell>
          <cell r="P17">
            <v>7.75</v>
          </cell>
          <cell r="Q17">
            <v>6.75</v>
          </cell>
          <cell r="R17">
            <v>7.75</v>
          </cell>
          <cell r="S17">
            <v>43420</v>
          </cell>
          <cell r="T17">
            <v>9.7843137254901986</v>
          </cell>
          <cell r="U17">
            <v>1.0131979695431472</v>
          </cell>
          <cell r="V17">
            <v>3.5329949238578677E-2</v>
          </cell>
          <cell r="W17">
            <v>0.79090909090909089</v>
          </cell>
          <cell r="X17">
            <v>0.65806451612903216</v>
          </cell>
          <cell r="Y17">
            <v>3.4869739478957912E-2</v>
          </cell>
          <cell r="Z17">
            <v>0.72258064516129028</v>
          </cell>
          <cell r="AA17">
            <v>0.87096774193548387</v>
          </cell>
          <cell r="AB17">
            <v>0</v>
          </cell>
        </row>
        <row r="18">
          <cell r="D18" t="str">
            <v>AVA</v>
          </cell>
          <cell r="E18" t="str">
            <v xml:space="preserve">Avista Corp.                  </v>
          </cell>
          <cell r="F18">
            <v>25.9</v>
          </cell>
          <cell r="G18">
            <v>52.9</v>
          </cell>
          <cell r="H18">
            <v>47.5</v>
          </cell>
          <cell r="I18">
            <v>50.2</v>
          </cell>
          <cell r="J18">
            <v>5</v>
          </cell>
          <cell r="K18">
            <v>1.9</v>
          </cell>
          <cell r="L18">
            <v>1.49</v>
          </cell>
          <cell r="M18">
            <v>6.1</v>
          </cell>
          <cell r="N18">
            <v>27.3</v>
          </cell>
          <cell r="O18">
            <v>5.35</v>
          </cell>
          <cell r="P18">
            <v>6.05</v>
          </cell>
          <cell r="Q18">
            <v>6.5</v>
          </cell>
          <cell r="R18">
            <v>6.25</v>
          </cell>
          <cell r="S18">
            <v>43399</v>
          </cell>
          <cell r="T18">
            <v>10.040000000000001</v>
          </cell>
          <cell r="U18">
            <v>1.838827838827839</v>
          </cell>
          <cell r="V18">
            <v>5.4578754578754579E-2</v>
          </cell>
          <cell r="W18">
            <v>0.78421052631578947</v>
          </cell>
          <cell r="X18">
            <v>0.81967213114754101</v>
          </cell>
          <cell r="Y18">
            <v>2.9681274900398406E-2</v>
          </cell>
          <cell r="Z18">
            <v>0.88429752066115697</v>
          </cell>
          <cell r="AA18">
            <v>1.04</v>
          </cell>
          <cell r="AB18">
            <v>0</v>
          </cell>
        </row>
        <row r="19">
          <cell r="D19" t="str">
            <v>BKH</v>
          </cell>
          <cell r="E19" t="str">
            <v xml:space="preserve">Black Hills                   </v>
          </cell>
          <cell r="F19">
            <v>18.100000000000001</v>
          </cell>
          <cell r="G19">
            <v>64.099999999999994</v>
          </cell>
          <cell r="H19">
            <v>50.5</v>
          </cell>
          <cell r="I19">
            <v>57.3</v>
          </cell>
          <cell r="J19">
            <v>6.7</v>
          </cell>
          <cell r="K19">
            <v>3.45</v>
          </cell>
          <cell r="L19">
            <v>1.9</v>
          </cell>
          <cell r="M19">
            <v>8</v>
          </cell>
          <cell r="N19">
            <v>35.75</v>
          </cell>
          <cell r="O19">
            <v>7.25</v>
          </cell>
          <cell r="P19">
            <v>9.9499999999999993</v>
          </cell>
          <cell r="Q19">
            <v>8.5</v>
          </cell>
          <cell r="R19">
            <v>7.25</v>
          </cell>
          <cell r="S19">
            <v>43399</v>
          </cell>
          <cell r="T19">
            <v>8.5522388059701484</v>
          </cell>
          <cell r="U19">
            <v>1.6027972027972026</v>
          </cell>
          <cell r="V19">
            <v>5.3146853146853142E-2</v>
          </cell>
          <cell r="W19">
            <v>0.55072463768115931</v>
          </cell>
          <cell r="X19">
            <v>0.83750000000000002</v>
          </cell>
          <cell r="Y19">
            <v>3.3158813263525308E-2</v>
          </cell>
          <cell r="Z19">
            <v>0.72864321608040206</v>
          </cell>
          <cell r="AA19">
            <v>1.1724137931034482</v>
          </cell>
          <cell r="AB19">
            <v>0</v>
          </cell>
        </row>
        <row r="20">
          <cell r="D20" t="str">
            <v>CWT</v>
          </cell>
          <cell r="E20" t="str">
            <v>California Water</v>
          </cell>
          <cell r="F20">
            <v>28.7</v>
          </cell>
          <cell r="G20">
            <v>45.8</v>
          </cell>
          <cell r="H20">
            <v>35.299999999999997</v>
          </cell>
          <cell r="I20">
            <v>40.549999999999997</v>
          </cell>
          <cell r="J20">
            <v>2.65</v>
          </cell>
          <cell r="K20">
            <v>1.3</v>
          </cell>
          <cell r="L20">
            <v>0.75</v>
          </cell>
          <cell r="M20">
            <v>4.3499999999999996</v>
          </cell>
          <cell r="N20">
            <v>14.45</v>
          </cell>
          <cell r="O20">
            <v>2.95</v>
          </cell>
          <cell r="P20">
            <v>3.95</v>
          </cell>
          <cell r="Q20">
            <v>3.3</v>
          </cell>
          <cell r="R20">
            <v>3.65</v>
          </cell>
          <cell r="S20">
            <v>43385</v>
          </cell>
          <cell r="T20">
            <v>15.30188679245283</v>
          </cell>
          <cell r="U20">
            <v>2.8062283737024223</v>
          </cell>
          <cell r="V20">
            <v>5.1903114186851215E-2</v>
          </cell>
          <cell r="W20">
            <v>0.57692307692307687</v>
          </cell>
          <cell r="X20">
            <v>0.60919540229885061</v>
          </cell>
          <cell r="Y20">
            <v>1.8495684340320593E-2</v>
          </cell>
          <cell r="Z20">
            <v>0.74683544303797467</v>
          </cell>
          <cell r="AA20">
            <v>0.90410958904109584</v>
          </cell>
          <cell r="AB20">
            <v>0</v>
          </cell>
        </row>
        <row r="21">
          <cell r="D21" t="str">
            <v>CNP</v>
          </cell>
          <cell r="E21" t="str">
            <v xml:space="preserve">CenterPoint Energy            </v>
          </cell>
          <cell r="F21">
            <v>23</v>
          </cell>
          <cell r="G21">
            <v>29.1</v>
          </cell>
          <cell r="H21">
            <v>24.8</v>
          </cell>
          <cell r="I21">
            <v>26.950000000000003</v>
          </cell>
          <cell r="J21">
            <v>3.6</v>
          </cell>
          <cell r="K21">
            <v>0.9</v>
          </cell>
          <cell r="L21">
            <v>1.1100000000000001</v>
          </cell>
          <cell r="M21">
            <v>3.3</v>
          </cell>
          <cell r="N21">
            <v>12.9</v>
          </cell>
          <cell r="O21">
            <v>4</v>
          </cell>
          <cell r="P21">
            <v>3.25</v>
          </cell>
          <cell r="Q21">
            <v>4.5</v>
          </cell>
          <cell r="R21">
            <v>3</v>
          </cell>
          <cell r="S21">
            <v>43448</v>
          </cell>
          <cell r="T21">
            <v>7.4861111111111116</v>
          </cell>
          <cell r="U21">
            <v>2.0891472868217056</v>
          </cell>
          <cell r="V21">
            <v>8.6046511627906982E-2</v>
          </cell>
          <cell r="W21">
            <v>1.2333333333333334</v>
          </cell>
          <cell r="X21">
            <v>1.0909090909090911</v>
          </cell>
          <cell r="Y21">
            <v>4.1187384044526903E-2</v>
          </cell>
          <cell r="Z21">
            <v>1.2307692307692308</v>
          </cell>
          <cell r="AA21">
            <v>1.5</v>
          </cell>
          <cell r="AB21">
            <v>0</v>
          </cell>
        </row>
        <row r="22">
          <cell r="D22" t="str">
            <v>CPK</v>
          </cell>
          <cell r="E22" t="str">
            <v>Chesapeake Utilities</v>
          </cell>
          <cell r="F22">
            <v>26.2</v>
          </cell>
          <cell r="G22">
            <v>93.1</v>
          </cell>
          <cell r="H22">
            <v>66.400000000000006</v>
          </cell>
          <cell r="I22">
            <v>79.75</v>
          </cell>
          <cell r="J22">
            <v>6.1</v>
          </cell>
          <cell r="K22">
            <v>3.15</v>
          </cell>
          <cell r="L22">
            <v>1.39</v>
          </cell>
          <cell r="M22">
            <v>12.75</v>
          </cell>
          <cell r="N22">
            <v>31.8</v>
          </cell>
          <cell r="O22">
            <v>6.45</v>
          </cell>
          <cell r="P22">
            <v>10.8</v>
          </cell>
          <cell r="Q22">
            <v>8.25</v>
          </cell>
          <cell r="R22">
            <v>11.8</v>
          </cell>
          <cell r="S22">
            <v>43434</v>
          </cell>
          <cell r="T22">
            <v>13.073770491803279</v>
          </cell>
          <cell r="U22">
            <v>2.507861635220126</v>
          </cell>
          <cell r="V22">
            <v>4.3710691823899368E-2</v>
          </cell>
          <cell r="W22">
            <v>0.44126984126984126</v>
          </cell>
          <cell r="X22">
            <v>0.47843137254901957</v>
          </cell>
          <cell r="Y22">
            <v>1.7429467084639497E-2</v>
          </cell>
          <cell r="Z22">
            <v>0.59722222222222221</v>
          </cell>
          <cell r="AA22">
            <v>0.69915254237288127</v>
          </cell>
          <cell r="AB22">
            <v>0</v>
          </cell>
        </row>
        <row r="23">
          <cell r="D23" t="str">
            <v>CMS</v>
          </cell>
          <cell r="E23" t="str">
            <v xml:space="preserve">CMS Energy Corp.              </v>
          </cell>
          <cell r="F23">
            <v>22.9</v>
          </cell>
          <cell r="G23">
            <v>53.3</v>
          </cell>
          <cell r="H23">
            <v>40.5</v>
          </cell>
          <cell r="I23">
            <v>46.9</v>
          </cell>
          <cell r="J23">
            <v>5.65</v>
          </cell>
          <cell r="K23">
            <v>2.35</v>
          </cell>
          <cell r="L23">
            <v>1.43</v>
          </cell>
          <cell r="M23">
            <v>7.4</v>
          </cell>
          <cell r="N23">
            <v>16.95</v>
          </cell>
          <cell r="O23">
            <v>5.95</v>
          </cell>
          <cell r="P23">
            <v>8.4</v>
          </cell>
          <cell r="Q23">
            <v>7.25</v>
          </cell>
          <cell r="R23">
            <v>6.5</v>
          </cell>
          <cell r="S23">
            <v>43448</v>
          </cell>
          <cell r="T23">
            <v>8.3008849557522115</v>
          </cell>
          <cell r="U23">
            <v>2.7669616519174043</v>
          </cell>
          <cell r="V23">
            <v>8.4365781710914453E-2</v>
          </cell>
          <cell r="W23">
            <v>0.60851063829787233</v>
          </cell>
          <cell r="X23">
            <v>0.76351351351351349</v>
          </cell>
          <cell r="Y23">
            <v>3.0490405117270789E-2</v>
          </cell>
          <cell r="Z23">
            <v>0.70833333333333337</v>
          </cell>
          <cell r="AA23">
            <v>1.1153846153846154</v>
          </cell>
          <cell r="AB23">
            <v>0</v>
          </cell>
        </row>
        <row r="24">
          <cell r="D24" t="str">
            <v>CTWS</v>
          </cell>
          <cell r="E24" t="str">
            <v>Conn. Water Services</v>
          </cell>
          <cell r="F24">
            <v>32.5</v>
          </cell>
          <cell r="G24">
            <v>69.8</v>
          </cell>
          <cell r="H24">
            <v>48.9</v>
          </cell>
          <cell r="I24">
            <v>59.349999999999994</v>
          </cell>
          <cell r="J24">
            <v>3.15</v>
          </cell>
          <cell r="K24">
            <v>1.65</v>
          </cell>
          <cell r="L24">
            <v>1.24</v>
          </cell>
          <cell r="M24">
            <v>4.45</v>
          </cell>
          <cell r="N24">
            <v>24.7</v>
          </cell>
          <cell r="O24">
            <v>3.95</v>
          </cell>
          <cell r="P24">
            <v>4</v>
          </cell>
          <cell r="Q24">
            <v>4.5</v>
          </cell>
          <cell r="R24">
            <v>3.35</v>
          </cell>
          <cell r="S24">
            <v>43385</v>
          </cell>
          <cell r="T24">
            <v>18.841269841269838</v>
          </cell>
          <cell r="U24">
            <v>2.402834008097166</v>
          </cell>
          <cell r="V24">
            <v>5.020242914979757E-2</v>
          </cell>
          <cell r="W24">
            <v>0.75151515151515158</v>
          </cell>
          <cell r="X24">
            <v>0.7078651685393258</v>
          </cell>
          <cell r="Y24">
            <v>2.0893007582139852E-2</v>
          </cell>
          <cell r="Z24">
            <v>0.98750000000000004</v>
          </cell>
          <cell r="AA24">
            <v>1.3432835820895521</v>
          </cell>
          <cell r="AB24">
            <v>0</v>
          </cell>
        </row>
        <row r="25">
          <cell r="D25" t="str">
            <v>ED</v>
          </cell>
          <cell r="E25" t="str">
            <v xml:space="preserve">Consol. Edison                </v>
          </cell>
          <cell r="F25">
            <v>18</v>
          </cell>
          <cell r="G25">
            <v>84.9</v>
          </cell>
          <cell r="H25">
            <v>71.099999999999994</v>
          </cell>
          <cell r="I25">
            <v>78</v>
          </cell>
          <cell r="J25">
            <v>8.65</v>
          </cell>
          <cell r="K25">
            <v>4.2</v>
          </cell>
          <cell r="L25">
            <v>2.86</v>
          </cell>
          <cell r="M25">
            <v>12.5</v>
          </cell>
          <cell r="N25">
            <v>51.5</v>
          </cell>
          <cell r="O25">
            <v>9.15</v>
          </cell>
          <cell r="P25">
            <v>12.5</v>
          </cell>
          <cell r="Q25">
            <v>10.5</v>
          </cell>
          <cell r="R25">
            <v>11.25</v>
          </cell>
          <cell r="S25">
            <v>43420</v>
          </cell>
          <cell r="T25">
            <v>9.0173410404624281</v>
          </cell>
          <cell r="U25">
            <v>1.5145631067961165</v>
          </cell>
          <cell r="V25">
            <v>5.5533980582524269E-2</v>
          </cell>
          <cell r="W25">
            <v>0.68095238095238086</v>
          </cell>
          <cell r="X25">
            <v>0.69200000000000006</v>
          </cell>
          <cell r="Y25">
            <v>3.6666666666666667E-2</v>
          </cell>
          <cell r="Z25">
            <v>0.73199999999999998</v>
          </cell>
          <cell r="AA25">
            <v>0.93333333333333335</v>
          </cell>
          <cell r="AB25">
            <v>0</v>
          </cell>
        </row>
        <row r="26">
          <cell r="D26" t="str">
            <v>CWCO</v>
          </cell>
          <cell r="E26" t="str">
            <v>Consolidated Water</v>
          </cell>
          <cell r="F26">
            <v>20.8</v>
          </cell>
          <cell r="G26">
            <v>15.4</v>
          </cell>
          <cell r="H26">
            <v>12</v>
          </cell>
          <cell r="I26">
            <v>13.7</v>
          </cell>
          <cell r="J26">
            <v>1.05</v>
          </cell>
          <cell r="K26">
            <v>0.6</v>
          </cell>
          <cell r="L26">
            <v>0.35</v>
          </cell>
          <cell r="M26">
            <v>0.2</v>
          </cell>
          <cell r="N26">
            <v>10.45</v>
          </cell>
          <cell r="O26">
            <v>1.1499999999999999</v>
          </cell>
          <cell r="P26">
            <v>0.2</v>
          </cell>
          <cell r="Q26">
            <v>1.9</v>
          </cell>
          <cell r="R26">
            <v>1.9</v>
          </cell>
          <cell r="S26">
            <v>43385</v>
          </cell>
          <cell r="T26">
            <v>13.047619047619046</v>
          </cell>
          <cell r="U26">
            <v>1.3110047846889952</v>
          </cell>
          <cell r="V26">
            <v>3.3492822966507178E-2</v>
          </cell>
          <cell r="W26">
            <v>0.58333333333333337</v>
          </cell>
          <cell r="X26">
            <v>5.25</v>
          </cell>
          <cell r="Y26">
            <v>2.5547445255474453E-2</v>
          </cell>
          <cell r="Z26">
            <v>5.7499999999999991</v>
          </cell>
          <cell r="AA26">
            <v>1</v>
          </cell>
          <cell r="AB26">
            <v>0</v>
          </cell>
        </row>
        <row r="27">
          <cell r="D27" t="str">
            <v>D</v>
          </cell>
          <cell r="E27" t="str">
            <v xml:space="preserve">Dominion Resources            </v>
          </cell>
          <cell r="F27">
            <v>16.600000000000001</v>
          </cell>
          <cell r="G27">
            <v>81.7</v>
          </cell>
          <cell r="H27">
            <v>61.5</v>
          </cell>
          <cell r="I27">
            <v>71.599999999999994</v>
          </cell>
          <cell r="J27">
            <v>7.25</v>
          </cell>
          <cell r="K27">
            <v>3.75</v>
          </cell>
          <cell r="L27">
            <v>3.34</v>
          </cell>
          <cell r="M27">
            <v>7.35</v>
          </cell>
          <cell r="N27">
            <v>29.15</v>
          </cell>
          <cell r="O27">
            <v>8.1</v>
          </cell>
          <cell r="P27">
            <v>6.95</v>
          </cell>
          <cell r="Q27">
            <v>9.5</v>
          </cell>
          <cell r="R27">
            <v>7.5</v>
          </cell>
          <cell r="S27">
            <v>43420</v>
          </cell>
          <cell r="T27">
            <v>9.8758620689655157</v>
          </cell>
          <cell r="U27">
            <v>2.4562607204116635</v>
          </cell>
          <cell r="V27">
            <v>0.11457975986277873</v>
          </cell>
          <cell r="W27">
            <v>0.89066666666666661</v>
          </cell>
          <cell r="X27">
            <v>0.98639455782312935</v>
          </cell>
          <cell r="Y27">
            <v>4.664804469273743E-2</v>
          </cell>
          <cell r="Z27">
            <v>1.1654676258992804</v>
          </cell>
          <cell r="AA27">
            <v>1.2666666666666666</v>
          </cell>
          <cell r="AB27">
            <v>0</v>
          </cell>
        </row>
        <row r="28">
          <cell r="D28" t="str">
            <v>DTE</v>
          </cell>
          <cell r="E28" t="str">
            <v xml:space="preserve">DTE Energy                    </v>
          </cell>
          <cell r="F28">
            <v>19.7</v>
          </cell>
          <cell r="G28">
            <v>121</v>
          </cell>
          <cell r="H28">
            <v>94.3</v>
          </cell>
          <cell r="I28">
            <v>107.65</v>
          </cell>
          <cell r="J28">
            <v>12.7</v>
          </cell>
          <cell r="K28">
            <v>6.15</v>
          </cell>
          <cell r="L28">
            <v>3.59</v>
          </cell>
          <cell r="M28">
            <v>19.55</v>
          </cell>
          <cell r="N28">
            <v>56.2</v>
          </cell>
          <cell r="O28">
            <v>12.85</v>
          </cell>
          <cell r="P28">
            <v>13.3</v>
          </cell>
          <cell r="Q28">
            <v>16</v>
          </cell>
          <cell r="R28">
            <v>13.25</v>
          </cell>
          <cell r="S28">
            <v>43448</v>
          </cell>
          <cell r="T28">
            <v>8.4763779527559056</v>
          </cell>
          <cell r="U28">
            <v>1.9154804270462633</v>
          </cell>
          <cell r="V28">
            <v>6.3879003558718853E-2</v>
          </cell>
          <cell r="W28">
            <v>0.58373983739837387</v>
          </cell>
          <cell r="X28">
            <v>0.64961636828644498</v>
          </cell>
          <cell r="Y28">
            <v>3.3348815606130976E-2</v>
          </cell>
          <cell r="Z28">
            <v>0.96616541353383456</v>
          </cell>
          <cell r="AA28">
            <v>1.2075471698113207</v>
          </cell>
          <cell r="AB28">
            <v>0</v>
          </cell>
        </row>
        <row r="29">
          <cell r="D29" t="str">
            <v>DUK</v>
          </cell>
          <cell r="E29" t="str">
            <v xml:space="preserve">Duke Energy                   </v>
          </cell>
          <cell r="F29">
            <v>17.7</v>
          </cell>
          <cell r="G29">
            <v>85.1</v>
          </cell>
          <cell r="H29">
            <v>72</v>
          </cell>
          <cell r="I29">
            <v>78.55</v>
          </cell>
          <cell r="J29">
            <v>10.75</v>
          </cell>
          <cell r="K29">
            <v>4.4000000000000004</v>
          </cell>
          <cell r="L29">
            <v>3.64</v>
          </cell>
          <cell r="M29">
            <v>15.15</v>
          </cell>
          <cell r="N29">
            <v>60.55</v>
          </cell>
          <cell r="O29">
            <v>11.6</v>
          </cell>
          <cell r="P29">
            <v>15.15</v>
          </cell>
          <cell r="Q29">
            <v>13.25</v>
          </cell>
          <cell r="R29">
            <v>11.75</v>
          </cell>
          <cell r="S29">
            <v>43420</v>
          </cell>
          <cell r="T29">
            <v>7.3069767441860458</v>
          </cell>
          <cell r="U29">
            <v>1.2972749793559042</v>
          </cell>
          <cell r="V29">
            <v>6.011560693641619E-2</v>
          </cell>
          <cell r="W29">
            <v>0.82727272727272727</v>
          </cell>
          <cell r="X29">
            <v>0.70957095709570961</v>
          </cell>
          <cell r="Y29">
            <v>4.6339910884786763E-2</v>
          </cell>
          <cell r="Z29">
            <v>0.76567656765676562</v>
          </cell>
          <cell r="AA29">
            <v>1.1276595744680851</v>
          </cell>
          <cell r="AB29">
            <v>0</v>
          </cell>
        </row>
        <row r="30">
          <cell r="D30" t="str">
            <v>EIX</v>
          </cell>
          <cell r="E30" t="str">
            <v xml:space="preserve">Edison Int'l                  </v>
          </cell>
          <cell r="F30">
            <v>14.8</v>
          </cell>
          <cell r="G30">
            <v>71</v>
          </cell>
          <cell r="H30">
            <v>57.6</v>
          </cell>
          <cell r="I30">
            <v>64.3</v>
          </cell>
          <cell r="J30">
            <v>11.25</v>
          </cell>
          <cell r="K30">
            <v>4.3499999999999996</v>
          </cell>
          <cell r="L30">
            <v>2.4500000000000002</v>
          </cell>
          <cell r="M30">
            <v>13.3</v>
          </cell>
          <cell r="N30">
            <v>37</v>
          </cell>
          <cell r="O30">
            <v>12</v>
          </cell>
          <cell r="P30">
            <v>15.05</v>
          </cell>
          <cell r="Q30">
            <v>14.25</v>
          </cell>
          <cell r="R30">
            <v>15.75</v>
          </cell>
          <cell r="S30">
            <v>43399</v>
          </cell>
          <cell r="T30">
            <v>5.7155555555555555</v>
          </cell>
          <cell r="U30">
            <v>1.7378378378378379</v>
          </cell>
          <cell r="V30">
            <v>6.621621621621622E-2</v>
          </cell>
          <cell r="W30">
            <v>0.56321839080459779</v>
          </cell>
          <cell r="X30">
            <v>0.84586466165413532</v>
          </cell>
          <cell r="Y30">
            <v>3.8102643856920686E-2</v>
          </cell>
          <cell r="Z30">
            <v>0.79734219269102991</v>
          </cell>
          <cell r="AA30">
            <v>0.90476190476190477</v>
          </cell>
          <cell r="AB30">
            <v>0</v>
          </cell>
        </row>
        <row r="31">
          <cell r="D31" t="str">
            <v>EE</v>
          </cell>
          <cell r="E31" t="str">
            <v xml:space="preserve">El Paso Electric              </v>
          </cell>
          <cell r="F31">
            <v>22.5</v>
          </cell>
          <cell r="G31">
            <v>64.400000000000006</v>
          </cell>
          <cell r="H31">
            <v>48.1</v>
          </cell>
          <cell r="I31">
            <v>56.25</v>
          </cell>
          <cell r="J31">
            <v>6.45</v>
          </cell>
          <cell r="K31">
            <v>2.5499999999999998</v>
          </cell>
          <cell r="L31">
            <v>1.42</v>
          </cell>
          <cell r="M31">
            <v>6.8</v>
          </cell>
          <cell r="N31">
            <v>29.3</v>
          </cell>
          <cell r="O31">
            <v>6.65</v>
          </cell>
          <cell r="P31">
            <v>6.85</v>
          </cell>
          <cell r="Q31">
            <v>7.75</v>
          </cell>
          <cell r="R31">
            <v>7.25</v>
          </cell>
          <cell r="S31">
            <v>43399</v>
          </cell>
          <cell r="T31">
            <v>8.720930232558139</v>
          </cell>
          <cell r="U31">
            <v>1.9197952218430034</v>
          </cell>
          <cell r="V31">
            <v>4.8464163822525594E-2</v>
          </cell>
          <cell r="W31">
            <v>0.55686274509803924</v>
          </cell>
          <cell r="X31">
            <v>0.94852941176470595</v>
          </cell>
          <cell r="Y31">
            <v>2.5244444444444444E-2</v>
          </cell>
          <cell r="Z31">
            <v>0.97080291970802934</v>
          </cell>
          <cell r="AA31">
            <v>1.0689655172413792</v>
          </cell>
          <cell r="AB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>
            <v>0</v>
          </cell>
        </row>
        <row r="33">
          <cell r="D33" t="str">
            <v>ETR</v>
          </cell>
          <cell r="E33" t="str">
            <v xml:space="preserve">Entergy Corp.                 </v>
          </cell>
          <cell r="F33">
            <v>18.8</v>
          </cell>
          <cell r="G33">
            <v>89.4</v>
          </cell>
          <cell r="H33">
            <v>71.900000000000006</v>
          </cell>
          <cell r="I33">
            <v>80.650000000000006</v>
          </cell>
          <cell r="J33">
            <v>16.2</v>
          </cell>
          <cell r="K33">
            <v>5</v>
          </cell>
          <cell r="L33">
            <v>3.58</v>
          </cell>
          <cell r="M33">
            <v>22.9</v>
          </cell>
          <cell r="N33">
            <v>46.45</v>
          </cell>
          <cell r="O33">
            <v>14.65</v>
          </cell>
          <cell r="P33">
            <v>19.899999999999999</v>
          </cell>
          <cell r="Q33">
            <v>18.5</v>
          </cell>
          <cell r="R33">
            <v>16</v>
          </cell>
          <cell r="S33">
            <v>43448</v>
          </cell>
          <cell r="T33">
            <v>4.9783950617283956</v>
          </cell>
          <cell r="U33">
            <v>1.7362755651237891</v>
          </cell>
          <cell r="V33">
            <v>7.707212055974165E-2</v>
          </cell>
          <cell r="W33">
            <v>0.71599999999999997</v>
          </cell>
          <cell r="X33">
            <v>0.70742358078602618</v>
          </cell>
          <cell r="Y33">
            <v>4.4389336639801609E-2</v>
          </cell>
          <cell r="Z33">
            <v>0.73618090452261309</v>
          </cell>
          <cell r="AA33">
            <v>1.15625</v>
          </cell>
          <cell r="AB33">
            <v>0</v>
          </cell>
        </row>
        <row r="34">
          <cell r="D34" t="str">
            <v>EVRG</v>
          </cell>
          <cell r="E34" t="str">
            <v>Evergy, Inc.</v>
          </cell>
          <cell r="F34">
            <v>21.7</v>
          </cell>
          <cell r="G34">
            <v>61.1</v>
          </cell>
          <cell r="H34">
            <v>50.9</v>
          </cell>
          <cell r="I34">
            <v>56</v>
          </cell>
          <cell r="J34">
            <v>4.7</v>
          </cell>
          <cell r="K34">
            <v>2.5</v>
          </cell>
          <cell r="L34">
            <v>1.74</v>
          </cell>
          <cell r="M34">
            <v>4.5999999999999996</v>
          </cell>
          <cell r="N34">
            <v>34.9</v>
          </cell>
          <cell r="O34">
            <v>7.2</v>
          </cell>
          <cell r="P34">
            <v>5.25</v>
          </cell>
          <cell r="Q34">
            <v>9</v>
          </cell>
          <cell r="R34">
            <v>5.5</v>
          </cell>
          <cell r="S34">
            <v>43448</v>
          </cell>
          <cell r="T34">
            <v>11.914893617021276</v>
          </cell>
          <cell r="U34">
            <v>1.6045845272206305</v>
          </cell>
          <cell r="V34">
            <v>4.9856733524355303E-2</v>
          </cell>
          <cell r="W34">
            <v>0.69599999999999995</v>
          </cell>
          <cell r="X34">
            <v>1.0217391304347827</v>
          </cell>
          <cell r="Y34">
            <v>3.1071428571428573E-2</v>
          </cell>
          <cell r="Z34">
            <v>1.3714285714285714</v>
          </cell>
          <cell r="AA34">
            <v>1.6363636363636365</v>
          </cell>
          <cell r="AB34">
            <v>0</v>
          </cell>
        </row>
        <row r="35">
          <cell r="D35" t="str">
            <v>ES</v>
          </cell>
          <cell r="E35" t="str">
            <v xml:space="preserve">Eversource Energy    </v>
          </cell>
          <cell r="F35">
            <v>19</v>
          </cell>
          <cell r="G35">
            <v>65.3</v>
          </cell>
          <cell r="H35">
            <v>52.8</v>
          </cell>
          <cell r="I35">
            <v>59.05</v>
          </cell>
          <cell r="J35">
            <v>6.6</v>
          </cell>
          <cell r="K35">
            <v>3.25</v>
          </cell>
          <cell r="L35">
            <v>2.02</v>
          </cell>
          <cell r="M35">
            <v>9.6</v>
          </cell>
          <cell r="N35">
            <v>36.25</v>
          </cell>
          <cell r="O35">
            <v>7</v>
          </cell>
          <cell r="P35">
            <v>10.7</v>
          </cell>
          <cell r="Q35">
            <v>8.25</v>
          </cell>
          <cell r="R35">
            <v>7</v>
          </cell>
          <cell r="S35">
            <v>43420</v>
          </cell>
          <cell r="T35">
            <v>8.9469696969696972</v>
          </cell>
          <cell r="U35">
            <v>1.6289655172413793</v>
          </cell>
          <cell r="V35">
            <v>5.5724137931034486E-2</v>
          </cell>
          <cell r="W35">
            <v>0.6215384615384616</v>
          </cell>
          <cell r="X35">
            <v>0.6875</v>
          </cell>
          <cell r="Y35">
            <v>3.4208298052497886E-2</v>
          </cell>
          <cell r="Z35">
            <v>0.65420560747663559</v>
          </cell>
          <cell r="AA35">
            <v>1.1785714285714286</v>
          </cell>
          <cell r="AB35">
            <v>0</v>
          </cell>
        </row>
        <row r="36">
          <cell r="D36" t="str">
            <v>EXC</v>
          </cell>
          <cell r="E36" t="str">
            <v xml:space="preserve">Exelon Corp.                  </v>
          </cell>
          <cell r="F36">
            <v>14.8</v>
          </cell>
          <cell r="G36">
            <v>45.1</v>
          </cell>
          <cell r="H36">
            <v>35.6</v>
          </cell>
          <cell r="I36">
            <v>40.35</v>
          </cell>
          <cell r="J36">
            <v>8.85</v>
          </cell>
          <cell r="K36">
            <v>2.5</v>
          </cell>
          <cell r="L36">
            <v>1.38</v>
          </cell>
          <cell r="M36">
            <v>8.1</v>
          </cell>
          <cell r="N36">
            <v>32.15</v>
          </cell>
          <cell r="O36">
            <v>9.9</v>
          </cell>
          <cell r="P36">
            <v>7.2</v>
          </cell>
          <cell r="Q36">
            <v>11.75</v>
          </cell>
          <cell r="R36">
            <v>7.25</v>
          </cell>
          <cell r="S36">
            <v>43420</v>
          </cell>
          <cell r="T36">
            <v>4.5593220338983054</v>
          </cell>
          <cell r="U36">
            <v>1.2550544323483672</v>
          </cell>
          <cell r="V36">
            <v>4.2923794712286155E-2</v>
          </cell>
          <cell r="W36">
            <v>0.55199999999999994</v>
          </cell>
          <cell r="X36">
            <v>1.0925925925925926</v>
          </cell>
          <cell r="Y36">
            <v>3.4200743494423785E-2</v>
          </cell>
          <cell r="Z36">
            <v>1.375</v>
          </cell>
          <cell r="AA36">
            <v>1.6206896551724137</v>
          </cell>
          <cell r="AB36">
            <v>0</v>
          </cell>
        </row>
        <row r="37">
          <cell r="D37" t="str">
            <v>FE</v>
          </cell>
          <cell r="E37" t="str">
            <v xml:space="preserve">FirstEnergy Corp.             </v>
          </cell>
          <cell r="F37">
            <v>17.8</v>
          </cell>
          <cell r="G37">
            <v>39</v>
          </cell>
          <cell r="H37">
            <v>29.3</v>
          </cell>
          <cell r="I37">
            <v>34.15</v>
          </cell>
          <cell r="J37">
            <v>3.9</v>
          </cell>
          <cell r="K37">
            <v>1.1499999999999999</v>
          </cell>
          <cell r="L37">
            <v>1.44</v>
          </cell>
          <cell r="M37">
            <v>5.35</v>
          </cell>
          <cell r="N37">
            <v>11.7</v>
          </cell>
          <cell r="O37">
            <v>4.9000000000000004</v>
          </cell>
          <cell r="P37">
            <v>4.6500000000000004</v>
          </cell>
          <cell r="Q37">
            <v>6</v>
          </cell>
          <cell r="R37">
            <v>5</v>
          </cell>
          <cell r="S37">
            <v>43420</v>
          </cell>
          <cell r="T37">
            <v>8.7564102564102555</v>
          </cell>
          <cell r="U37">
            <v>2.9188034188034186</v>
          </cell>
          <cell r="V37">
            <v>0.12307692307692308</v>
          </cell>
          <cell r="W37">
            <v>1.2521739130434784</v>
          </cell>
          <cell r="X37">
            <v>0.72897196261682251</v>
          </cell>
          <cell r="Y37">
            <v>4.2166910688140553E-2</v>
          </cell>
          <cell r="Z37">
            <v>1.053763440860215</v>
          </cell>
          <cell r="AA37">
            <v>1.2</v>
          </cell>
          <cell r="AB37">
            <v>0</v>
          </cell>
        </row>
        <row r="38">
          <cell r="D38" t="str">
            <v>FTS.TO</v>
          </cell>
          <cell r="E38" t="str">
            <v>Fortis Inc.</v>
          </cell>
          <cell r="F38">
            <v>16.8</v>
          </cell>
          <cell r="G38">
            <v>47.3</v>
          </cell>
          <cell r="H38">
            <v>39.4</v>
          </cell>
          <cell r="I38">
            <v>43.349999999999994</v>
          </cell>
          <cell r="J38">
            <v>5.45</v>
          </cell>
          <cell r="K38">
            <v>2.6</v>
          </cell>
          <cell r="L38">
            <v>1.75</v>
          </cell>
          <cell r="M38">
            <v>7.4</v>
          </cell>
          <cell r="N38">
            <v>33.5</v>
          </cell>
          <cell r="O38">
            <v>5.85</v>
          </cell>
          <cell r="P38">
            <v>8.5500000000000007</v>
          </cell>
          <cell r="Q38">
            <v>7.25</v>
          </cell>
          <cell r="R38">
            <v>7.5</v>
          </cell>
          <cell r="S38">
            <v>43448</v>
          </cell>
          <cell r="T38">
            <v>7.9541284403669712</v>
          </cell>
          <cell r="U38">
            <v>1.2940298507462684</v>
          </cell>
          <cell r="V38">
            <v>5.2238805970149252E-2</v>
          </cell>
          <cell r="W38">
            <v>0.67307692307692302</v>
          </cell>
          <cell r="X38">
            <v>0.73648648648648651</v>
          </cell>
          <cell r="Y38">
            <v>4.0369088811995392E-2</v>
          </cell>
          <cell r="Z38">
            <v>0.68421052631578938</v>
          </cell>
          <cell r="AA38">
            <v>0.96666666666666667</v>
          </cell>
          <cell r="AB38">
            <v>0</v>
          </cell>
        </row>
        <row r="39">
          <cell r="D39" t="str">
            <v>GXP</v>
          </cell>
          <cell r="E39" t="str">
            <v xml:space="preserve">Great Plains Energy             </v>
          </cell>
          <cell r="F39" t="str">
            <v>N/A</v>
          </cell>
          <cell r="G39" t="str">
            <v>N/A</v>
          </cell>
          <cell r="H39" t="str">
            <v>N/A</v>
          </cell>
          <cell r="I39" t="str">
            <v/>
          </cell>
          <cell r="J39" t="str">
            <v>N/A</v>
          </cell>
          <cell r="K39" t="str">
            <v>N/A</v>
          </cell>
          <cell r="L39" t="str">
            <v>N/A</v>
          </cell>
          <cell r="M39" t="str">
            <v>N/A</v>
          </cell>
          <cell r="N39" t="str">
            <v>N/A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43266</v>
          </cell>
          <cell r="T39" t="str">
            <v>N/A</v>
          </cell>
          <cell r="U39" t="str">
            <v>N/A</v>
          </cell>
          <cell r="V39" t="str">
            <v>N/A</v>
          </cell>
          <cell r="W39" t="str">
            <v>N/A</v>
          </cell>
          <cell r="X39" t="str">
            <v>N/A</v>
          </cell>
          <cell r="Y39" t="str">
            <v>N/A</v>
          </cell>
          <cell r="Z39" t="str">
            <v>N/A</v>
          </cell>
          <cell r="AA39" t="str">
            <v/>
          </cell>
          <cell r="AB39">
            <v>0</v>
          </cell>
        </row>
        <row r="40">
          <cell r="D40" t="str">
            <v>HE</v>
          </cell>
          <cell r="E40" t="str">
            <v xml:space="preserve">Hawaiian Elec.                </v>
          </cell>
          <cell r="F40">
            <v>18.600000000000001</v>
          </cell>
          <cell r="G40">
            <v>36.4</v>
          </cell>
          <cell r="H40">
            <v>31.7</v>
          </cell>
          <cell r="I40">
            <v>34.049999999999997</v>
          </cell>
          <cell r="J40">
            <v>4</v>
          </cell>
          <cell r="K40">
            <v>1.9</v>
          </cell>
          <cell r="L40">
            <v>1.24</v>
          </cell>
          <cell r="M40">
            <v>3.7</v>
          </cell>
          <cell r="N40">
            <v>19.899999999999999</v>
          </cell>
          <cell r="O40">
            <v>4.2</v>
          </cell>
          <cell r="P40">
            <v>4.0999999999999996</v>
          </cell>
          <cell r="Q40">
            <v>4.75</v>
          </cell>
          <cell r="R40">
            <v>4.5</v>
          </cell>
          <cell r="S40">
            <v>43399</v>
          </cell>
          <cell r="T40">
            <v>8.5124999999999993</v>
          </cell>
          <cell r="U40">
            <v>1.7110552763819096</v>
          </cell>
          <cell r="V40">
            <v>6.2311557788944726E-2</v>
          </cell>
          <cell r="W40">
            <v>0.65263157894736845</v>
          </cell>
          <cell r="X40">
            <v>1.0810810810810809</v>
          </cell>
          <cell r="Y40">
            <v>3.6417033773861969E-2</v>
          </cell>
          <cell r="Z40">
            <v>1.024390243902439</v>
          </cell>
          <cell r="AA40">
            <v>1.0555555555555556</v>
          </cell>
          <cell r="AB40">
            <v>0</v>
          </cell>
        </row>
        <row r="41">
          <cell r="D41" t="str">
            <v>IDA</v>
          </cell>
          <cell r="E41" t="str">
            <v xml:space="preserve">IDACORP, Inc.                 </v>
          </cell>
          <cell r="F41">
            <v>22.9</v>
          </cell>
          <cell r="G41">
            <v>101.9</v>
          </cell>
          <cell r="H41">
            <v>79.599999999999994</v>
          </cell>
          <cell r="I41">
            <v>90.75</v>
          </cell>
          <cell r="J41">
            <v>7.8</v>
          </cell>
          <cell r="K41">
            <v>4.3</v>
          </cell>
          <cell r="L41">
            <v>2.4</v>
          </cell>
          <cell r="M41">
            <v>6.25</v>
          </cell>
          <cell r="N41">
            <v>46.55</v>
          </cell>
          <cell r="O41">
            <v>8.0500000000000007</v>
          </cell>
          <cell r="P41">
            <v>6.4</v>
          </cell>
          <cell r="Q41">
            <v>9.25</v>
          </cell>
          <cell r="R41">
            <v>6.75</v>
          </cell>
          <cell r="S41">
            <v>43399</v>
          </cell>
          <cell r="T41">
            <v>11.634615384615385</v>
          </cell>
          <cell r="U41">
            <v>1.9495166487647693</v>
          </cell>
          <cell r="V41">
            <v>5.155746509129968E-2</v>
          </cell>
          <cell r="W41">
            <v>0.55813953488372092</v>
          </cell>
          <cell r="X41">
            <v>1.248</v>
          </cell>
          <cell r="Y41">
            <v>2.6446280991735537E-2</v>
          </cell>
          <cell r="Z41">
            <v>1.2578125</v>
          </cell>
          <cell r="AA41">
            <v>1.3703703703703705</v>
          </cell>
          <cell r="AB41">
            <v>0</v>
          </cell>
        </row>
        <row r="42">
          <cell r="D42" t="str">
            <v>MGEE</v>
          </cell>
          <cell r="E42" t="str">
            <v xml:space="preserve">MGE Energy                    </v>
          </cell>
          <cell r="F42">
            <v>25.6</v>
          </cell>
          <cell r="G42">
            <v>68.099999999999994</v>
          </cell>
          <cell r="H42">
            <v>51.1</v>
          </cell>
          <cell r="I42">
            <v>59.599999999999994</v>
          </cell>
          <cell r="J42">
            <v>4</v>
          </cell>
          <cell r="K42">
            <v>2.4500000000000002</v>
          </cell>
          <cell r="L42">
            <v>1.32</v>
          </cell>
          <cell r="M42">
            <v>5.7</v>
          </cell>
          <cell r="N42">
            <v>23.55</v>
          </cell>
          <cell r="O42">
            <v>4.3</v>
          </cell>
          <cell r="P42">
            <v>6.45</v>
          </cell>
          <cell r="Q42">
            <v>5.55</v>
          </cell>
          <cell r="R42">
            <v>7.65</v>
          </cell>
          <cell r="S42">
            <v>43448</v>
          </cell>
          <cell r="T42">
            <v>14.899999999999999</v>
          </cell>
          <cell r="U42">
            <v>2.5307855626326963</v>
          </cell>
          <cell r="V42">
            <v>5.605095541401274E-2</v>
          </cell>
          <cell r="W42">
            <v>0.53877551020408165</v>
          </cell>
          <cell r="X42">
            <v>0.70175438596491224</v>
          </cell>
          <cell r="Y42">
            <v>2.2147651006711414E-2</v>
          </cell>
          <cell r="Z42">
            <v>0.66666666666666663</v>
          </cell>
          <cell r="AA42">
            <v>0.72549019607843135</v>
          </cell>
          <cell r="AB42">
            <v>0</v>
          </cell>
        </row>
        <row r="43">
          <cell r="D43" t="str">
            <v>MSEX</v>
          </cell>
          <cell r="E43" t="str">
            <v>Middlesex Water</v>
          </cell>
          <cell r="F43">
            <v>26.1</v>
          </cell>
          <cell r="G43">
            <v>49</v>
          </cell>
          <cell r="H43">
            <v>34</v>
          </cell>
          <cell r="I43">
            <v>41.5</v>
          </cell>
          <cell r="J43">
            <v>2.65</v>
          </cell>
          <cell r="K43">
            <v>1.75</v>
          </cell>
          <cell r="L43">
            <v>0.91</v>
          </cell>
          <cell r="M43">
            <v>3.05</v>
          </cell>
          <cell r="N43">
            <v>14.85</v>
          </cell>
          <cell r="O43">
            <v>2.65</v>
          </cell>
          <cell r="P43">
            <v>3</v>
          </cell>
          <cell r="Q43">
            <v>3.25</v>
          </cell>
          <cell r="R43">
            <v>2.5</v>
          </cell>
          <cell r="S43">
            <v>43385</v>
          </cell>
          <cell r="T43">
            <v>15.660377358490567</v>
          </cell>
          <cell r="U43">
            <v>2.7946127946127945</v>
          </cell>
          <cell r="V43">
            <v>6.1279461279461281E-2</v>
          </cell>
          <cell r="W43">
            <v>0.52</v>
          </cell>
          <cell r="X43">
            <v>0.86885245901639352</v>
          </cell>
          <cell r="Y43">
            <v>2.1927710843373496E-2</v>
          </cell>
          <cell r="Z43">
            <v>0.8833333333333333</v>
          </cell>
          <cell r="AA43">
            <v>1.3</v>
          </cell>
          <cell r="AB43">
            <v>0</v>
          </cell>
        </row>
        <row r="44">
          <cell r="D44" t="str">
            <v>NJR</v>
          </cell>
          <cell r="E44" t="str">
            <v>New Jersey Resources</v>
          </cell>
          <cell r="F44">
            <v>32</v>
          </cell>
          <cell r="G44">
            <v>50.4</v>
          </cell>
          <cell r="H44">
            <v>35.6</v>
          </cell>
          <cell r="I44">
            <v>43</v>
          </cell>
          <cell r="J44">
            <v>3.65</v>
          </cell>
          <cell r="K44">
            <v>2.74</v>
          </cell>
          <cell r="L44">
            <v>1.1000000000000001</v>
          </cell>
          <cell r="M44">
            <v>2.2000000000000002</v>
          </cell>
          <cell r="N44">
            <v>15.95</v>
          </cell>
          <cell r="O44">
            <v>3.8</v>
          </cell>
          <cell r="P44">
            <v>2.25</v>
          </cell>
          <cell r="Q44">
            <v>4.2</v>
          </cell>
          <cell r="R44">
            <v>2.35</v>
          </cell>
          <cell r="S44">
            <v>43434</v>
          </cell>
          <cell r="T44">
            <v>11.78082191780822</v>
          </cell>
          <cell r="U44">
            <v>2.6959247648902824</v>
          </cell>
          <cell r="V44">
            <v>6.8965517241379323E-2</v>
          </cell>
          <cell r="W44">
            <v>0.40145985401459855</v>
          </cell>
          <cell r="X44">
            <v>1.6590909090909089</v>
          </cell>
          <cell r="Y44">
            <v>2.5581395348837212E-2</v>
          </cell>
          <cell r="Z44">
            <v>1.6888888888888889</v>
          </cell>
          <cell r="AA44">
            <v>1.7872340425531914</v>
          </cell>
          <cell r="AB44">
            <v>0</v>
          </cell>
        </row>
        <row r="45">
          <cell r="D45" t="str">
            <v>NEE</v>
          </cell>
          <cell r="E45" t="str">
            <v>NextEra Energy, Inc.</v>
          </cell>
          <cell r="F45">
            <v>21.2</v>
          </cell>
          <cell r="G45">
            <v>176.8</v>
          </cell>
          <cell r="H45">
            <v>145.1</v>
          </cell>
          <cell r="I45">
            <v>160.94999999999999</v>
          </cell>
          <cell r="J45">
            <v>15</v>
          </cell>
          <cell r="K45">
            <v>7.5</v>
          </cell>
          <cell r="L45">
            <v>4.4400000000000004</v>
          </cell>
          <cell r="M45">
            <v>20</v>
          </cell>
          <cell r="N45">
            <v>68.650000000000006</v>
          </cell>
          <cell r="O45">
            <v>15.6</v>
          </cell>
          <cell r="P45">
            <v>18.7</v>
          </cell>
          <cell r="Q45">
            <v>19</v>
          </cell>
          <cell r="R45">
            <v>18.75</v>
          </cell>
          <cell r="S45">
            <v>43420</v>
          </cell>
          <cell r="T45">
            <v>10.729999999999999</v>
          </cell>
          <cell r="U45">
            <v>2.3445010924981786</v>
          </cell>
          <cell r="V45">
            <v>6.4675892206846317E-2</v>
          </cell>
          <cell r="W45">
            <v>0.59200000000000008</v>
          </cell>
          <cell r="X45">
            <v>0.75</v>
          </cell>
          <cell r="Y45">
            <v>2.7586206896551727E-2</v>
          </cell>
          <cell r="Z45">
            <v>0.83422459893048129</v>
          </cell>
          <cell r="AA45">
            <v>1.0133333333333334</v>
          </cell>
          <cell r="AB45">
            <v>0</v>
          </cell>
        </row>
        <row r="46">
          <cell r="D46" t="str">
            <v>NI</v>
          </cell>
          <cell r="E46" t="str">
            <v>NiSource Inc.</v>
          </cell>
          <cell r="F46">
            <v>20.399999999999999</v>
          </cell>
          <cell r="G46">
            <v>28.1</v>
          </cell>
          <cell r="H46">
            <v>22.4</v>
          </cell>
          <cell r="I46">
            <v>25.25</v>
          </cell>
          <cell r="J46">
            <v>2.9</v>
          </cell>
          <cell r="K46">
            <v>1.3</v>
          </cell>
          <cell r="L46">
            <v>0.78</v>
          </cell>
          <cell r="M46">
            <v>4.95</v>
          </cell>
          <cell r="N46">
            <v>14.05</v>
          </cell>
          <cell r="O46">
            <v>3</v>
          </cell>
          <cell r="P46">
            <v>5.2</v>
          </cell>
          <cell r="Q46">
            <v>3.45</v>
          </cell>
          <cell r="R46">
            <v>5.7</v>
          </cell>
          <cell r="S46">
            <v>43434</v>
          </cell>
          <cell r="T46">
            <v>8.7068965517241388</v>
          </cell>
          <cell r="U46">
            <v>1.7971530249110319</v>
          </cell>
          <cell r="V46">
            <v>5.5516014234875441E-2</v>
          </cell>
          <cell r="W46">
            <v>0.6</v>
          </cell>
          <cell r="X46">
            <v>0.58585858585858586</v>
          </cell>
          <cell r="Y46">
            <v>3.0891089108910891E-2</v>
          </cell>
          <cell r="Z46">
            <v>0.57692307692307687</v>
          </cell>
          <cell r="AA46">
            <v>0.60526315789473684</v>
          </cell>
          <cell r="AB46">
            <v>0</v>
          </cell>
        </row>
        <row r="47">
          <cell r="D47" t="str">
            <v>NWN</v>
          </cell>
          <cell r="E47" t="str">
            <v>Northwest Nat. Gas</v>
          </cell>
          <cell r="F47">
            <v>29.3</v>
          </cell>
          <cell r="G47">
            <v>71.8</v>
          </cell>
          <cell r="H47">
            <v>51.5</v>
          </cell>
          <cell r="I47">
            <v>61.65</v>
          </cell>
          <cell r="J47">
            <v>4.75</v>
          </cell>
          <cell r="K47">
            <v>2.2000000000000002</v>
          </cell>
          <cell r="L47">
            <v>1.89</v>
          </cell>
          <cell r="M47">
            <v>6.8</v>
          </cell>
          <cell r="N47">
            <v>26.35</v>
          </cell>
          <cell r="O47">
            <v>5.65</v>
          </cell>
          <cell r="P47">
            <v>6.65</v>
          </cell>
          <cell r="Q47">
            <v>6.35</v>
          </cell>
          <cell r="R47">
            <v>6.25</v>
          </cell>
          <cell r="S47">
            <v>43434</v>
          </cell>
          <cell r="T47">
            <v>12.978947368421052</v>
          </cell>
          <cell r="U47">
            <v>2.3396584440227701</v>
          </cell>
          <cell r="V47">
            <v>7.1726755218216309E-2</v>
          </cell>
          <cell r="W47">
            <v>0.85909090909090902</v>
          </cell>
          <cell r="X47">
            <v>0.69852941176470595</v>
          </cell>
          <cell r="Y47">
            <v>3.0656934306569343E-2</v>
          </cell>
          <cell r="Z47">
            <v>0.84962406015037595</v>
          </cell>
          <cell r="AA47">
            <v>1.016</v>
          </cell>
          <cell r="AB47">
            <v>0</v>
          </cell>
        </row>
        <row r="48">
          <cell r="D48" t="str">
            <v>NWE</v>
          </cell>
          <cell r="E48" t="str">
            <v xml:space="preserve">NorthWestern Corp             </v>
          </cell>
          <cell r="F48">
            <v>17.100000000000001</v>
          </cell>
          <cell r="G48">
            <v>62.2</v>
          </cell>
          <cell r="H48">
            <v>50</v>
          </cell>
          <cell r="I48">
            <v>56.1</v>
          </cell>
          <cell r="J48">
            <v>7</v>
          </cell>
          <cell r="K48">
            <v>3.5</v>
          </cell>
          <cell r="L48">
            <v>2.2000000000000002</v>
          </cell>
          <cell r="M48">
            <v>5.7</v>
          </cell>
          <cell r="N48">
            <v>38.200000000000003</v>
          </cell>
          <cell r="O48">
            <v>7.25</v>
          </cell>
          <cell r="P48">
            <v>6.7</v>
          </cell>
          <cell r="Q48">
            <v>8.25</v>
          </cell>
          <cell r="R48">
            <v>6.25</v>
          </cell>
          <cell r="S48">
            <v>43399</v>
          </cell>
          <cell r="T48">
            <v>8.0142857142857142</v>
          </cell>
          <cell r="U48">
            <v>1.4685863874345548</v>
          </cell>
          <cell r="V48">
            <v>5.7591623036649213E-2</v>
          </cell>
          <cell r="W48">
            <v>0.62857142857142867</v>
          </cell>
          <cell r="X48">
            <v>1.2280701754385965</v>
          </cell>
          <cell r="Y48">
            <v>3.9215686274509803E-2</v>
          </cell>
          <cell r="Z48">
            <v>1.0820895522388059</v>
          </cell>
          <cell r="AA48">
            <v>1.32</v>
          </cell>
          <cell r="AB48">
            <v>0</v>
          </cell>
        </row>
        <row r="49">
          <cell r="D49" t="str">
            <v>OGS</v>
          </cell>
          <cell r="E49" t="str">
            <v>ONE Gas Inc.</v>
          </cell>
          <cell r="F49">
            <v>24.8</v>
          </cell>
          <cell r="G49">
            <v>85.3</v>
          </cell>
          <cell r="H49">
            <v>62.2</v>
          </cell>
          <cell r="I49">
            <v>73.75</v>
          </cell>
          <cell r="J49">
            <v>6.35</v>
          </cell>
          <cell r="K49">
            <v>3.33</v>
          </cell>
          <cell r="L49">
            <v>1.84</v>
          </cell>
          <cell r="M49">
            <v>7.3</v>
          </cell>
          <cell r="N49">
            <v>38.85</v>
          </cell>
          <cell r="O49">
            <v>6.65</v>
          </cell>
          <cell r="P49">
            <v>7.4</v>
          </cell>
          <cell r="Q49">
            <v>8.1999999999999993</v>
          </cell>
          <cell r="R49">
            <v>7.5</v>
          </cell>
          <cell r="S49">
            <v>43434</v>
          </cell>
          <cell r="T49">
            <v>11.614173228346457</v>
          </cell>
          <cell r="U49">
            <v>1.8983268983268982</v>
          </cell>
          <cell r="V49">
            <v>4.7361647361647365E-2</v>
          </cell>
          <cell r="W49">
            <v>0.55255255255255253</v>
          </cell>
          <cell r="X49">
            <v>0.86986301369863006</v>
          </cell>
          <cell r="Y49">
            <v>2.4949152542372881E-2</v>
          </cell>
          <cell r="Z49">
            <v>0.89864864864864868</v>
          </cell>
          <cell r="AA49">
            <v>1.0933333333333333</v>
          </cell>
          <cell r="AB49">
            <v>0</v>
          </cell>
          <cell r="AC49">
            <v>0</v>
          </cell>
        </row>
        <row r="50">
          <cell r="D50" t="str">
            <v>OGE</v>
          </cell>
          <cell r="E50" t="str">
            <v xml:space="preserve">OGE Energy                    </v>
          </cell>
          <cell r="F50">
            <v>19.7</v>
          </cell>
          <cell r="G50">
            <v>40.5</v>
          </cell>
          <cell r="H50">
            <v>29.6</v>
          </cell>
          <cell r="I50">
            <v>35.049999999999997</v>
          </cell>
          <cell r="J50">
            <v>3.7</v>
          </cell>
          <cell r="K50">
            <v>2.1</v>
          </cell>
          <cell r="L50">
            <v>1.4</v>
          </cell>
          <cell r="M50">
            <v>3.15</v>
          </cell>
          <cell r="N50">
            <v>20</v>
          </cell>
          <cell r="O50">
            <v>4.05</v>
          </cell>
          <cell r="P50">
            <v>3.15</v>
          </cell>
          <cell r="Q50">
            <v>4.75</v>
          </cell>
          <cell r="R50">
            <v>2.75</v>
          </cell>
          <cell r="S50">
            <v>43448</v>
          </cell>
          <cell r="T50">
            <v>9.4729729729729719</v>
          </cell>
          <cell r="U50">
            <v>1.7524999999999999</v>
          </cell>
          <cell r="V50">
            <v>6.9999999999999993E-2</v>
          </cell>
          <cell r="W50">
            <v>0.66666666666666663</v>
          </cell>
          <cell r="X50">
            <v>1.1746031746031746</v>
          </cell>
          <cell r="Y50">
            <v>3.9942938659058486E-2</v>
          </cell>
          <cell r="Z50">
            <v>1.2857142857142856</v>
          </cell>
          <cell r="AA50">
            <v>1.7272727272727273</v>
          </cell>
          <cell r="AB50">
            <v>0</v>
          </cell>
        </row>
        <row r="51">
          <cell r="D51" t="str">
            <v>OTTR</v>
          </cell>
          <cell r="E51" t="str">
            <v xml:space="preserve">Otter Tail Corp.              </v>
          </cell>
          <cell r="F51">
            <v>21.6</v>
          </cell>
          <cell r="G51">
            <v>49.8</v>
          </cell>
          <cell r="H51">
            <v>39</v>
          </cell>
          <cell r="I51">
            <v>44.4</v>
          </cell>
          <cell r="J51">
            <v>4.1500000000000004</v>
          </cell>
          <cell r="K51">
            <v>2.15</v>
          </cell>
          <cell r="L51">
            <v>1.34</v>
          </cell>
          <cell r="M51">
            <v>2.75</v>
          </cell>
          <cell r="N51">
            <v>18.75</v>
          </cell>
          <cell r="O51">
            <v>4.4000000000000004</v>
          </cell>
          <cell r="P51">
            <v>9.65</v>
          </cell>
          <cell r="Q51">
            <v>5.35</v>
          </cell>
          <cell r="R51">
            <v>2.4500000000000002</v>
          </cell>
          <cell r="S51">
            <v>43448</v>
          </cell>
          <cell r="T51">
            <v>10.69879518072289</v>
          </cell>
          <cell r="U51">
            <v>2.3679999999999999</v>
          </cell>
          <cell r="V51">
            <v>7.1466666666666664E-2</v>
          </cell>
          <cell r="W51">
            <v>0.62325581395348839</v>
          </cell>
          <cell r="X51">
            <v>1.5090909090909093</v>
          </cell>
          <cell r="Y51">
            <v>3.0180180180180184E-2</v>
          </cell>
          <cell r="Z51">
            <v>0.45595854922279794</v>
          </cell>
          <cell r="AA51">
            <v>2.1836734693877546</v>
          </cell>
          <cell r="AB51">
            <v>0</v>
          </cell>
        </row>
        <row r="52">
          <cell r="D52" t="str">
            <v>PCG</v>
          </cell>
          <cell r="E52" t="str">
            <v xml:space="preserve">PG&amp;E Corp.                    </v>
          </cell>
          <cell r="F52" t="str">
            <v>NMF</v>
          </cell>
          <cell r="G52">
            <v>48.9</v>
          </cell>
          <cell r="H52">
            <v>37.299999999999997</v>
          </cell>
          <cell r="I52">
            <v>43.099999999999994</v>
          </cell>
          <cell r="J52">
            <v>6.35</v>
          </cell>
          <cell r="K52">
            <v>0.6</v>
          </cell>
          <cell r="L52" t="str">
            <v>Nil</v>
          </cell>
          <cell r="M52">
            <v>12.1</v>
          </cell>
          <cell r="N52">
            <v>37.950000000000003</v>
          </cell>
          <cell r="O52">
            <v>9.5</v>
          </cell>
          <cell r="P52">
            <v>11.45</v>
          </cell>
          <cell r="Q52">
            <v>10.75</v>
          </cell>
          <cell r="R52">
            <v>11.5</v>
          </cell>
          <cell r="S52">
            <v>43399</v>
          </cell>
          <cell r="T52">
            <v>6.7874015748031491</v>
          </cell>
          <cell r="U52">
            <v>1.1357048748353094</v>
          </cell>
          <cell r="V52" t="str">
            <v>N/A</v>
          </cell>
          <cell r="W52" t="str">
            <v>N/A</v>
          </cell>
          <cell r="X52">
            <v>0.52479338842975209</v>
          </cell>
          <cell r="Y52" t="str">
            <v>N/A</v>
          </cell>
          <cell r="Z52">
            <v>0.82969432314410485</v>
          </cell>
          <cell r="AA52">
            <v>0.93478260869565222</v>
          </cell>
          <cell r="AB52">
            <v>0</v>
          </cell>
        </row>
        <row r="53">
          <cell r="D53" t="str">
            <v>PNW</v>
          </cell>
          <cell r="E53" t="str">
            <v xml:space="preserve">Pinnacle West Capital         </v>
          </cell>
          <cell r="F53">
            <v>18.899999999999999</v>
          </cell>
          <cell r="G53">
            <v>85.6</v>
          </cell>
          <cell r="H53">
            <v>73.400000000000006</v>
          </cell>
          <cell r="I53">
            <v>79.5</v>
          </cell>
          <cell r="J53">
            <v>10</v>
          </cell>
          <cell r="K53">
            <v>4.4000000000000004</v>
          </cell>
          <cell r="L53">
            <v>2.86</v>
          </cell>
          <cell r="M53">
            <v>11.25</v>
          </cell>
          <cell r="N53">
            <v>46.25</v>
          </cell>
          <cell r="O53">
            <v>10.5</v>
          </cell>
          <cell r="P53">
            <v>10.8</v>
          </cell>
          <cell r="Q53">
            <v>12.5</v>
          </cell>
          <cell r="R53">
            <v>11</v>
          </cell>
          <cell r="S53">
            <v>43399</v>
          </cell>
          <cell r="T53">
            <v>7.95</v>
          </cell>
          <cell r="U53">
            <v>1.7189189189189189</v>
          </cell>
          <cell r="V53">
            <v>6.1837837837837833E-2</v>
          </cell>
          <cell r="W53">
            <v>0.64999999999999991</v>
          </cell>
          <cell r="X53">
            <v>0.88888888888888884</v>
          </cell>
          <cell r="Y53">
            <v>3.5974842767295595E-2</v>
          </cell>
          <cell r="Z53">
            <v>0.97222222222222221</v>
          </cell>
          <cell r="AA53">
            <v>1.1363636363636365</v>
          </cell>
          <cell r="AB53">
            <v>0</v>
          </cell>
        </row>
        <row r="54">
          <cell r="D54" t="str">
            <v>PNM</v>
          </cell>
          <cell r="E54" t="str">
            <v xml:space="preserve">PNM Resources                 </v>
          </cell>
          <cell r="F54">
            <v>21.4</v>
          </cell>
          <cell r="G54">
            <v>40.9</v>
          </cell>
          <cell r="H54">
            <v>33.799999999999997</v>
          </cell>
          <cell r="I54">
            <v>37.349999999999994</v>
          </cell>
          <cell r="J54">
            <v>5.35</v>
          </cell>
          <cell r="K54">
            <v>1.9</v>
          </cell>
          <cell r="L54">
            <v>1.08</v>
          </cell>
          <cell r="M54">
            <v>6.45</v>
          </cell>
          <cell r="N54">
            <v>22</v>
          </cell>
          <cell r="O54">
            <v>5.75</v>
          </cell>
          <cell r="P54">
            <v>6.6</v>
          </cell>
          <cell r="Q54">
            <v>6.75</v>
          </cell>
          <cell r="R54">
            <v>8.25</v>
          </cell>
          <cell r="S54">
            <v>43399</v>
          </cell>
          <cell r="T54">
            <v>6.981308411214953</v>
          </cell>
          <cell r="U54">
            <v>1.6977272727272725</v>
          </cell>
          <cell r="V54">
            <v>4.9090909090909095E-2</v>
          </cell>
          <cell r="W54">
            <v>0.56842105263157905</v>
          </cell>
          <cell r="X54">
            <v>0.82945736434108519</v>
          </cell>
          <cell r="Y54">
            <v>2.8915662650602417E-2</v>
          </cell>
          <cell r="Z54">
            <v>0.87121212121212122</v>
          </cell>
          <cell r="AA54">
            <v>0.81818181818181823</v>
          </cell>
          <cell r="AB54">
            <v>0</v>
          </cell>
        </row>
        <row r="55">
          <cell r="D55" t="str">
            <v>POR</v>
          </cell>
          <cell r="E55" t="str">
            <v xml:space="preserve">Portland General              </v>
          </cell>
          <cell r="F55">
            <v>19.399999999999999</v>
          </cell>
          <cell r="G55">
            <v>47.6</v>
          </cell>
          <cell r="H55">
            <v>39</v>
          </cell>
          <cell r="I55">
            <v>43.3</v>
          </cell>
          <cell r="J55">
            <v>6.5</v>
          </cell>
          <cell r="K55">
            <v>2.2999999999999998</v>
          </cell>
          <cell r="L55">
            <v>1.43</v>
          </cell>
          <cell r="M55">
            <v>7.4</v>
          </cell>
          <cell r="N55">
            <v>27.95</v>
          </cell>
          <cell r="O55">
            <v>6.95</v>
          </cell>
          <cell r="P55">
            <v>5.15</v>
          </cell>
          <cell r="Q55">
            <v>8.25</v>
          </cell>
          <cell r="R55">
            <v>5</v>
          </cell>
          <cell r="S55">
            <v>43399</v>
          </cell>
          <cell r="T55">
            <v>6.661538461538461</v>
          </cell>
          <cell r="U55">
            <v>1.5491949910554561</v>
          </cell>
          <cell r="V55">
            <v>5.1162790697674418E-2</v>
          </cell>
          <cell r="W55">
            <v>0.62173913043478268</v>
          </cell>
          <cell r="X55">
            <v>0.87837837837837829</v>
          </cell>
          <cell r="Y55">
            <v>3.3025404157043879E-2</v>
          </cell>
          <cell r="Z55">
            <v>1.349514563106796</v>
          </cell>
          <cell r="AA55">
            <v>1.65</v>
          </cell>
          <cell r="AB55">
            <v>0</v>
          </cell>
        </row>
        <row r="56">
          <cell r="D56" t="str">
            <v>PPL</v>
          </cell>
          <cell r="E56" t="str">
            <v xml:space="preserve">PPL Corp.                     </v>
          </cell>
          <cell r="F56">
            <v>13.2</v>
          </cell>
          <cell r="G56">
            <v>32.4</v>
          </cell>
          <cell r="H56">
            <v>25.3</v>
          </cell>
          <cell r="I56">
            <v>28.85</v>
          </cell>
          <cell r="J56">
            <v>4.0999999999999996</v>
          </cell>
          <cell r="K56">
            <v>2.5</v>
          </cell>
          <cell r="L56">
            <v>1.64</v>
          </cell>
          <cell r="M56">
            <v>4.95</v>
          </cell>
          <cell r="N56">
            <v>16.75</v>
          </cell>
          <cell r="O56">
            <v>3.95</v>
          </cell>
          <cell r="P56">
            <v>4.3</v>
          </cell>
          <cell r="Q56">
            <v>4.75</v>
          </cell>
          <cell r="R56">
            <v>3.25</v>
          </cell>
          <cell r="S56">
            <v>43420</v>
          </cell>
          <cell r="T56">
            <v>7.0365853658536599</v>
          </cell>
          <cell r="U56">
            <v>1.7223880597014927</v>
          </cell>
          <cell r="V56">
            <v>9.7910447761194022E-2</v>
          </cell>
          <cell r="W56">
            <v>0.65599999999999992</v>
          </cell>
          <cell r="X56">
            <v>0.82828282828282818</v>
          </cell>
          <cell r="Y56">
            <v>5.6845753899480066E-2</v>
          </cell>
          <cell r="Z56">
            <v>0.91860465116279078</v>
          </cell>
          <cell r="AA56">
            <v>1.4615384615384615</v>
          </cell>
          <cell r="AB56">
            <v>0</v>
          </cell>
        </row>
        <row r="57">
          <cell r="D57" t="str">
            <v>PEG</v>
          </cell>
          <cell r="E57" t="str">
            <v xml:space="preserve">Public Serv. Enterprise       </v>
          </cell>
          <cell r="F57">
            <v>17.3</v>
          </cell>
          <cell r="G57">
            <v>56.7</v>
          </cell>
          <cell r="H57">
            <v>46.2</v>
          </cell>
          <cell r="I57">
            <v>51.45</v>
          </cell>
          <cell r="J57">
            <v>5.7</v>
          </cell>
          <cell r="K57">
            <v>3</v>
          </cell>
          <cell r="L57">
            <v>1.8</v>
          </cell>
          <cell r="M57">
            <v>7.15</v>
          </cell>
          <cell r="N57">
            <v>28.65</v>
          </cell>
          <cell r="O57">
            <v>6.1</v>
          </cell>
          <cell r="P57">
            <v>5.55</v>
          </cell>
          <cell r="Q57">
            <v>7.5</v>
          </cell>
          <cell r="R57">
            <v>5.5</v>
          </cell>
          <cell r="S57">
            <v>43420</v>
          </cell>
          <cell r="T57">
            <v>9.026315789473685</v>
          </cell>
          <cell r="U57">
            <v>1.7958115183246075</v>
          </cell>
          <cell r="V57">
            <v>6.2827225130890063E-2</v>
          </cell>
          <cell r="W57">
            <v>0.6</v>
          </cell>
          <cell r="X57">
            <v>0.79720279720279719</v>
          </cell>
          <cell r="Y57">
            <v>3.4985422740524783E-2</v>
          </cell>
          <cell r="Z57">
            <v>1.099099099099099</v>
          </cell>
          <cell r="AA57">
            <v>1.3636363636363635</v>
          </cell>
          <cell r="AB57">
            <v>0</v>
          </cell>
        </row>
        <row r="58">
          <cell r="D58" t="str">
            <v>SCG</v>
          </cell>
          <cell r="E58" t="str">
            <v xml:space="preserve">SCANA Corp.                   </v>
          </cell>
          <cell r="F58">
            <v>31.8</v>
          </cell>
          <cell r="G58">
            <v>49.4</v>
          </cell>
          <cell r="H58">
            <v>33.6</v>
          </cell>
          <cell r="I58">
            <v>41.5</v>
          </cell>
          <cell r="J58">
            <v>5.0999999999999996</v>
          </cell>
          <cell r="K58">
            <v>1.8</v>
          </cell>
          <cell r="L58">
            <v>0.98</v>
          </cell>
          <cell r="M58">
            <v>6.1</v>
          </cell>
          <cell r="N58">
            <v>37.549999999999997</v>
          </cell>
          <cell r="O58">
            <v>4.75</v>
          </cell>
          <cell r="P58">
            <v>6.05</v>
          </cell>
          <cell r="Q58">
            <v>5.75</v>
          </cell>
          <cell r="R58">
            <v>6.5</v>
          </cell>
          <cell r="S58">
            <v>43420</v>
          </cell>
          <cell r="T58">
            <v>8.1372549019607856</v>
          </cell>
          <cell r="U58">
            <v>1.1051930758988018</v>
          </cell>
          <cell r="V58">
            <v>2.6098535286284953E-2</v>
          </cell>
          <cell r="W58">
            <v>0.5444444444444444</v>
          </cell>
          <cell r="X58">
            <v>0.83606557377049184</v>
          </cell>
          <cell r="Y58">
            <v>2.3614457831325302E-2</v>
          </cell>
          <cell r="Z58">
            <v>0.78512396694214881</v>
          </cell>
          <cell r="AA58">
            <v>0.88461538461538458</v>
          </cell>
          <cell r="AB58">
            <v>0</v>
          </cell>
        </row>
        <row r="59">
          <cell r="D59" t="str">
            <v>SRE</v>
          </cell>
          <cell r="E59" t="str">
            <v xml:space="preserve">Sempra Energy                 </v>
          </cell>
          <cell r="F59">
            <v>19.7</v>
          </cell>
          <cell r="G59">
            <v>127.2</v>
          </cell>
          <cell r="H59">
            <v>100.5</v>
          </cell>
          <cell r="I59">
            <v>113.85</v>
          </cell>
          <cell r="J59">
            <v>10.95</v>
          </cell>
          <cell r="K59">
            <v>5.65</v>
          </cell>
          <cell r="L59">
            <v>3.58</v>
          </cell>
          <cell r="M59">
            <v>13.7</v>
          </cell>
          <cell r="N59">
            <v>53.85</v>
          </cell>
          <cell r="O59">
            <v>11.75</v>
          </cell>
          <cell r="P59">
            <v>12.6</v>
          </cell>
          <cell r="Q59">
            <v>14</v>
          </cell>
          <cell r="R59">
            <v>9</v>
          </cell>
          <cell r="S59">
            <v>43399</v>
          </cell>
          <cell r="T59">
            <v>10.397260273972602</v>
          </cell>
          <cell r="U59">
            <v>2.1142061281337048</v>
          </cell>
          <cell r="V59">
            <v>6.6480965645311044E-2</v>
          </cell>
          <cell r="W59">
            <v>0.63362831858407076</v>
          </cell>
          <cell r="X59">
            <v>0.7992700729927007</v>
          </cell>
          <cell r="Y59">
            <v>3.1444883618796667E-2</v>
          </cell>
          <cell r="Z59">
            <v>0.93253968253968256</v>
          </cell>
          <cell r="AA59">
            <v>1.5555555555555556</v>
          </cell>
          <cell r="AB59">
            <v>0</v>
          </cell>
        </row>
        <row r="60">
          <cell r="D60" t="str">
            <v>SJW</v>
          </cell>
          <cell r="E60" t="str">
            <v>SJW Corp.</v>
          </cell>
          <cell r="F60">
            <v>23.3</v>
          </cell>
          <cell r="G60">
            <v>68.400000000000006</v>
          </cell>
          <cell r="H60">
            <v>51.3</v>
          </cell>
          <cell r="I60">
            <v>59.85</v>
          </cell>
          <cell r="J60">
            <v>4.75</v>
          </cell>
          <cell r="K60">
            <v>2.35</v>
          </cell>
          <cell r="L60">
            <v>1.1200000000000001</v>
          </cell>
          <cell r="M60">
            <v>5.5</v>
          </cell>
          <cell r="N60">
            <v>22.6</v>
          </cell>
          <cell r="O60">
            <v>5.2</v>
          </cell>
          <cell r="P60">
            <v>5.25</v>
          </cell>
          <cell r="Q60">
            <v>5.65</v>
          </cell>
          <cell r="R60">
            <v>5</v>
          </cell>
          <cell r="S60">
            <v>43385</v>
          </cell>
          <cell r="T60">
            <v>12.6</v>
          </cell>
          <cell r="U60">
            <v>2.6482300884955752</v>
          </cell>
          <cell r="V60">
            <v>4.9557522123893805E-2</v>
          </cell>
          <cell r="W60">
            <v>0.47659574468085109</v>
          </cell>
          <cell r="X60">
            <v>0.86363636363636365</v>
          </cell>
          <cell r="Y60">
            <v>1.8713450292397661E-2</v>
          </cell>
          <cell r="Z60">
            <v>0.99047619047619051</v>
          </cell>
          <cell r="AA60">
            <v>1.1300000000000001</v>
          </cell>
          <cell r="AB60">
            <v>0</v>
          </cell>
        </row>
        <row r="61">
          <cell r="D61" t="str">
            <v>SJI</v>
          </cell>
          <cell r="E61" t="str">
            <v>South Jersey Inds.</v>
          </cell>
          <cell r="F61">
            <v>22.4</v>
          </cell>
          <cell r="G61">
            <v>36.700000000000003</v>
          </cell>
          <cell r="H61">
            <v>26</v>
          </cell>
          <cell r="I61">
            <v>31.35</v>
          </cell>
          <cell r="J61">
            <v>2.5499999999999998</v>
          </cell>
          <cell r="K61">
            <v>1.62</v>
          </cell>
          <cell r="L61">
            <v>1.1499999999999999</v>
          </cell>
          <cell r="M61">
            <v>2.85</v>
          </cell>
          <cell r="N61">
            <v>15</v>
          </cell>
          <cell r="O61">
            <v>2.7</v>
          </cell>
          <cell r="P61">
            <v>3.1</v>
          </cell>
          <cell r="Q61">
            <v>3.55</v>
          </cell>
          <cell r="R61">
            <v>4.75</v>
          </cell>
          <cell r="S61">
            <v>43434</v>
          </cell>
          <cell r="T61">
            <v>12.294117647058824</v>
          </cell>
          <cell r="U61">
            <v>2.0900000000000003</v>
          </cell>
          <cell r="V61">
            <v>7.6666666666666661E-2</v>
          </cell>
          <cell r="W61">
            <v>0.70987654320987648</v>
          </cell>
          <cell r="X61">
            <v>0.89473684210526305</v>
          </cell>
          <cell r="Y61">
            <v>3.6682615629984046E-2</v>
          </cell>
          <cell r="Z61">
            <v>0.87096774193548387</v>
          </cell>
          <cell r="AA61">
            <v>0.74736842105263157</v>
          </cell>
          <cell r="AB61">
            <v>0</v>
          </cell>
        </row>
        <row r="62">
          <cell r="D62" t="str">
            <v>SO</v>
          </cell>
          <cell r="E62" t="str">
            <v xml:space="preserve">Southern Co.                  </v>
          </cell>
          <cell r="F62">
            <v>15.8</v>
          </cell>
          <cell r="G62">
            <v>49.4</v>
          </cell>
          <cell r="H62">
            <v>42.4</v>
          </cell>
          <cell r="I62">
            <v>45.9</v>
          </cell>
          <cell r="J62">
            <v>6.4</v>
          </cell>
          <cell r="K62">
            <v>2.9</v>
          </cell>
          <cell r="L62">
            <v>2.38</v>
          </cell>
          <cell r="M62">
            <v>8.35</v>
          </cell>
          <cell r="N62">
            <v>24.35</v>
          </cell>
          <cell r="O62">
            <v>6.7</v>
          </cell>
          <cell r="P62">
            <v>7.15</v>
          </cell>
          <cell r="Q62">
            <v>7.5</v>
          </cell>
          <cell r="R62">
            <v>5.25</v>
          </cell>
          <cell r="S62">
            <v>43420</v>
          </cell>
          <cell r="T62">
            <v>7.1718749999999991</v>
          </cell>
          <cell r="U62">
            <v>1.8850102669404516</v>
          </cell>
          <cell r="V62">
            <v>9.7741273100616005E-2</v>
          </cell>
          <cell r="W62">
            <v>0.82068965517241377</v>
          </cell>
          <cell r="X62">
            <v>0.76646706586826352</v>
          </cell>
          <cell r="Y62">
            <v>5.185185185185185E-2</v>
          </cell>
          <cell r="Z62">
            <v>0.93706293706293708</v>
          </cell>
          <cell r="AA62">
            <v>1.4285714285714286</v>
          </cell>
          <cell r="AB62">
            <v>0</v>
          </cell>
        </row>
        <row r="63">
          <cell r="D63" t="str">
            <v>SWX</v>
          </cell>
          <cell r="E63" t="str">
            <v>Southwest Gas</v>
          </cell>
          <cell r="F63">
            <v>20.5</v>
          </cell>
          <cell r="G63">
            <v>86</v>
          </cell>
          <cell r="H63">
            <v>62.5</v>
          </cell>
          <cell r="I63">
            <v>74.25</v>
          </cell>
          <cell r="J63">
            <v>9</v>
          </cell>
          <cell r="K63">
            <v>3.95</v>
          </cell>
          <cell r="L63">
            <v>2.08</v>
          </cell>
          <cell r="M63">
            <v>14.65</v>
          </cell>
          <cell r="N63">
            <v>40.4</v>
          </cell>
          <cell r="O63">
            <v>9.6</v>
          </cell>
          <cell r="P63">
            <v>15.2</v>
          </cell>
          <cell r="Q63">
            <v>13</v>
          </cell>
          <cell r="R63">
            <v>17.25</v>
          </cell>
          <cell r="S63">
            <v>43434</v>
          </cell>
          <cell r="T63">
            <v>8.25</v>
          </cell>
          <cell r="U63">
            <v>1.8378712871287128</v>
          </cell>
          <cell r="V63">
            <v>5.1485148514851489E-2</v>
          </cell>
          <cell r="W63">
            <v>0.52658227848101269</v>
          </cell>
          <cell r="X63">
            <v>0.61433447098976113</v>
          </cell>
          <cell r="Y63">
            <v>2.8013468013468015E-2</v>
          </cell>
          <cell r="Z63">
            <v>0.63157894736842102</v>
          </cell>
          <cell r="AA63">
            <v>0.75362318840579712</v>
          </cell>
          <cell r="AB63">
            <v>0</v>
          </cell>
        </row>
        <row r="64">
          <cell r="D64" t="str">
            <v>SR</v>
          </cell>
          <cell r="E64" t="str">
            <v>Spire Inc.</v>
          </cell>
          <cell r="F64">
            <v>21.2</v>
          </cell>
          <cell r="G64">
            <v>80.8</v>
          </cell>
          <cell r="H64">
            <v>60.1</v>
          </cell>
          <cell r="I64">
            <v>70.45</v>
          </cell>
          <cell r="J64">
            <v>7.55</v>
          </cell>
          <cell r="K64">
            <v>4.33</v>
          </cell>
          <cell r="L64">
            <v>2.25</v>
          </cell>
          <cell r="M64">
            <v>9.86</v>
          </cell>
          <cell r="N64">
            <v>44.51</v>
          </cell>
          <cell r="O64">
            <v>7.25</v>
          </cell>
          <cell r="P64">
            <v>9.6</v>
          </cell>
          <cell r="Q64">
            <v>8.25</v>
          </cell>
          <cell r="R64">
            <v>10</v>
          </cell>
          <cell r="S64">
            <v>43434</v>
          </cell>
          <cell r="T64">
            <v>9.3311258278145708</v>
          </cell>
          <cell r="U64">
            <v>1.5827903841833297</v>
          </cell>
          <cell r="V64">
            <v>5.0550438103796905E-2</v>
          </cell>
          <cell r="W64">
            <v>0.51963048498845266</v>
          </cell>
          <cell r="X64">
            <v>0.76572008113590262</v>
          </cell>
          <cell r="Y64">
            <v>3.1937544357700492E-2</v>
          </cell>
          <cell r="Z64">
            <v>0.75520833333333337</v>
          </cell>
          <cell r="AA64">
            <v>0.82499999999999996</v>
          </cell>
          <cell r="AB64">
            <v>0</v>
          </cell>
        </row>
        <row r="65">
          <cell r="D65" t="str">
            <v>UGI</v>
          </cell>
          <cell r="E65" t="str">
            <v>UGI Corp.</v>
          </cell>
          <cell r="F65">
            <v>19.5</v>
          </cell>
          <cell r="G65">
            <v>58.1</v>
          </cell>
          <cell r="H65">
            <v>42.5</v>
          </cell>
          <cell r="I65">
            <v>50.3</v>
          </cell>
          <cell r="J65">
            <v>5.25</v>
          </cell>
          <cell r="K65">
            <v>2.89</v>
          </cell>
          <cell r="L65">
            <v>1.02</v>
          </cell>
          <cell r="M65">
            <v>3.75</v>
          </cell>
          <cell r="N65">
            <v>19.899999999999999</v>
          </cell>
          <cell r="O65">
            <v>5.4</v>
          </cell>
          <cell r="P65">
            <v>3.9</v>
          </cell>
          <cell r="Q65">
            <v>6</v>
          </cell>
          <cell r="R65">
            <v>4.3499999999999996</v>
          </cell>
          <cell r="S65">
            <v>43434</v>
          </cell>
          <cell r="T65">
            <v>9.5809523809523807</v>
          </cell>
          <cell r="U65">
            <v>2.5276381909547738</v>
          </cell>
          <cell r="V65">
            <v>5.1256281407035177E-2</v>
          </cell>
          <cell r="W65">
            <v>0.3529411764705882</v>
          </cell>
          <cell r="X65">
            <v>1.4</v>
          </cell>
          <cell r="Y65">
            <v>2.0278330019880716E-2</v>
          </cell>
          <cell r="Z65">
            <v>1.3846153846153848</v>
          </cell>
          <cell r="AA65">
            <v>1.3793103448275863</v>
          </cell>
          <cell r="AB65">
            <v>0</v>
          </cell>
        </row>
        <row r="66">
          <cell r="D66" t="str">
            <v>VVC</v>
          </cell>
          <cell r="E66" t="str">
            <v xml:space="preserve">Vectren Corp.                 </v>
          </cell>
          <cell r="F66">
            <v>28.5</v>
          </cell>
          <cell r="G66">
            <v>72</v>
          </cell>
          <cell r="H66">
            <v>58</v>
          </cell>
          <cell r="I66">
            <v>65</v>
          </cell>
          <cell r="J66">
            <v>5.95</v>
          </cell>
          <cell r="K66">
            <v>2.4500000000000002</v>
          </cell>
          <cell r="L66">
            <v>1.83</v>
          </cell>
          <cell r="M66">
            <v>7.5</v>
          </cell>
          <cell r="N66">
            <v>23.05</v>
          </cell>
          <cell r="O66">
            <v>6.5</v>
          </cell>
          <cell r="P66">
            <v>8.0500000000000007</v>
          </cell>
          <cell r="Q66">
            <v>7.85</v>
          </cell>
          <cell r="R66">
            <v>9.9</v>
          </cell>
          <cell r="S66">
            <v>43448</v>
          </cell>
          <cell r="T66">
            <v>10.92436974789916</v>
          </cell>
          <cell r="U66">
            <v>2.8199566160520608</v>
          </cell>
          <cell r="V66">
            <v>7.9392624728850322E-2</v>
          </cell>
          <cell r="W66">
            <v>0.74693877551020404</v>
          </cell>
          <cell r="X66">
            <v>0.79333333333333333</v>
          </cell>
          <cell r="Y66">
            <v>2.8153846153846154E-2</v>
          </cell>
          <cell r="Z66">
            <v>0.80745341614906829</v>
          </cell>
          <cell r="AA66">
            <v>0.79292929292929282</v>
          </cell>
          <cell r="AB66">
            <v>0</v>
          </cell>
        </row>
        <row r="67">
          <cell r="D67" t="str">
            <v>WEC</v>
          </cell>
          <cell r="E67" t="str">
            <v>WEC Energy Group</v>
          </cell>
          <cell r="F67">
            <v>21.9</v>
          </cell>
          <cell r="G67">
            <v>74.2</v>
          </cell>
          <cell r="H67">
            <v>58.5</v>
          </cell>
          <cell r="I67">
            <v>66.349999999999994</v>
          </cell>
          <cell r="J67">
            <v>6.05</v>
          </cell>
          <cell r="K67">
            <v>3.35</v>
          </cell>
          <cell r="L67">
            <v>2.21</v>
          </cell>
          <cell r="M67">
            <v>7.75</v>
          </cell>
          <cell r="N67">
            <v>30.95</v>
          </cell>
          <cell r="O67">
            <v>6.35</v>
          </cell>
          <cell r="P67">
            <v>8.3000000000000007</v>
          </cell>
          <cell r="Q67">
            <v>7.5</v>
          </cell>
          <cell r="R67">
            <v>8.25</v>
          </cell>
          <cell r="S67">
            <v>43448</v>
          </cell>
          <cell r="T67">
            <v>10.96694214876033</v>
          </cell>
          <cell r="U67">
            <v>2.1437802907915993</v>
          </cell>
          <cell r="V67">
            <v>7.1405492730210018E-2</v>
          </cell>
          <cell r="W67">
            <v>0.65970149253731336</v>
          </cell>
          <cell r="X67">
            <v>0.78064516129032258</v>
          </cell>
          <cell r="Y67">
            <v>3.3308214016578748E-2</v>
          </cell>
          <cell r="Z67">
            <v>0.76506024096385528</v>
          </cell>
          <cell r="AA67">
            <v>0.90909090909090906</v>
          </cell>
          <cell r="AB67">
            <v>0</v>
          </cell>
        </row>
        <row r="68">
          <cell r="D68" t="str">
            <v>WR</v>
          </cell>
          <cell r="E68" t="str">
            <v xml:space="preserve">Westar Energy                 </v>
          </cell>
          <cell r="F68" t="str">
            <v>N/A</v>
          </cell>
          <cell r="G68" t="str">
            <v>N/A</v>
          </cell>
          <cell r="H68" t="str">
            <v>N/A</v>
          </cell>
          <cell r="I68" t="str">
            <v/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43266</v>
          </cell>
          <cell r="T68" t="str">
            <v>N/A</v>
          </cell>
          <cell r="U68" t="str">
            <v>N/A</v>
          </cell>
          <cell r="V68" t="str">
            <v>N/A</v>
          </cell>
          <cell r="W68" t="str">
            <v>N/A</v>
          </cell>
          <cell r="X68" t="str">
            <v>N/A</v>
          </cell>
          <cell r="Y68" t="str">
            <v>N/A</v>
          </cell>
          <cell r="Z68" t="str">
            <v>N/A</v>
          </cell>
          <cell r="AA68" t="str">
            <v/>
          </cell>
          <cell r="AB68">
            <v>0</v>
          </cell>
        </row>
        <row r="69">
          <cell r="D69" t="str">
            <v>WGL</v>
          </cell>
          <cell r="E69" t="str">
            <v>WGL Holdings Inc.</v>
          </cell>
          <cell r="F69" t="str">
            <v>N/A</v>
          </cell>
          <cell r="G69" t="str">
            <v>N/A</v>
          </cell>
          <cell r="H69" t="str">
            <v>N/A</v>
          </cell>
          <cell r="I69" t="str">
            <v/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  <cell r="P69" t="str">
            <v>N/A</v>
          </cell>
          <cell r="Q69" t="str">
            <v>N/A</v>
          </cell>
          <cell r="R69" t="str">
            <v>N/A</v>
          </cell>
          <cell r="S69">
            <v>43252</v>
          </cell>
          <cell r="T69" t="str">
            <v>N/A</v>
          </cell>
          <cell r="U69" t="str">
            <v>N/A</v>
          </cell>
          <cell r="V69" t="str">
            <v>N/A</v>
          </cell>
          <cell r="W69" t="str">
            <v>N/A</v>
          </cell>
          <cell r="X69" t="str">
            <v>N/A</v>
          </cell>
          <cell r="Y69" t="str">
            <v>N/A</v>
          </cell>
          <cell r="Z69" t="str">
            <v>N/A</v>
          </cell>
          <cell r="AA69" t="str">
            <v>N/A</v>
          </cell>
          <cell r="AB69">
            <v>0</v>
          </cell>
        </row>
        <row r="70">
          <cell r="D70" t="str">
            <v>XEL</v>
          </cell>
          <cell r="E70" t="str">
            <v xml:space="preserve">Xcel Energy Inc.              </v>
          </cell>
          <cell r="F70">
            <v>19.5</v>
          </cell>
          <cell r="G70">
            <v>49.7</v>
          </cell>
          <cell r="H70">
            <v>41.5</v>
          </cell>
          <cell r="I70">
            <v>45.6</v>
          </cell>
          <cell r="J70">
            <v>5.85</v>
          </cell>
          <cell r="K70">
            <v>2.4500000000000002</v>
          </cell>
          <cell r="L70">
            <v>1.52</v>
          </cell>
          <cell r="M70">
            <v>8.15</v>
          </cell>
          <cell r="N70">
            <v>23.85</v>
          </cell>
          <cell r="O70">
            <v>6.2</v>
          </cell>
          <cell r="P70">
            <v>7.95</v>
          </cell>
          <cell r="Q70">
            <v>7.25</v>
          </cell>
          <cell r="R70">
            <v>6.75</v>
          </cell>
          <cell r="S70">
            <v>43399</v>
          </cell>
          <cell r="T70">
            <v>7.7948717948717956</v>
          </cell>
          <cell r="U70">
            <v>1.9119496855345912</v>
          </cell>
          <cell r="V70">
            <v>6.3731656184486368E-2</v>
          </cell>
          <cell r="W70">
            <v>0.62040816326530612</v>
          </cell>
          <cell r="X70">
            <v>0.71779141104294475</v>
          </cell>
          <cell r="Y70">
            <v>3.3333333333333333E-2</v>
          </cell>
          <cell r="Z70">
            <v>0.77987421383647804</v>
          </cell>
          <cell r="AA70">
            <v>1.0740740740740742</v>
          </cell>
          <cell r="AB70">
            <v>0</v>
          </cell>
        </row>
        <row r="71">
          <cell r="D71" t="str">
            <v>YORW</v>
          </cell>
          <cell r="E71" t="str">
            <v>York Water Co. (The)</v>
          </cell>
          <cell r="F71">
            <v>26.6</v>
          </cell>
          <cell r="G71">
            <v>34.200000000000003</v>
          </cell>
          <cell r="H71">
            <v>27.5</v>
          </cell>
          <cell r="I71">
            <v>30.85</v>
          </cell>
          <cell r="J71">
            <v>1.7</v>
          </cell>
          <cell r="K71">
            <v>1.1000000000000001</v>
          </cell>
          <cell r="L71">
            <v>0.7</v>
          </cell>
          <cell r="M71">
            <v>2</v>
          </cell>
          <cell r="N71">
            <v>10</v>
          </cell>
          <cell r="O71">
            <v>1.8</v>
          </cell>
          <cell r="P71">
            <v>1.75</v>
          </cell>
          <cell r="Q71">
            <v>2.4</v>
          </cell>
          <cell r="R71">
            <v>1.5</v>
          </cell>
          <cell r="S71">
            <v>43385</v>
          </cell>
          <cell r="T71">
            <v>18.147058823529413</v>
          </cell>
          <cell r="U71">
            <v>3.085</v>
          </cell>
          <cell r="V71">
            <v>6.9999999999999993E-2</v>
          </cell>
          <cell r="W71">
            <v>0.63636363636363624</v>
          </cell>
          <cell r="X71">
            <v>0.85</v>
          </cell>
          <cell r="Y71">
            <v>2.2690437601296593E-2</v>
          </cell>
          <cell r="Z71">
            <v>1.0285714285714287</v>
          </cell>
          <cell r="AA71">
            <v>1.5999999999999999</v>
          </cell>
          <cell r="AB71">
            <v>0</v>
          </cell>
        </row>
        <row r="72">
          <cell r="D72">
            <v>0</v>
          </cell>
          <cell r="E72" t="e">
            <v>#N/A</v>
          </cell>
          <cell r="F72">
            <v>0</v>
          </cell>
          <cell r="G72">
            <v>0</v>
          </cell>
          <cell r="H72">
            <v>0</v>
          </cell>
          <cell r="I72" t="str">
            <v/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>
            <v>0</v>
          </cell>
        </row>
        <row r="73">
          <cell r="D73">
            <v>0</v>
          </cell>
          <cell r="E73" t="e">
            <v>#N/A</v>
          </cell>
          <cell r="F73">
            <v>0</v>
          </cell>
          <cell r="G73">
            <v>0</v>
          </cell>
          <cell r="H73">
            <v>0</v>
          </cell>
          <cell r="I73" t="str">
            <v/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>
            <v>0</v>
          </cell>
        </row>
      </sheetData>
      <sheetData sheetId="27">
        <row r="2">
          <cell r="A2">
            <v>69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T3">
            <v>1</v>
          </cell>
          <cell r="U3">
            <v>2</v>
          </cell>
          <cell r="V3">
            <v>3</v>
          </cell>
          <cell r="W3">
            <v>4</v>
          </cell>
          <cell r="X3">
            <v>5</v>
          </cell>
          <cell r="Y3">
            <v>6</v>
          </cell>
          <cell r="Z3">
            <v>7</v>
          </cell>
          <cell r="AA3">
            <v>8</v>
          </cell>
          <cell r="AB3">
            <v>9</v>
          </cell>
        </row>
        <row r="5">
          <cell r="A5" t="str">
            <v>AE</v>
          </cell>
        </row>
      </sheetData>
      <sheetData sheetId="28"/>
      <sheetData sheetId="29"/>
      <sheetData sheetId="30">
        <row r="3">
          <cell r="B3" t="str">
            <v>Ticker</v>
          </cell>
          <cell r="D3" t="str">
            <v>P 2015</v>
          </cell>
          <cell r="E3" t="str">
            <v>P 2014</v>
          </cell>
          <cell r="F3" t="str">
            <v>P 2013</v>
          </cell>
          <cell r="G3" t="str">
            <v>P 2012</v>
          </cell>
          <cell r="H3" t="str">
            <v>P 2011</v>
          </cell>
          <cell r="I3" t="str">
            <v>P 2010</v>
          </cell>
          <cell r="J3" t="str">
            <v>P 2009</v>
          </cell>
          <cell r="K3" t="str">
            <v>P 2008</v>
          </cell>
          <cell r="L3" t="str">
            <v>P 2007</v>
          </cell>
          <cell r="M3" t="str">
            <v>P 2006</v>
          </cell>
        </row>
        <row r="4">
          <cell r="B4" t="str">
            <v>AE</v>
          </cell>
          <cell r="C4">
            <v>37.026000000000003</v>
          </cell>
          <cell r="D4">
            <v>49.274000000000001</v>
          </cell>
          <cell r="E4">
            <v>61.976999999999997</v>
          </cell>
          <cell r="F4">
            <v>54.917000000000002</v>
          </cell>
          <cell r="G4">
            <v>40.618000000000002</v>
          </cell>
          <cell r="H4">
            <v>25.192</v>
          </cell>
          <cell r="I4">
            <v>19.861000000000001</v>
          </cell>
          <cell r="J4">
            <v>17.91</v>
          </cell>
          <cell r="K4">
            <v>25.855</v>
          </cell>
          <cell r="L4">
            <v>29.949000000000002</v>
          </cell>
          <cell r="M4">
            <v>32.863</v>
          </cell>
        </row>
        <row r="5">
          <cell r="B5" t="str">
            <v>ALE</v>
          </cell>
          <cell r="C5">
            <v>58.503999999999998</v>
          </cell>
          <cell r="D5">
            <v>50.89</v>
          </cell>
          <cell r="E5">
            <v>49.963999999999999</v>
          </cell>
          <cell r="F5">
            <v>48.902999999999999</v>
          </cell>
          <cell r="G5">
            <v>40.973999999999997</v>
          </cell>
          <cell r="H5">
            <v>38.854999999999997</v>
          </cell>
          <cell r="I5">
            <v>34.987000000000002</v>
          </cell>
          <cell r="J5">
            <v>30.391999999999999</v>
          </cell>
          <cell r="K5">
            <v>39.332000000000001</v>
          </cell>
          <cell r="L5">
            <v>45.526000000000003</v>
          </cell>
          <cell r="M5">
            <v>45.83</v>
          </cell>
        </row>
        <row r="6">
          <cell r="B6" t="str">
            <v>LNT</v>
          </cell>
          <cell r="C6">
            <v>36.801000000000002</v>
          </cell>
          <cell r="D6">
            <v>30.541</v>
          </cell>
          <cell r="E6">
            <v>28.89</v>
          </cell>
          <cell r="F6">
            <v>25.129000000000001</v>
          </cell>
          <cell r="G6">
            <v>22.109000000000002</v>
          </cell>
          <cell r="H6">
            <v>19.87</v>
          </cell>
          <cell r="I6">
            <v>17.149999999999999</v>
          </cell>
          <cell r="J6">
            <v>13.099</v>
          </cell>
          <cell r="K6">
            <v>17.059999999999999</v>
          </cell>
          <cell r="L6">
            <v>20.279</v>
          </cell>
          <cell r="M6">
            <v>17.324999999999999</v>
          </cell>
        </row>
        <row r="7">
          <cell r="B7" t="str">
            <v>AEP</v>
          </cell>
          <cell r="C7">
            <v>64.116</v>
          </cell>
          <cell r="D7">
            <v>56.610999999999997</v>
          </cell>
          <cell r="E7">
            <v>53.024999999999999</v>
          </cell>
          <cell r="F7">
            <v>46.091000000000001</v>
          </cell>
          <cell r="G7">
            <v>41.026000000000003</v>
          </cell>
          <cell r="H7">
            <v>37.302999999999997</v>
          </cell>
          <cell r="I7">
            <v>34.881999999999998</v>
          </cell>
          <cell r="J7">
            <v>29.795000000000002</v>
          </cell>
          <cell r="K7">
            <v>39.051000000000002</v>
          </cell>
          <cell r="L7">
            <v>46.526000000000003</v>
          </cell>
          <cell r="M7">
            <v>36.911000000000001</v>
          </cell>
        </row>
        <row r="8">
          <cell r="B8" t="str">
            <v>AWR</v>
          </cell>
          <cell r="C8">
            <v>41.460999999999999</v>
          </cell>
          <cell r="D8">
            <v>39.564999999999998</v>
          </cell>
          <cell r="E8">
            <v>31.548999999999999</v>
          </cell>
          <cell r="F8">
            <v>27.638000000000002</v>
          </cell>
          <cell r="G8">
            <v>20.164000000000001</v>
          </cell>
          <cell r="H8">
            <v>17.2</v>
          </cell>
          <cell r="I8">
            <v>17.462</v>
          </cell>
          <cell r="J8">
            <v>17.169</v>
          </cell>
          <cell r="K8">
            <v>17.503</v>
          </cell>
          <cell r="L8">
            <v>19.443000000000001</v>
          </cell>
          <cell r="M8">
            <v>18.440000000000001</v>
          </cell>
        </row>
        <row r="9">
          <cell r="B9" t="str">
            <v>AWK</v>
          </cell>
          <cell r="C9">
            <v>72.603999999999999</v>
          </cell>
          <cell r="D9">
            <v>54.140999999999998</v>
          </cell>
          <cell r="E9">
            <v>47.841000000000001</v>
          </cell>
          <cell r="F9">
            <v>40.997</v>
          </cell>
          <cell r="G9">
            <v>35.252000000000002</v>
          </cell>
          <cell r="H9">
            <v>28.893000000000001</v>
          </cell>
          <cell r="I9">
            <v>22.358000000000001</v>
          </cell>
          <cell r="J9">
            <v>19.544</v>
          </cell>
          <cell r="K9">
            <v>20.809000000000001</v>
          </cell>
          <cell r="L9" t="str">
            <v>N/A</v>
          </cell>
          <cell r="M9" t="str">
            <v>N/A</v>
          </cell>
        </row>
        <row r="10">
          <cell r="B10" t="str">
            <v>AEE</v>
          </cell>
          <cell r="C10">
            <v>49.027999999999999</v>
          </cell>
          <cell r="D10">
            <v>41.758000000000003</v>
          </cell>
          <cell r="E10">
            <v>40.094999999999999</v>
          </cell>
          <cell r="F10">
            <v>34.685000000000002</v>
          </cell>
          <cell r="G10">
            <v>32.177</v>
          </cell>
          <cell r="H10">
            <v>29.477</v>
          </cell>
          <cell r="I10">
            <v>26.742999999999999</v>
          </cell>
          <cell r="J10">
            <v>25.745000000000001</v>
          </cell>
          <cell r="K10">
            <v>40.911000000000001</v>
          </cell>
          <cell r="L10">
            <v>52</v>
          </cell>
          <cell r="M10">
            <v>51.564999999999998</v>
          </cell>
        </row>
        <row r="11">
          <cell r="B11" t="str">
            <v>APU</v>
          </cell>
          <cell r="C11">
            <v>42.222999999999999</v>
          </cell>
          <cell r="D11">
            <v>47.04</v>
          </cell>
          <cell r="E11">
            <v>44.317</v>
          </cell>
          <cell r="F11">
            <v>43.633000000000003</v>
          </cell>
          <cell r="G11">
            <v>42.305</v>
          </cell>
          <cell r="H11">
            <v>46.231000000000002</v>
          </cell>
          <cell r="I11">
            <v>40.701000000000001</v>
          </cell>
          <cell r="J11">
            <v>30.943000000000001</v>
          </cell>
          <cell r="K11">
            <v>33.209000000000003</v>
          </cell>
          <cell r="L11">
            <v>33.975000000000001</v>
          </cell>
          <cell r="M11">
            <v>29.739000000000001</v>
          </cell>
        </row>
        <row r="12">
          <cell r="B12" t="str">
            <v>WTR</v>
          </cell>
          <cell r="C12">
            <v>31.498999999999999</v>
          </cell>
          <cell r="D12">
            <v>26.8</v>
          </cell>
          <cell r="E12">
            <v>24.913</v>
          </cell>
          <cell r="F12">
            <v>24.568999999999999</v>
          </cell>
          <cell r="G12">
            <v>19.129000000000001</v>
          </cell>
          <cell r="H12">
            <v>17.686</v>
          </cell>
          <cell r="I12">
            <v>15.176</v>
          </cell>
          <cell r="J12">
            <v>14.226000000000001</v>
          </cell>
          <cell r="K12">
            <v>14.558</v>
          </cell>
          <cell r="L12">
            <v>18.158000000000001</v>
          </cell>
          <cell r="M12">
            <v>19.434000000000001</v>
          </cell>
        </row>
        <row r="13">
          <cell r="B13" t="str">
            <v>ARTNA</v>
          </cell>
          <cell r="C13">
            <v>29.407</v>
          </cell>
          <cell r="D13">
            <v>22.716999999999999</v>
          </cell>
          <cell r="E13">
            <v>21.899000000000001</v>
          </cell>
          <cell r="F13">
            <v>22.491</v>
          </cell>
          <cell r="G13">
            <v>20.689</v>
          </cell>
          <cell r="H13">
            <v>18.657</v>
          </cell>
          <cell r="I13">
            <v>18.244</v>
          </cell>
          <cell r="J13">
            <v>15.926</v>
          </cell>
          <cell r="K13">
            <v>17.260000000000002</v>
          </cell>
          <cell r="L13">
            <v>19.324999999999999</v>
          </cell>
          <cell r="M13">
            <v>19.681000000000001</v>
          </cell>
        </row>
        <row r="14">
          <cell r="B14" t="str">
            <v>ATO</v>
          </cell>
          <cell r="C14">
            <v>70.305000000000007</v>
          </cell>
          <cell r="D14">
            <v>54.079000000000001</v>
          </cell>
          <cell r="E14">
            <v>47.633000000000003</v>
          </cell>
          <cell r="F14">
            <v>39.683</v>
          </cell>
          <cell r="G14">
            <v>33.451999999999998</v>
          </cell>
          <cell r="H14">
            <v>32.442</v>
          </cell>
          <cell r="I14">
            <v>28.533000000000001</v>
          </cell>
          <cell r="J14">
            <v>24.7</v>
          </cell>
          <cell r="K14">
            <v>27.169</v>
          </cell>
          <cell r="L14">
            <v>30.78</v>
          </cell>
          <cell r="M14">
            <v>27.047999999999998</v>
          </cell>
        </row>
        <row r="15">
          <cell r="B15" t="str">
            <v>AGR</v>
          </cell>
          <cell r="C15">
            <v>40.575000000000003</v>
          </cell>
          <cell r="D15">
            <v>35.204999999999998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40.408999999999999</v>
          </cell>
          <cell r="D16">
            <v>33.270000000000003</v>
          </cell>
          <cell r="E16">
            <v>31.798999999999999</v>
          </cell>
          <cell r="F16">
            <v>27.074000000000002</v>
          </cell>
          <cell r="G16">
            <v>25.472000000000001</v>
          </cell>
          <cell r="H16">
            <v>24.213999999999999</v>
          </cell>
          <cell r="I16">
            <v>21.02</v>
          </cell>
          <cell r="J16">
            <v>18.036999999999999</v>
          </cell>
          <cell r="K16">
            <v>20.361999999999998</v>
          </cell>
          <cell r="L16">
            <v>22.23</v>
          </cell>
          <cell r="M16">
            <v>22.623999999999999</v>
          </cell>
        </row>
        <row r="17">
          <cell r="B17" t="str">
            <v>BKH</v>
          </cell>
          <cell r="C17">
            <v>58.619</v>
          </cell>
          <cell r="D17">
            <v>45.667999999999999</v>
          </cell>
          <cell r="E17">
            <v>54.994999999999997</v>
          </cell>
          <cell r="F17">
            <v>47.6</v>
          </cell>
          <cell r="G17">
            <v>33.749000000000002</v>
          </cell>
          <cell r="H17">
            <v>31.44</v>
          </cell>
          <cell r="I17">
            <v>30.04</v>
          </cell>
          <cell r="J17">
            <v>23.027999999999999</v>
          </cell>
          <cell r="K17">
            <v>33.241999999999997</v>
          </cell>
          <cell r="L17">
            <v>40.261000000000003</v>
          </cell>
          <cell r="M17">
            <v>34.845999999999997</v>
          </cell>
        </row>
        <row r="18">
          <cell r="B18" t="str">
            <v>CWT</v>
          </cell>
          <cell r="C18">
            <v>29.946000000000002</v>
          </cell>
          <cell r="D18">
            <v>23.286999999999999</v>
          </cell>
          <cell r="E18">
            <v>23.431999999999999</v>
          </cell>
          <cell r="F18">
            <v>20.527999999999999</v>
          </cell>
          <cell r="G18">
            <v>18.236000000000001</v>
          </cell>
          <cell r="H18">
            <v>18.297999999999998</v>
          </cell>
          <cell r="I18">
            <v>18.367000000000001</v>
          </cell>
          <cell r="J18">
            <v>19.193999999999999</v>
          </cell>
          <cell r="K18">
            <v>18.777999999999999</v>
          </cell>
          <cell r="L18">
            <v>19.542999999999999</v>
          </cell>
          <cell r="M18">
            <v>19.59</v>
          </cell>
        </row>
        <row r="19">
          <cell r="B19" t="str">
            <v>CNP</v>
          </cell>
          <cell r="C19">
            <v>21.91</v>
          </cell>
          <cell r="D19">
            <v>19.545999999999999</v>
          </cell>
          <cell r="E19">
            <v>24.082999999999998</v>
          </cell>
          <cell r="F19">
            <v>23.245999999999999</v>
          </cell>
          <cell r="G19">
            <v>20.042999999999999</v>
          </cell>
          <cell r="H19">
            <v>18.510000000000002</v>
          </cell>
          <cell r="I19">
            <v>14.746</v>
          </cell>
          <cell r="J19">
            <v>11.925000000000001</v>
          </cell>
          <cell r="K19">
            <v>14.654</v>
          </cell>
          <cell r="L19">
            <v>17.552</v>
          </cell>
          <cell r="M19">
            <v>13.651999999999999</v>
          </cell>
        </row>
        <row r="20">
          <cell r="B20" t="str">
            <v>CPK</v>
          </cell>
          <cell r="C20">
            <v>62.274999999999999</v>
          </cell>
          <cell r="D20">
            <v>51.308999999999997</v>
          </cell>
          <cell r="E20">
            <v>43.722999999999999</v>
          </cell>
          <cell r="F20">
            <v>35.305999999999997</v>
          </cell>
          <cell r="G20">
            <v>29.513000000000002</v>
          </cell>
          <cell r="H20">
            <v>27.088000000000001</v>
          </cell>
          <cell r="I20">
            <v>22.228999999999999</v>
          </cell>
          <cell r="J20">
            <v>20.353000000000002</v>
          </cell>
          <cell r="K20">
            <v>19.702000000000002</v>
          </cell>
          <cell r="L20">
            <v>21.617000000000001</v>
          </cell>
          <cell r="M20">
            <v>20.478000000000002</v>
          </cell>
        </row>
        <row r="21">
          <cell r="B21" t="str">
            <v>CMS</v>
          </cell>
          <cell r="C21">
            <v>41.466999999999999</v>
          </cell>
          <cell r="D21">
            <v>34.57</v>
          </cell>
          <cell r="E21">
            <v>30.1</v>
          </cell>
          <cell r="F21">
            <v>27.096</v>
          </cell>
          <cell r="G21">
            <v>23.056000000000001</v>
          </cell>
          <cell r="H21">
            <v>19.742000000000001</v>
          </cell>
          <cell r="I21">
            <v>16.567</v>
          </cell>
          <cell r="J21">
            <v>12.606999999999999</v>
          </cell>
          <cell r="K21">
            <v>13.365</v>
          </cell>
          <cell r="L21">
            <v>17.175999999999998</v>
          </cell>
          <cell r="M21">
            <v>14.196</v>
          </cell>
        </row>
        <row r="22">
          <cell r="B22" t="str">
            <v>CTWS</v>
          </cell>
          <cell r="C22">
            <v>48.433</v>
          </cell>
          <cell r="D22">
            <v>35.856999999999999</v>
          </cell>
          <cell r="E22">
            <v>33.640999999999998</v>
          </cell>
          <cell r="F22">
            <v>30.489000000000001</v>
          </cell>
          <cell r="G22">
            <v>29.658999999999999</v>
          </cell>
          <cell r="H22">
            <v>25.984999999999999</v>
          </cell>
          <cell r="I22">
            <v>23.356000000000002</v>
          </cell>
          <cell r="J22">
            <v>21.902000000000001</v>
          </cell>
          <cell r="K22">
            <v>24.606000000000002</v>
          </cell>
          <cell r="L22">
            <v>24.151</v>
          </cell>
          <cell r="M22">
            <v>23.471</v>
          </cell>
        </row>
        <row r="23">
          <cell r="B23" t="str">
            <v>ED</v>
          </cell>
          <cell r="C23">
            <v>74.078999999999994</v>
          </cell>
          <cell r="D23">
            <v>63.134999999999998</v>
          </cell>
          <cell r="E23">
            <v>57.563000000000002</v>
          </cell>
          <cell r="F23">
            <v>57.860999999999997</v>
          </cell>
          <cell r="G23">
            <v>59.405999999999999</v>
          </cell>
          <cell r="H23">
            <v>53.819000000000003</v>
          </cell>
          <cell r="I23">
            <v>46.140999999999998</v>
          </cell>
          <cell r="J23">
            <v>39.393000000000001</v>
          </cell>
          <cell r="K23">
            <v>41.279000000000003</v>
          </cell>
          <cell r="L23">
            <v>47.963000000000001</v>
          </cell>
          <cell r="M23">
            <v>45.68</v>
          </cell>
        </row>
        <row r="24">
          <cell r="B24" t="str">
            <v>CWCO</v>
          </cell>
          <cell r="C24">
            <v>12.098000000000001</v>
          </cell>
          <cell r="D24">
            <v>11.573</v>
          </cell>
          <cell r="E24">
            <v>11.881</v>
          </cell>
          <cell r="F24">
            <v>11.613</v>
          </cell>
          <cell r="G24">
            <v>7.9450000000000003</v>
          </cell>
          <cell r="H24">
            <v>9.4049999999999994</v>
          </cell>
          <cell r="I24">
            <v>11.553000000000001</v>
          </cell>
          <cell r="J24">
            <v>14.083</v>
          </cell>
          <cell r="K24">
            <v>18.895</v>
          </cell>
          <cell r="L24">
            <v>27.957999999999998</v>
          </cell>
          <cell r="M24">
            <v>25.399000000000001</v>
          </cell>
        </row>
        <row r="25">
          <cell r="B25" t="str">
            <v>DGAS</v>
          </cell>
          <cell r="C25">
            <v>21.96</v>
          </cell>
          <cell r="D25">
            <v>20.297000000000001</v>
          </cell>
          <cell r="E25">
            <v>21.018999999999998</v>
          </cell>
          <cell r="F25">
            <v>20.677</v>
          </cell>
          <cell r="G25">
            <v>17.611000000000001</v>
          </cell>
          <cell r="H25">
            <v>15.372999999999999</v>
          </cell>
          <cell r="I25">
            <v>13.842000000000001</v>
          </cell>
          <cell r="J25">
            <v>11.829000000000001</v>
          </cell>
          <cell r="K25">
            <v>12.77</v>
          </cell>
          <cell r="L25">
            <v>12.555999999999999</v>
          </cell>
          <cell r="M25">
            <v>13.119</v>
          </cell>
        </row>
        <row r="26">
          <cell r="B26" t="str">
            <v>D</v>
          </cell>
          <cell r="C26">
            <v>73.358000000000004</v>
          </cell>
          <cell r="D26">
            <v>70.837000000000003</v>
          </cell>
          <cell r="E26">
            <v>70.066000000000003</v>
          </cell>
          <cell r="F26">
            <v>59.466000000000001</v>
          </cell>
          <cell r="G26">
            <v>52.008000000000003</v>
          </cell>
          <cell r="H26">
            <v>47.665999999999997</v>
          </cell>
          <cell r="I26">
            <v>41.466999999999999</v>
          </cell>
          <cell r="J26">
            <v>33.639000000000003</v>
          </cell>
          <cell r="K26">
            <v>41.89</v>
          </cell>
          <cell r="L26">
            <v>43.933</v>
          </cell>
          <cell r="M26">
            <v>38.343000000000004</v>
          </cell>
        </row>
        <row r="27">
          <cell r="B27" t="str">
            <v>DTE</v>
          </cell>
          <cell r="C27">
            <v>91.605999999999995</v>
          </cell>
          <cell r="D27">
            <v>80.423000000000002</v>
          </cell>
          <cell r="E27">
            <v>76.052999999999997</v>
          </cell>
          <cell r="F27">
            <v>67.361000000000004</v>
          </cell>
          <cell r="G27">
            <v>57.771000000000001</v>
          </cell>
          <cell r="H27">
            <v>49.579000000000001</v>
          </cell>
          <cell r="I27">
            <v>45.874000000000002</v>
          </cell>
          <cell r="J27">
            <v>33.728000000000002</v>
          </cell>
          <cell r="K27">
            <v>40.433999999999997</v>
          </cell>
          <cell r="L27">
            <v>48.585000000000001</v>
          </cell>
          <cell r="M27">
            <v>42.707000000000001</v>
          </cell>
        </row>
        <row r="28">
          <cell r="B28" t="str">
            <v>DUK</v>
          </cell>
          <cell r="C28">
            <v>78.843000000000004</v>
          </cell>
          <cell r="D28">
            <v>74.694000000000003</v>
          </cell>
          <cell r="E28">
            <v>73.978999999999999</v>
          </cell>
          <cell r="F28">
            <v>69.447000000000003</v>
          </cell>
          <cell r="G28">
            <v>64.790000000000006</v>
          </cell>
          <cell r="H28">
            <v>56.978999999999999</v>
          </cell>
          <cell r="I28">
            <v>50.993000000000002</v>
          </cell>
          <cell r="J28">
            <v>45.143000000000001</v>
          </cell>
          <cell r="K28">
            <v>52.366999999999997</v>
          </cell>
          <cell r="L28">
            <v>58.064999999999998</v>
          </cell>
          <cell r="M28" t="str">
            <v>N/A</v>
          </cell>
        </row>
        <row r="29">
          <cell r="B29" t="str">
            <v>EIX</v>
          </cell>
          <cell r="C29">
            <v>70.603999999999999</v>
          </cell>
          <cell r="D29">
            <v>61.281999999999996</v>
          </cell>
          <cell r="E29">
            <v>56.506</v>
          </cell>
          <cell r="F29">
            <v>48.003999999999998</v>
          </cell>
          <cell r="G29">
            <v>44.164999999999999</v>
          </cell>
          <cell r="H29">
            <v>38.139000000000003</v>
          </cell>
          <cell r="I29">
            <v>34.569000000000003</v>
          </cell>
          <cell r="J29">
            <v>31.486999999999998</v>
          </cell>
          <cell r="K29">
            <v>45.475000000000001</v>
          </cell>
          <cell r="L29">
            <v>53.213999999999999</v>
          </cell>
          <cell r="M29">
            <v>42.598999999999997</v>
          </cell>
        </row>
        <row r="30">
          <cell r="B30" t="str">
            <v>EE</v>
          </cell>
          <cell r="C30">
            <v>44.59</v>
          </cell>
          <cell r="D30">
            <v>37.207000000000001</v>
          </cell>
          <cell r="E30">
            <v>37.19</v>
          </cell>
          <cell r="F30">
            <v>34.933</v>
          </cell>
          <cell r="G30">
            <v>32.71</v>
          </cell>
          <cell r="H30">
            <v>31.236000000000001</v>
          </cell>
          <cell r="I30">
            <v>22.19</v>
          </cell>
          <cell r="J30">
            <v>16.190000000000001</v>
          </cell>
          <cell r="K30">
            <v>20.577000000000002</v>
          </cell>
          <cell r="L30">
            <v>24.873999999999999</v>
          </cell>
          <cell r="M30">
            <v>21.489000000000001</v>
          </cell>
        </row>
        <row r="31">
          <cell r="B31" t="str">
            <v>EDE</v>
          </cell>
          <cell r="C31" t="str">
            <v>N/A</v>
          </cell>
          <cell r="D31">
            <v>24.135999999999999</v>
          </cell>
          <cell r="E31">
            <v>25.129000000000001</v>
          </cell>
          <cell r="F31">
            <v>22.195</v>
          </cell>
          <cell r="G31">
            <v>20.800999999999998</v>
          </cell>
          <cell r="H31">
            <v>20.649000000000001</v>
          </cell>
          <cell r="I31">
            <v>19.600000000000001</v>
          </cell>
          <cell r="J31">
            <v>16.919</v>
          </cell>
          <cell r="K31">
            <v>20.187999999999999</v>
          </cell>
          <cell r="L31">
            <v>23.655000000000001</v>
          </cell>
          <cell r="M31">
            <v>22.442</v>
          </cell>
        </row>
        <row r="32">
          <cell r="B32" t="str">
            <v>ETR</v>
          </cell>
          <cell r="C32">
            <v>75.143000000000001</v>
          </cell>
          <cell r="D32">
            <v>72.795000000000002</v>
          </cell>
          <cell r="E32">
            <v>74.349999999999994</v>
          </cell>
          <cell r="F32">
            <v>65.540000000000006</v>
          </cell>
          <cell r="G32">
            <v>67.567999999999998</v>
          </cell>
          <cell r="H32">
            <v>68.417000000000002</v>
          </cell>
          <cell r="I32">
            <v>77.06</v>
          </cell>
          <cell r="J32">
            <v>75.480999999999995</v>
          </cell>
          <cell r="K32">
            <v>102.649</v>
          </cell>
          <cell r="L32">
            <v>108.095</v>
          </cell>
          <cell r="M32">
            <v>76.521000000000001</v>
          </cell>
        </row>
        <row r="33">
          <cell r="B33" t="str">
            <v>ES</v>
          </cell>
          <cell r="C33">
            <v>55.326999999999998</v>
          </cell>
          <cell r="D33">
            <v>49.982999999999997</v>
          </cell>
          <cell r="E33">
            <v>46.232999999999997</v>
          </cell>
          <cell r="F33">
            <v>42.183</v>
          </cell>
          <cell r="G33">
            <v>37.526000000000003</v>
          </cell>
          <cell r="H33">
            <v>34.076999999999998</v>
          </cell>
          <cell r="I33">
            <v>28.189</v>
          </cell>
          <cell r="J33">
            <v>22.844000000000001</v>
          </cell>
          <cell r="K33">
            <v>25.411999999999999</v>
          </cell>
          <cell r="L33">
            <v>29.806000000000001</v>
          </cell>
          <cell r="M33">
            <v>22.193000000000001</v>
          </cell>
        </row>
        <row r="34">
          <cell r="B34" t="str">
            <v>EXC</v>
          </cell>
          <cell r="C34">
            <v>33.625999999999998</v>
          </cell>
          <cell r="D34">
            <v>31.943000000000001</v>
          </cell>
          <cell r="E34">
            <v>33.637999999999998</v>
          </cell>
          <cell r="F34">
            <v>31.03</v>
          </cell>
          <cell r="G34">
            <v>36.630000000000003</v>
          </cell>
          <cell r="H34">
            <v>42.38</v>
          </cell>
          <cell r="I34">
            <v>42.453000000000003</v>
          </cell>
          <cell r="J34">
            <v>49.283999999999999</v>
          </cell>
          <cell r="K34">
            <v>73.686000000000007</v>
          </cell>
          <cell r="L34">
            <v>73.433999999999997</v>
          </cell>
          <cell r="M34">
            <v>57.85</v>
          </cell>
        </row>
        <row r="35">
          <cell r="B35" t="str">
            <v>FE</v>
          </cell>
          <cell r="C35">
            <v>33.418999999999997</v>
          </cell>
          <cell r="D35">
            <v>34.045000000000002</v>
          </cell>
          <cell r="E35">
            <v>33.820999999999998</v>
          </cell>
          <cell r="F35">
            <v>38.771999999999998</v>
          </cell>
          <cell r="G35">
            <v>44.932000000000002</v>
          </cell>
          <cell r="H35">
            <v>42.094000000000001</v>
          </cell>
          <cell r="I35">
            <v>38.18</v>
          </cell>
          <cell r="J35">
            <v>43.24</v>
          </cell>
          <cell r="K35">
            <v>68.518000000000001</v>
          </cell>
          <cell r="L35">
            <v>65.777000000000001</v>
          </cell>
          <cell r="M35">
            <v>54.353999999999999</v>
          </cell>
        </row>
        <row r="36">
          <cell r="B36" t="str">
            <v>FTS.TO</v>
          </cell>
          <cell r="C36">
            <v>40.829000000000001</v>
          </cell>
          <cell r="D36">
            <v>37.984999999999999</v>
          </cell>
          <cell r="E36">
            <v>33.515000000000001</v>
          </cell>
          <cell r="F36">
            <v>32.551000000000002</v>
          </cell>
          <cell r="G36">
            <v>33.201999999999998</v>
          </cell>
          <cell r="H36">
            <v>32.698999999999998</v>
          </cell>
          <cell r="I36">
            <v>29.507999999999999</v>
          </cell>
          <cell r="J36">
            <v>24.71</v>
          </cell>
          <cell r="K36">
            <v>26.573</v>
          </cell>
          <cell r="L36">
            <v>27.212</v>
          </cell>
          <cell r="M36">
            <v>24.033000000000001</v>
          </cell>
        </row>
        <row r="37">
          <cell r="B37" t="str">
            <v>EGAS</v>
          </cell>
          <cell r="C37">
            <v>8.6920000000000002</v>
          </cell>
          <cell r="D37">
            <v>9.4740000000000002</v>
          </cell>
          <cell r="E37">
            <v>10.760999999999999</v>
          </cell>
          <cell r="F37">
            <v>9.968</v>
          </cell>
          <cell r="G37">
            <v>10.432</v>
          </cell>
          <cell r="H37">
            <v>11.112</v>
          </cell>
          <cell r="I37">
            <v>10.814</v>
          </cell>
          <cell r="J37">
            <v>8.5739999999999998</v>
          </cell>
          <cell r="K37">
            <v>9.42</v>
          </cell>
          <cell r="L37">
            <v>8.1549999999999994</v>
          </cell>
          <cell r="M37">
            <v>6.4859999999999998</v>
          </cell>
        </row>
        <row r="38">
          <cell r="B38" t="str">
            <v>GXP</v>
          </cell>
          <cell r="C38">
            <v>28.949000000000002</v>
          </cell>
          <cell r="D38">
            <v>26.530999999999999</v>
          </cell>
          <cell r="E38">
            <v>25.858000000000001</v>
          </cell>
          <cell r="F38">
            <v>22.981999999999999</v>
          </cell>
          <cell r="G38">
            <v>20.971</v>
          </cell>
          <cell r="H38">
            <v>20.131</v>
          </cell>
          <cell r="I38">
            <v>18.504999999999999</v>
          </cell>
          <cell r="J38">
            <v>16.513999999999999</v>
          </cell>
          <cell r="K38">
            <v>23.834</v>
          </cell>
          <cell r="L38">
            <v>30.242999999999999</v>
          </cell>
          <cell r="M38">
            <v>29.643999999999998</v>
          </cell>
        </row>
        <row r="39">
          <cell r="B39" t="str">
            <v>HE</v>
          </cell>
          <cell r="C39">
            <v>31.044</v>
          </cell>
          <cell r="D39">
            <v>30.603999999999999</v>
          </cell>
          <cell r="E39">
            <v>26.045000000000002</v>
          </cell>
          <cell r="F39">
            <v>26.265000000000001</v>
          </cell>
          <cell r="G39">
            <v>26.408000000000001</v>
          </cell>
          <cell r="H39">
            <v>24.609000000000002</v>
          </cell>
          <cell r="I39">
            <v>22.491</v>
          </cell>
          <cell r="J39">
            <v>18.004999999999999</v>
          </cell>
          <cell r="K39">
            <v>24.782</v>
          </cell>
          <cell r="L39">
            <v>23.946999999999999</v>
          </cell>
          <cell r="M39">
            <v>27.038</v>
          </cell>
        </row>
        <row r="40">
          <cell r="B40" t="str">
            <v>IDA</v>
          </cell>
          <cell r="C40">
            <v>75.097999999999999</v>
          </cell>
          <cell r="D40">
            <v>62.764000000000003</v>
          </cell>
          <cell r="E40">
            <v>56.459000000000003</v>
          </cell>
          <cell r="F40">
            <v>48.957000000000001</v>
          </cell>
          <cell r="G40">
            <v>41.82</v>
          </cell>
          <cell r="H40">
            <v>38.758000000000003</v>
          </cell>
          <cell r="I40">
            <v>34.89</v>
          </cell>
          <cell r="J40">
            <v>26.920999999999999</v>
          </cell>
          <cell r="K40">
            <v>30.356999999999999</v>
          </cell>
          <cell r="L40">
            <v>33.840000000000003</v>
          </cell>
          <cell r="M40">
            <v>35.414000000000001</v>
          </cell>
        </row>
        <row r="41">
          <cell r="B41" t="str">
            <v>MGEE</v>
          </cell>
          <cell r="C41">
            <v>54.29</v>
          </cell>
          <cell r="D41">
            <v>41.774999999999999</v>
          </cell>
          <cell r="E41">
            <v>39.883000000000003</v>
          </cell>
          <cell r="F41">
            <v>36.750999999999998</v>
          </cell>
          <cell r="G41">
            <v>32.048999999999999</v>
          </cell>
          <cell r="H41">
            <v>27.849</v>
          </cell>
          <cell r="I41">
            <v>24.966999999999999</v>
          </cell>
          <cell r="J41">
            <v>22.3</v>
          </cell>
          <cell r="K41">
            <v>22.568000000000001</v>
          </cell>
          <cell r="L41">
            <v>22.706</v>
          </cell>
          <cell r="M41">
            <v>21.802</v>
          </cell>
        </row>
        <row r="42">
          <cell r="B42" t="str">
            <v>MSEX</v>
          </cell>
          <cell r="C42">
            <v>35.39</v>
          </cell>
          <cell r="D42">
            <v>23.314</v>
          </cell>
          <cell r="E42">
            <v>20.89</v>
          </cell>
          <cell r="F42">
            <v>20.295000000000002</v>
          </cell>
          <cell r="G42">
            <v>18.745999999999999</v>
          </cell>
          <cell r="H42">
            <v>18.25</v>
          </cell>
          <cell r="I42">
            <v>17.097000000000001</v>
          </cell>
          <cell r="J42">
            <v>15.132</v>
          </cell>
          <cell r="K42">
            <v>17.620999999999999</v>
          </cell>
          <cell r="L42">
            <v>18.782</v>
          </cell>
          <cell r="M42">
            <v>18.629000000000001</v>
          </cell>
        </row>
        <row r="43">
          <cell r="B43" t="str">
            <v>NJR</v>
          </cell>
          <cell r="C43">
            <v>34.213000000000001</v>
          </cell>
          <cell r="D43">
            <v>29.571000000000002</v>
          </cell>
          <cell r="E43">
            <v>24.402999999999999</v>
          </cell>
          <cell r="F43">
            <v>21.817</v>
          </cell>
          <cell r="G43">
            <v>22.803000000000001</v>
          </cell>
          <cell r="H43">
            <v>21.614000000000001</v>
          </cell>
          <cell r="I43">
            <v>18.43</v>
          </cell>
          <cell r="J43">
            <v>17.91</v>
          </cell>
          <cell r="K43">
            <v>16.57</v>
          </cell>
          <cell r="L43">
            <v>16.792000000000002</v>
          </cell>
          <cell r="M43">
            <v>15.045</v>
          </cell>
        </row>
        <row r="44">
          <cell r="B44" t="str">
            <v>NEE</v>
          </cell>
          <cell r="C44">
            <v>119.712</v>
          </cell>
          <cell r="D44">
            <v>102.38</v>
          </cell>
          <cell r="E44">
            <v>96.625</v>
          </cell>
          <cell r="F44">
            <v>80.039000000000001</v>
          </cell>
          <cell r="G44">
            <v>65.816999999999993</v>
          </cell>
          <cell r="H44">
            <v>55.601999999999997</v>
          </cell>
          <cell r="I44">
            <v>51.326999999999998</v>
          </cell>
          <cell r="J44">
            <v>53.26</v>
          </cell>
          <cell r="K44">
            <v>58.942999999999998</v>
          </cell>
          <cell r="L44">
            <v>61.792999999999999</v>
          </cell>
          <cell r="M44">
            <v>44.097000000000001</v>
          </cell>
        </row>
        <row r="45">
          <cell r="B45" t="str">
            <v>NI</v>
          </cell>
          <cell r="C45">
            <v>23.183</v>
          </cell>
          <cell r="D45">
            <v>23.524000000000001</v>
          </cell>
          <cell r="E45">
            <v>37.978999999999999</v>
          </cell>
          <cell r="F45">
            <v>29.655000000000001</v>
          </cell>
          <cell r="G45">
            <v>24.481999999999999</v>
          </cell>
          <cell r="H45">
            <v>20.331</v>
          </cell>
          <cell r="I45">
            <v>16.247</v>
          </cell>
          <cell r="J45">
            <v>12.041</v>
          </cell>
          <cell r="K45">
            <v>16.167000000000002</v>
          </cell>
          <cell r="L45">
            <v>21.45</v>
          </cell>
          <cell r="M45">
            <v>21.841999999999999</v>
          </cell>
        </row>
        <row r="46">
          <cell r="B46" t="str">
            <v>NWN</v>
          </cell>
          <cell r="C46">
            <v>57.076000000000001</v>
          </cell>
          <cell r="D46">
            <v>46.436</v>
          </cell>
          <cell r="E46">
            <v>44.691000000000003</v>
          </cell>
          <cell r="F46">
            <v>43.41</v>
          </cell>
          <cell r="G46">
            <v>46.789000000000001</v>
          </cell>
          <cell r="H46">
            <v>45.454000000000001</v>
          </cell>
          <cell r="I46">
            <v>46.332000000000001</v>
          </cell>
          <cell r="J46">
            <v>42.94</v>
          </cell>
          <cell r="K46">
            <v>46.453000000000003</v>
          </cell>
          <cell r="L46">
            <v>46.198</v>
          </cell>
          <cell r="M46">
            <v>37.247999999999998</v>
          </cell>
        </row>
        <row r="47">
          <cell r="B47" t="str">
            <v>NWE</v>
          </cell>
          <cell r="C47">
            <v>58.261000000000003</v>
          </cell>
          <cell r="D47">
            <v>53.249000000000002</v>
          </cell>
          <cell r="E47">
            <v>48.543999999999997</v>
          </cell>
          <cell r="F47">
            <v>41.475000000000001</v>
          </cell>
          <cell r="G47">
            <v>35.521000000000001</v>
          </cell>
          <cell r="H47">
            <v>31.934999999999999</v>
          </cell>
          <cell r="I47">
            <v>27.596</v>
          </cell>
          <cell r="J47">
            <v>23.306999999999999</v>
          </cell>
          <cell r="K47">
            <v>24.542999999999999</v>
          </cell>
          <cell r="L47">
            <v>31.297999999999998</v>
          </cell>
          <cell r="M47">
            <v>33.997999999999998</v>
          </cell>
        </row>
        <row r="48">
          <cell r="B48" t="str">
            <v>OGE</v>
          </cell>
          <cell r="C48">
            <v>29.88</v>
          </cell>
          <cell r="D48">
            <v>29.895</v>
          </cell>
          <cell r="E48">
            <v>36.165999999999997</v>
          </cell>
          <cell r="F48">
            <v>34.323999999999998</v>
          </cell>
          <cell r="G48">
            <v>27.129000000000001</v>
          </cell>
          <cell r="H48">
            <v>24.782</v>
          </cell>
          <cell r="I48">
            <v>19.904</v>
          </cell>
          <cell r="J48">
            <v>14.409000000000001</v>
          </cell>
          <cell r="K48">
            <v>15.448</v>
          </cell>
          <cell r="L48">
            <v>18.151</v>
          </cell>
          <cell r="M48">
            <v>16.751999999999999</v>
          </cell>
        </row>
        <row r="49">
          <cell r="B49" t="str">
            <v>OGS</v>
          </cell>
          <cell r="C49">
            <v>60.256999999999998</v>
          </cell>
          <cell r="D49">
            <v>44.33</v>
          </cell>
          <cell r="E49">
            <v>36.902000000000001</v>
          </cell>
        </row>
        <row r="50">
          <cell r="B50" t="str">
            <v>OTTR</v>
          </cell>
          <cell r="C50">
            <v>32.308999999999997</v>
          </cell>
          <cell r="D50">
            <v>28.39</v>
          </cell>
          <cell r="E50">
            <v>29.199000000000002</v>
          </cell>
          <cell r="F50">
            <v>28.934000000000001</v>
          </cell>
          <cell r="G50">
            <v>22.837</v>
          </cell>
          <cell r="H50">
            <v>21.367000000000001</v>
          </cell>
          <cell r="I50">
            <v>20.937000000000001</v>
          </cell>
          <cell r="J50">
            <v>22.123000000000001</v>
          </cell>
          <cell r="K50">
            <v>32.761000000000003</v>
          </cell>
          <cell r="L50">
            <v>33.854999999999997</v>
          </cell>
          <cell r="M50">
            <v>29.318999999999999</v>
          </cell>
        </row>
        <row r="51">
          <cell r="B51" t="str">
            <v>PCG</v>
          </cell>
          <cell r="C51">
            <v>59.787999999999997</v>
          </cell>
          <cell r="D51">
            <v>52.796999999999997</v>
          </cell>
          <cell r="E51">
            <v>45.908999999999999</v>
          </cell>
          <cell r="F51">
            <v>43.308999999999997</v>
          </cell>
          <cell r="G51">
            <v>42.853000000000002</v>
          </cell>
          <cell r="H51">
            <v>42.972999999999999</v>
          </cell>
          <cell r="I51">
            <v>44.564999999999998</v>
          </cell>
          <cell r="J51">
            <v>39.418999999999997</v>
          </cell>
          <cell r="K51">
            <v>38.911000000000001</v>
          </cell>
          <cell r="L51">
            <v>46.835999999999999</v>
          </cell>
          <cell r="M51">
            <v>40.963999999999999</v>
          </cell>
        </row>
        <row r="52">
          <cell r="B52" t="str">
            <v>PNW</v>
          </cell>
          <cell r="C52">
            <v>74.034999999999997</v>
          </cell>
          <cell r="D52">
            <v>62.86</v>
          </cell>
          <cell r="E52">
            <v>56.872</v>
          </cell>
          <cell r="F52">
            <v>55.88</v>
          </cell>
          <cell r="G52">
            <v>50.21</v>
          </cell>
          <cell r="H52">
            <v>43.665999999999997</v>
          </cell>
          <cell r="I52">
            <v>38.698999999999998</v>
          </cell>
          <cell r="J52">
            <v>31.056000000000001</v>
          </cell>
          <cell r="K52">
            <v>34.06</v>
          </cell>
          <cell r="L52">
            <v>44.195999999999998</v>
          </cell>
          <cell r="M52">
            <v>43.399000000000001</v>
          </cell>
        </row>
        <row r="53">
          <cell r="B53" t="str">
            <v>PNM</v>
          </cell>
          <cell r="C53">
            <v>32.722000000000001</v>
          </cell>
          <cell r="D53">
            <v>27.629000000000001</v>
          </cell>
          <cell r="E53">
            <v>27.08</v>
          </cell>
          <cell r="F53">
            <v>22.745000000000001</v>
          </cell>
          <cell r="G53">
            <v>19.611999999999998</v>
          </cell>
          <cell r="H53">
            <v>15.695</v>
          </cell>
          <cell r="I53">
            <v>12.218999999999999</v>
          </cell>
          <cell r="J53">
            <v>10.494</v>
          </cell>
          <cell r="K53">
            <v>12.468999999999999</v>
          </cell>
          <cell r="L53">
            <v>27.093</v>
          </cell>
          <cell r="M53">
            <v>26.786000000000001</v>
          </cell>
        </row>
        <row r="54">
          <cell r="B54" t="str">
            <v>POR</v>
          </cell>
          <cell r="C54">
            <v>41.164999999999999</v>
          </cell>
          <cell r="D54">
            <v>36.137</v>
          </cell>
          <cell r="E54">
            <v>33.393000000000001</v>
          </cell>
          <cell r="F54">
            <v>29.876999999999999</v>
          </cell>
          <cell r="G54">
            <v>26.14</v>
          </cell>
          <cell r="H54">
            <v>24.120999999999999</v>
          </cell>
          <cell r="I54">
            <v>19.920000000000002</v>
          </cell>
          <cell r="J54">
            <v>18.856999999999999</v>
          </cell>
          <cell r="K54">
            <v>22.651</v>
          </cell>
          <cell r="L54">
            <v>27.824000000000002</v>
          </cell>
          <cell r="M54">
            <v>26.619</v>
          </cell>
        </row>
        <row r="55">
          <cell r="B55" t="str">
            <v>PPL</v>
          </cell>
          <cell r="C55">
            <v>35.793999999999997</v>
          </cell>
          <cell r="D55">
            <v>32.978999999999999</v>
          </cell>
          <cell r="E55">
            <v>33.502000000000002</v>
          </cell>
          <cell r="F55">
            <v>30.568000000000001</v>
          </cell>
          <cell r="G55">
            <v>28.401</v>
          </cell>
          <cell r="H55">
            <v>27.446000000000002</v>
          </cell>
          <cell r="I55">
            <v>27.318999999999999</v>
          </cell>
          <cell r="J55">
            <v>30.567</v>
          </cell>
          <cell r="K55">
            <v>43.213999999999999</v>
          </cell>
          <cell r="L55">
            <v>45.4</v>
          </cell>
          <cell r="M55">
            <v>32.289000000000001</v>
          </cell>
        </row>
        <row r="56">
          <cell r="B56" t="str">
            <v>PEG</v>
          </cell>
          <cell r="C56">
            <v>43.433</v>
          </cell>
          <cell r="D56">
            <v>40.96</v>
          </cell>
          <cell r="E56">
            <v>37.715000000000003</v>
          </cell>
          <cell r="F56">
            <v>33.075000000000003</v>
          </cell>
          <cell r="G56">
            <v>31.202999999999999</v>
          </cell>
          <cell r="H56">
            <v>32.326999999999998</v>
          </cell>
          <cell r="I56">
            <v>31.832000000000001</v>
          </cell>
          <cell r="J56">
            <v>30.92</v>
          </cell>
          <cell r="K56">
            <v>39.573</v>
          </cell>
          <cell r="L56">
            <v>42.845999999999997</v>
          </cell>
          <cell r="M56">
            <v>32.856000000000002</v>
          </cell>
        </row>
        <row r="57">
          <cell r="B57" t="str">
            <v>RGCO</v>
          </cell>
          <cell r="C57">
            <v>14.97</v>
          </cell>
          <cell r="D57">
            <v>20.946999999999999</v>
          </cell>
          <cell r="E57">
            <v>19.355</v>
          </cell>
          <cell r="F57">
            <v>18.885999999999999</v>
          </cell>
          <cell r="G57">
            <v>17.975000000000001</v>
          </cell>
          <cell r="H57">
            <v>16.324999999999999</v>
          </cell>
          <cell r="I57">
            <v>15.202999999999999</v>
          </cell>
          <cell r="J57">
            <v>12.958</v>
          </cell>
          <cell r="K57">
            <v>14.269</v>
          </cell>
          <cell r="L57">
            <v>13.407999999999999</v>
          </cell>
          <cell r="M57">
            <v>12.746</v>
          </cell>
        </row>
        <row r="58">
          <cell r="B58" t="str">
            <v>SCG</v>
          </cell>
          <cell r="C58">
            <v>69.870999999999995</v>
          </cell>
          <cell r="D58">
            <v>55.875</v>
          </cell>
          <cell r="E58">
            <v>51.834000000000003</v>
          </cell>
          <cell r="F58">
            <v>48.905999999999999</v>
          </cell>
          <cell r="G58">
            <v>46.616999999999997</v>
          </cell>
          <cell r="H58">
            <v>40.601999999999997</v>
          </cell>
          <cell r="I58">
            <v>38.542999999999999</v>
          </cell>
          <cell r="J58">
            <v>33.134999999999998</v>
          </cell>
          <cell r="K58">
            <v>37.369</v>
          </cell>
          <cell r="L58">
            <v>40.981000000000002</v>
          </cell>
          <cell r="M58">
            <v>39.936999999999998</v>
          </cell>
        </row>
        <row r="59">
          <cell r="B59" t="str">
            <v>SRE</v>
          </cell>
          <cell r="C59">
            <v>103.34</v>
          </cell>
          <cell r="D59">
            <v>103.166</v>
          </cell>
          <cell r="E59">
            <v>101.265</v>
          </cell>
          <cell r="F59">
            <v>83.064999999999998</v>
          </cell>
          <cell r="G59">
            <v>64.763000000000005</v>
          </cell>
          <cell r="H59">
            <v>52.616</v>
          </cell>
          <cell r="I59">
            <v>50.631999999999998</v>
          </cell>
          <cell r="J59">
            <v>48.228999999999999</v>
          </cell>
          <cell r="K59">
            <v>52.271999999999998</v>
          </cell>
          <cell r="L59">
            <v>59.668999999999997</v>
          </cell>
          <cell r="M59">
            <v>48.648000000000003</v>
          </cell>
        </row>
        <row r="60">
          <cell r="B60" t="str">
            <v>SJW</v>
          </cell>
          <cell r="C60">
            <v>40.286999999999999</v>
          </cell>
          <cell r="D60">
            <v>30.788</v>
          </cell>
          <cell r="E60">
            <v>28.417999999999999</v>
          </cell>
          <cell r="F60">
            <v>27.257999999999999</v>
          </cell>
          <cell r="G60">
            <v>24.032</v>
          </cell>
          <cell r="H60">
            <v>23.503</v>
          </cell>
          <cell r="I60">
            <v>24.463000000000001</v>
          </cell>
          <cell r="J60">
            <v>23.22</v>
          </cell>
          <cell r="K60">
            <v>28.442</v>
          </cell>
          <cell r="L60">
            <v>34.764000000000003</v>
          </cell>
          <cell r="M60">
            <v>27.975000000000001</v>
          </cell>
        </row>
        <row r="61">
          <cell r="B61" t="str">
            <v>SJI</v>
          </cell>
          <cell r="C61">
            <v>29.097000000000001</v>
          </cell>
          <cell r="D61">
            <v>25.846</v>
          </cell>
          <cell r="E61">
            <v>28.222999999999999</v>
          </cell>
          <cell r="F61">
            <v>28.638000000000002</v>
          </cell>
          <cell r="G61">
            <v>25.655999999999999</v>
          </cell>
          <cell r="H61">
            <v>26.706</v>
          </cell>
          <cell r="I61">
            <v>22.69</v>
          </cell>
          <cell r="J61">
            <v>17.797000000000001</v>
          </cell>
          <cell r="K61">
            <v>18.042999999999999</v>
          </cell>
          <cell r="L61">
            <v>17.954000000000001</v>
          </cell>
          <cell r="M61">
            <v>14.585000000000001</v>
          </cell>
        </row>
        <row r="62">
          <cell r="B62" t="str">
            <v>SO</v>
          </cell>
          <cell r="C62">
            <v>50.256</v>
          </cell>
          <cell r="D62">
            <v>45.01</v>
          </cell>
          <cell r="E62">
            <v>44.442</v>
          </cell>
          <cell r="F62">
            <v>43.701999999999998</v>
          </cell>
          <cell r="G62">
            <v>45.304000000000002</v>
          </cell>
          <cell r="H62">
            <v>40.409999999999997</v>
          </cell>
          <cell r="I62">
            <v>35.156999999999996</v>
          </cell>
          <cell r="J62">
            <v>31.367999999999999</v>
          </cell>
          <cell r="K62">
            <v>36.286000000000001</v>
          </cell>
          <cell r="L62">
            <v>36.369999999999997</v>
          </cell>
          <cell r="M62">
            <v>33.996000000000002</v>
          </cell>
        </row>
        <row r="63">
          <cell r="B63" t="str">
            <v>SWX</v>
          </cell>
          <cell r="C63">
            <v>68.823999999999998</v>
          </cell>
          <cell r="D63">
            <v>56.515000000000001</v>
          </cell>
          <cell r="E63">
            <v>53.759</v>
          </cell>
          <cell r="F63">
            <v>49.005000000000003</v>
          </cell>
          <cell r="G63">
            <v>42.906999999999996</v>
          </cell>
          <cell r="H63">
            <v>38.121000000000002</v>
          </cell>
          <cell r="I63">
            <v>31.71</v>
          </cell>
          <cell r="J63">
            <v>23.666</v>
          </cell>
          <cell r="K63">
            <v>28.173999999999999</v>
          </cell>
          <cell r="L63">
            <v>33.658000000000001</v>
          </cell>
          <cell r="M63">
            <v>31.556000000000001</v>
          </cell>
        </row>
        <row r="64">
          <cell r="B64" t="str">
            <v>SR</v>
          </cell>
          <cell r="C64">
            <v>63.55</v>
          </cell>
          <cell r="D64">
            <v>52.097999999999999</v>
          </cell>
          <cell r="E64">
            <v>46.524999999999999</v>
          </cell>
          <cell r="F64">
            <v>42.932000000000002</v>
          </cell>
          <cell r="G64">
            <v>40.344000000000001</v>
          </cell>
          <cell r="H64">
            <v>37.313000000000002</v>
          </cell>
          <cell r="I64">
            <v>33.384999999999998</v>
          </cell>
          <cell r="J64">
            <v>39.095999999999997</v>
          </cell>
          <cell r="K64">
            <v>37.787999999999997</v>
          </cell>
          <cell r="L64">
            <v>32.767000000000003</v>
          </cell>
          <cell r="M64">
            <v>32.231000000000002</v>
          </cell>
        </row>
        <row r="65">
          <cell r="B65" t="str">
            <v>SGU</v>
          </cell>
          <cell r="C65">
            <v>8.2889999999999997</v>
          </cell>
          <cell r="D65">
            <v>7.5670000000000002</v>
          </cell>
          <cell r="E65">
            <v>5.8380000000000001</v>
          </cell>
          <cell r="F65">
            <v>4.5910000000000002</v>
          </cell>
          <cell r="G65">
            <v>4.4260000000000002</v>
          </cell>
          <cell r="H65">
            <v>5.2859999999999996</v>
          </cell>
          <cell r="I65">
            <v>4.2370000000000001</v>
          </cell>
          <cell r="J65">
            <v>2.8370000000000002</v>
          </cell>
          <cell r="K65">
            <v>3.2229999999999999</v>
          </cell>
          <cell r="L65">
            <v>3.7919999999999998</v>
          </cell>
          <cell r="M65">
            <v>2.27</v>
          </cell>
        </row>
        <row r="66">
          <cell r="B66" t="str">
            <v>UGI</v>
          </cell>
          <cell r="C66">
            <v>39.622999999999998</v>
          </cell>
          <cell r="D66">
            <v>35.604999999999997</v>
          </cell>
          <cell r="E66">
            <v>30.346</v>
          </cell>
          <cell r="F66">
            <v>24.588000000000001</v>
          </cell>
          <cell r="G66">
            <v>19.210999999999999</v>
          </cell>
          <cell r="H66">
            <v>20.632999999999999</v>
          </cell>
          <cell r="I66">
            <v>17.239000000000001</v>
          </cell>
          <cell r="J66">
            <v>16.193999999999999</v>
          </cell>
          <cell r="K66">
            <v>17.651</v>
          </cell>
          <cell r="L66">
            <v>17.87</v>
          </cell>
          <cell r="M66">
            <v>15.362</v>
          </cell>
        </row>
        <row r="67">
          <cell r="B67" t="str">
            <v>UTL</v>
          </cell>
          <cell r="C67">
            <v>40.67</v>
          </cell>
          <cell r="D67">
            <v>35.021999999999998</v>
          </cell>
          <cell r="E67">
            <v>32.920999999999999</v>
          </cell>
          <cell r="F67">
            <v>29.036999999999999</v>
          </cell>
          <cell r="G67">
            <v>26.72</v>
          </cell>
          <cell r="H67">
            <v>25.177</v>
          </cell>
          <cell r="I67">
            <v>22.091999999999999</v>
          </cell>
          <cell r="J67">
            <v>20.919</v>
          </cell>
          <cell r="K67">
            <v>26.099</v>
          </cell>
          <cell r="L67">
            <v>27.931000000000001</v>
          </cell>
          <cell r="M67">
            <v>24.841999999999999</v>
          </cell>
        </row>
        <row r="68">
          <cell r="B68" t="str">
            <v>VVC</v>
          </cell>
          <cell r="C68">
            <v>48.904000000000003</v>
          </cell>
          <cell r="D68">
            <v>42.834000000000003</v>
          </cell>
          <cell r="E68">
            <v>40.365000000000002</v>
          </cell>
          <cell r="F68">
            <v>34.302999999999997</v>
          </cell>
          <cell r="G68">
            <v>29.135000000000002</v>
          </cell>
          <cell r="H68">
            <v>27.379000000000001</v>
          </cell>
          <cell r="I68">
            <v>24.768000000000001</v>
          </cell>
          <cell r="J68">
            <v>23.074000000000002</v>
          </cell>
          <cell r="K68">
            <v>27.364999999999998</v>
          </cell>
          <cell r="L68">
            <v>28.061</v>
          </cell>
          <cell r="M68">
            <v>27.241</v>
          </cell>
        </row>
        <row r="69">
          <cell r="B69" t="str">
            <v>WEC</v>
          </cell>
          <cell r="C69">
            <v>59.042000000000002</v>
          </cell>
          <cell r="D69">
            <v>49.920999999999999</v>
          </cell>
          <cell r="E69">
            <v>45.869</v>
          </cell>
          <cell r="F69">
            <v>41.426000000000002</v>
          </cell>
          <cell r="G69">
            <v>37.027999999999999</v>
          </cell>
          <cell r="H69">
            <v>31.062000000000001</v>
          </cell>
          <cell r="I69">
            <v>26.9</v>
          </cell>
          <cell r="J69">
            <v>21.353999999999999</v>
          </cell>
          <cell r="K69">
            <v>22.379000000000001</v>
          </cell>
          <cell r="L69">
            <v>23.39</v>
          </cell>
          <cell r="M69">
            <v>21.076000000000001</v>
          </cell>
        </row>
        <row r="70">
          <cell r="B70" t="str">
            <v>WR</v>
          </cell>
          <cell r="C70">
            <v>52.454000000000001</v>
          </cell>
          <cell r="D70">
            <v>38.569000000000003</v>
          </cell>
          <cell r="E70">
            <v>36.091000000000001</v>
          </cell>
          <cell r="F70">
            <v>31.864000000000001</v>
          </cell>
          <cell r="G70">
            <v>28.873999999999999</v>
          </cell>
          <cell r="H70">
            <v>26.452999999999999</v>
          </cell>
          <cell r="I70">
            <v>23.321999999999999</v>
          </cell>
          <cell r="J70">
            <v>19.132000000000001</v>
          </cell>
          <cell r="K70">
            <v>22.221</v>
          </cell>
          <cell r="L70">
            <v>25.95</v>
          </cell>
          <cell r="M70">
            <v>22.893000000000001</v>
          </cell>
        </row>
        <row r="71">
          <cell r="B71" t="str">
            <v>WGL</v>
          </cell>
          <cell r="C71">
            <v>65.558000000000007</v>
          </cell>
          <cell r="D71">
            <v>53.697000000000003</v>
          </cell>
          <cell r="E71">
            <v>40.604999999999997</v>
          </cell>
          <cell r="F71">
            <v>42.145000000000003</v>
          </cell>
          <cell r="G71">
            <v>40.918999999999997</v>
          </cell>
          <cell r="H71">
            <v>38.188000000000002</v>
          </cell>
          <cell r="I71">
            <v>34.302</v>
          </cell>
          <cell r="J71">
            <v>31.838000000000001</v>
          </cell>
          <cell r="K71">
            <v>33.332999999999998</v>
          </cell>
          <cell r="L71">
            <v>32.612000000000002</v>
          </cell>
          <cell r="M71">
            <v>29.992000000000001</v>
          </cell>
        </row>
        <row r="72">
          <cell r="B72" t="str">
            <v>XEL</v>
          </cell>
          <cell r="C72">
            <v>40.829000000000001</v>
          </cell>
          <cell r="D72">
            <v>34.728999999999999</v>
          </cell>
          <cell r="E72">
            <v>31.344000000000001</v>
          </cell>
          <cell r="F72">
            <v>28.725000000000001</v>
          </cell>
          <cell r="G72">
            <v>27.42</v>
          </cell>
          <cell r="H72">
            <v>24.497</v>
          </cell>
          <cell r="I72">
            <v>22.041</v>
          </cell>
          <cell r="J72">
            <v>18.87</v>
          </cell>
          <cell r="K72">
            <v>19.981999999999999</v>
          </cell>
          <cell r="L72">
            <v>22.481999999999999</v>
          </cell>
          <cell r="M72">
            <v>19.981999999999999</v>
          </cell>
        </row>
        <row r="73">
          <cell r="B73" t="str">
            <v>YORW</v>
          </cell>
          <cell r="C73" t="str">
            <v>N/A</v>
          </cell>
          <cell r="D73">
            <v>22.817</v>
          </cell>
          <cell r="E73">
            <v>20.529</v>
          </cell>
          <cell r="F73">
            <v>19.696999999999999</v>
          </cell>
          <cell r="G73">
            <v>17.600000000000001</v>
          </cell>
          <cell r="H73">
            <v>16.972999999999999</v>
          </cell>
          <cell r="I73">
            <v>14.711</v>
          </cell>
          <cell r="J73">
            <v>13.994999999999999</v>
          </cell>
          <cell r="K73">
            <v>14.007999999999999</v>
          </cell>
          <cell r="L73">
            <v>17.25</v>
          </cell>
          <cell r="M73">
            <v>18.123999999999999</v>
          </cell>
        </row>
      </sheetData>
      <sheetData sheetId="31">
        <row r="1">
          <cell r="B1">
            <v>70</v>
          </cell>
        </row>
        <row r="3">
          <cell r="B3" t="str">
            <v>Ticker</v>
          </cell>
          <cell r="C3" t="str">
            <v>CF 2016</v>
          </cell>
          <cell r="D3" t="str">
            <v>CF 2015</v>
          </cell>
          <cell r="E3" t="str">
            <v>CF 2014</v>
          </cell>
          <cell r="F3" t="str">
            <v>CF 2013</v>
          </cell>
          <cell r="G3" t="str">
            <v>CF 2012</v>
          </cell>
          <cell r="H3" t="str">
            <v>CF 2011</v>
          </cell>
          <cell r="I3" t="str">
            <v>CF 2010</v>
          </cell>
          <cell r="J3" t="str">
            <v>CF 2009</v>
          </cell>
          <cell r="K3" t="str">
            <v>CF 2008</v>
          </cell>
          <cell r="L3" t="str">
            <v>CF 2007</v>
          </cell>
          <cell r="M3" t="str">
            <v>CF 2006</v>
          </cell>
        </row>
        <row r="4">
          <cell r="A4" t="str">
            <v>Adams Resources &amp; Energy</v>
          </cell>
          <cell r="B4" t="str">
            <v>AE</v>
          </cell>
          <cell r="C4">
            <v>5.0510000000000002</v>
          </cell>
          <cell r="D4">
            <v>5.3209999999999997</v>
          </cell>
          <cell r="E4">
            <v>7.3109999999999999</v>
          </cell>
          <cell r="F4">
            <v>10.526</v>
          </cell>
          <cell r="G4">
            <v>11.439</v>
          </cell>
          <cell r="H4">
            <v>8.8420000000000005</v>
          </cell>
          <cell r="I4">
            <v>4.8490000000000002</v>
          </cell>
          <cell r="J4">
            <v>3.431</v>
          </cell>
          <cell r="K4">
            <v>1.85</v>
          </cell>
          <cell r="L4">
            <v>4.8819999999999997</v>
          </cell>
          <cell r="M4">
            <v>4.734</v>
          </cell>
        </row>
        <row r="5">
          <cell r="B5" t="str">
            <v>ALE</v>
          </cell>
          <cell r="C5">
            <v>7.0789999999999997</v>
          </cell>
          <cell r="D5">
            <v>6.79</v>
          </cell>
          <cell r="E5">
            <v>5.6749999999999998</v>
          </cell>
          <cell r="F5">
            <v>5.3449999999999998</v>
          </cell>
          <cell r="G5">
            <v>5.008</v>
          </cell>
          <cell r="H5">
            <v>4.9119999999999999</v>
          </cell>
          <cell r="I5">
            <v>4.3520000000000003</v>
          </cell>
          <cell r="J5">
            <v>3.5710000000000002</v>
          </cell>
          <cell r="K5">
            <v>4.2329999999999997</v>
          </cell>
          <cell r="L5">
            <v>4.4189999999999996</v>
          </cell>
          <cell r="M5">
            <v>4.1449999999999996</v>
          </cell>
        </row>
        <row r="6">
          <cell r="B6" t="str">
            <v>LNT</v>
          </cell>
          <cell r="C6">
            <v>3.45</v>
          </cell>
          <cell r="D6">
            <v>3.4460000000000002</v>
          </cell>
          <cell r="E6">
            <v>3.4409999999999998</v>
          </cell>
          <cell r="F6">
            <v>3.3420000000000001</v>
          </cell>
          <cell r="G6">
            <v>2.948</v>
          </cell>
          <cell r="H6">
            <v>2.754</v>
          </cell>
          <cell r="I6">
            <v>2.6040000000000001</v>
          </cell>
          <cell r="J6">
            <v>2.1030000000000002</v>
          </cell>
          <cell r="K6">
            <v>2.278</v>
          </cell>
          <cell r="L6">
            <v>2.5590000000000002</v>
          </cell>
          <cell r="M6">
            <v>2.165</v>
          </cell>
        </row>
        <row r="7">
          <cell r="B7" t="str">
            <v>AEP</v>
          </cell>
          <cell r="C7">
            <v>8.4689999999999994</v>
          </cell>
          <cell r="D7">
            <v>7.9790000000000001</v>
          </cell>
          <cell r="E7">
            <v>7.5750000000000002</v>
          </cell>
          <cell r="F7">
            <v>7.0179999999999998</v>
          </cell>
          <cell r="G7">
            <v>6.92</v>
          </cell>
          <cell r="H7">
            <v>6.8259999999999996</v>
          </cell>
          <cell r="I7">
            <v>6.2919999999999998</v>
          </cell>
          <cell r="J7">
            <v>6.3209999999999997</v>
          </cell>
          <cell r="K7">
            <v>6.8360000000000003</v>
          </cell>
          <cell r="L7">
            <v>6.798</v>
          </cell>
          <cell r="M7">
            <v>6.6680000000000001</v>
          </cell>
        </row>
        <row r="8">
          <cell r="B8" t="str">
            <v>AWR</v>
          </cell>
          <cell r="C8">
            <v>2.7029999999999998</v>
          </cell>
          <cell r="D8">
            <v>2.8090000000000002</v>
          </cell>
          <cell r="E8">
            <v>2.6680000000000001</v>
          </cell>
          <cell r="F8">
            <v>2.6539999999999999</v>
          </cell>
          <cell r="G8">
            <v>2.48</v>
          </cell>
          <cell r="H8">
            <v>2.1320000000000001</v>
          </cell>
          <cell r="I8">
            <v>2.1150000000000002</v>
          </cell>
          <cell r="J8">
            <v>1.702</v>
          </cell>
          <cell r="K8">
            <v>1.6859999999999999</v>
          </cell>
          <cell r="L8">
            <v>1.653</v>
          </cell>
          <cell r="M8">
            <v>1.4470000000000001</v>
          </cell>
        </row>
        <row r="9">
          <cell r="B9" t="str">
            <v>AWK</v>
          </cell>
          <cell r="C9">
            <v>5.2610000000000001</v>
          </cell>
          <cell r="D9">
            <v>5.1319999999999997</v>
          </cell>
          <cell r="E9">
            <v>4.7530000000000001</v>
          </cell>
          <cell r="F9">
            <v>4.359</v>
          </cell>
          <cell r="G9">
            <v>4.2699999999999996</v>
          </cell>
          <cell r="H9">
            <v>3.7349999999999999</v>
          </cell>
          <cell r="I9">
            <v>3.5569999999999999</v>
          </cell>
          <cell r="J9">
            <v>2.887</v>
          </cell>
          <cell r="K9">
            <v>2.8650000000000002</v>
          </cell>
          <cell r="L9">
            <v>-0.46800000000000003</v>
          </cell>
          <cell r="M9">
            <v>0.64600000000000002</v>
          </cell>
        </row>
        <row r="10">
          <cell r="B10" t="str">
            <v>AEE</v>
          </cell>
          <cell r="C10">
            <v>6.5860000000000003</v>
          </cell>
          <cell r="D10">
            <v>6.0789999999999997</v>
          </cell>
          <cell r="E10">
            <v>5.77</v>
          </cell>
          <cell r="F10">
            <v>5.2469999999999999</v>
          </cell>
          <cell r="G10">
            <v>5.8730000000000002</v>
          </cell>
          <cell r="H10">
            <v>5.8739999999999997</v>
          </cell>
          <cell r="I10">
            <v>6.327</v>
          </cell>
          <cell r="J10">
            <v>6.0570000000000004</v>
          </cell>
          <cell r="K10">
            <v>6.4390000000000001</v>
          </cell>
          <cell r="L10">
            <v>6.7640000000000002</v>
          </cell>
          <cell r="M10">
            <v>6.016</v>
          </cell>
        </row>
        <row r="11">
          <cell r="B11" t="str">
            <v>APU</v>
          </cell>
          <cell r="C11">
            <v>4.2720000000000002</v>
          </cell>
          <cell r="D11">
            <v>4.3719999999999999</v>
          </cell>
          <cell r="E11">
            <v>4.9569999999999999</v>
          </cell>
          <cell r="F11">
            <v>4.3369999999999997</v>
          </cell>
          <cell r="G11">
            <v>2.0350000000000001</v>
          </cell>
          <cell r="H11">
            <v>4.5170000000000003</v>
          </cell>
          <cell r="I11">
            <v>4.343</v>
          </cell>
          <cell r="J11">
            <v>4.8440000000000003</v>
          </cell>
          <cell r="K11">
            <v>4.1420000000000003</v>
          </cell>
          <cell r="L11">
            <v>4.0620000000000003</v>
          </cell>
          <cell r="M11">
            <v>2.8809999999999998</v>
          </cell>
        </row>
        <row r="12">
          <cell r="B12" t="str">
            <v>WTR</v>
          </cell>
          <cell r="C12">
            <v>2.0699999999999998</v>
          </cell>
          <cell r="D12">
            <v>1.8720000000000001</v>
          </cell>
          <cell r="E12">
            <v>1.887</v>
          </cell>
          <cell r="F12">
            <v>1.8220000000000001</v>
          </cell>
          <cell r="G12">
            <v>1.51</v>
          </cell>
          <cell r="H12">
            <v>1.448</v>
          </cell>
          <cell r="I12">
            <v>1.421</v>
          </cell>
          <cell r="J12">
            <v>1.2849999999999999</v>
          </cell>
          <cell r="K12">
            <v>1.1359999999999999</v>
          </cell>
          <cell r="L12">
            <v>1.0980000000000001</v>
          </cell>
          <cell r="M12">
            <v>1.01</v>
          </cell>
        </row>
        <row r="13">
          <cell r="B13" t="str">
            <v>ARTNA</v>
          </cell>
          <cell r="C13">
            <v>2.4260000000000002</v>
          </cell>
          <cell r="D13">
            <v>2.2240000000000002</v>
          </cell>
          <cell r="E13">
            <v>2.04</v>
          </cell>
          <cell r="F13">
            <v>1.875</v>
          </cell>
          <cell r="G13">
            <v>2.0409999999999999</v>
          </cell>
          <cell r="H13">
            <v>1.6439999999999999</v>
          </cell>
          <cell r="I13">
            <v>1.915</v>
          </cell>
          <cell r="J13">
            <v>1.841</v>
          </cell>
          <cell r="K13">
            <v>1.6479999999999999</v>
          </cell>
          <cell r="L13">
            <v>1.5649999999999999</v>
          </cell>
          <cell r="M13">
            <v>1.7549999999999999</v>
          </cell>
        </row>
        <row r="14">
          <cell r="B14" t="str">
            <v>ATO</v>
          </cell>
          <cell r="C14">
            <v>6.1890000000000001</v>
          </cell>
          <cell r="D14">
            <v>5.8129999999999997</v>
          </cell>
          <cell r="E14">
            <v>5.4169999999999998</v>
          </cell>
          <cell r="F14">
            <v>5.1390000000000002</v>
          </cell>
          <cell r="G14">
            <v>4.7619999999999996</v>
          </cell>
          <cell r="H14">
            <v>4.7220000000000004</v>
          </cell>
          <cell r="I14">
            <v>4.6379999999999999</v>
          </cell>
          <cell r="J14">
            <v>4.2880000000000003</v>
          </cell>
          <cell r="K14">
            <v>4.1929999999999996</v>
          </cell>
          <cell r="L14">
            <v>4.1349999999999998</v>
          </cell>
          <cell r="M14">
            <v>4.2560000000000002</v>
          </cell>
        </row>
        <row r="15">
          <cell r="B15" t="str">
            <v>AGR</v>
          </cell>
          <cell r="C15">
            <v>4.7380000000000004</v>
          </cell>
          <cell r="D15">
            <v>3.1150000000000002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5.2949999999999999</v>
          </cell>
          <cell r="D16">
            <v>4.923</v>
          </cell>
          <cell r="E16">
            <v>4.3559999999999999</v>
          </cell>
          <cell r="F16">
            <v>4.3600000000000003</v>
          </cell>
          <cell r="G16">
            <v>3.7010000000000001</v>
          </cell>
          <cell r="H16">
            <v>3.7810000000000001</v>
          </cell>
          <cell r="I16">
            <v>3.6219999999999999</v>
          </cell>
          <cell r="J16">
            <v>4.4470000000000001</v>
          </cell>
          <cell r="K16">
            <v>3.9780000000000002</v>
          </cell>
          <cell r="L16">
            <v>2.931</v>
          </cell>
          <cell r="M16">
            <v>4.2709999999999999</v>
          </cell>
        </row>
        <row r="17">
          <cell r="B17" t="str">
            <v>BKH</v>
          </cell>
          <cell r="C17">
            <v>6.2850000000000001</v>
          </cell>
          <cell r="D17">
            <v>5.665</v>
          </cell>
          <cell r="E17">
            <v>6.2450000000000001</v>
          </cell>
          <cell r="F17">
            <v>5.9290000000000003</v>
          </cell>
          <cell r="G17">
            <v>5.59</v>
          </cell>
          <cell r="H17">
            <v>4.0060000000000002</v>
          </cell>
          <cell r="I17">
            <v>4.8760000000000003</v>
          </cell>
          <cell r="J17">
            <v>5.4130000000000003</v>
          </cell>
          <cell r="K17">
            <v>2.9529999999999998</v>
          </cell>
          <cell r="L17">
            <v>5.2869999999999999</v>
          </cell>
          <cell r="M17">
            <v>5.0380000000000003</v>
          </cell>
        </row>
        <row r="18">
          <cell r="B18" t="str">
            <v>CWT</v>
          </cell>
          <cell r="C18">
            <v>2.3410000000000002</v>
          </cell>
          <cell r="D18">
            <v>2.2200000000000002</v>
          </cell>
          <cell r="E18">
            <v>2.4670000000000001</v>
          </cell>
          <cell r="F18">
            <v>2.2109999999999999</v>
          </cell>
          <cell r="G18">
            <v>2.3180000000000001</v>
          </cell>
          <cell r="H18">
            <v>2.0680000000000001</v>
          </cell>
          <cell r="I18">
            <v>1.9319999999999999</v>
          </cell>
          <cell r="J18">
            <v>1.9339999999999999</v>
          </cell>
          <cell r="K18">
            <v>1.861</v>
          </cell>
          <cell r="L18">
            <v>1.5620000000000001</v>
          </cell>
          <cell r="M18">
            <v>1.357</v>
          </cell>
        </row>
        <row r="19">
          <cell r="B19" t="str">
            <v>CNP</v>
          </cell>
          <cell r="C19">
            <v>3.6779999999999999</v>
          </cell>
          <cell r="D19">
            <v>3.4</v>
          </cell>
          <cell r="E19">
            <v>3.851</v>
          </cell>
          <cell r="F19">
            <v>3.5430000000000001</v>
          </cell>
          <cell r="G19">
            <v>3.891</v>
          </cell>
          <cell r="H19">
            <v>3.4319999999999999</v>
          </cell>
          <cell r="I19">
            <v>3.1389999999999998</v>
          </cell>
          <cell r="J19">
            <v>2.9409999999999998</v>
          </cell>
          <cell r="K19">
            <v>3.4180000000000001</v>
          </cell>
          <cell r="L19">
            <v>3.3929999999999998</v>
          </cell>
          <cell r="M19">
            <v>3.4660000000000002</v>
          </cell>
        </row>
        <row r="20">
          <cell r="B20" t="str">
            <v>CPK</v>
          </cell>
          <cell r="C20">
            <v>5.1630000000000003</v>
          </cell>
          <cell r="D20">
            <v>5.0519999999999996</v>
          </cell>
          <cell r="E20">
            <v>4.7290000000000001</v>
          </cell>
          <cell r="F20">
            <v>4.3490000000000002</v>
          </cell>
          <cell r="G20">
            <v>3.9540000000000002</v>
          </cell>
          <cell r="H20">
            <v>3.6859999999999999</v>
          </cell>
          <cell r="I20">
            <v>3.496</v>
          </cell>
          <cell r="J20">
            <v>2.1480000000000001</v>
          </cell>
          <cell r="K20">
            <v>2.5</v>
          </cell>
          <cell r="L20">
            <v>2.52</v>
          </cell>
          <cell r="M20">
            <v>2.1779999999999999</v>
          </cell>
        </row>
        <row r="21">
          <cell r="B21" t="str">
            <v>CMS</v>
          </cell>
          <cell r="C21">
            <v>4.8780000000000001</v>
          </cell>
          <cell r="D21">
            <v>4.593</v>
          </cell>
          <cell r="E21">
            <v>4.2220000000000004</v>
          </cell>
          <cell r="F21">
            <v>4.0590000000000002</v>
          </cell>
          <cell r="G21">
            <v>3.8210000000000002</v>
          </cell>
          <cell r="H21">
            <v>3.6520000000000001</v>
          </cell>
          <cell r="I21">
            <v>3.702</v>
          </cell>
          <cell r="J21">
            <v>3.4670000000000001</v>
          </cell>
          <cell r="K21">
            <v>3.8780000000000001</v>
          </cell>
          <cell r="L21">
            <v>3.0819999999999999</v>
          </cell>
          <cell r="M21">
            <v>3.2229999999999999</v>
          </cell>
        </row>
        <row r="22">
          <cell r="B22" t="str">
            <v>CTWS</v>
          </cell>
          <cell r="C22">
            <v>3.3119999999999998</v>
          </cell>
          <cell r="D22">
            <v>3.18</v>
          </cell>
          <cell r="E22">
            <v>2.972</v>
          </cell>
          <cell r="F22">
            <v>2.629</v>
          </cell>
          <cell r="G22">
            <v>2.6429999999999998</v>
          </cell>
          <cell r="H22">
            <v>2.105</v>
          </cell>
          <cell r="I22">
            <v>2.0390000000000001</v>
          </cell>
          <cell r="J22">
            <v>1.9330000000000001</v>
          </cell>
          <cell r="K22">
            <v>1.946</v>
          </cell>
          <cell r="L22">
            <v>1.899</v>
          </cell>
          <cell r="M22">
            <v>1.518</v>
          </cell>
        </row>
        <row r="23">
          <cell r="B23" t="str">
            <v>ED</v>
          </cell>
          <cell r="C23">
            <v>7.8849999999999998</v>
          </cell>
          <cell r="D23">
            <v>7.9279999999999999</v>
          </cell>
          <cell r="E23">
            <v>7.2969999999999997</v>
          </cell>
          <cell r="F23">
            <v>7.4470000000000001</v>
          </cell>
          <cell r="G23">
            <v>7.1459999999999999</v>
          </cell>
          <cell r="H23">
            <v>6.6070000000000002</v>
          </cell>
          <cell r="I23">
            <v>6.2450000000000001</v>
          </cell>
          <cell r="J23">
            <v>5.8620000000000001</v>
          </cell>
          <cell r="K23">
            <v>5.9880000000000004</v>
          </cell>
          <cell r="L23">
            <v>5.7720000000000002</v>
          </cell>
          <cell r="M23">
            <v>5.2789999999999999</v>
          </cell>
        </row>
        <row r="24">
          <cell r="B24" t="str">
            <v>CWCO</v>
          </cell>
          <cell r="C24">
            <v>0.95399999999999996</v>
          </cell>
          <cell r="D24">
            <v>0.89100000000000001</v>
          </cell>
          <cell r="E24">
            <v>0.8</v>
          </cell>
          <cell r="F24">
            <v>0.95699999999999996</v>
          </cell>
          <cell r="G24">
            <v>1.167</v>
          </cell>
          <cell r="H24">
            <v>0.83099999999999996</v>
          </cell>
          <cell r="I24">
            <v>0.86399999999999999</v>
          </cell>
          <cell r="J24">
            <v>1.18</v>
          </cell>
          <cell r="K24">
            <v>0.94899999999999995</v>
          </cell>
          <cell r="L24">
            <v>1.202</v>
          </cell>
          <cell r="M24">
            <v>0.87</v>
          </cell>
        </row>
        <row r="25">
          <cell r="B25" t="str">
            <v>DGAS</v>
          </cell>
          <cell r="C25">
            <v>1.718</v>
          </cell>
          <cell r="D25">
            <v>1.8660000000000001</v>
          </cell>
          <cell r="E25">
            <v>2.117</v>
          </cell>
          <cell r="F25">
            <v>1.9359999999999999</v>
          </cell>
          <cell r="G25">
            <v>1.7210000000000001</v>
          </cell>
          <cell r="H25">
            <v>1.7110000000000001</v>
          </cell>
          <cell r="I25">
            <v>1.514</v>
          </cell>
          <cell r="J25">
            <v>1.4430000000000001</v>
          </cell>
          <cell r="K25">
            <v>1.7430000000000001</v>
          </cell>
          <cell r="L25">
            <v>1.595</v>
          </cell>
          <cell r="M25">
            <v>1.47</v>
          </cell>
        </row>
        <row r="26">
          <cell r="B26" t="str">
            <v>D</v>
          </cell>
          <cell r="C26">
            <v>6.327</v>
          </cell>
          <cell r="D26">
            <v>5.984</v>
          </cell>
          <cell r="E26">
            <v>5.71</v>
          </cell>
          <cell r="F26">
            <v>5.4669999999999996</v>
          </cell>
          <cell r="G26">
            <v>5.2439999999999998</v>
          </cell>
          <cell r="H26">
            <v>5.0449999999999999</v>
          </cell>
          <cell r="I26">
            <v>5.1050000000000004</v>
          </cell>
          <cell r="J26">
            <v>4.8159999999999998</v>
          </cell>
          <cell r="K26">
            <v>5.0670000000000002</v>
          </cell>
          <cell r="L26">
            <v>5.0810000000000004</v>
          </cell>
          <cell r="M26">
            <v>4.91</v>
          </cell>
        </row>
        <row r="27">
          <cell r="B27" t="str">
            <v>DTE</v>
          </cell>
          <cell r="C27">
            <v>10.6</v>
          </cell>
          <cell r="D27">
            <v>9.4390000000000001</v>
          </cell>
          <cell r="E27">
            <v>11.853999999999999</v>
          </cell>
          <cell r="F27">
            <v>10.125</v>
          </cell>
          <cell r="G27">
            <v>9.7710000000000008</v>
          </cell>
          <cell r="H27">
            <v>9.5660000000000007</v>
          </cell>
          <cell r="I27">
            <v>9.7799999999999994</v>
          </cell>
          <cell r="J27">
            <v>9.3829999999999991</v>
          </cell>
          <cell r="K27">
            <v>8.2569999999999997</v>
          </cell>
          <cell r="L27">
            <v>8.4849999999999994</v>
          </cell>
          <cell r="M27">
            <v>8.1910000000000007</v>
          </cell>
        </row>
        <row r="28">
          <cell r="B28" t="str">
            <v>DUK</v>
          </cell>
          <cell r="C28">
            <v>9.1999999999999993</v>
          </cell>
          <cell r="D28">
            <v>9.4</v>
          </cell>
          <cell r="E28">
            <v>9.11</v>
          </cell>
          <cell r="F28">
            <v>8.5579999999999998</v>
          </cell>
          <cell r="G28">
            <v>6.798</v>
          </cell>
          <cell r="H28">
            <v>8.68</v>
          </cell>
          <cell r="I28">
            <v>8.4860000000000007</v>
          </cell>
          <cell r="J28">
            <v>7.58</v>
          </cell>
          <cell r="K28">
            <v>7.343</v>
          </cell>
          <cell r="L28">
            <v>8.1069999999999993</v>
          </cell>
          <cell r="M28">
            <v>7.8650000000000002</v>
          </cell>
        </row>
        <row r="29">
          <cell r="B29" t="str">
            <v>EIX</v>
          </cell>
          <cell r="C29">
            <v>10.426</v>
          </cell>
          <cell r="D29">
            <v>10.35</v>
          </cell>
          <cell r="E29">
            <v>9.9510000000000005</v>
          </cell>
          <cell r="F29">
            <v>8.7970000000000006</v>
          </cell>
          <cell r="G29">
            <v>9.6280000000000001</v>
          </cell>
          <cell r="H29">
            <v>9.0299999999999994</v>
          </cell>
          <cell r="I29">
            <v>8.4130000000000003</v>
          </cell>
          <cell r="J29">
            <v>7.9649999999999999</v>
          </cell>
          <cell r="K29">
            <v>8.0839999999999996</v>
          </cell>
          <cell r="L29">
            <v>7.5960000000000001</v>
          </cell>
          <cell r="M29">
            <v>7.2530000000000001</v>
          </cell>
        </row>
        <row r="30">
          <cell r="B30" t="str">
            <v>EE</v>
          </cell>
          <cell r="C30">
            <v>5.976</v>
          </cell>
          <cell r="D30">
            <v>5.75</v>
          </cell>
          <cell r="E30">
            <v>5.8730000000000002</v>
          </cell>
          <cell r="F30">
            <v>5.6449999999999996</v>
          </cell>
          <cell r="G30">
            <v>5.6609999999999996</v>
          </cell>
          <cell r="H30">
            <v>6.05</v>
          </cell>
          <cell r="I30">
            <v>5.1529999999999996</v>
          </cell>
          <cell r="J30">
            <v>4.0670000000000002</v>
          </cell>
          <cell r="K30">
            <v>4.1589999999999998</v>
          </cell>
          <cell r="L30">
            <v>3.8650000000000002</v>
          </cell>
          <cell r="M30">
            <v>3.4390000000000001</v>
          </cell>
        </row>
        <row r="31">
          <cell r="B31" t="str">
            <v>EDE</v>
          </cell>
          <cell r="C31" t="str">
            <v>N/A</v>
          </cell>
          <cell r="D31">
            <v>3.3180000000000001</v>
          </cell>
          <cell r="E31">
            <v>3.4470000000000001</v>
          </cell>
          <cell r="F31">
            <v>3.14</v>
          </cell>
          <cell r="G31">
            <v>2.9860000000000002</v>
          </cell>
          <cell r="H31">
            <v>3.2090000000000001</v>
          </cell>
          <cell r="I31">
            <v>2.8490000000000002</v>
          </cell>
          <cell r="J31">
            <v>2.7170000000000001</v>
          </cell>
          <cell r="K31">
            <v>2.907</v>
          </cell>
          <cell r="L31">
            <v>2.6930000000000001</v>
          </cell>
          <cell r="M31">
            <v>2.7480000000000002</v>
          </cell>
        </row>
        <row r="32">
          <cell r="B32" t="str">
            <v>ETR</v>
          </cell>
          <cell r="C32">
            <v>18.724</v>
          </cell>
          <cell r="D32">
            <v>17.706</v>
          </cell>
          <cell r="E32">
            <v>17.675999999999998</v>
          </cell>
          <cell r="F32">
            <v>16.245999999999999</v>
          </cell>
          <cell r="G32">
            <v>15.978999999999999</v>
          </cell>
          <cell r="H32">
            <v>17.532</v>
          </cell>
          <cell r="I32">
            <v>16.535</v>
          </cell>
          <cell r="J32">
            <v>13.288</v>
          </cell>
          <cell r="K32">
            <v>12.89</v>
          </cell>
          <cell r="L32">
            <v>11.731999999999999</v>
          </cell>
          <cell r="M32">
            <v>10.693</v>
          </cell>
        </row>
        <row r="33">
          <cell r="B33" t="str">
            <v>ES</v>
          </cell>
          <cell r="C33">
            <v>5.4580000000000002</v>
          </cell>
          <cell r="D33">
            <v>4.9390000000000001</v>
          </cell>
          <cell r="E33">
            <v>4.5579999999999998</v>
          </cell>
          <cell r="F33">
            <v>5.22</v>
          </cell>
          <cell r="G33">
            <v>4.0339999999999998</v>
          </cell>
          <cell r="H33">
            <v>4.8760000000000003</v>
          </cell>
          <cell r="I33">
            <v>5.6760000000000002</v>
          </cell>
          <cell r="J33">
            <v>4.9589999999999996</v>
          </cell>
          <cell r="K33">
            <v>6.1630000000000003</v>
          </cell>
          <cell r="L33">
            <v>4.82</v>
          </cell>
          <cell r="M33">
            <v>3.6890000000000001</v>
          </cell>
        </row>
        <row r="34">
          <cell r="B34" t="str">
            <v>EXC</v>
          </cell>
          <cell r="C34">
            <v>7.0049999999999999</v>
          </cell>
          <cell r="D34">
            <v>6.8010000000000002</v>
          </cell>
          <cell r="E34">
            <v>6.6070000000000002</v>
          </cell>
          <cell r="F34">
            <v>6.7249999999999996</v>
          </cell>
          <cell r="G34">
            <v>6.6059999999999999</v>
          </cell>
          <cell r="H34">
            <v>7.234</v>
          </cell>
          <cell r="I34">
            <v>8.3190000000000008</v>
          </cell>
          <cell r="J34">
            <v>8.2469999999999999</v>
          </cell>
          <cell r="K34">
            <v>7.6349999999999998</v>
          </cell>
          <cell r="L34">
            <v>7.4279999999999999</v>
          </cell>
          <cell r="M34">
            <v>6.7149999999999999</v>
          </cell>
        </row>
        <row r="35">
          <cell r="B35" t="str">
            <v>FE</v>
          </cell>
          <cell r="C35">
            <v>6.5309999999999997</v>
          </cell>
          <cell r="D35">
            <v>6.327</v>
          </cell>
          <cell r="E35">
            <v>4.55</v>
          </cell>
          <cell r="F35">
            <v>6.3019999999999996</v>
          </cell>
          <cell r="G35">
            <v>6.0540000000000003</v>
          </cell>
          <cell r="H35">
            <v>5.7460000000000004</v>
          </cell>
          <cell r="I35">
            <v>8.5030000000000001</v>
          </cell>
          <cell r="J35">
            <v>8.798</v>
          </cell>
          <cell r="K35">
            <v>9.0410000000000004</v>
          </cell>
          <cell r="L35">
            <v>8.3420000000000005</v>
          </cell>
          <cell r="M35">
            <v>7.2210000000000001</v>
          </cell>
        </row>
        <row r="36">
          <cell r="B36" t="str">
            <v>FTS.TO</v>
          </cell>
          <cell r="C36">
            <v>3.9049999999999998</v>
          </cell>
          <cell r="D36">
            <v>5.2140000000000004</v>
          </cell>
          <cell r="E36">
            <v>3.6230000000000002</v>
          </cell>
          <cell r="F36">
            <v>4.1050000000000004</v>
          </cell>
          <cell r="G36">
            <v>4.1029999999999998</v>
          </cell>
          <cell r="H36">
            <v>3.903</v>
          </cell>
          <cell r="I36">
            <v>3.9849999999999999</v>
          </cell>
          <cell r="J36">
            <v>3.6549999999999998</v>
          </cell>
          <cell r="K36">
            <v>3.5049999999999999</v>
          </cell>
          <cell r="L36">
            <v>2.9630000000000001</v>
          </cell>
          <cell r="M36">
            <v>3.0449999999999999</v>
          </cell>
        </row>
        <row r="37">
          <cell r="B37" t="str">
            <v>EGAS</v>
          </cell>
          <cell r="C37">
            <v>0.81399999999999995</v>
          </cell>
          <cell r="D37">
            <v>0.86299999999999999</v>
          </cell>
          <cell r="E37">
            <v>0.88800000000000001</v>
          </cell>
          <cell r="F37">
            <v>1.2769999999999999</v>
          </cell>
          <cell r="G37">
            <v>1.1000000000000001</v>
          </cell>
          <cell r="H37">
            <v>1.224</v>
          </cell>
          <cell r="I37">
            <v>1.2170000000000001</v>
          </cell>
          <cell r="J37">
            <v>2.0710000000000002</v>
          </cell>
          <cell r="K37">
            <v>1.19</v>
          </cell>
          <cell r="L37">
            <v>0.92100000000000004</v>
          </cell>
          <cell r="M37">
            <v>1.0229999999999999</v>
          </cell>
        </row>
        <row r="38">
          <cell r="B38" t="str">
            <v>GXP</v>
          </cell>
          <cell r="C38">
            <v>3.355</v>
          </cell>
          <cell r="D38">
            <v>3.9820000000000002</v>
          </cell>
          <cell r="E38">
            <v>4.0090000000000003</v>
          </cell>
          <cell r="F38">
            <v>4.0090000000000003</v>
          </cell>
          <cell r="G38">
            <v>3.4449999999999998</v>
          </cell>
          <cell r="H38">
            <v>3.51</v>
          </cell>
          <cell r="I38">
            <v>4.12</v>
          </cell>
          <cell r="J38">
            <v>3.2650000000000001</v>
          </cell>
          <cell r="K38">
            <v>3.093</v>
          </cell>
          <cell r="L38">
            <v>4.24</v>
          </cell>
          <cell r="M38">
            <v>3.86</v>
          </cell>
        </row>
        <row r="39">
          <cell r="B39" t="str">
            <v>HE</v>
          </cell>
          <cell r="C39">
            <v>4.1719999999999997</v>
          </cell>
          <cell r="D39">
            <v>3.3079999999999998</v>
          </cell>
          <cell r="E39">
            <v>3.4079999999999999</v>
          </cell>
          <cell r="F39">
            <v>3.222</v>
          </cell>
          <cell r="G39">
            <v>3.282</v>
          </cell>
          <cell r="H39">
            <v>3.1829999999999998</v>
          </cell>
          <cell r="I39">
            <v>2.88</v>
          </cell>
          <cell r="J39">
            <v>2.5910000000000002</v>
          </cell>
          <cell r="K39">
            <v>2.722</v>
          </cell>
          <cell r="L39">
            <v>3.0139999999999998</v>
          </cell>
          <cell r="M39">
            <v>3.1909999999999998</v>
          </cell>
        </row>
        <row r="40">
          <cell r="B40" t="str">
            <v>IDA</v>
          </cell>
          <cell r="C40">
            <v>6.8570000000000002</v>
          </cell>
          <cell r="D40">
            <v>6.7</v>
          </cell>
          <cell r="E40">
            <v>6.5759999999999996</v>
          </cell>
          <cell r="F40">
            <v>6.2949999999999999</v>
          </cell>
          <cell r="G40">
            <v>5.9320000000000004</v>
          </cell>
          <cell r="H40">
            <v>5.8360000000000003</v>
          </cell>
          <cell r="I40">
            <v>5.35</v>
          </cell>
          <cell r="J40">
            <v>5.0730000000000004</v>
          </cell>
          <cell r="K40">
            <v>4.2729999999999997</v>
          </cell>
          <cell r="L40">
            <v>4.1130000000000004</v>
          </cell>
          <cell r="M40">
            <v>4.5819999999999999</v>
          </cell>
        </row>
        <row r="41">
          <cell r="B41" t="str">
            <v>MGEE</v>
          </cell>
          <cell r="C41">
            <v>3.4670000000000001</v>
          </cell>
          <cell r="D41">
            <v>3.3340000000000001</v>
          </cell>
          <cell r="E41">
            <v>3.4910000000000001</v>
          </cell>
          <cell r="F41">
            <v>3.2810000000000001</v>
          </cell>
          <cell r="G41">
            <v>2.9750000000000001</v>
          </cell>
          <cell r="H41">
            <v>2.9380000000000002</v>
          </cell>
          <cell r="I41">
            <v>2.7589999999999999</v>
          </cell>
          <cell r="J41">
            <v>2.6560000000000001</v>
          </cell>
          <cell r="K41">
            <v>2.6789999999999998</v>
          </cell>
          <cell r="L41">
            <v>2.4609999999999999</v>
          </cell>
          <cell r="M41">
            <v>2.3439999999999999</v>
          </cell>
        </row>
        <row r="42">
          <cell r="B42" t="str">
            <v>MSEX</v>
          </cell>
          <cell r="C42">
            <v>2.1720000000000002</v>
          </cell>
          <cell r="D42">
            <v>1.968</v>
          </cell>
          <cell r="E42">
            <v>1.8440000000000001</v>
          </cell>
          <cell r="F42">
            <v>1.718</v>
          </cell>
          <cell r="G42">
            <v>1.5549999999999999</v>
          </cell>
          <cell r="H42">
            <v>1.464</v>
          </cell>
          <cell r="I42">
            <v>1.5469999999999999</v>
          </cell>
          <cell r="J42">
            <v>1.4039999999999999</v>
          </cell>
          <cell r="K42">
            <v>1.5309999999999999</v>
          </cell>
          <cell r="L42">
            <v>1.4930000000000001</v>
          </cell>
          <cell r="M42">
            <v>1.333</v>
          </cell>
        </row>
        <row r="43">
          <cell r="B43" t="str">
            <v>NJR</v>
          </cell>
          <cell r="C43">
            <v>2.4550000000000001</v>
          </cell>
          <cell r="D43">
            <v>2.5249999999999999</v>
          </cell>
          <cell r="E43">
            <v>2.7269999999999999</v>
          </cell>
          <cell r="F43">
            <v>1.9330000000000001</v>
          </cell>
          <cell r="G43">
            <v>1.855</v>
          </cell>
          <cell r="H43">
            <v>1.7</v>
          </cell>
          <cell r="I43">
            <v>1.6279999999999999</v>
          </cell>
          <cell r="J43">
            <v>1.579</v>
          </cell>
          <cell r="K43">
            <v>1.8109999999999999</v>
          </cell>
          <cell r="L43">
            <v>1.22</v>
          </cell>
          <cell r="M43">
            <v>1.367</v>
          </cell>
        </row>
        <row r="44">
          <cell r="B44" t="str">
            <v>NEE</v>
          </cell>
          <cell r="C44">
            <v>12.97</v>
          </cell>
          <cell r="D44">
            <v>12.917999999999999</v>
          </cell>
          <cell r="E44">
            <v>12.102</v>
          </cell>
          <cell r="F44">
            <v>10.536</v>
          </cell>
          <cell r="G44">
            <v>8.6859999999999999</v>
          </cell>
          <cell r="H44">
            <v>9.2910000000000004</v>
          </cell>
          <cell r="I44">
            <v>9.6210000000000004</v>
          </cell>
          <cell r="J44">
            <v>8.75</v>
          </cell>
          <cell r="K44">
            <v>8.0259999999999998</v>
          </cell>
          <cell r="L44">
            <v>6.8520000000000003</v>
          </cell>
          <cell r="M44">
            <v>6.7690000000000001</v>
          </cell>
        </row>
        <row r="45">
          <cell r="B45" t="str">
            <v>NI</v>
          </cell>
          <cell r="C45">
            <v>2.7080000000000002</v>
          </cell>
          <cell r="D45">
            <v>2.266</v>
          </cell>
          <cell r="E45">
            <v>3.5950000000000002</v>
          </cell>
          <cell r="F45">
            <v>3.4049999999999998</v>
          </cell>
          <cell r="G45">
            <v>3.1339999999999999</v>
          </cell>
          <cell r="H45">
            <v>2.984</v>
          </cell>
          <cell r="I45">
            <v>3.19</v>
          </cell>
          <cell r="J45">
            <v>2.9630000000000001</v>
          </cell>
          <cell r="K45">
            <v>3.3180000000000001</v>
          </cell>
          <cell r="L45">
            <v>3.2040000000000002</v>
          </cell>
          <cell r="M45">
            <v>3.181</v>
          </cell>
        </row>
        <row r="46">
          <cell r="B46" t="str">
            <v>NWN</v>
          </cell>
          <cell r="C46">
            <v>4.931</v>
          </cell>
          <cell r="D46">
            <v>4.9089999999999998</v>
          </cell>
          <cell r="E46">
            <v>5.0540000000000003</v>
          </cell>
          <cell r="F46">
            <v>5.0389999999999997</v>
          </cell>
          <cell r="G46">
            <v>4.9359999999999999</v>
          </cell>
          <cell r="H46">
            <v>5.0049999999999999</v>
          </cell>
          <cell r="I46">
            <v>5.1849999999999996</v>
          </cell>
          <cell r="J46">
            <v>5.1989999999999998</v>
          </cell>
          <cell r="K46">
            <v>5.3070000000000004</v>
          </cell>
          <cell r="L46">
            <v>5.4089999999999998</v>
          </cell>
          <cell r="M46">
            <v>4.76</v>
          </cell>
        </row>
        <row r="47">
          <cell r="B47" t="str">
            <v>NWE</v>
          </cell>
          <cell r="C47">
            <v>6.7370000000000001</v>
          </cell>
          <cell r="D47">
            <v>5.9240000000000004</v>
          </cell>
          <cell r="E47">
            <v>5.3879999999999999</v>
          </cell>
          <cell r="F47">
            <v>5.452</v>
          </cell>
          <cell r="G47">
            <v>5.1820000000000004</v>
          </cell>
          <cell r="H47">
            <v>5.4210000000000003</v>
          </cell>
          <cell r="I47">
            <v>4.7640000000000002</v>
          </cell>
          <cell r="J47">
            <v>4.6180000000000003</v>
          </cell>
          <cell r="K47">
            <v>4.4029999999999996</v>
          </cell>
          <cell r="L47">
            <v>3.7040000000000002</v>
          </cell>
          <cell r="M47">
            <v>3.6190000000000002</v>
          </cell>
        </row>
        <row r="48">
          <cell r="B48" t="str">
            <v>OGE</v>
          </cell>
          <cell r="C48">
            <v>3.3090000000000002</v>
          </cell>
          <cell r="D48">
            <v>3.2320000000000002</v>
          </cell>
          <cell r="E48">
            <v>3.3959999999999999</v>
          </cell>
          <cell r="F48">
            <v>3.4569999999999999</v>
          </cell>
          <cell r="G48">
            <v>3.6930000000000001</v>
          </cell>
          <cell r="H48">
            <v>3.3130000000000002</v>
          </cell>
          <cell r="I48">
            <v>3.0110000000000001</v>
          </cell>
          <cell r="J48">
            <v>2.6850000000000001</v>
          </cell>
          <cell r="K48">
            <v>2.4009999999999998</v>
          </cell>
          <cell r="L48">
            <v>2.3940000000000001</v>
          </cell>
          <cell r="M48">
            <v>2.234</v>
          </cell>
        </row>
        <row r="49">
          <cell r="B49" t="str">
            <v>OGS</v>
          </cell>
          <cell r="C49">
            <v>5.431</v>
          </cell>
          <cell r="D49">
            <v>4.8230000000000004</v>
          </cell>
          <cell r="E49">
            <v>4.5220000000000002</v>
          </cell>
        </row>
        <row r="50">
          <cell r="B50" t="str">
            <v>OTTR</v>
          </cell>
          <cell r="C50">
            <v>3.4430000000000001</v>
          </cell>
          <cell r="D50">
            <v>3.1419999999999999</v>
          </cell>
          <cell r="E50">
            <v>3.089</v>
          </cell>
          <cell r="F50">
            <v>3.02</v>
          </cell>
          <cell r="G50">
            <v>2.7090000000000001</v>
          </cell>
          <cell r="H50">
            <v>2.3639999999999999</v>
          </cell>
          <cell r="I50">
            <v>2.5960000000000001</v>
          </cell>
          <cell r="J50">
            <v>2.762</v>
          </cell>
          <cell r="K50">
            <v>2.8109999999999999</v>
          </cell>
          <cell r="L50">
            <v>3.5529999999999999</v>
          </cell>
          <cell r="M50">
            <v>3.387</v>
          </cell>
        </row>
        <row r="51">
          <cell r="B51" t="str">
            <v>PCG</v>
          </cell>
          <cell r="C51">
            <v>8.2309999999999999</v>
          </cell>
          <cell r="D51">
            <v>7.2880000000000003</v>
          </cell>
          <cell r="E51">
            <v>8.1300000000000008</v>
          </cell>
          <cell r="F51">
            <v>6.3310000000000004</v>
          </cell>
          <cell r="G51">
            <v>7.3159999999999998</v>
          </cell>
          <cell r="H51">
            <v>8.0850000000000009</v>
          </cell>
          <cell r="I51">
            <v>8.2230000000000008</v>
          </cell>
          <cell r="J51">
            <v>8.3670000000000009</v>
          </cell>
          <cell r="K51">
            <v>8.4390000000000001</v>
          </cell>
          <cell r="L51">
            <v>8.02</v>
          </cell>
          <cell r="M51">
            <v>7.7560000000000002</v>
          </cell>
        </row>
        <row r="52">
          <cell r="B52" t="str">
            <v>PNW</v>
          </cell>
          <cell r="C52">
            <v>9.3879999999999999</v>
          </cell>
          <cell r="D52">
            <v>9.0909999999999993</v>
          </cell>
          <cell r="E52">
            <v>8.0860000000000003</v>
          </cell>
          <cell r="F52">
            <v>8.1539999999999999</v>
          </cell>
          <cell r="G52">
            <v>7.915</v>
          </cell>
          <cell r="H52">
            <v>7.524</v>
          </cell>
          <cell r="I52">
            <v>6.8490000000000002</v>
          </cell>
          <cell r="J52">
            <v>8.0779999999999994</v>
          </cell>
          <cell r="K52">
            <v>8.1340000000000003</v>
          </cell>
          <cell r="L52">
            <v>9.2929999999999993</v>
          </cell>
          <cell r="M52">
            <v>9.6959999999999997</v>
          </cell>
        </row>
        <row r="53">
          <cell r="B53" t="str">
            <v>PNM</v>
          </cell>
          <cell r="C53">
            <v>4.2809999999999997</v>
          </cell>
          <cell r="D53">
            <v>3.9780000000000002</v>
          </cell>
          <cell r="E53">
            <v>3.62</v>
          </cell>
          <cell r="F53">
            <v>3.5129999999999999</v>
          </cell>
          <cell r="G53">
            <v>3.38</v>
          </cell>
          <cell r="H53">
            <v>3.1779999999999999</v>
          </cell>
          <cell r="I53">
            <v>2.6669999999999998</v>
          </cell>
          <cell r="J53">
            <v>2.3180000000000001</v>
          </cell>
          <cell r="K53">
            <v>1.756</v>
          </cell>
          <cell r="L53">
            <v>2.5390000000000001</v>
          </cell>
          <cell r="M53">
            <v>3.573</v>
          </cell>
        </row>
        <row r="54">
          <cell r="B54" t="str">
            <v>POR</v>
          </cell>
          <cell r="C54">
            <v>5.7789999999999999</v>
          </cell>
          <cell r="D54">
            <v>5.3719999999999999</v>
          </cell>
          <cell r="E54">
            <v>6.085</v>
          </cell>
          <cell r="F54">
            <v>4.93</v>
          </cell>
          <cell r="G54">
            <v>5.1479999999999997</v>
          </cell>
          <cell r="H54">
            <v>4.9630000000000001</v>
          </cell>
          <cell r="I54">
            <v>4.82</v>
          </cell>
          <cell r="J54">
            <v>4.069</v>
          </cell>
          <cell r="K54">
            <v>4.7140000000000004</v>
          </cell>
          <cell r="L54">
            <v>5.2140000000000004</v>
          </cell>
          <cell r="M54">
            <v>4.6399999999999997</v>
          </cell>
        </row>
        <row r="55">
          <cell r="B55" t="str">
            <v>PPL</v>
          </cell>
          <cell r="C55">
            <v>4.2779999999999996</v>
          </cell>
          <cell r="D55">
            <v>3.7770000000000001</v>
          </cell>
          <cell r="E55">
            <v>4.5780000000000003</v>
          </cell>
          <cell r="F55">
            <v>4.6390000000000002</v>
          </cell>
          <cell r="G55">
            <v>4.8419999999999996</v>
          </cell>
          <cell r="H55">
            <v>4.59</v>
          </cell>
          <cell r="I55">
            <v>3.66</v>
          </cell>
          <cell r="J55">
            <v>3.4649999999999999</v>
          </cell>
          <cell r="K55">
            <v>4.7149999999999999</v>
          </cell>
          <cell r="L55">
            <v>5.101</v>
          </cell>
          <cell r="M55">
            <v>4.2590000000000003</v>
          </cell>
        </row>
        <row r="56">
          <cell r="B56" t="str">
            <v>PEG</v>
          </cell>
          <cell r="C56">
            <v>5.0709999999999997</v>
          </cell>
          <cell r="D56">
            <v>6.1470000000000002</v>
          </cell>
          <cell r="E56">
            <v>5.8220000000000001</v>
          </cell>
          <cell r="F56">
            <v>5.165</v>
          </cell>
          <cell r="G56">
            <v>4.875</v>
          </cell>
          <cell r="H56">
            <v>5.36</v>
          </cell>
          <cell r="I56">
            <v>5.2709999999999999</v>
          </cell>
          <cell r="J56">
            <v>4.984</v>
          </cell>
          <cell r="K56">
            <v>4.6779999999999999</v>
          </cell>
          <cell r="L56">
            <v>4.3579999999999997</v>
          </cell>
          <cell r="M56">
            <v>3.907</v>
          </cell>
        </row>
        <row r="57">
          <cell r="B57" t="str">
            <v>RGCO</v>
          </cell>
          <cell r="C57">
            <v>1.6040000000000001</v>
          </cell>
          <cell r="D57">
            <v>2.1749999999999998</v>
          </cell>
          <cell r="E57">
            <v>1.9950000000000001</v>
          </cell>
          <cell r="F57">
            <v>1.8939999999999999</v>
          </cell>
          <cell r="G57">
            <v>1.859</v>
          </cell>
          <cell r="H57">
            <v>1.907</v>
          </cell>
          <cell r="I57">
            <v>1.8480000000000001</v>
          </cell>
          <cell r="J57">
            <v>1.9390000000000001</v>
          </cell>
          <cell r="K57">
            <v>1.988</v>
          </cell>
          <cell r="L57">
            <v>1.845</v>
          </cell>
          <cell r="M57">
            <v>1.8129999999999999</v>
          </cell>
        </row>
        <row r="58">
          <cell r="B58" t="str">
            <v>SCG</v>
          </cell>
          <cell r="C58">
            <v>7.2850000000000001</v>
          </cell>
          <cell r="D58">
            <v>6.7039999999999997</v>
          </cell>
          <cell r="E58">
            <v>6.91</v>
          </cell>
          <cell r="F58">
            <v>6.532</v>
          </cell>
          <cell r="G58">
            <v>6.3029999999999999</v>
          </cell>
          <cell r="H58">
            <v>6.0129999999999999</v>
          </cell>
          <cell r="I58">
            <v>5.9080000000000004</v>
          </cell>
          <cell r="J58">
            <v>5.6349999999999998</v>
          </cell>
          <cell r="K58">
            <v>5.8579999999999997</v>
          </cell>
          <cell r="L58">
            <v>5.734</v>
          </cell>
          <cell r="M58">
            <v>5.6829999999999998</v>
          </cell>
        </row>
        <row r="59">
          <cell r="B59" t="str">
            <v>SRE</v>
          </cell>
          <cell r="C59">
            <v>9.4979999999999993</v>
          </cell>
          <cell r="D59">
            <v>10.321999999999999</v>
          </cell>
          <cell r="E59">
            <v>9.4060000000000006</v>
          </cell>
          <cell r="F59">
            <v>8.8680000000000003</v>
          </cell>
          <cell r="G59">
            <v>8.9239999999999995</v>
          </cell>
          <cell r="H59">
            <v>8.577</v>
          </cell>
          <cell r="I59">
            <v>7.7560000000000002</v>
          </cell>
          <cell r="J59">
            <v>7.9429999999999996</v>
          </cell>
          <cell r="K59">
            <v>7.3979999999999997</v>
          </cell>
          <cell r="L59">
            <v>6.9329999999999998</v>
          </cell>
          <cell r="M59">
            <v>6.7359999999999998</v>
          </cell>
        </row>
        <row r="60">
          <cell r="B60" t="str">
            <v>SJW</v>
          </cell>
          <cell r="C60">
            <v>4.7649999999999997</v>
          </cell>
          <cell r="D60">
            <v>3.8570000000000002</v>
          </cell>
          <cell r="E60">
            <v>4.4219999999999997</v>
          </cell>
          <cell r="F60">
            <v>2.9</v>
          </cell>
          <cell r="G60">
            <v>2.968</v>
          </cell>
          <cell r="H60">
            <v>2.8010000000000002</v>
          </cell>
          <cell r="I60">
            <v>2.3780000000000001</v>
          </cell>
          <cell r="J60">
            <v>2.206</v>
          </cell>
          <cell r="K60">
            <v>2.4359999999999999</v>
          </cell>
          <cell r="L60">
            <v>2.2970000000000002</v>
          </cell>
          <cell r="M60">
            <v>2.3809999999999998</v>
          </cell>
        </row>
        <row r="61">
          <cell r="B61" t="str">
            <v>SJI</v>
          </cell>
          <cell r="C61">
            <v>2.6749999999999998</v>
          </cell>
          <cell r="D61">
            <v>2.4159999999999999</v>
          </cell>
          <cell r="E61">
            <v>2.6709999999999998</v>
          </cell>
          <cell r="F61">
            <v>2.476</v>
          </cell>
          <cell r="G61">
            <v>2.3439999999999999</v>
          </cell>
          <cell r="H61">
            <v>2.23</v>
          </cell>
          <cell r="I61">
            <v>2.1040000000000001</v>
          </cell>
          <cell r="J61">
            <v>1.859</v>
          </cell>
          <cell r="K61">
            <v>1.738</v>
          </cell>
          <cell r="L61">
            <v>1.599</v>
          </cell>
          <cell r="M61">
            <v>1.7529999999999999</v>
          </cell>
        </row>
        <row r="62">
          <cell r="B62" t="str">
            <v>SO</v>
          </cell>
          <cell r="C62">
            <v>5.69</v>
          </cell>
          <cell r="D62">
            <v>5.4710000000000001</v>
          </cell>
          <cell r="E62">
            <v>5.2789999999999999</v>
          </cell>
          <cell r="F62">
            <v>5.266</v>
          </cell>
          <cell r="G62">
            <v>5.18</v>
          </cell>
          <cell r="H62">
            <v>4.9139999999999997</v>
          </cell>
          <cell r="I62">
            <v>4.5129999999999999</v>
          </cell>
          <cell r="J62">
            <v>4.4320000000000004</v>
          </cell>
          <cell r="K62">
            <v>4.4340000000000002</v>
          </cell>
          <cell r="L62">
            <v>4.22</v>
          </cell>
          <cell r="M62">
            <v>4.0129999999999999</v>
          </cell>
        </row>
        <row r="63">
          <cell r="B63" t="str">
            <v>SWX</v>
          </cell>
          <cell r="C63">
            <v>9.2910000000000004</v>
          </cell>
          <cell r="D63">
            <v>8.6210000000000004</v>
          </cell>
          <cell r="E63">
            <v>8.4719999999999995</v>
          </cell>
          <cell r="F63">
            <v>8.2439999999999998</v>
          </cell>
          <cell r="G63">
            <v>7.7309999999999999</v>
          </cell>
          <cell r="H63">
            <v>6.806</v>
          </cell>
          <cell r="I63">
            <v>6.4610000000000003</v>
          </cell>
          <cell r="J63">
            <v>6.1559999999999997</v>
          </cell>
          <cell r="K63">
            <v>5.7629999999999999</v>
          </cell>
          <cell r="L63">
            <v>6.2089999999999996</v>
          </cell>
          <cell r="M63">
            <v>5.9710000000000001</v>
          </cell>
        </row>
        <row r="64">
          <cell r="B64" t="str">
            <v>SR</v>
          </cell>
          <cell r="C64">
            <v>6.1580000000000004</v>
          </cell>
          <cell r="D64">
            <v>6.1539999999999999</v>
          </cell>
          <cell r="E64">
            <v>3.867</v>
          </cell>
          <cell r="F64">
            <v>3.121</v>
          </cell>
          <cell r="G64">
            <v>4.5839999999999996</v>
          </cell>
          <cell r="H64">
            <v>4.6180000000000003</v>
          </cell>
          <cell r="I64">
            <v>4.109</v>
          </cell>
          <cell r="J64">
            <v>4.5570000000000004</v>
          </cell>
          <cell r="K64">
            <v>4.2210000000000001</v>
          </cell>
          <cell r="L64">
            <v>3.8740000000000001</v>
          </cell>
          <cell r="M64">
            <v>3.8090000000000002</v>
          </cell>
        </row>
        <row r="65">
          <cell r="B65" t="str">
            <v>SGU</v>
          </cell>
          <cell r="C65">
            <v>1.2709999999999999</v>
          </cell>
          <cell r="D65">
            <v>1.085</v>
          </cell>
          <cell r="E65">
            <v>1.0009999999999999</v>
          </cell>
          <cell r="F65">
            <v>0.84499999999999997</v>
          </cell>
          <cell r="G65">
            <v>0.71899999999999997</v>
          </cell>
          <cell r="H65">
            <v>0.65</v>
          </cell>
          <cell r="I65">
            <v>0.69699999999999995</v>
          </cell>
          <cell r="J65">
            <v>2.0379999999999998</v>
          </cell>
          <cell r="K65">
            <v>0.20699999999999999</v>
          </cell>
          <cell r="L65">
            <v>0.93100000000000005</v>
          </cell>
          <cell r="M65">
            <v>-0.252</v>
          </cell>
        </row>
        <row r="66">
          <cell r="B66" t="str">
            <v>UGI</v>
          </cell>
          <cell r="C66">
            <v>4.3940000000000001</v>
          </cell>
          <cell r="D66">
            <v>4.2050000000000001</v>
          </cell>
          <cell r="E66">
            <v>4.0529999999999999</v>
          </cell>
          <cell r="F66">
            <v>3.7519999999999998</v>
          </cell>
          <cell r="G66">
            <v>3.0489999999999999</v>
          </cell>
          <cell r="H66">
            <v>2.7469999999999999</v>
          </cell>
          <cell r="I66">
            <v>2.8660000000000001</v>
          </cell>
          <cell r="J66">
            <v>2.8220000000000001</v>
          </cell>
          <cell r="K66">
            <v>2.4820000000000002</v>
          </cell>
          <cell r="L66">
            <v>2.2570000000000001</v>
          </cell>
          <cell r="M66">
            <v>2.0539999999999998</v>
          </cell>
        </row>
        <row r="67">
          <cell r="B67" t="str">
            <v>UTL</v>
          </cell>
          <cell r="C67">
            <v>5.24</v>
          </cell>
          <cell r="D67">
            <v>5.1459999999999999</v>
          </cell>
          <cell r="E67">
            <v>4.8</v>
          </cell>
          <cell r="F67">
            <v>4.2839999999999998</v>
          </cell>
          <cell r="G67">
            <v>3.86</v>
          </cell>
          <cell r="H67">
            <v>4.16</v>
          </cell>
          <cell r="I67">
            <v>3.5230000000000001</v>
          </cell>
          <cell r="J67">
            <v>3.4420000000000002</v>
          </cell>
          <cell r="K67">
            <v>3.6829999999999998</v>
          </cell>
          <cell r="L67">
            <v>4.5990000000000002</v>
          </cell>
          <cell r="M67">
            <v>4.266</v>
          </cell>
        </row>
        <row r="68">
          <cell r="B68" t="str">
            <v>VVC</v>
          </cell>
          <cell r="C68">
            <v>5.6890000000000001</v>
          </cell>
          <cell r="D68">
            <v>5.4779999999999998</v>
          </cell>
          <cell r="E68">
            <v>5.3310000000000004</v>
          </cell>
          <cell r="F68">
            <v>5.0289999999999999</v>
          </cell>
          <cell r="G68">
            <v>5.032</v>
          </cell>
          <cell r="H68">
            <v>4.7119999999999997</v>
          </cell>
          <cell r="I68">
            <v>4.4409999999999998</v>
          </cell>
          <cell r="J68">
            <v>4.4009999999999998</v>
          </cell>
          <cell r="K68">
            <v>3.9649999999999999</v>
          </cell>
          <cell r="L68">
            <v>4.2939999999999996</v>
          </cell>
          <cell r="M68">
            <v>3.694</v>
          </cell>
        </row>
        <row r="69">
          <cell r="B69" t="str">
            <v>WEC</v>
          </cell>
          <cell r="C69">
            <v>5.391</v>
          </cell>
          <cell r="D69">
            <v>3.871</v>
          </cell>
          <cell r="E69">
            <v>4.468</v>
          </cell>
          <cell r="F69">
            <v>4.3259999999999996</v>
          </cell>
          <cell r="G69">
            <v>4.008</v>
          </cell>
          <cell r="H69">
            <v>3.6840000000000002</v>
          </cell>
          <cell r="I69">
            <v>3.302</v>
          </cell>
          <cell r="J69">
            <v>3.1080000000000001</v>
          </cell>
          <cell r="K69">
            <v>2.9550000000000001</v>
          </cell>
          <cell r="L69">
            <v>2.9830000000000001</v>
          </cell>
          <cell r="M69">
            <v>2.8980000000000001</v>
          </cell>
        </row>
        <row r="70">
          <cell r="B70" t="str">
            <v>WR</v>
          </cell>
          <cell r="C70">
            <v>4.8319999999999999</v>
          </cell>
          <cell r="D70">
            <v>4.2629999999999999</v>
          </cell>
          <cell r="E70">
            <v>4.5540000000000003</v>
          </cell>
          <cell r="F70">
            <v>4.4059999999999997</v>
          </cell>
          <cell r="G70">
            <v>4.3</v>
          </cell>
          <cell r="H70">
            <v>3.9649999999999999</v>
          </cell>
          <cell r="I70">
            <v>4.2350000000000003</v>
          </cell>
          <cell r="J70">
            <v>3.593</v>
          </cell>
          <cell r="K70">
            <v>3.1349999999999998</v>
          </cell>
          <cell r="L70">
            <v>3.774</v>
          </cell>
          <cell r="M70">
            <v>3.9420000000000002</v>
          </cell>
        </row>
        <row r="71">
          <cell r="B71" t="str">
            <v>WGL</v>
          </cell>
          <cell r="C71">
            <v>5.7690000000000001</v>
          </cell>
          <cell r="D71">
            <v>5.601</v>
          </cell>
          <cell r="E71">
            <v>4.8</v>
          </cell>
          <cell r="F71">
            <v>4.2869999999999999</v>
          </cell>
          <cell r="G71">
            <v>4.5330000000000004</v>
          </cell>
          <cell r="H71">
            <v>4.0129999999999999</v>
          </cell>
          <cell r="I71">
            <v>4.1109999999999998</v>
          </cell>
          <cell r="J71">
            <v>4.4429999999999996</v>
          </cell>
          <cell r="K71">
            <v>4.3390000000000004</v>
          </cell>
          <cell r="L71">
            <v>3.887</v>
          </cell>
          <cell r="M71">
            <v>3.8410000000000002</v>
          </cell>
        </row>
        <row r="72">
          <cell r="B72" t="str">
            <v>XEL</v>
          </cell>
          <cell r="C72">
            <v>5.0430000000000001</v>
          </cell>
          <cell r="D72">
            <v>4.5570000000000004</v>
          </cell>
          <cell r="E72">
            <v>4.2850000000000001</v>
          </cell>
          <cell r="F72">
            <v>4.101</v>
          </cell>
          <cell r="G72">
            <v>4.0010000000000003</v>
          </cell>
          <cell r="H72">
            <v>3.7850000000000001</v>
          </cell>
          <cell r="I72">
            <v>3.512</v>
          </cell>
          <cell r="J72">
            <v>3.4769999999999999</v>
          </cell>
          <cell r="K72">
            <v>3.5019999999999998</v>
          </cell>
          <cell r="L72">
            <v>3.4540000000000002</v>
          </cell>
          <cell r="M72">
            <v>3.6070000000000002</v>
          </cell>
        </row>
        <row r="73">
          <cell r="B73" t="str">
            <v>YORW</v>
          </cell>
          <cell r="C73" t="str">
            <v>N/A</v>
          </cell>
          <cell r="D73">
            <v>1.4550000000000001</v>
          </cell>
          <cell r="E73">
            <v>1.357</v>
          </cell>
          <cell r="F73">
            <v>1.1859999999999999</v>
          </cell>
          <cell r="G73">
            <v>1.1200000000000001</v>
          </cell>
          <cell r="H73">
            <v>1.0940000000000001</v>
          </cell>
          <cell r="I73">
            <v>1.0649999999999999</v>
          </cell>
          <cell r="J73">
            <v>0.94899999999999995</v>
          </cell>
          <cell r="K73">
            <v>0.88400000000000001</v>
          </cell>
          <cell r="L73">
            <v>0.85599999999999998</v>
          </cell>
          <cell r="M73">
            <v>0.76900000000000002</v>
          </cell>
        </row>
      </sheetData>
      <sheetData sheetId="32">
        <row r="3">
          <cell r="B3" t="str">
            <v>Ticker</v>
          </cell>
          <cell r="C3" t="str">
            <v>EPS2016</v>
          </cell>
          <cell r="D3" t="str">
            <v>EPS2015</v>
          </cell>
          <cell r="E3" t="str">
            <v>EPS2014</v>
          </cell>
          <cell r="F3" t="str">
            <v>EPS2013</v>
          </cell>
          <cell r="G3" t="str">
            <v>EPS2012</v>
          </cell>
          <cell r="H3" t="str">
            <v>EPS2011</v>
          </cell>
          <cell r="I3" t="str">
            <v>EPS2010</v>
          </cell>
          <cell r="J3" t="str">
            <v>EPS2009</v>
          </cell>
          <cell r="K3" t="str">
            <v>EPS2008</v>
          </cell>
          <cell r="L3" t="str">
            <v>EPS2007</v>
          </cell>
          <cell r="M3" t="str">
            <v>EPS2006</v>
          </cell>
        </row>
        <row r="4">
          <cell r="B4" t="str">
            <v>AE</v>
          </cell>
          <cell r="C4">
            <v>0.6</v>
          </cell>
          <cell r="D4">
            <v>-0.3</v>
          </cell>
          <cell r="E4">
            <v>1.48</v>
          </cell>
          <cell r="F4">
            <v>5.24</v>
          </cell>
          <cell r="G4">
            <v>6.53</v>
          </cell>
          <cell r="H4">
            <v>4.99</v>
          </cell>
          <cell r="I4">
            <v>2.0499999999999998</v>
          </cell>
          <cell r="J4">
            <v>0.98</v>
          </cell>
          <cell r="K4">
            <v>-1.32</v>
          </cell>
          <cell r="L4">
            <v>2.1789999999999998</v>
          </cell>
          <cell r="M4">
            <v>2.4900000000000002</v>
          </cell>
        </row>
        <row r="5">
          <cell r="B5" t="str">
            <v>ALE</v>
          </cell>
          <cell r="C5">
            <v>3.14</v>
          </cell>
          <cell r="D5">
            <v>3.38</v>
          </cell>
          <cell r="E5">
            <v>2.9</v>
          </cell>
          <cell r="F5">
            <v>2.63</v>
          </cell>
          <cell r="G5">
            <v>2.58</v>
          </cell>
          <cell r="H5">
            <v>2.65</v>
          </cell>
          <cell r="I5">
            <v>2.19</v>
          </cell>
          <cell r="J5">
            <v>1.89</v>
          </cell>
          <cell r="K5">
            <v>2.82</v>
          </cell>
          <cell r="L5">
            <v>3.08</v>
          </cell>
          <cell r="M5">
            <v>2.77</v>
          </cell>
        </row>
        <row r="6">
          <cell r="B6" t="str">
            <v>LNT</v>
          </cell>
          <cell r="C6">
            <v>1.65</v>
          </cell>
          <cell r="D6">
            <v>1.69</v>
          </cell>
          <cell r="E6">
            <v>1.74</v>
          </cell>
          <cell r="F6">
            <v>1.645</v>
          </cell>
          <cell r="G6">
            <v>1.5249999999999999</v>
          </cell>
          <cell r="H6">
            <v>1.375</v>
          </cell>
          <cell r="I6">
            <v>1.375</v>
          </cell>
          <cell r="J6">
            <v>0.94499999999999995</v>
          </cell>
          <cell r="K6">
            <v>1.27</v>
          </cell>
          <cell r="L6">
            <v>1.345</v>
          </cell>
          <cell r="M6">
            <v>1.03</v>
          </cell>
        </row>
        <row r="7">
          <cell r="B7" t="str">
            <v>AEP</v>
          </cell>
          <cell r="C7">
            <v>4.2300000000000004</v>
          </cell>
          <cell r="D7">
            <v>3.59</v>
          </cell>
          <cell r="E7">
            <v>3.34</v>
          </cell>
          <cell r="F7">
            <v>3.18</v>
          </cell>
          <cell r="G7">
            <v>2.98</v>
          </cell>
          <cell r="H7">
            <v>3.13</v>
          </cell>
          <cell r="I7">
            <v>2.6</v>
          </cell>
          <cell r="J7">
            <v>2.97</v>
          </cell>
          <cell r="K7">
            <v>2.99</v>
          </cell>
          <cell r="L7">
            <v>2.86</v>
          </cell>
          <cell r="M7">
            <v>2.86</v>
          </cell>
        </row>
        <row r="8">
          <cell r="B8" t="str">
            <v>AWR</v>
          </cell>
          <cell r="C8">
            <v>1.62</v>
          </cell>
          <cell r="D8">
            <v>1.6</v>
          </cell>
          <cell r="E8">
            <v>1.57</v>
          </cell>
          <cell r="F8">
            <v>1.61</v>
          </cell>
          <cell r="G8">
            <v>1.41</v>
          </cell>
          <cell r="H8">
            <v>1.1200000000000001</v>
          </cell>
          <cell r="I8">
            <v>1.1100000000000001</v>
          </cell>
          <cell r="J8">
            <v>0.81</v>
          </cell>
          <cell r="K8">
            <v>0.77500000000000002</v>
          </cell>
          <cell r="L8">
            <v>0.81</v>
          </cell>
          <cell r="M8">
            <v>0.66500000000000004</v>
          </cell>
        </row>
        <row r="9">
          <cell r="B9" t="str">
            <v>AWK</v>
          </cell>
          <cell r="C9">
            <v>2.62</v>
          </cell>
          <cell r="D9">
            <v>2.64</v>
          </cell>
          <cell r="E9">
            <v>2.39</v>
          </cell>
          <cell r="F9">
            <v>2.06</v>
          </cell>
          <cell r="G9">
            <v>2.11</v>
          </cell>
          <cell r="H9">
            <v>1.72</v>
          </cell>
          <cell r="I9">
            <v>1.53</v>
          </cell>
          <cell r="J9">
            <v>1.25</v>
          </cell>
          <cell r="K9">
            <v>1.1000000000000001</v>
          </cell>
          <cell r="L9">
            <v>-2.14</v>
          </cell>
          <cell r="M9">
            <v>-0.97</v>
          </cell>
        </row>
        <row r="10">
          <cell r="B10" t="str">
            <v>AEE</v>
          </cell>
          <cell r="C10">
            <v>2.68</v>
          </cell>
          <cell r="D10">
            <v>2.38</v>
          </cell>
          <cell r="E10">
            <v>2.4</v>
          </cell>
          <cell r="F10">
            <v>2.1</v>
          </cell>
          <cell r="G10">
            <v>2.41</v>
          </cell>
          <cell r="H10">
            <v>2.4700000000000002</v>
          </cell>
          <cell r="I10">
            <v>2.77</v>
          </cell>
          <cell r="J10">
            <v>2.78</v>
          </cell>
          <cell r="K10">
            <v>2.88</v>
          </cell>
          <cell r="L10">
            <v>2.98</v>
          </cell>
          <cell r="M10">
            <v>2.66</v>
          </cell>
        </row>
        <row r="11">
          <cell r="B11" t="str">
            <v>APU</v>
          </cell>
          <cell r="C11">
            <v>1.77</v>
          </cell>
          <cell r="D11">
            <v>1.91</v>
          </cell>
          <cell r="E11">
            <v>2.82</v>
          </cell>
          <cell r="F11">
            <v>2.14</v>
          </cell>
          <cell r="G11">
            <v>0.01</v>
          </cell>
          <cell r="H11">
            <v>2.73</v>
          </cell>
          <cell r="I11">
            <v>2.8</v>
          </cell>
          <cell r="J11">
            <v>3.14</v>
          </cell>
          <cell r="K11">
            <v>2.7</v>
          </cell>
          <cell r="L11">
            <v>2.62</v>
          </cell>
          <cell r="M11">
            <v>1.59</v>
          </cell>
        </row>
        <row r="12">
          <cell r="B12" t="str">
            <v>WTR</v>
          </cell>
          <cell r="C12">
            <v>1.32</v>
          </cell>
          <cell r="D12">
            <v>1.1399999999999999</v>
          </cell>
          <cell r="E12">
            <v>1.2</v>
          </cell>
          <cell r="F12">
            <v>1.1599999999999999</v>
          </cell>
          <cell r="G12">
            <v>0.872</v>
          </cell>
          <cell r="H12">
            <v>0.83199999999999996</v>
          </cell>
          <cell r="I12">
            <v>0.72</v>
          </cell>
          <cell r="J12">
            <v>0.61599999999999999</v>
          </cell>
          <cell r="K12">
            <v>0.58399999999999996</v>
          </cell>
          <cell r="L12">
            <v>0.56799999999999995</v>
          </cell>
          <cell r="M12">
            <v>0.56000000000000005</v>
          </cell>
        </row>
        <row r="13">
          <cell r="B13" t="str">
            <v>ARTNA</v>
          </cell>
          <cell r="C13">
            <v>1.41</v>
          </cell>
          <cell r="D13">
            <v>1.26</v>
          </cell>
          <cell r="E13">
            <v>1.07</v>
          </cell>
          <cell r="F13">
            <v>0.94</v>
          </cell>
          <cell r="G13">
            <v>1.1299999999999999</v>
          </cell>
          <cell r="H13">
            <v>0.83</v>
          </cell>
          <cell r="I13">
            <v>1</v>
          </cell>
          <cell r="J13">
            <v>0.97</v>
          </cell>
          <cell r="K13">
            <v>0.86</v>
          </cell>
          <cell r="L13">
            <v>0.9</v>
          </cell>
          <cell r="M13">
            <v>0.97</v>
          </cell>
        </row>
        <row r="14">
          <cell r="B14" t="str">
            <v>ATO</v>
          </cell>
          <cell r="C14">
            <v>3.38</v>
          </cell>
          <cell r="D14">
            <v>3.09</v>
          </cell>
          <cell r="E14">
            <v>2.96</v>
          </cell>
          <cell r="F14">
            <v>2.5</v>
          </cell>
          <cell r="G14">
            <v>2.1</v>
          </cell>
          <cell r="H14">
            <v>2.2599999999999998</v>
          </cell>
          <cell r="I14">
            <v>2.16</v>
          </cell>
          <cell r="J14">
            <v>1.97</v>
          </cell>
          <cell r="K14">
            <v>2</v>
          </cell>
          <cell r="L14">
            <v>1.94</v>
          </cell>
          <cell r="M14">
            <v>2</v>
          </cell>
        </row>
        <row r="15">
          <cell r="B15" t="str">
            <v>AGR</v>
          </cell>
          <cell r="C15">
            <v>1.98</v>
          </cell>
          <cell r="D15">
            <v>0.86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2.15</v>
          </cell>
          <cell r="D16">
            <v>1.89</v>
          </cell>
          <cell r="E16">
            <v>1.84</v>
          </cell>
          <cell r="F16">
            <v>1.85</v>
          </cell>
          <cell r="G16">
            <v>1.32</v>
          </cell>
          <cell r="H16">
            <v>1.72</v>
          </cell>
          <cell r="I16">
            <v>1.65</v>
          </cell>
          <cell r="J16">
            <v>1.58</v>
          </cell>
          <cell r="K16">
            <v>1.36</v>
          </cell>
          <cell r="L16">
            <v>0.72</v>
          </cell>
          <cell r="M16">
            <v>1.47</v>
          </cell>
        </row>
        <row r="17">
          <cell r="B17" t="str">
            <v>BKH</v>
          </cell>
          <cell r="C17">
            <v>2.63</v>
          </cell>
          <cell r="D17">
            <v>2.83</v>
          </cell>
          <cell r="E17">
            <v>2.89</v>
          </cell>
          <cell r="F17">
            <v>2.61</v>
          </cell>
          <cell r="G17">
            <v>1.97</v>
          </cell>
          <cell r="H17">
            <v>1.01</v>
          </cell>
          <cell r="I17">
            <v>1.66</v>
          </cell>
          <cell r="J17">
            <v>2.3199999999999998</v>
          </cell>
          <cell r="K17">
            <v>0.18</v>
          </cell>
          <cell r="L17">
            <v>2.68</v>
          </cell>
          <cell r="M17">
            <v>2.21</v>
          </cell>
        </row>
        <row r="18">
          <cell r="B18" t="str">
            <v>CWT</v>
          </cell>
          <cell r="C18">
            <v>1.01</v>
          </cell>
          <cell r="D18">
            <v>0.94</v>
          </cell>
          <cell r="E18">
            <v>1.19</v>
          </cell>
          <cell r="F18">
            <v>1.02</v>
          </cell>
          <cell r="G18">
            <v>1.02</v>
          </cell>
          <cell r="H18">
            <v>0.86</v>
          </cell>
          <cell r="I18">
            <v>0.90500000000000003</v>
          </cell>
          <cell r="J18">
            <v>0.97499999999999998</v>
          </cell>
          <cell r="K18">
            <v>0.95</v>
          </cell>
          <cell r="L18">
            <v>0.75</v>
          </cell>
          <cell r="M18">
            <v>0.67</v>
          </cell>
        </row>
        <row r="19">
          <cell r="B19" t="str">
            <v>CNP</v>
          </cell>
          <cell r="C19">
            <v>1</v>
          </cell>
          <cell r="D19">
            <v>1.08</v>
          </cell>
          <cell r="E19">
            <v>1.42</v>
          </cell>
          <cell r="F19">
            <v>1.24</v>
          </cell>
          <cell r="G19">
            <v>1.35</v>
          </cell>
          <cell r="H19">
            <v>1.27</v>
          </cell>
          <cell r="I19">
            <v>1.07</v>
          </cell>
          <cell r="J19">
            <v>1.01</v>
          </cell>
          <cell r="K19">
            <v>1.3</v>
          </cell>
          <cell r="L19">
            <v>1.17</v>
          </cell>
          <cell r="M19">
            <v>1.33</v>
          </cell>
        </row>
        <row r="20">
          <cell r="B20" t="str">
            <v>CPK</v>
          </cell>
          <cell r="C20">
            <v>2.86</v>
          </cell>
          <cell r="D20">
            <v>2.68</v>
          </cell>
          <cell r="E20">
            <v>2.4700000000000002</v>
          </cell>
          <cell r="F20">
            <v>2.2599999999999998</v>
          </cell>
          <cell r="G20">
            <v>1.9930000000000001</v>
          </cell>
          <cell r="H20">
            <v>1.913</v>
          </cell>
          <cell r="I20">
            <v>1.82</v>
          </cell>
          <cell r="J20">
            <v>1.4330000000000001</v>
          </cell>
          <cell r="K20">
            <v>1.3919999999999999</v>
          </cell>
          <cell r="L20">
            <v>1.2929999999999999</v>
          </cell>
          <cell r="M20">
            <v>1.147</v>
          </cell>
        </row>
        <row r="21">
          <cell r="B21" t="str">
            <v>CMS</v>
          </cell>
          <cell r="C21">
            <v>1.98</v>
          </cell>
          <cell r="D21">
            <v>1.89</v>
          </cell>
          <cell r="E21">
            <v>1.74</v>
          </cell>
          <cell r="F21">
            <v>1.66</v>
          </cell>
          <cell r="G21">
            <v>1.53</v>
          </cell>
          <cell r="H21">
            <v>1.45</v>
          </cell>
          <cell r="I21">
            <v>1.33</v>
          </cell>
          <cell r="J21">
            <v>0.93</v>
          </cell>
          <cell r="K21">
            <v>1.23</v>
          </cell>
          <cell r="L21">
            <v>0.64</v>
          </cell>
          <cell r="M21">
            <v>0.64</v>
          </cell>
        </row>
        <row r="22">
          <cell r="B22" t="str">
            <v>CTWS</v>
          </cell>
          <cell r="C22">
            <v>2.08</v>
          </cell>
          <cell r="D22">
            <v>2.04</v>
          </cell>
          <cell r="E22">
            <v>1.92</v>
          </cell>
          <cell r="F22">
            <v>1.66</v>
          </cell>
          <cell r="G22">
            <v>1.53</v>
          </cell>
          <cell r="H22">
            <v>1.1279999999999999</v>
          </cell>
          <cell r="I22">
            <v>1.1299999999999999</v>
          </cell>
          <cell r="J22">
            <v>1.19</v>
          </cell>
          <cell r="K22">
            <v>1.1100000000000001</v>
          </cell>
          <cell r="L22">
            <v>1.05</v>
          </cell>
          <cell r="M22">
            <v>0.81</v>
          </cell>
        </row>
        <row r="23">
          <cell r="B23" t="str">
            <v>ED</v>
          </cell>
          <cell r="C23">
            <v>3.94</v>
          </cell>
          <cell r="D23">
            <v>4.05</v>
          </cell>
          <cell r="E23">
            <v>3.62</v>
          </cell>
          <cell r="F23">
            <v>3.93</v>
          </cell>
          <cell r="G23">
            <v>3.86</v>
          </cell>
          <cell r="H23">
            <v>3.57</v>
          </cell>
          <cell r="I23">
            <v>3.47</v>
          </cell>
          <cell r="J23">
            <v>3.14</v>
          </cell>
          <cell r="K23">
            <v>3.36</v>
          </cell>
          <cell r="L23">
            <v>3.48</v>
          </cell>
          <cell r="M23">
            <v>2.95</v>
          </cell>
        </row>
        <row r="24">
          <cell r="B24" t="str">
            <v>CWCO</v>
          </cell>
          <cell r="C24">
            <v>0.27</v>
          </cell>
          <cell r="D24">
            <v>0.51</v>
          </cell>
          <cell r="E24">
            <v>0.42</v>
          </cell>
          <cell r="F24">
            <v>0.57999999999999996</v>
          </cell>
          <cell r="G24">
            <v>0.64</v>
          </cell>
          <cell r="H24">
            <v>0.42</v>
          </cell>
          <cell r="I24">
            <v>0.43</v>
          </cell>
          <cell r="J24">
            <v>0.74</v>
          </cell>
          <cell r="K24">
            <v>0.5</v>
          </cell>
          <cell r="L24">
            <v>0.79</v>
          </cell>
          <cell r="M24">
            <v>0.59</v>
          </cell>
        </row>
        <row r="25">
          <cell r="B25" t="str">
            <v>DGAS</v>
          </cell>
          <cell r="C25">
            <v>0.78</v>
          </cell>
          <cell r="D25">
            <v>0.92</v>
          </cell>
          <cell r="E25">
            <v>1.19</v>
          </cell>
          <cell r="F25">
            <v>1.05</v>
          </cell>
          <cell r="G25">
            <v>0.85</v>
          </cell>
          <cell r="H25">
            <v>0.95</v>
          </cell>
          <cell r="I25">
            <v>0.85</v>
          </cell>
          <cell r="J25">
            <v>0.79</v>
          </cell>
          <cell r="K25">
            <v>1.04</v>
          </cell>
          <cell r="L25">
            <v>0.81</v>
          </cell>
          <cell r="M25">
            <v>0.77500000000000002</v>
          </cell>
        </row>
        <row r="26">
          <cell r="B26" t="str">
            <v>D</v>
          </cell>
          <cell r="C26">
            <v>3.44</v>
          </cell>
          <cell r="D26">
            <v>3.2</v>
          </cell>
          <cell r="E26">
            <v>3.05</v>
          </cell>
          <cell r="F26">
            <v>3.09</v>
          </cell>
          <cell r="G26">
            <v>2.75</v>
          </cell>
          <cell r="H26">
            <v>2.76</v>
          </cell>
          <cell r="I26">
            <v>2.89</v>
          </cell>
          <cell r="J26">
            <v>2.64</v>
          </cell>
          <cell r="K26">
            <v>3.04</v>
          </cell>
          <cell r="L26">
            <v>2.13</v>
          </cell>
          <cell r="M26">
            <v>2.4</v>
          </cell>
        </row>
        <row r="27">
          <cell r="B27" t="str">
            <v>DTE</v>
          </cell>
          <cell r="C27">
            <v>4.83</v>
          </cell>
          <cell r="D27">
            <v>4.4400000000000004</v>
          </cell>
          <cell r="E27">
            <v>5.0999999999999996</v>
          </cell>
          <cell r="F27">
            <v>3.76</v>
          </cell>
          <cell r="G27">
            <v>3.88</v>
          </cell>
          <cell r="H27">
            <v>3.67</v>
          </cell>
          <cell r="I27">
            <v>3.74</v>
          </cell>
          <cell r="J27">
            <v>3.24</v>
          </cell>
          <cell r="K27">
            <v>2.73</v>
          </cell>
          <cell r="L27">
            <v>2.66</v>
          </cell>
          <cell r="M27">
            <v>2.4500000000000002</v>
          </cell>
        </row>
        <row r="28">
          <cell r="B28" t="str">
            <v>DUK</v>
          </cell>
          <cell r="C28">
            <v>3.71</v>
          </cell>
          <cell r="D28">
            <v>4.0999999999999996</v>
          </cell>
          <cell r="E28">
            <v>4.13</v>
          </cell>
          <cell r="F28">
            <v>3.98</v>
          </cell>
          <cell r="G28">
            <v>3.71</v>
          </cell>
          <cell r="H28">
            <v>4.1399999999999997</v>
          </cell>
          <cell r="I28">
            <v>4.0199999999999996</v>
          </cell>
          <cell r="J28">
            <v>3.39</v>
          </cell>
          <cell r="K28">
            <v>3.03</v>
          </cell>
          <cell r="L28">
            <v>3.6</v>
          </cell>
          <cell r="M28">
            <v>2.73</v>
          </cell>
        </row>
        <row r="29">
          <cell r="B29" t="str">
            <v>EIX</v>
          </cell>
          <cell r="C29">
            <v>3.94</v>
          </cell>
          <cell r="D29">
            <v>4.1500000000000004</v>
          </cell>
          <cell r="E29">
            <v>4.33</v>
          </cell>
          <cell r="F29">
            <v>3.78</v>
          </cell>
          <cell r="G29">
            <v>4.55</v>
          </cell>
          <cell r="H29">
            <v>3.23</v>
          </cell>
          <cell r="I29">
            <v>3.35</v>
          </cell>
          <cell r="J29">
            <v>3.24</v>
          </cell>
          <cell r="K29">
            <v>3.68</v>
          </cell>
          <cell r="L29">
            <v>3.32</v>
          </cell>
          <cell r="M29">
            <v>3.28</v>
          </cell>
        </row>
        <row r="30">
          <cell r="B30" t="str">
            <v>EE</v>
          </cell>
          <cell r="C30">
            <v>2.39</v>
          </cell>
          <cell r="D30">
            <v>2.0299999999999998</v>
          </cell>
          <cell r="E30">
            <v>2.27</v>
          </cell>
          <cell r="F30">
            <v>2.2000000000000002</v>
          </cell>
          <cell r="G30">
            <v>2.2599999999999998</v>
          </cell>
          <cell r="H30">
            <v>2.48</v>
          </cell>
          <cell r="I30">
            <v>2.0699999999999998</v>
          </cell>
          <cell r="J30">
            <v>1.5</v>
          </cell>
          <cell r="K30">
            <v>1.73</v>
          </cell>
          <cell r="L30">
            <v>1.63</v>
          </cell>
          <cell r="M30">
            <v>1.27</v>
          </cell>
        </row>
        <row r="31">
          <cell r="B31" t="str">
            <v>ETR</v>
          </cell>
          <cell r="C31">
            <v>6.88</v>
          </cell>
          <cell r="D31">
            <v>5.81</v>
          </cell>
          <cell r="E31">
            <v>5.77</v>
          </cell>
          <cell r="F31">
            <v>4.96</v>
          </cell>
          <cell r="G31">
            <v>6.02</v>
          </cell>
          <cell r="H31">
            <v>7.55</v>
          </cell>
          <cell r="I31">
            <v>6.66</v>
          </cell>
          <cell r="J31">
            <v>6.3</v>
          </cell>
          <cell r="K31">
            <v>6.2</v>
          </cell>
          <cell r="L31">
            <v>5.6</v>
          </cell>
          <cell r="M31">
            <v>5.36</v>
          </cell>
        </row>
        <row r="32">
          <cell r="B32" t="str">
            <v>ES</v>
          </cell>
          <cell r="C32">
            <v>2.96</v>
          </cell>
          <cell r="D32">
            <v>2.76</v>
          </cell>
          <cell r="E32">
            <v>2.58</v>
          </cell>
          <cell r="F32">
            <v>2.4900000000000002</v>
          </cell>
          <cell r="G32">
            <v>1.89</v>
          </cell>
          <cell r="H32">
            <v>2.2200000000000002</v>
          </cell>
          <cell r="I32">
            <v>2.1</v>
          </cell>
          <cell r="J32">
            <v>1.91</v>
          </cell>
          <cell r="K32">
            <v>1.86</v>
          </cell>
          <cell r="L32">
            <v>1.59</v>
          </cell>
          <cell r="M32">
            <v>0.82</v>
          </cell>
        </row>
        <row r="33">
          <cell r="B33" t="str">
            <v>EXC</v>
          </cell>
          <cell r="C33">
            <v>1.8</v>
          </cell>
          <cell r="D33">
            <v>2.54</v>
          </cell>
          <cell r="E33">
            <v>2.1</v>
          </cell>
          <cell r="F33">
            <v>2.31</v>
          </cell>
          <cell r="G33">
            <v>1.92</v>
          </cell>
          <cell r="H33">
            <v>3.75</v>
          </cell>
          <cell r="I33">
            <v>3.87</v>
          </cell>
          <cell r="J33">
            <v>4.29</v>
          </cell>
          <cell r="K33">
            <v>4.0999999999999996</v>
          </cell>
          <cell r="L33">
            <v>4.03</v>
          </cell>
          <cell r="M33">
            <v>3.5</v>
          </cell>
        </row>
        <row r="34">
          <cell r="B34" t="str">
            <v>FE</v>
          </cell>
          <cell r="C34">
            <v>2.1</v>
          </cell>
          <cell r="D34">
            <v>2</v>
          </cell>
          <cell r="E34">
            <v>0.85</v>
          </cell>
          <cell r="F34">
            <v>2.97</v>
          </cell>
          <cell r="G34">
            <v>2.13</v>
          </cell>
          <cell r="H34">
            <v>1.88</v>
          </cell>
          <cell r="I34">
            <v>3.25</v>
          </cell>
          <cell r="J34">
            <v>3.32</v>
          </cell>
          <cell r="K34">
            <v>4.38</v>
          </cell>
          <cell r="L34">
            <v>4.22</v>
          </cell>
          <cell r="M34">
            <v>3.82</v>
          </cell>
        </row>
        <row r="35">
          <cell r="B35" t="str">
            <v>FTS.TO</v>
          </cell>
          <cell r="C35">
            <v>1.89</v>
          </cell>
          <cell r="D35">
            <v>2.11</v>
          </cell>
          <cell r="E35">
            <v>1.38</v>
          </cell>
          <cell r="F35">
            <v>1.63</v>
          </cell>
          <cell r="G35">
            <v>1.65</v>
          </cell>
          <cell r="H35">
            <v>1.74</v>
          </cell>
          <cell r="I35">
            <v>1.62</v>
          </cell>
          <cell r="J35">
            <v>1.51</v>
          </cell>
          <cell r="K35">
            <v>1.52</v>
          </cell>
          <cell r="L35">
            <v>1.2869999999999999</v>
          </cell>
          <cell r="M35">
            <v>1.359</v>
          </cell>
        </row>
        <row r="36">
          <cell r="B36" t="str">
            <v>EGAS</v>
          </cell>
          <cell r="C36">
            <v>5.0999999999999997E-2</v>
          </cell>
          <cell r="D36">
            <v>0.11</v>
          </cell>
          <cell r="E36">
            <v>0.253</v>
          </cell>
          <cell r="F36">
            <v>0.75</v>
          </cell>
          <cell r="G36">
            <v>0.46</v>
          </cell>
          <cell r="H36">
            <v>0.66</v>
          </cell>
          <cell r="I36">
            <v>0.92</v>
          </cell>
          <cell r="J36">
            <v>1.58</v>
          </cell>
          <cell r="K36">
            <v>0.77</v>
          </cell>
          <cell r="L36">
            <v>0.50700000000000001</v>
          </cell>
          <cell r="M36">
            <v>0.52700000000000002</v>
          </cell>
        </row>
        <row r="37">
          <cell r="B37" t="str">
            <v>GXP</v>
          </cell>
          <cell r="C37">
            <v>1.61</v>
          </cell>
          <cell r="D37">
            <v>1.37</v>
          </cell>
          <cell r="E37">
            <v>1.57</v>
          </cell>
          <cell r="F37">
            <v>1.62</v>
          </cell>
          <cell r="G37">
            <v>1.35</v>
          </cell>
          <cell r="H37">
            <v>1.25</v>
          </cell>
          <cell r="I37">
            <v>1.53</v>
          </cell>
          <cell r="J37">
            <v>1.03</v>
          </cell>
          <cell r="K37">
            <v>1.1599999999999999</v>
          </cell>
          <cell r="L37">
            <v>1.85</v>
          </cell>
          <cell r="M37">
            <v>1.62</v>
          </cell>
        </row>
        <row r="38">
          <cell r="B38" t="str">
            <v>HE</v>
          </cell>
          <cell r="C38">
            <v>2.29</v>
          </cell>
          <cell r="D38">
            <v>1.5</v>
          </cell>
          <cell r="E38">
            <v>1.64</v>
          </cell>
          <cell r="F38">
            <v>1.62</v>
          </cell>
          <cell r="G38">
            <v>1.67</v>
          </cell>
          <cell r="H38">
            <v>1.44</v>
          </cell>
          <cell r="I38">
            <v>1.21</v>
          </cell>
          <cell r="J38">
            <v>0.91</v>
          </cell>
          <cell r="K38">
            <v>1.07</v>
          </cell>
          <cell r="L38">
            <v>1.1100000000000001</v>
          </cell>
          <cell r="M38">
            <v>1.33</v>
          </cell>
        </row>
        <row r="39">
          <cell r="B39" t="str">
            <v>IDA</v>
          </cell>
          <cell r="C39">
            <v>3.94</v>
          </cell>
          <cell r="D39">
            <v>3.87</v>
          </cell>
          <cell r="E39">
            <v>3.85</v>
          </cell>
          <cell r="F39">
            <v>3.64</v>
          </cell>
          <cell r="G39">
            <v>3.37</v>
          </cell>
          <cell r="H39">
            <v>3.36</v>
          </cell>
          <cell r="I39">
            <v>2.95</v>
          </cell>
          <cell r="J39">
            <v>2.64</v>
          </cell>
          <cell r="K39">
            <v>2.1800000000000002</v>
          </cell>
          <cell r="L39">
            <v>1.86</v>
          </cell>
          <cell r="M39">
            <v>2.35</v>
          </cell>
        </row>
        <row r="40">
          <cell r="B40" t="str">
            <v>MGEE</v>
          </cell>
          <cell r="C40">
            <v>2.1800000000000002</v>
          </cell>
          <cell r="D40">
            <v>2.06</v>
          </cell>
          <cell r="E40">
            <v>2.3199999999999998</v>
          </cell>
          <cell r="F40">
            <v>2.16</v>
          </cell>
          <cell r="G40">
            <v>1.86</v>
          </cell>
          <cell r="H40">
            <v>1.76</v>
          </cell>
          <cell r="I40">
            <v>1.667</v>
          </cell>
          <cell r="J40">
            <v>1.4730000000000001</v>
          </cell>
          <cell r="K40">
            <v>1.587</v>
          </cell>
          <cell r="L40">
            <v>1.5129999999999999</v>
          </cell>
          <cell r="M40">
            <v>1.373</v>
          </cell>
        </row>
        <row r="41">
          <cell r="B41" t="str">
            <v>MSEX</v>
          </cell>
          <cell r="C41">
            <v>1.38</v>
          </cell>
          <cell r="D41">
            <v>1.22</v>
          </cell>
          <cell r="E41">
            <v>1.1299999999999999</v>
          </cell>
          <cell r="F41">
            <v>1.03</v>
          </cell>
          <cell r="G41">
            <v>0.9</v>
          </cell>
          <cell r="H41">
            <v>0.84</v>
          </cell>
          <cell r="I41">
            <v>0.96</v>
          </cell>
          <cell r="J41">
            <v>0.72</v>
          </cell>
          <cell r="K41">
            <v>0.89</v>
          </cell>
          <cell r="L41">
            <v>0.87</v>
          </cell>
          <cell r="M41">
            <v>0.82</v>
          </cell>
        </row>
        <row r="42">
          <cell r="B42" t="str">
            <v>NJR</v>
          </cell>
          <cell r="C42">
            <v>1.61</v>
          </cell>
          <cell r="D42">
            <v>1.78</v>
          </cell>
          <cell r="E42">
            <v>2.08</v>
          </cell>
          <cell r="F42">
            <v>1.365</v>
          </cell>
          <cell r="G42">
            <v>1.355</v>
          </cell>
          <cell r="H42">
            <v>1.29</v>
          </cell>
          <cell r="I42">
            <v>1.23</v>
          </cell>
          <cell r="J42">
            <v>1.2</v>
          </cell>
          <cell r="K42">
            <v>1.35</v>
          </cell>
          <cell r="L42">
            <v>0.77700000000000002</v>
          </cell>
          <cell r="M42">
            <v>0.93300000000000005</v>
          </cell>
        </row>
        <row r="43">
          <cell r="B43" t="str">
            <v>NEE</v>
          </cell>
          <cell r="C43">
            <v>5.78</v>
          </cell>
          <cell r="D43">
            <v>6.06</v>
          </cell>
          <cell r="E43">
            <v>5.6</v>
          </cell>
          <cell r="F43">
            <v>4.83</v>
          </cell>
          <cell r="G43">
            <v>4.5599999999999996</v>
          </cell>
          <cell r="H43">
            <v>4.82</v>
          </cell>
          <cell r="I43">
            <v>4.74</v>
          </cell>
          <cell r="J43">
            <v>3.97</v>
          </cell>
          <cell r="K43">
            <v>4.07</v>
          </cell>
          <cell r="L43">
            <v>3.27</v>
          </cell>
          <cell r="M43">
            <v>3.23</v>
          </cell>
        </row>
        <row r="44">
          <cell r="B44" t="str">
            <v>NI</v>
          </cell>
          <cell r="C44">
            <v>1</v>
          </cell>
          <cell r="D44">
            <v>0.63</v>
          </cell>
          <cell r="E44">
            <v>1.67</v>
          </cell>
          <cell r="F44">
            <v>1.57</v>
          </cell>
          <cell r="G44">
            <v>1.37</v>
          </cell>
          <cell r="H44">
            <v>1.05</v>
          </cell>
          <cell r="I44">
            <v>1.06</v>
          </cell>
          <cell r="J44">
            <v>0.84</v>
          </cell>
          <cell r="K44">
            <v>1.34</v>
          </cell>
          <cell r="L44">
            <v>1.1399999999999999</v>
          </cell>
          <cell r="M44">
            <v>1.1399999999999999</v>
          </cell>
        </row>
        <row r="45">
          <cell r="B45" t="str">
            <v>NWN</v>
          </cell>
          <cell r="C45">
            <v>2.12</v>
          </cell>
          <cell r="D45">
            <v>1.96</v>
          </cell>
          <cell r="E45">
            <v>2.16</v>
          </cell>
          <cell r="F45">
            <v>2.2400000000000002</v>
          </cell>
          <cell r="G45">
            <v>2.2200000000000002</v>
          </cell>
          <cell r="H45">
            <v>2.39</v>
          </cell>
          <cell r="I45">
            <v>2.73</v>
          </cell>
          <cell r="J45">
            <v>2.83</v>
          </cell>
          <cell r="K45">
            <v>2.57</v>
          </cell>
          <cell r="L45">
            <v>2.76</v>
          </cell>
          <cell r="M45">
            <v>2.35</v>
          </cell>
        </row>
        <row r="46">
          <cell r="B46" t="str">
            <v>NWE</v>
          </cell>
          <cell r="C46">
            <v>3.39</v>
          </cell>
          <cell r="D46">
            <v>2.9</v>
          </cell>
          <cell r="E46">
            <v>2.99</v>
          </cell>
          <cell r="F46">
            <v>2.46</v>
          </cell>
          <cell r="G46">
            <v>2.2599999999999998</v>
          </cell>
          <cell r="H46">
            <v>2.5299999999999998</v>
          </cell>
          <cell r="I46">
            <v>2.14</v>
          </cell>
          <cell r="J46">
            <v>2.02</v>
          </cell>
          <cell r="K46">
            <v>1.77</v>
          </cell>
          <cell r="L46">
            <v>1.44</v>
          </cell>
          <cell r="M46">
            <v>1.31</v>
          </cell>
        </row>
        <row r="47">
          <cell r="B47" t="str">
            <v>OGE</v>
          </cell>
          <cell r="C47">
            <v>1.69</v>
          </cell>
          <cell r="D47">
            <v>1.69</v>
          </cell>
          <cell r="E47">
            <v>1.98</v>
          </cell>
          <cell r="F47">
            <v>1.94</v>
          </cell>
          <cell r="G47">
            <v>1.79</v>
          </cell>
          <cell r="H47">
            <v>1.7250000000000001</v>
          </cell>
          <cell r="I47">
            <v>1.4950000000000001</v>
          </cell>
          <cell r="J47">
            <v>1.33</v>
          </cell>
          <cell r="K47">
            <v>1.2450000000000001</v>
          </cell>
          <cell r="L47">
            <v>1.32</v>
          </cell>
          <cell r="M47">
            <v>1.2250000000000001</v>
          </cell>
        </row>
        <row r="48">
          <cell r="B48" t="str">
            <v>OGS</v>
          </cell>
          <cell r="C48">
            <v>2.65</v>
          </cell>
          <cell r="D48">
            <v>2.2400000000000002</v>
          </cell>
          <cell r="E48">
            <v>2.0699999999999998</v>
          </cell>
        </row>
        <row r="49">
          <cell r="B49" t="str">
            <v>OTTR</v>
          </cell>
          <cell r="C49">
            <v>1.6</v>
          </cell>
          <cell r="D49">
            <v>1.56</v>
          </cell>
          <cell r="E49">
            <v>1.55</v>
          </cell>
          <cell r="F49">
            <v>1.37</v>
          </cell>
          <cell r="G49">
            <v>1.05</v>
          </cell>
          <cell r="H49">
            <v>0.45</v>
          </cell>
          <cell r="I49">
            <v>0.38</v>
          </cell>
          <cell r="J49">
            <v>0.71</v>
          </cell>
          <cell r="K49">
            <v>1.0900000000000001</v>
          </cell>
          <cell r="L49">
            <v>1.78</v>
          </cell>
          <cell r="M49">
            <v>1.69</v>
          </cell>
        </row>
        <row r="50">
          <cell r="B50" t="str">
            <v>PCG</v>
          </cell>
          <cell r="C50">
            <v>2.83</v>
          </cell>
          <cell r="D50">
            <v>2</v>
          </cell>
          <cell r="E50">
            <v>3.06</v>
          </cell>
          <cell r="F50">
            <v>1.83</v>
          </cell>
          <cell r="G50">
            <v>2.0699999999999998</v>
          </cell>
          <cell r="H50">
            <v>2.78</v>
          </cell>
          <cell r="I50">
            <v>2.82</v>
          </cell>
          <cell r="J50">
            <v>3.03</v>
          </cell>
          <cell r="K50">
            <v>3.22</v>
          </cell>
          <cell r="L50">
            <v>2.78</v>
          </cell>
          <cell r="M50">
            <v>2.76</v>
          </cell>
        </row>
        <row r="51">
          <cell r="B51" t="str">
            <v>PNW</v>
          </cell>
          <cell r="C51">
            <v>3.95</v>
          </cell>
          <cell r="D51">
            <v>3.92</v>
          </cell>
          <cell r="E51">
            <v>3.58</v>
          </cell>
          <cell r="F51">
            <v>3.66</v>
          </cell>
          <cell r="G51">
            <v>3.5</v>
          </cell>
          <cell r="H51">
            <v>2.99</v>
          </cell>
          <cell r="I51">
            <v>3.08</v>
          </cell>
          <cell r="J51">
            <v>2.2599999999999998</v>
          </cell>
          <cell r="K51">
            <v>2.12</v>
          </cell>
          <cell r="L51">
            <v>2.96</v>
          </cell>
          <cell r="M51">
            <v>3.17</v>
          </cell>
        </row>
        <row r="52">
          <cell r="B52" t="str">
            <v>PNM</v>
          </cell>
          <cell r="C52">
            <v>1.65</v>
          </cell>
          <cell r="D52">
            <v>1.64</v>
          </cell>
          <cell r="E52">
            <v>1.45</v>
          </cell>
          <cell r="F52">
            <v>1.41</v>
          </cell>
          <cell r="G52">
            <v>1.31</v>
          </cell>
          <cell r="H52">
            <v>1.08</v>
          </cell>
          <cell r="I52">
            <v>0.87</v>
          </cell>
          <cell r="J52">
            <v>0.57999999999999996</v>
          </cell>
          <cell r="K52">
            <v>0.11</v>
          </cell>
          <cell r="L52">
            <v>0.76</v>
          </cell>
          <cell r="M52">
            <v>1.72</v>
          </cell>
        </row>
        <row r="53">
          <cell r="B53" t="str">
            <v>POR</v>
          </cell>
          <cell r="C53">
            <v>2.16</v>
          </cell>
          <cell r="D53">
            <v>2.04</v>
          </cell>
          <cell r="E53">
            <v>2.1800000000000002</v>
          </cell>
          <cell r="F53">
            <v>1.77</v>
          </cell>
          <cell r="G53">
            <v>1.87</v>
          </cell>
          <cell r="H53">
            <v>1.95</v>
          </cell>
          <cell r="I53">
            <v>1.66</v>
          </cell>
          <cell r="J53">
            <v>1.31</v>
          </cell>
          <cell r="K53">
            <v>1.39</v>
          </cell>
          <cell r="L53">
            <v>2.33</v>
          </cell>
          <cell r="M53">
            <v>1.1399999999999999</v>
          </cell>
        </row>
        <row r="54">
          <cell r="B54" t="str">
            <v>PPL</v>
          </cell>
          <cell r="C54">
            <v>2.79</v>
          </cell>
          <cell r="D54">
            <v>2.37</v>
          </cell>
          <cell r="E54">
            <v>2.38</v>
          </cell>
          <cell r="F54">
            <v>2.38</v>
          </cell>
          <cell r="G54">
            <v>2.61</v>
          </cell>
          <cell r="H54">
            <v>2.61</v>
          </cell>
          <cell r="I54">
            <v>2.29</v>
          </cell>
          <cell r="J54">
            <v>1.19</v>
          </cell>
          <cell r="K54">
            <v>2.4500000000000002</v>
          </cell>
          <cell r="L54">
            <v>2.63</v>
          </cell>
          <cell r="M54">
            <v>2.29</v>
          </cell>
        </row>
        <row r="55">
          <cell r="B55" t="str">
            <v>PEG</v>
          </cell>
          <cell r="C55">
            <v>2.83</v>
          </cell>
          <cell r="D55">
            <v>3.3</v>
          </cell>
          <cell r="E55">
            <v>2.99</v>
          </cell>
          <cell r="F55">
            <v>2.4500000000000002</v>
          </cell>
          <cell r="G55">
            <v>2.44</v>
          </cell>
          <cell r="H55">
            <v>3.11</v>
          </cell>
          <cell r="I55">
            <v>3.07</v>
          </cell>
          <cell r="J55">
            <v>3.08</v>
          </cell>
          <cell r="K55">
            <v>2.9</v>
          </cell>
          <cell r="L55">
            <v>2.59</v>
          </cell>
          <cell r="M55">
            <v>1.845</v>
          </cell>
        </row>
        <row r="56">
          <cell r="B56" t="str">
            <v>RGCO</v>
          </cell>
          <cell r="C56">
            <v>0.81299999999999994</v>
          </cell>
          <cell r="D56">
            <v>0.72</v>
          </cell>
          <cell r="E56">
            <v>0.66700000000000004</v>
          </cell>
          <cell r="F56">
            <v>0.60699999999999998</v>
          </cell>
          <cell r="G56">
            <v>0.61299999999999999</v>
          </cell>
          <cell r="H56">
            <v>0.67300000000000004</v>
          </cell>
          <cell r="I56">
            <v>0.65300000000000002</v>
          </cell>
          <cell r="J56">
            <v>0.72699999999999998</v>
          </cell>
          <cell r="K56">
            <v>0.64300000000000002</v>
          </cell>
          <cell r="L56">
            <v>0.57699999999999996</v>
          </cell>
          <cell r="M56">
            <v>0.51300000000000001</v>
          </cell>
        </row>
        <row r="57">
          <cell r="B57" t="str">
            <v>SCG</v>
          </cell>
          <cell r="C57">
            <v>4.16</v>
          </cell>
          <cell r="D57">
            <v>3.81</v>
          </cell>
          <cell r="E57">
            <v>3.79</v>
          </cell>
          <cell r="F57">
            <v>3.39</v>
          </cell>
          <cell r="G57">
            <v>3.15</v>
          </cell>
          <cell r="H57">
            <v>2.97</v>
          </cell>
          <cell r="I57">
            <v>2.98</v>
          </cell>
          <cell r="J57">
            <v>2.85</v>
          </cell>
          <cell r="K57">
            <v>2.95</v>
          </cell>
          <cell r="L57">
            <v>2.74</v>
          </cell>
          <cell r="M57">
            <v>2.59</v>
          </cell>
        </row>
        <row r="58">
          <cell r="B58" t="str">
            <v>SRE</v>
          </cell>
          <cell r="C58">
            <v>4.24</v>
          </cell>
          <cell r="D58">
            <v>5.23</v>
          </cell>
          <cell r="E58">
            <v>4.63</v>
          </cell>
          <cell r="F58">
            <v>4.22</v>
          </cell>
          <cell r="G58">
            <v>4.3499999999999996</v>
          </cell>
          <cell r="H58">
            <v>4.47</v>
          </cell>
          <cell r="I58">
            <v>4.0199999999999996</v>
          </cell>
          <cell r="J58">
            <v>4.78</v>
          </cell>
          <cell r="K58">
            <v>4.43</v>
          </cell>
          <cell r="L58">
            <v>4.26</v>
          </cell>
          <cell r="M58">
            <v>4.2300000000000004</v>
          </cell>
        </row>
        <row r="59">
          <cell r="B59" t="str">
            <v>SJW</v>
          </cell>
          <cell r="C59">
            <v>2.57</v>
          </cell>
          <cell r="D59">
            <v>1.85</v>
          </cell>
          <cell r="E59">
            <v>2.54</v>
          </cell>
          <cell r="F59">
            <v>1.1200000000000001</v>
          </cell>
          <cell r="G59">
            <v>1.18</v>
          </cell>
          <cell r="H59">
            <v>1.1100000000000001</v>
          </cell>
          <cell r="I59">
            <v>0.84</v>
          </cell>
          <cell r="J59">
            <v>0.81</v>
          </cell>
          <cell r="K59">
            <v>1.0840000000000001</v>
          </cell>
          <cell r="L59">
            <v>1.04</v>
          </cell>
          <cell r="M59">
            <v>1.19</v>
          </cell>
        </row>
        <row r="60">
          <cell r="B60" t="str">
            <v>SJI</v>
          </cell>
          <cell r="C60">
            <v>1.34</v>
          </cell>
          <cell r="D60">
            <v>1.44</v>
          </cell>
          <cell r="E60">
            <v>1.5649999999999999</v>
          </cell>
          <cell r="F60">
            <v>1.5149999999999999</v>
          </cell>
          <cell r="G60">
            <v>1.5149999999999999</v>
          </cell>
          <cell r="H60">
            <v>1.4450000000000001</v>
          </cell>
          <cell r="I60">
            <v>1.35</v>
          </cell>
          <cell r="J60">
            <v>1.19</v>
          </cell>
          <cell r="K60">
            <v>1.135</v>
          </cell>
          <cell r="L60">
            <v>1.0449999999999999</v>
          </cell>
          <cell r="M60">
            <v>1.23</v>
          </cell>
        </row>
        <row r="61">
          <cell r="B61" t="str">
            <v>SO</v>
          </cell>
          <cell r="C61">
            <v>2.83</v>
          </cell>
          <cell r="D61">
            <v>2.84</v>
          </cell>
          <cell r="E61">
            <v>2.77</v>
          </cell>
          <cell r="F61">
            <v>2.7</v>
          </cell>
          <cell r="G61">
            <v>2.67</v>
          </cell>
          <cell r="H61">
            <v>2.5499999999999998</v>
          </cell>
          <cell r="I61">
            <v>2.36</v>
          </cell>
          <cell r="J61">
            <v>2.3199999999999998</v>
          </cell>
          <cell r="K61">
            <v>2.25</v>
          </cell>
          <cell r="L61">
            <v>2.2799999999999998</v>
          </cell>
          <cell r="M61">
            <v>2.1</v>
          </cell>
        </row>
        <row r="62">
          <cell r="B62" t="str">
            <v>SWX</v>
          </cell>
          <cell r="C62">
            <v>3.18</v>
          </cell>
          <cell r="D62">
            <v>2.92</v>
          </cell>
          <cell r="E62">
            <v>3.01</v>
          </cell>
          <cell r="F62">
            <v>3.11</v>
          </cell>
          <cell r="G62">
            <v>2.86</v>
          </cell>
          <cell r="H62">
            <v>2.4300000000000002</v>
          </cell>
          <cell r="I62">
            <v>2.27</v>
          </cell>
          <cell r="J62">
            <v>1.94</v>
          </cell>
          <cell r="K62">
            <v>1.39</v>
          </cell>
          <cell r="L62">
            <v>1.95</v>
          </cell>
          <cell r="M62">
            <v>1.98</v>
          </cell>
        </row>
        <row r="63">
          <cell r="B63" t="str">
            <v>SR</v>
          </cell>
          <cell r="C63">
            <v>3.24</v>
          </cell>
          <cell r="D63">
            <v>3.16</v>
          </cell>
          <cell r="E63">
            <v>2.35</v>
          </cell>
          <cell r="F63">
            <v>2.02</v>
          </cell>
          <cell r="G63">
            <v>2.79</v>
          </cell>
          <cell r="H63">
            <v>2.86</v>
          </cell>
          <cell r="I63">
            <v>2.4300000000000002</v>
          </cell>
          <cell r="J63">
            <v>2.92</v>
          </cell>
          <cell r="K63">
            <v>2.64</v>
          </cell>
          <cell r="L63">
            <v>2.31</v>
          </cell>
          <cell r="M63">
            <v>2.37</v>
          </cell>
        </row>
        <row r="64">
          <cell r="B64" t="str">
            <v>SGU</v>
          </cell>
          <cell r="C64">
            <v>0.7</v>
          </cell>
          <cell r="D64">
            <v>0.59</v>
          </cell>
          <cell r="E64">
            <v>0.56999999999999995</v>
          </cell>
          <cell r="F64">
            <v>0.47</v>
          </cell>
          <cell r="G64">
            <v>0.4</v>
          </cell>
          <cell r="H64">
            <v>0.36</v>
          </cell>
          <cell r="I64">
            <v>0.38</v>
          </cell>
          <cell r="J64">
            <v>1.43</v>
          </cell>
          <cell r="K64">
            <v>-0.18</v>
          </cell>
          <cell r="L64">
            <v>0.51400000000000001</v>
          </cell>
          <cell r="M64">
            <v>-1.01</v>
          </cell>
        </row>
        <row r="65">
          <cell r="B65" t="str">
            <v>UGI</v>
          </cell>
          <cell r="C65">
            <v>2.0499999999999998</v>
          </cell>
          <cell r="D65">
            <v>2.0099999999999998</v>
          </cell>
          <cell r="E65">
            <v>1.92</v>
          </cell>
          <cell r="F65">
            <v>1.593</v>
          </cell>
          <cell r="G65">
            <v>1.173</v>
          </cell>
          <cell r="H65">
            <v>1.373</v>
          </cell>
          <cell r="I65">
            <v>1.587</v>
          </cell>
          <cell r="J65">
            <v>1.573</v>
          </cell>
          <cell r="K65">
            <v>1.327</v>
          </cell>
          <cell r="L65">
            <v>1.18</v>
          </cell>
          <cell r="M65">
            <v>1.1000000000000001</v>
          </cell>
        </row>
        <row r="66">
          <cell r="B66" t="str">
            <v>UTL</v>
          </cell>
          <cell r="C66">
            <v>1.94</v>
          </cell>
          <cell r="D66">
            <v>1.89</v>
          </cell>
          <cell r="E66">
            <v>1.79</v>
          </cell>
          <cell r="F66">
            <v>1.57</v>
          </cell>
          <cell r="G66">
            <v>1.43</v>
          </cell>
          <cell r="H66">
            <v>1.5</v>
          </cell>
          <cell r="I66">
            <v>0.88</v>
          </cell>
          <cell r="J66">
            <v>1.03</v>
          </cell>
          <cell r="K66">
            <v>1.65</v>
          </cell>
          <cell r="L66">
            <v>1.52</v>
          </cell>
          <cell r="M66">
            <v>1.41</v>
          </cell>
        </row>
        <row r="67">
          <cell r="B67" t="str">
            <v>VVC</v>
          </cell>
          <cell r="C67">
            <v>2.5499999999999998</v>
          </cell>
          <cell r="D67">
            <v>2.39</v>
          </cell>
          <cell r="E67">
            <v>2.02</v>
          </cell>
          <cell r="F67">
            <v>1.66</v>
          </cell>
          <cell r="G67">
            <v>1.94</v>
          </cell>
          <cell r="H67">
            <v>1.73</v>
          </cell>
          <cell r="I67">
            <v>1.64</v>
          </cell>
          <cell r="J67">
            <v>1.79</v>
          </cell>
          <cell r="K67">
            <v>1.63</v>
          </cell>
          <cell r="L67">
            <v>1.83</v>
          </cell>
          <cell r="M67">
            <v>1.44</v>
          </cell>
        </row>
        <row r="68">
          <cell r="B68" t="str">
            <v>WEC</v>
          </cell>
          <cell r="C68">
            <v>2.96</v>
          </cell>
          <cell r="D68">
            <v>2.34</v>
          </cell>
          <cell r="E68">
            <v>2.59</v>
          </cell>
          <cell r="F68">
            <v>2.5099999999999998</v>
          </cell>
          <cell r="G68">
            <v>2.35</v>
          </cell>
          <cell r="H68">
            <v>2.1800000000000002</v>
          </cell>
          <cell r="I68">
            <v>1.92</v>
          </cell>
          <cell r="J68">
            <v>1.6</v>
          </cell>
          <cell r="K68">
            <v>1.5149999999999999</v>
          </cell>
          <cell r="L68">
            <v>1.42</v>
          </cell>
          <cell r="M68">
            <v>1.32</v>
          </cell>
        </row>
        <row r="69">
          <cell r="B69" t="str">
            <v>WR</v>
          </cell>
          <cell r="C69">
            <v>2.4300000000000002</v>
          </cell>
          <cell r="D69">
            <v>2.09</v>
          </cell>
          <cell r="E69">
            <v>2.35</v>
          </cell>
          <cell r="F69">
            <v>2.27</v>
          </cell>
          <cell r="G69">
            <v>2.15</v>
          </cell>
          <cell r="H69">
            <v>1.79</v>
          </cell>
          <cell r="I69">
            <v>1.8</v>
          </cell>
          <cell r="J69">
            <v>1.28</v>
          </cell>
          <cell r="K69">
            <v>1.31</v>
          </cell>
          <cell r="L69">
            <v>1.84</v>
          </cell>
          <cell r="M69">
            <v>1.88</v>
          </cell>
        </row>
        <row r="70">
          <cell r="B70" t="str">
            <v>WGL</v>
          </cell>
          <cell r="C70">
            <v>3.27</v>
          </cell>
          <cell r="D70">
            <v>3.16</v>
          </cell>
          <cell r="E70">
            <v>2.68</v>
          </cell>
          <cell r="F70">
            <v>2.31</v>
          </cell>
          <cell r="G70">
            <v>2.68</v>
          </cell>
          <cell r="H70">
            <v>2.25</v>
          </cell>
          <cell r="I70">
            <v>2.27</v>
          </cell>
          <cell r="J70">
            <v>2.5299999999999998</v>
          </cell>
          <cell r="K70">
            <v>2.44</v>
          </cell>
          <cell r="L70">
            <v>2.09</v>
          </cell>
          <cell r="M70">
            <v>1.94</v>
          </cell>
        </row>
        <row r="71">
          <cell r="B71" t="str">
            <v>XEL</v>
          </cell>
          <cell r="C71">
            <v>2.21</v>
          </cell>
          <cell r="D71">
            <v>2.1</v>
          </cell>
          <cell r="E71">
            <v>2.0299999999999998</v>
          </cell>
          <cell r="F71">
            <v>1.91</v>
          </cell>
          <cell r="G71">
            <v>1.85</v>
          </cell>
          <cell r="H71">
            <v>1.72</v>
          </cell>
          <cell r="I71">
            <v>1.56</v>
          </cell>
          <cell r="J71">
            <v>1.49</v>
          </cell>
          <cell r="K71">
            <v>1.46</v>
          </cell>
          <cell r="L71">
            <v>1.35</v>
          </cell>
          <cell r="M71">
            <v>1.35</v>
          </cell>
        </row>
        <row r="72">
          <cell r="B72" t="str">
            <v>YORW</v>
          </cell>
          <cell r="C72">
            <v>0.92</v>
          </cell>
          <cell r="D72">
            <v>0.97</v>
          </cell>
          <cell r="E72">
            <v>0.89</v>
          </cell>
          <cell r="F72">
            <v>0.75</v>
          </cell>
          <cell r="G72">
            <v>0.72</v>
          </cell>
          <cell r="H72">
            <v>0.71</v>
          </cell>
          <cell r="I72">
            <v>0.71</v>
          </cell>
          <cell r="J72">
            <v>0.64</v>
          </cell>
          <cell r="K72">
            <v>0.56999999999999995</v>
          </cell>
          <cell r="L72">
            <v>0.56999999999999995</v>
          </cell>
          <cell r="M72">
            <v>0.57999999999999996</v>
          </cell>
        </row>
      </sheetData>
      <sheetData sheetId="33">
        <row r="3">
          <cell r="B3" t="str">
            <v>Ticker</v>
          </cell>
          <cell r="C3" t="str">
            <v>2016 Div declared per share</v>
          </cell>
          <cell r="D3" t="str">
            <v>2015 Div declared per share</v>
          </cell>
          <cell r="E3" t="str">
            <v>2014 Div declared per share</v>
          </cell>
          <cell r="F3" t="str">
            <v>2013 Div declared per share</v>
          </cell>
          <cell r="G3" t="str">
            <v>2012 Div declared per share</v>
          </cell>
          <cell r="H3" t="str">
            <v>2011 Div declared per share</v>
          </cell>
          <cell r="I3" t="str">
            <v>2010 Div declared per share</v>
          </cell>
          <cell r="J3" t="str">
            <v>2009 Div declared per share</v>
          </cell>
          <cell r="K3" t="str">
            <v>2008 Div declared per share</v>
          </cell>
          <cell r="L3" t="str">
            <v>2007 Div declared per share</v>
          </cell>
          <cell r="M3" t="str">
            <v>2006 Div declared per share</v>
          </cell>
        </row>
        <row r="4">
          <cell r="B4" t="str">
            <v>AE</v>
          </cell>
          <cell r="C4">
            <v>0.88</v>
          </cell>
          <cell r="D4">
            <v>0.88</v>
          </cell>
          <cell r="E4">
            <v>0.88</v>
          </cell>
          <cell r="F4">
            <v>0.66</v>
          </cell>
          <cell r="G4">
            <v>0.62</v>
          </cell>
          <cell r="H4">
            <v>0.56999999999999995</v>
          </cell>
          <cell r="I4">
            <v>0.54</v>
          </cell>
          <cell r="J4">
            <v>0.5</v>
          </cell>
          <cell r="K4">
            <v>0.5</v>
          </cell>
          <cell r="L4">
            <v>0.47</v>
          </cell>
          <cell r="M4">
            <v>0.42</v>
          </cell>
        </row>
        <row r="5">
          <cell r="B5" t="str">
            <v>ALE</v>
          </cell>
          <cell r="C5">
            <v>2.08</v>
          </cell>
          <cell r="D5">
            <v>2.02</v>
          </cell>
          <cell r="E5">
            <v>1.96</v>
          </cell>
          <cell r="F5">
            <v>1.9</v>
          </cell>
          <cell r="G5">
            <v>1.84</v>
          </cell>
          <cell r="H5">
            <v>1.78</v>
          </cell>
          <cell r="I5">
            <v>1.76</v>
          </cell>
          <cell r="J5">
            <v>1.76</v>
          </cell>
          <cell r="K5">
            <v>1.72</v>
          </cell>
          <cell r="L5">
            <v>1.64</v>
          </cell>
          <cell r="M5">
            <v>1.45</v>
          </cell>
        </row>
        <row r="6">
          <cell r="B6" t="str">
            <v>LNT</v>
          </cell>
          <cell r="C6">
            <v>1.18</v>
          </cell>
          <cell r="D6">
            <v>1.1000000000000001</v>
          </cell>
          <cell r="E6">
            <v>1.02</v>
          </cell>
          <cell r="F6">
            <v>0.94</v>
          </cell>
          <cell r="G6">
            <v>0.9</v>
          </cell>
          <cell r="H6">
            <v>0.85</v>
          </cell>
          <cell r="I6">
            <v>0.79</v>
          </cell>
          <cell r="J6">
            <v>0.75</v>
          </cell>
          <cell r="K6">
            <v>0.7</v>
          </cell>
          <cell r="L6">
            <v>0.63500000000000001</v>
          </cell>
          <cell r="M6">
            <v>0.57499999999999996</v>
          </cell>
        </row>
        <row r="7">
          <cell r="B7" t="str">
            <v>AEP</v>
          </cell>
          <cell r="C7">
            <v>2.27</v>
          </cell>
          <cell r="D7">
            <v>2.15</v>
          </cell>
          <cell r="E7">
            <v>2.0299999999999998</v>
          </cell>
          <cell r="F7">
            <v>1.95</v>
          </cell>
          <cell r="G7">
            <v>1.88</v>
          </cell>
          <cell r="H7">
            <v>1.85</v>
          </cell>
          <cell r="I7">
            <v>1.71</v>
          </cell>
          <cell r="J7">
            <v>1.64</v>
          </cell>
          <cell r="K7">
            <v>1.64</v>
          </cell>
          <cell r="L7">
            <v>1.58</v>
          </cell>
          <cell r="M7">
            <v>1.5</v>
          </cell>
        </row>
        <row r="8">
          <cell r="B8" t="str">
            <v>AWR</v>
          </cell>
          <cell r="C8">
            <v>0.91400000000000003</v>
          </cell>
          <cell r="D8">
            <v>0.874</v>
          </cell>
          <cell r="E8">
            <v>0.83099999999999996</v>
          </cell>
          <cell r="F8">
            <v>0.76</v>
          </cell>
          <cell r="G8">
            <v>0.63500000000000001</v>
          </cell>
          <cell r="H8">
            <v>0.55000000000000004</v>
          </cell>
          <cell r="I8">
            <v>0.52</v>
          </cell>
          <cell r="J8">
            <v>0.505</v>
          </cell>
          <cell r="K8">
            <v>0.5</v>
          </cell>
          <cell r="L8">
            <v>0.47799999999999998</v>
          </cell>
          <cell r="M8">
            <v>0.45500000000000002</v>
          </cell>
        </row>
        <row r="9">
          <cell r="B9" t="str">
            <v>AWK</v>
          </cell>
          <cell r="C9">
            <v>1.47</v>
          </cell>
          <cell r="D9">
            <v>1.33</v>
          </cell>
          <cell r="E9">
            <v>1.21</v>
          </cell>
          <cell r="F9">
            <v>0.84</v>
          </cell>
          <cell r="G9">
            <v>1.21</v>
          </cell>
          <cell r="H9">
            <v>0.9</v>
          </cell>
          <cell r="I9">
            <v>0.86</v>
          </cell>
          <cell r="J9">
            <v>0.82</v>
          </cell>
          <cell r="K9">
            <v>0.4</v>
          </cell>
          <cell r="L9">
            <v>0</v>
          </cell>
          <cell r="M9">
            <v>0</v>
          </cell>
        </row>
        <row r="10">
          <cell r="B10" t="str">
            <v>AEE</v>
          </cell>
          <cell r="C10">
            <v>1.7150000000000001</v>
          </cell>
          <cell r="D10">
            <v>1.655</v>
          </cell>
          <cell r="E10">
            <v>1.61</v>
          </cell>
          <cell r="F10">
            <v>1.6</v>
          </cell>
          <cell r="G10">
            <v>1.6</v>
          </cell>
          <cell r="H10">
            <v>1.5549999999999999</v>
          </cell>
          <cell r="I10">
            <v>1.54</v>
          </cell>
          <cell r="J10">
            <v>1.54</v>
          </cell>
          <cell r="K10">
            <v>2.54</v>
          </cell>
          <cell r="L10">
            <v>2.54</v>
          </cell>
          <cell r="M10">
            <v>2.54</v>
          </cell>
        </row>
        <row r="11">
          <cell r="B11" t="str">
            <v>APU</v>
          </cell>
          <cell r="C11">
            <v>3.72</v>
          </cell>
          <cell r="D11">
            <v>3.6</v>
          </cell>
          <cell r="E11">
            <v>3.44</v>
          </cell>
          <cell r="F11">
            <v>3.28</v>
          </cell>
          <cell r="G11">
            <v>3.1</v>
          </cell>
          <cell r="H11">
            <v>2.9249999999999998</v>
          </cell>
          <cell r="I11">
            <v>2.7850000000000001</v>
          </cell>
          <cell r="J11">
            <v>2.62</v>
          </cell>
          <cell r="K11">
            <v>2.5299999999999998</v>
          </cell>
          <cell r="L11">
            <v>2.66</v>
          </cell>
          <cell r="M11">
            <v>2.2799999999999998</v>
          </cell>
        </row>
        <row r="12">
          <cell r="B12" t="str">
            <v>WTR</v>
          </cell>
          <cell r="C12">
            <v>0.74</v>
          </cell>
          <cell r="D12">
            <v>0.69</v>
          </cell>
          <cell r="E12">
            <v>0.63</v>
          </cell>
          <cell r="F12">
            <v>0.57999999999999996</v>
          </cell>
          <cell r="G12">
            <v>0.53600000000000003</v>
          </cell>
          <cell r="H12">
            <v>0.504</v>
          </cell>
          <cell r="I12">
            <v>0.47199999999999998</v>
          </cell>
          <cell r="J12">
            <v>0.44</v>
          </cell>
          <cell r="K12">
            <v>0.40799999999999997</v>
          </cell>
          <cell r="L12">
            <v>0.38400000000000001</v>
          </cell>
          <cell r="M12">
            <v>0.35199999999999998</v>
          </cell>
        </row>
        <row r="13">
          <cell r="B13" t="str">
            <v>ARTNA</v>
          </cell>
          <cell r="C13">
            <v>0.9</v>
          </cell>
          <cell r="D13">
            <v>0.873</v>
          </cell>
          <cell r="E13">
            <v>0.84799999999999998</v>
          </cell>
          <cell r="F13">
            <v>0.82399999999999995</v>
          </cell>
          <cell r="G13">
            <v>0.79200000000000004</v>
          </cell>
          <cell r="H13">
            <v>0.76300000000000001</v>
          </cell>
          <cell r="I13">
            <v>0.752</v>
          </cell>
          <cell r="J13">
            <v>0.72099999999999997</v>
          </cell>
          <cell r="K13">
            <v>0.70599999999999996</v>
          </cell>
          <cell r="L13">
            <v>0.66400000000000003</v>
          </cell>
          <cell r="M13">
            <v>0.61</v>
          </cell>
        </row>
        <row r="14">
          <cell r="B14" t="str">
            <v>ATO</v>
          </cell>
          <cell r="C14">
            <v>1.68</v>
          </cell>
          <cell r="D14">
            <v>1.56</v>
          </cell>
          <cell r="E14">
            <v>1.48</v>
          </cell>
          <cell r="F14">
            <v>1.4</v>
          </cell>
          <cell r="G14">
            <v>1.38</v>
          </cell>
          <cell r="H14">
            <v>1.36</v>
          </cell>
          <cell r="I14">
            <v>1.34</v>
          </cell>
          <cell r="J14">
            <v>1.32</v>
          </cell>
          <cell r="K14">
            <v>1.3</v>
          </cell>
          <cell r="L14">
            <v>1.28</v>
          </cell>
          <cell r="M14">
            <v>1.26</v>
          </cell>
        </row>
        <row r="15">
          <cell r="B15" t="str">
            <v>AGR</v>
          </cell>
          <cell r="C15">
            <v>1.728</v>
          </cell>
          <cell r="D15">
            <v>0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1.37</v>
          </cell>
          <cell r="D16">
            <v>1.32</v>
          </cell>
          <cell r="E16">
            <v>1.27</v>
          </cell>
          <cell r="F16">
            <v>1.22</v>
          </cell>
          <cell r="G16">
            <v>1.1599999999999999</v>
          </cell>
          <cell r="H16">
            <v>1.1000000000000001</v>
          </cell>
          <cell r="I16">
            <v>1</v>
          </cell>
          <cell r="J16">
            <v>0.81</v>
          </cell>
          <cell r="K16">
            <v>0.69</v>
          </cell>
          <cell r="L16">
            <v>0.59499999999999997</v>
          </cell>
          <cell r="M16">
            <v>0.56999999999999995</v>
          </cell>
        </row>
        <row r="17">
          <cell r="B17" t="str">
            <v>BKH</v>
          </cell>
          <cell r="C17">
            <v>1.68</v>
          </cell>
          <cell r="D17">
            <v>1.62</v>
          </cell>
          <cell r="E17">
            <v>1.56</v>
          </cell>
          <cell r="F17">
            <v>1.52</v>
          </cell>
          <cell r="G17">
            <v>1.48</v>
          </cell>
          <cell r="H17">
            <v>1.46</v>
          </cell>
          <cell r="I17">
            <v>1.44</v>
          </cell>
          <cell r="J17">
            <v>1.42</v>
          </cell>
          <cell r="K17">
            <v>1.4</v>
          </cell>
          <cell r="L17">
            <v>1.37</v>
          </cell>
          <cell r="M17">
            <v>1.32</v>
          </cell>
        </row>
        <row r="18">
          <cell r="B18" t="str">
            <v>CWT</v>
          </cell>
          <cell r="C18">
            <v>0.69</v>
          </cell>
          <cell r="D18">
            <v>0.67</v>
          </cell>
          <cell r="E18">
            <v>0.65</v>
          </cell>
          <cell r="F18">
            <v>0.64</v>
          </cell>
          <cell r="G18">
            <v>0.63</v>
          </cell>
          <cell r="H18">
            <v>0.61499999999999999</v>
          </cell>
          <cell r="I18">
            <v>0.59499999999999997</v>
          </cell>
          <cell r="J18">
            <v>0.59</v>
          </cell>
          <cell r="K18">
            <v>0.58499999999999996</v>
          </cell>
          <cell r="L18">
            <v>0.57999999999999996</v>
          </cell>
          <cell r="M18">
            <v>0.57499999999999996</v>
          </cell>
        </row>
        <row r="19">
          <cell r="B19" t="str">
            <v>CNP</v>
          </cell>
          <cell r="C19">
            <v>1.03</v>
          </cell>
          <cell r="D19">
            <v>0.99</v>
          </cell>
          <cell r="E19">
            <v>0.95</v>
          </cell>
          <cell r="F19">
            <v>0.83</v>
          </cell>
          <cell r="G19">
            <v>0.81</v>
          </cell>
          <cell r="H19">
            <v>0.79</v>
          </cell>
          <cell r="I19">
            <v>0.78</v>
          </cell>
          <cell r="J19">
            <v>0.76</v>
          </cell>
          <cell r="K19">
            <v>0.73</v>
          </cell>
          <cell r="L19">
            <v>0.68</v>
          </cell>
          <cell r="M19">
            <v>0.6</v>
          </cell>
        </row>
        <row r="20">
          <cell r="B20" t="str">
            <v>CPK</v>
          </cell>
          <cell r="C20">
            <v>1.19</v>
          </cell>
          <cell r="D20">
            <v>1.1200000000000001</v>
          </cell>
          <cell r="E20">
            <v>1.0669999999999999</v>
          </cell>
          <cell r="F20">
            <v>1.0129999999999999</v>
          </cell>
          <cell r="G20">
            <v>0.96</v>
          </cell>
          <cell r="H20">
            <v>0.91</v>
          </cell>
          <cell r="I20">
            <v>0.87</v>
          </cell>
          <cell r="J20">
            <v>0.83299999999999996</v>
          </cell>
          <cell r="K20">
            <v>0.80700000000000005</v>
          </cell>
          <cell r="L20">
            <v>0.78300000000000003</v>
          </cell>
          <cell r="M20">
            <v>0.77</v>
          </cell>
        </row>
        <row r="21">
          <cell r="B21" t="str">
            <v>CMS</v>
          </cell>
          <cell r="C21">
            <v>1.24</v>
          </cell>
          <cell r="D21">
            <v>1.1599999999999999</v>
          </cell>
          <cell r="E21">
            <v>1.08</v>
          </cell>
          <cell r="F21">
            <v>1.02</v>
          </cell>
          <cell r="G21">
            <v>0.96</v>
          </cell>
          <cell r="H21">
            <v>0.84</v>
          </cell>
          <cell r="I21">
            <v>0.66</v>
          </cell>
          <cell r="J21">
            <v>0.5</v>
          </cell>
          <cell r="K21">
            <v>0.36</v>
          </cell>
          <cell r="L21">
            <v>0.2</v>
          </cell>
          <cell r="M21">
            <v>0</v>
          </cell>
        </row>
        <row r="22">
          <cell r="B22" t="str">
            <v>CTWS</v>
          </cell>
          <cell r="C22">
            <v>1.1200000000000001</v>
          </cell>
          <cell r="D22">
            <v>1.05</v>
          </cell>
          <cell r="E22">
            <v>1.01</v>
          </cell>
          <cell r="F22">
            <v>0.98</v>
          </cell>
          <cell r="G22">
            <v>0.96</v>
          </cell>
          <cell r="H22">
            <v>0.94</v>
          </cell>
          <cell r="I22">
            <v>0.92</v>
          </cell>
          <cell r="J22">
            <v>0.9</v>
          </cell>
          <cell r="K22">
            <v>0.88</v>
          </cell>
          <cell r="L22">
            <v>0.87</v>
          </cell>
          <cell r="M22">
            <v>0.85499999999999998</v>
          </cell>
        </row>
        <row r="23">
          <cell r="B23" t="str">
            <v>ED</v>
          </cell>
          <cell r="C23">
            <v>2.68</v>
          </cell>
          <cell r="D23">
            <v>2.6</v>
          </cell>
          <cell r="E23">
            <v>2.52</v>
          </cell>
          <cell r="F23">
            <v>2.46</v>
          </cell>
          <cell r="G23">
            <v>2.42</v>
          </cell>
          <cell r="H23">
            <v>2.4</v>
          </cell>
          <cell r="I23">
            <v>2.38</v>
          </cell>
          <cell r="J23">
            <v>2.36</v>
          </cell>
          <cell r="K23">
            <v>2.34</v>
          </cell>
          <cell r="L23">
            <v>2.3199999999999998</v>
          </cell>
          <cell r="M23">
            <v>2.2999999999999998</v>
          </cell>
        </row>
        <row r="24">
          <cell r="B24" t="str">
            <v>CWCO</v>
          </cell>
          <cell r="C24">
            <v>0.3</v>
          </cell>
          <cell r="D24">
            <v>0.3</v>
          </cell>
          <cell r="E24">
            <v>0.3</v>
          </cell>
          <cell r="F24">
            <v>0.3</v>
          </cell>
          <cell r="G24">
            <v>0.3</v>
          </cell>
          <cell r="H24">
            <v>0.3</v>
          </cell>
          <cell r="I24">
            <v>0.3</v>
          </cell>
          <cell r="J24">
            <v>0.28000000000000003</v>
          </cell>
          <cell r="K24">
            <v>0.32500000000000001</v>
          </cell>
          <cell r="L24">
            <v>0.19500000000000001</v>
          </cell>
          <cell r="M24">
            <v>0.24</v>
          </cell>
        </row>
        <row r="25">
          <cell r="B25" t="str">
            <v>DGAS</v>
          </cell>
          <cell r="C25">
            <v>0.82</v>
          </cell>
          <cell r="D25">
            <v>0.8</v>
          </cell>
          <cell r="E25">
            <v>0.76</v>
          </cell>
          <cell r="F25">
            <v>0.72</v>
          </cell>
          <cell r="G25">
            <v>0.7</v>
          </cell>
          <cell r="H25">
            <v>0.68</v>
          </cell>
          <cell r="I25">
            <v>0.65</v>
          </cell>
          <cell r="J25">
            <v>0.64</v>
          </cell>
          <cell r="K25">
            <v>0.62</v>
          </cell>
          <cell r="L25">
            <v>0.61</v>
          </cell>
          <cell r="M25">
            <v>0.6</v>
          </cell>
        </row>
        <row r="26">
          <cell r="B26" t="str">
            <v>D</v>
          </cell>
          <cell r="C26">
            <v>2.8</v>
          </cell>
          <cell r="D26">
            <v>2.59</v>
          </cell>
          <cell r="E26">
            <v>2.4</v>
          </cell>
          <cell r="F26">
            <v>2.25</v>
          </cell>
          <cell r="G26">
            <v>2.11</v>
          </cell>
          <cell r="H26">
            <v>1.97</v>
          </cell>
          <cell r="I26">
            <v>1.83</v>
          </cell>
          <cell r="J26">
            <v>1.75</v>
          </cell>
          <cell r="K26">
            <v>1.58</v>
          </cell>
          <cell r="L26">
            <v>1.46</v>
          </cell>
          <cell r="M26">
            <v>1.38</v>
          </cell>
        </row>
        <row r="27">
          <cell r="B27" t="str">
            <v>DTE</v>
          </cell>
          <cell r="C27">
            <v>3.06</v>
          </cell>
          <cell r="D27">
            <v>2.84</v>
          </cell>
          <cell r="E27">
            <v>2.69</v>
          </cell>
          <cell r="F27">
            <v>2.59</v>
          </cell>
          <cell r="G27">
            <v>2.42</v>
          </cell>
          <cell r="H27">
            <v>2.3199999999999998</v>
          </cell>
          <cell r="I27">
            <v>2.1800000000000002</v>
          </cell>
          <cell r="J27">
            <v>2.12</v>
          </cell>
          <cell r="K27">
            <v>2.12</v>
          </cell>
          <cell r="L27">
            <v>2.12</v>
          </cell>
          <cell r="M27">
            <v>2.0750000000000002</v>
          </cell>
        </row>
        <row r="28">
          <cell r="B28" t="str">
            <v>DUK</v>
          </cell>
          <cell r="C28">
            <v>3.36</v>
          </cell>
          <cell r="D28">
            <v>3.24</v>
          </cell>
          <cell r="E28">
            <v>3.15</v>
          </cell>
          <cell r="F28">
            <v>3.09</v>
          </cell>
          <cell r="G28">
            <v>3.03</v>
          </cell>
          <cell r="H28">
            <v>2.97</v>
          </cell>
          <cell r="I28">
            <v>2.91</v>
          </cell>
          <cell r="J28">
            <v>2.82</v>
          </cell>
          <cell r="K28">
            <v>2.7</v>
          </cell>
          <cell r="L28">
            <v>2.58</v>
          </cell>
          <cell r="M28">
            <v>0</v>
          </cell>
        </row>
        <row r="29">
          <cell r="B29" t="str">
            <v>EIX</v>
          </cell>
          <cell r="C29">
            <v>1.9830000000000001</v>
          </cell>
          <cell r="D29">
            <v>1.7330000000000001</v>
          </cell>
          <cell r="E29">
            <v>1.4830000000000001</v>
          </cell>
          <cell r="F29">
            <v>1.3680000000000001</v>
          </cell>
          <cell r="G29">
            <v>1.3129999999999999</v>
          </cell>
          <cell r="H29">
            <v>1.2849999999999999</v>
          </cell>
          <cell r="I29">
            <v>1.2649999999999999</v>
          </cell>
          <cell r="J29">
            <v>1.2450000000000001</v>
          </cell>
          <cell r="K29">
            <v>1.2250000000000001</v>
          </cell>
          <cell r="L29">
            <v>1.175</v>
          </cell>
          <cell r="M29">
            <v>1.1000000000000001</v>
          </cell>
        </row>
        <row r="30">
          <cell r="B30" t="str">
            <v>EE</v>
          </cell>
          <cell r="C30">
            <v>1.2250000000000001</v>
          </cell>
          <cell r="D30">
            <v>1.165</v>
          </cell>
          <cell r="E30">
            <v>1.105</v>
          </cell>
          <cell r="F30">
            <v>1.0449999999999999</v>
          </cell>
          <cell r="G30">
            <v>0.97</v>
          </cell>
          <cell r="H30">
            <v>0.66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ETR</v>
          </cell>
          <cell r="C31">
            <v>3.42</v>
          </cell>
          <cell r="D31">
            <v>3.34</v>
          </cell>
          <cell r="E31">
            <v>3.32</v>
          </cell>
          <cell r="F31">
            <v>3.32</v>
          </cell>
          <cell r="G31">
            <v>3.32</v>
          </cell>
          <cell r="H31">
            <v>3.32</v>
          </cell>
          <cell r="I31">
            <v>3.24</v>
          </cell>
          <cell r="J31">
            <v>3</v>
          </cell>
          <cell r="K31">
            <v>3</v>
          </cell>
          <cell r="L31">
            <v>2.58</v>
          </cell>
          <cell r="M31">
            <v>2.16</v>
          </cell>
        </row>
        <row r="32">
          <cell r="B32" t="str">
            <v>ES</v>
          </cell>
          <cell r="C32">
            <v>1.78</v>
          </cell>
          <cell r="D32">
            <v>1.67</v>
          </cell>
          <cell r="E32">
            <v>1.57</v>
          </cell>
          <cell r="F32">
            <v>1.47</v>
          </cell>
          <cell r="G32">
            <v>1.32</v>
          </cell>
          <cell r="H32">
            <v>1.1000000000000001</v>
          </cell>
          <cell r="I32">
            <v>1.0249999999999999</v>
          </cell>
          <cell r="J32">
            <v>0.95</v>
          </cell>
          <cell r="K32">
            <v>0.82499999999999996</v>
          </cell>
          <cell r="L32">
            <v>0.77500000000000002</v>
          </cell>
          <cell r="M32">
            <v>0.72499999999999998</v>
          </cell>
        </row>
        <row r="33">
          <cell r="B33" t="str">
            <v>EXC</v>
          </cell>
          <cell r="C33">
            <v>1.26</v>
          </cell>
          <cell r="D33">
            <v>1.24</v>
          </cell>
          <cell r="E33">
            <v>1.24</v>
          </cell>
          <cell r="F33">
            <v>1.4550000000000001</v>
          </cell>
          <cell r="G33">
            <v>2.1</v>
          </cell>
          <cell r="H33">
            <v>2.1</v>
          </cell>
          <cell r="I33">
            <v>2.1</v>
          </cell>
          <cell r="J33">
            <v>2.1</v>
          </cell>
          <cell r="K33">
            <v>2.0499999999999998</v>
          </cell>
          <cell r="L33">
            <v>1.82</v>
          </cell>
          <cell r="M33">
            <v>1.64</v>
          </cell>
        </row>
        <row r="34">
          <cell r="B34" t="str">
            <v>FE</v>
          </cell>
          <cell r="C34">
            <v>1.44</v>
          </cell>
          <cell r="D34">
            <v>1.44</v>
          </cell>
          <cell r="E34">
            <v>1.44</v>
          </cell>
          <cell r="F34">
            <v>1.65</v>
          </cell>
          <cell r="G34">
            <v>2.2000000000000002</v>
          </cell>
          <cell r="H34">
            <v>2.2000000000000002</v>
          </cell>
          <cell r="I34">
            <v>2.2000000000000002</v>
          </cell>
          <cell r="J34">
            <v>2.2000000000000002</v>
          </cell>
          <cell r="K34">
            <v>2.2000000000000002</v>
          </cell>
          <cell r="L34">
            <v>2.0499999999999998</v>
          </cell>
          <cell r="M34">
            <v>1.85</v>
          </cell>
        </row>
        <row r="35">
          <cell r="B35" t="str">
            <v>FTS.TO</v>
          </cell>
          <cell r="C35">
            <v>1.55</v>
          </cell>
          <cell r="D35">
            <v>1.43</v>
          </cell>
          <cell r="E35">
            <v>1.3</v>
          </cell>
          <cell r="F35">
            <v>1.25</v>
          </cell>
          <cell r="G35">
            <v>1.21</v>
          </cell>
          <cell r="H35">
            <v>1.17</v>
          </cell>
          <cell r="I35">
            <v>1.1200000000000001</v>
          </cell>
          <cell r="J35">
            <v>1.04</v>
          </cell>
          <cell r="K35">
            <v>1</v>
          </cell>
          <cell r="L35">
            <v>0.82</v>
          </cell>
          <cell r="M35">
            <v>0.67</v>
          </cell>
        </row>
        <row r="36">
          <cell r="B36" t="str">
            <v>EGAS</v>
          </cell>
          <cell r="C36">
            <v>0.3</v>
          </cell>
          <cell r="D36">
            <v>0.54</v>
          </cell>
          <cell r="E36">
            <v>0.54</v>
          </cell>
          <cell r="F36">
            <v>0.54</v>
          </cell>
          <cell r="G36">
            <v>0.54</v>
          </cell>
          <cell r="H36">
            <v>0.54</v>
          </cell>
          <cell r="I36">
            <v>0.54</v>
          </cell>
          <cell r="J36">
            <v>0.52500000000000002</v>
          </cell>
          <cell r="K36">
            <v>0.215</v>
          </cell>
          <cell r="L36">
            <v>0.34</v>
          </cell>
          <cell r="M36">
            <v>0.113</v>
          </cell>
        </row>
        <row r="37">
          <cell r="B37" t="str">
            <v>GXP</v>
          </cell>
          <cell r="C37">
            <v>1.0549999999999999</v>
          </cell>
          <cell r="D37">
            <v>0.998</v>
          </cell>
          <cell r="E37">
            <v>0.93500000000000005</v>
          </cell>
          <cell r="F37">
            <v>0.88200000000000001</v>
          </cell>
          <cell r="G37">
            <v>0.85499999999999998</v>
          </cell>
          <cell r="H37">
            <v>0.83499999999999996</v>
          </cell>
          <cell r="I37">
            <v>0.83</v>
          </cell>
          <cell r="J37">
            <v>0.83</v>
          </cell>
          <cell r="K37">
            <v>1.66</v>
          </cell>
          <cell r="L37">
            <v>1.66</v>
          </cell>
          <cell r="M37">
            <v>1.66</v>
          </cell>
        </row>
        <row r="38">
          <cell r="B38" t="str">
            <v>HE</v>
          </cell>
          <cell r="C38">
            <v>1.24</v>
          </cell>
          <cell r="D38">
            <v>1.24</v>
          </cell>
          <cell r="E38">
            <v>1.24</v>
          </cell>
          <cell r="F38">
            <v>1.24</v>
          </cell>
          <cell r="G38">
            <v>1.24</v>
          </cell>
          <cell r="H38">
            <v>1.24</v>
          </cell>
          <cell r="I38">
            <v>1.24</v>
          </cell>
          <cell r="J38">
            <v>1.24</v>
          </cell>
          <cell r="K38">
            <v>1.24</v>
          </cell>
          <cell r="L38">
            <v>1.24</v>
          </cell>
          <cell r="M38">
            <v>1.24</v>
          </cell>
        </row>
        <row r="39">
          <cell r="B39" t="str">
            <v>IDA</v>
          </cell>
          <cell r="C39">
            <v>2.08</v>
          </cell>
          <cell r="D39">
            <v>1.92</v>
          </cell>
          <cell r="E39">
            <v>1.76</v>
          </cell>
          <cell r="F39">
            <v>1.57</v>
          </cell>
          <cell r="G39">
            <v>1.37</v>
          </cell>
          <cell r="H39">
            <v>1.2</v>
          </cell>
          <cell r="I39">
            <v>1.2</v>
          </cell>
          <cell r="J39">
            <v>1.2</v>
          </cell>
          <cell r="K39">
            <v>1.2</v>
          </cell>
          <cell r="L39">
            <v>1.2</v>
          </cell>
          <cell r="M39">
            <v>1.2</v>
          </cell>
        </row>
        <row r="40">
          <cell r="B40" t="str">
            <v>MGEE</v>
          </cell>
          <cell r="C40">
            <v>1.21</v>
          </cell>
          <cell r="D40">
            <v>1.1599999999999999</v>
          </cell>
          <cell r="E40">
            <v>1.1100000000000001</v>
          </cell>
          <cell r="F40">
            <v>1.07</v>
          </cell>
          <cell r="G40">
            <v>1.04</v>
          </cell>
          <cell r="H40">
            <v>1.0109999999999999</v>
          </cell>
          <cell r="I40">
            <v>0.99299999999999999</v>
          </cell>
          <cell r="J40">
            <v>0.97299999999999998</v>
          </cell>
          <cell r="K40">
            <v>0.95599999999999996</v>
          </cell>
          <cell r="L40">
            <v>0.94</v>
          </cell>
          <cell r="M40">
            <v>0.92700000000000005</v>
          </cell>
        </row>
        <row r="41">
          <cell r="B41" t="str">
            <v>MSEX</v>
          </cell>
          <cell r="C41">
            <v>0.80800000000000005</v>
          </cell>
          <cell r="D41">
            <v>0.77600000000000002</v>
          </cell>
          <cell r="E41">
            <v>0.76300000000000001</v>
          </cell>
          <cell r="F41">
            <v>0.753</v>
          </cell>
          <cell r="G41">
            <v>0.74299999999999999</v>
          </cell>
          <cell r="H41">
            <v>0.73299999999999998</v>
          </cell>
          <cell r="I41">
            <v>0.72299999999999998</v>
          </cell>
          <cell r="J41">
            <v>0.71299999999999997</v>
          </cell>
          <cell r="K41">
            <v>0.70299999999999996</v>
          </cell>
          <cell r="L41">
            <v>0.69299999999999995</v>
          </cell>
          <cell r="M41">
            <v>0.68300000000000005</v>
          </cell>
        </row>
        <row r="42">
          <cell r="B42" t="str">
            <v>NJR</v>
          </cell>
          <cell r="C42">
            <v>0.98</v>
          </cell>
          <cell r="D42">
            <v>0.93</v>
          </cell>
          <cell r="E42">
            <v>0.85499999999999998</v>
          </cell>
          <cell r="F42">
            <v>0.81</v>
          </cell>
          <cell r="G42">
            <v>0.77</v>
          </cell>
          <cell r="H42">
            <v>0.72</v>
          </cell>
          <cell r="I42">
            <v>0.68</v>
          </cell>
          <cell r="J42">
            <v>0.62</v>
          </cell>
          <cell r="K42">
            <v>0.55500000000000005</v>
          </cell>
          <cell r="L42">
            <v>0.50700000000000001</v>
          </cell>
          <cell r="M42">
            <v>0.48</v>
          </cell>
        </row>
        <row r="43">
          <cell r="B43" t="str">
            <v>NEE</v>
          </cell>
          <cell r="C43">
            <v>3.48</v>
          </cell>
          <cell r="D43">
            <v>3.08</v>
          </cell>
          <cell r="E43">
            <v>2.9</v>
          </cell>
          <cell r="F43">
            <v>2.64</v>
          </cell>
          <cell r="G43">
            <v>2.4</v>
          </cell>
          <cell r="H43">
            <v>2.2000000000000002</v>
          </cell>
          <cell r="I43">
            <v>2</v>
          </cell>
          <cell r="J43">
            <v>1.89</v>
          </cell>
          <cell r="K43">
            <v>1.78</v>
          </cell>
          <cell r="L43">
            <v>1.64</v>
          </cell>
          <cell r="M43">
            <v>1.5</v>
          </cell>
        </row>
        <row r="44">
          <cell r="B44" t="str">
            <v>NI</v>
          </cell>
          <cell r="C44">
            <v>0.64</v>
          </cell>
          <cell r="D44">
            <v>0.83</v>
          </cell>
          <cell r="E44">
            <v>1.02</v>
          </cell>
          <cell r="F44">
            <v>0.98</v>
          </cell>
          <cell r="G44">
            <v>0.94</v>
          </cell>
          <cell r="H44">
            <v>0.92</v>
          </cell>
          <cell r="I44">
            <v>0.92</v>
          </cell>
          <cell r="J44">
            <v>0.92</v>
          </cell>
          <cell r="K44">
            <v>0.92</v>
          </cell>
          <cell r="L44">
            <v>0.92</v>
          </cell>
          <cell r="M44">
            <v>0.92</v>
          </cell>
        </row>
        <row r="45">
          <cell r="B45" t="str">
            <v>NWN</v>
          </cell>
          <cell r="C45">
            <v>1.87</v>
          </cell>
          <cell r="D45">
            <v>1.86</v>
          </cell>
          <cell r="E45">
            <v>1.85</v>
          </cell>
          <cell r="F45">
            <v>1.83</v>
          </cell>
          <cell r="G45">
            <v>1.79</v>
          </cell>
          <cell r="H45">
            <v>1.75</v>
          </cell>
          <cell r="I45">
            <v>1.68</v>
          </cell>
          <cell r="J45">
            <v>1.6</v>
          </cell>
          <cell r="K45">
            <v>1.52</v>
          </cell>
          <cell r="L45">
            <v>1.44</v>
          </cell>
          <cell r="M45">
            <v>1.39</v>
          </cell>
        </row>
        <row r="46">
          <cell r="B46" t="str">
            <v>NWE</v>
          </cell>
          <cell r="C46">
            <v>2</v>
          </cell>
          <cell r="D46">
            <v>1.92</v>
          </cell>
          <cell r="E46">
            <v>1.6</v>
          </cell>
          <cell r="F46">
            <v>1.52</v>
          </cell>
          <cell r="G46">
            <v>1.48</v>
          </cell>
          <cell r="H46">
            <v>1.44</v>
          </cell>
          <cell r="I46">
            <v>1.36</v>
          </cell>
          <cell r="J46">
            <v>1.34</v>
          </cell>
          <cell r="K46">
            <v>1.32</v>
          </cell>
          <cell r="L46">
            <v>1.28</v>
          </cell>
          <cell r="M46">
            <v>1.24</v>
          </cell>
        </row>
        <row r="47">
          <cell r="B47" t="str">
            <v>OGE</v>
          </cell>
          <cell r="C47">
            <v>1.155</v>
          </cell>
          <cell r="D47">
            <v>1.05</v>
          </cell>
          <cell r="E47">
            <v>0.95</v>
          </cell>
          <cell r="F47">
            <v>0.85099999999999998</v>
          </cell>
          <cell r="G47">
            <v>0.79800000000000004</v>
          </cell>
          <cell r="H47">
            <v>0.75900000000000001</v>
          </cell>
          <cell r="I47">
            <v>0.73199999999999998</v>
          </cell>
          <cell r="J47">
            <v>0.71399999999999997</v>
          </cell>
          <cell r="K47">
            <v>0.69899999999999995</v>
          </cell>
          <cell r="L47">
            <v>0.68400000000000005</v>
          </cell>
          <cell r="M47">
            <v>0.66900000000000004</v>
          </cell>
        </row>
        <row r="48">
          <cell r="B48" t="str">
            <v>OGS</v>
          </cell>
          <cell r="C48">
            <v>1.4</v>
          </cell>
          <cell r="D48">
            <v>1.2</v>
          </cell>
          <cell r="E48">
            <v>0.84</v>
          </cell>
        </row>
        <row r="49">
          <cell r="B49" t="str">
            <v>OTTR</v>
          </cell>
          <cell r="C49">
            <v>1.25</v>
          </cell>
          <cell r="D49">
            <v>1.23</v>
          </cell>
          <cell r="E49">
            <v>1.21</v>
          </cell>
          <cell r="F49">
            <v>1.19</v>
          </cell>
          <cell r="G49">
            <v>1.19</v>
          </cell>
          <cell r="H49">
            <v>1.19</v>
          </cell>
          <cell r="I49">
            <v>1.19</v>
          </cell>
          <cell r="J49">
            <v>1.19</v>
          </cell>
          <cell r="K49">
            <v>1.19</v>
          </cell>
          <cell r="L49">
            <v>1.17</v>
          </cell>
          <cell r="M49">
            <v>1.1499999999999999</v>
          </cell>
        </row>
        <row r="50">
          <cell r="B50" t="str">
            <v>PCG</v>
          </cell>
          <cell r="C50">
            <v>1.925</v>
          </cell>
          <cell r="D50">
            <v>1.82</v>
          </cell>
          <cell r="E50">
            <v>1.82</v>
          </cell>
          <cell r="F50">
            <v>1.82</v>
          </cell>
          <cell r="G50">
            <v>1.82</v>
          </cell>
          <cell r="H50">
            <v>1.82</v>
          </cell>
          <cell r="I50">
            <v>1.82</v>
          </cell>
          <cell r="J50">
            <v>1.68</v>
          </cell>
          <cell r="K50">
            <v>1.56</v>
          </cell>
          <cell r="L50">
            <v>1.44</v>
          </cell>
          <cell r="M50">
            <v>1.32</v>
          </cell>
        </row>
        <row r="51">
          <cell r="B51" t="str">
            <v>PNW</v>
          </cell>
          <cell r="C51">
            <v>2.56</v>
          </cell>
          <cell r="D51">
            <v>2.44</v>
          </cell>
          <cell r="E51">
            <v>2.3250000000000002</v>
          </cell>
          <cell r="F51">
            <v>2.2250000000000001</v>
          </cell>
          <cell r="G51">
            <v>2.67</v>
          </cell>
          <cell r="H51">
            <v>2.1</v>
          </cell>
          <cell r="I51">
            <v>2.1</v>
          </cell>
          <cell r="J51">
            <v>2.1</v>
          </cell>
          <cell r="K51">
            <v>2.1</v>
          </cell>
          <cell r="L51">
            <v>2.1</v>
          </cell>
          <cell r="M51">
            <v>2.0249999999999999</v>
          </cell>
        </row>
        <row r="52">
          <cell r="B52" t="str">
            <v>PNM</v>
          </cell>
          <cell r="C52">
            <v>0.88</v>
          </cell>
          <cell r="D52">
            <v>0.8</v>
          </cell>
          <cell r="E52">
            <v>0.755</v>
          </cell>
          <cell r="F52">
            <v>0.68</v>
          </cell>
          <cell r="G52">
            <v>0.57999999999999996</v>
          </cell>
          <cell r="H52">
            <v>0.5</v>
          </cell>
          <cell r="I52">
            <v>0.5</v>
          </cell>
          <cell r="J52">
            <v>0.5</v>
          </cell>
          <cell r="K52">
            <v>0.60499999999999998</v>
          </cell>
          <cell r="L52">
            <v>0.91</v>
          </cell>
          <cell r="M52">
            <v>0.86</v>
          </cell>
        </row>
        <row r="53">
          <cell r="B53" t="str">
            <v>POR</v>
          </cell>
          <cell r="C53">
            <v>1.26</v>
          </cell>
          <cell r="D53">
            <v>1.18</v>
          </cell>
          <cell r="E53">
            <v>1.115</v>
          </cell>
          <cell r="F53">
            <v>1.095</v>
          </cell>
          <cell r="G53">
            <v>1.075</v>
          </cell>
          <cell r="H53">
            <v>1.0549999999999999</v>
          </cell>
          <cell r="I53">
            <v>1.0349999999999999</v>
          </cell>
          <cell r="J53">
            <v>1.01</v>
          </cell>
          <cell r="K53">
            <v>0.97</v>
          </cell>
          <cell r="L53">
            <v>0.93</v>
          </cell>
          <cell r="M53">
            <v>0.67500000000000004</v>
          </cell>
        </row>
        <row r="54">
          <cell r="B54" t="str">
            <v>PPL</v>
          </cell>
          <cell r="C54">
            <v>1.52</v>
          </cell>
          <cell r="D54">
            <v>1.5</v>
          </cell>
          <cell r="E54">
            <v>1.49</v>
          </cell>
          <cell r="F54">
            <v>1.47</v>
          </cell>
          <cell r="G54">
            <v>1.44</v>
          </cell>
          <cell r="H54">
            <v>1.4</v>
          </cell>
          <cell r="I54">
            <v>1.4</v>
          </cell>
          <cell r="J54">
            <v>1.38</v>
          </cell>
          <cell r="K54">
            <v>1.34</v>
          </cell>
          <cell r="L54">
            <v>1.22</v>
          </cell>
          <cell r="M54">
            <v>1.1000000000000001</v>
          </cell>
        </row>
        <row r="55">
          <cell r="B55" t="str">
            <v>PEG</v>
          </cell>
          <cell r="C55">
            <v>1.64</v>
          </cell>
          <cell r="D55">
            <v>1.56</v>
          </cell>
          <cell r="E55">
            <v>1.48</v>
          </cell>
          <cell r="F55">
            <v>1.44</v>
          </cell>
          <cell r="G55">
            <v>1.42</v>
          </cell>
          <cell r="H55">
            <v>1.37</v>
          </cell>
          <cell r="I55">
            <v>1.37</v>
          </cell>
          <cell r="J55">
            <v>1.33</v>
          </cell>
          <cell r="K55">
            <v>1.29</v>
          </cell>
          <cell r="L55">
            <v>1.17</v>
          </cell>
          <cell r="M55">
            <v>1.1399999999999999</v>
          </cell>
        </row>
        <row r="56">
          <cell r="B56" t="str">
            <v>RGCO</v>
          </cell>
          <cell r="C56">
            <v>0.54</v>
          </cell>
          <cell r="D56">
            <v>0.51300000000000001</v>
          </cell>
          <cell r="E56">
            <v>0.49299999999999999</v>
          </cell>
          <cell r="F56">
            <v>0.48</v>
          </cell>
          <cell r="G56">
            <v>0.46700000000000003</v>
          </cell>
          <cell r="H56">
            <v>0.45300000000000001</v>
          </cell>
          <cell r="I56">
            <v>0.44</v>
          </cell>
          <cell r="J56">
            <v>0.42699999999999999</v>
          </cell>
          <cell r="K56">
            <v>0.41699999999999998</v>
          </cell>
          <cell r="L56">
            <v>0.40699999999999997</v>
          </cell>
          <cell r="M56">
            <v>0.4</v>
          </cell>
        </row>
        <row r="57">
          <cell r="B57" t="str">
            <v>SCG</v>
          </cell>
          <cell r="C57">
            <v>2.2999999999999998</v>
          </cell>
          <cell r="D57">
            <v>2.1800000000000002</v>
          </cell>
          <cell r="E57">
            <v>2.1</v>
          </cell>
          <cell r="F57">
            <v>2.0299999999999998</v>
          </cell>
          <cell r="G57">
            <v>1.98</v>
          </cell>
          <cell r="H57">
            <v>1.94</v>
          </cell>
          <cell r="I57">
            <v>1.9</v>
          </cell>
          <cell r="J57">
            <v>1.88</v>
          </cell>
          <cell r="K57">
            <v>1.84</v>
          </cell>
          <cell r="L57">
            <v>1.76</v>
          </cell>
          <cell r="M57">
            <v>1.68</v>
          </cell>
        </row>
        <row r="58">
          <cell r="B58" t="str">
            <v>SRE</v>
          </cell>
          <cell r="C58">
            <v>3.02</v>
          </cell>
          <cell r="D58">
            <v>2.8</v>
          </cell>
          <cell r="E58">
            <v>2.64</v>
          </cell>
          <cell r="F58">
            <v>2.52</v>
          </cell>
          <cell r="G58">
            <v>2.4</v>
          </cell>
          <cell r="H58">
            <v>1.92</v>
          </cell>
          <cell r="I58">
            <v>1.56</v>
          </cell>
          <cell r="J58">
            <v>1.56</v>
          </cell>
          <cell r="K58">
            <v>1.37</v>
          </cell>
          <cell r="L58">
            <v>1.24</v>
          </cell>
          <cell r="M58">
            <v>1.2</v>
          </cell>
        </row>
        <row r="59">
          <cell r="B59" t="str">
            <v>SJW</v>
          </cell>
          <cell r="C59">
            <v>0.81</v>
          </cell>
          <cell r="D59">
            <v>0.78</v>
          </cell>
          <cell r="E59">
            <v>0.75</v>
          </cell>
          <cell r="F59">
            <v>0.73</v>
          </cell>
          <cell r="G59">
            <v>0.71</v>
          </cell>
          <cell r="H59">
            <v>0.69</v>
          </cell>
          <cell r="I59">
            <v>0.68</v>
          </cell>
          <cell r="J59">
            <v>0.66</v>
          </cell>
          <cell r="K59">
            <v>0.64500000000000002</v>
          </cell>
          <cell r="L59">
            <v>0.60499999999999998</v>
          </cell>
          <cell r="M59">
            <v>0.56499999999999995</v>
          </cell>
        </row>
        <row r="60">
          <cell r="B60" t="str">
            <v>SJI</v>
          </cell>
          <cell r="C60">
            <v>1.06</v>
          </cell>
          <cell r="D60">
            <v>1.02</v>
          </cell>
          <cell r="E60">
            <v>0.96</v>
          </cell>
          <cell r="F60">
            <v>0.9</v>
          </cell>
          <cell r="G60">
            <v>0.82499999999999996</v>
          </cell>
          <cell r="H60">
            <v>0.75</v>
          </cell>
          <cell r="I60">
            <v>0.68</v>
          </cell>
          <cell r="J60">
            <v>0.61</v>
          </cell>
          <cell r="K60">
            <v>0.55500000000000005</v>
          </cell>
          <cell r="L60">
            <v>0.505</v>
          </cell>
          <cell r="M60">
            <v>0.46</v>
          </cell>
        </row>
        <row r="61">
          <cell r="B61" t="str">
            <v>SO</v>
          </cell>
          <cell r="C61">
            <v>2.2229999999999999</v>
          </cell>
          <cell r="D61">
            <v>2.153</v>
          </cell>
          <cell r="E61">
            <v>2.0830000000000002</v>
          </cell>
          <cell r="F61">
            <v>2.0129999999999999</v>
          </cell>
          <cell r="G61">
            <v>1.9430000000000001</v>
          </cell>
          <cell r="H61">
            <v>1.873</v>
          </cell>
          <cell r="I61">
            <v>1.8029999999999999</v>
          </cell>
          <cell r="J61">
            <v>1.7330000000000001</v>
          </cell>
          <cell r="K61">
            <v>1.663</v>
          </cell>
          <cell r="L61">
            <v>1.595</v>
          </cell>
          <cell r="M61">
            <v>1.5349999999999999</v>
          </cell>
        </row>
        <row r="62">
          <cell r="B62" t="str">
            <v>SWX</v>
          </cell>
          <cell r="C62">
            <v>1.8</v>
          </cell>
          <cell r="D62">
            <v>1.62</v>
          </cell>
          <cell r="E62">
            <v>1.46</v>
          </cell>
          <cell r="F62">
            <v>1.32</v>
          </cell>
          <cell r="G62">
            <v>1.18</v>
          </cell>
          <cell r="H62">
            <v>1.06</v>
          </cell>
          <cell r="I62">
            <v>1</v>
          </cell>
          <cell r="J62">
            <v>0.95</v>
          </cell>
          <cell r="K62">
            <v>0.9</v>
          </cell>
          <cell r="L62">
            <v>0.86</v>
          </cell>
          <cell r="M62">
            <v>0.82</v>
          </cell>
        </row>
        <row r="63">
          <cell r="B63" t="str">
            <v>SR</v>
          </cell>
          <cell r="C63">
            <v>1.96</v>
          </cell>
          <cell r="D63">
            <v>1.84</v>
          </cell>
          <cell r="E63">
            <v>1.76</v>
          </cell>
          <cell r="F63">
            <v>1.7</v>
          </cell>
          <cell r="G63">
            <v>1.66</v>
          </cell>
          <cell r="H63">
            <v>1.61</v>
          </cell>
          <cell r="I63">
            <v>1.57</v>
          </cell>
          <cell r="J63">
            <v>1.53</v>
          </cell>
          <cell r="K63">
            <v>1.49</v>
          </cell>
          <cell r="L63">
            <v>1.45</v>
          </cell>
          <cell r="M63">
            <v>1.4</v>
          </cell>
        </row>
        <row r="64">
          <cell r="B64" t="str">
            <v>SGU</v>
          </cell>
          <cell r="C64">
            <v>0.39500000000000002</v>
          </cell>
          <cell r="D64">
            <v>0.36499999999999999</v>
          </cell>
          <cell r="E64">
            <v>0.34499999999999997</v>
          </cell>
          <cell r="F64">
            <v>0.32500000000000001</v>
          </cell>
          <cell r="G64">
            <v>0.31</v>
          </cell>
          <cell r="H64">
            <v>0.31</v>
          </cell>
          <cell r="I64">
            <v>0.28999999999999998</v>
          </cell>
          <cell r="J64">
            <v>0.27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>UGI</v>
          </cell>
          <cell r="C65">
            <v>0.93</v>
          </cell>
          <cell r="D65">
            <v>0.89</v>
          </cell>
          <cell r="E65">
            <v>0.79100000000000004</v>
          </cell>
          <cell r="F65">
            <v>0.74</v>
          </cell>
          <cell r="G65">
            <v>0.70699999999999996</v>
          </cell>
          <cell r="H65">
            <v>0.68</v>
          </cell>
          <cell r="I65">
            <v>0.6</v>
          </cell>
          <cell r="J65">
            <v>0.52300000000000002</v>
          </cell>
          <cell r="K65">
            <v>0.503</v>
          </cell>
          <cell r="L65">
            <v>0.48099999999999998</v>
          </cell>
          <cell r="M65">
            <v>0.45500000000000002</v>
          </cell>
        </row>
        <row r="66">
          <cell r="B66" t="str">
            <v>UTL</v>
          </cell>
          <cell r="C66">
            <v>1.42</v>
          </cell>
          <cell r="D66">
            <v>1.4</v>
          </cell>
          <cell r="E66">
            <v>1.385</v>
          </cell>
          <cell r="F66">
            <v>1.38</v>
          </cell>
          <cell r="G66">
            <v>1.38</v>
          </cell>
          <cell r="H66">
            <v>1.38</v>
          </cell>
          <cell r="I66">
            <v>1.38</v>
          </cell>
          <cell r="J66">
            <v>1.38</v>
          </cell>
          <cell r="K66">
            <v>1.38</v>
          </cell>
          <cell r="L66">
            <v>1.38</v>
          </cell>
          <cell r="M66">
            <v>1.38</v>
          </cell>
        </row>
        <row r="67">
          <cell r="B67" t="str">
            <v>VVC</v>
          </cell>
          <cell r="C67">
            <v>1.62</v>
          </cell>
          <cell r="D67">
            <v>1.54</v>
          </cell>
          <cell r="E67">
            <v>1.46</v>
          </cell>
          <cell r="F67">
            <v>1.425</v>
          </cell>
          <cell r="G67">
            <v>1.405</v>
          </cell>
          <cell r="H67">
            <v>1.385</v>
          </cell>
          <cell r="I67">
            <v>1.37</v>
          </cell>
          <cell r="J67">
            <v>1.35</v>
          </cell>
          <cell r="K67">
            <v>1.31</v>
          </cell>
          <cell r="L67">
            <v>1.27</v>
          </cell>
          <cell r="M67">
            <v>1.23</v>
          </cell>
        </row>
        <row r="68">
          <cell r="B68" t="str">
            <v>WEC</v>
          </cell>
          <cell r="C68">
            <v>1.98</v>
          </cell>
          <cell r="D68">
            <v>1.74</v>
          </cell>
          <cell r="E68">
            <v>1.56</v>
          </cell>
          <cell r="F68">
            <v>1.4450000000000001</v>
          </cell>
          <cell r="G68">
            <v>1.2</v>
          </cell>
          <cell r="H68">
            <v>1.04</v>
          </cell>
          <cell r="I68">
            <v>0.8</v>
          </cell>
          <cell r="J68">
            <v>0.67500000000000004</v>
          </cell>
          <cell r="K68">
            <v>0.54</v>
          </cell>
          <cell r="L68">
            <v>0.5</v>
          </cell>
          <cell r="M68">
            <v>0.46</v>
          </cell>
        </row>
        <row r="69">
          <cell r="B69" t="str">
            <v>WR</v>
          </cell>
          <cell r="C69">
            <v>1.52</v>
          </cell>
          <cell r="D69">
            <v>1.44</v>
          </cell>
          <cell r="E69">
            <v>1.4</v>
          </cell>
          <cell r="F69">
            <v>1.36</v>
          </cell>
          <cell r="G69">
            <v>1.32</v>
          </cell>
          <cell r="H69">
            <v>1.28</v>
          </cell>
          <cell r="I69">
            <v>1.24</v>
          </cell>
          <cell r="J69">
            <v>1.2</v>
          </cell>
          <cell r="K69">
            <v>1.1599999999999999</v>
          </cell>
          <cell r="L69">
            <v>1.08</v>
          </cell>
          <cell r="M69">
            <v>0.98</v>
          </cell>
        </row>
        <row r="70">
          <cell r="B70" t="str">
            <v>WGL</v>
          </cell>
          <cell r="C70">
            <v>1.93</v>
          </cell>
          <cell r="D70">
            <v>1.83</v>
          </cell>
          <cell r="E70">
            <v>1.72</v>
          </cell>
          <cell r="F70">
            <v>1.66</v>
          </cell>
          <cell r="G70">
            <v>1.59</v>
          </cell>
          <cell r="H70">
            <v>1.55</v>
          </cell>
          <cell r="I70">
            <v>1.5</v>
          </cell>
          <cell r="J70">
            <v>1.47</v>
          </cell>
          <cell r="K70">
            <v>1.4079999999999999</v>
          </cell>
          <cell r="L70">
            <v>1.365</v>
          </cell>
          <cell r="M70">
            <v>1.345</v>
          </cell>
        </row>
        <row r="71">
          <cell r="B71" t="str">
            <v>XEL</v>
          </cell>
          <cell r="C71">
            <v>1.36</v>
          </cell>
          <cell r="D71">
            <v>1.28</v>
          </cell>
          <cell r="E71">
            <v>1.2</v>
          </cell>
          <cell r="F71">
            <v>1.1100000000000001</v>
          </cell>
          <cell r="G71">
            <v>1.07</v>
          </cell>
          <cell r="H71">
            <v>1.03</v>
          </cell>
          <cell r="I71">
            <v>1</v>
          </cell>
          <cell r="J71">
            <v>0.97</v>
          </cell>
          <cell r="K71">
            <v>0.94</v>
          </cell>
          <cell r="L71">
            <v>0.91</v>
          </cell>
          <cell r="M71">
            <v>0.88</v>
          </cell>
        </row>
        <row r="72">
          <cell r="B72" t="str">
            <v>YORW</v>
          </cell>
          <cell r="C72" t="str">
            <v>N/A</v>
          </cell>
          <cell r="D72">
            <v>0.6</v>
          </cell>
          <cell r="E72">
            <v>0.57199999999999995</v>
          </cell>
          <cell r="F72">
            <v>0.55200000000000005</v>
          </cell>
          <cell r="G72">
            <v>0.53900000000000003</v>
          </cell>
          <cell r="H72">
            <v>0.52700000000000002</v>
          </cell>
          <cell r="I72">
            <v>0.51500000000000001</v>
          </cell>
          <cell r="J72">
            <v>0.50600000000000001</v>
          </cell>
          <cell r="K72">
            <v>0.48899999999999999</v>
          </cell>
          <cell r="L72">
            <v>0.47499999999999998</v>
          </cell>
          <cell r="M72">
            <v>0.45400000000000001</v>
          </cell>
        </row>
      </sheetData>
      <sheetData sheetId="34">
        <row r="3">
          <cell r="B3" t="str">
            <v>Ticker</v>
          </cell>
          <cell r="C3" t="str">
            <v>CapSpend2016</v>
          </cell>
          <cell r="D3" t="str">
            <v>CapSpend2015</v>
          </cell>
          <cell r="E3" t="str">
            <v>CapSpend2014</v>
          </cell>
          <cell r="F3" t="str">
            <v>CapSpend2013</v>
          </cell>
          <cell r="G3" t="str">
            <v>CapSpend2012</v>
          </cell>
          <cell r="H3" t="str">
            <v>CapSpend2011</v>
          </cell>
          <cell r="I3" t="str">
            <v>CapSpend2010</v>
          </cell>
          <cell r="J3" t="str">
            <v>CapSpend2009</v>
          </cell>
          <cell r="K3" t="str">
            <v>CapSpend2008</v>
          </cell>
          <cell r="L3" t="str">
            <v>CapSpend2007</v>
          </cell>
          <cell r="M3" t="str">
            <v>CapSpend2006</v>
          </cell>
        </row>
        <row r="4">
          <cell r="B4" t="str">
            <v>AE</v>
          </cell>
          <cell r="C4">
            <v>2.0110000000000001</v>
          </cell>
          <cell r="D4">
            <v>2.625</v>
          </cell>
          <cell r="E4">
            <v>7.2370000000000001</v>
          </cell>
          <cell r="F4">
            <v>6.5439999999999996</v>
          </cell>
          <cell r="G4">
            <v>12.095000000000001</v>
          </cell>
          <cell r="H4">
            <v>12.632</v>
          </cell>
          <cell r="I4">
            <v>5.3179999999999996</v>
          </cell>
          <cell r="J4">
            <v>5.3090000000000002</v>
          </cell>
          <cell r="K4">
            <v>4.194</v>
          </cell>
          <cell r="L4">
            <v>3.7559999999999998</v>
          </cell>
          <cell r="M4">
            <v>3.4620000000000002</v>
          </cell>
        </row>
        <row r="5">
          <cell r="B5" t="str">
            <v>ALE</v>
          </cell>
          <cell r="C5">
            <v>5.3550000000000004</v>
          </cell>
          <cell r="D5">
            <v>5.8410000000000002</v>
          </cell>
          <cell r="E5">
            <v>12.478999999999999</v>
          </cell>
          <cell r="F5">
            <v>7.9349999999999996</v>
          </cell>
          <cell r="G5">
            <v>10.298999999999999</v>
          </cell>
          <cell r="H5">
            <v>6.3789999999999996</v>
          </cell>
          <cell r="I5">
            <v>6.9530000000000003</v>
          </cell>
          <cell r="J5">
            <v>9.048</v>
          </cell>
          <cell r="K5">
            <v>9.2360000000000007</v>
          </cell>
          <cell r="L5">
            <v>6.8250000000000002</v>
          </cell>
          <cell r="M5">
            <v>3.3650000000000002</v>
          </cell>
        </row>
        <row r="6">
          <cell r="B6" t="str">
            <v>LNT</v>
          </cell>
          <cell r="C6" t="str">
            <v>N/A</v>
          </cell>
          <cell r="D6">
            <v>4.2480000000000002</v>
          </cell>
          <cell r="E6">
            <v>3.7810000000000001</v>
          </cell>
          <cell r="F6">
            <v>3.3170000000000002</v>
          </cell>
          <cell r="G6">
            <v>5.2169999999999996</v>
          </cell>
          <cell r="H6">
            <v>3.0329999999999999</v>
          </cell>
          <cell r="I6">
            <v>3.9089999999999998</v>
          </cell>
          <cell r="J6">
            <v>5.4340000000000002</v>
          </cell>
          <cell r="K6">
            <v>3.9790000000000001</v>
          </cell>
          <cell r="L6">
            <v>2.456</v>
          </cell>
          <cell r="M6">
            <v>1.7110000000000001</v>
          </cell>
        </row>
        <row r="7">
          <cell r="B7" t="str">
            <v>AEP</v>
          </cell>
          <cell r="C7">
            <v>9.9849999999999994</v>
          </cell>
          <cell r="D7">
            <v>9.3680000000000003</v>
          </cell>
          <cell r="E7">
            <v>8.6839999999999993</v>
          </cell>
          <cell r="F7">
            <v>7.7450000000000001</v>
          </cell>
          <cell r="G7">
            <v>6.4489999999999998</v>
          </cell>
          <cell r="H7">
            <v>5.74</v>
          </cell>
          <cell r="I7">
            <v>5.0659999999999998</v>
          </cell>
          <cell r="J7">
            <v>6.194</v>
          </cell>
          <cell r="K7">
            <v>9.8309999999999995</v>
          </cell>
          <cell r="L7">
            <v>8.8810000000000002</v>
          </cell>
          <cell r="M7">
            <v>8.8940000000000001</v>
          </cell>
        </row>
        <row r="8">
          <cell r="B8" t="str">
            <v>AWR</v>
          </cell>
          <cell r="C8">
            <v>3.5510000000000002</v>
          </cell>
          <cell r="D8">
            <v>2.3919999999999999</v>
          </cell>
          <cell r="E8">
            <v>1.8939999999999999</v>
          </cell>
          <cell r="F8">
            <v>2.5150000000000001</v>
          </cell>
          <cell r="G8">
            <v>1.768</v>
          </cell>
          <cell r="H8">
            <v>2.13</v>
          </cell>
          <cell r="I8">
            <v>2.121</v>
          </cell>
          <cell r="J8">
            <v>2.09</v>
          </cell>
          <cell r="K8">
            <v>2.226</v>
          </cell>
          <cell r="L8">
            <v>1.4470000000000001</v>
          </cell>
          <cell r="M8">
            <v>1.9530000000000001</v>
          </cell>
        </row>
        <row r="9">
          <cell r="B9" t="str">
            <v>AWK</v>
          </cell>
          <cell r="C9">
            <v>7.3609999999999998</v>
          </cell>
          <cell r="D9">
            <v>6.5069999999999997</v>
          </cell>
          <cell r="E9">
            <v>5.3280000000000003</v>
          </cell>
          <cell r="F9">
            <v>5.4989999999999997</v>
          </cell>
          <cell r="G9">
            <v>5.2469999999999999</v>
          </cell>
          <cell r="H9">
            <v>5.2649999999999997</v>
          </cell>
          <cell r="I9">
            <v>4.375</v>
          </cell>
          <cell r="J9">
            <v>4.4969999999999999</v>
          </cell>
          <cell r="K9">
            <v>6.3049999999999997</v>
          </cell>
          <cell r="L9">
            <v>4.7409999999999997</v>
          </cell>
          <cell r="M9">
            <v>4.3049999999999997</v>
          </cell>
        </row>
        <row r="10">
          <cell r="B10" t="str">
            <v>AEE</v>
          </cell>
          <cell r="C10">
            <v>8.7829999999999995</v>
          </cell>
          <cell r="D10">
            <v>8.1150000000000002</v>
          </cell>
          <cell r="E10">
            <v>7.6619999999999999</v>
          </cell>
          <cell r="F10">
            <v>5.8689999999999998</v>
          </cell>
          <cell r="G10">
            <v>5.4859999999999998</v>
          </cell>
          <cell r="H10">
            <v>4.5010000000000003</v>
          </cell>
          <cell r="I10">
            <v>4.6630000000000003</v>
          </cell>
          <cell r="J10">
            <v>7.5149999999999997</v>
          </cell>
          <cell r="K10">
            <v>9.7460000000000004</v>
          </cell>
          <cell r="L10">
            <v>6.9560000000000004</v>
          </cell>
          <cell r="M10">
            <v>4.99</v>
          </cell>
        </row>
        <row r="11">
          <cell r="B11" t="str">
            <v>APU</v>
          </cell>
          <cell r="C11">
            <v>1.0940000000000001</v>
          </cell>
          <cell r="D11">
            <v>1.0980000000000001</v>
          </cell>
          <cell r="E11">
            <v>1.2270000000000001</v>
          </cell>
          <cell r="F11">
            <v>1.196</v>
          </cell>
          <cell r="G11">
            <v>1.111</v>
          </cell>
          <cell r="H11">
            <v>1.3520000000000001</v>
          </cell>
          <cell r="I11">
            <v>1.4570000000000001</v>
          </cell>
          <cell r="J11">
            <v>1.38</v>
          </cell>
          <cell r="K11">
            <v>1.101</v>
          </cell>
          <cell r="L11">
            <v>1.298</v>
          </cell>
          <cell r="M11">
            <v>1.2450000000000001</v>
          </cell>
        </row>
        <row r="12">
          <cell r="B12" t="str">
            <v>WTR</v>
          </cell>
          <cell r="C12">
            <v>2.1589999999999998</v>
          </cell>
          <cell r="D12">
            <v>2.0659999999999998</v>
          </cell>
          <cell r="E12">
            <v>1.84</v>
          </cell>
          <cell r="F12">
            <v>1.732</v>
          </cell>
          <cell r="G12">
            <v>1.984</v>
          </cell>
          <cell r="H12">
            <v>1.9039999999999999</v>
          </cell>
          <cell r="I12">
            <v>1.8939999999999999</v>
          </cell>
          <cell r="J12">
            <v>1.6619999999999999</v>
          </cell>
          <cell r="K12">
            <v>1.58</v>
          </cell>
          <cell r="L12">
            <v>1.4279999999999999</v>
          </cell>
          <cell r="M12">
            <v>1.643</v>
          </cell>
        </row>
        <row r="13">
          <cell r="B13" t="str">
            <v>ARTNA</v>
          </cell>
          <cell r="C13">
            <v>3.0950000000000002</v>
          </cell>
          <cell r="D13">
            <v>2.2850000000000001</v>
          </cell>
          <cell r="E13">
            <v>2.6629999999999998</v>
          </cell>
          <cell r="F13">
            <v>2.4</v>
          </cell>
          <cell r="G13">
            <v>2.359</v>
          </cell>
          <cell r="H13">
            <v>1.833</v>
          </cell>
          <cell r="I13">
            <v>2.5659999999999998</v>
          </cell>
          <cell r="J13">
            <v>2.3170000000000002</v>
          </cell>
          <cell r="K13">
            <v>6.0880000000000001</v>
          </cell>
          <cell r="L13">
            <v>3.6619999999999999</v>
          </cell>
          <cell r="M13">
            <v>5.0759999999999996</v>
          </cell>
        </row>
        <row r="14">
          <cell r="B14" t="str">
            <v>ATO</v>
          </cell>
          <cell r="C14">
            <v>10.458</v>
          </cell>
          <cell r="D14">
            <v>9.609</v>
          </cell>
          <cell r="E14">
            <v>8.32</v>
          </cell>
          <cell r="F14">
            <v>9.3230000000000004</v>
          </cell>
          <cell r="G14">
            <v>8.1210000000000004</v>
          </cell>
          <cell r="H14">
            <v>6.899</v>
          </cell>
          <cell r="I14">
            <v>6.0179999999999998</v>
          </cell>
          <cell r="J14">
            <v>5.5049999999999999</v>
          </cell>
          <cell r="K14">
            <v>5.2</v>
          </cell>
          <cell r="L14">
            <v>4.3929999999999998</v>
          </cell>
          <cell r="M14">
            <v>5.2030000000000003</v>
          </cell>
        </row>
        <row r="15">
          <cell r="B15" t="str">
            <v>AGR</v>
          </cell>
          <cell r="C15">
            <v>5.524</v>
          </cell>
          <cell r="D15">
            <v>3.5030000000000001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6.3410000000000002</v>
          </cell>
          <cell r="D16">
            <v>6.4619999999999997</v>
          </cell>
          <cell r="E16">
            <v>5.4740000000000002</v>
          </cell>
          <cell r="F16">
            <v>5.0449999999999999</v>
          </cell>
          <cell r="G16">
            <v>4.6139999999999999</v>
          </cell>
          <cell r="H16">
            <v>4.2039999999999997</v>
          </cell>
          <cell r="I16">
            <v>3.6419999999999999</v>
          </cell>
          <cell r="J16">
            <v>3.8580000000000001</v>
          </cell>
          <cell r="K16">
            <v>4.0869999999999997</v>
          </cell>
          <cell r="L16">
            <v>4.0410000000000004</v>
          </cell>
          <cell r="M16">
            <v>3.1440000000000001</v>
          </cell>
        </row>
        <row r="17">
          <cell r="B17" t="str">
            <v>BKH</v>
          </cell>
          <cell r="C17">
            <v>8.8940000000000001</v>
          </cell>
          <cell r="D17">
            <v>8.8970000000000002</v>
          </cell>
          <cell r="E17">
            <v>8.92</v>
          </cell>
          <cell r="F17">
            <v>7.9720000000000004</v>
          </cell>
          <cell r="G17">
            <v>7.8979999999999997</v>
          </cell>
          <cell r="H17">
            <v>10.032999999999999</v>
          </cell>
          <cell r="I17">
            <v>12.037000000000001</v>
          </cell>
          <cell r="J17">
            <v>8.9009999999999998</v>
          </cell>
          <cell r="K17">
            <v>8.5129999999999999</v>
          </cell>
          <cell r="L17">
            <v>6.915</v>
          </cell>
          <cell r="M17">
            <v>9.2439999999999998</v>
          </cell>
        </row>
        <row r="18">
          <cell r="B18" t="str">
            <v>CWT</v>
          </cell>
          <cell r="C18">
            <v>4.7729999999999997</v>
          </cell>
          <cell r="D18">
            <v>3.694</v>
          </cell>
          <cell r="E18">
            <v>2.7610000000000001</v>
          </cell>
          <cell r="F18">
            <v>2.5760000000000001</v>
          </cell>
          <cell r="G18">
            <v>3.0409999999999999</v>
          </cell>
          <cell r="H18">
            <v>2.8330000000000002</v>
          </cell>
          <cell r="I18">
            <v>2.9740000000000002</v>
          </cell>
          <cell r="J18">
            <v>2.6629999999999998</v>
          </cell>
          <cell r="K18">
            <v>2.411</v>
          </cell>
          <cell r="L18">
            <v>1.839</v>
          </cell>
          <cell r="M18">
            <v>2.1389999999999998</v>
          </cell>
        </row>
        <row r="19">
          <cell r="B19" t="str">
            <v>CNP</v>
          </cell>
          <cell r="C19">
            <v>3.2829999999999999</v>
          </cell>
          <cell r="D19">
            <v>3.6840000000000002</v>
          </cell>
          <cell r="E19">
            <v>3.198</v>
          </cell>
          <cell r="F19">
            <v>2.9980000000000002</v>
          </cell>
          <cell r="G19">
            <v>2.835</v>
          </cell>
          <cell r="H19">
            <v>3.0579999999999998</v>
          </cell>
          <cell r="I19">
            <v>3.5529999999999999</v>
          </cell>
          <cell r="J19">
            <v>2.9609999999999999</v>
          </cell>
          <cell r="K19">
            <v>2.9470000000000001</v>
          </cell>
          <cell r="L19">
            <v>3.452</v>
          </cell>
          <cell r="M19">
            <v>3.2109999999999999</v>
          </cell>
        </row>
        <row r="20">
          <cell r="B20" t="str">
            <v>CPK</v>
          </cell>
          <cell r="C20">
            <v>10.419</v>
          </cell>
          <cell r="D20">
            <v>9.4700000000000006</v>
          </cell>
          <cell r="E20">
            <v>6.66</v>
          </cell>
          <cell r="F20">
            <v>6.718</v>
          </cell>
          <cell r="G20">
            <v>5.0019999999999998</v>
          </cell>
          <cell r="H20">
            <v>3.278</v>
          </cell>
          <cell r="I20">
            <v>3.1789999999999998</v>
          </cell>
          <cell r="J20">
            <v>1.8879999999999999</v>
          </cell>
          <cell r="K20">
            <v>3.0030000000000001</v>
          </cell>
          <cell r="L20">
            <v>3.077</v>
          </cell>
          <cell r="M20">
            <v>4.8689999999999998</v>
          </cell>
        </row>
        <row r="21">
          <cell r="B21" t="str">
            <v>CMS</v>
          </cell>
          <cell r="C21">
            <v>5.9880000000000004</v>
          </cell>
          <cell r="D21">
            <v>5.6429999999999998</v>
          </cell>
          <cell r="E21">
            <v>5.73</v>
          </cell>
          <cell r="F21">
            <v>4.9790000000000001</v>
          </cell>
          <cell r="G21">
            <v>4.6459999999999999</v>
          </cell>
          <cell r="H21">
            <v>3.4710000000000001</v>
          </cell>
          <cell r="I21">
            <v>3.2890000000000001</v>
          </cell>
          <cell r="J21">
            <v>3.589</v>
          </cell>
          <cell r="K21">
            <v>3.4980000000000002</v>
          </cell>
          <cell r="L21">
            <v>5.61</v>
          </cell>
          <cell r="M21">
            <v>3.0070000000000001</v>
          </cell>
        </row>
        <row r="22">
          <cell r="B22" t="str">
            <v>CTWS</v>
          </cell>
          <cell r="C22">
            <v>5.9290000000000003</v>
          </cell>
          <cell r="D22">
            <v>4.2910000000000004</v>
          </cell>
          <cell r="E22">
            <v>4.1050000000000004</v>
          </cell>
          <cell r="F22">
            <v>3.0169999999999999</v>
          </cell>
          <cell r="G22">
            <v>2.786</v>
          </cell>
          <cell r="H22">
            <v>2.6110000000000002</v>
          </cell>
          <cell r="I22">
            <v>3.0569999999999999</v>
          </cell>
          <cell r="J22">
            <v>3.2789999999999999</v>
          </cell>
          <cell r="K22">
            <v>2.4359999999999999</v>
          </cell>
          <cell r="L22">
            <v>2.238</v>
          </cell>
          <cell r="M22">
            <v>1.9590000000000001</v>
          </cell>
        </row>
        <row r="23">
          <cell r="B23" t="str">
            <v>ED</v>
          </cell>
          <cell r="C23">
            <v>12.066000000000001</v>
          </cell>
          <cell r="D23">
            <v>10.423</v>
          </cell>
          <cell r="E23">
            <v>8.2590000000000003</v>
          </cell>
          <cell r="F23">
            <v>8.6660000000000004</v>
          </cell>
          <cell r="G23">
            <v>7.0650000000000004</v>
          </cell>
          <cell r="H23">
            <v>6.7160000000000002</v>
          </cell>
          <cell r="I23">
            <v>6.9580000000000002</v>
          </cell>
          <cell r="J23">
            <v>7.8010000000000002</v>
          </cell>
          <cell r="K23">
            <v>8.4979999999999993</v>
          </cell>
          <cell r="L23">
            <v>7.0880000000000001</v>
          </cell>
          <cell r="M23">
            <v>7.1740000000000004</v>
          </cell>
        </row>
        <row r="24">
          <cell r="B24" t="str">
            <v>CWCO</v>
          </cell>
          <cell r="C24">
            <v>0.23300000000000001</v>
          </cell>
          <cell r="D24">
            <v>0.21099999999999999</v>
          </cell>
          <cell r="E24">
            <v>0.32100000000000001</v>
          </cell>
          <cell r="F24">
            <v>0.29399999999999998</v>
          </cell>
          <cell r="G24">
            <v>0.313</v>
          </cell>
          <cell r="H24">
            <v>0.95799999999999996</v>
          </cell>
          <cell r="I24">
            <v>8.6999999999999994E-2</v>
          </cell>
          <cell r="J24">
            <v>0.17599999999999999</v>
          </cell>
          <cell r="K24">
            <v>0.45700000000000002</v>
          </cell>
          <cell r="L24">
            <v>0.53900000000000003</v>
          </cell>
          <cell r="M24">
            <v>1.8320000000000001</v>
          </cell>
        </row>
        <row r="25">
          <cell r="B25" t="str">
            <v>DGAS</v>
          </cell>
          <cell r="C25">
            <v>0.88900000000000001</v>
          </cell>
          <cell r="D25">
            <v>1.282</v>
          </cell>
          <cell r="E25">
            <v>1.163</v>
          </cell>
          <cell r="F25">
            <v>1.046</v>
          </cell>
          <cell r="G25">
            <v>1.0780000000000001</v>
          </cell>
          <cell r="H25">
            <v>1.2070000000000001</v>
          </cell>
          <cell r="I25">
            <v>0.79100000000000004</v>
          </cell>
          <cell r="J25">
            <v>1.2689999999999999</v>
          </cell>
          <cell r="K25">
            <v>0.84399999999999997</v>
          </cell>
          <cell r="L25">
            <v>1.2330000000000001</v>
          </cell>
          <cell r="M25">
            <v>1.1950000000000001</v>
          </cell>
        </row>
        <row r="26">
          <cell r="B26" t="str">
            <v>D</v>
          </cell>
          <cell r="C26">
            <v>9.6929999999999996</v>
          </cell>
          <cell r="D26">
            <v>9.3490000000000002</v>
          </cell>
          <cell r="E26">
            <v>9.1319999999999997</v>
          </cell>
          <cell r="F26">
            <v>7.0579999999999998</v>
          </cell>
          <cell r="G26">
            <v>7.1950000000000003</v>
          </cell>
          <cell r="H26">
            <v>6.41</v>
          </cell>
          <cell r="I26">
            <v>5.8920000000000003</v>
          </cell>
          <cell r="J26">
            <v>6.4009999999999998</v>
          </cell>
          <cell r="K26">
            <v>6.0940000000000003</v>
          </cell>
          <cell r="L26">
            <v>6.8860000000000001</v>
          </cell>
          <cell r="M26">
            <v>5.8049999999999997</v>
          </cell>
        </row>
        <row r="27">
          <cell r="B27" t="str">
            <v>DTE</v>
          </cell>
          <cell r="C27">
            <v>11.397</v>
          </cell>
          <cell r="D27">
            <v>11.255000000000001</v>
          </cell>
          <cell r="E27">
            <v>11.577</v>
          </cell>
          <cell r="F27">
            <v>10.593999999999999</v>
          </cell>
          <cell r="G27">
            <v>10.56</v>
          </cell>
          <cell r="H27">
            <v>8.7680000000000007</v>
          </cell>
          <cell r="I27">
            <v>6.4870000000000001</v>
          </cell>
          <cell r="J27">
            <v>6.258</v>
          </cell>
          <cell r="K27">
            <v>8.4220000000000006</v>
          </cell>
          <cell r="L27">
            <v>7.9580000000000002</v>
          </cell>
          <cell r="M27">
            <v>7.92</v>
          </cell>
        </row>
        <row r="28">
          <cell r="B28" t="str">
            <v>DUK</v>
          </cell>
          <cell r="C28">
            <v>11.287000000000001</v>
          </cell>
          <cell r="D28">
            <v>9.8339999999999996</v>
          </cell>
          <cell r="E28">
            <v>7.6150000000000002</v>
          </cell>
          <cell r="F28">
            <v>7.827</v>
          </cell>
          <cell r="G28">
            <v>7.8140000000000001</v>
          </cell>
          <cell r="H28">
            <v>9.798</v>
          </cell>
          <cell r="I28">
            <v>10.843</v>
          </cell>
          <cell r="J28">
            <v>9.8469999999999995</v>
          </cell>
          <cell r="K28">
            <v>10.345000000000001</v>
          </cell>
          <cell r="L28">
            <v>7.4290000000000003</v>
          </cell>
          <cell r="M28">
            <v>8.07</v>
          </cell>
        </row>
        <row r="29">
          <cell r="B29" t="str">
            <v>EIX</v>
          </cell>
          <cell r="C29">
            <v>11.461</v>
          </cell>
          <cell r="D29">
            <v>12.968</v>
          </cell>
          <cell r="E29">
            <v>11.989000000000001</v>
          </cell>
          <cell r="F29">
            <v>11.045999999999999</v>
          </cell>
          <cell r="G29">
            <v>12.734</v>
          </cell>
          <cell r="H29">
            <v>14.757</v>
          </cell>
          <cell r="I29">
            <v>13.944000000000001</v>
          </cell>
          <cell r="J29">
            <v>10.073</v>
          </cell>
          <cell r="K29">
            <v>8.6679999999999993</v>
          </cell>
          <cell r="L29">
            <v>8.6739999999999995</v>
          </cell>
          <cell r="M29">
            <v>7.7839999999999998</v>
          </cell>
        </row>
        <row r="30">
          <cell r="B30" t="str">
            <v>EE</v>
          </cell>
          <cell r="C30">
            <v>7.0279999999999996</v>
          </cell>
          <cell r="D30">
            <v>8.5540000000000003</v>
          </cell>
          <cell r="E30">
            <v>8.5009999999999994</v>
          </cell>
          <cell r="F30">
            <v>7.1849999999999996</v>
          </cell>
          <cell r="G30">
            <v>6.6989999999999998</v>
          </cell>
          <cell r="H30">
            <v>5.9</v>
          </cell>
          <cell r="I30">
            <v>5.2670000000000003</v>
          </cell>
          <cell r="J30">
            <v>5.9459999999999997</v>
          </cell>
          <cell r="K30">
            <v>5.3550000000000004</v>
          </cell>
          <cell r="L30">
            <v>4.6269999999999998</v>
          </cell>
          <cell r="M30">
            <v>2.7330000000000001</v>
          </cell>
        </row>
        <row r="31">
          <cell r="B31" t="str">
            <v>ETR</v>
          </cell>
          <cell r="C31">
            <v>17.277999999999999</v>
          </cell>
          <cell r="D31">
            <v>16.786000000000001</v>
          </cell>
          <cell r="E31">
            <v>14.821999999999999</v>
          </cell>
          <cell r="F31">
            <v>15.728</v>
          </cell>
          <cell r="G31">
            <v>18.18</v>
          </cell>
          <cell r="H31">
            <v>15.205</v>
          </cell>
          <cell r="I31">
            <v>13.326000000000001</v>
          </cell>
          <cell r="J31">
            <v>12.99</v>
          </cell>
          <cell r="K31">
            <v>13.922000000000001</v>
          </cell>
          <cell r="L31">
            <v>10.288</v>
          </cell>
          <cell r="M31">
            <v>9.4350000000000005</v>
          </cell>
        </row>
        <row r="32">
          <cell r="B32" t="str">
            <v>ES</v>
          </cell>
          <cell r="C32">
            <v>6.2380000000000004</v>
          </cell>
          <cell r="D32">
            <v>5.4359999999999999</v>
          </cell>
          <cell r="E32">
            <v>5.0590000000000002</v>
          </cell>
          <cell r="F32">
            <v>4.6210000000000004</v>
          </cell>
          <cell r="G32">
            <v>4.6879999999999997</v>
          </cell>
          <cell r="H32">
            <v>6.0780000000000003</v>
          </cell>
          <cell r="I32">
            <v>5.4089999999999998</v>
          </cell>
          <cell r="J32">
            <v>5.1710000000000003</v>
          </cell>
          <cell r="K32">
            <v>8.0559999999999992</v>
          </cell>
          <cell r="L32">
            <v>7.1360000000000001</v>
          </cell>
          <cell r="M32">
            <v>5.4880000000000004</v>
          </cell>
        </row>
        <row r="33">
          <cell r="B33" t="str">
            <v>EXC</v>
          </cell>
          <cell r="C33">
            <v>9.2560000000000002</v>
          </cell>
          <cell r="D33">
            <v>8.2880000000000003</v>
          </cell>
          <cell r="E33">
            <v>7.0679999999999996</v>
          </cell>
          <cell r="F33">
            <v>6.2930000000000001</v>
          </cell>
          <cell r="G33">
            <v>6.7720000000000002</v>
          </cell>
          <cell r="H33">
            <v>6.093</v>
          </cell>
          <cell r="I33">
            <v>5.0250000000000004</v>
          </cell>
          <cell r="J33">
            <v>4.9610000000000003</v>
          </cell>
          <cell r="K33">
            <v>4.7359999999999998</v>
          </cell>
          <cell r="L33">
            <v>4.0460000000000003</v>
          </cell>
          <cell r="M33">
            <v>3.61</v>
          </cell>
        </row>
        <row r="34">
          <cell r="B34" t="str">
            <v>FE</v>
          </cell>
          <cell r="C34">
            <v>6.9340000000000002</v>
          </cell>
          <cell r="D34">
            <v>6.8330000000000002</v>
          </cell>
          <cell r="E34">
            <v>8.4179999999999993</v>
          </cell>
          <cell r="F34">
            <v>6.899</v>
          </cell>
          <cell r="G34">
            <v>7.0869999999999997</v>
          </cell>
          <cell r="H34">
            <v>5.4470000000000001</v>
          </cell>
          <cell r="I34">
            <v>6.44</v>
          </cell>
          <cell r="J34">
            <v>7.2270000000000003</v>
          </cell>
          <cell r="K34">
            <v>9.4740000000000002</v>
          </cell>
          <cell r="L34">
            <v>5.3570000000000002</v>
          </cell>
          <cell r="M34">
            <v>4.12</v>
          </cell>
        </row>
        <row r="35">
          <cell r="B35" t="str">
            <v>FTS.TO</v>
          </cell>
          <cell r="C35">
            <v>5.133</v>
          </cell>
          <cell r="D35">
            <v>7.9660000000000002</v>
          </cell>
          <cell r="E35">
            <v>6</v>
          </cell>
          <cell r="F35">
            <v>5.3250000000000002</v>
          </cell>
          <cell r="G35">
            <v>5.68</v>
          </cell>
          <cell r="H35">
            <v>5.91</v>
          </cell>
          <cell r="I35">
            <v>5.8890000000000002</v>
          </cell>
          <cell r="J35">
            <v>5.7919999999999998</v>
          </cell>
          <cell r="K35">
            <v>5.343</v>
          </cell>
          <cell r="L35">
            <v>5.1630000000000003</v>
          </cell>
          <cell r="M35">
            <v>4.8029999999999999</v>
          </cell>
        </row>
        <row r="36">
          <cell r="B36" t="str">
            <v>EGAS</v>
          </cell>
          <cell r="C36">
            <v>0.71499999999999997</v>
          </cell>
          <cell r="D36">
            <v>0.91100000000000003</v>
          </cell>
          <cell r="E36">
            <v>2.0609999999999999</v>
          </cell>
          <cell r="F36">
            <v>2.306</v>
          </cell>
          <cell r="G36">
            <v>2.4740000000000002</v>
          </cell>
          <cell r="H36">
            <v>2.8460000000000001</v>
          </cell>
          <cell r="I36">
            <v>1.046</v>
          </cell>
          <cell r="J36">
            <v>2.0299999999999998</v>
          </cell>
          <cell r="K36">
            <v>0.89</v>
          </cell>
          <cell r="L36">
            <v>0.56100000000000005</v>
          </cell>
          <cell r="M36">
            <v>0.56200000000000006</v>
          </cell>
        </row>
        <row r="37">
          <cell r="B37" t="str">
            <v>GXP</v>
          </cell>
          <cell r="C37">
            <v>2.8610000000000002</v>
          </cell>
          <cell r="D37">
            <v>4.423</v>
          </cell>
          <cell r="E37">
            <v>5.1029999999999998</v>
          </cell>
          <cell r="F37">
            <v>4.4249999999999998</v>
          </cell>
          <cell r="G37">
            <v>4.0090000000000003</v>
          </cell>
          <cell r="H37">
            <v>3.3959999999999999</v>
          </cell>
          <cell r="I37">
            <v>4.7640000000000002</v>
          </cell>
          <cell r="J37">
            <v>6.4889999999999999</v>
          </cell>
          <cell r="K37">
            <v>8.86</v>
          </cell>
          <cell r="L37">
            <v>6.1509999999999998</v>
          </cell>
          <cell r="M37">
            <v>6.0460000000000003</v>
          </cell>
        </row>
        <row r="38">
          <cell r="B38" t="str">
            <v>HE</v>
          </cell>
          <cell r="C38">
            <v>3.04</v>
          </cell>
          <cell r="D38">
            <v>3.3849999999999998</v>
          </cell>
          <cell r="E38">
            <v>3.3119999999999998</v>
          </cell>
          <cell r="F38">
            <v>3.4950000000000001</v>
          </cell>
          <cell r="G38">
            <v>3.3239999999999998</v>
          </cell>
          <cell r="H38">
            <v>2.448</v>
          </cell>
          <cell r="I38">
            <v>1.923</v>
          </cell>
          <cell r="J38">
            <v>3.294</v>
          </cell>
          <cell r="K38">
            <v>3.1160000000000001</v>
          </cell>
          <cell r="L38">
            <v>2.6160000000000001</v>
          </cell>
          <cell r="M38">
            <v>2.5840000000000001</v>
          </cell>
        </row>
        <row r="39">
          <cell r="B39" t="str">
            <v>IDA</v>
          </cell>
          <cell r="C39">
            <v>5.8920000000000003</v>
          </cell>
          <cell r="D39">
            <v>5.8410000000000002</v>
          </cell>
          <cell r="E39">
            <v>5.452</v>
          </cell>
          <cell r="F39">
            <v>4.6840000000000002</v>
          </cell>
          <cell r="G39">
            <v>4.78</v>
          </cell>
          <cell r="H39">
            <v>6.7619999999999996</v>
          </cell>
          <cell r="I39">
            <v>6.8460000000000001</v>
          </cell>
          <cell r="J39">
            <v>5.26</v>
          </cell>
          <cell r="K39">
            <v>5.1909999999999998</v>
          </cell>
          <cell r="L39">
            <v>6.3860000000000001</v>
          </cell>
          <cell r="M39">
            <v>5.1580000000000004</v>
          </cell>
        </row>
        <row r="40">
          <cell r="B40" t="str">
            <v>MGEE</v>
          </cell>
          <cell r="C40">
            <v>2.4129999999999998</v>
          </cell>
          <cell r="D40">
            <v>2.0779999999999998</v>
          </cell>
          <cell r="E40">
            <v>2.673</v>
          </cell>
          <cell r="F40">
            <v>3.4340000000000002</v>
          </cell>
          <cell r="G40">
            <v>2.839</v>
          </cell>
          <cell r="H40">
            <v>1.88</v>
          </cell>
          <cell r="I40">
            <v>1.756</v>
          </cell>
          <cell r="J40">
            <v>2.3540000000000001</v>
          </cell>
          <cell r="K40">
            <v>3.0790000000000002</v>
          </cell>
          <cell r="L40">
            <v>4.1379999999999999</v>
          </cell>
          <cell r="M40">
            <v>2.9420000000000002</v>
          </cell>
        </row>
        <row r="41">
          <cell r="B41" t="str">
            <v>MSEX</v>
          </cell>
          <cell r="C41">
            <v>2.907</v>
          </cell>
          <cell r="D41">
            <v>1.5880000000000001</v>
          </cell>
          <cell r="E41">
            <v>1.401</v>
          </cell>
          <cell r="F41">
            <v>1.258</v>
          </cell>
          <cell r="G41">
            <v>1.3640000000000001</v>
          </cell>
          <cell r="H41">
            <v>1.5</v>
          </cell>
          <cell r="I41">
            <v>1.9019999999999999</v>
          </cell>
          <cell r="J41">
            <v>1.4890000000000001</v>
          </cell>
          <cell r="K41">
            <v>2.121</v>
          </cell>
          <cell r="L41">
            <v>1.6559999999999999</v>
          </cell>
          <cell r="M41">
            <v>2.306</v>
          </cell>
        </row>
        <row r="42">
          <cell r="B42" t="str">
            <v>NJR</v>
          </cell>
          <cell r="C42">
            <v>4.1459999999999999</v>
          </cell>
          <cell r="D42">
            <v>3.7570000000000001</v>
          </cell>
          <cell r="E42">
            <v>1.5229999999999999</v>
          </cell>
          <cell r="F42">
            <v>1.3260000000000001</v>
          </cell>
          <cell r="G42">
            <v>1.256</v>
          </cell>
          <cell r="H42">
            <v>1.129</v>
          </cell>
          <cell r="I42">
            <v>1.052</v>
          </cell>
          <cell r="J42">
            <v>0.90300000000000002</v>
          </cell>
          <cell r="K42">
            <v>0.86</v>
          </cell>
          <cell r="L42">
            <v>0.73</v>
          </cell>
          <cell r="M42">
            <v>0.64</v>
          </cell>
        </row>
        <row r="43">
          <cell r="B43" t="str">
            <v>NEE</v>
          </cell>
          <cell r="C43">
            <v>20.59</v>
          </cell>
          <cell r="D43">
            <v>18.170999999999999</v>
          </cell>
          <cell r="E43">
            <v>15.84</v>
          </cell>
          <cell r="F43">
            <v>15.361000000000001</v>
          </cell>
          <cell r="G43">
            <v>22.314</v>
          </cell>
          <cell r="H43">
            <v>15.933</v>
          </cell>
          <cell r="I43">
            <v>13.891</v>
          </cell>
          <cell r="J43">
            <v>14.52</v>
          </cell>
          <cell r="K43">
            <v>12.805</v>
          </cell>
          <cell r="L43">
            <v>12.321</v>
          </cell>
          <cell r="M43">
            <v>9.2230000000000008</v>
          </cell>
        </row>
        <row r="44">
          <cell r="B44" t="str">
            <v>NI</v>
          </cell>
          <cell r="C44">
            <v>4.5650000000000004</v>
          </cell>
          <cell r="D44">
            <v>4.2640000000000002</v>
          </cell>
          <cell r="E44">
            <v>6.4189999999999996</v>
          </cell>
          <cell r="F44">
            <v>5.9930000000000003</v>
          </cell>
          <cell r="G44">
            <v>4.83</v>
          </cell>
          <cell r="H44">
            <v>3.988</v>
          </cell>
          <cell r="I44">
            <v>2.8780000000000001</v>
          </cell>
          <cell r="J44">
            <v>2.8079999999999998</v>
          </cell>
          <cell r="K44">
            <v>3.536</v>
          </cell>
          <cell r="L44">
            <v>2.875</v>
          </cell>
          <cell r="M44">
            <v>2.3290000000000002</v>
          </cell>
        </row>
        <row r="45">
          <cell r="B45" t="str">
            <v>NWN</v>
          </cell>
          <cell r="C45">
            <v>4.8730000000000002</v>
          </cell>
          <cell r="D45">
            <v>4.37</v>
          </cell>
          <cell r="E45">
            <v>4.4020000000000001</v>
          </cell>
          <cell r="F45">
            <v>5.1310000000000002</v>
          </cell>
          <cell r="G45">
            <v>4.9050000000000002</v>
          </cell>
          <cell r="H45">
            <v>3.7570000000000001</v>
          </cell>
          <cell r="I45">
            <v>9.3510000000000009</v>
          </cell>
          <cell r="J45">
            <v>5.093</v>
          </cell>
          <cell r="K45">
            <v>3.9239999999999999</v>
          </cell>
          <cell r="L45">
            <v>4.4770000000000003</v>
          </cell>
          <cell r="M45">
            <v>3.5640000000000001</v>
          </cell>
        </row>
        <row r="46">
          <cell r="B46" t="str">
            <v>NWE</v>
          </cell>
          <cell r="C46">
            <v>5.9569999999999999</v>
          </cell>
          <cell r="D46">
            <v>5.8890000000000002</v>
          </cell>
          <cell r="E46">
            <v>5.7629999999999999</v>
          </cell>
          <cell r="F46">
            <v>5.9480000000000004</v>
          </cell>
          <cell r="G46">
            <v>5.89</v>
          </cell>
          <cell r="H46">
            <v>5.202</v>
          </cell>
          <cell r="I46">
            <v>6.3029999999999999</v>
          </cell>
          <cell r="J46">
            <v>5.2590000000000003</v>
          </cell>
          <cell r="K46">
            <v>3.4670000000000001</v>
          </cell>
          <cell r="L46">
            <v>3.004</v>
          </cell>
          <cell r="M46">
            <v>2.8090000000000002</v>
          </cell>
        </row>
        <row r="47">
          <cell r="B47" t="str">
            <v>OGE</v>
          </cell>
          <cell r="C47">
            <v>3.3050000000000002</v>
          </cell>
          <cell r="D47">
            <v>2.7429999999999999</v>
          </cell>
          <cell r="E47">
            <v>2.855</v>
          </cell>
          <cell r="F47">
            <v>4.99</v>
          </cell>
          <cell r="G47">
            <v>5.8540000000000001</v>
          </cell>
          <cell r="H47">
            <v>6.4749999999999996</v>
          </cell>
          <cell r="I47">
            <v>4.3630000000000004</v>
          </cell>
          <cell r="J47">
            <v>4.37</v>
          </cell>
          <cell r="K47">
            <v>4.0110000000000001</v>
          </cell>
          <cell r="L47">
            <v>3.0379999999999998</v>
          </cell>
          <cell r="M47">
            <v>2.6680000000000001</v>
          </cell>
        </row>
        <row r="48">
          <cell r="B48" t="str">
            <v>OGS</v>
          </cell>
          <cell r="C48">
            <v>5.9119999999999999</v>
          </cell>
          <cell r="D48">
            <v>5.6319999999999997</v>
          </cell>
          <cell r="E48">
            <v>5.7039999999999997</v>
          </cell>
        </row>
        <row r="49">
          <cell r="B49" t="str">
            <v>OTTR</v>
          </cell>
          <cell r="C49">
            <v>4.0979999999999999</v>
          </cell>
          <cell r="D49">
            <v>4.2290000000000001</v>
          </cell>
          <cell r="E49">
            <v>4.3949999999999996</v>
          </cell>
          <cell r="F49">
            <v>4.5339999999999998</v>
          </cell>
          <cell r="G49">
            <v>3.2010000000000001</v>
          </cell>
          <cell r="H49">
            <v>2.0409999999999999</v>
          </cell>
          <cell r="I49">
            <v>2.3769999999999998</v>
          </cell>
          <cell r="J49">
            <v>4.9459999999999997</v>
          </cell>
          <cell r="K49">
            <v>7.5140000000000002</v>
          </cell>
          <cell r="L49">
            <v>5.4269999999999996</v>
          </cell>
          <cell r="M49">
            <v>2.3519999999999999</v>
          </cell>
        </row>
        <row r="50">
          <cell r="B50" t="str">
            <v>PCG</v>
          </cell>
          <cell r="C50">
            <v>11.263</v>
          </cell>
          <cell r="D50">
            <v>10.513999999999999</v>
          </cell>
          <cell r="E50">
            <v>10.154999999999999</v>
          </cell>
          <cell r="F50">
            <v>11.401999999999999</v>
          </cell>
          <cell r="G50">
            <v>10.736000000000001</v>
          </cell>
          <cell r="H50">
            <v>9.7949999999999999</v>
          </cell>
          <cell r="I50">
            <v>9.6199999999999992</v>
          </cell>
          <cell r="J50">
            <v>10.68</v>
          </cell>
          <cell r="K50">
            <v>10.048</v>
          </cell>
          <cell r="L50">
            <v>7.8280000000000003</v>
          </cell>
          <cell r="M50">
            <v>6.9</v>
          </cell>
        </row>
        <row r="51">
          <cell r="B51" t="str">
            <v>PNW</v>
          </cell>
          <cell r="C51">
            <v>11.635</v>
          </cell>
          <cell r="D51">
            <v>9.843</v>
          </cell>
          <cell r="E51">
            <v>8.3759999999999994</v>
          </cell>
          <cell r="F51">
            <v>9.359</v>
          </cell>
          <cell r="G51">
            <v>8.2420000000000009</v>
          </cell>
          <cell r="H51">
            <v>8.2629999999999999</v>
          </cell>
          <cell r="I51">
            <v>7.0350000000000001</v>
          </cell>
          <cell r="J51">
            <v>7.6440000000000001</v>
          </cell>
          <cell r="K51">
            <v>9.4600000000000009</v>
          </cell>
          <cell r="L51">
            <v>9.3710000000000004</v>
          </cell>
          <cell r="M51">
            <v>7.5910000000000002</v>
          </cell>
        </row>
        <row r="52">
          <cell r="B52" t="str">
            <v>PNM</v>
          </cell>
          <cell r="C52">
            <v>7.5339999999999998</v>
          </cell>
          <cell r="D52">
            <v>7.0129999999999999</v>
          </cell>
          <cell r="E52">
            <v>5.7830000000000004</v>
          </cell>
          <cell r="F52">
            <v>4.3689999999999998</v>
          </cell>
          <cell r="G52">
            <v>3.8780000000000001</v>
          </cell>
          <cell r="H52">
            <v>4.1040000000000001</v>
          </cell>
          <cell r="I52">
            <v>3.2480000000000002</v>
          </cell>
          <cell r="J52">
            <v>3.323</v>
          </cell>
          <cell r="K52">
            <v>3.9860000000000002</v>
          </cell>
          <cell r="L52">
            <v>5.9359999999999999</v>
          </cell>
          <cell r="M52">
            <v>4.0350000000000001</v>
          </cell>
        </row>
        <row r="53">
          <cell r="B53" t="str">
            <v>POR</v>
          </cell>
          <cell r="C53">
            <v>6.5659999999999998</v>
          </cell>
          <cell r="D53">
            <v>6.7350000000000003</v>
          </cell>
          <cell r="E53">
            <v>12.872999999999999</v>
          </cell>
          <cell r="F53">
            <v>8.4009999999999998</v>
          </cell>
          <cell r="G53">
            <v>4.01</v>
          </cell>
          <cell r="H53">
            <v>3.9809999999999999</v>
          </cell>
          <cell r="I53">
            <v>5.9749999999999996</v>
          </cell>
          <cell r="J53">
            <v>9.2539999999999996</v>
          </cell>
          <cell r="K53">
            <v>6.1210000000000004</v>
          </cell>
          <cell r="L53">
            <v>7.2770000000000001</v>
          </cell>
          <cell r="M53">
            <v>5.9359999999999999</v>
          </cell>
        </row>
        <row r="54">
          <cell r="B54" t="str">
            <v>PPL</v>
          </cell>
          <cell r="C54">
            <v>4.2960000000000003</v>
          </cell>
          <cell r="D54">
            <v>5.2430000000000003</v>
          </cell>
          <cell r="E54">
            <v>6.1429999999999998</v>
          </cell>
          <cell r="F54">
            <v>6.6820000000000004</v>
          </cell>
          <cell r="G54">
            <v>5.3360000000000003</v>
          </cell>
          <cell r="H54">
            <v>4.3</v>
          </cell>
          <cell r="I54">
            <v>3.3039999999999998</v>
          </cell>
          <cell r="J54">
            <v>3.2480000000000002</v>
          </cell>
          <cell r="K54">
            <v>3.786</v>
          </cell>
          <cell r="L54">
            <v>4.5140000000000002</v>
          </cell>
          <cell r="M54">
            <v>3.62</v>
          </cell>
        </row>
        <row r="55">
          <cell r="B55" t="str">
            <v>PEG</v>
          </cell>
          <cell r="C55">
            <v>8.3170000000000002</v>
          </cell>
          <cell r="D55">
            <v>7.6449999999999996</v>
          </cell>
          <cell r="E55">
            <v>5.5750000000000002</v>
          </cell>
          <cell r="F55">
            <v>5.5570000000000004</v>
          </cell>
          <cell r="G55">
            <v>5.0880000000000001</v>
          </cell>
          <cell r="H55">
            <v>4.117</v>
          </cell>
          <cell r="I55">
            <v>4.2690000000000001</v>
          </cell>
          <cell r="J55">
            <v>3.5459999999999998</v>
          </cell>
          <cell r="K55">
            <v>3.5</v>
          </cell>
          <cell r="L55">
            <v>2.6509999999999998</v>
          </cell>
          <cell r="M55">
            <v>2.0089999999999999</v>
          </cell>
        </row>
        <row r="56">
          <cell r="B56" t="str">
            <v>RGCO</v>
          </cell>
          <cell r="C56">
            <v>2.4990000000000001</v>
          </cell>
          <cell r="D56">
            <v>1.9379999999999999</v>
          </cell>
          <cell r="E56">
            <v>2.0779999999999998</v>
          </cell>
          <cell r="F56">
            <v>1.4119999999999999</v>
          </cell>
          <cell r="G56">
            <v>1.24</v>
          </cell>
          <cell r="H56">
            <v>1.0940000000000001</v>
          </cell>
          <cell r="I56">
            <v>0.876</v>
          </cell>
          <cell r="J56">
            <v>0.85599999999999998</v>
          </cell>
          <cell r="K56">
            <v>0.98699999999999999</v>
          </cell>
          <cell r="L56">
            <v>0.91600000000000004</v>
          </cell>
          <cell r="M56">
            <v>1.218</v>
          </cell>
        </row>
        <row r="57">
          <cell r="B57" t="str">
            <v>SCG</v>
          </cell>
          <cell r="C57">
            <v>11.05</v>
          </cell>
          <cell r="D57">
            <v>8.0690000000000008</v>
          </cell>
          <cell r="E57">
            <v>7.6520000000000001</v>
          </cell>
          <cell r="F57">
            <v>7.8440000000000003</v>
          </cell>
          <cell r="G57">
            <v>8.1579999999999995</v>
          </cell>
          <cell r="H57">
            <v>6.806</v>
          </cell>
          <cell r="I57">
            <v>6.8739999999999997</v>
          </cell>
          <cell r="J57">
            <v>7.41</v>
          </cell>
          <cell r="K57">
            <v>7.6749999999999998</v>
          </cell>
          <cell r="L57">
            <v>6.2140000000000004</v>
          </cell>
          <cell r="M57">
            <v>4.5170000000000003</v>
          </cell>
        </row>
        <row r="58">
          <cell r="B58" t="str">
            <v>SRE</v>
          </cell>
          <cell r="C58">
            <v>16.846</v>
          </cell>
          <cell r="D58">
            <v>12.711</v>
          </cell>
          <cell r="E58">
            <v>12.678000000000001</v>
          </cell>
          <cell r="F58">
            <v>10.521000000000001</v>
          </cell>
          <cell r="G58">
            <v>12.196</v>
          </cell>
          <cell r="H58">
            <v>11.853</v>
          </cell>
          <cell r="I58">
            <v>8.5760000000000005</v>
          </cell>
          <cell r="J58">
            <v>7.7560000000000002</v>
          </cell>
          <cell r="K58">
            <v>8.4700000000000006</v>
          </cell>
          <cell r="L58">
            <v>7.6989999999999998</v>
          </cell>
          <cell r="M58">
            <v>7.2779999999999996</v>
          </cell>
        </row>
        <row r="59">
          <cell r="B59" t="str">
            <v>SJW</v>
          </cell>
          <cell r="C59">
            <v>6.952</v>
          </cell>
          <cell r="D59">
            <v>5.2389999999999999</v>
          </cell>
          <cell r="E59">
            <v>5.0199999999999996</v>
          </cell>
          <cell r="F59">
            <v>4.6769999999999996</v>
          </cell>
          <cell r="G59">
            <v>5.6680000000000001</v>
          </cell>
          <cell r="H59">
            <v>3.7509999999999999</v>
          </cell>
          <cell r="I59">
            <v>5.6479999999999997</v>
          </cell>
          <cell r="J59">
            <v>3.17</v>
          </cell>
          <cell r="K59">
            <v>3.7930000000000001</v>
          </cell>
          <cell r="L59">
            <v>6.6150000000000002</v>
          </cell>
          <cell r="M59">
            <v>3.87</v>
          </cell>
        </row>
        <row r="60">
          <cell r="B60" t="str">
            <v>SJI</v>
          </cell>
          <cell r="C60">
            <v>3.4980000000000002</v>
          </cell>
          <cell r="D60">
            <v>4.87</v>
          </cell>
          <cell r="E60">
            <v>5.0129999999999999</v>
          </cell>
          <cell r="F60">
            <v>4.8390000000000004</v>
          </cell>
          <cell r="G60">
            <v>4.01</v>
          </cell>
          <cell r="H60">
            <v>3.1960000000000002</v>
          </cell>
          <cell r="I60">
            <v>2.794</v>
          </cell>
          <cell r="J60">
            <v>1.8340000000000001</v>
          </cell>
          <cell r="K60">
            <v>1.042</v>
          </cell>
          <cell r="L60">
            <v>0.93799999999999994</v>
          </cell>
          <cell r="M60">
            <v>1.256</v>
          </cell>
        </row>
        <row r="61">
          <cell r="B61" t="str">
            <v>SO</v>
          </cell>
          <cell r="C61">
            <v>7.3810000000000002</v>
          </cell>
          <cell r="D61">
            <v>6.2229999999999999</v>
          </cell>
          <cell r="E61">
            <v>6.5839999999999996</v>
          </cell>
          <cell r="F61">
            <v>6.1580000000000004</v>
          </cell>
          <cell r="G61">
            <v>5.5419999999999998</v>
          </cell>
          <cell r="H61">
            <v>5.23</v>
          </cell>
          <cell r="I61">
            <v>4.8449999999999998</v>
          </cell>
          <cell r="J61">
            <v>5.6980000000000004</v>
          </cell>
          <cell r="K61">
            <v>5.0970000000000004</v>
          </cell>
          <cell r="L61">
            <v>4.6459999999999999</v>
          </cell>
          <cell r="M61">
            <v>4.0119999999999996</v>
          </cell>
        </row>
        <row r="62">
          <cell r="B62" t="str">
            <v>SWX</v>
          </cell>
          <cell r="C62">
            <v>11.151999999999999</v>
          </cell>
          <cell r="D62">
            <v>10.3</v>
          </cell>
          <cell r="E62">
            <v>8.5310000000000006</v>
          </cell>
          <cell r="F62">
            <v>7.8579999999999997</v>
          </cell>
          <cell r="G62">
            <v>8.5749999999999993</v>
          </cell>
          <cell r="H62">
            <v>8.2899999999999991</v>
          </cell>
          <cell r="I62">
            <v>4.7290000000000001</v>
          </cell>
          <cell r="J62">
            <v>4.8120000000000003</v>
          </cell>
          <cell r="K62">
            <v>6.7939999999999996</v>
          </cell>
          <cell r="L62">
            <v>7.9630000000000001</v>
          </cell>
          <cell r="M62">
            <v>8.2669999999999995</v>
          </cell>
        </row>
        <row r="63">
          <cell r="B63" t="str">
            <v>SR</v>
          </cell>
          <cell r="C63">
            <v>6.4249999999999998</v>
          </cell>
          <cell r="D63">
            <v>6.6840000000000002</v>
          </cell>
          <cell r="E63">
            <v>3.96</v>
          </cell>
          <cell r="F63">
            <v>4</v>
          </cell>
          <cell r="G63">
            <v>4.8259999999999996</v>
          </cell>
          <cell r="H63">
            <v>3.0150000000000001</v>
          </cell>
          <cell r="I63">
            <v>2.5569999999999999</v>
          </cell>
          <cell r="J63">
            <v>2.363</v>
          </cell>
          <cell r="K63">
            <v>2.5739999999999998</v>
          </cell>
          <cell r="L63">
            <v>2.72</v>
          </cell>
          <cell r="M63">
            <v>2.9689999999999999</v>
          </cell>
        </row>
        <row r="64">
          <cell r="B64" t="str">
            <v>SGU</v>
          </cell>
          <cell r="C64">
            <v>0.18</v>
          </cell>
          <cell r="D64">
            <v>0.16600000000000001</v>
          </cell>
          <cell r="E64">
            <v>0.159</v>
          </cell>
          <cell r="F64">
            <v>0.104</v>
          </cell>
          <cell r="G64">
            <v>9.5000000000000001E-2</v>
          </cell>
          <cell r="H64">
            <v>9.8000000000000004E-2</v>
          </cell>
          <cell r="I64">
            <v>8.3000000000000004E-2</v>
          </cell>
          <cell r="J64">
            <v>5.8000000000000003E-2</v>
          </cell>
          <cell r="K64">
            <v>5.5E-2</v>
          </cell>
          <cell r="L64">
            <v>6.4000000000000001E-2</v>
          </cell>
          <cell r="M64">
            <v>7.1999999999999995E-2</v>
          </cell>
        </row>
        <row r="65">
          <cell r="B65" t="str">
            <v>UGI</v>
          </cell>
          <cell r="C65">
            <v>3.2559999999999998</v>
          </cell>
          <cell r="D65">
            <v>2.8340000000000001</v>
          </cell>
          <cell r="E65">
            <v>2.645</v>
          </cell>
          <cell r="F65">
            <v>2.8439999999999999</v>
          </cell>
          <cell r="G65">
            <v>2.008</v>
          </cell>
          <cell r="H65">
            <v>2.15</v>
          </cell>
          <cell r="I65">
            <v>2.113</v>
          </cell>
          <cell r="J65">
            <v>1.853</v>
          </cell>
          <cell r="K65">
            <v>1.4410000000000001</v>
          </cell>
          <cell r="L65">
            <v>1.395</v>
          </cell>
          <cell r="M65">
            <v>1.212</v>
          </cell>
        </row>
        <row r="66">
          <cell r="B66" t="str">
            <v>UTL</v>
          </cell>
          <cell r="C66">
            <v>6.9749999999999996</v>
          </cell>
          <cell r="D66">
            <v>7.4260000000000002</v>
          </cell>
          <cell r="E66">
            <v>6.6539999999999999</v>
          </cell>
          <cell r="F66">
            <v>6.4660000000000002</v>
          </cell>
          <cell r="G66">
            <v>4.9710000000000001</v>
          </cell>
          <cell r="H66">
            <v>5.2130000000000001</v>
          </cell>
          <cell r="I66">
            <v>4.5549999999999997</v>
          </cell>
          <cell r="J66">
            <v>5.4169999999999998</v>
          </cell>
          <cell r="K66">
            <v>3.6320000000000001</v>
          </cell>
          <cell r="L66">
            <v>5.6619999999999999</v>
          </cell>
          <cell r="M66">
            <v>5.9539999999999997</v>
          </cell>
        </row>
        <row r="67">
          <cell r="B67" t="str">
            <v>VVC</v>
          </cell>
          <cell r="C67">
            <v>6.5380000000000003</v>
          </cell>
          <cell r="D67">
            <v>5.76</v>
          </cell>
          <cell r="E67">
            <v>5.4269999999999996</v>
          </cell>
          <cell r="F67">
            <v>4.774</v>
          </cell>
          <cell r="G67">
            <v>4.45</v>
          </cell>
          <cell r="H67">
            <v>3.923</v>
          </cell>
          <cell r="I67">
            <v>3.3929999999999998</v>
          </cell>
          <cell r="J67">
            <v>5.327</v>
          </cell>
          <cell r="K67">
            <v>4.8259999999999996</v>
          </cell>
          <cell r="L67">
            <v>4.3810000000000002</v>
          </cell>
          <cell r="M67">
            <v>3.698</v>
          </cell>
        </row>
        <row r="68">
          <cell r="B68" t="str">
            <v>WEC</v>
          </cell>
          <cell r="C68">
            <v>4.5110000000000001</v>
          </cell>
          <cell r="D68">
            <v>4.0110000000000001</v>
          </cell>
          <cell r="E68">
            <v>3.2639999999999998</v>
          </cell>
          <cell r="F68">
            <v>3.0419999999999998</v>
          </cell>
          <cell r="G68">
            <v>3.0870000000000002</v>
          </cell>
          <cell r="H68">
            <v>3.605</v>
          </cell>
          <cell r="I68">
            <v>3.4140000000000001</v>
          </cell>
          <cell r="J68">
            <v>3.4969999999999999</v>
          </cell>
          <cell r="K68">
            <v>4.8630000000000004</v>
          </cell>
          <cell r="L68">
            <v>5.282</v>
          </cell>
          <cell r="M68">
            <v>4.1740000000000004</v>
          </cell>
        </row>
        <row r="69">
          <cell r="B69" t="str">
            <v>WR</v>
          </cell>
          <cell r="C69">
            <v>7.6660000000000004</v>
          </cell>
          <cell r="D69">
            <v>4.9539999999999997</v>
          </cell>
          <cell r="E69">
            <v>6.47</v>
          </cell>
          <cell r="F69">
            <v>6.0819999999999999</v>
          </cell>
          <cell r="G69">
            <v>6.4050000000000002</v>
          </cell>
          <cell r="H69">
            <v>5.5490000000000004</v>
          </cell>
          <cell r="I69">
            <v>4.8170000000000002</v>
          </cell>
          <cell r="J69">
            <v>5.2569999999999997</v>
          </cell>
          <cell r="K69">
            <v>8.6530000000000005</v>
          </cell>
          <cell r="L69">
            <v>7.8369999999999997</v>
          </cell>
          <cell r="M69">
            <v>3.9460000000000002</v>
          </cell>
        </row>
        <row r="70">
          <cell r="B70" t="str">
            <v>WGL</v>
          </cell>
          <cell r="C70">
            <v>10.324999999999999</v>
          </cell>
          <cell r="D70">
            <v>9.3260000000000005</v>
          </cell>
          <cell r="E70">
            <v>7.6269999999999998</v>
          </cell>
          <cell r="F70">
            <v>6.0419999999999998</v>
          </cell>
          <cell r="G70">
            <v>4.8739999999999997</v>
          </cell>
          <cell r="H70">
            <v>3.9369999999999998</v>
          </cell>
          <cell r="I70">
            <v>2.5739999999999998</v>
          </cell>
          <cell r="J70">
            <v>2.77</v>
          </cell>
          <cell r="K70">
            <v>2.7040000000000002</v>
          </cell>
          <cell r="L70">
            <v>3.327</v>
          </cell>
          <cell r="M70">
            <v>3.2679999999999998</v>
          </cell>
        </row>
        <row r="71">
          <cell r="B71" t="str">
            <v>XEL</v>
          </cell>
          <cell r="C71">
            <v>6.4180000000000001</v>
          </cell>
          <cell r="D71">
            <v>7.2569999999999997</v>
          </cell>
          <cell r="E71">
            <v>6.327</v>
          </cell>
          <cell r="F71">
            <v>6.8179999999999996</v>
          </cell>
          <cell r="G71">
            <v>5.2670000000000003</v>
          </cell>
          <cell r="H71">
            <v>4.5339999999999998</v>
          </cell>
          <cell r="I71">
            <v>4.5970000000000004</v>
          </cell>
          <cell r="J71">
            <v>3.9060000000000001</v>
          </cell>
          <cell r="K71">
            <v>4.657</v>
          </cell>
          <cell r="L71">
            <v>4.8899999999999997</v>
          </cell>
          <cell r="M71">
            <v>3.996</v>
          </cell>
        </row>
        <row r="72">
          <cell r="B72" t="str">
            <v>YORW</v>
          </cell>
          <cell r="C72" t="str">
            <v>N/A</v>
          </cell>
          <cell r="D72">
            <v>1.1080000000000001</v>
          </cell>
          <cell r="E72">
            <v>1.1020000000000001</v>
          </cell>
          <cell r="F72">
            <v>0.75900000000000001</v>
          </cell>
          <cell r="G72">
            <v>0.94499999999999995</v>
          </cell>
          <cell r="H72">
            <v>0.74</v>
          </cell>
          <cell r="I72">
            <v>0.83099999999999996</v>
          </cell>
          <cell r="J72">
            <v>1.1759999999999999</v>
          </cell>
          <cell r="K72">
            <v>2.173</v>
          </cell>
          <cell r="L72">
            <v>1.6910000000000001</v>
          </cell>
          <cell r="M72">
            <v>1.8460000000000001</v>
          </cell>
        </row>
      </sheetData>
      <sheetData sheetId="35">
        <row r="3">
          <cell r="B3" t="str">
            <v>Ticker</v>
          </cell>
          <cell r="C3" t="str">
            <v>BookValue 2016</v>
          </cell>
          <cell r="D3" t="str">
            <v>BookValue 2015</v>
          </cell>
          <cell r="E3" t="str">
            <v>BookValue 2014</v>
          </cell>
          <cell r="F3" t="str">
            <v>BookValue 2013</v>
          </cell>
          <cell r="G3" t="str">
            <v>BookValue 2012</v>
          </cell>
          <cell r="H3" t="str">
            <v>BookValue 2011</v>
          </cell>
          <cell r="I3" t="str">
            <v>BookValue 2010</v>
          </cell>
          <cell r="J3" t="str">
            <v>BookValue 2009</v>
          </cell>
          <cell r="K3" t="str">
            <v>BookValue 2008</v>
          </cell>
          <cell r="L3" t="str">
            <v>BookValue 2007</v>
          </cell>
          <cell r="M3" t="str">
            <v>BookValue 2006</v>
          </cell>
        </row>
        <row r="4">
          <cell r="B4" t="str">
            <v>AE</v>
          </cell>
          <cell r="C4">
            <v>35.872999999999998</v>
          </cell>
          <cell r="D4">
            <v>36.156999999999996</v>
          </cell>
          <cell r="E4">
            <v>37.343000000000004</v>
          </cell>
          <cell r="F4">
            <v>36.676000000000002</v>
          </cell>
          <cell r="G4">
            <v>32.212000000000003</v>
          </cell>
          <cell r="H4">
            <v>26.242999999999999</v>
          </cell>
          <cell r="I4">
            <v>21.376999999999999</v>
          </cell>
          <cell r="J4">
            <v>19.869</v>
          </cell>
          <cell r="K4">
            <v>19.385999999999999</v>
          </cell>
          <cell r="L4">
            <v>21.207000000000001</v>
          </cell>
          <cell r="M4">
            <v>17.632999999999999</v>
          </cell>
        </row>
        <row r="5">
          <cell r="B5" t="str">
            <v>ALE</v>
          </cell>
          <cell r="C5">
            <v>38.164999999999999</v>
          </cell>
          <cell r="D5">
            <v>37.070999999999998</v>
          </cell>
          <cell r="E5">
            <v>35.063000000000002</v>
          </cell>
          <cell r="F5">
            <v>32.436999999999998</v>
          </cell>
          <cell r="G5">
            <v>30.481999999999999</v>
          </cell>
          <cell r="H5">
            <v>28.780999999999999</v>
          </cell>
          <cell r="I5">
            <v>27.263000000000002</v>
          </cell>
          <cell r="J5">
            <v>26.405999999999999</v>
          </cell>
          <cell r="K5">
            <v>25.370999999999999</v>
          </cell>
          <cell r="L5">
            <v>24.11</v>
          </cell>
          <cell r="M5">
            <v>21.901</v>
          </cell>
        </row>
        <row r="6">
          <cell r="B6" t="str">
            <v>LNT</v>
          </cell>
          <cell r="C6">
            <v>16.963000000000001</v>
          </cell>
          <cell r="D6">
            <v>16.411999999999999</v>
          </cell>
          <cell r="E6">
            <v>15.544</v>
          </cell>
          <cell r="F6">
            <v>14.789</v>
          </cell>
          <cell r="G6">
            <v>14.122999999999999</v>
          </cell>
          <cell r="H6">
            <v>13.57</v>
          </cell>
          <cell r="I6">
            <v>13.047000000000001</v>
          </cell>
          <cell r="J6">
            <v>12.537000000000001</v>
          </cell>
          <cell r="K6">
            <v>12.782</v>
          </cell>
          <cell r="L6">
            <v>12.148</v>
          </cell>
          <cell r="M6">
            <v>11.416</v>
          </cell>
        </row>
        <row r="7">
          <cell r="B7" t="str">
            <v>AEP</v>
          </cell>
          <cell r="C7">
            <v>35.380000000000003</v>
          </cell>
          <cell r="D7">
            <v>36.435000000000002</v>
          </cell>
          <cell r="E7">
            <v>34.368000000000002</v>
          </cell>
          <cell r="F7">
            <v>32.975999999999999</v>
          </cell>
          <cell r="G7">
            <v>31.373000000000001</v>
          </cell>
          <cell r="H7">
            <v>30.334</v>
          </cell>
          <cell r="I7">
            <v>28.332000000000001</v>
          </cell>
          <cell r="J7">
            <v>27.486000000000001</v>
          </cell>
          <cell r="K7">
            <v>26.332999999999998</v>
          </cell>
          <cell r="L7">
            <v>25.170999999999999</v>
          </cell>
          <cell r="M7">
            <v>23.727</v>
          </cell>
        </row>
        <row r="8">
          <cell r="B8" t="str">
            <v>AWR</v>
          </cell>
          <cell r="C8">
            <v>13.516</v>
          </cell>
          <cell r="D8">
            <v>12.765000000000001</v>
          </cell>
          <cell r="E8">
            <v>13.237</v>
          </cell>
          <cell r="F8">
            <v>12.717000000000001</v>
          </cell>
          <cell r="G8">
            <v>11.798999999999999</v>
          </cell>
          <cell r="H8">
            <v>10.840999999999999</v>
          </cell>
          <cell r="I8">
            <v>10.132</v>
          </cell>
          <cell r="J8">
            <v>9.6969999999999992</v>
          </cell>
          <cell r="K8">
            <v>8.9740000000000002</v>
          </cell>
          <cell r="L8">
            <v>8.7669999999999995</v>
          </cell>
          <cell r="M8">
            <v>8.3209999999999997</v>
          </cell>
        </row>
        <row r="9">
          <cell r="B9" t="str">
            <v>AWK</v>
          </cell>
          <cell r="C9">
            <v>29.242999999999999</v>
          </cell>
          <cell r="D9">
            <v>28.253</v>
          </cell>
          <cell r="E9">
            <v>27.390999999999998</v>
          </cell>
          <cell r="F9">
            <v>26.524000000000001</v>
          </cell>
          <cell r="G9">
            <v>25.105</v>
          </cell>
          <cell r="H9">
            <v>24.113</v>
          </cell>
          <cell r="I9">
            <v>23.588000000000001</v>
          </cell>
          <cell r="J9">
            <v>22.91</v>
          </cell>
          <cell r="K9">
            <v>25.638000000000002</v>
          </cell>
          <cell r="L9">
            <v>28.388000000000002</v>
          </cell>
          <cell r="M9">
            <v>23.859000000000002</v>
          </cell>
        </row>
        <row r="10">
          <cell r="B10" t="str">
            <v>AEE</v>
          </cell>
          <cell r="C10">
            <v>29.274000000000001</v>
          </cell>
          <cell r="D10">
            <v>28.626999999999999</v>
          </cell>
          <cell r="E10">
            <v>27.667000000000002</v>
          </cell>
          <cell r="F10">
            <v>26.971</v>
          </cell>
          <cell r="G10">
            <v>27.266999999999999</v>
          </cell>
          <cell r="H10">
            <v>32.642000000000003</v>
          </cell>
          <cell r="I10">
            <v>32.155000000000001</v>
          </cell>
          <cell r="J10">
            <v>33.079000000000001</v>
          </cell>
          <cell r="K10">
            <v>32.798000000000002</v>
          </cell>
          <cell r="L10">
            <v>32.414999999999999</v>
          </cell>
          <cell r="M10">
            <v>31.864000000000001</v>
          </cell>
        </row>
        <row r="11">
          <cell r="B11" t="str">
            <v>APU</v>
          </cell>
          <cell r="C11">
            <v>10.592000000000001</v>
          </cell>
          <cell r="D11">
            <v>12.532999999999999</v>
          </cell>
          <cell r="E11">
            <v>14.021000000000001</v>
          </cell>
          <cell r="F11">
            <v>14.75</v>
          </cell>
          <cell r="G11">
            <v>15.217000000000001</v>
          </cell>
          <cell r="H11">
            <v>5.8680000000000003</v>
          </cell>
          <cell r="I11">
            <v>6.6050000000000004</v>
          </cell>
          <cell r="J11">
            <v>6.3239999999999998</v>
          </cell>
          <cell r="K11">
            <v>4.2850000000000001</v>
          </cell>
          <cell r="L11">
            <v>5.4249999999999998</v>
          </cell>
          <cell r="M11">
            <v>3.9</v>
          </cell>
        </row>
        <row r="12">
          <cell r="B12" t="str">
            <v>WTR</v>
          </cell>
          <cell r="C12">
            <v>10.429</v>
          </cell>
          <cell r="D12">
            <v>9.7759999999999998</v>
          </cell>
          <cell r="E12">
            <v>9.2690000000000001</v>
          </cell>
          <cell r="F12">
            <v>8.6270000000000007</v>
          </cell>
          <cell r="G12">
            <v>7.899</v>
          </cell>
          <cell r="H12">
            <v>7.2080000000000002</v>
          </cell>
          <cell r="I12">
            <v>6.8090000000000002</v>
          </cell>
          <cell r="J12">
            <v>6.5</v>
          </cell>
          <cell r="K12">
            <v>6.2549999999999999</v>
          </cell>
          <cell r="L12">
            <v>5.8550000000000004</v>
          </cell>
          <cell r="M12">
            <v>5.5720000000000001</v>
          </cell>
        </row>
        <row r="13">
          <cell r="B13" t="str">
            <v>ARTNA</v>
          </cell>
          <cell r="C13">
            <v>15.231999999999999</v>
          </cell>
          <cell r="D13">
            <v>14.609</v>
          </cell>
          <cell r="E13">
            <v>14.093999999999999</v>
          </cell>
          <cell r="F13">
            <v>13.798</v>
          </cell>
          <cell r="G13">
            <v>13.568</v>
          </cell>
          <cell r="H13">
            <v>13.122</v>
          </cell>
          <cell r="I13">
            <v>12.438000000000001</v>
          </cell>
          <cell r="J13">
            <v>12.145</v>
          </cell>
          <cell r="K13">
            <v>11.862</v>
          </cell>
          <cell r="L13">
            <v>11.662000000000001</v>
          </cell>
          <cell r="M13">
            <v>10.154</v>
          </cell>
        </row>
        <row r="14">
          <cell r="B14" t="str">
            <v>ATO</v>
          </cell>
          <cell r="C14">
            <v>33.320999999999998</v>
          </cell>
          <cell r="D14">
            <v>31.481999999999999</v>
          </cell>
          <cell r="E14">
            <v>30.742999999999999</v>
          </cell>
          <cell r="F14">
            <v>28.469000000000001</v>
          </cell>
          <cell r="G14">
            <v>26.143999999999998</v>
          </cell>
          <cell r="H14">
            <v>24.978000000000002</v>
          </cell>
          <cell r="I14">
            <v>24.16</v>
          </cell>
          <cell r="J14">
            <v>23.518999999999998</v>
          </cell>
          <cell r="K14">
            <v>22.600999999999999</v>
          </cell>
          <cell r="L14">
            <v>22.006</v>
          </cell>
          <cell r="M14">
            <v>20.163</v>
          </cell>
        </row>
        <row r="15">
          <cell r="B15" t="str">
            <v>AGR</v>
          </cell>
          <cell r="C15">
            <v>48.898000000000003</v>
          </cell>
          <cell r="D15">
            <v>48.737000000000002</v>
          </cell>
          <cell r="E15" t="str">
            <v>N/A</v>
          </cell>
          <cell r="F15" t="str">
            <v>N/A</v>
          </cell>
          <cell r="G15" t="str">
            <v>N/A</v>
          </cell>
          <cell r="H15" t="str">
            <v>N/A</v>
          </cell>
          <cell r="I15" t="str">
            <v>N/A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</row>
        <row r="16">
          <cell r="B16" t="str">
            <v>AVA</v>
          </cell>
          <cell r="C16">
            <v>25.686</v>
          </cell>
          <cell r="D16">
            <v>24.532</v>
          </cell>
          <cell r="E16">
            <v>23.837</v>
          </cell>
          <cell r="F16">
            <v>21.61</v>
          </cell>
          <cell r="G16">
            <v>21.056999999999999</v>
          </cell>
          <cell r="H16">
            <v>20.295000000000002</v>
          </cell>
          <cell r="I16">
            <v>19.709</v>
          </cell>
          <cell r="J16">
            <v>19.170999999999999</v>
          </cell>
          <cell r="K16">
            <v>18.295999999999999</v>
          </cell>
          <cell r="L16">
            <v>17.274000000000001</v>
          </cell>
          <cell r="M16">
            <v>17.459</v>
          </cell>
        </row>
        <row r="17">
          <cell r="B17" t="str">
            <v>BKH</v>
          </cell>
          <cell r="C17">
            <v>30.247</v>
          </cell>
          <cell r="D17">
            <v>28.635000000000002</v>
          </cell>
          <cell r="E17">
            <v>30.803000000000001</v>
          </cell>
          <cell r="F17">
            <v>29.388000000000002</v>
          </cell>
          <cell r="G17">
            <v>27.881</v>
          </cell>
          <cell r="H17">
            <v>27.532</v>
          </cell>
          <cell r="I17">
            <v>28.018999999999998</v>
          </cell>
          <cell r="J17">
            <v>27.838999999999999</v>
          </cell>
          <cell r="K17">
            <v>27.190999999999999</v>
          </cell>
          <cell r="L17">
            <v>25.66</v>
          </cell>
          <cell r="M17">
            <v>23.675999999999998</v>
          </cell>
        </row>
        <row r="18">
          <cell r="B18" t="str">
            <v>CWT</v>
          </cell>
          <cell r="C18">
            <v>13.749000000000001</v>
          </cell>
          <cell r="D18">
            <v>13.413</v>
          </cell>
          <cell r="E18">
            <v>13.108000000000001</v>
          </cell>
          <cell r="F18">
            <v>12.542</v>
          </cell>
          <cell r="G18">
            <v>11.284000000000001</v>
          </cell>
          <cell r="H18">
            <v>10.757</v>
          </cell>
          <cell r="I18">
            <v>10.452999999999999</v>
          </cell>
          <cell r="J18">
            <v>10.128</v>
          </cell>
          <cell r="K18">
            <v>9.7219999999999995</v>
          </cell>
          <cell r="L18">
            <v>9.2479999999999993</v>
          </cell>
          <cell r="M18">
            <v>9.0730000000000004</v>
          </cell>
        </row>
        <row r="19">
          <cell r="B19" t="str">
            <v>CNP</v>
          </cell>
          <cell r="C19">
            <v>8.0340000000000007</v>
          </cell>
          <cell r="D19">
            <v>8.0489999999999995</v>
          </cell>
          <cell r="E19">
            <v>10.601000000000001</v>
          </cell>
          <cell r="F19">
            <v>10.090999999999999</v>
          </cell>
          <cell r="G19">
            <v>10.061999999999999</v>
          </cell>
          <cell r="H19">
            <v>9.91</v>
          </cell>
          <cell r="I19">
            <v>7.53</v>
          </cell>
          <cell r="J19">
            <v>6.7359999999999998</v>
          </cell>
          <cell r="K19">
            <v>5.8860000000000001</v>
          </cell>
          <cell r="L19">
            <v>5.609</v>
          </cell>
          <cell r="M19">
            <v>4.9610000000000003</v>
          </cell>
        </row>
        <row r="20">
          <cell r="B20" t="str">
            <v>CPK</v>
          </cell>
          <cell r="C20">
            <v>27.361000000000001</v>
          </cell>
          <cell r="D20">
            <v>23.452999999999999</v>
          </cell>
          <cell r="E20">
            <v>20.585999999999999</v>
          </cell>
          <cell r="F20">
            <v>19.282</v>
          </cell>
          <cell r="G20">
            <v>17.824000000000002</v>
          </cell>
          <cell r="H20">
            <v>16.777999999999999</v>
          </cell>
          <cell r="I20">
            <v>15.836</v>
          </cell>
          <cell r="J20">
            <v>14.887</v>
          </cell>
          <cell r="K20">
            <v>12.018000000000001</v>
          </cell>
          <cell r="L20">
            <v>11.762</v>
          </cell>
          <cell r="M20">
            <v>11.08</v>
          </cell>
        </row>
        <row r="21">
          <cell r="B21" t="str">
            <v>CMS</v>
          </cell>
          <cell r="C21">
            <v>15.231999999999999</v>
          </cell>
          <cell r="D21">
            <v>14.208</v>
          </cell>
          <cell r="E21">
            <v>13.336</v>
          </cell>
          <cell r="F21">
            <v>12.98</v>
          </cell>
          <cell r="G21">
            <v>12.093999999999999</v>
          </cell>
          <cell r="H21">
            <v>11.917</v>
          </cell>
          <cell r="I21">
            <v>11.19</v>
          </cell>
          <cell r="J21">
            <v>11.417999999999999</v>
          </cell>
          <cell r="K21">
            <v>10.878</v>
          </cell>
          <cell r="L21">
            <v>9.4610000000000003</v>
          </cell>
          <cell r="M21">
            <v>10.028</v>
          </cell>
        </row>
        <row r="22">
          <cell r="B22" t="str">
            <v>CTWS</v>
          </cell>
          <cell r="C22">
            <v>20.983000000000001</v>
          </cell>
          <cell r="D22">
            <v>20.010000000000002</v>
          </cell>
          <cell r="E22">
            <v>18.829000000000001</v>
          </cell>
          <cell r="F22">
            <v>17.914999999999999</v>
          </cell>
          <cell r="G22">
            <v>20.946000000000002</v>
          </cell>
          <cell r="H22">
            <v>13.497</v>
          </cell>
          <cell r="I22">
            <v>13.045</v>
          </cell>
          <cell r="J22">
            <v>12.67</v>
          </cell>
          <cell r="K22">
            <v>12.233000000000001</v>
          </cell>
          <cell r="L22">
            <v>11.95</v>
          </cell>
          <cell r="M22">
            <v>11.598000000000001</v>
          </cell>
        </row>
        <row r="23">
          <cell r="B23" t="str">
            <v>ED</v>
          </cell>
          <cell r="C23">
            <v>46.878999999999998</v>
          </cell>
          <cell r="D23">
            <v>44.545999999999999</v>
          </cell>
          <cell r="E23">
            <v>42.94</v>
          </cell>
          <cell r="F23">
            <v>41.81</v>
          </cell>
          <cell r="G23">
            <v>40.526000000000003</v>
          </cell>
          <cell r="H23">
            <v>39.045999999999999</v>
          </cell>
          <cell r="I23">
            <v>37.93</v>
          </cell>
          <cell r="J23">
            <v>36.457000000000001</v>
          </cell>
          <cell r="K23">
            <v>35.43</v>
          </cell>
          <cell r="L23">
            <v>32.582000000000001</v>
          </cell>
          <cell r="M23">
            <v>31.088999999999999</v>
          </cell>
        </row>
        <row r="24">
          <cell r="B24" t="str">
            <v>CWCO</v>
          </cell>
          <cell r="C24">
            <v>9.7889999999999997</v>
          </cell>
          <cell r="D24">
            <v>9.8109999999999999</v>
          </cell>
          <cell r="E24">
            <v>9.577</v>
          </cell>
          <cell r="F24">
            <v>9.4429999999999996</v>
          </cell>
          <cell r="G24">
            <v>9.1950000000000003</v>
          </cell>
          <cell r="H24">
            <v>8.8350000000000009</v>
          </cell>
          <cell r="I24">
            <v>8.6869999999999994</v>
          </cell>
          <cell r="J24">
            <v>8.5329999999999995</v>
          </cell>
          <cell r="K24">
            <v>8.3640000000000008</v>
          </cell>
          <cell r="L24">
            <v>8.2149999999999999</v>
          </cell>
          <cell r="M24">
            <v>7.4880000000000004</v>
          </cell>
        </row>
        <row r="25">
          <cell r="B25" t="str">
            <v>DGAS</v>
          </cell>
          <cell r="C25">
            <v>10.965999999999999</v>
          </cell>
          <cell r="D25">
            <v>10.99</v>
          </cell>
          <cell r="E25">
            <v>10.763</v>
          </cell>
          <cell r="F25">
            <v>10.198</v>
          </cell>
          <cell r="G25">
            <v>9.7330000000000005</v>
          </cell>
          <cell r="H25">
            <v>9.4719999999999995</v>
          </cell>
          <cell r="I25">
            <v>9.11</v>
          </cell>
          <cell r="J25">
            <v>8.891</v>
          </cell>
          <cell r="K25">
            <v>8.7379999999999995</v>
          </cell>
          <cell r="L25">
            <v>8.3040000000000003</v>
          </cell>
          <cell r="M25">
            <v>8.0790000000000006</v>
          </cell>
        </row>
        <row r="26">
          <cell r="B26" t="str">
            <v>D</v>
          </cell>
          <cell r="C26">
            <v>23.263999999999999</v>
          </cell>
          <cell r="D26">
            <v>21.238</v>
          </cell>
          <cell r="E26">
            <v>19.742000000000001</v>
          </cell>
          <cell r="F26">
            <v>20.021000000000001</v>
          </cell>
          <cell r="G26">
            <v>18.344000000000001</v>
          </cell>
          <cell r="H26">
            <v>20.091000000000001</v>
          </cell>
          <cell r="I26">
            <v>20.655999999999999</v>
          </cell>
          <cell r="J26">
            <v>18.66</v>
          </cell>
          <cell r="K26">
            <v>17.279</v>
          </cell>
          <cell r="L26">
            <v>16.306999999999999</v>
          </cell>
          <cell r="M26">
            <v>18.5</v>
          </cell>
        </row>
        <row r="27">
          <cell r="B27" t="str">
            <v>DTE</v>
          </cell>
          <cell r="C27">
            <v>50.219000000000001</v>
          </cell>
          <cell r="D27">
            <v>48.877000000000002</v>
          </cell>
          <cell r="E27">
            <v>47.048000000000002</v>
          </cell>
          <cell r="F27">
            <v>44.728999999999999</v>
          </cell>
          <cell r="G27">
            <v>42.779000000000003</v>
          </cell>
          <cell r="H27">
            <v>41.412999999999997</v>
          </cell>
          <cell r="I27">
            <v>39.674999999999997</v>
          </cell>
          <cell r="J27">
            <v>37.956000000000003</v>
          </cell>
          <cell r="K27">
            <v>36.774999999999999</v>
          </cell>
          <cell r="L27">
            <v>35.856999999999999</v>
          </cell>
          <cell r="M27">
            <v>33.018999999999998</v>
          </cell>
        </row>
        <row r="28">
          <cell r="B28" t="str">
            <v>DUK</v>
          </cell>
          <cell r="C28">
            <v>58.619</v>
          </cell>
          <cell r="D28">
            <v>57.743000000000002</v>
          </cell>
          <cell r="E28">
            <v>57.814999999999998</v>
          </cell>
          <cell r="F28">
            <v>58.540999999999997</v>
          </cell>
          <cell r="G28">
            <v>58.043999999999997</v>
          </cell>
          <cell r="H28">
            <v>51.14</v>
          </cell>
          <cell r="I28">
            <v>50.844999999999999</v>
          </cell>
          <cell r="J28">
            <v>49.851999999999997</v>
          </cell>
          <cell r="K28">
            <v>49.505000000000003</v>
          </cell>
          <cell r="L28">
            <v>50.399000000000001</v>
          </cell>
          <cell r="M28">
            <v>62.302</v>
          </cell>
        </row>
        <row r="29">
          <cell r="B29" t="str">
            <v>EIX</v>
          </cell>
          <cell r="C29">
            <v>36.819000000000003</v>
          </cell>
          <cell r="D29">
            <v>34.890999999999998</v>
          </cell>
          <cell r="E29">
            <v>33.639000000000003</v>
          </cell>
          <cell r="F29">
            <v>30.501999999999999</v>
          </cell>
          <cell r="G29">
            <v>28.949000000000002</v>
          </cell>
          <cell r="H29">
            <v>30.861000000000001</v>
          </cell>
          <cell r="I29">
            <v>32.442</v>
          </cell>
          <cell r="J29">
            <v>30.204999999999998</v>
          </cell>
          <cell r="K29">
            <v>29.21</v>
          </cell>
          <cell r="L29">
            <v>25.917000000000002</v>
          </cell>
          <cell r="M29">
            <v>23.661000000000001</v>
          </cell>
        </row>
        <row r="30">
          <cell r="B30" t="str">
            <v>EE</v>
          </cell>
          <cell r="C30">
            <v>26.516999999999999</v>
          </cell>
          <cell r="D30">
            <v>25.135000000000002</v>
          </cell>
          <cell r="E30">
            <v>24.388999999999999</v>
          </cell>
          <cell r="F30">
            <v>23.44</v>
          </cell>
          <cell r="G30">
            <v>20.567</v>
          </cell>
          <cell r="H30">
            <v>19.026</v>
          </cell>
          <cell r="I30">
            <v>19.036000000000001</v>
          </cell>
          <cell r="J30">
            <v>16.454000000000001</v>
          </cell>
          <cell r="K30">
            <v>15.467000000000001</v>
          </cell>
          <cell r="L30">
            <v>14.760999999999999</v>
          </cell>
          <cell r="M30">
            <v>12.603</v>
          </cell>
        </row>
        <row r="31">
          <cell r="B31" t="str">
            <v>EDE</v>
          </cell>
          <cell r="C31" t="str">
            <v>N/A</v>
          </cell>
          <cell r="D31">
            <v>18.318999999999999</v>
          </cell>
          <cell r="E31">
            <v>18.015000000000001</v>
          </cell>
          <cell r="F31">
            <v>17.427</v>
          </cell>
          <cell r="G31">
            <v>16.896000000000001</v>
          </cell>
          <cell r="H31">
            <v>16.532</v>
          </cell>
          <cell r="I31">
            <v>15.817</v>
          </cell>
          <cell r="J31">
            <v>15.747</v>
          </cell>
          <cell r="K31">
            <v>15.563000000000001</v>
          </cell>
          <cell r="L31">
            <v>16.044</v>
          </cell>
          <cell r="M31">
            <v>15.491</v>
          </cell>
        </row>
        <row r="32">
          <cell r="B32" t="str">
            <v>ETR</v>
          </cell>
          <cell r="C32">
            <v>45.116999999999997</v>
          </cell>
          <cell r="D32">
            <v>51.890999999999998</v>
          </cell>
          <cell r="E32">
            <v>55.834000000000003</v>
          </cell>
          <cell r="F32">
            <v>54.002000000000002</v>
          </cell>
          <cell r="G32">
            <v>51.725000000000001</v>
          </cell>
          <cell r="H32">
            <v>50.814</v>
          </cell>
          <cell r="I32">
            <v>47.533000000000001</v>
          </cell>
          <cell r="J32">
            <v>45.545000000000002</v>
          </cell>
          <cell r="K32">
            <v>42.070999999999998</v>
          </cell>
          <cell r="L32">
            <v>40.713999999999999</v>
          </cell>
          <cell r="M32">
            <v>40.450000000000003</v>
          </cell>
        </row>
        <row r="33">
          <cell r="B33" t="str">
            <v>ES</v>
          </cell>
          <cell r="C33">
            <v>33.802999999999997</v>
          </cell>
          <cell r="D33">
            <v>32.637</v>
          </cell>
          <cell r="E33">
            <v>31.474</v>
          </cell>
          <cell r="F33">
            <v>30.486000000000001</v>
          </cell>
          <cell r="G33">
            <v>29.411999999999999</v>
          </cell>
          <cell r="H33">
            <v>22.65</v>
          </cell>
          <cell r="I33">
            <v>21.599</v>
          </cell>
          <cell r="J33">
            <v>20.373000000000001</v>
          </cell>
          <cell r="K33">
            <v>19.382000000000001</v>
          </cell>
          <cell r="L33">
            <v>18.652000000000001</v>
          </cell>
          <cell r="M33">
            <v>18.143000000000001</v>
          </cell>
        </row>
        <row r="34">
          <cell r="B34" t="str">
            <v>EXC</v>
          </cell>
          <cell r="C34">
            <v>27.960999999999999</v>
          </cell>
          <cell r="D34">
            <v>28.038</v>
          </cell>
          <cell r="E34">
            <v>26.292999999999999</v>
          </cell>
          <cell r="F34">
            <v>26.515999999999998</v>
          </cell>
          <cell r="G34">
            <v>25.071999999999999</v>
          </cell>
          <cell r="H34">
            <v>21.684999999999999</v>
          </cell>
          <cell r="I34">
            <v>20.488</v>
          </cell>
          <cell r="J34">
            <v>19.158999999999999</v>
          </cell>
          <cell r="K34">
            <v>16.785</v>
          </cell>
          <cell r="L34">
            <v>15.339</v>
          </cell>
          <cell r="M34">
            <v>14.888</v>
          </cell>
        </row>
        <row r="35">
          <cell r="B35" t="str">
            <v>FE</v>
          </cell>
          <cell r="C35">
            <v>14.109</v>
          </cell>
          <cell r="D35">
            <v>29.324999999999999</v>
          </cell>
          <cell r="E35">
            <v>29.494</v>
          </cell>
          <cell r="F35">
            <v>30.318000000000001</v>
          </cell>
          <cell r="G35">
            <v>31.285</v>
          </cell>
          <cell r="H35">
            <v>31.754000000000001</v>
          </cell>
          <cell r="I35">
            <v>28.032</v>
          </cell>
          <cell r="J35">
            <v>28.077000000000002</v>
          </cell>
          <cell r="K35">
            <v>27.172000000000001</v>
          </cell>
          <cell r="L35">
            <v>29.449000000000002</v>
          </cell>
          <cell r="M35">
            <v>28.305</v>
          </cell>
        </row>
        <row r="36">
          <cell r="B36" t="str">
            <v>FTS.TO</v>
          </cell>
          <cell r="C36">
            <v>32.314999999999998</v>
          </cell>
          <cell r="D36">
            <v>28.626000000000001</v>
          </cell>
          <cell r="E36">
            <v>24.895</v>
          </cell>
          <cell r="F36">
            <v>22.385999999999999</v>
          </cell>
          <cell r="G36">
            <v>20.838999999999999</v>
          </cell>
          <cell r="H36">
            <v>20.532</v>
          </cell>
          <cell r="I36">
            <v>18.951000000000001</v>
          </cell>
          <cell r="J36">
            <v>18.568999999999999</v>
          </cell>
          <cell r="K36">
            <v>18.003</v>
          </cell>
          <cell r="L36">
            <v>16.724</v>
          </cell>
          <cell r="M36">
            <v>12.255000000000001</v>
          </cell>
        </row>
        <row r="37">
          <cell r="B37" t="str">
            <v>EGAS</v>
          </cell>
          <cell r="C37">
            <v>8.8360000000000003</v>
          </cell>
          <cell r="D37">
            <v>9.09</v>
          </cell>
          <cell r="E37">
            <v>9.1829999999999998</v>
          </cell>
          <cell r="F37">
            <v>9.327</v>
          </cell>
          <cell r="G37">
            <v>9.1210000000000004</v>
          </cell>
          <cell r="H37">
            <v>9.17</v>
          </cell>
          <cell r="I37">
            <v>9.0429999999999993</v>
          </cell>
          <cell r="J37">
            <v>8.1590000000000007</v>
          </cell>
          <cell r="K37">
            <v>7.0490000000000004</v>
          </cell>
          <cell r="L37">
            <v>5.1989999999999998</v>
          </cell>
          <cell r="M37">
            <v>4.3540000000000001</v>
          </cell>
        </row>
        <row r="38">
          <cell r="B38" t="str">
            <v>GXP</v>
          </cell>
          <cell r="C38">
            <v>24.731000000000002</v>
          </cell>
          <cell r="D38">
            <v>23.681000000000001</v>
          </cell>
          <cell r="E38">
            <v>23.262</v>
          </cell>
          <cell r="F38">
            <v>22.581</v>
          </cell>
          <cell r="G38">
            <v>21.754999999999999</v>
          </cell>
          <cell r="H38">
            <v>21.741</v>
          </cell>
          <cell r="I38">
            <v>21.265000000000001</v>
          </cell>
          <cell r="J38">
            <v>20.620999999999999</v>
          </cell>
          <cell r="K38">
            <v>21.388000000000002</v>
          </cell>
          <cell r="L38">
            <v>18.181999999999999</v>
          </cell>
          <cell r="M38">
            <v>16.701000000000001</v>
          </cell>
        </row>
        <row r="39">
          <cell r="B39" t="str">
            <v>HE</v>
          </cell>
          <cell r="C39">
            <v>19.033999999999999</v>
          </cell>
          <cell r="D39">
            <v>17.937999999999999</v>
          </cell>
          <cell r="E39">
            <v>17.466000000000001</v>
          </cell>
          <cell r="F39">
            <v>17.056000000000001</v>
          </cell>
          <cell r="G39">
            <v>16.276</v>
          </cell>
          <cell r="H39">
            <v>15.951000000000001</v>
          </cell>
          <cell r="I39">
            <v>15.667999999999999</v>
          </cell>
          <cell r="J39">
            <v>15.582000000000001</v>
          </cell>
          <cell r="K39">
            <v>15.35</v>
          </cell>
          <cell r="L39">
            <v>15.287000000000001</v>
          </cell>
          <cell r="M39">
            <v>13.445</v>
          </cell>
        </row>
        <row r="40">
          <cell r="B40" t="str">
            <v>IDA</v>
          </cell>
          <cell r="C40">
            <v>42.738999999999997</v>
          </cell>
          <cell r="D40">
            <v>40.878999999999998</v>
          </cell>
          <cell r="E40">
            <v>38.853999999999999</v>
          </cell>
          <cell r="F40">
            <v>36.841999999999999</v>
          </cell>
          <cell r="G40">
            <v>35.064999999999998</v>
          </cell>
          <cell r="H40">
            <v>33.185000000000002</v>
          </cell>
          <cell r="I40">
            <v>31.010999999999999</v>
          </cell>
          <cell r="J40">
            <v>29.173999999999999</v>
          </cell>
          <cell r="K40">
            <v>27.759</v>
          </cell>
          <cell r="L40">
            <v>26.792000000000002</v>
          </cell>
          <cell r="M40">
            <v>25.765999999999998</v>
          </cell>
        </row>
        <row r="41">
          <cell r="B41" t="str">
            <v>MGEE</v>
          </cell>
          <cell r="C41">
            <v>20.885999999999999</v>
          </cell>
          <cell r="D41">
            <v>19.916</v>
          </cell>
          <cell r="E41">
            <v>19.02</v>
          </cell>
          <cell r="F41">
            <v>17.812000000000001</v>
          </cell>
          <cell r="G41">
            <v>16.712</v>
          </cell>
          <cell r="H41">
            <v>15.89</v>
          </cell>
          <cell r="I41">
            <v>15.144</v>
          </cell>
          <cell r="J41">
            <v>14.473000000000001</v>
          </cell>
          <cell r="K41">
            <v>13.917999999999999</v>
          </cell>
          <cell r="L41">
            <v>12.99</v>
          </cell>
          <cell r="M41">
            <v>11.929</v>
          </cell>
        </row>
        <row r="42">
          <cell r="B42" t="str">
            <v>MSEX</v>
          </cell>
          <cell r="C42">
            <v>13.404</v>
          </cell>
          <cell r="D42">
            <v>12.739000000000001</v>
          </cell>
          <cell r="E42">
            <v>12.236000000000001</v>
          </cell>
          <cell r="F42">
            <v>11.824</v>
          </cell>
          <cell r="G42">
            <v>11.484</v>
          </cell>
          <cell r="H42">
            <v>11.27</v>
          </cell>
          <cell r="I42">
            <v>11.132</v>
          </cell>
          <cell r="J42">
            <v>10.329000000000001</v>
          </cell>
          <cell r="K42">
            <v>10.029</v>
          </cell>
          <cell r="L42">
            <v>10.054</v>
          </cell>
          <cell r="M42">
            <v>9.5220000000000002</v>
          </cell>
        </row>
        <row r="43">
          <cell r="B43" t="str">
            <v>NJR</v>
          </cell>
          <cell r="C43">
            <v>13.583</v>
          </cell>
          <cell r="D43">
            <v>12.994999999999999</v>
          </cell>
          <cell r="E43">
            <v>11.475</v>
          </cell>
          <cell r="F43">
            <v>10.651</v>
          </cell>
          <cell r="G43">
            <v>9.7989999999999995</v>
          </cell>
          <cell r="H43">
            <v>9.3650000000000002</v>
          </cell>
          <cell r="I43">
            <v>8.81</v>
          </cell>
          <cell r="J43">
            <v>8.2929999999999993</v>
          </cell>
          <cell r="K43">
            <v>8.6419999999999995</v>
          </cell>
          <cell r="L43">
            <v>7.7480000000000002</v>
          </cell>
          <cell r="M43">
            <v>7.5010000000000003</v>
          </cell>
        </row>
        <row r="44">
          <cell r="B44" t="str">
            <v>NEE</v>
          </cell>
          <cell r="C44">
            <v>52.011000000000003</v>
          </cell>
          <cell r="D44">
            <v>48.966999999999999</v>
          </cell>
          <cell r="E44">
            <v>44.957000000000001</v>
          </cell>
          <cell r="F44">
            <v>41.470999999999997</v>
          </cell>
          <cell r="G44">
            <v>37.896000000000001</v>
          </cell>
          <cell r="H44">
            <v>35.920999999999999</v>
          </cell>
          <cell r="I44">
            <v>34.36</v>
          </cell>
          <cell r="J44">
            <v>31.35</v>
          </cell>
          <cell r="K44">
            <v>28.565999999999999</v>
          </cell>
          <cell r="L44">
            <v>26.353999999999999</v>
          </cell>
          <cell r="M44">
            <v>24.494</v>
          </cell>
        </row>
        <row r="45">
          <cell r="B45" t="str">
            <v>NI</v>
          </cell>
          <cell r="C45">
            <v>12.598000000000001</v>
          </cell>
          <cell r="D45">
            <v>12.044</v>
          </cell>
          <cell r="E45">
            <v>19.54</v>
          </cell>
          <cell r="F45">
            <v>18.766999999999999</v>
          </cell>
          <cell r="G45">
            <v>17.901</v>
          </cell>
          <cell r="H45">
            <v>17.71</v>
          </cell>
          <cell r="I45">
            <v>17.626999999999999</v>
          </cell>
          <cell r="J45">
            <v>17.536999999999999</v>
          </cell>
          <cell r="K45">
            <v>17.242000000000001</v>
          </cell>
          <cell r="L45">
            <v>18.515999999999998</v>
          </cell>
          <cell r="M45">
            <v>18.321000000000002</v>
          </cell>
        </row>
        <row r="46">
          <cell r="B46" t="str">
            <v>NWN</v>
          </cell>
          <cell r="C46">
            <v>29.706</v>
          </cell>
          <cell r="D46">
            <v>28.475000000000001</v>
          </cell>
          <cell r="E46">
            <v>28.123000000000001</v>
          </cell>
          <cell r="F46">
            <v>27.77</v>
          </cell>
          <cell r="G46">
            <v>27.233000000000001</v>
          </cell>
          <cell r="H46">
            <v>26.704000000000001</v>
          </cell>
          <cell r="I46">
            <v>26.08</v>
          </cell>
          <cell r="J46">
            <v>24.879000000000001</v>
          </cell>
          <cell r="K46">
            <v>23.710999999999999</v>
          </cell>
          <cell r="L46">
            <v>22.521999999999998</v>
          </cell>
          <cell r="M46">
            <v>22.010999999999999</v>
          </cell>
        </row>
        <row r="47">
          <cell r="B47" t="str">
            <v>NWE</v>
          </cell>
          <cell r="C47">
            <v>34.682000000000002</v>
          </cell>
          <cell r="D47">
            <v>33.218000000000004</v>
          </cell>
          <cell r="E47">
            <v>31.498999999999999</v>
          </cell>
          <cell r="F47">
            <v>26.600999999999999</v>
          </cell>
          <cell r="G47">
            <v>25.094000000000001</v>
          </cell>
          <cell r="H47">
            <v>23.681000000000001</v>
          </cell>
          <cell r="I47">
            <v>22.643000000000001</v>
          </cell>
          <cell r="J47">
            <v>21.86</v>
          </cell>
          <cell r="K47">
            <v>21.251000000000001</v>
          </cell>
          <cell r="L47">
            <v>21.119</v>
          </cell>
          <cell r="M47">
            <v>20.651</v>
          </cell>
        </row>
        <row r="48">
          <cell r="B48" t="str">
            <v>OGE</v>
          </cell>
          <cell r="C48">
            <v>17.245000000000001</v>
          </cell>
          <cell r="D48">
            <v>16.655000000000001</v>
          </cell>
          <cell r="E48">
            <v>16.271000000000001</v>
          </cell>
          <cell r="F48">
            <v>15.3</v>
          </cell>
          <cell r="G48">
            <v>14.004</v>
          </cell>
          <cell r="H48">
            <v>13.065</v>
          </cell>
          <cell r="I48">
            <v>11.73</v>
          </cell>
          <cell r="J48">
            <v>10.52</v>
          </cell>
          <cell r="K48">
            <v>10.143000000000001</v>
          </cell>
          <cell r="L48">
            <v>9.1549999999999994</v>
          </cell>
          <cell r="M48">
            <v>8.7929999999999993</v>
          </cell>
        </row>
        <row r="49">
          <cell r="B49" t="str">
            <v>OGS</v>
          </cell>
          <cell r="C49">
            <v>36.116999999999997</v>
          </cell>
          <cell r="D49">
            <v>35.238999999999997</v>
          </cell>
          <cell r="E49">
            <v>34.445</v>
          </cell>
        </row>
        <row r="50">
          <cell r="B50" t="str">
            <v>OTTR</v>
          </cell>
          <cell r="C50">
            <v>17.03</v>
          </cell>
          <cell r="D50">
            <v>15.981999999999999</v>
          </cell>
          <cell r="E50">
            <v>15.388999999999999</v>
          </cell>
          <cell r="F50">
            <v>14.744999999999999</v>
          </cell>
          <cell r="G50">
            <v>14.432</v>
          </cell>
          <cell r="H50">
            <v>15.829000000000001</v>
          </cell>
          <cell r="I50">
            <v>17.565000000000001</v>
          </cell>
          <cell r="J50">
            <v>18.785</v>
          </cell>
          <cell r="K50">
            <v>19.138999999999999</v>
          </cell>
          <cell r="L50">
            <v>17.550999999999998</v>
          </cell>
          <cell r="M50">
            <v>16.667000000000002</v>
          </cell>
        </row>
        <row r="51">
          <cell r="B51" t="str">
            <v>PCG</v>
          </cell>
          <cell r="C51">
            <v>35.392000000000003</v>
          </cell>
          <cell r="D51">
            <v>33.689</v>
          </cell>
          <cell r="E51">
            <v>33.090000000000003</v>
          </cell>
          <cell r="F51">
            <v>31.405999999999999</v>
          </cell>
          <cell r="G51">
            <v>30.353999999999999</v>
          </cell>
          <cell r="H51">
            <v>29.353000000000002</v>
          </cell>
          <cell r="I51">
            <v>28.545999999999999</v>
          </cell>
          <cell r="J51">
            <v>27.882000000000001</v>
          </cell>
          <cell r="K51">
            <v>25.971</v>
          </cell>
          <cell r="L51">
            <v>24.18</v>
          </cell>
          <cell r="M51">
            <v>22.437000000000001</v>
          </cell>
        </row>
        <row r="52">
          <cell r="B52" t="str">
            <v>PNW</v>
          </cell>
          <cell r="C52">
            <v>43.145000000000003</v>
          </cell>
          <cell r="D52">
            <v>41.304000000000002</v>
          </cell>
          <cell r="E52">
            <v>39.499000000000002</v>
          </cell>
          <cell r="F52">
            <v>38.069000000000003</v>
          </cell>
          <cell r="G52">
            <v>36.201000000000001</v>
          </cell>
          <cell r="H52">
            <v>34.984000000000002</v>
          </cell>
          <cell r="I52">
            <v>33.863999999999997</v>
          </cell>
          <cell r="J52">
            <v>32.692</v>
          </cell>
          <cell r="K52">
            <v>34.155999999999999</v>
          </cell>
          <cell r="L52">
            <v>35.145000000000003</v>
          </cell>
          <cell r="M52">
            <v>34.475000000000001</v>
          </cell>
        </row>
        <row r="53">
          <cell r="B53" t="str">
            <v>PNM</v>
          </cell>
          <cell r="C53">
            <v>21.04</v>
          </cell>
          <cell r="D53">
            <v>20.774999999999999</v>
          </cell>
          <cell r="E53">
            <v>22.390999999999998</v>
          </cell>
          <cell r="F53">
            <v>20.866</v>
          </cell>
          <cell r="G53">
            <v>20.045000000000002</v>
          </cell>
          <cell r="H53">
            <v>19.616</v>
          </cell>
          <cell r="I53">
            <v>17.597000000000001</v>
          </cell>
          <cell r="J53">
            <v>18.901</v>
          </cell>
          <cell r="K53">
            <v>18.893000000000001</v>
          </cell>
          <cell r="L53">
            <v>22.032</v>
          </cell>
          <cell r="M53">
            <v>22.091999999999999</v>
          </cell>
        </row>
        <row r="54">
          <cell r="B54" t="str">
            <v>POR</v>
          </cell>
          <cell r="C54">
            <v>26.353000000000002</v>
          </cell>
          <cell r="D54">
            <v>25.43</v>
          </cell>
          <cell r="E54">
            <v>24.428000000000001</v>
          </cell>
          <cell r="F54">
            <v>23.295000000000002</v>
          </cell>
          <cell r="G54">
            <v>22.87</v>
          </cell>
          <cell r="H54">
            <v>22.067</v>
          </cell>
          <cell r="I54">
            <v>21.137</v>
          </cell>
          <cell r="J54">
            <v>20.501999999999999</v>
          </cell>
          <cell r="K54">
            <v>21.638000000000002</v>
          </cell>
          <cell r="L54">
            <v>21.045999999999999</v>
          </cell>
          <cell r="M54">
            <v>19.582999999999998</v>
          </cell>
        </row>
        <row r="55">
          <cell r="B55" t="str">
            <v>PPL</v>
          </cell>
          <cell r="C55">
            <v>14.563000000000001</v>
          </cell>
          <cell r="D55">
            <v>14.72</v>
          </cell>
          <cell r="E55">
            <v>20.466999999999999</v>
          </cell>
          <cell r="F55">
            <v>19.777000000000001</v>
          </cell>
          <cell r="G55">
            <v>18.009</v>
          </cell>
          <cell r="H55">
            <v>18.72</v>
          </cell>
          <cell r="I55">
            <v>16.984000000000002</v>
          </cell>
          <cell r="J55">
            <v>14.571</v>
          </cell>
          <cell r="K55">
            <v>13.554</v>
          </cell>
          <cell r="L55">
            <v>14.885</v>
          </cell>
          <cell r="M55">
            <v>13.303000000000001</v>
          </cell>
        </row>
        <row r="56">
          <cell r="B56" t="str">
            <v>PEG</v>
          </cell>
          <cell r="C56">
            <v>26.007000000000001</v>
          </cell>
          <cell r="D56">
            <v>25.859000000000002</v>
          </cell>
          <cell r="E56">
            <v>24.088999999999999</v>
          </cell>
          <cell r="F56">
            <v>22.946999999999999</v>
          </cell>
          <cell r="G56">
            <v>21.309000000000001</v>
          </cell>
          <cell r="H56">
            <v>20.298999999999999</v>
          </cell>
          <cell r="I56">
            <v>19.039000000000001</v>
          </cell>
          <cell r="J56">
            <v>17.367999999999999</v>
          </cell>
          <cell r="K56">
            <v>15.356999999999999</v>
          </cell>
          <cell r="L56">
            <v>14.353</v>
          </cell>
          <cell r="M56">
            <v>13.353</v>
          </cell>
        </row>
        <row r="57">
          <cell r="B57" t="str">
            <v>RGCO</v>
          </cell>
          <cell r="C57">
            <v>7.7510000000000003</v>
          </cell>
          <cell r="D57">
            <v>11.145</v>
          </cell>
          <cell r="E57">
            <v>11.021000000000001</v>
          </cell>
          <cell r="F57">
            <v>10.510999999999999</v>
          </cell>
          <cell r="G57">
            <v>10.852</v>
          </cell>
          <cell r="H57">
            <v>10.548999999999999</v>
          </cell>
          <cell r="I57">
            <v>10.182</v>
          </cell>
          <cell r="J57">
            <v>10.004</v>
          </cell>
          <cell r="K57">
            <v>9.8940000000000001</v>
          </cell>
          <cell r="L57">
            <v>9.69</v>
          </cell>
          <cell r="M57">
            <v>9.4659999999999993</v>
          </cell>
        </row>
        <row r="58">
          <cell r="B58" t="str">
            <v>SCG</v>
          </cell>
          <cell r="C58">
            <v>40.063000000000002</v>
          </cell>
          <cell r="D58">
            <v>38.090000000000003</v>
          </cell>
          <cell r="E58">
            <v>34.947000000000003</v>
          </cell>
          <cell r="F58">
            <v>33.078000000000003</v>
          </cell>
          <cell r="G58">
            <v>31.466999999999999</v>
          </cell>
          <cell r="H58">
            <v>29.943000000000001</v>
          </cell>
          <cell r="I58">
            <v>29.047999999999998</v>
          </cell>
          <cell r="J58">
            <v>27.631</v>
          </cell>
          <cell r="K58">
            <v>25.853000000000002</v>
          </cell>
          <cell r="L58">
            <v>25.372</v>
          </cell>
          <cell r="M58">
            <v>24.395</v>
          </cell>
        </row>
        <row r="59">
          <cell r="B59" t="str">
            <v>SRE</v>
          </cell>
          <cell r="C59">
            <v>51.771999999999998</v>
          </cell>
          <cell r="D59">
            <v>47.56</v>
          </cell>
          <cell r="E59">
            <v>45.978999999999999</v>
          </cell>
          <cell r="F59">
            <v>45.03</v>
          </cell>
          <cell r="G59">
            <v>42.423000000000002</v>
          </cell>
          <cell r="H59">
            <v>41.003</v>
          </cell>
          <cell r="I59">
            <v>37.542999999999999</v>
          </cell>
          <cell r="J59">
            <v>36.537999999999997</v>
          </cell>
          <cell r="K59">
            <v>32.750999999999998</v>
          </cell>
          <cell r="L59">
            <v>31.87</v>
          </cell>
          <cell r="M59">
            <v>28.655999999999999</v>
          </cell>
        </row>
        <row r="60">
          <cell r="B60" t="str">
            <v>SJW</v>
          </cell>
          <cell r="C60">
            <v>20.611999999999998</v>
          </cell>
          <cell r="D60">
            <v>18.829999999999998</v>
          </cell>
          <cell r="E60">
            <v>17.753</v>
          </cell>
          <cell r="F60">
            <v>15.923999999999999</v>
          </cell>
          <cell r="G60">
            <v>14.708</v>
          </cell>
          <cell r="H60">
            <v>14.199</v>
          </cell>
          <cell r="I60">
            <v>13.747</v>
          </cell>
          <cell r="J60">
            <v>13.662000000000001</v>
          </cell>
          <cell r="K60">
            <v>13.993</v>
          </cell>
          <cell r="L60">
            <v>12.904</v>
          </cell>
          <cell r="M60">
            <v>12.481</v>
          </cell>
        </row>
        <row r="61">
          <cell r="B61" t="str">
            <v>SJI</v>
          </cell>
          <cell r="C61">
            <v>16.221</v>
          </cell>
          <cell r="D61">
            <v>14.62</v>
          </cell>
          <cell r="E61">
            <v>13.645</v>
          </cell>
          <cell r="F61">
            <v>12.638999999999999</v>
          </cell>
          <cell r="G61">
            <v>11.629</v>
          </cell>
          <cell r="H61">
            <v>10.329000000000001</v>
          </cell>
          <cell r="I61">
            <v>9.5419999999999998</v>
          </cell>
          <cell r="J61">
            <v>9.1219999999999999</v>
          </cell>
          <cell r="K61">
            <v>8.6660000000000004</v>
          </cell>
          <cell r="L61">
            <v>8.1240000000000006</v>
          </cell>
          <cell r="M61">
            <v>7.5540000000000003</v>
          </cell>
        </row>
        <row r="62">
          <cell r="B62" t="str">
            <v>SO</v>
          </cell>
          <cell r="C62">
            <v>24.998000000000001</v>
          </cell>
          <cell r="D62">
            <v>22.585999999999999</v>
          </cell>
          <cell r="E62">
            <v>21.975999999999999</v>
          </cell>
          <cell r="F62">
            <v>21.427</v>
          </cell>
          <cell r="G62">
            <v>21.085000000000001</v>
          </cell>
          <cell r="H62">
            <v>20.318000000000001</v>
          </cell>
          <cell r="I62">
            <v>19.212</v>
          </cell>
          <cell r="J62">
            <v>18.152000000000001</v>
          </cell>
          <cell r="K62">
            <v>17.082000000000001</v>
          </cell>
          <cell r="L62">
            <v>16.23</v>
          </cell>
          <cell r="M62">
            <v>15.237</v>
          </cell>
        </row>
        <row r="63">
          <cell r="B63" t="str">
            <v>SWX</v>
          </cell>
          <cell r="C63">
            <v>35.033999999999999</v>
          </cell>
          <cell r="D63">
            <v>33.609000000000002</v>
          </cell>
          <cell r="E63">
            <v>31.946999999999999</v>
          </cell>
          <cell r="F63">
            <v>30.468</v>
          </cell>
          <cell r="G63">
            <v>28.355</v>
          </cell>
          <cell r="H63">
            <v>26.657</v>
          </cell>
          <cell r="I63">
            <v>25.614999999999998</v>
          </cell>
          <cell r="J63">
            <v>24.440999999999999</v>
          </cell>
          <cell r="K63">
            <v>23.484999999999999</v>
          </cell>
          <cell r="L63">
            <v>22.98</v>
          </cell>
          <cell r="M63">
            <v>21.581</v>
          </cell>
        </row>
        <row r="64">
          <cell r="B64" t="str">
            <v>SR</v>
          </cell>
          <cell r="C64">
            <v>38.732999999999997</v>
          </cell>
          <cell r="D64">
            <v>36.295999999999999</v>
          </cell>
          <cell r="E64">
            <v>34.93</v>
          </cell>
          <cell r="F64">
            <v>31.998999999999999</v>
          </cell>
          <cell r="G64">
            <v>26.673999999999999</v>
          </cell>
          <cell r="H64">
            <v>25.56</v>
          </cell>
          <cell r="I64">
            <v>24.024999999999999</v>
          </cell>
          <cell r="J64">
            <v>23.323</v>
          </cell>
          <cell r="K64">
            <v>22.119</v>
          </cell>
          <cell r="L64">
            <v>19.788</v>
          </cell>
          <cell r="M64">
            <v>18.849</v>
          </cell>
        </row>
        <row r="65">
          <cell r="B65" t="str">
            <v>SGU</v>
          </cell>
          <cell r="C65">
            <v>5.3630000000000004</v>
          </cell>
          <cell r="D65">
            <v>5.032</v>
          </cell>
          <cell r="E65">
            <v>4.7539999999999996</v>
          </cell>
          <cell r="F65">
            <v>4.492</v>
          </cell>
          <cell r="G65">
            <v>4.2629999999999999</v>
          </cell>
          <cell r="H65">
            <v>4.1929999999999996</v>
          </cell>
          <cell r="I65">
            <v>4.1689999999999996</v>
          </cell>
          <cell r="J65">
            <v>4.077</v>
          </cell>
          <cell r="K65">
            <v>2.6389999999999998</v>
          </cell>
          <cell r="L65">
            <v>2.855</v>
          </cell>
          <cell r="M65">
            <v>2.2869999999999999</v>
          </cell>
        </row>
        <row r="66">
          <cell r="B66" t="str">
            <v>UGI</v>
          </cell>
          <cell r="C66">
            <v>16.465</v>
          </cell>
          <cell r="D66">
            <v>15.55</v>
          </cell>
          <cell r="E66">
            <v>15.394</v>
          </cell>
          <cell r="F66">
            <v>14.586</v>
          </cell>
          <cell r="G66">
            <v>13.209</v>
          </cell>
          <cell r="H66">
            <v>11.789</v>
          </cell>
          <cell r="I66">
            <v>11.099</v>
          </cell>
          <cell r="J66">
            <v>9.7759999999999998</v>
          </cell>
          <cell r="K66">
            <v>8.8000000000000007</v>
          </cell>
          <cell r="L66">
            <v>8.2629999999999999</v>
          </cell>
          <cell r="M66">
            <v>6.952</v>
          </cell>
        </row>
        <row r="67">
          <cell r="B67" t="str">
            <v>UTL</v>
          </cell>
          <cell r="C67">
            <v>20.824999999999999</v>
          </cell>
          <cell r="D67">
            <v>20.199000000000002</v>
          </cell>
          <cell r="E67">
            <v>19.625</v>
          </cell>
          <cell r="F67">
            <v>19.145</v>
          </cell>
          <cell r="G67">
            <v>18.896000000000001</v>
          </cell>
          <cell r="H67">
            <v>17.5</v>
          </cell>
          <cell r="I67">
            <v>17.355</v>
          </cell>
          <cell r="J67">
            <v>17.818999999999999</v>
          </cell>
          <cell r="K67">
            <v>17.904</v>
          </cell>
          <cell r="L67">
            <v>17.491</v>
          </cell>
          <cell r="M67">
            <v>17.305</v>
          </cell>
        </row>
        <row r="68">
          <cell r="B68" t="str">
            <v>VVC</v>
          </cell>
          <cell r="C68">
            <v>21.327999999999999</v>
          </cell>
          <cell r="D68">
            <v>20.335999999999999</v>
          </cell>
          <cell r="E68">
            <v>19.45</v>
          </cell>
          <cell r="F68">
            <v>18.863</v>
          </cell>
          <cell r="G68">
            <v>18.565999999999999</v>
          </cell>
          <cell r="H68">
            <v>17.893999999999998</v>
          </cell>
          <cell r="I68">
            <v>17.611999999999998</v>
          </cell>
          <cell r="J68">
            <v>17.228000000000002</v>
          </cell>
          <cell r="K68">
            <v>16.681000000000001</v>
          </cell>
          <cell r="L68">
            <v>16.157</v>
          </cell>
          <cell r="M68">
            <v>15.43</v>
          </cell>
        </row>
        <row r="69">
          <cell r="B69" t="str">
            <v>WEC</v>
          </cell>
          <cell r="C69">
            <v>28.292999999999999</v>
          </cell>
          <cell r="D69">
            <v>27.416</v>
          </cell>
          <cell r="E69">
            <v>19.597999999999999</v>
          </cell>
          <cell r="F69">
            <v>18.733000000000001</v>
          </cell>
          <cell r="G69">
            <v>18.053999999999998</v>
          </cell>
          <cell r="H69">
            <v>17.195</v>
          </cell>
          <cell r="I69">
            <v>16.263999999999999</v>
          </cell>
          <cell r="J69">
            <v>15.255000000000001</v>
          </cell>
          <cell r="K69">
            <v>14.27</v>
          </cell>
          <cell r="L69">
            <v>13.250999999999999</v>
          </cell>
          <cell r="M69">
            <v>12.349</v>
          </cell>
        </row>
        <row r="70">
          <cell r="B70" t="str">
            <v>WR</v>
          </cell>
          <cell r="C70">
            <v>26.841000000000001</v>
          </cell>
          <cell r="D70">
            <v>25.869</v>
          </cell>
          <cell r="E70">
            <v>25.02</v>
          </cell>
          <cell r="F70">
            <v>23.879000000000001</v>
          </cell>
          <cell r="G70">
            <v>22.893999999999998</v>
          </cell>
          <cell r="H70">
            <v>22.030999999999999</v>
          </cell>
          <cell r="I70">
            <v>21.251000000000001</v>
          </cell>
          <cell r="J70">
            <v>20.585999999999999</v>
          </cell>
          <cell r="K70">
            <v>20.184000000000001</v>
          </cell>
          <cell r="L70">
            <v>19.138999999999999</v>
          </cell>
          <cell r="M70">
            <v>17.614999999999998</v>
          </cell>
        </row>
        <row r="71">
          <cell r="B71" t="str">
            <v>WGL</v>
          </cell>
          <cell r="C71">
            <v>26.777999999999999</v>
          </cell>
          <cell r="D71">
            <v>24.972999999999999</v>
          </cell>
          <cell r="E71">
            <v>24.084</v>
          </cell>
          <cell r="F71">
            <v>24.654</v>
          </cell>
          <cell r="G71">
            <v>24.640999999999998</v>
          </cell>
          <cell r="H71">
            <v>23.492999999999999</v>
          </cell>
          <cell r="I71">
            <v>22.821999999999999</v>
          </cell>
          <cell r="J71">
            <v>21.890999999999998</v>
          </cell>
          <cell r="K71">
            <v>20.986000000000001</v>
          </cell>
          <cell r="L71">
            <v>19.834</v>
          </cell>
          <cell r="M71">
            <v>18.856000000000002</v>
          </cell>
        </row>
        <row r="72">
          <cell r="B72" t="str">
            <v>XEL</v>
          </cell>
          <cell r="C72">
            <v>21.728000000000002</v>
          </cell>
          <cell r="D72">
            <v>20.887</v>
          </cell>
          <cell r="E72">
            <v>20.196999999999999</v>
          </cell>
          <cell r="F72">
            <v>19.21</v>
          </cell>
          <cell r="G72">
            <v>18.186</v>
          </cell>
          <cell r="H72">
            <v>17.434999999999999</v>
          </cell>
          <cell r="I72">
            <v>16.759</v>
          </cell>
          <cell r="J72">
            <v>15.919</v>
          </cell>
          <cell r="K72">
            <v>15.346</v>
          </cell>
          <cell r="L72">
            <v>14.695</v>
          </cell>
          <cell r="M72">
            <v>14.282</v>
          </cell>
        </row>
        <row r="73">
          <cell r="B73" t="str">
            <v>YORW</v>
          </cell>
          <cell r="C73" t="str">
            <v>N/A</v>
          </cell>
          <cell r="D73">
            <v>8.5129999999999999</v>
          </cell>
          <cell r="E73">
            <v>8.15</v>
          </cell>
          <cell r="F73">
            <v>7.9749999999999996</v>
          </cell>
          <cell r="G73">
            <v>7.7270000000000003</v>
          </cell>
          <cell r="H73">
            <v>7.4470000000000001</v>
          </cell>
          <cell r="I73">
            <v>7.19</v>
          </cell>
          <cell r="J73">
            <v>6.9210000000000003</v>
          </cell>
          <cell r="K73">
            <v>6.1369999999999996</v>
          </cell>
          <cell r="L73">
            <v>5.9720000000000004</v>
          </cell>
          <cell r="M73">
            <v>5.835</v>
          </cell>
        </row>
      </sheetData>
      <sheetData sheetId="36"/>
      <sheetData sheetId="37"/>
      <sheetData sheetId="38"/>
      <sheetData sheetId="39">
        <row r="7">
          <cell r="E7">
            <v>3761</v>
          </cell>
        </row>
        <row r="8">
          <cell r="A8">
            <v>38195</v>
          </cell>
        </row>
      </sheetData>
      <sheetData sheetId="40">
        <row r="1">
          <cell r="A1" t="str">
            <v>DGS20</v>
          </cell>
        </row>
        <row r="4">
          <cell r="E4">
            <v>6583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MPG-12"/>
      <sheetName val="Exhibit MPG-13 Electric"/>
      <sheetName val="Exhibit MPG-14 Electric"/>
      <sheetName val="Exhibit MPG-13"/>
      <sheetName val="Exhibit MPG-14"/>
      <sheetName val="Exhibit MPG-15"/>
      <sheetName val="Exhibit MPG-16a"/>
      <sheetName val="Exhibit MPG-16b"/>
      <sheetName val="Exhibit MPG-16c"/>
      <sheetName val="Exhibit MPG-"/>
      <sheetName val="Yields (WP)"/>
      <sheetName val="FRED 20 yr TIPS monthly"/>
      <sheetName val="Treas 20 yr"/>
      <sheetName val="Moodys Yields(WP)"/>
      <sheetName val="Monthly Yields (WP)"/>
      <sheetName val="Annual Yields (WP)"/>
      <sheetName val="A rated Bond Yield Spread Graph"/>
      <sheetName val="Elec. Authorized Returns Graph"/>
      <sheetName val="Gas Authorized Returns Graph"/>
      <sheetName val="Authorized Returns G &amp; E"/>
    </sheetNames>
    <sheetDataSet>
      <sheetData sheetId="0">
        <row r="1">
          <cell r="A1" t="str">
            <v>Ameren Illinois Company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>
            <v>10010</v>
          </cell>
        </row>
      </sheetData>
      <sheetData sheetId="11"/>
      <sheetData sheetId="12"/>
      <sheetData sheetId="13">
        <row r="1">
          <cell r="A1">
            <v>2868</v>
          </cell>
        </row>
        <row r="2">
          <cell r="Q2">
            <v>17</v>
          </cell>
        </row>
        <row r="3">
          <cell r="A3" t="str">
            <v>Date</v>
          </cell>
        </row>
        <row r="4">
          <cell r="A4">
            <v>38720</v>
          </cell>
          <cell r="B4" t="str">
            <v>N/A</v>
          </cell>
          <cell r="C4">
            <v>5.4600000000000003E-2</v>
          </cell>
          <cell r="D4">
            <v>5.7000000000000002E-2</v>
          </cell>
          <cell r="E4">
            <v>6.0299999999999999E-2</v>
          </cell>
          <cell r="F4">
            <v>5.7299999999999997E-2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5.74E-2</v>
          </cell>
          <cell r="L4">
            <v>0</v>
          </cell>
          <cell r="M4">
            <v>0</v>
          </cell>
          <cell r="N4">
            <v>0</v>
          </cell>
          <cell r="O4">
            <v>38718</v>
          </cell>
          <cell r="Q4">
            <v>3.9999999999999758E-4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1-3"/>
      <sheetName val="Electric 4"/>
      <sheetName val="Electric 5"/>
      <sheetName val="Electric 6"/>
      <sheetName val="Electric 7"/>
      <sheetName val="Electric 8-10"/>
      <sheetName val="MPG-2, Page 1"/>
      <sheetName val="MPG-2, Page 2"/>
      <sheetName val="MPG-2, Page 3"/>
      <sheetName val="MPG-2, Page 4"/>
      <sheetName val="MPG-2, Page 5"/>
      <sheetName val="MPG-2, Page 6"/>
      <sheetName val="MPG-2, Page 7"/>
      <sheetName val="MPG-2, Page 8"/>
      <sheetName val="MPG-2, Page 9"/>
      <sheetName val="MPG-2, Page 10"/>
      <sheetName val="MPG-2, Page 11"/>
      <sheetName val="MPG-2, Page 12"/>
      <sheetName val="P-E Ratio (WP)"/>
      <sheetName val="MP-CF (WP)"/>
      <sheetName val="MP-BV (WP)"/>
      <sheetName val="DIV-MP (WP)"/>
      <sheetName val="DIV-BV (WP)"/>
      <sheetName val="DIV-Earnings (WP)"/>
      <sheetName val="CF-Cap Spend (WP)"/>
      <sheetName val="CapSpendCashFlow"/>
      <sheetName val="2018 data"/>
      <sheetName val="2019 Data (WP)"/>
      <sheetName val="2018"/>
      <sheetName val="2017"/>
      <sheetName val="2016"/>
      <sheetName val="Sheet2"/>
      <sheetName val="MP"/>
      <sheetName val="CF"/>
      <sheetName val="EPS"/>
      <sheetName val="DIV"/>
      <sheetName val="CapS"/>
      <sheetName val="BV"/>
      <sheetName val="Annual Yields (WP)"/>
      <sheetName val="Implied Inflation"/>
      <sheetName val="FRED 20 yr TIPS monthly"/>
      <sheetName val="Treas 20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>
            <v>43641</v>
          </cell>
        </row>
      </sheetData>
      <sheetData sheetId="26"/>
      <sheetData sheetId="27">
        <row r="2">
          <cell r="D2" t="str">
            <v>February 28, 2020.</v>
          </cell>
        </row>
      </sheetData>
      <sheetData sheetId="28">
        <row r="1">
          <cell r="A1">
            <v>43641</v>
          </cell>
        </row>
      </sheetData>
      <sheetData sheetId="29">
        <row r="3">
          <cell r="C3">
            <v>3</v>
          </cell>
          <cell r="I3">
            <v>9</v>
          </cell>
          <cell r="L3">
            <v>12</v>
          </cell>
          <cell r="N3">
            <v>14</v>
          </cell>
          <cell r="O3">
            <v>15</v>
          </cell>
          <cell r="Q3">
            <v>17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E1" t="str">
            <v>August 30, 2019</v>
          </cell>
        </row>
      </sheetData>
      <sheetData sheetId="39">
        <row r="13">
          <cell r="B13">
            <v>2004</v>
          </cell>
        </row>
      </sheetData>
      <sheetData sheetId="40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W-1, pgs 1-3"/>
      <sheetName val="CWW-1, pg 4e"/>
      <sheetName val="CWW-1, pg 5e"/>
      <sheetName val="CWW-1, pg 6e"/>
      <sheetName val="CWW-1, pg 7e"/>
      <sheetName val="CWW-1, pg 8-10"/>
      <sheetName val="CCW-1, Page 1"/>
      <sheetName val="CCW-1, Page 2"/>
      <sheetName val="CCW-1, Page 3"/>
      <sheetName val="CCW-1, Page 4"/>
      <sheetName val="CCW-1, Page 5"/>
      <sheetName val="CCW-1, Page 6"/>
      <sheetName val="CWW-1, pg 7"/>
      <sheetName val="CWW-1, pg 8"/>
      <sheetName val="CWW-1, pg 9"/>
      <sheetName val="CWW-1, pg 10"/>
      <sheetName val="CWW-1, pg 11"/>
      <sheetName val="CWW-1, pg 12"/>
      <sheetName val="Table or Figure"/>
      <sheetName val="P-E Ratio (WP)"/>
      <sheetName val="MP-CF (WP)"/>
      <sheetName val="MP-BV (WP)"/>
      <sheetName val="DIV-MP (WP)"/>
      <sheetName val="DIV-BV (WP)"/>
      <sheetName val="DIV-Earnings (WP)"/>
      <sheetName val="CF-Cap Spend (WP)"/>
      <sheetName val="CapSpendCashFlow"/>
      <sheetName val="2021 Data (WP)"/>
      <sheetName val="2020 Data (WP)"/>
      <sheetName val="2019 Data (WP)"/>
      <sheetName val="2018 data"/>
      <sheetName val="2020"/>
      <sheetName val="2019"/>
      <sheetName val="2018"/>
      <sheetName val="2017"/>
      <sheetName val="2016"/>
      <sheetName val="Sheet2"/>
      <sheetName val="MP"/>
      <sheetName val="CF"/>
      <sheetName val="EPS"/>
      <sheetName val="DIV"/>
      <sheetName val="CapS"/>
      <sheetName val="BV"/>
      <sheetName val="Annual Yields (WP)"/>
      <sheetName val="Implied Inflation"/>
      <sheetName val="FRED 20 yr TIPS monthly"/>
      <sheetName val="Treas 20 yr"/>
      <sheetName val="Baa-Rated Yields (W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5">
          <cell r="E65" t="str">
            <v>Data for years 2019 and prior were retreived from the Value Line Investment Survey Investment Analyzer Software, downloaded on June 18, 2021.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-1"/>
      <sheetName val="Electric -2"/>
      <sheetName val="Gas -1"/>
      <sheetName val="Gas -2"/>
      <sheetName val="P-E Ratio (WP)"/>
      <sheetName val="MP-CF (WP)"/>
      <sheetName val="MP-BV (WP)"/>
      <sheetName val="DIV-BV (WP)"/>
      <sheetName val="DIV-Earnings (WP)"/>
      <sheetName val="CF-Cap Spend (WP)"/>
      <sheetName val="2017 Data (WP)"/>
      <sheetName val="2016"/>
      <sheetName val="MP"/>
      <sheetName val="CF"/>
      <sheetName val="EPS"/>
      <sheetName val="DIV"/>
      <sheetName val="CapS"/>
      <sheetName val="BV"/>
      <sheetName val="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">
          <cell r="C9" t="str">
            <v>Electric Util. (Central)</v>
          </cell>
          <cell r="D9" t="str">
            <v>ALE</v>
          </cell>
        </row>
        <row r="10">
          <cell r="C10" t="str">
            <v>Electric Util. (Central)</v>
          </cell>
          <cell r="D10" t="str">
            <v>LNT</v>
          </cell>
        </row>
        <row r="11">
          <cell r="C11" t="str">
            <v>Water Utility</v>
          </cell>
          <cell r="D11" t="str">
            <v>AWR</v>
          </cell>
        </row>
        <row r="12">
          <cell r="C12" t="str">
            <v>Water Utility</v>
          </cell>
          <cell r="D12" t="str">
            <v>AWK</v>
          </cell>
        </row>
        <row r="13">
          <cell r="C13" t="str">
            <v>Electric Util. (Central)</v>
          </cell>
          <cell r="D13" t="str">
            <v>AEE</v>
          </cell>
        </row>
        <row r="14">
          <cell r="C14" t="str">
            <v>Electric Util. (Central)</v>
          </cell>
          <cell r="D14" t="str">
            <v>AEP</v>
          </cell>
        </row>
        <row r="15">
          <cell r="C15" t="str">
            <v>Water Utility</v>
          </cell>
          <cell r="D15" t="str">
            <v>WTR</v>
          </cell>
        </row>
        <row r="16">
          <cell r="C16" t="str">
            <v>Natural Gas Utility</v>
          </cell>
          <cell r="D16" t="str">
            <v>ATO</v>
          </cell>
        </row>
        <row r="17">
          <cell r="C17" t="str">
            <v>Electric Utility (East)</v>
          </cell>
          <cell r="D17" t="str">
            <v>AGR</v>
          </cell>
        </row>
        <row r="18">
          <cell r="C18" t="str">
            <v>Electric Utility (West)</v>
          </cell>
          <cell r="D18" t="str">
            <v>AVA</v>
          </cell>
        </row>
        <row r="19">
          <cell r="C19" t="str">
            <v>Electric Utility (West)</v>
          </cell>
          <cell r="D19" t="str">
            <v>BKH</v>
          </cell>
        </row>
        <row r="20">
          <cell r="C20" t="str">
            <v>Water Utility</v>
          </cell>
          <cell r="D20" t="str">
            <v>CWT</v>
          </cell>
        </row>
        <row r="21">
          <cell r="C21" t="str">
            <v>Electric Util. (Central)</v>
          </cell>
          <cell r="D21" t="str">
            <v>CNP</v>
          </cell>
        </row>
        <row r="22">
          <cell r="C22" t="str">
            <v>Natural Gas Utility</v>
          </cell>
          <cell r="D22" t="str">
            <v>CPK</v>
          </cell>
        </row>
        <row r="23">
          <cell r="C23" t="str">
            <v>Electric Util. (Central)</v>
          </cell>
          <cell r="D23" t="str">
            <v>CMS</v>
          </cell>
        </row>
        <row r="24">
          <cell r="C24" t="str">
            <v>Water Utility</v>
          </cell>
          <cell r="D24" t="str">
            <v>CTWS</v>
          </cell>
        </row>
        <row r="25">
          <cell r="C25" t="str">
            <v>Electric Utility (East)</v>
          </cell>
          <cell r="D25" t="str">
            <v>ED</v>
          </cell>
        </row>
        <row r="26">
          <cell r="C26" t="str">
            <v>Water Utility</v>
          </cell>
          <cell r="D26" t="str">
            <v>CWCO</v>
          </cell>
        </row>
        <row r="27">
          <cell r="C27" t="str">
            <v>Electric Utility (East)</v>
          </cell>
          <cell r="D27" t="str">
            <v>D</v>
          </cell>
        </row>
        <row r="28">
          <cell r="C28" t="str">
            <v>Electric Util. (Central)</v>
          </cell>
          <cell r="D28" t="str">
            <v>DTE</v>
          </cell>
        </row>
        <row r="29">
          <cell r="C29" t="str">
            <v>Electric Utility (East)</v>
          </cell>
          <cell r="D29" t="str">
            <v>DUK</v>
          </cell>
        </row>
        <row r="30">
          <cell r="C30" t="str">
            <v>Electric Utility (West)</v>
          </cell>
          <cell r="D30" t="str">
            <v>EIX</v>
          </cell>
        </row>
        <row r="31">
          <cell r="C31" t="str">
            <v>Electric Utility (West)</v>
          </cell>
          <cell r="D31" t="str">
            <v>EE</v>
          </cell>
        </row>
        <row r="32">
          <cell r="D32"/>
        </row>
        <row r="33">
          <cell r="C33" t="str">
            <v>Electric Util. (Central)</v>
          </cell>
          <cell r="D33" t="str">
            <v>ETR</v>
          </cell>
        </row>
        <row r="34">
          <cell r="C34" t="str">
            <v>Electric Utility (East)</v>
          </cell>
          <cell r="D34" t="str">
            <v>ES</v>
          </cell>
        </row>
        <row r="35">
          <cell r="C35" t="str">
            <v>Electric Utility (East)</v>
          </cell>
          <cell r="D35" t="str">
            <v>EXC</v>
          </cell>
        </row>
        <row r="36">
          <cell r="C36" t="str">
            <v>Electric Utility (East)</v>
          </cell>
          <cell r="D36" t="str">
            <v>FE</v>
          </cell>
        </row>
        <row r="37">
          <cell r="C37" t="str">
            <v>Electric Util. (Central)</v>
          </cell>
          <cell r="D37" t="str">
            <v>FTS.TO</v>
          </cell>
        </row>
        <row r="38">
          <cell r="C38" t="str">
            <v>Electric Util. (Central)</v>
          </cell>
          <cell r="D38" t="str">
            <v>GXP</v>
          </cell>
        </row>
        <row r="39">
          <cell r="C39" t="str">
            <v>Electric Utility (West)</v>
          </cell>
          <cell r="D39" t="str">
            <v>HE</v>
          </cell>
        </row>
        <row r="40">
          <cell r="C40" t="str">
            <v>Electric Utility (West)</v>
          </cell>
          <cell r="D40" t="str">
            <v>IDA</v>
          </cell>
        </row>
        <row r="41">
          <cell r="C41" t="str">
            <v>Electric Util. (Central)</v>
          </cell>
          <cell r="D41" t="str">
            <v>MGEE</v>
          </cell>
        </row>
        <row r="42">
          <cell r="C42" t="str">
            <v>Water Utility</v>
          </cell>
          <cell r="D42" t="str">
            <v>MSEX</v>
          </cell>
        </row>
        <row r="43">
          <cell r="C43" t="str">
            <v>Natural Gas Utility</v>
          </cell>
          <cell r="D43" t="str">
            <v>NJR</v>
          </cell>
        </row>
        <row r="44">
          <cell r="C44" t="str">
            <v>Electric Utility (East)</v>
          </cell>
          <cell r="D44" t="str">
            <v>NEE</v>
          </cell>
        </row>
        <row r="45">
          <cell r="C45" t="str">
            <v>Natural Gas Utility</v>
          </cell>
          <cell r="D45" t="str">
            <v>NI</v>
          </cell>
        </row>
        <row r="46">
          <cell r="C46" t="str">
            <v>Natural Gas Utility</v>
          </cell>
          <cell r="D46" t="str">
            <v>NWN</v>
          </cell>
        </row>
        <row r="47">
          <cell r="C47" t="str">
            <v>Electric Utility (West)</v>
          </cell>
          <cell r="D47" t="str">
            <v>NWE</v>
          </cell>
        </row>
        <row r="48">
          <cell r="C48" t="str">
            <v>Natural Gas Utility</v>
          </cell>
          <cell r="D48" t="str">
            <v>OGS</v>
          </cell>
        </row>
        <row r="49">
          <cell r="C49" t="str">
            <v>Electric Util. (Central)</v>
          </cell>
          <cell r="D49" t="str">
            <v>OGE</v>
          </cell>
        </row>
        <row r="50">
          <cell r="C50" t="str">
            <v>Electric Util. (Central)</v>
          </cell>
          <cell r="D50" t="str">
            <v>OTTR</v>
          </cell>
        </row>
        <row r="51">
          <cell r="C51" t="str">
            <v>Electric Utility (West)</v>
          </cell>
          <cell r="D51" t="str">
            <v>PCG</v>
          </cell>
        </row>
        <row r="52">
          <cell r="C52" t="str">
            <v>Electric Utility (West)</v>
          </cell>
          <cell r="D52" t="str">
            <v>PNW</v>
          </cell>
        </row>
        <row r="53">
          <cell r="C53" t="str">
            <v>Electric Utility (West)</v>
          </cell>
          <cell r="D53" t="str">
            <v>PNM</v>
          </cell>
        </row>
        <row r="54">
          <cell r="C54" t="str">
            <v>Electric Utility (West)</v>
          </cell>
          <cell r="D54" t="str">
            <v>POR</v>
          </cell>
        </row>
        <row r="55">
          <cell r="C55" t="str">
            <v>Electric Utility (East)</v>
          </cell>
          <cell r="D55" t="str">
            <v>PPL</v>
          </cell>
        </row>
        <row r="56">
          <cell r="C56" t="str">
            <v>Electric Utility (East)</v>
          </cell>
          <cell r="D56" t="str">
            <v>PEG</v>
          </cell>
        </row>
        <row r="57">
          <cell r="C57" t="str">
            <v>Electric Utility (East)</v>
          </cell>
          <cell r="D57" t="str">
            <v>SCG</v>
          </cell>
        </row>
        <row r="58">
          <cell r="C58" t="str">
            <v>Electric Utility (West)</v>
          </cell>
          <cell r="D58" t="str">
            <v>SRE</v>
          </cell>
        </row>
        <row r="59">
          <cell r="C59" t="str">
            <v>Water Utility</v>
          </cell>
          <cell r="D59" t="str">
            <v>SJW</v>
          </cell>
        </row>
        <row r="60">
          <cell r="C60" t="str">
            <v>Natural Gas Utility</v>
          </cell>
          <cell r="D60" t="str">
            <v>SJI</v>
          </cell>
        </row>
        <row r="61">
          <cell r="C61" t="str">
            <v>Electric Utility (East)</v>
          </cell>
          <cell r="D61" t="str">
            <v>SO</v>
          </cell>
        </row>
        <row r="62">
          <cell r="C62" t="str">
            <v>Natural Gas Utility</v>
          </cell>
          <cell r="D62" t="str">
            <v>SWX</v>
          </cell>
        </row>
        <row r="63">
          <cell r="C63" t="str">
            <v>Natural Gas Utility</v>
          </cell>
          <cell r="D63" t="str">
            <v>SR</v>
          </cell>
        </row>
        <row r="64">
          <cell r="C64" t="str">
            <v>Natural Gas Utility</v>
          </cell>
          <cell r="D64" t="str">
            <v>UGI</v>
          </cell>
        </row>
        <row r="65">
          <cell r="C65" t="str">
            <v>Electric Util. (Central)</v>
          </cell>
          <cell r="D65" t="str">
            <v>VVC</v>
          </cell>
        </row>
        <row r="66">
          <cell r="C66" t="str">
            <v>Electric Util. (Central)</v>
          </cell>
          <cell r="D66" t="str">
            <v>WEC</v>
          </cell>
        </row>
        <row r="67">
          <cell r="C67" t="str">
            <v>Electric Util. (Central)</v>
          </cell>
          <cell r="D67" t="str">
            <v>WR</v>
          </cell>
        </row>
        <row r="68">
          <cell r="C68" t="str">
            <v>Natural Gas Utility</v>
          </cell>
          <cell r="D68" t="str">
            <v>WGL</v>
          </cell>
        </row>
        <row r="69">
          <cell r="C69" t="str">
            <v>Electric Utility (West)</v>
          </cell>
          <cell r="D69" t="str">
            <v>XEL</v>
          </cell>
        </row>
        <row r="70">
          <cell r="C70" t="str">
            <v>Water Utility</v>
          </cell>
          <cell r="D70" t="str">
            <v>YORW</v>
          </cell>
        </row>
        <row r="71">
          <cell r="D71"/>
        </row>
        <row r="72">
          <cell r="D72"/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W-1, pgs 1-3"/>
      <sheetName val="CCW-1, pg 4"/>
      <sheetName val="CCW-1, pg 5"/>
      <sheetName val="CCW-1, pg 6"/>
      <sheetName val="CCW-1, pg 7"/>
      <sheetName val="Not Using, pg 14-16"/>
      <sheetName val="Table or Figure"/>
      <sheetName val="P-E Ratio (WP)"/>
      <sheetName val="MP-CF (WP)"/>
      <sheetName val="MP-BV (WP)"/>
      <sheetName val="DIV-MP (WP)"/>
      <sheetName val="DIV-BV (WP)"/>
      <sheetName val="DIV-Earnings (WP)"/>
      <sheetName val="CF-Cap Spend (WP)"/>
      <sheetName val="CapSpendCashFlow"/>
      <sheetName val="2020 Data (WP)"/>
      <sheetName val="2018 data"/>
      <sheetName val="2019 Data (WP)"/>
      <sheetName val="2018"/>
      <sheetName val="2017"/>
      <sheetName val="2016"/>
      <sheetName val="Sheet2"/>
      <sheetName val="MP"/>
      <sheetName val="CF"/>
      <sheetName val="EPS"/>
      <sheetName val="DIV"/>
      <sheetName val="CapS"/>
      <sheetName val="BV"/>
      <sheetName val="Annual Yields (WP)"/>
      <sheetName val="Implied Inflation"/>
      <sheetName val="FRED 20 yr TIPS monthly"/>
      <sheetName val="Treas 20 yr"/>
      <sheetName val="Baa-Rated Yields (W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0</v>
          </cell>
          <cell r="H5">
            <v>0</v>
          </cell>
          <cell r="I5">
            <v>10.161806591618065</v>
          </cell>
          <cell r="J5">
            <v>10.947640006070724</v>
          </cell>
          <cell r="K5">
            <v>8.2644441305269112</v>
          </cell>
          <cell r="L5">
            <v>7.4948453608247423</v>
          </cell>
          <cell r="M5">
            <v>8.8042290748898679</v>
          </cell>
          <cell r="N5">
            <v>9.1492984097287184</v>
          </cell>
          <cell r="O5">
            <v>8.1817092651757175</v>
          </cell>
          <cell r="P5">
            <v>7.9102198697068395</v>
          </cell>
          <cell r="Q5">
            <v>8.0392922794117645</v>
          </cell>
          <cell r="R5">
            <v>8.5107812937552509</v>
          </cell>
          <cell r="S5">
            <v>9.2917552563193961</v>
          </cell>
          <cell r="T5">
            <v>10.302330844082373</v>
          </cell>
          <cell r="U5">
            <v>11.056694813027745</v>
          </cell>
          <cell r="V5">
            <v>11.543020535482194</v>
          </cell>
          <cell r="W5">
            <v>11.46027</v>
          </cell>
          <cell r="X5" t="str">
            <v>N/A</v>
          </cell>
          <cell r="Y5" t="str">
            <v>N/A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0</v>
          </cell>
          <cell r="H6">
            <v>0</v>
          </cell>
          <cell r="I6">
            <v>9.708825573314801</v>
          </cell>
          <cell r="J6">
            <v>13.212765957446807</v>
          </cell>
          <cell r="K6">
            <v>10.666956521739131</v>
          </cell>
          <cell r="L6">
            <v>8.8627394080092863</v>
          </cell>
          <cell r="M6">
            <v>8.3958151700087189</v>
          </cell>
          <cell r="N6">
            <v>7.5191502094554163</v>
          </cell>
          <cell r="O6">
            <v>7.4996607869742204</v>
          </cell>
          <cell r="P6">
            <v>7.2149600580973132</v>
          </cell>
          <cell r="Q6">
            <v>6.5860215053763431</v>
          </cell>
          <cell r="R6">
            <v>6.2287208749405609</v>
          </cell>
          <cell r="S6">
            <v>7.4890254609306401</v>
          </cell>
          <cell r="T6">
            <v>7.924579914028917</v>
          </cell>
          <cell r="U6">
            <v>8.0023094688221708</v>
          </cell>
          <cell r="V6">
            <v>5.0915080527086376</v>
          </cell>
          <cell r="W6">
            <v>5.5218499999999997</v>
          </cell>
          <cell r="X6">
            <v>4.7578800000000001</v>
          </cell>
          <cell r="Y6">
            <v>5.2005309999999998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0</v>
          </cell>
          <cell r="H7">
            <v>0</v>
          </cell>
          <cell r="I7">
            <v>20.640817765244975</v>
          </cell>
          <cell r="J7">
            <v>16.35939086294416</v>
          </cell>
          <cell r="K7">
            <v>15.338882722900481</v>
          </cell>
          <cell r="L7">
            <v>14.08508365966536</v>
          </cell>
          <cell r="M7">
            <v>11.824962518740628</v>
          </cell>
          <cell r="N7">
            <v>10.413715146948004</v>
          </cell>
          <cell r="O7">
            <v>8.1306451612903228</v>
          </cell>
          <cell r="P7">
            <v>8.0675422138836765</v>
          </cell>
          <cell r="Q7">
            <v>8.25626477541371</v>
          </cell>
          <cell r="R7">
            <v>10.087544065804936</v>
          </cell>
          <cell r="S7">
            <v>10.381376037959669</v>
          </cell>
          <cell r="T7">
            <v>11.762250453720508</v>
          </cell>
          <cell r="U7">
            <v>12.743607463718037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0</v>
          </cell>
          <cell r="H8">
            <v>0</v>
          </cell>
          <cell r="I8">
            <v>13.986666666666666</v>
          </cell>
          <cell r="J8">
            <v>15.644747081712064</v>
          </cell>
          <cell r="K8">
            <v>13.800418171450294</v>
          </cell>
          <cell r="L8">
            <v>10.549688230709275</v>
          </cell>
          <cell r="M8">
            <v>10.065432358510414</v>
          </cell>
          <cell r="N8">
            <v>9.4051387933012158</v>
          </cell>
          <cell r="O8">
            <v>8.2557377049180349</v>
          </cell>
          <cell r="P8">
            <v>7.735742971887551</v>
          </cell>
          <cell r="Q8">
            <v>6.2856339612032617</v>
          </cell>
          <cell r="R8">
            <v>6.769657083477659</v>
          </cell>
          <cell r="S8">
            <v>7.2631762652705056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0</v>
          </cell>
          <cell r="H9">
            <v>0</v>
          </cell>
          <cell r="I9">
            <v>7.9464659685863879</v>
          </cell>
          <cell r="J9">
            <v>8.3847736625514404</v>
          </cell>
          <cell r="K9">
            <v>7.4442757364105674</v>
          </cell>
          <cell r="L9">
            <v>6.8692219114986024</v>
          </cell>
          <cell r="M9">
            <v>6.9488734835355288</v>
          </cell>
          <cell r="N9">
            <v>6.6104440632742527</v>
          </cell>
          <cell r="O9">
            <v>5.4788012940575515</v>
          </cell>
          <cell r="P9">
            <v>5.0182158665304737</v>
          </cell>
          <cell r="Q9">
            <v>4.2268057531215426</v>
          </cell>
          <cell r="R9">
            <v>4.2504540201419845</v>
          </cell>
          <cell r="S9">
            <v>6.3536263394937107</v>
          </cell>
          <cell r="T9">
            <v>7.6877587226493196</v>
          </cell>
          <cell r="U9">
            <v>8.5713098404255312</v>
          </cell>
          <cell r="V9">
            <v>8.5745657161586362</v>
          </cell>
          <cell r="W9">
            <v>8.241695</v>
          </cell>
          <cell r="X9">
            <v>6.7395110000000003</v>
          </cell>
          <cell r="Y9">
            <v>7.9554590000000003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0</v>
          </cell>
          <cell r="H10">
            <v>0</v>
          </cell>
          <cell r="I10">
            <v>8.0250941028858218</v>
          </cell>
          <cell r="J10">
            <v>8.8058142461615923</v>
          </cell>
          <cell r="K10">
            <v>7.5706695005313502</v>
          </cell>
          <cell r="L10">
            <v>7.0949993733550567</v>
          </cell>
          <cell r="M10">
            <v>7</v>
          </cell>
          <cell r="N10">
            <v>6.5675406098603597</v>
          </cell>
          <cell r="O10">
            <v>5.9286127167630065</v>
          </cell>
          <cell r="P10">
            <v>5.4648403164371517</v>
          </cell>
          <cell r="Q10">
            <v>5.5438652256834073</v>
          </cell>
          <cell r="R10">
            <v>4.7136529030216741</v>
          </cell>
          <cell r="S10">
            <v>5.7125511995318901</v>
          </cell>
          <cell r="T10">
            <v>6.8440717858193594</v>
          </cell>
          <cell r="U10">
            <v>5.5355428914217155</v>
          </cell>
          <cell r="V10">
            <v>6.0654252642174127</v>
          </cell>
          <cell r="W10">
            <v>5.5033099999999999</v>
          </cell>
          <cell r="X10">
            <v>4.6854269999999998</v>
          </cell>
          <cell r="Y10">
            <v>5.1870079999999996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0</v>
          </cell>
          <cell r="H11">
            <v>0</v>
          </cell>
          <cell r="I11">
            <v>18.493165089379602</v>
          </cell>
          <cell r="J11">
            <v>15.7204910292729</v>
          </cell>
          <cell r="K11">
            <v>15.216908212560387</v>
          </cell>
          <cell r="L11">
            <v>14.316239316239315</v>
          </cell>
          <cell r="M11">
            <v>13.202437731849496</v>
          </cell>
          <cell r="N11">
            <v>13.484632272228319</v>
          </cell>
          <cell r="O11">
            <v>12.668211920529803</v>
          </cell>
          <cell r="P11">
            <v>12.214088397790055</v>
          </cell>
          <cell r="Q11">
            <v>10.679802955665025</v>
          </cell>
          <cell r="R11">
            <v>11.07081712062257</v>
          </cell>
          <cell r="S11">
            <v>12.815140845070424</v>
          </cell>
          <cell r="T11">
            <v>16.537340619307834</v>
          </cell>
          <cell r="U11">
            <v>19.241584158415844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0</v>
          </cell>
          <cell r="H12">
            <v>0</v>
          </cell>
          <cell r="I12">
            <v>12.018098922354239</v>
          </cell>
          <cell r="J12">
            <v>11.986249622242369</v>
          </cell>
          <cell r="K12">
            <v>11.359670382937471</v>
          </cell>
          <cell r="L12">
            <v>9.3031137106485478</v>
          </cell>
          <cell r="M12">
            <v>8.7932434927081413</v>
          </cell>
          <cell r="N12">
            <v>7.7219303366413694</v>
          </cell>
          <cell r="O12">
            <v>7.0247795044099117</v>
          </cell>
          <cell r="P12">
            <v>6.8703939008894528</v>
          </cell>
          <cell r="Q12">
            <v>6.1520051746442439</v>
          </cell>
          <cell r="R12">
            <v>5.7602611940298498</v>
          </cell>
          <cell r="S12">
            <v>6.4796088719294067</v>
          </cell>
          <cell r="T12">
            <v>7.443772672309553</v>
          </cell>
          <cell r="U12">
            <v>6.3552631578947363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0</v>
          </cell>
          <cell r="H13">
            <v>0</v>
          </cell>
          <cell r="I13">
            <v>10.235522815633313</v>
          </cell>
          <cell r="J13">
            <v>10.143461795500112</v>
          </cell>
          <cell r="K13">
            <v>8.563739974672858</v>
          </cell>
          <cell r="L13">
            <v>11.301765650080256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 t="str">
            <v>N/A</v>
          </cell>
          <cell r="T13" t="str">
            <v>N/A</v>
          </cell>
          <cell r="U13" t="str">
            <v>N/A</v>
          </cell>
          <cell r="V13" t="str">
            <v>N/A</v>
          </cell>
          <cell r="W13" t="str">
            <v>N/A</v>
          </cell>
          <cell r="X13" t="str">
            <v>N/A</v>
          </cell>
          <cell r="Y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0</v>
          </cell>
          <cell r="H14">
            <v>0</v>
          </cell>
          <cell r="I14">
            <v>10.138495310317301</v>
          </cell>
          <cell r="J14">
            <v>9.351251538777186</v>
          </cell>
          <cell r="K14">
            <v>7.6315391879131251</v>
          </cell>
          <cell r="L14">
            <v>6.7580743449116394</v>
          </cell>
          <cell r="M14">
            <v>7.3000459136822773</v>
          </cell>
          <cell r="N14">
            <v>6.2096330275229361</v>
          </cell>
          <cell r="O14">
            <v>6.882464198865172</v>
          </cell>
          <cell r="P14">
            <v>6.404125892620999</v>
          </cell>
          <cell r="Q14">
            <v>5.8034235229155167</v>
          </cell>
          <cell r="R14">
            <v>4.0559928041376203</v>
          </cell>
          <cell r="S14">
            <v>5.1186525892408241</v>
          </cell>
          <cell r="T14">
            <v>7.5844421699078817</v>
          </cell>
          <cell r="U14">
            <v>5.2971201123858576</v>
          </cell>
          <cell r="V14">
            <v>6.582413539367181</v>
          </cell>
          <cell r="W14">
            <v>7.5796849999999996</v>
          </cell>
          <cell r="X14">
            <v>5.3602889999999999</v>
          </cell>
          <cell r="Y14">
            <v>5.8981279999999998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0</v>
          </cell>
          <cell r="H15">
            <v>0</v>
          </cell>
          <cell r="I15">
            <v>8.8295265466646509</v>
          </cell>
          <cell r="J15">
            <v>9.202683813251328</v>
          </cell>
          <cell r="K15">
            <v>9.3268098647573581</v>
          </cell>
          <cell r="L15">
            <v>8.0614298323036184</v>
          </cell>
          <cell r="M15">
            <v>8.8062449959967974</v>
          </cell>
          <cell r="N15">
            <v>8.0283353010625742</v>
          </cell>
          <cell r="O15">
            <v>6.0373881932021476</v>
          </cell>
          <cell r="P15">
            <v>7.8482276585122319</v>
          </cell>
          <cell r="Q15">
            <v>6.1607875307629199</v>
          </cell>
          <cell r="R15">
            <v>4.2542028450027702</v>
          </cell>
          <cell r="S15">
            <v>11.257026752455131</v>
          </cell>
          <cell r="T15">
            <v>7.6150936258747874</v>
          </cell>
          <cell r="U15">
            <v>6.9166335847558544</v>
          </cell>
          <cell r="V15">
            <v>7.5738045738045745</v>
          </cell>
          <cell r="W15">
            <v>6.6870099999999999</v>
          </cell>
          <cell r="X15">
            <v>6.8855000000000004</v>
          </cell>
          <cell r="Y15">
            <v>5.9184089999999996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0</v>
          </cell>
          <cell r="H16">
            <v>0</v>
          </cell>
          <cell r="I16">
            <v>13.25965250965251</v>
          </cell>
          <cell r="J16">
            <v>12.555518506168724</v>
          </cell>
          <cell r="K16">
            <v>12.791969243912858</v>
          </cell>
          <cell r="L16">
            <v>10.489639639639638</v>
          </cell>
          <cell r="M16">
            <v>9.4981759221726794</v>
          </cell>
          <cell r="N16">
            <v>9.2844866576209863</v>
          </cell>
          <cell r="O16">
            <v>7.8671268334771352</v>
          </cell>
          <cell r="P16">
            <v>8.8481624758220487</v>
          </cell>
          <cell r="Q16">
            <v>9.5067287784679095</v>
          </cell>
          <cell r="R16">
            <v>9.9245087900723892</v>
          </cell>
          <cell r="S16">
            <v>10.090274046211713</v>
          </cell>
          <cell r="T16">
            <v>12.511523687580025</v>
          </cell>
          <cell r="U16">
            <v>14.436256448047162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0</v>
          </cell>
          <cell r="H17">
            <v>0</v>
          </cell>
          <cell r="I17">
            <v>8.4472222222222211</v>
          </cell>
          <cell r="J17">
            <v>6.9695091720376796</v>
          </cell>
          <cell r="K17">
            <v>5.957041870581838</v>
          </cell>
          <cell r="L17">
            <v>5.7488235294117649</v>
          </cell>
          <cell r="M17">
            <v>6.2537003375746556</v>
          </cell>
          <cell r="N17">
            <v>6.5611064069997171</v>
          </cell>
          <cell r="O17">
            <v>5.1511179645335385</v>
          </cell>
          <cell r="P17">
            <v>5.3933566433566442</v>
          </cell>
          <cell r="Q17">
            <v>4.6976744186046515</v>
          </cell>
          <cell r="R17">
            <v>4.0547432845970759</v>
          </cell>
          <cell r="S17">
            <v>4.2873025160912812</v>
          </cell>
          <cell r="T17">
            <v>5.1730032419687593</v>
          </cell>
          <cell r="U17">
            <v>3.938834391229082</v>
          </cell>
          <cell r="V17">
            <v>4.698932646301067</v>
          </cell>
          <cell r="W17">
            <v>4.2561600000000004</v>
          </cell>
          <cell r="X17">
            <v>2.080613</v>
          </cell>
          <cell r="Y17">
            <v>2.1596289999999998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>
            <v>0</v>
          </cell>
          <cell r="H18">
            <v>0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  <cell r="R18" t="str">
            <v>N/A</v>
          </cell>
          <cell r="S18" t="str">
            <v>N/A</v>
          </cell>
          <cell r="T18" t="str">
            <v>N/A</v>
          </cell>
          <cell r="U18" t="str">
            <v>N/A</v>
          </cell>
          <cell r="V18" t="str">
            <v>N/A</v>
          </cell>
          <cell r="W18">
            <v>9.4581719999999994</v>
          </cell>
          <cell r="X18">
            <v>8.6922759999999997</v>
          </cell>
          <cell r="Y18">
            <v>11.4496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0</v>
          </cell>
          <cell r="H19">
            <v>0</v>
          </cell>
          <cell r="I19">
            <v>12.23643111179836</v>
          </cell>
          <cell r="J19">
            <v>13.775152298320105</v>
          </cell>
          <cell r="K19">
            <v>12.061785783459229</v>
          </cell>
          <cell r="L19">
            <v>10.156175771971498</v>
          </cell>
          <cell r="M19">
            <v>9.2457179107633749</v>
          </cell>
          <cell r="N19">
            <v>8.1181880892159111</v>
          </cell>
          <cell r="O19">
            <v>7.4640870005058169</v>
          </cell>
          <cell r="P19">
            <v>7.3488876831253398</v>
          </cell>
          <cell r="Q19">
            <v>6.3584096109839816</v>
          </cell>
          <cell r="R19">
            <v>9.4753258845437625</v>
          </cell>
          <cell r="S19">
            <v>7.8808000000000007</v>
          </cell>
          <cell r="T19">
            <v>8.5781746031746042</v>
          </cell>
          <cell r="U19">
            <v>9.4022038567493116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>
            <v>0</v>
          </cell>
          <cell r="H20">
            <v>0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 t="str">
            <v>N/A</v>
          </cell>
          <cell r="T20" t="str">
            <v>N/A</v>
          </cell>
          <cell r="U20" t="str">
            <v>N/A</v>
          </cell>
          <cell r="V20" t="str">
            <v>N/A</v>
          </cell>
          <cell r="W20">
            <v>7.0826840000000004</v>
          </cell>
          <cell r="X20">
            <v>5.2404299999999999</v>
          </cell>
          <cell r="Y20">
            <v>6.100295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0</v>
          </cell>
          <cell r="H21">
            <v>0</v>
          </cell>
          <cell r="I21">
            <v>8.3986811620032089</v>
          </cell>
          <cell r="J21">
            <v>8.7488178551163234</v>
          </cell>
          <cell r="K21">
            <v>8.5008200082000815</v>
          </cell>
          <cell r="L21">
            <v>7.5266710211190944</v>
          </cell>
          <cell r="M21">
            <v>7.1293225959261006</v>
          </cell>
          <cell r="N21">
            <v>6.6755358462675529</v>
          </cell>
          <cell r="O21">
            <v>6.0340225071970686</v>
          </cell>
          <cell r="P21">
            <v>5.405805038335159</v>
          </cell>
          <cell r="Q21">
            <v>4.4751485683414369</v>
          </cell>
          <cell r="R21">
            <v>3.6362849725987885</v>
          </cell>
          <cell r="S21">
            <v>3.4463641052088705</v>
          </cell>
          <cell r="T21">
            <v>5.5730045425048669</v>
          </cell>
          <cell r="U21">
            <v>4.4045919950356813</v>
          </cell>
          <cell r="V21">
            <v>4.0422863808690588</v>
          </cell>
          <cell r="W21">
            <v>3.1967210000000001</v>
          </cell>
          <cell r="X21">
            <v>2.876099</v>
          </cell>
          <cell r="Y21" t="str">
            <v>NMF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0</v>
          </cell>
          <cell r="H22">
            <v>0</v>
          </cell>
          <cell r="I22">
            <v>21.781601362862009</v>
          </cell>
          <cell r="J22">
            <v>16.658018867924529</v>
          </cell>
          <cell r="K22">
            <v>14.623490338164252</v>
          </cell>
          <cell r="L22">
            <v>11.275786163522012</v>
          </cell>
          <cell r="M22">
            <v>11.319313593539704</v>
          </cell>
          <cell r="N22">
            <v>11.597185241536707</v>
          </cell>
          <cell r="O22">
            <v>11.221717744986758</v>
          </cell>
          <cell r="P22">
            <v>12.344418052256533</v>
          </cell>
          <cell r="Q22">
            <v>11.454634624816086</v>
          </cell>
          <cell r="R22">
            <v>11.330574236937403</v>
          </cell>
          <cell r="S22">
            <v>12.644398766700926</v>
          </cell>
          <cell r="T22">
            <v>12.717746182201159</v>
          </cell>
          <cell r="U22">
            <v>15.461791831357049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0</v>
          </cell>
          <cell r="H23">
            <v>0</v>
          </cell>
          <cell r="I23">
            <v>8.7258860475549564</v>
          </cell>
          <cell r="J23">
            <v>9.6401902497027336</v>
          </cell>
          <cell r="K23">
            <v>9.3949270767279636</v>
          </cell>
          <cell r="L23">
            <v>7.963546922300706</v>
          </cell>
          <cell r="M23">
            <v>7.8885843497327679</v>
          </cell>
          <cell r="N23">
            <v>7.7697059218477236</v>
          </cell>
          <cell r="O23">
            <v>8.3131821998320738</v>
          </cell>
          <cell r="P23">
            <v>8.1457545028000613</v>
          </cell>
          <cell r="Q23">
            <v>7.3884707766212969</v>
          </cell>
          <cell r="R23">
            <v>6.7200614124872056</v>
          </cell>
          <cell r="S23">
            <v>6.8936205744822976</v>
          </cell>
          <cell r="T23">
            <v>8.3095980595980592</v>
          </cell>
          <cell r="U23">
            <v>8.6531540064406141</v>
          </cell>
          <cell r="V23">
            <v>8.5887602050503133</v>
          </cell>
          <cell r="W23">
            <v>9.3134920000000001</v>
          </cell>
          <cell r="X23">
            <v>7.8992769999999997</v>
          </cell>
          <cell r="Y23">
            <v>7.6411100000000003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0</v>
          </cell>
          <cell r="H24">
            <v>0</v>
          </cell>
          <cell r="I24">
            <v>11.489120974760661</v>
          </cell>
          <cell r="J24">
            <v>10.646374216651745</v>
          </cell>
          <cell r="K24">
            <v>12.681341719077569</v>
          </cell>
          <cell r="L24">
            <v>12.988776655443322</v>
          </cell>
          <cell r="M24">
            <v>14.85125</v>
          </cell>
          <cell r="N24">
            <v>12.134796238244514</v>
          </cell>
          <cell r="O24">
            <v>6.8080548414738642</v>
          </cell>
          <cell r="P24">
            <v>11.31768953068592</v>
          </cell>
          <cell r="Q24">
            <v>13.371527777777779</v>
          </cell>
          <cell r="R24">
            <v>11.934745762711865</v>
          </cell>
          <cell r="S24">
            <v>19.910432033719704</v>
          </cell>
          <cell r="T24">
            <v>23.259567387687188</v>
          </cell>
          <cell r="U24">
            <v>29.194252873563219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0</v>
          </cell>
          <cell r="H25">
            <v>0</v>
          </cell>
          <cell r="I25">
            <v>10.936699089084453</v>
          </cell>
          <cell r="J25">
            <v>11.34826736262143</v>
          </cell>
          <cell r="K25">
            <v>11.594436541804964</v>
          </cell>
          <cell r="L25">
            <v>11.837733957219251</v>
          </cell>
          <cell r="M25">
            <v>12.270753064798599</v>
          </cell>
          <cell r="N25">
            <v>10.877263581488934</v>
          </cell>
          <cell r="O25">
            <v>9.9176201372997728</v>
          </cell>
          <cell r="P25">
            <v>9.4481665014866199</v>
          </cell>
          <cell r="Q25">
            <v>8.1228207639569039</v>
          </cell>
          <cell r="R25">
            <v>6.9848421926910307</v>
          </cell>
          <cell r="S25">
            <v>8.2672192618906646</v>
          </cell>
          <cell r="T25">
            <v>8.6465262743554412</v>
          </cell>
          <cell r="U25">
            <v>7.8091649694501024</v>
          </cell>
          <cell r="V25">
            <v>10.089435287760065</v>
          </cell>
          <cell r="W25">
            <v>7.6822210000000002</v>
          </cell>
          <cell r="X25">
            <v>7.50718</v>
          </cell>
          <cell r="Y25">
            <v>6.5263039999999997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0</v>
          </cell>
          <cell r="H26">
            <v>0</v>
          </cell>
          <cell r="I26">
            <v>8.5355269432522647</v>
          </cell>
          <cell r="J26">
            <v>9.0492652679860708</v>
          </cell>
          <cell r="K26">
            <v>8.6420754716981136</v>
          </cell>
          <cell r="L26">
            <v>8.5202881661192933</v>
          </cell>
          <cell r="M26">
            <v>6.4158090096170071</v>
          </cell>
          <cell r="N26">
            <v>6.6529382716049383</v>
          </cell>
          <cell r="O26">
            <v>5.9124961621123733</v>
          </cell>
          <cell r="P26">
            <v>5.1828350407693913</v>
          </cell>
          <cell r="Q26">
            <v>4.6905930470347652</v>
          </cell>
          <cell r="R26">
            <v>3.5945859533198341</v>
          </cell>
          <cell r="S26">
            <v>4.8969359331476321</v>
          </cell>
          <cell r="T26">
            <v>5.7259870359457867</v>
          </cell>
          <cell r="U26">
            <v>5.2138932975216701</v>
          </cell>
          <cell r="V26">
            <v>5.5403413975193416</v>
          </cell>
          <cell r="W26">
            <v>6.0036690000000004</v>
          </cell>
          <cell r="X26">
            <v>5.6177109999999999</v>
          </cell>
          <cell r="Y26">
            <v>5.20106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0</v>
          </cell>
          <cell r="H27">
            <v>0</v>
          </cell>
          <cell r="I27">
            <v>7.6455611709735862</v>
          </cell>
          <cell r="J27">
            <v>8.3977828822530718</v>
          </cell>
          <cell r="K27">
            <v>8.5698913043478271</v>
          </cell>
          <cell r="L27">
            <v>7.9461702127659573</v>
          </cell>
          <cell r="M27">
            <v>8.1206366630076836</v>
          </cell>
          <cell r="N27">
            <v>8.1148632858144438</v>
          </cell>
          <cell r="O27">
            <v>9.5307443365695796</v>
          </cell>
          <cell r="P27">
            <v>6.5644009216589865</v>
          </cell>
          <cell r="Q27">
            <v>6.0090737685599809</v>
          </cell>
          <cell r="R27">
            <v>5.9555408970976256</v>
          </cell>
          <cell r="S27">
            <v>7.1315538608198281</v>
          </cell>
          <cell r="T27">
            <v>7.1623288516097201</v>
          </cell>
          <cell r="U27">
            <v>0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0</v>
          </cell>
          <cell r="H28">
            <v>0</v>
          </cell>
          <cell r="I28">
            <v>13.461751544854039</v>
          </cell>
          <cell r="J28">
            <v>7.0462333423986943</v>
          </cell>
          <cell r="K28">
            <v>6.7719163629388071</v>
          </cell>
          <cell r="L28">
            <v>5.9209661835748788</v>
          </cell>
          <cell r="M28">
            <v>5.6784242789669381</v>
          </cell>
          <cell r="N28">
            <v>5.4568602932817996</v>
          </cell>
          <cell r="O28">
            <v>4.5871416701287906</v>
          </cell>
          <cell r="P28">
            <v>4.22358803986711</v>
          </cell>
          <cell r="Q28">
            <v>4.1089979793177225</v>
          </cell>
          <cell r="R28">
            <v>3.9531701192718138</v>
          </cell>
          <cell r="S28">
            <v>5.6253092528451267</v>
          </cell>
          <cell r="T28">
            <v>7.0055292259083721</v>
          </cell>
          <cell r="U28">
            <v>5.873293809458155</v>
          </cell>
          <cell r="V28">
            <v>5.6129401660463794</v>
          </cell>
          <cell r="W28">
            <v>6.8365840000000002</v>
          </cell>
          <cell r="X28">
            <v>2.8197589999999999</v>
          </cell>
          <cell r="Y28">
            <v>2.960502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0</v>
          </cell>
          <cell r="H29">
            <v>0</v>
          </cell>
          <cell r="I29">
            <v>9.4327902240325869</v>
          </cell>
          <cell r="J29">
            <v>8.5396079701927761</v>
          </cell>
          <cell r="K29">
            <v>7.4615127175368148</v>
          </cell>
          <cell r="L29">
            <v>6.4707826086956519</v>
          </cell>
          <cell r="M29">
            <v>6.3323684658607178</v>
          </cell>
          <cell r="N29">
            <v>6.1883082373782115</v>
          </cell>
          <cell r="O29">
            <v>5.77813107224872</v>
          </cell>
          <cell r="P29">
            <v>5.1629752066115708</v>
          </cell>
          <cell r="Q29">
            <v>4.3062293809431402</v>
          </cell>
          <cell r="R29">
            <v>3.9808212441603148</v>
          </cell>
          <cell r="S29">
            <v>4.9475835537388804</v>
          </cell>
          <cell r="T29">
            <v>6.4357050452781364</v>
          </cell>
          <cell r="U29">
            <v>6.2486187845303869</v>
          </cell>
          <cell r="V29">
            <v>6.6677609980302037</v>
          </cell>
          <cell r="W29">
            <v>4.6549300000000002</v>
          </cell>
          <cell r="X29">
            <v>3.8985989999999999</v>
          </cell>
          <cell r="Y29">
            <v>4.3862110000000003</v>
          </cell>
        </row>
        <row r="30">
          <cell r="B30" t="str">
            <v>EDE</v>
          </cell>
          <cell r="C30" t="str">
            <v>Empire District Electric</v>
          </cell>
          <cell r="D30">
            <v>29</v>
          </cell>
          <cell r="E30">
            <v>29</v>
          </cell>
          <cell r="F30">
            <v>0</v>
          </cell>
          <cell r="G30">
            <v>0</v>
          </cell>
          <cell r="H30">
            <v>0</v>
          </cell>
          <cell r="I30" t="str">
            <v>N/A</v>
          </cell>
          <cell r="J30" t="str">
            <v>N/A</v>
          </cell>
          <cell r="K30" t="str">
            <v>N/A</v>
          </cell>
          <cell r="L30">
            <v>7.2742616033755274</v>
          </cell>
          <cell r="M30">
            <v>7.2901073397156955</v>
          </cell>
          <cell r="N30">
            <v>7.0684713375796173</v>
          </cell>
          <cell r="O30">
            <v>6.9661754855994635</v>
          </cell>
          <cell r="P30">
            <v>6.4347148644437517</v>
          </cell>
          <cell r="Q30">
            <v>6.8796068796068797</v>
          </cell>
          <cell r="R30">
            <v>6.227088700772911</v>
          </cell>
          <cell r="S30">
            <v>6.9446164430684547</v>
          </cell>
          <cell r="T30">
            <v>8.7838841440772377</v>
          </cell>
          <cell r="U30">
            <v>8.1666666666666661</v>
          </cell>
          <cell r="V30">
            <v>9.1954304365565083</v>
          </cell>
          <cell r="W30">
            <v>9.6012599999999999</v>
          </cell>
          <cell r="X30">
            <v>8.2227139999999999</v>
          </cell>
          <cell r="Y30">
            <v>7.9267190000000003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30</v>
          </cell>
          <cell r="E31">
            <v>30</v>
          </cell>
          <cell r="F31">
            <v>0</v>
          </cell>
          <cell r="G31">
            <v>0</v>
          </cell>
          <cell r="H31">
            <v>0</v>
          </cell>
          <cell r="I31">
            <v>4.9222235693501464</v>
          </cell>
          <cell r="J31">
            <v>4.6631547440885965</v>
          </cell>
          <cell r="K31">
            <v>4.0131916257209994</v>
          </cell>
          <cell r="L31">
            <v>4.1113181972212809</v>
          </cell>
          <cell r="M31">
            <v>4.2062683865127859</v>
          </cell>
          <cell r="N31">
            <v>4.0342238089375853</v>
          </cell>
          <cell r="O31">
            <v>4.2285499718380377</v>
          </cell>
          <cell r="P31">
            <v>3.9024070271503537</v>
          </cell>
          <cell r="Q31">
            <v>4.6604172966434838</v>
          </cell>
          <cell r="R31">
            <v>5.6803883202889818</v>
          </cell>
          <cell r="S31">
            <v>7.963460046547711</v>
          </cell>
          <cell r="T31">
            <v>9.2136890555744984</v>
          </cell>
          <cell r="U31">
            <v>7.1561769381838589</v>
          </cell>
          <cell r="V31">
            <v>8.756049865558543</v>
          </cell>
          <cell r="W31">
            <v>7.1220420000000004</v>
          </cell>
          <cell r="X31">
            <v>6.8374600000000001</v>
          </cell>
          <cell r="Y31">
            <v>5.5696649999999996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31</v>
          </cell>
          <cell r="E32">
            <v>31</v>
          </cell>
          <cell r="F32">
            <v>0</v>
          </cell>
          <cell r="G32">
            <v>0</v>
          </cell>
          <cell r="H32">
            <v>0</v>
          </cell>
          <cell r="I32">
            <v>9.1634803552611768</v>
          </cell>
          <cell r="J32">
            <v>10.358829568788501</v>
          </cell>
          <cell r="K32">
            <v>10.136863319897397</v>
          </cell>
          <cell r="L32">
            <v>10.12006479044341</v>
          </cell>
          <cell r="M32">
            <v>10.143264589732338</v>
          </cell>
          <cell r="N32">
            <v>8.0810344827586214</v>
          </cell>
          <cell r="O32">
            <v>9.3024293505205762</v>
          </cell>
          <cell r="P32">
            <v>6.9887202625102534</v>
          </cell>
          <cell r="Q32">
            <v>4.9663495419309376</v>
          </cell>
          <cell r="R32">
            <v>4.6065739060294417</v>
          </cell>
          <cell r="S32">
            <v>4.1233165666071718</v>
          </cell>
          <cell r="T32">
            <v>6.1838174273858924</v>
          </cell>
          <cell r="U32">
            <v>6.0159934941718625</v>
          </cell>
          <cell r="V32">
            <v>3.5481033534909288</v>
          </cell>
          <cell r="W32">
            <v>3.782826</v>
          </cell>
          <cell r="X32">
            <v>2.852541</v>
          </cell>
          <cell r="Y32">
            <v>2.746715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32</v>
          </cell>
          <cell r="E33">
            <v>32</v>
          </cell>
          <cell r="F33">
            <v>0</v>
          </cell>
          <cell r="G33">
            <v>0</v>
          </cell>
          <cell r="H33">
            <v>0</v>
          </cell>
          <cell r="I33">
            <v>5.0454931456993819</v>
          </cell>
          <cell r="J33">
            <v>4.4541218637992834</v>
          </cell>
          <cell r="K33">
            <v>4.8002855103497497</v>
          </cell>
          <cell r="L33">
            <v>4.6968092927510661</v>
          </cell>
          <cell r="M33">
            <v>5.0912668382019071</v>
          </cell>
          <cell r="N33">
            <v>4.6141263940520449</v>
          </cell>
          <cell r="O33">
            <v>5.5449591280653951</v>
          </cell>
          <cell r="P33">
            <v>5.858446226154272</v>
          </cell>
          <cell r="Q33">
            <v>5.1031373963216735</v>
          </cell>
          <cell r="R33">
            <v>5.9759912695525648</v>
          </cell>
          <cell r="S33">
            <v>9.6510805500982322</v>
          </cell>
          <cell r="T33">
            <v>9.8861066235864303</v>
          </cell>
          <cell r="U33">
            <v>8.615040953090098</v>
          </cell>
          <cell r="V33">
            <v>7.9709208400646201</v>
          </cell>
          <cell r="W33">
            <v>6.2868700000000004</v>
          </cell>
          <cell r="X33">
            <v>5.7122630000000001</v>
          </cell>
          <cell r="Y33">
            <v>4.9749699999999999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33</v>
          </cell>
          <cell r="E34">
            <v>33</v>
          </cell>
          <cell r="F34">
            <v>0</v>
          </cell>
          <cell r="G34">
            <v>0</v>
          </cell>
          <cell r="H34">
            <v>0</v>
          </cell>
          <cell r="I34">
            <v>8.8403213658046695</v>
          </cell>
          <cell r="J34">
            <v>4.7616572389542879</v>
          </cell>
          <cell r="K34">
            <v>5.1169805542795892</v>
          </cell>
          <cell r="L34">
            <v>5.3809072230124864</v>
          </cell>
          <cell r="M34">
            <v>7.4331868131868131</v>
          </cell>
          <cell r="N34">
            <v>6.1523325928276735</v>
          </cell>
          <cell r="O34">
            <v>7.4218698381235546</v>
          </cell>
          <cell r="P34">
            <v>7.3257918552036196</v>
          </cell>
          <cell r="Q34">
            <v>4.4901799364930026</v>
          </cell>
          <cell r="R34">
            <v>4.9147533530347811</v>
          </cell>
          <cell r="S34">
            <v>7.5785864395531464</v>
          </cell>
          <cell r="T34">
            <v>7.8850395588587867</v>
          </cell>
          <cell r="U34">
            <v>7.5272122974657245</v>
          </cell>
          <cell r="V34">
            <v>6.0413135593220346</v>
          </cell>
          <cell r="W34">
            <v>5.149756</v>
          </cell>
          <cell r="X34">
            <v>6.8987049999999996</v>
          </cell>
          <cell r="Y34">
            <v>5.104406</v>
          </cell>
        </row>
        <row r="35">
          <cell r="B35" t="str">
            <v>FTS.TO</v>
          </cell>
          <cell r="C35" t="str">
            <v>Fortis Inc.</v>
          </cell>
          <cell r="D35">
            <v>34</v>
          </cell>
          <cell r="E35">
            <v>34</v>
          </cell>
          <cell r="F35">
            <v>0</v>
          </cell>
          <cell r="G35">
            <v>0</v>
          </cell>
          <cell r="H35">
            <v>0</v>
          </cell>
          <cell r="I35">
            <v>7.9736939607261954</v>
          </cell>
          <cell r="J35">
            <v>8.2302595251242412</v>
          </cell>
          <cell r="K35">
            <v>10.455569782330347</v>
          </cell>
          <cell r="L35">
            <v>7.2851937092443411</v>
          </cell>
          <cell r="M35">
            <v>9.2506210322936795</v>
          </cell>
          <cell r="N35">
            <v>7.9295980511571251</v>
          </cell>
          <cell r="O35">
            <v>8.0921277114306598</v>
          </cell>
          <cell r="P35">
            <v>8.3779144248014337</v>
          </cell>
          <cell r="Q35">
            <v>7.4047678795483058</v>
          </cell>
          <cell r="R35">
            <v>6.7606019151846795</v>
          </cell>
          <cell r="S35">
            <v>7.5814550641940093</v>
          </cell>
          <cell r="T35">
            <v>9.183935200809989</v>
          </cell>
          <cell r="U35">
            <v>7.8926108374384238</v>
          </cell>
          <cell r="V35" t="str">
            <v>N/A</v>
          </cell>
          <cell r="W35" t="str">
            <v>N/A</v>
          </cell>
          <cell r="X35" t="str">
            <v>N/A</v>
          </cell>
          <cell r="Y35" t="str">
            <v>N/A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>
            <v>0</v>
          </cell>
          <cell r="H36">
            <v>0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>
            <v>5.974291</v>
          </cell>
          <cell r="X36">
            <v>5.7684699999999998</v>
          </cell>
          <cell r="Y36">
            <v>6.3455389999999996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36</v>
          </cell>
          <cell r="E37">
            <v>36</v>
          </cell>
          <cell r="F37">
            <v>0</v>
          </cell>
          <cell r="G37">
            <v>0</v>
          </cell>
          <cell r="H37">
            <v>0</v>
          </cell>
          <cell r="I37" t="str">
            <v>N/A</v>
          </cell>
          <cell r="J37">
            <v>14.61904761904762</v>
          </cell>
          <cell r="K37">
            <v>8.628614008941879</v>
          </cell>
          <cell r="L37">
            <v>6.66273229532898</v>
          </cell>
          <cell r="M37">
            <v>6.4499875280618602</v>
          </cell>
          <cell r="N37">
            <v>5.7326016462958336</v>
          </cell>
          <cell r="O37">
            <v>6.087373004354137</v>
          </cell>
          <cell r="P37">
            <v>5.7353276353276357</v>
          </cell>
          <cell r="Q37">
            <v>4.491504854368932</v>
          </cell>
          <cell r="R37">
            <v>5.0578866768759569</v>
          </cell>
          <cell r="S37">
            <v>7.7057872615583571</v>
          </cell>
          <cell r="T37">
            <v>7.132783018867924</v>
          </cell>
          <cell r="U37">
            <v>7.6797927461139892</v>
          </cell>
          <cell r="V37">
            <v>6.6982834507042259</v>
          </cell>
          <cell r="W37">
            <v>6.5216839999999996</v>
          </cell>
          <cell r="X37">
            <v>5.9151930000000004</v>
          </cell>
          <cell r="Y37">
            <v>5.1369210000000001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37</v>
          </cell>
          <cell r="E38">
            <v>37</v>
          </cell>
          <cell r="F38">
            <v>0</v>
          </cell>
          <cell r="G38">
            <v>0</v>
          </cell>
          <cell r="H38">
            <v>0</v>
          </cell>
          <cell r="I38">
            <v>8.3430135681980495</v>
          </cell>
          <cell r="J38">
            <v>9.2144990496877544</v>
          </cell>
          <cell r="K38">
            <v>7.441035474592522</v>
          </cell>
          <cell r="L38">
            <v>9.2515114873035067</v>
          </cell>
          <cell r="M38">
            <v>7.6423122065727709</v>
          </cell>
          <cell r="N38">
            <v>8.1517690875232773</v>
          </cell>
          <cell r="O38">
            <v>8.0463132236441197</v>
          </cell>
          <cell r="P38">
            <v>7.731385485391141</v>
          </cell>
          <cell r="Q38">
            <v>7.8093750000000002</v>
          </cell>
          <cell r="R38">
            <v>6.9490544191431871</v>
          </cell>
          <cell r="S38">
            <v>9.104335047759001</v>
          </cell>
          <cell r="T38">
            <v>7.945255474452555</v>
          </cell>
          <cell r="U38">
            <v>8.473205891570041</v>
          </cell>
          <cell r="V38">
            <v>8.290553138595401</v>
          </cell>
          <cell r="W38">
            <v>8.4448039999999995</v>
          </cell>
          <cell r="X38">
            <v>6.1214690000000003</v>
          </cell>
          <cell r="Y38">
            <v>6.1993749999999999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38</v>
          </cell>
          <cell r="E39">
            <v>38</v>
          </cell>
          <cell r="F39">
            <v>0</v>
          </cell>
          <cell r="G39">
            <v>0</v>
          </cell>
          <cell r="H39">
            <v>0</v>
          </cell>
          <cell r="I39">
            <v>11.724146714212941</v>
          </cell>
          <cell r="J39">
            <v>11.557702558635395</v>
          </cell>
          <cell r="K39">
            <v>10.952019833746537</v>
          </cell>
          <cell r="L39">
            <v>9.3677611940298515</v>
          </cell>
          <cell r="M39">
            <v>8.5856143552311437</v>
          </cell>
          <cell r="N39">
            <v>7.7771247021445591</v>
          </cell>
          <cell r="O39">
            <v>7.0498988536749829</v>
          </cell>
          <cell r="P39">
            <v>6.6411925976696367</v>
          </cell>
          <cell r="Q39">
            <v>6.5214953271028042</v>
          </cell>
          <cell r="R39">
            <v>5.3067218608318543</v>
          </cell>
          <cell r="S39">
            <v>7.104376316405336</v>
          </cell>
          <cell r="T39">
            <v>8.2275711159737419</v>
          </cell>
          <cell r="U39">
            <v>7.7289393278044525</v>
          </cell>
          <cell r="V39">
            <v>7.5475206611570247</v>
          </cell>
          <cell r="W39">
            <v>7.1459450000000002</v>
          </cell>
          <cell r="X39">
            <v>7.2654870000000003</v>
          </cell>
          <cell r="Y39">
            <v>7.5333009999999998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>
            <v>0</v>
          </cell>
          <cell r="H40">
            <v>0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 t="str">
            <v>N/A</v>
          </cell>
          <cell r="T40" t="str">
            <v>N/A</v>
          </cell>
          <cell r="U40" t="str">
            <v>N/A</v>
          </cell>
          <cell r="V40" t="str">
            <v>N/A</v>
          </cell>
          <cell r="W40">
            <v>6.7337059999999997</v>
          </cell>
          <cell r="X40">
            <v>6.5950199999999999</v>
          </cell>
          <cell r="Y40">
            <v>6.4653359999999997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>
            <v>0</v>
          </cell>
          <cell r="H41">
            <v>0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  <cell r="R41" t="str">
            <v>N/A</v>
          </cell>
          <cell r="S41" t="str">
            <v>N/A</v>
          </cell>
          <cell r="T41" t="str">
            <v>N/A</v>
          </cell>
          <cell r="U41" t="str">
            <v>N/A</v>
          </cell>
          <cell r="V41">
            <v>13.66813509544787</v>
          </cell>
          <cell r="W41" t="str">
            <v>N/A</v>
          </cell>
          <cell r="X41" t="str">
            <v>N/A</v>
          </cell>
          <cell r="Y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>
            <v>0</v>
          </cell>
          <cell r="H42">
            <v>0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  <cell r="R42" t="str">
            <v>N/A</v>
          </cell>
          <cell r="S42" t="str">
            <v>N/A</v>
          </cell>
          <cell r="T42" t="str">
            <v>N/A</v>
          </cell>
          <cell r="U42" t="str">
            <v>N/A</v>
          </cell>
          <cell r="V42">
            <v>7.1101179835538071</v>
          </cell>
          <cell r="W42">
            <v>6.9013080000000002</v>
          </cell>
          <cell r="X42">
            <v>6.4263430000000001</v>
          </cell>
          <cell r="Y42">
            <v>6.7717580000000002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39</v>
          </cell>
          <cell r="E43">
            <v>39</v>
          </cell>
          <cell r="F43">
            <v>0</v>
          </cell>
          <cell r="G43">
            <v>0</v>
          </cell>
          <cell r="H43">
            <v>0</v>
          </cell>
          <cell r="I43">
            <v>15.041902883904362</v>
          </cell>
          <cell r="J43">
            <v>17.333870101986044</v>
          </cell>
          <cell r="K43">
            <v>15.659071243149697</v>
          </cell>
          <cell r="L43">
            <v>12.529994001199759</v>
          </cell>
          <cell r="M43">
            <v>11.424520194786595</v>
          </cell>
          <cell r="N43">
            <v>11.201158183480645</v>
          </cell>
          <cell r="O43">
            <v>10.772773109243698</v>
          </cell>
          <cell r="P43">
            <v>9.4788972089857033</v>
          </cell>
          <cell r="Q43">
            <v>9.0492932221819498</v>
          </cell>
          <cell r="R43">
            <v>8.3960843373493983</v>
          </cell>
          <cell r="S43">
            <v>8.4240388204553955</v>
          </cell>
          <cell r="T43">
            <v>9.2263307598537185</v>
          </cell>
          <cell r="U43">
            <v>9.3011945392491473</v>
          </cell>
          <cell r="V43">
            <v>11.727</v>
          </cell>
          <cell r="W43">
            <v>11.044409999999999</v>
          </cell>
          <cell r="X43">
            <v>10.19708</v>
          </cell>
          <cell r="Y43">
            <v>8.0936369999999993</v>
          </cell>
        </row>
        <row r="44">
          <cell r="B44" t="str">
            <v>MSEX</v>
          </cell>
          <cell r="C44" t="str">
            <v>Middlesex Water</v>
          </cell>
          <cell r="D44">
            <v>40</v>
          </cell>
          <cell r="E44">
            <v>40</v>
          </cell>
          <cell r="F44">
            <v>0</v>
          </cell>
          <cell r="G44">
            <v>0</v>
          </cell>
          <cell r="H44">
            <v>0</v>
          </cell>
          <cell r="I44">
            <v>15.061330561330561</v>
          </cell>
          <cell r="J44">
            <v>17.511399195350915</v>
          </cell>
          <cell r="K44">
            <v>16.293738489871085</v>
          </cell>
          <cell r="L44">
            <v>11.846544715447155</v>
          </cell>
          <cell r="M44">
            <v>11.328633405639913</v>
          </cell>
          <cell r="N44">
            <v>11.81315483119907</v>
          </cell>
          <cell r="O44">
            <v>12.055305466237941</v>
          </cell>
          <cell r="P44">
            <v>12.46584699453552</v>
          </cell>
          <cell r="Q44">
            <v>11.051712992889465</v>
          </cell>
          <cell r="R44">
            <v>10.777777777777779</v>
          </cell>
          <cell r="S44">
            <v>11.509470934030045</v>
          </cell>
          <cell r="T44">
            <v>12.580040187541861</v>
          </cell>
          <cell r="U44">
            <v>13.97524381095274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B45" t="str">
            <v>NJR</v>
          </cell>
          <cell r="C45" t="str">
            <v>New Jersey Resources</v>
          </cell>
          <cell r="D45">
            <v>41</v>
          </cell>
          <cell r="E45">
            <v>41</v>
          </cell>
          <cell r="F45">
            <v>0</v>
          </cell>
          <cell r="G45">
            <v>0</v>
          </cell>
          <cell r="H45">
            <v>0</v>
          </cell>
          <cell r="I45">
            <v>11.437096774193547</v>
          </cell>
          <cell r="J45">
            <v>14.450167973124302</v>
          </cell>
          <cell r="K45">
            <v>13.936048879837067</v>
          </cell>
          <cell r="L45">
            <v>11.711287128712872</v>
          </cell>
          <cell r="M45">
            <v>8.9486615328199495</v>
          </cell>
          <cell r="N45">
            <v>11.286601138127264</v>
          </cell>
          <cell r="O45">
            <v>12.292722371967656</v>
          </cell>
          <cell r="P45">
            <v>12.714117647058824</v>
          </cell>
          <cell r="Q45">
            <v>11.320638820638822</v>
          </cell>
          <cell r="R45">
            <v>11.342621912602914</v>
          </cell>
          <cell r="S45">
            <v>9.1496410822749858</v>
          </cell>
          <cell r="T45">
            <v>13.763934426229509</v>
          </cell>
          <cell r="U45">
            <v>11.00585223116313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 t="str">
            <v>NEE</v>
          </cell>
          <cell r="C46" t="str">
            <v>NextEra Energy, Inc.</v>
          </cell>
          <cell r="D46">
            <v>42</v>
          </cell>
          <cell r="E46">
            <v>42</v>
          </cell>
          <cell r="F46">
            <v>0</v>
          </cell>
          <cell r="G46">
            <v>0</v>
          </cell>
          <cell r="H46">
            <v>0</v>
          </cell>
          <cell r="I46">
            <v>10.762784645413143</v>
          </cell>
          <cell r="J46">
            <v>11.621985464155928</v>
          </cell>
          <cell r="K46">
            <v>9.229915188897456</v>
          </cell>
          <cell r="L46">
            <v>7.9253754451153426</v>
          </cell>
          <cell r="M46">
            <v>7.9842174847132705</v>
          </cell>
          <cell r="N46">
            <v>7.5967160212604412</v>
          </cell>
          <cell r="O46">
            <v>7.5773658761224949</v>
          </cell>
          <cell r="P46">
            <v>5.9845011301259277</v>
          </cell>
          <cell r="Q46">
            <v>5.33489242282507</v>
          </cell>
          <cell r="R46">
            <v>6.0868571428571423</v>
          </cell>
          <cell r="S46">
            <v>7.3440069773236978</v>
          </cell>
          <cell r="T46">
            <v>9.0182428488032684</v>
          </cell>
          <cell r="U46">
            <v>6.5145516324420152</v>
          </cell>
          <cell r="V46">
            <v>6.7148405890920859</v>
          </cell>
          <cell r="W46">
            <v>6.7148405890920859</v>
          </cell>
          <cell r="X46">
            <v>5.9742903053026248</v>
          </cell>
          <cell r="Y46">
            <v>5.7684701492537309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43</v>
          </cell>
          <cell r="E47">
            <v>43</v>
          </cell>
          <cell r="F47">
            <v>0</v>
          </cell>
          <cell r="G47">
            <v>0</v>
          </cell>
          <cell r="H47">
            <v>0</v>
          </cell>
          <cell r="I47">
            <v>8.9075451647183854</v>
          </cell>
          <cell r="J47">
            <v>12.109932497589201</v>
          </cell>
          <cell r="K47">
            <v>8.5609305760709002</v>
          </cell>
          <cell r="L47">
            <v>10.381288614298324</v>
          </cell>
          <cell r="M47">
            <v>10.564394993045896</v>
          </cell>
          <cell r="N47">
            <v>8.7092511013215859</v>
          </cell>
          <cell r="O47">
            <v>7.8117421825143589</v>
          </cell>
          <cell r="P47">
            <v>6.8133378016085793</v>
          </cell>
          <cell r="Q47">
            <v>5.0931034482758619</v>
          </cell>
          <cell r="R47">
            <v>4.0637867026662171</v>
          </cell>
          <cell r="S47">
            <v>4.8725135623869802</v>
          </cell>
          <cell r="T47">
            <v>6.6947565543071157</v>
          </cell>
          <cell r="U47">
            <v>6.866394215655454</v>
          </cell>
          <cell r="V47">
            <v>7.3603689567430015</v>
          </cell>
          <cell r="W47">
            <v>6.0803339999999997</v>
          </cell>
          <cell r="X47">
            <v>5.6005190000000002</v>
          </cell>
          <cell r="Y47">
            <v>5.2161540000000004</v>
          </cell>
        </row>
        <row r="48">
          <cell r="B48" t="str">
            <v>NWN</v>
          </cell>
          <cell r="C48" t="str">
            <v>Northwest Nat. Gas</v>
          </cell>
          <cell r="D48">
            <v>44</v>
          </cell>
          <cell r="E48">
            <v>44</v>
          </cell>
          <cell r="F48">
            <v>0</v>
          </cell>
          <cell r="G48">
            <v>0</v>
          </cell>
          <cell r="H48">
            <v>0</v>
          </cell>
          <cell r="I48">
            <v>11.754498958136011</v>
          </cell>
          <cell r="J48">
            <v>59.719769673704413</v>
          </cell>
          <cell r="K48">
            <v>11.574934090448185</v>
          </cell>
          <cell r="L48">
            <v>9.4593603585251582</v>
          </cell>
          <cell r="M48">
            <v>8.8426988523941432</v>
          </cell>
          <cell r="N48">
            <v>8.6148045247072833</v>
          </cell>
          <cell r="O48">
            <v>9.4791329011345216</v>
          </cell>
          <cell r="P48">
            <v>9.0817182817182829</v>
          </cell>
          <cell r="Q48">
            <v>8.9357762777242051</v>
          </cell>
          <cell r="R48">
            <v>8.2592806308905562</v>
          </cell>
          <cell r="S48">
            <v>8.7531562087808545</v>
          </cell>
          <cell r="T48">
            <v>8.5409502680717324</v>
          </cell>
          <cell r="U48">
            <v>7.8252100840336132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45</v>
          </cell>
          <cell r="E49">
            <v>45</v>
          </cell>
          <cell r="F49">
            <v>0</v>
          </cell>
          <cell r="G49">
            <v>0</v>
          </cell>
          <cell r="H49">
            <v>0</v>
          </cell>
          <cell r="I49">
            <v>8.1941370886621652</v>
          </cell>
          <cell r="J49">
            <v>8.8209264466479205</v>
          </cell>
          <cell r="K49">
            <v>8.647914502003859</v>
          </cell>
          <cell r="L49">
            <v>8.9886900742741389</v>
          </cell>
          <cell r="M49">
            <v>9.0096510764662217</v>
          </cell>
          <cell r="N49">
            <v>7.607300073367572</v>
          </cell>
          <cell r="O49">
            <v>6.8546893091470471</v>
          </cell>
          <cell r="P49">
            <v>5.8909795240730487</v>
          </cell>
          <cell r="Q49">
            <v>5.7926112510495376</v>
          </cell>
          <cell r="R49">
            <v>5.0469900389779117</v>
          </cell>
          <cell r="S49">
            <v>5.5741539859186924</v>
          </cell>
          <cell r="T49">
            <v>8.4497840172786169</v>
          </cell>
          <cell r="U49">
            <v>9.3943078198397334</v>
          </cell>
          <cell r="V49">
            <v>7.3119839879909936</v>
          </cell>
          <cell r="W49">
            <v>8.1297280000000001</v>
          </cell>
          <cell r="X49" t="str">
            <v>N/A</v>
          </cell>
          <cell r="Y49" t="str">
            <v>N/A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46</v>
          </cell>
          <cell r="E50">
            <v>46</v>
          </cell>
          <cell r="F50">
            <v>0</v>
          </cell>
          <cell r="G50">
            <v>0</v>
          </cell>
          <cell r="H50">
            <v>0</v>
          </cell>
          <cell r="I50">
            <v>9.3646083934776794</v>
          </cell>
          <cell r="J50">
            <v>10.520334928229666</v>
          </cell>
          <cell r="K50">
            <v>9.0299184043517666</v>
          </cell>
          <cell r="L50">
            <v>9.2496905940594054</v>
          </cell>
          <cell r="M50">
            <v>10.649587750294463</v>
          </cell>
          <cell r="N50">
            <v>9.9288400347121772</v>
          </cell>
          <cell r="O50">
            <v>7.3460601137286758</v>
          </cell>
          <cell r="P50">
            <v>7.4802293993359488</v>
          </cell>
          <cell r="Q50">
            <v>6.6104284290933242</v>
          </cell>
          <cell r="R50">
            <v>5.3664804469273744</v>
          </cell>
          <cell r="S50">
            <v>6.4339858392336531</v>
          </cell>
          <cell r="T50">
            <v>7.5818713450292394</v>
          </cell>
          <cell r="U50">
            <v>7.498657117278424</v>
          </cell>
          <cell r="V50">
            <v>7.0365226337448563</v>
          </cell>
          <cell r="W50">
            <v>6.7290000000000001</v>
          </cell>
          <cell r="X50">
            <v>5.6171150000000001</v>
          </cell>
          <cell r="Y50">
            <v>5.3884740000000004</v>
          </cell>
        </row>
        <row r="51">
          <cell r="B51" t="str">
            <v>OGS</v>
          </cell>
          <cell r="C51" t="str">
            <v>ONE Gas Inc.</v>
          </cell>
          <cell r="D51">
            <v>47</v>
          </cell>
          <cell r="E51">
            <v>47</v>
          </cell>
          <cell r="F51">
            <v>0</v>
          </cell>
          <cell r="G51">
            <v>0</v>
          </cell>
          <cell r="H51">
            <v>0</v>
          </cell>
          <cell r="I51">
            <v>11.853685542549824</v>
          </cell>
          <cell r="J51">
            <v>11.890100671140939</v>
          </cell>
          <cell r="K51">
            <v>11.095010127048425</v>
          </cell>
          <cell r="L51">
            <v>9.1913746630727751</v>
          </cell>
          <cell r="M51">
            <v>8.1605484298982756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48</v>
          </cell>
          <cell r="E52">
            <v>48</v>
          </cell>
          <cell r="F52">
            <v>0</v>
          </cell>
          <cell r="G52">
            <v>0</v>
          </cell>
          <cell r="H52">
            <v>0</v>
          </cell>
          <cell r="I52">
            <v>11.578069732187974</v>
          </cell>
          <cell r="J52">
            <v>11.088084301540125</v>
          </cell>
          <cell r="K52">
            <v>9.3839674702294502</v>
          </cell>
          <cell r="L52">
            <v>9.0356460852959906</v>
          </cell>
          <cell r="M52">
            <v>9.4525736484299134</v>
          </cell>
          <cell r="N52">
            <v>9.5807947019867559</v>
          </cell>
          <cell r="O52">
            <v>8.430047988187523</v>
          </cell>
          <cell r="P52">
            <v>9.03849407783418</v>
          </cell>
          <cell r="Q52">
            <v>8.0651001540832059</v>
          </cell>
          <cell r="R52">
            <v>8.0097755249818974</v>
          </cell>
          <cell r="S52">
            <v>11.65457132692992</v>
          </cell>
          <cell r="T52">
            <v>9.5285674078243723</v>
          </cell>
          <cell r="U52">
            <v>8.6563330380868013</v>
          </cell>
          <cell r="V52">
            <v>8.1753653444676395</v>
          </cell>
          <cell r="W52">
            <v>9.0128249999999994</v>
          </cell>
          <cell r="X52">
            <v>8.1296970000000002</v>
          </cell>
          <cell r="Y52">
            <v>8.3335279999999994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>
            <v>0</v>
          </cell>
          <cell r="H53">
            <v>0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  <cell r="R53" t="str">
            <v>N/A</v>
          </cell>
          <cell r="S53" t="str">
            <v>N/A</v>
          </cell>
          <cell r="T53" t="str">
            <v>N/A</v>
          </cell>
          <cell r="U53" t="str">
            <v>N/A</v>
          </cell>
          <cell r="V53" t="str">
            <v>N/A</v>
          </cell>
          <cell r="W53">
            <v>5.3380929999999998</v>
          </cell>
          <cell r="X53">
            <v>4.7405369999999998</v>
          </cell>
          <cell r="Y53">
            <v>6.4597629999999997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49</v>
          </cell>
          <cell r="E54">
            <v>49</v>
          </cell>
          <cell r="F54">
            <v>0</v>
          </cell>
          <cell r="G54">
            <v>0</v>
          </cell>
          <cell r="H54">
            <v>0</v>
          </cell>
          <cell r="I54">
            <v>-5.6531143052703632</v>
          </cell>
          <cell r="J54">
            <v>7.085622507753655</v>
          </cell>
          <cell r="K54">
            <v>7.2637589600291577</v>
          </cell>
          <cell r="L54">
            <v>7.2443743139407237</v>
          </cell>
          <cell r="M54">
            <v>5.6468634686346855</v>
          </cell>
          <cell r="N54">
            <v>6.8407834465329325</v>
          </cell>
          <cell r="O54">
            <v>5.8574357572443958</v>
          </cell>
          <cell r="P54">
            <v>5.3151515151515145</v>
          </cell>
          <cell r="Q54">
            <v>5.4195549069682594</v>
          </cell>
          <cell r="R54">
            <v>4.7112465638819163</v>
          </cell>
          <cell r="S54">
            <v>4.6108543666311173</v>
          </cell>
          <cell r="T54">
            <v>5.8399002493765586</v>
          </cell>
          <cell r="U54">
            <v>5.2815884476534292</v>
          </cell>
          <cell r="V54">
            <v>5.069493191071178</v>
          </cell>
          <cell r="W54">
            <v>5.1284159999999996</v>
          </cell>
          <cell r="X54">
            <v>4.0549770000000001</v>
          </cell>
          <cell r="Y54">
            <v>14.685969999999999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50</v>
          </cell>
          <cell r="E55">
            <v>50</v>
          </cell>
          <cell r="F55">
            <v>0</v>
          </cell>
          <cell r="G55">
            <v>0</v>
          </cell>
          <cell r="H55">
            <v>0</v>
          </cell>
          <cell r="I55">
            <v>7.0917857455948106</v>
          </cell>
          <cell r="J55">
            <v>8.7281831187410592</v>
          </cell>
          <cell r="K55">
            <v>7.8861312313591814</v>
          </cell>
          <cell r="L55">
            <v>6.9145308546914537</v>
          </cell>
          <cell r="M55">
            <v>7.033391046252782</v>
          </cell>
          <cell r="N55">
            <v>6.8530782438067206</v>
          </cell>
          <cell r="O55">
            <v>6.3436512950094759</v>
          </cell>
          <cell r="P55">
            <v>5.8035619351408823</v>
          </cell>
          <cell r="Q55">
            <v>5.6503139144400638</v>
          </cell>
          <cell r="R55">
            <v>3.8445159692993318</v>
          </cell>
          <cell r="S55">
            <v>4.1873616916646181</v>
          </cell>
          <cell r="T55">
            <v>4.7558377273216399</v>
          </cell>
          <cell r="U55">
            <v>4.4759694719471952</v>
          </cell>
          <cell r="V55">
            <v>7.479257073424753</v>
          </cell>
          <cell r="W55">
            <v>5.8802649999999996</v>
          </cell>
          <cell r="X55">
            <v>4.8030030000000004</v>
          </cell>
          <cell r="Y55">
            <v>5.2054470000000004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51</v>
          </cell>
          <cell r="E56">
            <v>51</v>
          </cell>
          <cell r="F56">
            <v>0</v>
          </cell>
          <cell r="G56">
            <v>0</v>
          </cell>
          <cell r="H56">
            <v>0</v>
          </cell>
          <cell r="I56">
            <v>7.5711778471138853</v>
          </cell>
          <cell r="J56">
            <v>7.4008303453481785</v>
          </cell>
          <cell r="K56">
            <v>7.6435412286848878</v>
          </cell>
          <cell r="L56">
            <v>6.9454499748617398</v>
          </cell>
          <cell r="M56">
            <v>7.4806629834254137</v>
          </cell>
          <cell r="N56">
            <v>6.4745231995445494</v>
          </cell>
          <cell r="O56">
            <v>5.8023668639053252</v>
          </cell>
          <cell r="P56">
            <v>4.9386406544996859</v>
          </cell>
          <cell r="Q56">
            <v>4.5815523059617549</v>
          </cell>
          <cell r="R56">
            <v>4.5271786022433131</v>
          </cell>
          <cell r="S56">
            <v>7.1007972665148058</v>
          </cell>
          <cell r="T56">
            <v>10.670736510437179</v>
          </cell>
          <cell r="U56">
            <v>7.4967814161768827</v>
          </cell>
          <cell r="V56">
            <v>7.6200112422709383</v>
          </cell>
          <cell r="W56">
            <v>6.8385860000000003</v>
          </cell>
          <cell r="X56">
            <v>5.5484400000000003</v>
          </cell>
          <cell r="Y56">
            <v>5.7152950000000002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52</v>
          </cell>
          <cell r="E57">
            <v>52</v>
          </cell>
          <cell r="F57">
            <v>0</v>
          </cell>
          <cell r="G57">
            <v>0</v>
          </cell>
          <cell r="H57">
            <v>0</v>
          </cell>
          <cell r="I57">
            <v>6.5622182146077543</v>
          </cell>
          <cell r="J57">
            <v>7.4455445544554459</v>
          </cell>
          <cell r="K57">
            <v>7.1232047066966606</v>
          </cell>
          <cell r="L57">
            <v>6.7269173492181684</v>
          </cell>
          <cell r="M57">
            <v>5.4877567789646671</v>
          </cell>
          <cell r="N57">
            <v>6.0602434077079108</v>
          </cell>
          <cell r="O57">
            <v>5.0777000777000785</v>
          </cell>
          <cell r="P57">
            <v>4.8601652226475922</v>
          </cell>
          <cell r="Q57">
            <v>4.1327800829875523</v>
          </cell>
          <cell r="R57">
            <v>4.6343081838289502</v>
          </cell>
          <cell r="S57">
            <v>4.8050487908358077</v>
          </cell>
          <cell r="T57">
            <v>5.3364019946298429</v>
          </cell>
          <cell r="U57">
            <v>5.7368534482758626</v>
          </cell>
          <cell r="V57" t="str">
            <v>N/A</v>
          </cell>
          <cell r="W57" t="str">
            <v>N/A</v>
          </cell>
          <cell r="X57" t="str">
            <v>N/A</v>
          </cell>
          <cell r="Y57" t="str">
            <v>N/A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53</v>
          </cell>
          <cell r="E58">
            <v>53</v>
          </cell>
          <cell r="F58">
            <v>0</v>
          </cell>
          <cell r="G58">
            <v>0</v>
          </cell>
          <cell r="H58">
            <v>0</v>
          </cell>
          <cell r="I58">
            <v>7.0220994475138117</v>
          </cell>
          <cell r="J58">
            <v>10.111593809394515</v>
          </cell>
          <cell r="K58">
            <v>8.3669939223936414</v>
          </cell>
          <cell r="L58">
            <v>8.7315329626687834</v>
          </cell>
          <cell r="M58">
            <v>7.3180428134556577</v>
          </cell>
          <cell r="N58">
            <v>6.58935115326579</v>
          </cell>
          <cell r="O58">
            <v>5.8655514250309793</v>
          </cell>
          <cell r="P58">
            <v>5.9795206971677564</v>
          </cell>
          <cell r="Q58">
            <v>7.4642076502732237</v>
          </cell>
          <cell r="R58">
            <v>8.821645021645022</v>
          </cell>
          <cell r="S58">
            <v>9.1652173913043473</v>
          </cell>
          <cell r="T58">
            <v>8.9002156439913733</v>
          </cell>
          <cell r="U58">
            <v>7.5813571260859351</v>
          </cell>
          <cell r="V58">
            <v>7.5679269882659712</v>
          </cell>
          <cell r="W58">
            <v>6.493322</v>
          </cell>
          <cell r="X58">
            <v>5.4071610000000003</v>
          </cell>
          <cell r="Y58">
            <v>5.3008740000000003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54</v>
          </cell>
          <cell r="E59">
            <v>54</v>
          </cell>
          <cell r="F59">
            <v>0</v>
          </cell>
          <cell r="G59">
            <v>0</v>
          </cell>
          <cell r="H59">
            <v>0</v>
          </cell>
          <cell r="I59">
            <v>9.4849375459221168</v>
          </cell>
          <cell r="J59">
            <v>8.6703752592871961</v>
          </cell>
          <cell r="K59">
            <v>8.5649773220272145</v>
          </cell>
          <cell r="L59">
            <v>6.6634130470148039</v>
          </cell>
          <cell r="M59">
            <v>6.4780144280316048</v>
          </cell>
          <cell r="N59">
            <v>6.4036786060019368</v>
          </cell>
          <cell r="O59">
            <v>6.4006153846153842</v>
          </cell>
          <cell r="P59">
            <v>6.0311567164179101</v>
          </cell>
          <cell r="Q59">
            <v>6.0390817681654339</v>
          </cell>
          <cell r="R59">
            <v>6.2038523274478337</v>
          </cell>
          <cell r="S59">
            <v>8.4593843522873033</v>
          </cell>
          <cell r="T59">
            <v>9.8315741165672321</v>
          </cell>
          <cell r="U59">
            <v>8.4095213718965969</v>
          </cell>
          <cell r="V59">
            <v>8.5944997074312468</v>
          </cell>
          <cell r="W59">
            <v>7.1653440000000002</v>
          </cell>
          <cell r="X59">
            <v>6.7910959999999996</v>
          </cell>
          <cell r="Y59">
            <v>6.2383800000000003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56</v>
          </cell>
          <cell r="E60">
            <v>56</v>
          </cell>
          <cell r="F60">
            <v>0</v>
          </cell>
          <cell r="G60">
            <v>0</v>
          </cell>
          <cell r="H60">
            <v>0</v>
          </cell>
          <cell r="I60" t="str">
            <v>N/A</v>
          </cell>
          <cell r="J60">
            <v>8.2625850340136058</v>
          </cell>
          <cell r="K60">
            <v>9.5910775566231976</v>
          </cell>
          <cell r="L60">
            <v>8.3345763723150359</v>
          </cell>
          <cell r="M60">
            <v>7.5013024602026048</v>
          </cell>
          <cell r="N60">
            <v>7.4871402327005505</v>
          </cell>
          <cell r="O60">
            <v>7.3960019038553071</v>
          </cell>
          <cell r="P60">
            <v>6.7523698652918673</v>
          </cell>
          <cell r="Q60">
            <v>6.5238659444820577</v>
          </cell>
          <cell r="R60">
            <v>5.8802129547471162</v>
          </cell>
          <cell r="S60">
            <v>6.3791396381017416</v>
          </cell>
          <cell r="T60">
            <v>7.1470177886292294</v>
          </cell>
          <cell r="U60">
            <v>7.0274502903396092</v>
          </cell>
          <cell r="V60">
            <v>5.4041722745625842</v>
          </cell>
          <cell r="W60">
            <v>6.8624739999999997</v>
          </cell>
          <cell r="X60">
            <v>6.5898159999999999</v>
          </cell>
          <cell r="Y60">
            <v>6.3557940000000004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57</v>
          </cell>
          <cell r="E61">
            <v>57</v>
          </cell>
          <cell r="F61">
            <v>0</v>
          </cell>
          <cell r="G61">
            <v>0</v>
          </cell>
          <cell r="H61">
            <v>0</v>
          </cell>
          <cell r="I61">
            <v>10.101554029634984</v>
          </cell>
          <cell r="J61">
            <v>10.653522458628842</v>
          </cell>
          <cell r="K61">
            <v>10.880185302168879</v>
          </cell>
          <cell r="L61">
            <v>9.9947684557256355</v>
          </cell>
          <cell r="M61">
            <v>10.766000425260472</v>
          </cell>
          <cell r="N61">
            <v>9.3668245376635095</v>
          </cell>
          <cell r="O61">
            <v>7.2571716718960122</v>
          </cell>
          <cell r="P61">
            <v>6.1345458785123004</v>
          </cell>
          <cell r="Q61">
            <v>6.5281072717895814</v>
          </cell>
          <cell r="R61">
            <v>6.0718871962734484</v>
          </cell>
          <cell r="S61">
            <v>7.0656934306569346</v>
          </cell>
          <cell r="T61">
            <v>8.6065195442088562</v>
          </cell>
          <cell r="U61">
            <v>7.222090261282661</v>
          </cell>
          <cell r="V61">
            <v>6.9599329421626148</v>
          </cell>
          <cell r="W61">
            <v>5.163653</v>
          </cell>
          <cell r="X61">
            <v>4.8501799999999999</v>
          </cell>
          <cell r="Y61">
            <v>3.9982500000000001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>
            <v>0</v>
          </cell>
          <cell r="H62">
            <v>0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  <cell r="U62" t="str">
            <v>N/A</v>
          </cell>
          <cell r="V62" t="str">
            <v>N/A</v>
          </cell>
          <cell r="W62">
            <v>1.8034870000000001</v>
          </cell>
          <cell r="X62">
            <v>1.884924</v>
          </cell>
          <cell r="Y62">
            <v>-7.0251169999999998</v>
          </cell>
        </row>
        <row r="63">
          <cell r="B63" t="str">
            <v>SJW</v>
          </cell>
          <cell r="C63" t="str">
            <v>SJW Corp.</v>
          </cell>
          <cell r="D63">
            <v>58</v>
          </cell>
          <cell r="E63">
            <v>58</v>
          </cell>
          <cell r="F63">
            <v>0</v>
          </cell>
          <cell r="G63">
            <v>0</v>
          </cell>
          <cell r="H63">
            <v>0</v>
          </cell>
          <cell r="I63">
            <v>18.131426832978399</v>
          </cell>
          <cell r="J63">
            <v>10.287323405880105</v>
          </cell>
          <cell r="K63">
            <v>8.4547743966421827</v>
          </cell>
          <cell r="L63">
            <v>7.9823697173969403</v>
          </cell>
          <cell r="M63">
            <v>6.4265038444142926</v>
          </cell>
          <cell r="N63">
            <v>9.3993103448275868</v>
          </cell>
          <cell r="O63">
            <v>8.0970350404312672</v>
          </cell>
          <cell r="P63">
            <v>8.3909318100678316</v>
          </cell>
          <cell r="Q63">
            <v>10.28721614802355</v>
          </cell>
          <cell r="R63">
            <v>10.525838621940164</v>
          </cell>
          <cell r="S63">
            <v>11.675697865353039</v>
          </cell>
          <cell r="T63">
            <v>15.134523291249456</v>
          </cell>
          <cell r="U63">
            <v>11.749265014699708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 t="str">
            <v>SJI</v>
          </cell>
          <cell r="C64" t="str">
            <v>South Jersey Inds.</v>
          </cell>
          <cell r="D64">
            <v>59</v>
          </cell>
          <cell r="E64">
            <v>59</v>
          </cell>
          <cell r="F64">
            <v>0</v>
          </cell>
          <cell r="G64">
            <v>0</v>
          </cell>
          <cell r="H64">
            <v>0</v>
          </cell>
          <cell r="I64">
            <v>10.724682457947134</v>
          </cell>
          <cell r="J64">
            <v>12.331059245960502</v>
          </cell>
          <cell r="K64">
            <v>10.877383177570096</v>
          </cell>
          <cell r="L64">
            <v>10.697847682119205</v>
          </cell>
          <cell r="M64">
            <v>10.566454511418945</v>
          </cell>
          <cell r="N64">
            <v>11.566235864297255</v>
          </cell>
          <cell r="O64">
            <v>10.945392491467578</v>
          </cell>
          <cell r="P64">
            <v>11.975784753363229</v>
          </cell>
          <cell r="Q64">
            <v>10.784220532319392</v>
          </cell>
          <cell r="R64">
            <v>9.5734265734265733</v>
          </cell>
          <cell r="S64">
            <v>10.381472957422325</v>
          </cell>
          <cell r="T64">
            <v>11.228267667292059</v>
          </cell>
          <cell r="U64">
            <v>8.3200228180262421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60</v>
          </cell>
          <cell r="E65">
            <v>60</v>
          </cell>
          <cell r="F65">
            <v>0</v>
          </cell>
          <cell r="G65">
            <v>0</v>
          </cell>
          <cell r="H65">
            <v>0</v>
          </cell>
          <cell r="I65">
            <v>7.0469432314410483</v>
          </cell>
          <cell r="J65">
            <v>7.4877975293763184</v>
          </cell>
          <cell r="K65">
            <v>8.832337434094903</v>
          </cell>
          <cell r="L65">
            <v>8.2270151709011152</v>
          </cell>
          <cell r="M65">
            <v>8.4186398939193037</v>
          </cell>
          <cell r="N65">
            <v>8.2988985947588301</v>
          </cell>
          <cell r="O65">
            <v>8.7459459459459463</v>
          </cell>
          <cell r="P65">
            <v>8.2234432234432226</v>
          </cell>
          <cell r="Q65">
            <v>7.7901617549302014</v>
          </cell>
          <cell r="R65">
            <v>7.0776173285198549</v>
          </cell>
          <cell r="S65">
            <v>8.1835814163283711</v>
          </cell>
          <cell r="T65">
            <v>8.6184834123222753</v>
          </cell>
          <cell r="U65">
            <v>8.4714677298778973</v>
          </cell>
          <cell r="V65">
            <v>8.4108161746464916</v>
          </cell>
          <cell r="W65">
            <v>8.2763340000000003</v>
          </cell>
          <cell r="X65">
            <v>8.2793989999999997</v>
          </cell>
          <cell r="Y65">
            <v>7.832465</v>
          </cell>
        </row>
        <row r="66">
          <cell r="B66" t="str">
            <v>SWX</v>
          </cell>
          <cell r="C66" t="str">
            <v>Southwest Gas</v>
          </cell>
          <cell r="D66">
            <v>61</v>
          </cell>
          <cell r="E66">
            <v>61</v>
          </cell>
          <cell r="F66">
            <v>0</v>
          </cell>
          <cell r="G66">
            <v>0</v>
          </cell>
          <cell r="H66">
            <v>0</v>
          </cell>
          <cell r="I66">
            <v>9.3201425586825604</v>
          </cell>
          <cell r="J66">
            <v>9.1038152383108795</v>
          </cell>
          <cell r="K66">
            <v>7.4075987514799264</v>
          </cell>
          <cell r="L66">
            <v>6.5555040018559332</v>
          </cell>
          <cell r="M66">
            <v>6.3454910292728997</v>
          </cell>
          <cell r="N66">
            <v>5.9443231441048043</v>
          </cell>
          <cell r="O66">
            <v>5.5499935325313672</v>
          </cell>
          <cell r="P66">
            <v>5.6010872759330006</v>
          </cell>
          <cell r="Q66">
            <v>4.9079089924160346</v>
          </cell>
          <cell r="R66">
            <v>3.844379467186485</v>
          </cell>
          <cell r="S66">
            <v>4.8887732083984039</v>
          </cell>
          <cell r="T66">
            <v>5.4208407150909972</v>
          </cell>
          <cell r="U66">
            <v>5.284876905041032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 t="str">
            <v>SR</v>
          </cell>
          <cell r="C67" t="str">
            <v>Spire Inc.</v>
          </cell>
          <cell r="D67">
            <v>62</v>
          </cell>
          <cell r="E67">
            <v>62</v>
          </cell>
          <cell r="F67">
            <v>0</v>
          </cell>
          <cell r="G67">
            <v>0</v>
          </cell>
          <cell r="H67">
            <v>0</v>
          </cell>
          <cell r="I67">
            <v>9.6003178386968617</v>
          </cell>
          <cell r="J67">
            <v>10.393059165265248</v>
          </cell>
          <cell r="K67">
            <v>10.319909061383566</v>
          </cell>
          <cell r="L67">
            <v>8.4657133571660701</v>
          </cell>
          <cell r="M67">
            <v>12.031290405999483</v>
          </cell>
          <cell r="N67">
            <v>13.755847484780519</v>
          </cell>
          <cell r="O67">
            <v>8.8010471204188487</v>
          </cell>
          <cell r="P67">
            <v>8.079904720658293</v>
          </cell>
          <cell r="Q67">
            <v>8.1248478948649296</v>
          </cell>
          <cell r="R67">
            <v>8.579328505595786</v>
          </cell>
          <cell r="S67">
            <v>8.9523809523809508</v>
          </cell>
          <cell r="T67">
            <v>8.4581827568404755</v>
          </cell>
          <cell r="U67">
            <v>8.4618009976371749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>
            <v>0</v>
          </cell>
          <cell r="H68">
            <v>0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  <cell r="R68" t="str">
            <v>N/A</v>
          </cell>
          <cell r="S68" t="str">
            <v>N/A</v>
          </cell>
          <cell r="T68" t="str">
            <v>N/A</v>
          </cell>
          <cell r="U68" t="str">
            <v>N/A</v>
          </cell>
          <cell r="V68">
            <v>7.2119037568594342</v>
          </cell>
          <cell r="W68">
            <v>6.4092609999999999</v>
          </cell>
          <cell r="X68">
            <v>6.3931490000000002</v>
          </cell>
          <cell r="Y68">
            <v>6.681349</v>
          </cell>
        </row>
        <row r="69">
          <cell r="B69" t="str">
            <v>UGI</v>
          </cell>
          <cell r="C69" t="str">
            <v>UGI Corp.</v>
          </cell>
          <cell r="D69">
            <v>64</v>
          </cell>
          <cell r="E69">
            <v>64</v>
          </cell>
          <cell r="F69">
            <v>0</v>
          </cell>
          <cell r="G69">
            <v>0</v>
          </cell>
          <cell r="H69">
            <v>0</v>
          </cell>
          <cell r="I69">
            <v>9.0133283968900404</v>
          </cell>
          <cell r="J69">
            <v>10.091562698244871</v>
          </cell>
          <cell r="K69">
            <v>9.0175238962221211</v>
          </cell>
          <cell r="L69">
            <v>8.467300832342449</v>
          </cell>
          <cell r="M69">
            <v>7.4872933629410312</v>
          </cell>
          <cell r="N69">
            <v>6.5533049040511733</v>
          </cell>
          <cell r="O69">
            <v>6.3007543456871105</v>
          </cell>
          <cell r="P69">
            <v>7.5111030214779761</v>
          </cell>
          <cell r="Q69">
            <v>6.0150034891835311</v>
          </cell>
          <cell r="R69">
            <v>5.7384833451452861</v>
          </cell>
          <cell r="S69">
            <v>7.1116035455277995</v>
          </cell>
          <cell r="T69">
            <v>7.9175897208684098</v>
          </cell>
          <cell r="U69">
            <v>7.4790652385589098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>
            <v>0</v>
          </cell>
          <cell r="H70">
            <v>0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N/A</v>
          </cell>
          <cell r="T70" t="str">
            <v>N/A</v>
          </cell>
          <cell r="U70" t="str">
            <v>N/A</v>
          </cell>
          <cell r="V70" t="str">
            <v>N/A</v>
          </cell>
          <cell r="W70">
            <v>6.5928209999999998</v>
          </cell>
          <cell r="X70">
            <v>4.781644</v>
          </cell>
          <cell r="Y70">
            <v>4.7159110000000002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>
            <v>0</v>
          </cell>
          <cell r="H71">
            <v>0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  <cell r="R71" t="str">
            <v>N/A</v>
          </cell>
          <cell r="S71" t="str">
            <v>N/A</v>
          </cell>
          <cell r="T71" t="str">
            <v>N/A</v>
          </cell>
          <cell r="U71" t="str">
            <v>N/A</v>
          </cell>
          <cell r="V71" t="str">
            <v>N/A</v>
          </cell>
          <cell r="W71">
            <v>4.6349720000000003</v>
          </cell>
          <cell r="X71">
            <v>3.64655</v>
          </cell>
          <cell r="Y71">
            <v>3.6843750000000002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65</v>
          </cell>
          <cell r="E72">
            <v>65</v>
          </cell>
          <cell r="F72">
            <v>0</v>
          </cell>
          <cell r="G72">
            <v>0</v>
          </cell>
          <cell r="H72">
            <v>0</v>
          </cell>
          <cell r="I72">
            <v>8.6034605779521947</v>
          </cell>
          <cell r="J72">
            <v>9.3851259027913319</v>
          </cell>
          <cell r="K72">
            <v>7.7614503816793894</v>
          </cell>
          <cell r="L72">
            <v>6.8056743101438011</v>
          </cell>
          <cell r="M72">
            <v>6.8585416666666665</v>
          </cell>
          <cell r="N72">
            <v>6.7780112044817926</v>
          </cell>
          <cell r="O72">
            <v>6.9222797927461137</v>
          </cell>
          <cell r="P72">
            <v>6.052163461538461</v>
          </cell>
          <cell r="Q72">
            <v>6.2707919386886175</v>
          </cell>
          <cell r="R72">
            <v>6.0775711795467746</v>
          </cell>
          <cell r="S72">
            <v>7.0863426554439322</v>
          </cell>
          <cell r="T72">
            <v>6.0732767993041969</v>
          </cell>
          <cell r="U72">
            <v>5.8232536333802152</v>
          </cell>
          <cell r="V72">
            <v>5.4577063847092315</v>
          </cell>
          <cell r="W72">
            <v>5.5678859999999997</v>
          </cell>
          <cell r="X72">
            <v>5.1765679999999996</v>
          </cell>
          <cell r="Y72">
            <v>6.0934340000000002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66</v>
          </cell>
          <cell r="E73">
            <v>66</v>
          </cell>
          <cell r="F73">
            <v>0</v>
          </cell>
          <cell r="G73">
            <v>0</v>
          </cell>
          <cell r="H73">
            <v>0</v>
          </cell>
          <cell r="I73" t="str">
            <v>N/A</v>
          </cell>
          <cell r="J73">
            <v>10.31939291736931</v>
          </cell>
          <cell r="K73">
            <v>8.5962383547196346</v>
          </cell>
          <cell r="L73">
            <v>7.8192771084337362</v>
          </cell>
          <cell r="M73">
            <v>7.5717501406865502</v>
          </cell>
          <cell r="N73">
            <v>6.8210379797176373</v>
          </cell>
          <cell r="O73">
            <v>5.7899443561208273</v>
          </cell>
          <cell r="P73">
            <v>5.8104838709677429</v>
          </cell>
          <cell r="Q73">
            <v>5.5771222697590632</v>
          </cell>
          <cell r="R73">
            <v>5.2428993410588509</v>
          </cell>
          <cell r="S73">
            <v>6.9016393442622945</v>
          </cell>
          <cell r="T73">
            <v>6.5349324639031217</v>
          </cell>
          <cell r="U73">
            <v>7.3743909041689228</v>
          </cell>
          <cell r="V73">
            <v>7.0612086776859506</v>
          </cell>
          <cell r="W73">
            <v>7.6323040000000004</v>
          </cell>
          <cell r="X73">
            <v>7.2745040000000003</v>
          </cell>
          <cell r="Y73">
            <v>6.9240180000000002</v>
          </cell>
        </row>
        <row r="74">
          <cell r="B74" t="str">
            <v>WEC</v>
          </cell>
          <cell r="C74" t="str">
            <v>WEC Energy Group</v>
          </cell>
          <cell r="D74">
            <v>67</v>
          </cell>
          <cell r="E74">
            <v>67</v>
          </cell>
          <cell r="F74">
            <v>0</v>
          </cell>
          <cell r="G74">
            <v>0</v>
          </cell>
          <cell r="H74">
            <v>0</v>
          </cell>
          <cell r="I74">
            <v>10.823120238489565</v>
          </cell>
          <cell r="J74">
            <v>11.043760984182775</v>
          </cell>
          <cell r="K74">
            <v>10.951956965312558</v>
          </cell>
          <cell r="L74">
            <v>12.896150865409455</v>
          </cell>
          <cell r="M74">
            <v>10.266114592658909</v>
          </cell>
          <cell r="N74">
            <v>9.5760517799352769</v>
          </cell>
          <cell r="O74">
            <v>9.2385229540918168</v>
          </cell>
          <cell r="P74">
            <v>8.4315960912052113</v>
          </cell>
          <cell r="Q74">
            <v>8.1465778316172006</v>
          </cell>
          <cell r="R74">
            <v>6.8706563706563699</v>
          </cell>
          <cell r="S74">
            <v>7.5732656514382404</v>
          </cell>
          <cell r="T74">
            <v>7.8410995641971173</v>
          </cell>
          <cell r="U74">
            <v>7.2726017943409245</v>
          </cell>
          <cell r="V74">
            <v>6.4014522821576767</v>
          </cell>
          <cell r="W74">
            <v>6.2742060000000004</v>
          </cell>
          <cell r="X74">
            <v>4.9149459999999996</v>
          </cell>
          <cell r="Y74">
            <v>4.2733350000000003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 t="str">
            <v>N/A</v>
          </cell>
          <cell r="J75">
            <v>10.86734693877551</v>
          </cell>
          <cell r="K75">
            <v>10.855546357615895</v>
          </cell>
          <cell r="L75">
            <v>9.0473844710297922</v>
          </cell>
          <cell r="M75">
            <v>7.92512077294686</v>
          </cell>
          <cell r="N75">
            <v>7.2319564230594651</v>
          </cell>
          <cell r="O75">
            <v>6.7148837209302323</v>
          </cell>
          <cell r="P75">
            <v>6.6716267339218156</v>
          </cell>
          <cell r="Q75">
            <v>5.5069657615112151</v>
          </cell>
          <cell r="R75">
            <v>5.3247982187586977</v>
          </cell>
          <cell r="S75">
            <v>7.0880382775119619</v>
          </cell>
          <cell r="T75">
            <v>6.875993640699523</v>
          </cell>
          <cell r="U75">
            <v>5.8074581430745811</v>
          </cell>
          <cell r="V75">
            <v>6.9972519083969464</v>
          </cell>
          <cell r="W75">
            <v>6.538462</v>
          </cell>
          <cell r="X75">
            <v>4.2357319999999996</v>
          </cell>
          <cell r="Y75">
            <v>2.941065</v>
          </cell>
        </row>
        <row r="76">
          <cell r="B76" t="str">
            <v>WGL</v>
          </cell>
          <cell r="C76" t="str">
            <v>WGL Holdings Inc.</v>
          </cell>
          <cell r="D76">
            <v>69</v>
          </cell>
          <cell r="E76">
            <v>69</v>
          </cell>
          <cell r="F76">
            <v>0</v>
          </cell>
          <cell r="G76">
            <v>0</v>
          </cell>
          <cell r="H76">
            <v>0</v>
          </cell>
          <cell r="I76" t="str">
            <v>N/A</v>
          </cell>
          <cell r="J76">
            <v>12.918384036637226</v>
          </cell>
          <cell r="K76">
            <v>11.36384122031548</v>
          </cell>
          <cell r="L76">
            <v>9.5870380289234074</v>
          </cell>
          <cell r="M76">
            <v>8.4593749999999996</v>
          </cell>
          <cell r="N76">
            <v>9.8308840681128995</v>
          </cell>
          <cell r="O76">
            <v>9.0269137436576212</v>
          </cell>
          <cell r="P76">
            <v>9.5160727635185651</v>
          </cell>
          <cell r="Q76">
            <v>8.3439552420335694</v>
          </cell>
          <cell r="R76">
            <v>7.1658789106459606</v>
          </cell>
          <cell r="S76">
            <v>7.6821848352154865</v>
          </cell>
          <cell r="T76">
            <v>8.3900180087471057</v>
          </cell>
          <cell r="U76">
            <v>7.8083832335329344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70</v>
          </cell>
          <cell r="E77">
            <v>70</v>
          </cell>
          <cell r="F77">
            <v>0</v>
          </cell>
          <cell r="G77">
            <v>0</v>
          </cell>
          <cell r="H77">
            <v>0</v>
          </cell>
          <cell r="I77">
            <v>7.9019939168638054</v>
          </cell>
          <cell r="J77">
            <v>8.5000914913083268</v>
          </cell>
          <cell r="K77">
            <v>8.0961729129486422</v>
          </cell>
          <cell r="L77">
            <v>7.6210226025894219</v>
          </cell>
          <cell r="M77">
            <v>7.314819136522754</v>
          </cell>
          <cell r="N77">
            <v>7.0043891733723482</v>
          </cell>
          <cell r="O77">
            <v>6.8532866783304174</v>
          </cell>
          <cell r="P77">
            <v>6.4721268163804488</v>
          </cell>
          <cell r="Q77">
            <v>6.2759111617312078</v>
          </cell>
          <cell r="R77">
            <v>5.4270923209663504</v>
          </cell>
          <cell r="S77">
            <v>5.7058823529411766</v>
          </cell>
          <cell r="T77">
            <v>6.5089751013317887</v>
          </cell>
          <cell r="U77">
            <v>5.5397837538120314</v>
          </cell>
          <cell r="V77">
            <v>5.6238560097620498</v>
          </cell>
          <cell r="W77">
            <v>5.3087289999999996</v>
          </cell>
          <cell r="X77">
            <v>4.2676220000000002</v>
          </cell>
          <cell r="Y77">
            <v>5.4642860000000004</v>
          </cell>
        </row>
        <row r="78">
          <cell r="B78" t="str">
            <v>YORW</v>
          </cell>
          <cell r="C78" t="str">
            <v>York Water Co. (The)</v>
          </cell>
          <cell r="D78">
            <v>71</v>
          </cell>
          <cell r="E78">
            <v>71</v>
          </cell>
          <cell r="F78">
            <v>0</v>
          </cell>
          <cell r="G78">
            <v>0</v>
          </cell>
          <cell r="H78">
            <v>0</v>
          </cell>
          <cell r="I78">
            <v>20.010158730158729</v>
          </cell>
          <cell r="J78">
            <v>22.797262059973921</v>
          </cell>
          <cell r="K78">
            <v>21.216045038705136</v>
          </cell>
          <cell r="L78">
            <v>15.681786941580755</v>
          </cell>
          <cell r="M78">
            <v>15.12822402358143</v>
          </cell>
          <cell r="N78">
            <v>16.607925801011806</v>
          </cell>
          <cell r="O78">
            <v>15.714285714285714</v>
          </cell>
          <cell r="P78">
            <v>15.514625228519193</v>
          </cell>
          <cell r="Q78">
            <v>13.813145539906104</v>
          </cell>
          <cell r="R78">
            <v>14.747102212855637</v>
          </cell>
          <cell r="S78">
            <v>15.846153846153845</v>
          </cell>
          <cell r="T78">
            <v>20.151869158878505</v>
          </cell>
          <cell r="U78">
            <v>23.568270481144342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W-1, pgs 1-3"/>
      <sheetName val="CCW-1, pg 4"/>
      <sheetName val="CCW-1, pg 5"/>
      <sheetName val="CCW-1, pg 6"/>
      <sheetName val="CCW-1, pg 7"/>
      <sheetName val="Not Using, pg 14-16"/>
      <sheetName val="Table or Figure"/>
      <sheetName val="P-E Ratio (WP)"/>
      <sheetName val="MP-CF (WP)"/>
      <sheetName val="MP-BV (WP)"/>
      <sheetName val="DIV-MP (WP)"/>
      <sheetName val="DIV-BV (WP)"/>
      <sheetName val="DIV-Earnings (WP)"/>
      <sheetName val="CF-Cap Spend (WP)"/>
      <sheetName val="CapSpendCashFlow"/>
      <sheetName val="2020 Data (WP)"/>
      <sheetName val="2018 data"/>
      <sheetName val="2019 Data (WP)"/>
      <sheetName val="2018"/>
      <sheetName val="2017"/>
      <sheetName val="2016"/>
      <sheetName val="Sheet2"/>
      <sheetName val="MP"/>
      <sheetName val="CF"/>
      <sheetName val="EPS"/>
      <sheetName val="DIV"/>
      <sheetName val="CapS"/>
      <sheetName val="BV"/>
      <sheetName val="Annual Yields (WP)"/>
      <sheetName val="Implied Inflation"/>
      <sheetName val="FRED 20 yr TIPS monthly"/>
      <sheetName val="Treas 20 yr"/>
      <sheetName val="Baa-Rated Yields (W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B5" t="str">
            <v>ALE</v>
          </cell>
          <cell r="C5" t="str">
            <v xml:space="preserve">ALLETE                        </v>
          </cell>
          <cell r="D5">
            <v>3</v>
          </cell>
          <cell r="E5">
            <v>3</v>
          </cell>
          <cell r="F5">
            <v>0</v>
          </cell>
          <cell r="G5">
            <v>0</v>
          </cell>
          <cell r="H5">
            <v>0</v>
          </cell>
          <cell r="I5">
            <v>10.161806591618065</v>
          </cell>
          <cell r="J5">
            <v>10.947640006070724</v>
          </cell>
          <cell r="K5">
            <v>8.2644441305269112</v>
          </cell>
          <cell r="L5">
            <v>7.4948453608247423</v>
          </cell>
          <cell r="M5">
            <v>8.8042290748898679</v>
          </cell>
          <cell r="N5">
            <v>9.1492984097287184</v>
          </cell>
          <cell r="O5">
            <v>8.1817092651757175</v>
          </cell>
          <cell r="P5">
            <v>7.9102198697068395</v>
          </cell>
          <cell r="Q5">
            <v>8.0392922794117645</v>
          </cell>
          <cell r="R5">
            <v>8.5107812937552509</v>
          </cell>
          <cell r="S5">
            <v>9.2917552563193961</v>
          </cell>
          <cell r="T5">
            <v>10.302330844082373</v>
          </cell>
          <cell r="U5">
            <v>11.056694813027745</v>
          </cell>
          <cell r="V5">
            <v>11.543020535482194</v>
          </cell>
          <cell r="W5">
            <v>11.46027</v>
          </cell>
          <cell r="X5" t="str">
            <v>N/A</v>
          </cell>
          <cell r="Y5" t="str">
            <v>N/A</v>
          </cell>
        </row>
        <row r="6">
          <cell r="B6" t="str">
            <v>LNT</v>
          </cell>
          <cell r="C6" t="str">
            <v xml:space="preserve">Alliant Energy                </v>
          </cell>
          <cell r="D6">
            <v>4</v>
          </cell>
          <cell r="E6">
            <v>4</v>
          </cell>
          <cell r="F6">
            <v>0</v>
          </cell>
          <cell r="G6">
            <v>0</v>
          </cell>
          <cell r="H6">
            <v>0</v>
          </cell>
          <cell r="I6">
            <v>9.708825573314801</v>
          </cell>
          <cell r="J6">
            <v>13.212765957446807</v>
          </cell>
          <cell r="K6">
            <v>10.666956521739131</v>
          </cell>
          <cell r="L6">
            <v>8.8627394080092863</v>
          </cell>
          <cell r="M6">
            <v>8.3958151700087189</v>
          </cell>
          <cell r="N6">
            <v>7.5191502094554163</v>
          </cell>
          <cell r="O6">
            <v>7.4996607869742204</v>
          </cell>
          <cell r="P6">
            <v>7.2149600580973132</v>
          </cell>
          <cell r="Q6">
            <v>6.5860215053763431</v>
          </cell>
          <cell r="R6">
            <v>6.2287208749405609</v>
          </cell>
          <cell r="S6">
            <v>7.4890254609306401</v>
          </cell>
          <cell r="T6">
            <v>7.924579914028917</v>
          </cell>
          <cell r="U6">
            <v>8.0023094688221708</v>
          </cell>
          <cell r="V6">
            <v>5.0915080527086376</v>
          </cell>
          <cell r="W6">
            <v>5.5218499999999997</v>
          </cell>
          <cell r="X6">
            <v>4.7578800000000001</v>
          </cell>
          <cell r="Y6">
            <v>5.2005309999999998</v>
          </cell>
        </row>
        <row r="7">
          <cell r="B7" t="str">
            <v>AWR</v>
          </cell>
          <cell r="C7" t="str">
            <v>Amer. States Water</v>
          </cell>
          <cell r="D7">
            <v>6</v>
          </cell>
          <cell r="E7">
            <v>6</v>
          </cell>
          <cell r="F7">
            <v>0</v>
          </cell>
          <cell r="G7">
            <v>0</v>
          </cell>
          <cell r="H7">
            <v>0</v>
          </cell>
          <cell r="I7">
            <v>20.640817765244975</v>
          </cell>
          <cell r="J7">
            <v>16.35939086294416</v>
          </cell>
          <cell r="K7">
            <v>15.338882722900481</v>
          </cell>
          <cell r="L7">
            <v>14.08508365966536</v>
          </cell>
          <cell r="M7">
            <v>11.824962518740628</v>
          </cell>
          <cell r="N7">
            <v>10.413715146948004</v>
          </cell>
          <cell r="O7">
            <v>8.1306451612903228</v>
          </cell>
          <cell r="P7">
            <v>8.0675422138836765</v>
          </cell>
          <cell r="Q7">
            <v>8.25626477541371</v>
          </cell>
          <cell r="R7">
            <v>10.087544065804936</v>
          </cell>
          <cell r="S7">
            <v>10.381376037959669</v>
          </cell>
          <cell r="T7">
            <v>11.762250453720508</v>
          </cell>
          <cell r="U7">
            <v>12.743607463718037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B8" t="str">
            <v>AWK</v>
          </cell>
          <cell r="C8" t="str">
            <v>Amer. Water Works</v>
          </cell>
          <cell r="D8">
            <v>7</v>
          </cell>
          <cell r="E8">
            <v>7</v>
          </cell>
          <cell r="F8">
            <v>0</v>
          </cell>
          <cell r="G8">
            <v>0</v>
          </cell>
          <cell r="H8">
            <v>0</v>
          </cell>
          <cell r="I8">
            <v>13.986666666666666</v>
          </cell>
          <cell r="J8">
            <v>15.644747081712064</v>
          </cell>
          <cell r="K8">
            <v>13.800418171450294</v>
          </cell>
          <cell r="L8">
            <v>10.549688230709275</v>
          </cell>
          <cell r="M8">
            <v>10.065432358510414</v>
          </cell>
          <cell r="N8">
            <v>9.4051387933012158</v>
          </cell>
          <cell r="O8">
            <v>8.2557377049180349</v>
          </cell>
          <cell r="P8">
            <v>7.735742971887551</v>
          </cell>
          <cell r="Q8">
            <v>6.2856339612032617</v>
          </cell>
          <cell r="R8">
            <v>6.769657083477659</v>
          </cell>
          <cell r="S8">
            <v>7.2631762652705056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AEE</v>
          </cell>
          <cell r="C9" t="str">
            <v xml:space="preserve">Ameren Corp.                  </v>
          </cell>
          <cell r="D9">
            <v>8</v>
          </cell>
          <cell r="E9">
            <v>8</v>
          </cell>
          <cell r="F9">
            <v>0</v>
          </cell>
          <cell r="G9">
            <v>0</v>
          </cell>
          <cell r="H9">
            <v>0</v>
          </cell>
          <cell r="I9">
            <v>7.9464659685863879</v>
          </cell>
          <cell r="J9">
            <v>8.3847736625514404</v>
          </cell>
          <cell r="K9">
            <v>7.4442757364105674</v>
          </cell>
          <cell r="L9">
            <v>6.8692219114986024</v>
          </cell>
          <cell r="M9">
            <v>6.9488734835355288</v>
          </cell>
          <cell r="N9">
            <v>6.6104440632742527</v>
          </cell>
          <cell r="O9">
            <v>5.4788012940575515</v>
          </cell>
          <cell r="P9">
            <v>5.0182158665304737</v>
          </cell>
          <cell r="Q9">
            <v>4.2268057531215426</v>
          </cell>
          <cell r="R9">
            <v>4.2504540201419845</v>
          </cell>
          <cell r="S9">
            <v>6.3536263394937107</v>
          </cell>
          <cell r="T9">
            <v>7.6877587226493196</v>
          </cell>
          <cell r="U9">
            <v>8.5713098404255312</v>
          </cell>
          <cell r="V9">
            <v>8.5745657161586362</v>
          </cell>
          <cell r="W9">
            <v>8.241695</v>
          </cell>
          <cell r="X9">
            <v>6.7395110000000003</v>
          </cell>
          <cell r="Y9">
            <v>7.9554590000000003</v>
          </cell>
        </row>
        <row r="10">
          <cell r="B10" t="str">
            <v>AEP</v>
          </cell>
          <cell r="C10" t="str">
            <v>American Electric Power</v>
          </cell>
          <cell r="D10">
            <v>5</v>
          </cell>
          <cell r="E10">
            <v>5</v>
          </cell>
          <cell r="F10">
            <v>0</v>
          </cell>
          <cell r="G10">
            <v>0</v>
          </cell>
          <cell r="H10">
            <v>0</v>
          </cell>
          <cell r="I10">
            <v>8.0250941028858218</v>
          </cell>
          <cell r="J10">
            <v>8.8058142461615923</v>
          </cell>
          <cell r="K10">
            <v>7.5706695005313502</v>
          </cell>
          <cell r="L10">
            <v>7.0949993733550567</v>
          </cell>
          <cell r="M10">
            <v>7</v>
          </cell>
          <cell r="N10">
            <v>6.5675406098603597</v>
          </cell>
          <cell r="O10">
            <v>5.9286127167630065</v>
          </cell>
          <cell r="P10">
            <v>5.4648403164371517</v>
          </cell>
          <cell r="Q10">
            <v>5.5438652256834073</v>
          </cell>
          <cell r="R10">
            <v>4.7136529030216741</v>
          </cell>
          <cell r="S10">
            <v>5.7125511995318901</v>
          </cell>
          <cell r="T10">
            <v>6.8440717858193594</v>
          </cell>
          <cell r="U10">
            <v>5.5355428914217155</v>
          </cell>
          <cell r="V10">
            <v>6.0654252642174127</v>
          </cell>
          <cell r="W10">
            <v>5.5033099999999999</v>
          </cell>
          <cell r="X10">
            <v>4.6854269999999998</v>
          </cell>
          <cell r="Y10">
            <v>5.1870079999999996</v>
          </cell>
        </row>
        <row r="11">
          <cell r="B11" t="str">
            <v>WTR</v>
          </cell>
          <cell r="C11" t="str">
            <v>Aqua America</v>
          </cell>
          <cell r="D11">
            <v>10</v>
          </cell>
          <cell r="E11">
            <v>10</v>
          </cell>
          <cell r="F11">
            <v>0</v>
          </cell>
          <cell r="G11">
            <v>0</v>
          </cell>
          <cell r="H11">
            <v>0</v>
          </cell>
          <cell r="I11">
            <v>18.493165089379602</v>
          </cell>
          <cell r="J11">
            <v>15.7204910292729</v>
          </cell>
          <cell r="K11">
            <v>15.216908212560387</v>
          </cell>
          <cell r="L11">
            <v>14.316239316239315</v>
          </cell>
          <cell r="M11">
            <v>13.202437731849496</v>
          </cell>
          <cell r="N11">
            <v>13.484632272228319</v>
          </cell>
          <cell r="O11">
            <v>12.668211920529803</v>
          </cell>
          <cell r="P11">
            <v>12.214088397790055</v>
          </cell>
          <cell r="Q11">
            <v>10.679802955665025</v>
          </cell>
          <cell r="R11">
            <v>11.07081712062257</v>
          </cell>
          <cell r="S11">
            <v>12.815140845070424</v>
          </cell>
          <cell r="T11">
            <v>16.537340619307834</v>
          </cell>
          <cell r="U11">
            <v>19.241584158415844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ATO</v>
          </cell>
          <cell r="C12" t="str">
            <v>Atmos Energy</v>
          </cell>
          <cell r="D12">
            <v>12</v>
          </cell>
          <cell r="E12">
            <v>12</v>
          </cell>
          <cell r="F12">
            <v>0</v>
          </cell>
          <cell r="G12">
            <v>0</v>
          </cell>
          <cell r="H12">
            <v>0</v>
          </cell>
          <cell r="I12">
            <v>12.018098922354239</v>
          </cell>
          <cell r="J12">
            <v>11.986249622242369</v>
          </cell>
          <cell r="K12">
            <v>11.359670382937471</v>
          </cell>
          <cell r="L12">
            <v>9.3031137106485478</v>
          </cell>
          <cell r="M12">
            <v>8.7932434927081413</v>
          </cell>
          <cell r="N12">
            <v>7.7219303366413694</v>
          </cell>
          <cell r="O12">
            <v>7.0247795044099117</v>
          </cell>
          <cell r="P12">
            <v>6.8703939008894528</v>
          </cell>
          <cell r="Q12">
            <v>6.1520051746442439</v>
          </cell>
          <cell r="R12">
            <v>5.7602611940298498</v>
          </cell>
          <cell r="S12">
            <v>6.4796088719294067</v>
          </cell>
          <cell r="T12">
            <v>7.443772672309553</v>
          </cell>
          <cell r="U12">
            <v>6.3552631578947363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AGR</v>
          </cell>
          <cell r="C13" t="str">
            <v>Avangrid, Inc.</v>
          </cell>
          <cell r="D13">
            <v>13</v>
          </cell>
          <cell r="E13">
            <v>13</v>
          </cell>
          <cell r="F13">
            <v>0</v>
          </cell>
          <cell r="G13">
            <v>0</v>
          </cell>
          <cell r="H13">
            <v>0</v>
          </cell>
          <cell r="I13">
            <v>10.235522815633313</v>
          </cell>
          <cell r="J13">
            <v>10.143461795500112</v>
          </cell>
          <cell r="K13">
            <v>8.563739974672858</v>
          </cell>
          <cell r="L13">
            <v>11.301765650080256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 t="str">
            <v>N/A</v>
          </cell>
          <cell r="T13" t="str">
            <v>N/A</v>
          </cell>
          <cell r="U13" t="str">
            <v>N/A</v>
          </cell>
          <cell r="V13" t="str">
            <v>N/A</v>
          </cell>
          <cell r="W13" t="str">
            <v>N/A</v>
          </cell>
          <cell r="X13" t="str">
            <v>N/A</v>
          </cell>
          <cell r="Y13" t="str">
            <v>N/A</v>
          </cell>
        </row>
        <row r="14">
          <cell r="B14" t="str">
            <v>AVA</v>
          </cell>
          <cell r="C14" t="str">
            <v xml:space="preserve">Avista Corp.                  </v>
          </cell>
          <cell r="D14">
            <v>14</v>
          </cell>
          <cell r="E14">
            <v>14</v>
          </cell>
          <cell r="F14">
            <v>0</v>
          </cell>
          <cell r="G14">
            <v>0</v>
          </cell>
          <cell r="H14">
            <v>0</v>
          </cell>
          <cell r="I14">
            <v>10.138495310317301</v>
          </cell>
          <cell r="J14">
            <v>9.351251538777186</v>
          </cell>
          <cell r="K14">
            <v>7.6315391879131251</v>
          </cell>
          <cell r="L14">
            <v>6.7580743449116394</v>
          </cell>
          <cell r="M14">
            <v>7.3000459136822773</v>
          </cell>
          <cell r="N14">
            <v>6.2096330275229361</v>
          </cell>
          <cell r="O14">
            <v>6.882464198865172</v>
          </cell>
          <cell r="P14">
            <v>6.404125892620999</v>
          </cell>
          <cell r="Q14">
            <v>5.8034235229155167</v>
          </cell>
          <cell r="R14">
            <v>4.0559928041376203</v>
          </cell>
          <cell r="S14">
            <v>5.1186525892408241</v>
          </cell>
          <cell r="T14">
            <v>7.5844421699078817</v>
          </cell>
          <cell r="U14">
            <v>5.2971201123858576</v>
          </cell>
          <cell r="V14">
            <v>6.582413539367181</v>
          </cell>
          <cell r="W14">
            <v>7.5796849999999996</v>
          </cell>
          <cell r="X14">
            <v>5.3602889999999999</v>
          </cell>
          <cell r="Y14">
            <v>5.8981279999999998</v>
          </cell>
        </row>
        <row r="15">
          <cell r="B15" t="str">
            <v>BKH</v>
          </cell>
          <cell r="C15" t="str">
            <v xml:space="preserve">Black Hills                   </v>
          </cell>
          <cell r="D15">
            <v>15</v>
          </cell>
          <cell r="E15">
            <v>15</v>
          </cell>
          <cell r="F15">
            <v>0</v>
          </cell>
          <cell r="G15">
            <v>0</v>
          </cell>
          <cell r="H15">
            <v>0</v>
          </cell>
          <cell r="I15">
            <v>8.8295265466646509</v>
          </cell>
          <cell r="J15">
            <v>9.202683813251328</v>
          </cell>
          <cell r="K15">
            <v>9.3268098647573581</v>
          </cell>
          <cell r="L15">
            <v>8.0614298323036184</v>
          </cell>
          <cell r="M15">
            <v>8.8062449959967974</v>
          </cell>
          <cell r="N15">
            <v>8.0283353010625742</v>
          </cell>
          <cell r="O15">
            <v>6.0373881932021476</v>
          </cell>
          <cell r="P15">
            <v>7.8482276585122319</v>
          </cell>
          <cell r="Q15">
            <v>6.1607875307629199</v>
          </cell>
          <cell r="R15">
            <v>4.2542028450027702</v>
          </cell>
          <cell r="S15">
            <v>11.257026752455131</v>
          </cell>
          <cell r="T15">
            <v>7.6150936258747874</v>
          </cell>
          <cell r="U15">
            <v>6.9166335847558544</v>
          </cell>
          <cell r="V15">
            <v>7.5738045738045745</v>
          </cell>
          <cell r="W15">
            <v>6.6870099999999999</v>
          </cell>
          <cell r="X15">
            <v>6.8855000000000004</v>
          </cell>
          <cell r="Y15">
            <v>5.9184089999999996</v>
          </cell>
        </row>
        <row r="16">
          <cell r="B16" t="str">
            <v>CWT</v>
          </cell>
          <cell r="C16" t="str">
            <v>California Water</v>
          </cell>
          <cell r="D16">
            <v>16</v>
          </cell>
          <cell r="E16">
            <v>16</v>
          </cell>
          <cell r="F16">
            <v>0</v>
          </cell>
          <cell r="G16">
            <v>0</v>
          </cell>
          <cell r="H16">
            <v>0</v>
          </cell>
          <cell r="I16">
            <v>13.25965250965251</v>
          </cell>
          <cell r="J16">
            <v>12.555518506168724</v>
          </cell>
          <cell r="K16">
            <v>12.791969243912858</v>
          </cell>
          <cell r="L16">
            <v>10.489639639639638</v>
          </cell>
          <cell r="M16">
            <v>9.4981759221726794</v>
          </cell>
          <cell r="N16">
            <v>9.2844866576209863</v>
          </cell>
          <cell r="O16">
            <v>7.8671268334771352</v>
          </cell>
          <cell r="P16">
            <v>8.8481624758220487</v>
          </cell>
          <cell r="Q16">
            <v>9.5067287784679095</v>
          </cell>
          <cell r="R16">
            <v>9.9245087900723892</v>
          </cell>
          <cell r="S16">
            <v>10.090274046211713</v>
          </cell>
          <cell r="T16">
            <v>12.511523687580025</v>
          </cell>
          <cell r="U16">
            <v>14.436256448047162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CNP</v>
          </cell>
          <cell r="C17" t="str">
            <v xml:space="preserve">CenterPoint Energy            </v>
          </cell>
          <cell r="D17">
            <v>17</v>
          </cell>
          <cell r="E17">
            <v>17</v>
          </cell>
          <cell r="F17">
            <v>0</v>
          </cell>
          <cell r="G17">
            <v>0</v>
          </cell>
          <cell r="H17">
            <v>0</v>
          </cell>
          <cell r="I17">
            <v>8.4472222222222211</v>
          </cell>
          <cell r="J17">
            <v>6.9695091720376796</v>
          </cell>
          <cell r="K17">
            <v>5.957041870581838</v>
          </cell>
          <cell r="L17">
            <v>5.7488235294117649</v>
          </cell>
          <cell r="M17">
            <v>6.2537003375746556</v>
          </cell>
          <cell r="N17">
            <v>6.5611064069997171</v>
          </cell>
          <cell r="O17">
            <v>5.1511179645335385</v>
          </cell>
          <cell r="P17">
            <v>5.3933566433566442</v>
          </cell>
          <cell r="Q17">
            <v>4.6976744186046515</v>
          </cell>
          <cell r="R17">
            <v>4.0547432845970759</v>
          </cell>
          <cell r="S17">
            <v>4.2873025160912812</v>
          </cell>
          <cell r="T17">
            <v>5.1730032419687593</v>
          </cell>
          <cell r="U17">
            <v>3.938834391229082</v>
          </cell>
          <cell r="V17">
            <v>4.698932646301067</v>
          </cell>
          <cell r="W17">
            <v>4.2561600000000004</v>
          </cell>
          <cell r="X17">
            <v>2.080613</v>
          </cell>
          <cell r="Y17">
            <v>2.1596289999999998</v>
          </cell>
        </row>
        <row r="18">
          <cell r="B18" t="str">
            <v>CHG</v>
          </cell>
          <cell r="C18" t="str">
            <v xml:space="preserve">CH Energy Group               </v>
          </cell>
          <cell r="D18" t="e">
            <v>#N/A</v>
          </cell>
          <cell r="E18" t="e">
            <v>#N/A</v>
          </cell>
          <cell r="F18">
            <v>0</v>
          </cell>
          <cell r="G18">
            <v>0</v>
          </cell>
          <cell r="H18">
            <v>0</v>
          </cell>
          <cell r="I18" t="str">
            <v>N/A</v>
          </cell>
          <cell r="J18" t="str">
            <v>N/A</v>
          </cell>
          <cell r="K18" t="str">
            <v>N/A</v>
          </cell>
          <cell r="L18" t="str">
            <v>N/A</v>
          </cell>
          <cell r="M18" t="str">
            <v>N/A</v>
          </cell>
          <cell r="N18" t="str">
            <v>N/A</v>
          </cell>
          <cell r="O18" t="str">
            <v>N/A</v>
          </cell>
          <cell r="P18" t="str">
            <v>N/A</v>
          </cell>
          <cell r="Q18" t="str">
            <v>N/A</v>
          </cell>
          <cell r="R18" t="str">
            <v>N/A</v>
          </cell>
          <cell r="S18" t="str">
            <v>N/A</v>
          </cell>
          <cell r="T18" t="str">
            <v>N/A</v>
          </cell>
          <cell r="U18" t="str">
            <v>N/A</v>
          </cell>
          <cell r="V18" t="str">
            <v>N/A</v>
          </cell>
          <cell r="W18">
            <v>9.4581719999999994</v>
          </cell>
          <cell r="X18">
            <v>8.6922759999999997</v>
          </cell>
          <cell r="Y18">
            <v>11.4496</v>
          </cell>
        </row>
        <row r="19">
          <cell r="B19" t="str">
            <v>CPK</v>
          </cell>
          <cell r="C19" t="str">
            <v>Chesapeake Utilities</v>
          </cell>
          <cell r="D19">
            <v>18</v>
          </cell>
          <cell r="E19">
            <v>18</v>
          </cell>
          <cell r="F19">
            <v>0</v>
          </cell>
          <cell r="G19">
            <v>0</v>
          </cell>
          <cell r="H19">
            <v>0</v>
          </cell>
          <cell r="I19">
            <v>12.23643111179836</v>
          </cell>
          <cell r="J19">
            <v>13.775152298320105</v>
          </cell>
          <cell r="K19">
            <v>12.061785783459229</v>
          </cell>
          <cell r="L19">
            <v>10.156175771971498</v>
          </cell>
          <cell r="M19">
            <v>9.2457179107633749</v>
          </cell>
          <cell r="N19">
            <v>8.1181880892159111</v>
          </cell>
          <cell r="O19">
            <v>7.4640870005058169</v>
          </cell>
          <cell r="P19">
            <v>7.3488876831253398</v>
          </cell>
          <cell r="Q19">
            <v>6.3584096109839816</v>
          </cell>
          <cell r="R19">
            <v>9.4753258845437625</v>
          </cell>
          <cell r="S19">
            <v>7.8808000000000007</v>
          </cell>
          <cell r="T19">
            <v>8.5781746031746042</v>
          </cell>
          <cell r="U19">
            <v>9.4022038567493116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CNL</v>
          </cell>
          <cell r="C20" t="str">
            <v xml:space="preserve">Cleco Corp.                   </v>
          </cell>
          <cell r="D20" t="e">
            <v>#N/A</v>
          </cell>
          <cell r="E20" t="e">
            <v>#N/A</v>
          </cell>
          <cell r="F20">
            <v>0</v>
          </cell>
          <cell r="G20">
            <v>0</v>
          </cell>
          <cell r="H20">
            <v>0</v>
          </cell>
          <cell r="I20" t="str">
            <v>N/A</v>
          </cell>
          <cell r="J20" t="str">
            <v>N/A</v>
          </cell>
          <cell r="K20" t="str">
            <v>N/A</v>
          </cell>
          <cell r="L20" t="str">
            <v>N/A</v>
          </cell>
          <cell r="M20" t="str">
            <v>N/A</v>
          </cell>
          <cell r="N20" t="str">
            <v>N/A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 t="str">
            <v>N/A</v>
          </cell>
          <cell r="T20" t="str">
            <v>N/A</v>
          </cell>
          <cell r="U20" t="str">
            <v>N/A</v>
          </cell>
          <cell r="V20" t="str">
            <v>N/A</v>
          </cell>
          <cell r="W20">
            <v>7.0826840000000004</v>
          </cell>
          <cell r="X20">
            <v>5.2404299999999999</v>
          </cell>
          <cell r="Y20">
            <v>6.100295</v>
          </cell>
        </row>
        <row r="21">
          <cell r="B21" t="str">
            <v>CMS</v>
          </cell>
          <cell r="C21" t="str">
            <v xml:space="preserve">CMS Energy Corp.              </v>
          </cell>
          <cell r="D21">
            <v>19</v>
          </cell>
          <cell r="E21">
            <v>19</v>
          </cell>
          <cell r="F21">
            <v>0</v>
          </cell>
          <cell r="G21">
            <v>0</v>
          </cell>
          <cell r="H21">
            <v>0</v>
          </cell>
          <cell r="I21">
            <v>8.3986811620032089</v>
          </cell>
          <cell r="J21">
            <v>8.7488178551163234</v>
          </cell>
          <cell r="K21">
            <v>8.5008200082000815</v>
          </cell>
          <cell r="L21">
            <v>7.5266710211190944</v>
          </cell>
          <cell r="M21">
            <v>7.1293225959261006</v>
          </cell>
          <cell r="N21">
            <v>6.6755358462675529</v>
          </cell>
          <cell r="O21">
            <v>6.0340225071970686</v>
          </cell>
          <cell r="P21">
            <v>5.405805038335159</v>
          </cell>
          <cell r="Q21">
            <v>4.4751485683414369</v>
          </cell>
          <cell r="R21">
            <v>3.6362849725987885</v>
          </cell>
          <cell r="S21">
            <v>3.4463641052088705</v>
          </cell>
          <cell r="T21">
            <v>5.5730045425048669</v>
          </cell>
          <cell r="U21">
            <v>4.4045919950356813</v>
          </cell>
          <cell r="V21">
            <v>4.0422863808690588</v>
          </cell>
          <cell r="W21">
            <v>3.1967210000000001</v>
          </cell>
          <cell r="X21">
            <v>2.876099</v>
          </cell>
          <cell r="Y21" t="str">
            <v>NMF</v>
          </cell>
        </row>
        <row r="22">
          <cell r="B22" t="str">
            <v>CTWS</v>
          </cell>
          <cell r="C22" t="str">
            <v>Conn. Water Services</v>
          </cell>
          <cell r="D22">
            <v>20</v>
          </cell>
          <cell r="E22">
            <v>20</v>
          </cell>
          <cell r="F22">
            <v>0</v>
          </cell>
          <cell r="G22">
            <v>0</v>
          </cell>
          <cell r="H22">
            <v>0</v>
          </cell>
          <cell r="I22">
            <v>21.781601362862009</v>
          </cell>
          <cell r="J22">
            <v>16.658018867924529</v>
          </cell>
          <cell r="K22">
            <v>14.623490338164252</v>
          </cell>
          <cell r="L22">
            <v>11.275786163522012</v>
          </cell>
          <cell r="M22">
            <v>11.319313593539704</v>
          </cell>
          <cell r="N22">
            <v>11.597185241536707</v>
          </cell>
          <cell r="O22">
            <v>11.221717744986758</v>
          </cell>
          <cell r="P22">
            <v>12.344418052256533</v>
          </cell>
          <cell r="Q22">
            <v>11.454634624816086</v>
          </cell>
          <cell r="R22">
            <v>11.330574236937403</v>
          </cell>
          <cell r="S22">
            <v>12.644398766700926</v>
          </cell>
          <cell r="T22">
            <v>12.717746182201159</v>
          </cell>
          <cell r="U22">
            <v>15.461791831357049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B23" t="str">
            <v>ED</v>
          </cell>
          <cell r="C23" t="str">
            <v xml:space="preserve">Consol. Edison                </v>
          </cell>
          <cell r="D23">
            <v>21</v>
          </cell>
          <cell r="E23">
            <v>21</v>
          </cell>
          <cell r="F23">
            <v>0</v>
          </cell>
          <cell r="G23">
            <v>0</v>
          </cell>
          <cell r="H23">
            <v>0</v>
          </cell>
          <cell r="I23">
            <v>8.7258860475549564</v>
          </cell>
          <cell r="J23">
            <v>9.6401902497027336</v>
          </cell>
          <cell r="K23">
            <v>9.3949270767279636</v>
          </cell>
          <cell r="L23">
            <v>7.963546922300706</v>
          </cell>
          <cell r="M23">
            <v>7.8885843497327679</v>
          </cell>
          <cell r="N23">
            <v>7.7697059218477236</v>
          </cell>
          <cell r="O23">
            <v>8.3131821998320738</v>
          </cell>
          <cell r="P23">
            <v>8.1457545028000613</v>
          </cell>
          <cell r="Q23">
            <v>7.3884707766212969</v>
          </cell>
          <cell r="R23">
            <v>6.7200614124872056</v>
          </cell>
          <cell r="S23">
            <v>6.8936205744822976</v>
          </cell>
          <cell r="T23">
            <v>8.3095980595980592</v>
          </cell>
          <cell r="U23">
            <v>8.6531540064406141</v>
          </cell>
          <cell r="V23">
            <v>8.5887602050503133</v>
          </cell>
          <cell r="W23">
            <v>9.3134920000000001</v>
          </cell>
          <cell r="X23">
            <v>7.8992769999999997</v>
          </cell>
          <cell r="Y23">
            <v>7.6411100000000003</v>
          </cell>
        </row>
        <row r="24">
          <cell r="B24" t="str">
            <v>CWCO</v>
          </cell>
          <cell r="C24" t="str">
            <v>Consolidated Water</v>
          </cell>
          <cell r="D24">
            <v>22</v>
          </cell>
          <cell r="E24">
            <v>22</v>
          </cell>
          <cell r="F24">
            <v>0</v>
          </cell>
          <cell r="G24">
            <v>0</v>
          </cell>
          <cell r="H24">
            <v>0</v>
          </cell>
          <cell r="I24">
            <v>11.489120974760661</v>
          </cell>
          <cell r="J24">
            <v>10.646374216651745</v>
          </cell>
          <cell r="K24">
            <v>12.681341719077569</v>
          </cell>
          <cell r="L24">
            <v>12.988776655443322</v>
          </cell>
          <cell r="M24">
            <v>14.85125</v>
          </cell>
          <cell r="N24">
            <v>12.134796238244514</v>
          </cell>
          <cell r="O24">
            <v>6.8080548414738642</v>
          </cell>
          <cell r="P24">
            <v>11.31768953068592</v>
          </cell>
          <cell r="Q24">
            <v>13.371527777777779</v>
          </cell>
          <cell r="R24">
            <v>11.934745762711865</v>
          </cell>
          <cell r="S24">
            <v>19.910432033719704</v>
          </cell>
          <cell r="T24">
            <v>23.259567387687188</v>
          </cell>
          <cell r="U24">
            <v>29.194252873563219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B25" t="str">
            <v>D</v>
          </cell>
          <cell r="C25" t="str">
            <v xml:space="preserve">Dominion Resources            </v>
          </cell>
          <cell r="D25">
            <v>24</v>
          </cell>
          <cell r="E25">
            <v>24</v>
          </cell>
          <cell r="F25">
            <v>0</v>
          </cell>
          <cell r="G25">
            <v>0</v>
          </cell>
          <cell r="H25">
            <v>0</v>
          </cell>
          <cell r="I25">
            <v>10.936699089084453</v>
          </cell>
          <cell r="J25">
            <v>11.34826736262143</v>
          </cell>
          <cell r="K25">
            <v>11.594436541804964</v>
          </cell>
          <cell r="L25">
            <v>11.837733957219251</v>
          </cell>
          <cell r="M25">
            <v>12.270753064798599</v>
          </cell>
          <cell r="N25">
            <v>10.877263581488934</v>
          </cell>
          <cell r="O25">
            <v>9.9176201372997728</v>
          </cell>
          <cell r="P25">
            <v>9.4481665014866199</v>
          </cell>
          <cell r="Q25">
            <v>8.1228207639569039</v>
          </cell>
          <cell r="R25">
            <v>6.9848421926910307</v>
          </cell>
          <cell r="S25">
            <v>8.2672192618906646</v>
          </cell>
          <cell r="T25">
            <v>8.6465262743554412</v>
          </cell>
          <cell r="U25">
            <v>7.8091649694501024</v>
          </cell>
          <cell r="V25">
            <v>10.089435287760065</v>
          </cell>
          <cell r="W25">
            <v>7.6822210000000002</v>
          </cell>
          <cell r="X25">
            <v>7.50718</v>
          </cell>
          <cell r="Y25">
            <v>6.5263039999999997</v>
          </cell>
        </row>
        <row r="26">
          <cell r="B26" t="str">
            <v>DTE</v>
          </cell>
          <cell r="C26" t="str">
            <v xml:space="preserve">DTE Energy                    </v>
          </cell>
          <cell r="D26">
            <v>25</v>
          </cell>
          <cell r="E26">
            <v>25</v>
          </cell>
          <cell r="F26">
            <v>0</v>
          </cell>
          <cell r="G26">
            <v>0</v>
          </cell>
          <cell r="H26">
            <v>0</v>
          </cell>
          <cell r="I26">
            <v>8.5355269432522647</v>
          </cell>
          <cell r="J26">
            <v>9.0492652679860708</v>
          </cell>
          <cell r="K26">
            <v>8.6420754716981136</v>
          </cell>
          <cell r="L26">
            <v>8.5202881661192933</v>
          </cell>
          <cell r="M26">
            <v>6.4158090096170071</v>
          </cell>
          <cell r="N26">
            <v>6.6529382716049383</v>
          </cell>
          <cell r="O26">
            <v>5.9124961621123733</v>
          </cell>
          <cell r="P26">
            <v>5.1828350407693913</v>
          </cell>
          <cell r="Q26">
            <v>4.6905930470347652</v>
          </cell>
          <cell r="R26">
            <v>3.5945859533198341</v>
          </cell>
          <cell r="S26">
            <v>4.8969359331476321</v>
          </cell>
          <cell r="T26">
            <v>5.7259870359457867</v>
          </cell>
          <cell r="U26">
            <v>5.2138932975216701</v>
          </cell>
          <cell r="V26">
            <v>5.5403413975193416</v>
          </cell>
          <cell r="W26">
            <v>6.0036690000000004</v>
          </cell>
          <cell r="X26">
            <v>5.6177109999999999</v>
          </cell>
          <cell r="Y26">
            <v>5.20106</v>
          </cell>
        </row>
        <row r="27">
          <cell r="B27" t="str">
            <v>DUK</v>
          </cell>
          <cell r="C27" t="str">
            <v xml:space="preserve">Duke Energy                   </v>
          </cell>
          <cell r="D27">
            <v>26</v>
          </cell>
          <cell r="E27">
            <v>26</v>
          </cell>
          <cell r="F27">
            <v>0</v>
          </cell>
          <cell r="G27">
            <v>0</v>
          </cell>
          <cell r="H27">
            <v>0</v>
          </cell>
          <cell r="I27">
            <v>7.6455611709735862</v>
          </cell>
          <cell r="J27">
            <v>8.3977828822530718</v>
          </cell>
          <cell r="K27">
            <v>8.5698913043478271</v>
          </cell>
          <cell r="L27">
            <v>7.9461702127659573</v>
          </cell>
          <cell r="M27">
            <v>8.1206366630076836</v>
          </cell>
          <cell r="N27">
            <v>8.1148632858144438</v>
          </cell>
          <cell r="O27">
            <v>9.5307443365695796</v>
          </cell>
          <cell r="P27">
            <v>6.5644009216589865</v>
          </cell>
          <cell r="Q27">
            <v>6.0090737685599809</v>
          </cell>
          <cell r="R27">
            <v>5.9555408970976256</v>
          </cell>
          <cell r="S27">
            <v>7.1315538608198281</v>
          </cell>
          <cell r="T27">
            <v>7.1623288516097201</v>
          </cell>
          <cell r="U27">
            <v>0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</row>
        <row r="28">
          <cell r="B28" t="str">
            <v>EIX</v>
          </cell>
          <cell r="C28" t="str">
            <v xml:space="preserve">Edison Int'l                  </v>
          </cell>
          <cell r="D28">
            <v>27</v>
          </cell>
          <cell r="E28">
            <v>27</v>
          </cell>
          <cell r="F28">
            <v>0</v>
          </cell>
          <cell r="G28">
            <v>0</v>
          </cell>
          <cell r="H28">
            <v>0</v>
          </cell>
          <cell r="I28">
            <v>13.461751544854039</v>
          </cell>
          <cell r="J28">
            <v>7.0462333423986943</v>
          </cell>
          <cell r="K28">
            <v>6.7719163629388071</v>
          </cell>
          <cell r="L28">
            <v>5.9209661835748788</v>
          </cell>
          <cell r="M28">
            <v>5.6784242789669381</v>
          </cell>
          <cell r="N28">
            <v>5.4568602932817996</v>
          </cell>
          <cell r="O28">
            <v>4.5871416701287906</v>
          </cell>
          <cell r="P28">
            <v>4.22358803986711</v>
          </cell>
          <cell r="Q28">
            <v>4.1089979793177225</v>
          </cell>
          <cell r="R28">
            <v>3.9531701192718138</v>
          </cell>
          <cell r="S28">
            <v>5.6253092528451267</v>
          </cell>
          <cell r="T28">
            <v>7.0055292259083721</v>
          </cell>
          <cell r="U28">
            <v>5.873293809458155</v>
          </cell>
          <cell r="V28">
            <v>5.6129401660463794</v>
          </cell>
          <cell r="W28">
            <v>6.8365840000000002</v>
          </cell>
          <cell r="X28">
            <v>2.8197589999999999</v>
          </cell>
          <cell r="Y28">
            <v>2.960502</v>
          </cell>
        </row>
        <row r="29">
          <cell r="B29" t="str">
            <v>EE</v>
          </cell>
          <cell r="C29" t="str">
            <v xml:space="preserve">El Paso Electric              </v>
          </cell>
          <cell r="D29">
            <v>28</v>
          </cell>
          <cell r="E29">
            <v>28</v>
          </cell>
          <cell r="F29">
            <v>0</v>
          </cell>
          <cell r="G29">
            <v>0</v>
          </cell>
          <cell r="H29">
            <v>0</v>
          </cell>
          <cell r="I29">
            <v>9.4327902240325869</v>
          </cell>
          <cell r="J29">
            <v>8.5396079701927761</v>
          </cell>
          <cell r="K29">
            <v>7.4615127175368148</v>
          </cell>
          <cell r="L29">
            <v>6.4707826086956519</v>
          </cell>
          <cell r="M29">
            <v>6.3323684658607178</v>
          </cell>
          <cell r="N29">
            <v>6.1883082373782115</v>
          </cell>
          <cell r="O29">
            <v>5.77813107224872</v>
          </cell>
          <cell r="P29">
            <v>5.1629752066115708</v>
          </cell>
          <cell r="Q29">
            <v>4.3062293809431402</v>
          </cell>
          <cell r="R29">
            <v>3.9808212441603148</v>
          </cell>
          <cell r="S29">
            <v>4.9475835537388804</v>
          </cell>
          <cell r="T29">
            <v>6.4357050452781364</v>
          </cell>
          <cell r="U29">
            <v>6.2486187845303869</v>
          </cell>
          <cell r="V29">
            <v>6.6677609980302037</v>
          </cell>
          <cell r="W29">
            <v>4.6549300000000002</v>
          </cell>
          <cell r="X29">
            <v>3.8985989999999999</v>
          </cell>
          <cell r="Y29">
            <v>4.3862110000000003</v>
          </cell>
        </row>
        <row r="30">
          <cell r="B30" t="str">
            <v>EDE</v>
          </cell>
          <cell r="C30" t="str">
            <v>Empire District Electric</v>
          </cell>
          <cell r="D30">
            <v>29</v>
          </cell>
          <cell r="E30">
            <v>29</v>
          </cell>
          <cell r="F30">
            <v>0</v>
          </cell>
          <cell r="G30">
            <v>0</v>
          </cell>
          <cell r="H30">
            <v>0</v>
          </cell>
          <cell r="I30" t="str">
            <v>N/A</v>
          </cell>
          <cell r="J30" t="str">
            <v>N/A</v>
          </cell>
          <cell r="K30" t="str">
            <v>N/A</v>
          </cell>
          <cell r="L30">
            <v>7.2742616033755274</v>
          </cell>
          <cell r="M30">
            <v>7.2901073397156955</v>
          </cell>
          <cell r="N30">
            <v>7.0684713375796173</v>
          </cell>
          <cell r="O30">
            <v>6.9661754855994635</v>
          </cell>
          <cell r="P30">
            <v>6.4347148644437517</v>
          </cell>
          <cell r="Q30">
            <v>6.8796068796068797</v>
          </cell>
          <cell r="R30">
            <v>6.227088700772911</v>
          </cell>
          <cell r="S30">
            <v>6.9446164430684547</v>
          </cell>
          <cell r="T30">
            <v>8.7838841440772377</v>
          </cell>
          <cell r="U30">
            <v>8.1666666666666661</v>
          </cell>
          <cell r="V30">
            <v>9.1954304365565083</v>
          </cell>
          <cell r="W30">
            <v>9.6012599999999999</v>
          </cell>
          <cell r="X30">
            <v>8.2227139999999999</v>
          </cell>
          <cell r="Y30">
            <v>7.9267190000000003</v>
          </cell>
        </row>
        <row r="31">
          <cell r="B31" t="str">
            <v>ETR</v>
          </cell>
          <cell r="C31" t="str">
            <v xml:space="preserve">Entergy Corp.                 </v>
          </cell>
          <cell r="D31">
            <v>30</v>
          </cell>
          <cell r="E31">
            <v>30</v>
          </cell>
          <cell r="F31">
            <v>0</v>
          </cell>
          <cell r="G31">
            <v>0</v>
          </cell>
          <cell r="H31">
            <v>0</v>
          </cell>
          <cell r="I31">
            <v>4.9222235693501464</v>
          </cell>
          <cell r="J31">
            <v>4.6631547440885965</v>
          </cell>
          <cell r="K31">
            <v>4.0131916257209994</v>
          </cell>
          <cell r="L31">
            <v>4.1113181972212809</v>
          </cell>
          <cell r="M31">
            <v>4.2062683865127859</v>
          </cell>
          <cell r="N31">
            <v>4.0342238089375853</v>
          </cell>
          <cell r="O31">
            <v>4.2285499718380377</v>
          </cell>
          <cell r="P31">
            <v>3.9024070271503537</v>
          </cell>
          <cell r="Q31">
            <v>4.6604172966434838</v>
          </cell>
          <cell r="R31">
            <v>5.6803883202889818</v>
          </cell>
          <cell r="S31">
            <v>7.963460046547711</v>
          </cell>
          <cell r="T31">
            <v>9.2136890555744984</v>
          </cell>
          <cell r="U31">
            <v>7.1561769381838589</v>
          </cell>
          <cell r="V31">
            <v>8.756049865558543</v>
          </cell>
          <cell r="W31">
            <v>7.1220420000000004</v>
          </cell>
          <cell r="X31">
            <v>6.8374600000000001</v>
          </cell>
          <cell r="Y31">
            <v>5.5696649999999996</v>
          </cell>
        </row>
        <row r="32">
          <cell r="B32" t="str">
            <v>ES</v>
          </cell>
          <cell r="C32" t="str">
            <v xml:space="preserve">Eversource Energy    </v>
          </cell>
          <cell r="D32">
            <v>31</v>
          </cell>
          <cell r="E32">
            <v>31</v>
          </cell>
          <cell r="F32">
            <v>0</v>
          </cell>
          <cell r="G32">
            <v>0</v>
          </cell>
          <cell r="H32">
            <v>0</v>
          </cell>
          <cell r="I32">
            <v>9.1634803552611768</v>
          </cell>
          <cell r="J32">
            <v>10.358829568788501</v>
          </cell>
          <cell r="K32">
            <v>10.136863319897397</v>
          </cell>
          <cell r="L32">
            <v>10.12006479044341</v>
          </cell>
          <cell r="M32">
            <v>10.143264589732338</v>
          </cell>
          <cell r="N32">
            <v>8.0810344827586214</v>
          </cell>
          <cell r="O32">
            <v>9.3024293505205762</v>
          </cell>
          <cell r="P32">
            <v>6.9887202625102534</v>
          </cell>
          <cell r="Q32">
            <v>4.9663495419309376</v>
          </cell>
          <cell r="R32">
            <v>4.6065739060294417</v>
          </cell>
          <cell r="S32">
            <v>4.1233165666071718</v>
          </cell>
          <cell r="T32">
            <v>6.1838174273858924</v>
          </cell>
          <cell r="U32">
            <v>6.0159934941718625</v>
          </cell>
          <cell r="V32">
            <v>3.5481033534909288</v>
          </cell>
          <cell r="W32">
            <v>3.782826</v>
          </cell>
          <cell r="X32">
            <v>2.852541</v>
          </cell>
          <cell r="Y32">
            <v>2.746715</v>
          </cell>
        </row>
        <row r="33">
          <cell r="B33" t="str">
            <v>EXC</v>
          </cell>
          <cell r="C33" t="str">
            <v xml:space="preserve">Exelon Corp.                  </v>
          </cell>
          <cell r="D33">
            <v>32</v>
          </cell>
          <cell r="E33">
            <v>32</v>
          </cell>
          <cell r="F33">
            <v>0</v>
          </cell>
          <cell r="G33">
            <v>0</v>
          </cell>
          <cell r="H33">
            <v>0</v>
          </cell>
          <cell r="I33">
            <v>5.0454931456993819</v>
          </cell>
          <cell r="J33">
            <v>4.4541218637992834</v>
          </cell>
          <cell r="K33">
            <v>4.8002855103497497</v>
          </cell>
          <cell r="L33">
            <v>4.6968092927510661</v>
          </cell>
          <cell r="M33">
            <v>5.0912668382019071</v>
          </cell>
          <cell r="N33">
            <v>4.6141263940520449</v>
          </cell>
          <cell r="O33">
            <v>5.5449591280653951</v>
          </cell>
          <cell r="P33">
            <v>5.858446226154272</v>
          </cell>
          <cell r="Q33">
            <v>5.1031373963216735</v>
          </cell>
          <cell r="R33">
            <v>5.9759912695525648</v>
          </cell>
          <cell r="S33">
            <v>9.6510805500982322</v>
          </cell>
          <cell r="T33">
            <v>9.8861066235864303</v>
          </cell>
          <cell r="U33">
            <v>8.615040953090098</v>
          </cell>
          <cell r="V33">
            <v>7.9709208400646201</v>
          </cell>
          <cell r="W33">
            <v>6.2868700000000004</v>
          </cell>
          <cell r="X33">
            <v>5.7122630000000001</v>
          </cell>
          <cell r="Y33">
            <v>4.9749699999999999</v>
          </cell>
        </row>
        <row r="34">
          <cell r="B34" t="str">
            <v>FE</v>
          </cell>
          <cell r="C34" t="str">
            <v xml:space="preserve">FirstEnergy Corp.             </v>
          </cell>
          <cell r="D34">
            <v>33</v>
          </cell>
          <cell r="E34">
            <v>33</v>
          </cell>
          <cell r="F34">
            <v>0</v>
          </cell>
          <cell r="G34">
            <v>0</v>
          </cell>
          <cell r="H34">
            <v>0</v>
          </cell>
          <cell r="I34">
            <v>8.8403213658046695</v>
          </cell>
          <cell r="J34">
            <v>4.7616572389542879</v>
          </cell>
          <cell r="K34">
            <v>5.1169805542795892</v>
          </cell>
          <cell r="L34">
            <v>5.3809072230124864</v>
          </cell>
          <cell r="M34">
            <v>7.4331868131868131</v>
          </cell>
          <cell r="N34">
            <v>6.1523325928276735</v>
          </cell>
          <cell r="O34">
            <v>7.4218698381235546</v>
          </cell>
          <cell r="P34">
            <v>7.3257918552036196</v>
          </cell>
          <cell r="Q34">
            <v>4.4901799364930026</v>
          </cell>
          <cell r="R34">
            <v>4.9147533530347811</v>
          </cell>
          <cell r="S34">
            <v>7.5785864395531464</v>
          </cell>
          <cell r="T34">
            <v>7.8850395588587867</v>
          </cell>
          <cell r="U34">
            <v>7.5272122974657245</v>
          </cell>
          <cell r="V34">
            <v>6.0413135593220346</v>
          </cell>
          <cell r="W34">
            <v>5.149756</v>
          </cell>
          <cell r="X34">
            <v>6.8987049999999996</v>
          </cell>
          <cell r="Y34">
            <v>5.104406</v>
          </cell>
        </row>
        <row r="35">
          <cell r="B35" t="str">
            <v>FTS.TO</v>
          </cell>
          <cell r="C35" t="str">
            <v>Fortis Inc.</v>
          </cell>
          <cell r="D35">
            <v>34</v>
          </cell>
          <cell r="E35">
            <v>34</v>
          </cell>
          <cell r="F35">
            <v>0</v>
          </cell>
          <cell r="G35">
            <v>0</v>
          </cell>
          <cell r="H35">
            <v>0</v>
          </cell>
          <cell r="I35">
            <v>7.9736939607261954</v>
          </cell>
          <cell r="J35">
            <v>8.2302595251242412</v>
          </cell>
          <cell r="K35">
            <v>10.455569782330347</v>
          </cell>
          <cell r="L35">
            <v>7.2851937092443411</v>
          </cell>
          <cell r="M35">
            <v>9.2506210322936795</v>
          </cell>
          <cell r="N35">
            <v>7.9295980511571251</v>
          </cell>
          <cell r="O35">
            <v>8.0921277114306598</v>
          </cell>
          <cell r="P35">
            <v>8.3779144248014337</v>
          </cell>
          <cell r="Q35">
            <v>7.4047678795483058</v>
          </cell>
          <cell r="R35">
            <v>6.7606019151846795</v>
          </cell>
          <cell r="S35">
            <v>7.5814550641940093</v>
          </cell>
          <cell r="T35">
            <v>9.183935200809989</v>
          </cell>
          <cell r="U35">
            <v>7.8926108374384238</v>
          </cell>
          <cell r="V35" t="str">
            <v>N/A</v>
          </cell>
          <cell r="W35" t="str">
            <v>N/A</v>
          </cell>
          <cell r="X35" t="str">
            <v>N/A</v>
          </cell>
          <cell r="Y35" t="str">
            <v>N/A</v>
          </cell>
        </row>
        <row r="36">
          <cell r="B36" t="str">
            <v>FPL</v>
          </cell>
          <cell r="C36" t="str">
            <v xml:space="preserve">FPL Group                     </v>
          </cell>
          <cell r="D36" t="e">
            <v>#N/A</v>
          </cell>
          <cell r="E36" t="e">
            <v>#N/A</v>
          </cell>
          <cell r="F36">
            <v>0</v>
          </cell>
          <cell r="G36">
            <v>0</v>
          </cell>
          <cell r="H36">
            <v>0</v>
          </cell>
          <cell r="I36" t="str">
            <v>N/A</v>
          </cell>
          <cell r="J36" t="str">
            <v>N/A</v>
          </cell>
          <cell r="K36" t="str">
            <v>N/A</v>
          </cell>
          <cell r="L36" t="str">
            <v>N/A</v>
          </cell>
          <cell r="M36" t="str">
            <v>N/A</v>
          </cell>
          <cell r="N36" t="str">
            <v>N/A</v>
          </cell>
          <cell r="O36" t="str">
            <v>N/A</v>
          </cell>
          <cell r="P36" t="str">
            <v>N/A</v>
          </cell>
          <cell r="Q36" t="str">
            <v>N/A</v>
          </cell>
          <cell r="R36" t="str">
            <v>N/A</v>
          </cell>
          <cell r="S36" t="str">
            <v>N/A</v>
          </cell>
          <cell r="T36" t="str">
            <v>N/A</v>
          </cell>
          <cell r="U36" t="str">
            <v>N/A</v>
          </cell>
          <cell r="V36" t="str">
            <v>N/A</v>
          </cell>
          <cell r="W36">
            <v>5.974291</v>
          </cell>
          <cell r="X36">
            <v>5.7684699999999998</v>
          </cell>
          <cell r="Y36">
            <v>6.3455389999999996</v>
          </cell>
        </row>
        <row r="37">
          <cell r="B37" t="str">
            <v>GXP</v>
          </cell>
          <cell r="C37" t="str">
            <v xml:space="preserve">Great Plains Energy             </v>
          </cell>
          <cell r="D37">
            <v>36</v>
          </cell>
          <cell r="E37">
            <v>36</v>
          </cell>
          <cell r="F37">
            <v>0</v>
          </cell>
          <cell r="G37">
            <v>0</v>
          </cell>
          <cell r="H37">
            <v>0</v>
          </cell>
          <cell r="I37" t="str">
            <v>N/A</v>
          </cell>
          <cell r="J37">
            <v>14.61904761904762</v>
          </cell>
          <cell r="K37">
            <v>8.628614008941879</v>
          </cell>
          <cell r="L37">
            <v>6.66273229532898</v>
          </cell>
          <cell r="M37">
            <v>6.4499875280618602</v>
          </cell>
          <cell r="N37">
            <v>5.7326016462958336</v>
          </cell>
          <cell r="O37">
            <v>6.087373004354137</v>
          </cell>
          <cell r="P37">
            <v>5.7353276353276357</v>
          </cell>
          <cell r="Q37">
            <v>4.491504854368932</v>
          </cell>
          <cell r="R37">
            <v>5.0578866768759569</v>
          </cell>
          <cell r="S37">
            <v>7.7057872615583571</v>
          </cell>
          <cell r="T37">
            <v>7.132783018867924</v>
          </cell>
          <cell r="U37">
            <v>7.6797927461139892</v>
          </cell>
          <cell r="V37">
            <v>6.6982834507042259</v>
          </cell>
          <cell r="W37">
            <v>6.5216839999999996</v>
          </cell>
          <cell r="X37">
            <v>5.9151930000000004</v>
          </cell>
          <cell r="Y37">
            <v>5.1369210000000001</v>
          </cell>
        </row>
        <row r="38">
          <cell r="B38" t="str">
            <v>HE</v>
          </cell>
          <cell r="C38" t="str">
            <v xml:space="preserve">Hawaiian Elec.                </v>
          </cell>
          <cell r="D38">
            <v>37</v>
          </cell>
          <cell r="E38">
            <v>37</v>
          </cell>
          <cell r="F38">
            <v>0</v>
          </cell>
          <cell r="G38">
            <v>0</v>
          </cell>
          <cell r="H38">
            <v>0</v>
          </cell>
          <cell r="I38">
            <v>8.3430135681980495</v>
          </cell>
          <cell r="J38">
            <v>9.2144990496877544</v>
          </cell>
          <cell r="K38">
            <v>7.441035474592522</v>
          </cell>
          <cell r="L38">
            <v>9.2515114873035067</v>
          </cell>
          <cell r="M38">
            <v>7.6423122065727709</v>
          </cell>
          <cell r="N38">
            <v>8.1517690875232773</v>
          </cell>
          <cell r="O38">
            <v>8.0463132236441197</v>
          </cell>
          <cell r="P38">
            <v>7.731385485391141</v>
          </cell>
          <cell r="Q38">
            <v>7.8093750000000002</v>
          </cell>
          <cell r="R38">
            <v>6.9490544191431871</v>
          </cell>
          <cell r="S38">
            <v>9.104335047759001</v>
          </cell>
          <cell r="T38">
            <v>7.945255474452555</v>
          </cell>
          <cell r="U38">
            <v>8.473205891570041</v>
          </cell>
          <cell r="V38">
            <v>8.290553138595401</v>
          </cell>
          <cell r="W38">
            <v>8.4448039999999995</v>
          </cell>
          <cell r="X38">
            <v>6.1214690000000003</v>
          </cell>
          <cell r="Y38">
            <v>6.1993749999999999</v>
          </cell>
        </row>
        <row r="39">
          <cell r="B39" t="str">
            <v>IDA</v>
          </cell>
          <cell r="C39" t="str">
            <v xml:space="preserve">IDACORP, Inc.                 </v>
          </cell>
          <cell r="D39">
            <v>38</v>
          </cell>
          <cell r="E39">
            <v>38</v>
          </cell>
          <cell r="F39">
            <v>0</v>
          </cell>
          <cell r="G39">
            <v>0</v>
          </cell>
          <cell r="H39">
            <v>0</v>
          </cell>
          <cell r="I39">
            <v>11.724146714212941</v>
          </cell>
          <cell r="J39">
            <v>11.557702558635395</v>
          </cell>
          <cell r="K39">
            <v>10.952019833746537</v>
          </cell>
          <cell r="L39">
            <v>9.3677611940298515</v>
          </cell>
          <cell r="M39">
            <v>8.5856143552311437</v>
          </cell>
          <cell r="N39">
            <v>7.7771247021445591</v>
          </cell>
          <cell r="O39">
            <v>7.0498988536749829</v>
          </cell>
          <cell r="P39">
            <v>6.6411925976696367</v>
          </cell>
          <cell r="Q39">
            <v>6.5214953271028042</v>
          </cell>
          <cell r="R39">
            <v>5.3067218608318543</v>
          </cell>
          <cell r="S39">
            <v>7.104376316405336</v>
          </cell>
          <cell r="T39">
            <v>8.2275711159737419</v>
          </cell>
          <cell r="U39">
            <v>7.7289393278044525</v>
          </cell>
          <cell r="V39">
            <v>7.5475206611570247</v>
          </cell>
          <cell r="W39">
            <v>7.1459450000000002</v>
          </cell>
          <cell r="X39">
            <v>7.2654870000000003</v>
          </cell>
          <cell r="Y39">
            <v>7.5333009999999998</v>
          </cell>
        </row>
        <row r="40">
          <cell r="B40" t="str">
            <v>TEG</v>
          </cell>
          <cell r="C40" t="str">
            <v xml:space="preserve">Integrys Energy               </v>
          </cell>
          <cell r="D40" t="e">
            <v>#N/A</v>
          </cell>
          <cell r="E40" t="e">
            <v>#N/A</v>
          </cell>
          <cell r="F40">
            <v>0</v>
          </cell>
          <cell r="G40">
            <v>0</v>
          </cell>
          <cell r="H40">
            <v>0</v>
          </cell>
          <cell r="I40" t="str">
            <v>N/A</v>
          </cell>
          <cell r="J40" t="str">
            <v>N/A</v>
          </cell>
          <cell r="K40" t="str">
            <v>N/A</v>
          </cell>
          <cell r="L40" t="str">
            <v>N/A</v>
          </cell>
          <cell r="M40" t="str">
            <v>N/A</v>
          </cell>
          <cell r="N40" t="str">
            <v>N/A</v>
          </cell>
          <cell r="O40" t="str">
            <v>N/A</v>
          </cell>
          <cell r="P40" t="str">
            <v>N/A</v>
          </cell>
          <cell r="Q40" t="str">
            <v>N/A</v>
          </cell>
          <cell r="R40" t="str">
            <v>N/A</v>
          </cell>
          <cell r="S40" t="str">
            <v>N/A</v>
          </cell>
          <cell r="T40" t="str">
            <v>N/A</v>
          </cell>
          <cell r="U40" t="str">
            <v>N/A</v>
          </cell>
          <cell r="V40" t="str">
            <v>N/A</v>
          </cell>
          <cell r="W40">
            <v>6.7337059999999997</v>
          </cell>
          <cell r="X40">
            <v>6.5950199999999999</v>
          </cell>
          <cell r="Y40">
            <v>6.4653359999999997</v>
          </cell>
        </row>
        <row r="41">
          <cell r="B41" t="str">
            <v>ITC</v>
          </cell>
          <cell r="C41" t="str">
            <v>ITC Holdings</v>
          </cell>
          <cell r="D41" t="e">
            <v>#N/A</v>
          </cell>
          <cell r="E41" t="e">
            <v>#N/A</v>
          </cell>
          <cell r="F41">
            <v>0</v>
          </cell>
          <cell r="G41">
            <v>0</v>
          </cell>
          <cell r="H41">
            <v>0</v>
          </cell>
          <cell r="I41" t="str">
            <v>N/A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  <cell r="P41" t="str">
            <v>N/A</v>
          </cell>
          <cell r="Q41" t="str">
            <v>N/A</v>
          </cell>
          <cell r="R41" t="str">
            <v>N/A</v>
          </cell>
          <cell r="S41" t="str">
            <v>N/A</v>
          </cell>
          <cell r="T41" t="str">
            <v>N/A</v>
          </cell>
          <cell r="U41" t="str">
            <v>N/A</v>
          </cell>
          <cell r="V41">
            <v>13.66813509544787</v>
          </cell>
          <cell r="W41" t="str">
            <v>N/A</v>
          </cell>
          <cell r="X41" t="str">
            <v>N/A</v>
          </cell>
          <cell r="Y41" t="str">
            <v>N/A</v>
          </cell>
        </row>
        <row r="42">
          <cell r="B42" t="str">
            <v>MDU</v>
          </cell>
          <cell r="C42" t="str">
            <v xml:space="preserve">MDU Resources                 </v>
          </cell>
          <cell r="D42" t="e">
            <v>#N/A</v>
          </cell>
          <cell r="E42" t="e">
            <v>#N/A</v>
          </cell>
          <cell r="F42">
            <v>0</v>
          </cell>
          <cell r="G42">
            <v>0</v>
          </cell>
          <cell r="H42">
            <v>0</v>
          </cell>
          <cell r="I42" t="str">
            <v>N/A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N/A</v>
          </cell>
          <cell r="Q42" t="str">
            <v>N/A</v>
          </cell>
          <cell r="R42" t="str">
            <v>N/A</v>
          </cell>
          <cell r="S42" t="str">
            <v>N/A</v>
          </cell>
          <cell r="T42" t="str">
            <v>N/A</v>
          </cell>
          <cell r="U42" t="str">
            <v>N/A</v>
          </cell>
          <cell r="V42">
            <v>7.1101179835538071</v>
          </cell>
          <cell r="W42">
            <v>6.9013080000000002</v>
          </cell>
          <cell r="X42">
            <v>6.4263430000000001</v>
          </cell>
          <cell r="Y42">
            <v>6.7717580000000002</v>
          </cell>
        </row>
        <row r="43">
          <cell r="B43" t="str">
            <v>MGEE</v>
          </cell>
          <cell r="C43" t="str">
            <v xml:space="preserve">MGE Energy                    </v>
          </cell>
          <cell r="D43">
            <v>39</v>
          </cell>
          <cell r="E43">
            <v>39</v>
          </cell>
          <cell r="F43">
            <v>0</v>
          </cell>
          <cell r="G43">
            <v>0</v>
          </cell>
          <cell r="H43">
            <v>0</v>
          </cell>
          <cell r="I43">
            <v>15.041902883904362</v>
          </cell>
          <cell r="J43">
            <v>17.333870101986044</v>
          </cell>
          <cell r="K43">
            <v>15.659071243149697</v>
          </cell>
          <cell r="L43">
            <v>12.529994001199759</v>
          </cell>
          <cell r="M43">
            <v>11.424520194786595</v>
          </cell>
          <cell r="N43">
            <v>11.201158183480645</v>
          </cell>
          <cell r="O43">
            <v>10.772773109243698</v>
          </cell>
          <cell r="P43">
            <v>9.4788972089857033</v>
          </cell>
          <cell r="Q43">
            <v>9.0492932221819498</v>
          </cell>
          <cell r="R43">
            <v>8.3960843373493983</v>
          </cell>
          <cell r="S43">
            <v>8.4240388204553955</v>
          </cell>
          <cell r="T43">
            <v>9.2263307598537185</v>
          </cell>
          <cell r="U43">
            <v>9.3011945392491473</v>
          </cell>
          <cell r="V43">
            <v>11.727</v>
          </cell>
          <cell r="W43">
            <v>11.044409999999999</v>
          </cell>
          <cell r="X43">
            <v>10.19708</v>
          </cell>
          <cell r="Y43">
            <v>8.0936369999999993</v>
          </cell>
        </row>
        <row r="44">
          <cell r="B44" t="str">
            <v>MSEX</v>
          </cell>
          <cell r="C44" t="str">
            <v>Middlesex Water</v>
          </cell>
          <cell r="D44">
            <v>40</v>
          </cell>
          <cell r="E44">
            <v>40</v>
          </cell>
          <cell r="F44">
            <v>0</v>
          </cell>
          <cell r="G44">
            <v>0</v>
          </cell>
          <cell r="H44">
            <v>0</v>
          </cell>
          <cell r="I44">
            <v>15.061330561330561</v>
          </cell>
          <cell r="J44">
            <v>17.511399195350915</v>
          </cell>
          <cell r="K44">
            <v>16.293738489871085</v>
          </cell>
          <cell r="L44">
            <v>11.846544715447155</v>
          </cell>
          <cell r="M44">
            <v>11.328633405639913</v>
          </cell>
          <cell r="N44">
            <v>11.81315483119907</v>
          </cell>
          <cell r="O44">
            <v>12.055305466237941</v>
          </cell>
          <cell r="P44">
            <v>12.46584699453552</v>
          </cell>
          <cell r="Q44">
            <v>11.051712992889465</v>
          </cell>
          <cell r="R44">
            <v>10.777777777777779</v>
          </cell>
          <cell r="S44">
            <v>11.509470934030045</v>
          </cell>
          <cell r="T44">
            <v>12.580040187541861</v>
          </cell>
          <cell r="U44">
            <v>13.97524381095274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B45" t="str">
            <v>NJR</v>
          </cell>
          <cell r="C45" t="str">
            <v>New Jersey Resources</v>
          </cell>
          <cell r="D45">
            <v>41</v>
          </cell>
          <cell r="E45">
            <v>41</v>
          </cell>
          <cell r="F45">
            <v>0</v>
          </cell>
          <cell r="G45">
            <v>0</v>
          </cell>
          <cell r="H45">
            <v>0</v>
          </cell>
          <cell r="I45">
            <v>11.437096774193547</v>
          </cell>
          <cell r="J45">
            <v>14.450167973124302</v>
          </cell>
          <cell r="K45">
            <v>13.936048879837067</v>
          </cell>
          <cell r="L45">
            <v>11.711287128712872</v>
          </cell>
          <cell r="M45">
            <v>8.9486615328199495</v>
          </cell>
          <cell r="N45">
            <v>11.286601138127264</v>
          </cell>
          <cell r="O45">
            <v>12.292722371967656</v>
          </cell>
          <cell r="P45">
            <v>12.714117647058824</v>
          </cell>
          <cell r="Q45">
            <v>11.320638820638822</v>
          </cell>
          <cell r="R45">
            <v>11.342621912602914</v>
          </cell>
          <cell r="S45">
            <v>9.1496410822749858</v>
          </cell>
          <cell r="T45">
            <v>13.763934426229509</v>
          </cell>
          <cell r="U45">
            <v>11.00585223116313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B46" t="str">
            <v>NEE</v>
          </cell>
          <cell r="C46" t="str">
            <v>NextEra Energy, Inc.</v>
          </cell>
          <cell r="D46">
            <v>42</v>
          </cell>
          <cell r="E46">
            <v>42</v>
          </cell>
          <cell r="F46">
            <v>0</v>
          </cell>
          <cell r="G46">
            <v>0</v>
          </cell>
          <cell r="H46">
            <v>0</v>
          </cell>
          <cell r="I46">
            <v>10.762784645413143</v>
          </cell>
          <cell r="J46">
            <v>11.621985464155928</v>
          </cell>
          <cell r="K46">
            <v>9.229915188897456</v>
          </cell>
          <cell r="L46">
            <v>7.9253754451153426</v>
          </cell>
          <cell r="M46">
            <v>7.9842174847132705</v>
          </cell>
          <cell r="N46">
            <v>7.5967160212604412</v>
          </cell>
          <cell r="O46">
            <v>7.5773658761224949</v>
          </cell>
          <cell r="P46">
            <v>5.9845011301259277</v>
          </cell>
          <cell r="Q46">
            <v>5.33489242282507</v>
          </cell>
          <cell r="R46">
            <v>6.0868571428571423</v>
          </cell>
          <cell r="S46">
            <v>7.3440069773236978</v>
          </cell>
          <cell r="T46">
            <v>9.0182428488032684</v>
          </cell>
          <cell r="U46">
            <v>6.5145516324420152</v>
          </cell>
          <cell r="V46">
            <v>6.7148405890920859</v>
          </cell>
          <cell r="W46">
            <v>6.7148405890920859</v>
          </cell>
          <cell r="X46">
            <v>5.9742903053026248</v>
          </cell>
          <cell r="Y46">
            <v>5.7684701492537309</v>
          </cell>
        </row>
        <row r="47">
          <cell r="B47" t="str">
            <v>NI</v>
          </cell>
          <cell r="C47" t="str">
            <v xml:space="preserve">NiSource Inc.                 </v>
          </cell>
          <cell r="D47">
            <v>43</v>
          </cell>
          <cell r="E47">
            <v>43</v>
          </cell>
          <cell r="F47">
            <v>0</v>
          </cell>
          <cell r="G47">
            <v>0</v>
          </cell>
          <cell r="H47">
            <v>0</v>
          </cell>
          <cell r="I47">
            <v>8.9075451647183854</v>
          </cell>
          <cell r="J47">
            <v>12.109932497589201</v>
          </cell>
          <cell r="K47">
            <v>8.5609305760709002</v>
          </cell>
          <cell r="L47">
            <v>10.381288614298324</v>
          </cell>
          <cell r="M47">
            <v>10.564394993045896</v>
          </cell>
          <cell r="N47">
            <v>8.7092511013215859</v>
          </cell>
          <cell r="O47">
            <v>7.8117421825143589</v>
          </cell>
          <cell r="P47">
            <v>6.8133378016085793</v>
          </cell>
          <cell r="Q47">
            <v>5.0931034482758619</v>
          </cell>
          <cell r="R47">
            <v>4.0637867026662171</v>
          </cell>
          <cell r="S47">
            <v>4.8725135623869802</v>
          </cell>
          <cell r="T47">
            <v>6.6947565543071157</v>
          </cell>
          <cell r="U47">
            <v>6.866394215655454</v>
          </cell>
          <cell r="V47">
            <v>7.3603689567430015</v>
          </cell>
          <cell r="W47">
            <v>6.0803339999999997</v>
          </cell>
          <cell r="X47">
            <v>5.6005190000000002</v>
          </cell>
          <cell r="Y47">
            <v>5.2161540000000004</v>
          </cell>
        </row>
        <row r="48">
          <cell r="B48" t="str">
            <v>NWN</v>
          </cell>
          <cell r="C48" t="str">
            <v>Northwest Nat. Gas</v>
          </cell>
          <cell r="D48">
            <v>44</v>
          </cell>
          <cell r="E48">
            <v>44</v>
          </cell>
          <cell r="F48">
            <v>0</v>
          </cell>
          <cell r="G48">
            <v>0</v>
          </cell>
          <cell r="H48">
            <v>0</v>
          </cell>
          <cell r="I48">
            <v>11.754498958136011</v>
          </cell>
          <cell r="J48">
            <v>59.719769673704413</v>
          </cell>
          <cell r="K48">
            <v>11.574934090448185</v>
          </cell>
          <cell r="L48">
            <v>9.4593603585251582</v>
          </cell>
          <cell r="M48">
            <v>8.8426988523941432</v>
          </cell>
          <cell r="N48">
            <v>8.6148045247072833</v>
          </cell>
          <cell r="O48">
            <v>9.4791329011345216</v>
          </cell>
          <cell r="P48">
            <v>9.0817182817182829</v>
          </cell>
          <cell r="Q48">
            <v>8.9357762777242051</v>
          </cell>
          <cell r="R48">
            <v>8.2592806308905562</v>
          </cell>
          <cell r="S48">
            <v>8.7531562087808545</v>
          </cell>
          <cell r="T48">
            <v>8.5409502680717324</v>
          </cell>
          <cell r="U48">
            <v>7.8252100840336132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B49" t="str">
            <v>NWE</v>
          </cell>
          <cell r="C49" t="str">
            <v xml:space="preserve">NorthWestern Corp             </v>
          </cell>
          <cell r="D49">
            <v>45</v>
          </cell>
          <cell r="E49">
            <v>45</v>
          </cell>
          <cell r="F49">
            <v>0</v>
          </cell>
          <cell r="G49">
            <v>0</v>
          </cell>
          <cell r="H49">
            <v>0</v>
          </cell>
          <cell r="I49">
            <v>8.1941370886621652</v>
          </cell>
          <cell r="J49">
            <v>8.8209264466479205</v>
          </cell>
          <cell r="K49">
            <v>8.647914502003859</v>
          </cell>
          <cell r="L49">
            <v>8.9886900742741389</v>
          </cell>
          <cell r="M49">
            <v>9.0096510764662217</v>
          </cell>
          <cell r="N49">
            <v>7.607300073367572</v>
          </cell>
          <cell r="O49">
            <v>6.8546893091470471</v>
          </cell>
          <cell r="P49">
            <v>5.8909795240730487</v>
          </cell>
          <cell r="Q49">
            <v>5.7926112510495376</v>
          </cell>
          <cell r="R49">
            <v>5.0469900389779117</v>
          </cell>
          <cell r="S49">
            <v>5.5741539859186924</v>
          </cell>
          <cell r="T49">
            <v>8.4497840172786169</v>
          </cell>
          <cell r="U49">
            <v>9.3943078198397334</v>
          </cell>
          <cell r="V49">
            <v>7.3119839879909936</v>
          </cell>
          <cell r="W49">
            <v>8.1297280000000001</v>
          </cell>
          <cell r="X49" t="str">
            <v>N/A</v>
          </cell>
          <cell r="Y49" t="str">
            <v>N/A</v>
          </cell>
        </row>
        <row r="50">
          <cell r="B50" t="str">
            <v>OGE</v>
          </cell>
          <cell r="C50" t="str">
            <v xml:space="preserve">OGE Energy                    </v>
          </cell>
          <cell r="D50">
            <v>46</v>
          </cell>
          <cell r="E50">
            <v>46</v>
          </cell>
          <cell r="F50">
            <v>0</v>
          </cell>
          <cell r="G50">
            <v>0</v>
          </cell>
          <cell r="H50">
            <v>0</v>
          </cell>
          <cell r="I50">
            <v>9.3646083934776794</v>
          </cell>
          <cell r="J50">
            <v>10.520334928229666</v>
          </cell>
          <cell r="K50">
            <v>9.0299184043517666</v>
          </cell>
          <cell r="L50">
            <v>9.2496905940594054</v>
          </cell>
          <cell r="M50">
            <v>10.649587750294463</v>
          </cell>
          <cell r="N50">
            <v>9.9288400347121772</v>
          </cell>
          <cell r="O50">
            <v>7.3460601137286758</v>
          </cell>
          <cell r="P50">
            <v>7.4802293993359488</v>
          </cell>
          <cell r="Q50">
            <v>6.6104284290933242</v>
          </cell>
          <cell r="R50">
            <v>5.3664804469273744</v>
          </cell>
          <cell r="S50">
            <v>6.4339858392336531</v>
          </cell>
          <cell r="T50">
            <v>7.5818713450292394</v>
          </cell>
          <cell r="U50">
            <v>7.498657117278424</v>
          </cell>
          <cell r="V50">
            <v>7.0365226337448563</v>
          </cell>
          <cell r="W50">
            <v>6.7290000000000001</v>
          </cell>
          <cell r="X50">
            <v>5.6171150000000001</v>
          </cell>
          <cell r="Y50">
            <v>5.3884740000000004</v>
          </cell>
        </row>
        <row r="51">
          <cell r="B51" t="str">
            <v>OGS</v>
          </cell>
          <cell r="C51" t="str">
            <v>ONE Gas Inc.</v>
          </cell>
          <cell r="D51">
            <v>47</v>
          </cell>
          <cell r="E51">
            <v>47</v>
          </cell>
          <cell r="F51">
            <v>0</v>
          </cell>
          <cell r="G51">
            <v>0</v>
          </cell>
          <cell r="H51">
            <v>0</v>
          </cell>
          <cell r="I51">
            <v>11.853685542549824</v>
          </cell>
          <cell r="J51">
            <v>11.890100671140939</v>
          </cell>
          <cell r="K51">
            <v>11.095010127048425</v>
          </cell>
          <cell r="L51">
            <v>9.1913746630727751</v>
          </cell>
          <cell r="M51">
            <v>8.1605484298982756</v>
          </cell>
          <cell r="N51" t="str">
            <v>N/A</v>
          </cell>
          <cell r="O51" t="str">
            <v>N/A</v>
          </cell>
          <cell r="P51" t="str">
            <v>N/A</v>
          </cell>
          <cell r="Q51" t="str">
            <v>N/A</v>
          </cell>
          <cell r="R51" t="str">
            <v>N/A</v>
          </cell>
          <cell r="S51" t="str">
            <v>N/A</v>
          </cell>
          <cell r="T51" t="str">
            <v>N/A</v>
          </cell>
          <cell r="U51" t="str">
            <v>N/A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 t="str">
            <v>OTTR</v>
          </cell>
          <cell r="C52" t="str">
            <v xml:space="preserve">Otter Tail Corp.              </v>
          </cell>
          <cell r="D52">
            <v>48</v>
          </cell>
          <cell r="E52">
            <v>48</v>
          </cell>
          <cell r="F52">
            <v>0</v>
          </cell>
          <cell r="G52">
            <v>0</v>
          </cell>
          <cell r="H52">
            <v>0</v>
          </cell>
          <cell r="I52">
            <v>11.578069732187974</v>
          </cell>
          <cell r="J52">
            <v>11.088084301540125</v>
          </cell>
          <cell r="K52">
            <v>9.3839674702294502</v>
          </cell>
          <cell r="L52">
            <v>9.0356460852959906</v>
          </cell>
          <cell r="M52">
            <v>9.4525736484299134</v>
          </cell>
          <cell r="N52">
            <v>9.5807947019867559</v>
          </cell>
          <cell r="O52">
            <v>8.430047988187523</v>
          </cell>
          <cell r="P52">
            <v>9.03849407783418</v>
          </cell>
          <cell r="Q52">
            <v>8.0651001540832059</v>
          </cell>
          <cell r="R52">
            <v>8.0097755249818974</v>
          </cell>
          <cell r="S52">
            <v>11.65457132692992</v>
          </cell>
          <cell r="T52">
            <v>9.5285674078243723</v>
          </cell>
          <cell r="U52">
            <v>8.6563330380868013</v>
          </cell>
          <cell r="V52">
            <v>8.1753653444676395</v>
          </cell>
          <cell r="W52">
            <v>9.0128249999999994</v>
          </cell>
          <cell r="X52">
            <v>8.1296970000000002</v>
          </cell>
          <cell r="Y52">
            <v>8.3335279999999994</v>
          </cell>
        </row>
        <row r="53">
          <cell r="B53" t="str">
            <v>POM</v>
          </cell>
          <cell r="C53" t="str">
            <v xml:space="preserve">Pepco Holdings                </v>
          </cell>
          <cell r="D53" t="e">
            <v>#N/A</v>
          </cell>
          <cell r="E53" t="e">
            <v>#N/A</v>
          </cell>
          <cell r="F53">
            <v>0</v>
          </cell>
          <cell r="G53">
            <v>0</v>
          </cell>
          <cell r="H53">
            <v>0</v>
          </cell>
          <cell r="I53" t="str">
            <v>N/A</v>
          </cell>
          <cell r="J53" t="str">
            <v>N/A</v>
          </cell>
          <cell r="K53" t="str">
            <v>N/A</v>
          </cell>
          <cell r="L53" t="str">
            <v>N/A</v>
          </cell>
          <cell r="M53" t="str">
            <v>N/A</v>
          </cell>
          <cell r="N53" t="str">
            <v>N/A</v>
          </cell>
          <cell r="O53" t="str">
            <v>N/A</v>
          </cell>
          <cell r="P53" t="str">
            <v>N/A</v>
          </cell>
          <cell r="Q53" t="str">
            <v>N/A</v>
          </cell>
          <cell r="R53" t="str">
            <v>N/A</v>
          </cell>
          <cell r="S53" t="str">
            <v>N/A</v>
          </cell>
          <cell r="T53" t="str">
            <v>N/A</v>
          </cell>
          <cell r="U53" t="str">
            <v>N/A</v>
          </cell>
          <cell r="V53" t="str">
            <v>N/A</v>
          </cell>
          <cell r="W53">
            <v>5.3380929999999998</v>
          </cell>
          <cell r="X53">
            <v>4.7405369999999998</v>
          </cell>
          <cell r="Y53">
            <v>6.4597629999999997</v>
          </cell>
        </row>
        <row r="54">
          <cell r="B54" t="str">
            <v>PCG</v>
          </cell>
          <cell r="C54" t="str">
            <v xml:space="preserve">PG&amp;E Corp.                    </v>
          </cell>
          <cell r="D54">
            <v>49</v>
          </cell>
          <cell r="E54">
            <v>49</v>
          </cell>
          <cell r="F54">
            <v>0</v>
          </cell>
          <cell r="G54">
            <v>0</v>
          </cell>
          <cell r="H54">
            <v>0</v>
          </cell>
          <cell r="I54">
            <v>-5.6531143052703632</v>
          </cell>
          <cell r="J54">
            <v>7.085622507753655</v>
          </cell>
          <cell r="K54">
            <v>7.2637589600291577</v>
          </cell>
          <cell r="L54">
            <v>7.2443743139407237</v>
          </cell>
          <cell r="M54">
            <v>5.6468634686346855</v>
          </cell>
          <cell r="N54">
            <v>6.8407834465329325</v>
          </cell>
          <cell r="O54">
            <v>5.8574357572443958</v>
          </cell>
          <cell r="P54">
            <v>5.3151515151515145</v>
          </cell>
          <cell r="Q54">
            <v>5.4195549069682594</v>
          </cell>
          <cell r="R54">
            <v>4.7112465638819163</v>
          </cell>
          <cell r="S54">
            <v>4.6108543666311173</v>
          </cell>
          <cell r="T54">
            <v>5.8399002493765586</v>
          </cell>
          <cell r="U54">
            <v>5.2815884476534292</v>
          </cell>
          <cell r="V54">
            <v>5.069493191071178</v>
          </cell>
          <cell r="W54">
            <v>5.1284159999999996</v>
          </cell>
          <cell r="X54">
            <v>4.0549770000000001</v>
          </cell>
          <cell r="Y54">
            <v>14.685969999999999</v>
          </cell>
        </row>
        <row r="55">
          <cell r="B55" t="str">
            <v>PNW</v>
          </cell>
          <cell r="C55" t="str">
            <v xml:space="preserve">Pinnacle West Capital         </v>
          </cell>
          <cell r="D55">
            <v>50</v>
          </cell>
          <cell r="E55">
            <v>50</v>
          </cell>
          <cell r="F55">
            <v>0</v>
          </cell>
          <cell r="G55">
            <v>0</v>
          </cell>
          <cell r="H55">
            <v>0</v>
          </cell>
          <cell r="I55">
            <v>7.0917857455948106</v>
          </cell>
          <cell r="J55">
            <v>8.7281831187410592</v>
          </cell>
          <cell r="K55">
            <v>7.8861312313591814</v>
          </cell>
          <cell r="L55">
            <v>6.9145308546914537</v>
          </cell>
          <cell r="M55">
            <v>7.033391046252782</v>
          </cell>
          <cell r="N55">
            <v>6.8530782438067206</v>
          </cell>
          <cell r="O55">
            <v>6.3436512950094759</v>
          </cell>
          <cell r="P55">
            <v>5.8035619351408823</v>
          </cell>
          <cell r="Q55">
            <v>5.6503139144400638</v>
          </cell>
          <cell r="R55">
            <v>3.8445159692993318</v>
          </cell>
          <cell r="S55">
            <v>4.1873616916646181</v>
          </cell>
          <cell r="T55">
            <v>4.7558377273216399</v>
          </cell>
          <cell r="U55">
            <v>4.4759694719471952</v>
          </cell>
          <cell r="V55">
            <v>7.479257073424753</v>
          </cell>
          <cell r="W55">
            <v>5.8802649999999996</v>
          </cell>
          <cell r="X55">
            <v>4.8030030000000004</v>
          </cell>
          <cell r="Y55">
            <v>5.2054470000000004</v>
          </cell>
        </row>
        <row r="56">
          <cell r="B56" t="str">
            <v>PNM</v>
          </cell>
          <cell r="C56" t="str">
            <v xml:space="preserve">PNM Resources                 </v>
          </cell>
          <cell r="D56">
            <v>51</v>
          </cell>
          <cell r="E56">
            <v>51</v>
          </cell>
          <cell r="F56">
            <v>0</v>
          </cell>
          <cell r="G56">
            <v>0</v>
          </cell>
          <cell r="H56">
            <v>0</v>
          </cell>
          <cell r="I56">
            <v>7.5711778471138853</v>
          </cell>
          <cell r="J56">
            <v>7.4008303453481785</v>
          </cell>
          <cell r="K56">
            <v>7.6435412286848878</v>
          </cell>
          <cell r="L56">
            <v>6.9454499748617398</v>
          </cell>
          <cell r="M56">
            <v>7.4806629834254137</v>
          </cell>
          <cell r="N56">
            <v>6.4745231995445494</v>
          </cell>
          <cell r="O56">
            <v>5.8023668639053252</v>
          </cell>
          <cell r="P56">
            <v>4.9386406544996859</v>
          </cell>
          <cell r="Q56">
            <v>4.5815523059617549</v>
          </cell>
          <cell r="R56">
            <v>4.5271786022433131</v>
          </cell>
          <cell r="S56">
            <v>7.1007972665148058</v>
          </cell>
          <cell r="T56">
            <v>10.670736510437179</v>
          </cell>
          <cell r="U56">
            <v>7.4967814161768827</v>
          </cell>
          <cell r="V56">
            <v>7.6200112422709383</v>
          </cell>
          <cell r="W56">
            <v>6.8385860000000003</v>
          </cell>
          <cell r="X56">
            <v>5.5484400000000003</v>
          </cell>
          <cell r="Y56">
            <v>5.7152950000000002</v>
          </cell>
        </row>
        <row r="57">
          <cell r="B57" t="str">
            <v>POR</v>
          </cell>
          <cell r="C57" t="str">
            <v xml:space="preserve">Portland General              </v>
          </cell>
          <cell r="D57">
            <v>52</v>
          </cell>
          <cell r="E57">
            <v>52</v>
          </cell>
          <cell r="F57">
            <v>0</v>
          </cell>
          <cell r="G57">
            <v>0</v>
          </cell>
          <cell r="H57">
            <v>0</v>
          </cell>
          <cell r="I57">
            <v>6.5622182146077543</v>
          </cell>
          <cell r="J57">
            <v>7.4455445544554459</v>
          </cell>
          <cell r="K57">
            <v>7.1232047066966606</v>
          </cell>
          <cell r="L57">
            <v>6.7269173492181684</v>
          </cell>
          <cell r="M57">
            <v>5.4877567789646671</v>
          </cell>
          <cell r="N57">
            <v>6.0602434077079108</v>
          </cell>
          <cell r="O57">
            <v>5.0777000777000785</v>
          </cell>
          <cell r="P57">
            <v>4.8601652226475922</v>
          </cell>
          <cell r="Q57">
            <v>4.1327800829875523</v>
          </cell>
          <cell r="R57">
            <v>4.6343081838289502</v>
          </cell>
          <cell r="S57">
            <v>4.8050487908358077</v>
          </cell>
          <cell r="T57">
            <v>5.3364019946298429</v>
          </cell>
          <cell r="U57">
            <v>5.7368534482758626</v>
          </cell>
          <cell r="V57" t="str">
            <v>N/A</v>
          </cell>
          <cell r="W57" t="str">
            <v>N/A</v>
          </cell>
          <cell r="X57" t="str">
            <v>N/A</v>
          </cell>
          <cell r="Y57" t="str">
            <v>N/A</v>
          </cell>
        </row>
        <row r="58">
          <cell r="B58" t="str">
            <v>PPL</v>
          </cell>
          <cell r="C58" t="str">
            <v xml:space="preserve">PPL Corp.                     </v>
          </cell>
          <cell r="D58">
            <v>53</v>
          </cell>
          <cell r="E58">
            <v>53</v>
          </cell>
          <cell r="F58">
            <v>0</v>
          </cell>
          <cell r="G58">
            <v>0</v>
          </cell>
          <cell r="H58">
            <v>0</v>
          </cell>
          <cell r="I58">
            <v>7.0220994475138117</v>
          </cell>
          <cell r="J58">
            <v>10.111593809394515</v>
          </cell>
          <cell r="K58">
            <v>8.3669939223936414</v>
          </cell>
          <cell r="L58">
            <v>8.7315329626687834</v>
          </cell>
          <cell r="M58">
            <v>7.3180428134556577</v>
          </cell>
          <cell r="N58">
            <v>6.58935115326579</v>
          </cell>
          <cell r="O58">
            <v>5.8655514250309793</v>
          </cell>
          <cell r="P58">
            <v>5.9795206971677564</v>
          </cell>
          <cell r="Q58">
            <v>7.4642076502732237</v>
          </cell>
          <cell r="R58">
            <v>8.821645021645022</v>
          </cell>
          <cell r="S58">
            <v>9.1652173913043473</v>
          </cell>
          <cell r="T58">
            <v>8.9002156439913733</v>
          </cell>
          <cell r="U58">
            <v>7.5813571260859351</v>
          </cell>
          <cell r="V58">
            <v>7.5679269882659712</v>
          </cell>
          <cell r="W58">
            <v>6.493322</v>
          </cell>
          <cell r="X58">
            <v>5.4071610000000003</v>
          </cell>
          <cell r="Y58">
            <v>5.3008740000000003</v>
          </cell>
        </row>
        <row r="59">
          <cell r="B59" t="str">
            <v>PEG</v>
          </cell>
          <cell r="C59" t="str">
            <v xml:space="preserve">Public Serv. Enterprise       </v>
          </cell>
          <cell r="D59">
            <v>54</v>
          </cell>
          <cell r="E59">
            <v>54</v>
          </cell>
          <cell r="F59">
            <v>0</v>
          </cell>
          <cell r="G59">
            <v>0</v>
          </cell>
          <cell r="H59">
            <v>0</v>
          </cell>
          <cell r="I59">
            <v>9.4849375459221168</v>
          </cell>
          <cell r="J59">
            <v>8.6703752592871961</v>
          </cell>
          <cell r="K59">
            <v>8.5649773220272145</v>
          </cell>
          <cell r="L59">
            <v>6.6634130470148039</v>
          </cell>
          <cell r="M59">
            <v>6.4780144280316048</v>
          </cell>
          <cell r="N59">
            <v>6.4036786060019368</v>
          </cell>
          <cell r="O59">
            <v>6.4006153846153842</v>
          </cell>
          <cell r="P59">
            <v>6.0311567164179101</v>
          </cell>
          <cell r="Q59">
            <v>6.0390817681654339</v>
          </cell>
          <cell r="R59">
            <v>6.2038523274478337</v>
          </cell>
          <cell r="S59">
            <v>8.4593843522873033</v>
          </cell>
          <cell r="T59">
            <v>9.8315741165672321</v>
          </cell>
          <cell r="U59">
            <v>8.4095213718965969</v>
          </cell>
          <cell r="V59">
            <v>8.5944997074312468</v>
          </cell>
          <cell r="W59">
            <v>7.1653440000000002</v>
          </cell>
          <cell r="X59">
            <v>6.7910959999999996</v>
          </cell>
          <cell r="Y59">
            <v>6.2383800000000003</v>
          </cell>
        </row>
        <row r="60">
          <cell r="B60" t="str">
            <v>SCG</v>
          </cell>
          <cell r="C60" t="str">
            <v xml:space="preserve">SCANA Corp.                   </v>
          </cell>
          <cell r="D60">
            <v>56</v>
          </cell>
          <cell r="E60">
            <v>56</v>
          </cell>
          <cell r="F60">
            <v>0</v>
          </cell>
          <cell r="G60">
            <v>0</v>
          </cell>
          <cell r="H60">
            <v>0</v>
          </cell>
          <cell r="I60" t="str">
            <v>N/A</v>
          </cell>
          <cell r="J60">
            <v>8.2625850340136058</v>
          </cell>
          <cell r="K60">
            <v>9.5910775566231976</v>
          </cell>
          <cell r="L60">
            <v>8.3345763723150359</v>
          </cell>
          <cell r="M60">
            <v>7.5013024602026048</v>
          </cell>
          <cell r="N60">
            <v>7.4871402327005505</v>
          </cell>
          <cell r="O60">
            <v>7.3960019038553071</v>
          </cell>
          <cell r="P60">
            <v>6.7523698652918673</v>
          </cell>
          <cell r="Q60">
            <v>6.5238659444820577</v>
          </cell>
          <cell r="R60">
            <v>5.8802129547471162</v>
          </cell>
          <cell r="S60">
            <v>6.3791396381017416</v>
          </cell>
          <cell r="T60">
            <v>7.1470177886292294</v>
          </cell>
          <cell r="U60">
            <v>7.0274502903396092</v>
          </cell>
          <cell r="V60">
            <v>5.4041722745625842</v>
          </cell>
          <cell r="W60">
            <v>6.8624739999999997</v>
          </cell>
          <cell r="X60">
            <v>6.5898159999999999</v>
          </cell>
          <cell r="Y60">
            <v>6.3557940000000004</v>
          </cell>
        </row>
        <row r="61">
          <cell r="B61" t="str">
            <v>SRE</v>
          </cell>
          <cell r="C61" t="str">
            <v xml:space="preserve">Sempra Energy                 </v>
          </cell>
          <cell r="D61">
            <v>57</v>
          </cell>
          <cell r="E61">
            <v>57</v>
          </cell>
          <cell r="F61">
            <v>0</v>
          </cell>
          <cell r="G61">
            <v>0</v>
          </cell>
          <cell r="H61">
            <v>0</v>
          </cell>
          <cell r="I61">
            <v>10.101554029634984</v>
          </cell>
          <cell r="J61">
            <v>10.653522458628842</v>
          </cell>
          <cell r="K61">
            <v>10.880185302168879</v>
          </cell>
          <cell r="L61">
            <v>9.9947684557256355</v>
          </cell>
          <cell r="M61">
            <v>10.766000425260472</v>
          </cell>
          <cell r="N61">
            <v>9.3668245376635095</v>
          </cell>
          <cell r="O61">
            <v>7.2571716718960122</v>
          </cell>
          <cell r="P61">
            <v>6.1345458785123004</v>
          </cell>
          <cell r="Q61">
            <v>6.5281072717895814</v>
          </cell>
          <cell r="R61">
            <v>6.0718871962734484</v>
          </cell>
          <cell r="S61">
            <v>7.0656934306569346</v>
          </cell>
          <cell r="T61">
            <v>8.6065195442088562</v>
          </cell>
          <cell r="U61">
            <v>7.222090261282661</v>
          </cell>
          <cell r="V61">
            <v>6.9599329421626148</v>
          </cell>
          <cell r="W61">
            <v>5.163653</v>
          </cell>
          <cell r="X61">
            <v>4.8501799999999999</v>
          </cell>
          <cell r="Y61">
            <v>3.9982500000000001</v>
          </cell>
        </row>
        <row r="62">
          <cell r="B62" t="str">
            <v>SRP</v>
          </cell>
          <cell r="C62" t="str">
            <v xml:space="preserve">Sierra Pacific Res.           </v>
          </cell>
          <cell r="D62" t="e">
            <v>#N/A</v>
          </cell>
          <cell r="E62" t="e">
            <v>#N/A</v>
          </cell>
          <cell r="F62">
            <v>0</v>
          </cell>
          <cell r="G62">
            <v>0</v>
          </cell>
          <cell r="H62">
            <v>0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  <cell r="M62" t="str">
            <v>N/A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N/A</v>
          </cell>
          <cell r="T62" t="str">
            <v>N/A</v>
          </cell>
          <cell r="U62" t="str">
            <v>N/A</v>
          </cell>
          <cell r="V62" t="str">
            <v>N/A</v>
          </cell>
          <cell r="W62">
            <v>1.8034870000000001</v>
          </cell>
          <cell r="X62">
            <v>1.884924</v>
          </cell>
          <cell r="Y62">
            <v>-7.0251169999999998</v>
          </cell>
        </row>
        <row r="63">
          <cell r="B63" t="str">
            <v>SJW</v>
          </cell>
          <cell r="C63" t="str">
            <v>SJW Corp.</v>
          </cell>
          <cell r="D63">
            <v>58</v>
          </cell>
          <cell r="E63">
            <v>58</v>
          </cell>
          <cell r="F63">
            <v>0</v>
          </cell>
          <cell r="G63">
            <v>0</v>
          </cell>
          <cell r="H63">
            <v>0</v>
          </cell>
          <cell r="I63">
            <v>18.131426832978399</v>
          </cell>
          <cell r="J63">
            <v>10.287323405880105</v>
          </cell>
          <cell r="K63">
            <v>8.4547743966421827</v>
          </cell>
          <cell r="L63">
            <v>7.9823697173969403</v>
          </cell>
          <cell r="M63">
            <v>6.4265038444142926</v>
          </cell>
          <cell r="N63">
            <v>9.3993103448275868</v>
          </cell>
          <cell r="O63">
            <v>8.0970350404312672</v>
          </cell>
          <cell r="P63">
            <v>8.3909318100678316</v>
          </cell>
          <cell r="Q63">
            <v>10.28721614802355</v>
          </cell>
          <cell r="R63">
            <v>10.525838621940164</v>
          </cell>
          <cell r="S63">
            <v>11.675697865353039</v>
          </cell>
          <cell r="T63">
            <v>15.134523291249456</v>
          </cell>
          <cell r="U63">
            <v>11.749265014699708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</row>
        <row r="64">
          <cell r="B64" t="str">
            <v>SJI</v>
          </cell>
          <cell r="C64" t="str">
            <v>South Jersey Inds.</v>
          </cell>
          <cell r="D64">
            <v>59</v>
          </cell>
          <cell r="E64">
            <v>59</v>
          </cell>
          <cell r="F64">
            <v>0</v>
          </cell>
          <cell r="G64">
            <v>0</v>
          </cell>
          <cell r="H64">
            <v>0</v>
          </cell>
          <cell r="I64">
            <v>10.724682457947134</v>
          </cell>
          <cell r="J64">
            <v>12.331059245960502</v>
          </cell>
          <cell r="K64">
            <v>10.877383177570096</v>
          </cell>
          <cell r="L64">
            <v>10.697847682119205</v>
          </cell>
          <cell r="M64">
            <v>10.566454511418945</v>
          </cell>
          <cell r="N64">
            <v>11.566235864297255</v>
          </cell>
          <cell r="O64">
            <v>10.945392491467578</v>
          </cell>
          <cell r="P64">
            <v>11.975784753363229</v>
          </cell>
          <cell r="Q64">
            <v>10.784220532319392</v>
          </cell>
          <cell r="R64">
            <v>9.5734265734265733</v>
          </cell>
          <cell r="S64">
            <v>10.381472957422325</v>
          </cell>
          <cell r="T64">
            <v>11.228267667292059</v>
          </cell>
          <cell r="U64">
            <v>8.3200228180262421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B65" t="str">
            <v>SO</v>
          </cell>
          <cell r="C65" t="str">
            <v xml:space="preserve">Southern Co.                  </v>
          </cell>
          <cell r="D65">
            <v>60</v>
          </cell>
          <cell r="E65">
            <v>60</v>
          </cell>
          <cell r="F65">
            <v>0</v>
          </cell>
          <cell r="G65">
            <v>0</v>
          </cell>
          <cell r="H65">
            <v>0</v>
          </cell>
          <cell r="I65">
            <v>7.0469432314410483</v>
          </cell>
          <cell r="J65">
            <v>7.4877975293763184</v>
          </cell>
          <cell r="K65">
            <v>8.832337434094903</v>
          </cell>
          <cell r="L65">
            <v>8.2270151709011152</v>
          </cell>
          <cell r="M65">
            <v>8.4186398939193037</v>
          </cell>
          <cell r="N65">
            <v>8.2988985947588301</v>
          </cell>
          <cell r="O65">
            <v>8.7459459459459463</v>
          </cell>
          <cell r="P65">
            <v>8.2234432234432226</v>
          </cell>
          <cell r="Q65">
            <v>7.7901617549302014</v>
          </cell>
          <cell r="R65">
            <v>7.0776173285198549</v>
          </cell>
          <cell r="S65">
            <v>8.1835814163283711</v>
          </cell>
          <cell r="T65">
            <v>8.6184834123222753</v>
          </cell>
          <cell r="U65">
            <v>8.4714677298778973</v>
          </cell>
          <cell r="V65">
            <v>8.4108161746464916</v>
          </cell>
          <cell r="W65">
            <v>8.2763340000000003</v>
          </cell>
          <cell r="X65">
            <v>8.2793989999999997</v>
          </cell>
          <cell r="Y65">
            <v>7.832465</v>
          </cell>
        </row>
        <row r="66">
          <cell r="B66" t="str">
            <v>SWX</v>
          </cell>
          <cell r="C66" t="str">
            <v>Southwest Gas</v>
          </cell>
          <cell r="D66">
            <v>61</v>
          </cell>
          <cell r="E66">
            <v>61</v>
          </cell>
          <cell r="F66">
            <v>0</v>
          </cell>
          <cell r="G66">
            <v>0</v>
          </cell>
          <cell r="H66">
            <v>0</v>
          </cell>
          <cell r="I66">
            <v>9.3201425586825604</v>
          </cell>
          <cell r="J66">
            <v>9.1038152383108795</v>
          </cell>
          <cell r="K66">
            <v>7.4075987514799264</v>
          </cell>
          <cell r="L66">
            <v>6.5555040018559332</v>
          </cell>
          <cell r="M66">
            <v>6.3454910292728997</v>
          </cell>
          <cell r="N66">
            <v>5.9443231441048043</v>
          </cell>
          <cell r="O66">
            <v>5.5499935325313672</v>
          </cell>
          <cell r="P66">
            <v>5.6010872759330006</v>
          </cell>
          <cell r="Q66">
            <v>4.9079089924160346</v>
          </cell>
          <cell r="R66">
            <v>3.844379467186485</v>
          </cell>
          <cell r="S66">
            <v>4.8887732083984039</v>
          </cell>
          <cell r="T66">
            <v>5.4208407150909972</v>
          </cell>
          <cell r="U66">
            <v>5.284876905041032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 t="str">
            <v>SR</v>
          </cell>
          <cell r="C67" t="str">
            <v>Spire Inc.</v>
          </cell>
          <cell r="D67">
            <v>62</v>
          </cell>
          <cell r="E67">
            <v>62</v>
          </cell>
          <cell r="F67">
            <v>0</v>
          </cell>
          <cell r="G67">
            <v>0</v>
          </cell>
          <cell r="H67">
            <v>0</v>
          </cell>
          <cell r="I67">
            <v>9.6003178386968617</v>
          </cell>
          <cell r="J67">
            <v>10.393059165265248</v>
          </cell>
          <cell r="K67">
            <v>10.319909061383566</v>
          </cell>
          <cell r="L67">
            <v>8.4657133571660701</v>
          </cell>
          <cell r="M67">
            <v>12.031290405999483</v>
          </cell>
          <cell r="N67">
            <v>13.755847484780519</v>
          </cell>
          <cell r="O67">
            <v>8.8010471204188487</v>
          </cell>
          <cell r="P67">
            <v>8.079904720658293</v>
          </cell>
          <cell r="Q67">
            <v>8.1248478948649296</v>
          </cell>
          <cell r="R67">
            <v>8.579328505595786</v>
          </cell>
          <cell r="S67">
            <v>8.9523809523809508</v>
          </cell>
          <cell r="T67">
            <v>8.4581827568404755</v>
          </cell>
          <cell r="U67">
            <v>8.4618009976371749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 t="str">
            <v>TE</v>
          </cell>
          <cell r="C68" t="str">
            <v xml:space="preserve">TECO Energy                   </v>
          </cell>
          <cell r="D68" t="e">
            <v>#N/A</v>
          </cell>
          <cell r="E68" t="e">
            <v>#N/A</v>
          </cell>
          <cell r="F68">
            <v>0</v>
          </cell>
          <cell r="G68">
            <v>0</v>
          </cell>
          <cell r="H68">
            <v>0</v>
          </cell>
          <cell r="I68" t="str">
            <v>N/A</v>
          </cell>
          <cell r="J68" t="str">
            <v>N/A</v>
          </cell>
          <cell r="K68" t="str">
            <v>N/A</v>
          </cell>
          <cell r="L68" t="str">
            <v>N/A</v>
          </cell>
          <cell r="M68" t="str">
            <v>N/A</v>
          </cell>
          <cell r="N68" t="str">
            <v>N/A</v>
          </cell>
          <cell r="O68" t="str">
            <v>N/A</v>
          </cell>
          <cell r="P68" t="str">
            <v>N/A</v>
          </cell>
          <cell r="Q68" t="str">
            <v>N/A</v>
          </cell>
          <cell r="R68" t="str">
            <v>N/A</v>
          </cell>
          <cell r="S68" t="str">
            <v>N/A</v>
          </cell>
          <cell r="T68" t="str">
            <v>N/A</v>
          </cell>
          <cell r="U68" t="str">
            <v>N/A</v>
          </cell>
          <cell r="V68">
            <v>7.2119037568594342</v>
          </cell>
          <cell r="W68">
            <v>6.4092609999999999</v>
          </cell>
          <cell r="X68">
            <v>6.3931490000000002</v>
          </cell>
          <cell r="Y68">
            <v>6.681349</v>
          </cell>
        </row>
        <row r="69">
          <cell r="B69" t="str">
            <v>UGI</v>
          </cell>
          <cell r="C69" t="str">
            <v>UGI Corp.</v>
          </cell>
          <cell r="D69">
            <v>64</v>
          </cell>
          <cell r="E69">
            <v>64</v>
          </cell>
          <cell r="F69">
            <v>0</v>
          </cell>
          <cell r="G69">
            <v>0</v>
          </cell>
          <cell r="H69">
            <v>0</v>
          </cell>
          <cell r="I69">
            <v>9.0133283968900404</v>
          </cell>
          <cell r="J69">
            <v>10.091562698244871</v>
          </cell>
          <cell r="K69">
            <v>9.0175238962221211</v>
          </cell>
          <cell r="L69">
            <v>8.467300832342449</v>
          </cell>
          <cell r="M69">
            <v>7.4872933629410312</v>
          </cell>
          <cell r="N69">
            <v>6.5533049040511733</v>
          </cell>
          <cell r="O69">
            <v>6.3007543456871105</v>
          </cell>
          <cell r="P69">
            <v>7.5111030214779761</v>
          </cell>
          <cell r="Q69">
            <v>6.0150034891835311</v>
          </cell>
          <cell r="R69">
            <v>5.7384833451452861</v>
          </cell>
          <cell r="S69">
            <v>7.1116035455277995</v>
          </cell>
          <cell r="T69">
            <v>7.9175897208684098</v>
          </cell>
          <cell r="U69">
            <v>7.4790652385589098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</row>
        <row r="70">
          <cell r="B70" t="str">
            <v>UIL</v>
          </cell>
          <cell r="C70" t="str">
            <v xml:space="preserve">UIL Holdings                  </v>
          </cell>
          <cell r="D70" t="e">
            <v>#N/A</v>
          </cell>
          <cell r="E70" t="e">
            <v>#N/A</v>
          </cell>
          <cell r="F70">
            <v>0</v>
          </cell>
          <cell r="G70">
            <v>0</v>
          </cell>
          <cell r="H70">
            <v>0</v>
          </cell>
          <cell r="I70" t="str">
            <v>N/A</v>
          </cell>
          <cell r="J70" t="str">
            <v>N/A</v>
          </cell>
          <cell r="K70" t="str">
            <v>N/A</v>
          </cell>
          <cell r="L70" t="str">
            <v>N/A</v>
          </cell>
          <cell r="M70" t="str">
            <v>N/A</v>
          </cell>
          <cell r="N70" t="str">
            <v>N/A</v>
          </cell>
          <cell r="O70" t="str">
            <v>N/A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N/A</v>
          </cell>
          <cell r="T70" t="str">
            <v>N/A</v>
          </cell>
          <cell r="U70" t="str">
            <v>N/A</v>
          </cell>
          <cell r="V70" t="str">
            <v>N/A</v>
          </cell>
          <cell r="W70">
            <v>6.5928209999999998</v>
          </cell>
          <cell r="X70">
            <v>4.781644</v>
          </cell>
          <cell r="Y70">
            <v>4.7159110000000002</v>
          </cell>
        </row>
        <row r="71">
          <cell r="B71" t="str">
            <v>UNS</v>
          </cell>
          <cell r="C71" t="str">
            <v xml:space="preserve">UniSource Energy              </v>
          </cell>
          <cell r="D71" t="e">
            <v>#N/A</v>
          </cell>
          <cell r="E71" t="e">
            <v>#N/A</v>
          </cell>
          <cell r="F71">
            <v>0</v>
          </cell>
          <cell r="G71">
            <v>0</v>
          </cell>
          <cell r="H71">
            <v>0</v>
          </cell>
          <cell r="I71" t="str">
            <v>N/A</v>
          </cell>
          <cell r="J71" t="str">
            <v>N/A</v>
          </cell>
          <cell r="K71" t="str">
            <v>N/A</v>
          </cell>
          <cell r="L71" t="str">
            <v>N/A</v>
          </cell>
          <cell r="M71" t="str">
            <v>N/A</v>
          </cell>
          <cell r="N71" t="str">
            <v>N/A</v>
          </cell>
          <cell r="O71" t="str">
            <v>N/A</v>
          </cell>
          <cell r="P71" t="str">
            <v>N/A</v>
          </cell>
          <cell r="Q71" t="str">
            <v>N/A</v>
          </cell>
          <cell r="R71" t="str">
            <v>N/A</v>
          </cell>
          <cell r="S71" t="str">
            <v>N/A</v>
          </cell>
          <cell r="T71" t="str">
            <v>N/A</v>
          </cell>
          <cell r="U71" t="str">
            <v>N/A</v>
          </cell>
          <cell r="V71" t="str">
            <v>N/A</v>
          </cell>
          <cell r="W71">
            <v>4.6349720000000003</v>
          </cell>
          <cell r="X71">
            <v>3.64655</v>
          </cell>
          <cell r="Y71">
            <v>3.6843750000000002</v>
          </cell>
        </row>
        <row r="72">
          <cell r="B72" t="str">
            <v>UTL</v>
          </cell>
          <cell r="C72" t="str">
            <v xml:space="preserve">UNITIL Corp.                  </v>
          </cell>
          <cell r="D72">
            <v>65</v>
          </cell>
          <cell r="E72">
            <v>65</v>
          </cell>
          <cell r="F72">
            <v>0</v>
          </cell>
          <cell r="G72">
            <v>0</v>
          </cell>
          <cell r="H72">
            <v>0</v>
          </cell>
          <cell r="I72">
            <v>8.6034605779521947</v>
          </cell>
          <cell r="J72">
            <v>9.3851259027913319</v>
          </cell>
          <cell r="K72">
            <v>7.7614503816793894</v>
          </cell>
          <cell r="L72">
            <v>6.8056743101438011</v>
          </cell>
          <cell r="M72">
            <v>6.8585416666666665</v>
          </cell>
          <cell r="N72">
            <v>6.7780112044817926</v>
          </cell>
          <cell r="O72">
            <v>6.9222797927461137</v>
          </cell>
          <cell r="P72">
            <v>6.052163461538461</v>
          </cell>
          <cell r="Q72">
            <v>6.2707919386886175</v>
          </cell>
          <cell r="R72">
            <v>6.0775711795467746</v>
          </cell>
          <cell r="S72">
            <v>7.0863426554439322</v>
          </cell>
          <cell r="T72">
            <v>6.0732767993041969</v>
          </cell>
          <cell r="U72">
            <v>5.8232536333802152</v>
          </cell>
          <cell r="V72">
            <v>5.4577063847092315</v>
          </cell>
          <cell r="W72">
            <v>5.5678859999999997</v>
          </cell>
          <cell r="X72">
            <v>5.1765679999999996</v>
          </cell>
          <cell r="Y72">
            <v>6.0934340000000002</v>
          </cell>
        </row>
        <row r="73">
          <cell r="B73" t="str">
            <v>VVC</v>
          </cell>
          <cell r="C73" t="str">
            <v xml:space="preserve">Vectren Corp.                 </v>
          </cell>
          <cell r="D73">
            <v>66</v>
          </cell>
          <cell r="E73">
            <v>66</v>
          </cell>
          <cell r="F73">
            <v>0</v>
          </cell>
          <cell r="G73">
            <v>0</v>
          </cell>
          <cell r="H73">
            <v>0</v>
          </cell>
          <cell r="I73" t="str">
            <v>N/A</v>
          </cell>
          <cell r="J73">
            <v>10.31939291736931</v>
          </cell>
          <cell r="K73">
            <v>8.5962383547196346</v>
          </cell>
          <cell r="L73">
            <v>7.8192771084337362</v>
          </cell>
          <cell r="M73">
            <v>7.5717501406865502</v>
          </cell>
          <cell r="N73">
            <v>6.8210379797176373</v>
          </cell>
          <cell r="O73">
            <v>5.7899443561208273</v>
          </cell>
          <cell r="P73">
            <v>5.8104838709677429</v>
          </cell>
          <cell r="Q73">
            <v>5.5771222697590632</v>
          </cell>
          <cell r="R73">
            <v>5.2428993410588509</v>
          </cell>
          <cell r="S73">
            <v>6.9016393442622945</v>
          </cell>
          <cell r="T73">
            <v>6.5349324639031217</v>
          </cell>
          <cell r="U73">
            <v>7.3743909041689228</v>
          </cell>
          <cell r="V73">
            <v>7.0612086776859506</v>
          </cell>
          <cell r="W73">
            <v>7.6323040000000004</v>
          </cell>
          <cell r="X73">
            <v>7.2745040000000003</v>
          </cell>
          <cell r="Y73">
            <v>6.9240180000000002</v>
          </cell>
        </row>
        <row r="74">
          <cell r="B74" t="str">
            <v>WEC</v>
          </cell>
          <cell r="C74" t="str">
            <v>WEC Energy Group</v>
          </cell>
          <cell r="D74">
            <v>67</v>
          </cell>
          <cell r="E74">
            <v>67</v>
          </cell>
          <cell r="F74">
            <v>0</v>
          </cell>
          <cell r="G74">
            <v>0</v>
          </cell>
          <cell r="H74">
            <v>0</v>
          </cell>
          <cell r="I74">
            <v>10.823120238489565</v>
          </cell>
          <cell r="J74">
            <v>11.043760984182775</v>
          </cell>
          <cell r="K74">
            <v>10.951956965312558</v>
          </cell>
          <cell r="L74">
            <v>12.896150865409455</v>
          </cell>
          <cell r="M74">
            <v>10.266114592658909</v>
          </cell>
          <cell r="N74">
            <v>9.5760517799352769</v>
          </cell>
          <cell r="O74">
            <v>9.2385229540918168</v>
          </cell>
          <cell r="P74">
            <v>8.4315960912052113</v>
          </cell>
          <cell r="Q74">
            <v>8.1465778316172006</v>
          </cell>
          <cell r="R74">
            <v>6.8706563706563699</v>
          </cell>
          <cell r="S74">
            <v>7.5732656514382404</v>
          </cell>
          <cell r="T74">
            <v>7.8410995641971173</v>
          </cell>
          <cell r="U74">
            <v>7.2726017943409245</v>
          </cell>
          <cell r="V74">
            <v>6.4014522821576767</v>
          </cell>
          <cell r="W74">
            <v>6.2742060000000004</v>
          </cell>
          <cell r="X74">
            <v>4.9149459999999996</v>
          </cell>
          <cell r="Y74">
            <v>4.2733350000000003</v>
          </cell>
        </row>
        <row r="75">
          <cell r="B75" t="str">
            <v>WR</v>
          </cell>
          <cell r="C75" t="str">
            <v xml:space="preserve">Westar Energy                 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 t="str">
            <v>N/A</v>
          </cell>
          <cell r="J75">
            <v>10.86734693877551</v>
          </cell>
          <cell r="K75">
            <v>10.855546357615895</v>
          </cell>
          <cell r="L75">
            <v>9.0473844710297922</v>
          </cell>
          <cell r="M75">
            <v>7.92512077294686</v>
          </cell>
          <cell r="N75">
            <v>7.2319564230594651</v>
          </cell>
          <cell r="O75">
            <v>6.7148837209302323</v>
          </cell>
          <cell r="P75">
            <v>6.6716267339218156</v>
          </cell>
          <cell r="Q75">
            <v>5.5069657615112151</v>
          </cell>
          <cell r="R75">
            <v>5.3247982187586977</v>
          </cell>
          <cell r="S75">
            <v>7.0880382775119619</v>
          </cell>
          <cell r="T75">
            <v>6.875993640699523</v>
          </cell>
          <cell r="U75">
            <v>5.8074581430745811</v>
          </cell>
          <cell r="V75">
            <v>6.9972519083969464</v>
          </cell>
          <cell r="W75">
            <v>6.538462</v>
          </cell>
          <cell r="X75">
            <v>4.2357319999999996</v>
          </cell>
          <cell r="Y75">
            <v>2.941065</v>
          </cell>
        </row>
        <row r="76">
          <cell r="B76" t="str">
            <v>WGL</v>
          </cell>
          <cell r="C76" t="str">
            <v>WGL Holdings Inc.</v>
          </cell>
          <cell r="D76">
            <v>69</v>
          </cell>
          <cell r="E76">
            <v>69</v>
          </cell>
          <cell r="F76">
            <v>0</v>
          </cell>
          <cell r="G76">
            <v>0</v>
          </cell>
          <cell r="H76">
            <v>0</v>
          </cell>
          <cell r="I76" t="str">
            <v>N/A</v>
          </cell>
          <cell r="J76">
            <v>12.918384036637226</v>
          </cell>
          <cell r="K76">
            <v>11.36384122031548</v>
          </cell>
          <cell r="L76">
            <v>9.5870380289234074</v>
          </cell>
          <cell r="M76">
            <v>8.4593749999999996</v>
          </cell>
          <cell r="N76">
            <v>9.8308840681128995</v>
          </cell>
          <cell r="O76">
            <v>9.0269137436576212</v>
          </cell>
          <cell r="P76">
            <v>9.5160727635185651</v>
          </cell>
          <cell r="Q76">
            <v>8.3439552420335694</v>
          </cell>
          <cell r="R76">
            <v>7.1658789106459606</v>
          </cell>
          <cell r="S76">
            <v>7.6821848352154865</v>
          </cell>
          <cell r="T76">
            <v>8.3900180087471057</v>
          </cell>
          <cell r="U76">
            <v>7.8083832335329344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B77" t="str">
            <v>XEL</v>
          </cell>
          <cell r="C77" t="str">
            <v xml:space="preserve">Xcel Energy Inc.              </v>
          </cell>
          <cell r="D77">
            <v>70</v>
          </cell>
          <cell r="E77">
            <v>70</v>
          </cell>
          <cell r="F77">
            <v>0</v>
          </cell>
          <cell r="G77">
            <v>0</v>
          </cell>
          <cell r="H77">
            <v>0</v>
          </cell>
          <cell r="I77">
            <v>7.9019939168638054</v>
          </cell>
          <cell r="J77">
            <v>8.5000914913083268</v>
          </cell>
          <cell r="K77">
            <v>8.0961729129486422</v>
          </cell>
          <cell r="L77">
            <v>7.6210226025894219</v>
          </cell>
          <cell r="M77">
            <v>7.314819136522754</v>
          </cell>
          <cell r="N77">
            <v>7.0043891733723482</v>
          </cell>
          <cell r="O77">
            <v>6.8532866783304174</v>
          </cell>
          <cell r="P77">
            <v>6.4721268163804488</v>
          </cell>
          <cell r="Q77">
            <v>6.2759111617312078</v>
          </cell>
          <cell r="R77">
            <v>5.4270923209663504</v>
          </cell>
          <cell r="S77">
            <v>5.7058823529411766</v>
          </cell>
          <cell r="T77">
            <v>6.5089751013317887</v>
          </cell>
          <cell r="U77">
            <v>5.5397837538120314</v>
          </cell>
          <cell r="V77">
            <v>5.6238560097620498</v>
          </cell>
          <cell r="W77">
            <v>5.3087289999999996</v>
          </cell>
          <cell r="X77">
            <v>4.2676220000000002</v>
          </cell>
          <cell r="Y77">
            <v>5.4642860000000004</v>
          </cell>
        </row>
        <row r="78">
          <cell r="B78" t="str">
            <v>YORW</v>
          </cell>
          <cell r="C78" t="str">
            <v>York Water Co. (The)</v>
          </cell>
          <cell r="D78">
            <v>71</v>
          </cell>
          <cell r="E78">
            <v>71</v>
          </cell>
          <cell r="F78">
            <v>0</v>
          </cell>
          <cell r="G78">
            <v>0</v>
          </cell>
          <cell r="H78">
            <v>0</v>
          </cell>
          <cell r="I78">
            <v>20.010158730158729</v>
          </cell>
          <cell r="J78">
            <v>22.797262059973921</v>
          </cell>
          <cell r="K78">
            <v>21.216045038705136</v>
          </cell>
          <cell r="L78">
            <v>15.681786941580755</v>
          </cell>
          <cell r="M78">
            <v>15.12822402358143</v>
          </cell>
          <cell r="N78">
            <v>16.607925801011806</v>
          </cell>
          <cell r="O78">
            <v>15.714285714285714</v>
          </cell>
          <cell r="P78">
            <v>15.514625228519193</v>
          </cell>
          <cell r="Q78">
            <v>13.813145539906104</v>
          </cell>
          <cell r="R78">
            <v>14.747102212855637</v>
          </cell>
          <cell r="S78">
            <v>15.846153846153845</v>
          </cell>
          <cell r="T78">
            <v>20.151869158878505</v>
          </cell>
          <cell r="U78">
            <v>23.568270481144342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fred.stlouisfed.org/series/WFII20" TargetMode="External"/><Relationship Id="rId2" Type="http://schemas.openxmlformats.org/officeDocument/2006/relationships/hyperlink" Target="https://fred.stlouisfed.org/series/FII20" TargetMode="External"/><Relationship Id="rId1" Type="http://schemas.openxmlformats.org/officeDocument/2006/relationships/hyperlink" Target="https://fred.stlouisfed.org/series/DFII20" TargetMode="External"/><Relationship Id="rId4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fred.stlouisfed.org/series/WGS20yr" TargetMode="External"/><Relationship Id="rId2" Type="http://schemas.openxmlformats.org/officeDocument/2006/relationships/hyperlink" Target="https://fred.stlouisfed.org/series/GS20" TargetMode="External"/><Relationship Id="rId1" Type="http://schemas.openxmlformats.org/officeDocument/2006/relationships/hyperlink" Target="https://fred.stlouisfed.org/series/DGS20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96"/>
  <sheetViews>
    <sheetView tabSelected="1" view="pageLayout" topLeftCell="C1" zoomScale="69" zoomScaleNormal="70" zoomScalePageLayoutView="69" workbookViewId="0">
      <selection activeCell="M2" sqref="L2:M2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2.09765625" customWidth="1"/>
    <col min="5" max="5" width="21.5" customWidth="1"/>
    <col min="6" max="25" width="9" customWidth="1"/>
    <col min="26" max="28" width="8.69921875" customWidth="1"/>
  </cols>
  <sheetData>
    <row r="1" spans="1:28" ht="28.2" x14ac:dyDescent="0.5">
      <c r="C1" s="277" t="s">
        <v>585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8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28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28" ht="21" x14ac:dyDescent="0.4">
      <c r="C4" s="278" t="s">
        <v>272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</row>
    <row r="5" spans="1:28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</row>
    <row r="6" spans="1:28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 ht="16.2" x14ac:dyDescent="0.25">
      <c r="C8" s="6"/>
      <c r="D8" s="7"/>
      <c r="E8" s="7"/>
      <c r="F8" s="280" t="s">
        <v>95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</row>
    <row r="9" spans="1:28" x14ac:dyDescent="0.25">
      <c r="A9" s="41" t="s">
        <v>99</v>
      </c>
      <c r="B9" s="41" t="s">
        <v>241</v>
      </c>
      <c r="C9" s="6"/>
      <c r="D9" s="7"/>
      <c r="E9" s="7"/>
      <c r="F9" s="8" t="s">
        <v>562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28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558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>
        <v>2005</v>
      </c>
      <c r="Z10" s="40">
        <v>2004</v>
      </c>
      <c r="AA10" s="40">
        <v>2003</v>
      </c>
      <c r="AB10" s="40">
        <v>2002</v>
      </c>
    </row>
    <row r="11" spans="1:28" x14ac:dyDescent="0.25">
      <c r="A11" s="41"/>
      <c r="B11" s="41"/>
      <c r="C11" s="9"/>
      <c r="D11" s="82"/>
      <c r="E11" s="82"/>
      <c r="F11" s="12">
        <v>-1</v>
      </c>
      <c r="G11" s="12">
        <f t="shared" ref="G11:L11" si="0">+F11-1</f>
        <v>-2</v>
      </c>
      <c r="H11" s="12">
        <f t="shared" si="0"/>
        <v>-3</v>
      </c>
      <c r="I11" s="12">
        <f t="shared" si="0"/>
        <v>-4</v>
      </c>
      <c r="J11" s="12">
        <f t="shared" si="0"/>
        <v>-5</v>
      </c>
      <c r="K11" s="12">
        <f t="shared" si="0"/>
        <v>-6</v>
      </c>
      <c r="L11" s="12">
        <f t="shared" si="0"/>
        <v>-7</v>
      </c>
      <c r="M11" s="12">
        <f t="shared" ref="M11:Z11" si="1">+L11-1</f>
        <v>-8</v>
      </c>
      <c r="N11" s="12">
        <f t="shared" si="1"/>
        <v>-9</v>
      </c>
      <c r="O11" s="12">
        <f t="shared" si="1"/>
        <v>-10</v>
      </c>
      <c r="P11" s="12">
        <f t="shared" si="1"/>
        <v>-11</v>
      </c>
      <c r="Q11" s="12">
        <f t="shared" si="1"/>
        <v>-12</v>
      </c>
      <c r="R11" s="12">
        <f t="shared" si="1"/>
        <v>-13</v>
      </c>
      <c r="S11" s="12">
        <f t="shared" si="1"/>
        <v>-14</v>
      </c>
      <c r="T11" s="12">
        <f t="shared" si="1"/>
        <v>-15</v>
      </c>
      <c r="U11" s="12">
        <f t="shared" si="1"/>
        <v>-16</v>
      </c>
      <c r="V11" s="12">
        <f t="shared" si="1"/>
        <v>-17</v>
      </c>
      <c r="W11" s="12">
        <f t="shared" si="1"/>
        <v>-18</v>
      </c>
      <c r="X11" s="12">
        <f t="shared" si="1"/>
        <v>-19</v>
      </c>
      <c r="Y11" s="12">
        <f t="shared" si="1"/>
        <v>-20</v>
      </c>
      <c r="Z11" s="12">
        <f t="shared" si="1"/>
        <v>-21</v>
      </c>
      <c r="AA11" s="12">
        <f>+Z11-1</f>
        <v>-22</v>
      </c>
      <c r="AB11" s="12">
        <f>+AA11-1</f>
        <v>-23</v>
      </c>
    </row>
    <row r="12" spans="1:28" x14ac:dyDescent="0.25">
      <c r="A12" s="42"/>
      <c r="B12" s="43"/>
      <c r="C12" s="9"/>
      <c r="D12" s="14" t="s">
        <v>101</v>
      </c>
      <c r="E12" s="11"/>
      <c r="F12" s="50"/>
      <c r="G12" s="50"/>
      <c r="H12" s="50"/>
      <c r="I12" s="201"/>
      <c r="J12" s="126">
        <f t="shared" ref="J12:P12" ca="1" si="2">MATCH(J10,OFFSET(PE_WP,-1,0,1,),0)</f>
        <v>4</v>
      </c>
      <c r="K12" s="126">
        <f t="shared" ca="1" si="2"/>
        <v>5</v>
      </c>
      <c r="L12" s="126">
        <f t="shared" ca="1" si="2"/>
        <v>6</v>
      </c>
      <c r="M12" s="126">
        <f t="shared" ca="1" si="2"/>
        <v>7</v>
      </c>
      <c r="N12" s="126">
        <f t="shared" ca="1" si="2"/>
        <v>8</v>
      </c>
      <c r="O12" s="126">
        <f t="shared" ca="1" si="2"/>
        <v>9</v>
      </c>
      <c r="P12" s="126">
        <f t="shared" ca="1" si="2"/>
        <v>10</v>
      </c>
      <c r="Q12" s="126">
        <f t="shared" ref="Q12:X12" ca="1" si="3">MATCH(Q10,OFFSET(PE_WP,-1,0,1,),0)</f>
        <v>11</v>
      </c>
      <c r="R12" s="126">
        <f t="shared" ca="1" si="3"/>
        <v>12</v>
      </c>
      <c r="S12" s="126">
        <f t="shared" ca="1" si="3"/>
        <v>13</v>
      </c>
      <c r="T12" s="126">
        <f t="shared" ca="1" si="3"/>
        <v>14</v>
      </c>
      <c r="U12" s="126">
        <f t="shared" ca="1" si="3"/>
        <v>15</v>
      </c>
      <c r="V12" s="126">
        <f t="shared" ca="1" si="3"/>
        <v>16</v>
      </c>
      <c r="W12" s="126">
        <f t="shared" ca="1" si="3"/>
        <v>17</v>
      </c>
      <c r="X12" s="126">
        <f t="shared" ca="1" si="3"/>
        <v>18</v>
      </c>
      <c r="Y12" s="126">
        <f ca="1">MATCH(Y10,OFFSET(PE_WP,-1,0,1,),0)</f>
        <v>19</v>
      </c>
      <c r="Z12" s="126">
        <f ca="1">MATCH(Z10,OFFSET(PE_WP,-1,0,1,),0)</f>
        <v>20</v>
      </c>
      <c r="AA12" s="126">
        <f ca="1">MATCH(AA10,OFFSET(PE_WP,-1,0,1,),0)</f>
        <v>21</v>
      </c>
      <c r="AB12" s="126">
        <f ca="1">MATCH(AB10,OFFSET(PE_WP,-1,0,1,),0)</f>
        <v>22</v>
      </c>
    </row>
    <row r="13" spans="1:28" x14ac:dyDescent="0.25">
      <c r="A13" s="44" t="s">
        <v>0</v>
      </c>
      <c r="B13" s="45">
        <f t="shared" ref="B13:B57" ca="1" si="4">IFERROR(MATCH(A13,OFFSET(PE_WP,0,0,,1),0),"")</f>
        <v>1</v>
      </c>
      <c r="C13" s="1">
        <f>IF(ISERROR(D13),"",IF(D13="","",MAX($C$12:C12)+1))</f>
        <v>1</v>
      </c>
      <c r="D13" t="str">
        <f t="shared" ref="D13:D57" si="5">VLOOKUP(A13,LUCurYr,2,FALSE)</f>
        <v xml:space="preserve">ALLETE                        </v>
      </c>
      <c r="E13" s="15"/>
      <c r="F13" s="62">
        <f ca="1">IFERROR(AVERAGE(G13:AB13),"N/A")</f>
        <v>18.1432</v>
      </c>
      <c r="G13" s="62">
        <f t="shared" ref="G13:G53" si="6">IFERROR(IF(VLOOKUP($A13,Data2023,4,FALSE)=0,"",VLOOKUP($A13,Data2023,4,FALSE)),"N/A")</f>
        <v>15.4</v>
      </c>
      <c r="H13" s="62">
        <f t="shared" ref="H13:H57" si="7">IFERROR(IF(VLOOKUP($A13,Data2022,3,FALSE)=0,"",VLOOKUP($A13,Data2022,3,FALSE)),"N/A")</f>
        <v>18.100000000000001</v>
      </c>
      <c r="I13" s="62">
        <f t="shared" ref="I13:I57" si="8">IFERROR(IF(VLOOKUP(A13,lucyyr,3,FALSE)=0,"",VLOOKUP(A13,lucyyr,3,FALSE)),"N/A")</f>
        <v>20.6</v>
      </c>
      <c r="J13" s="62">
        <f ca="1">IFERROR(INDEX(PE_WP,$B13,J$12),"N/A")</f>
        <v>18.3</v>
      </c>
      <c r="K13" s="62">
        <f ca="1">IFERROR(INDEX(PE_WP,$B13,K$12),"N/A")</f>
        <v>24.7</v>
      </c>
      <c r="L13" s="62">
        <f ca="1">IFERROR(INDEX(PE_WP,$B13,L$12),"N/A")</f>
        <v>22.2</v>
      </c>
      <c r="M13" s="62">
        <f t="shared" ref="M13:AB13" ca="1" si="9">IFERROR(INDEX(PE_WP,$B13,M$12),"N/A")</f>
        <v>23</v>
      </c>
      <c r="N13" s="62">
        <f t="shared" ca="1" si="9"/>
        <v>18.600000000000001</v>
      </c>
      <c r="O13" s="62">
        <f t="shared" ca="1" si="9"/>
        <v>15.1</v>
      </c>
      <c r="P13" s="62">
        <f t="shared" ca="1" si="9"/>
        <v>17.2</v>
      </c>
      <c r="Q13" s="62">
        <f t="shared" ca="1" si="9"/>
        <v>18.600000000000001</v>
      </c>
      <c r="R13" s="62">
        <f t="shared" ca="1" si="9"/>
        <v>15.9</v>
      </c>
      <c r="S13" s="62">
        <f t="shared" ca="1" si="9"/>
        <v>14.7</v>
      </c>
      <c r="T13" s="62">
        <f t="shared" ca="1" si="9"/>
        <v>16</v>
      </c>
      <c r="U13" s="62">
        <f t="shared" ca="1" si="9"/>
        <v>16.100000000000001</v>
      </c>
      <c r="V13" s="62">
        <f t="shared" ca="1" si="9"/>
        <v>13.9</v>
      </c>
      <c r="W13" s="62">
        <f t="shared" ca="1" si="9"/>
        <v>14.8</v>
      </c>
      <c r="X13" s="62">
        <f t="shared" ca="1" si="9"/>
        <v>16.545000000000002</v>
      </c>
      <c r="Y13" s="62">
        <f t="shared" ca="1" si="9"/>
        <v>17.905999999999999</v>
      </c>
      <c r="Z13" s="62">
        <f t="shared" ca="1" si="9"/>
        <v>25.213000000000001</v>
      </c>
      <c r="AA13" s="62" t="str">
        <f t="shared" ca="1" si="9"/>
        <v>N/A</v>
      </c>
      <c r="AB13" s="62" t="str">
        <f t="shared" ca="1" si="9"/>
        <v>N/A</v>
      </c>
    </row>
    <row r="14" spans="1:28" x14ac:dyDescent="0.25">
      <c r="A14" s="44" t="s">
        <v>1</v>
      </c>
      <c r="B14" s="45">
        <f t="shared" ca="1" si="4"/>
        <v>2</v>
      </c>
      <c r="C14" s="1">
        <f>IF(ISERROR(D14),"",IF(D14="","",MAX($C$12:C13)+1))</f>
        <v>2</v>
      </c>
      <c r="D14" t="str">
        <f t="shared" si="5"/>
        <v xml:space="preserve">Alliant Energy                </v>
      </c>
      <c r="E14" s="15"/>
      <c r="F14" s="62">
        <f t="shared" ref="F14:F57" ca="1" si="10">IFERROR(AVERAGE(G14:AB14),"N/A")</f>
        <v>16.974363636363638</v>
      </c>
      <c r="G14" s="62">
        <f t="shared" si="6"/>
        <v>16.5</v>
      </c>
      <c r="H14" s="62">
        <f t="shared" si="7"/>
        <v>21.4</v>
      </c>
      <c r="I14" s="62">
        <f t="shared" si="8"/>
        <v>21.2</v>
      </c>
      <c r="J14" s="62">
        <f t="shared" ref="J14:K33" ca="1" si="11">IFERROR(INDEX(PE_WP,$B14,J$12),"N/A")</f>
        <v>21.2</v>
      </c>
      <c r="K14" s="62">
        <f t="shared" ca="1" si="11"/>
        <v>21.2</v>
      </c>
      <c r="L14" s="62">
        <f t="shared" ref="L14:M28" ca="1" si="12">IFERROR(INDEX(PE_WP,$B14,L$12),"N/A")</f>
        <v>19.100000000000001</v>
      </c>
      <c r="M14" s="62">
        <f t="shared" ca="1" si="12"/>
        <v>20.6</v>
      </c>
      <c r="N14" s="62">
        <f t="shared" ref="N14:AB30" ca="1" si="13">IFERROR(INDEX(PE_WP,$B14,N$12),"N/A")</f>
        <v>22.3</v>
      </c>
      <c r="O14" s="62">
        <f t="shared" ca="1" si="13"/>
        <v>18.100000000000001</v>
      </c>
      <c r="P14" s="62">
        <f t="shared" ca="1" si="13"/>
        <v>16.600000000000001</v>
      </c>
      <c r="Q14" s="62">
        <f t="shared" ca="1" si="13"/>
        <v>15.3</v>
      </c>
      <c r="R14" s="62">
        <f t="shared" ca="1" si="13"/>
        <v>14.5</v>
      </c>
      <c r="S14" s="62">
        <f t="shared" ca="1" si="13"/>
        <v>14.5</v>
      </c>
      <c r="T14" s="62">
        <f t="shared" ca="1" si="13"/>
        <v>12.5</v>
      </c>
      <c r="U14" s="62">
        <f t="shared" ca="1" si="13"/>
        <v>13.9</v>
      </c>
      <c r="V14" s="62">
        <f t="shared" ca="1" si="13"/>
        <v>13.4</v>
      </c>
      <c r="W14" s="62">
        <f t="shared" ca="1" si="13"/>
        <v>15.1</v>
      </c>
      <c r="X14" s="62">
        <f t="shared" ca="1" si="13"/>
        <v>16.82</v>
      </c>
      <c r="Y14" s="62">
        <f t="shared" ca="1" si="13"/>
        <v>12.587999999999999</v>
      </c>
      <c r="Z14" s="62">
        <f t="shared" ca="1" si="13"/>
        <v>14.002000000000001</v>
      </c>
      <c r="AA14" s="62">
        <f t="shared" ca="1" si="13"/>
        <v>12.692</v>
      </c>
      <c r="AB14" s="62">
        <f t="shared" ca="1" si="13"/>
        <v>19.934000000000001</v>
      </c>
    </row>
    <row r="15" spans="1:28" x14ac:dyDescent="0.25">
      <c r="A15" s="44" t="s">
        <v>3</v>
      </c>
      <c r="B15" s="45">
        <f t="shared" ca="1" si="4"/>
        <v>5</v>
      </c>
      <c r="C15" s="1">
        <f>IF(ISERROR(D15),"",IF(D15="","",MAX($C$12:C14)+1))</f>
        <v>3</v>
      </c>
      <c r="D15" t="str">
        <f t="shared" si="5"/>
        <v xml:space="preserve">Ameren Corp.                  </v>
      </c>
      <c r="E15" s="15"/>
      <c r="F15" s="62">
        <f t="shared" ca="1" si="10"/>
        <v>16.730045454545454</v>
      </c>
      <c r="G15" s="62">
        <f t="shared" si="6"/>
        <v>15.4</v>
      </c>
      <c r="H15" s="62">
        <f t="shared" si="7"/>
        <v>21.5</v>
      </c>
      <c r="I15" s="62">
        <f t="shared" si="8"/>
        <v>21.4</v>
      </c>
      <c r="J15" s="62">
        <f t="shared" ca="1" si="11"/>
        <v>22.2</v>
      </c>
      <c r="K15" s="62">
        <f t="shared" ca="1" si="11"/>
        <v>22.1</v>
      </c>
      <c r="L15" s="62">
        <f t="shared" ca="1" si="12"/>
        <v>18.3</v>
      </c>
      <c r="M15" s="62">
        <f t="shared" ca="1" si="12"/>
        <v>20.6</v>
      </c>
      <c r="N15" s="62">
        <f t="shared" ca="1" si="13"/>
        <v>18.3</v>
      </c>
      <c r="O15" s="62">
        <f t="shared" ca="1" si="13"/>
        <v>17.5</v>
      </c>
      <c r="P15" s="62">
        <f t="shared" ca="1" si="13"/>
        <v>16.7</v>
      </c>
      <c r="Q15" s="62">
        <f t="shared" ca="1" si="13"/>
        <v>16.5</v>
      </c>
      <c r="R15" s="62">
        <f t="shared" ca="1" si="13"/>
        <v>13.4</v>
      </c>
      <c r="S15" s="62">
        <f t="shared" ca="1" si="13"/>
        <v>11.9</v>
      </c>
      <c r="T15" s="62">
        <f t="shared" ca="1" si="13"/>
        <v>9.6999999999999993</v>
      </c>
      <c r="U15" s="62">
        <f t="shared" ca="1" si="13"/>
        <v>9.3000000000000007</v>
      </c>
      <c r="V15" s="62">
        <f t="shared" ca="1" si="13"/>
        <v>14.2</v>
      </c>
      <c r="W15" s="62">
        <f t="shared" ca="1" si="13"/>
        <v>17.399999999999999</v>
      </c>
      <c r="X15" s="62">
        <f t="shared" ca="1" si="13"/>
        <v>19.385000000000002</v>
      </c>
      <c r="Y15" s="62">
        <f t="shared" ca="1" si="13"/>
        <v>16.716000000000001</v>
      </c>
      <c r="Z15" s="62">
        <f t="shared" ca="1" si="13"/>
        <v>16.276</v>
      </c>
      <c r="AA15" s="62">
        <f t="shared" ca="1" si="13"/>
        <v>13.505000000000001</v>
      </c>
      <c r="AB15" s="62">
        <f t="shared" ca="1" si="13"/>
        <v>15.779</v>
      </c>
    </row>
    <row r="16" spans="1:28" x14ac:dyDescent="0.25">
      <c r="A16" s="44" t="s">
        <v>2</v>
      </c>
      <c r="B16" s="45">
        <f t="shared" ca="1" si="4"/>
        <v>6</v>
      </c>
      <c r="C16" s="1">
        <f>IF(ISERROR(D16),"",IF(D16="","",MAX($C$12:C15)+1))</f>
        <v>4</v>
      </c>
      <c r="D16" t="str">
        <f t="shared" si="5"/>
        <v>American Electric Power</v>
      </c>
      <c r="E16" s="15"/>
      <c r="F16" s="62">
        <f t="shared" ca="1" si="10"/>
        <v>15.134545454545453</v>
      </c>
      <c r="G16" s="62">
        <f t="shared" si="6"/>
        <v>14.2</v>
      </c>
      <c r="H16" s="62">
        <f t="shared" si="7"/>
        <v>21.1</v>
      </c>
      <c r="I16" s="62">
        <f t="shared" si="8"/>
        <v>17.100000000000001</v>
      </c>
      <c r="J16" s="62">
        <f t="shared" ca="1" si="11"/>
        <v>19.600000000000001</v>
      </c>
      <c r="K16" s="62">
        <f t="shared" ca="1" si="11"/>
        <v>21.4</v>
      </c>
      <c r="L16" s="62">
        <f t="shared" ca="1" si="12"/>
        <v>18</v>
      </c>
      <c r="M16" s="62">
        <f t="shared" ca="1" si="12"/>
        <v>19.3</v>
      </c>
      <c r="N16" s="62">
        <f t="shared" ca="1" si="13"/>
        <v>15.2</v>
      </c>
      <c r="O16" s="62">
        <f t="shared" ca="1" si="13"/>
        <v>15.8</v>
      </c>
      <c r="P16" s="62">
        <f t="shared" ca="1" si="13"/>
        <v>15.9</v>
      </c>
      <c r="Q16" s="62">
        <f t="shared" ca="1" si="13"/>
        <v>14.5</v>
      </c>
      <c r="R16" s="62">
        <f t="shared" ca="1" si="13"/>
        <v>13.8</v>
      </c>
      <c r="S16" s="62">
        <f t="shared" ca="1" si="13"/>
        <v>11.9</v>
      </c>
      <c r="T16" s="62">
        <f t="shared" ca="1" si="13"/>
        <v>13.4</v>
      </c>
      <c r="U16" s="62">
        <f t="shared" ca="1" si="13"/>
        <v>10</v>
      </c>
      <c r="V16" s="62">
        <f t="shared" ca="1" si="13"/>
        <v>13.1</v>
      </c>
      <c r="W16" s="62">
        <f t="shared" ca="1" si="13"/>
        <v>16.3</v>
      </c>
      <c r="X16" s="62">
        <f t="shared" ca="1" si="13"/>
        <v>12.906000000000001</v>
      </c>
      <c r="Y16" s="62">
        <f t="shared" ca="1" si="13"/>
        <v>13.695</v>
      </c>
      <c r="Z16" s="62">
        <f t="shared" ca="1" si="13"/>
        <v>12.420999999999999</v>
      </c>
      <c r="AA16" s="62">
        <f t="shared" ca="1" si="13"/>
        <v>10.662000000000001</v>
      </c>
      <c r="AB16" s="62">
        <f t="shared" ca="1" si="13"/>
        <v>12.676</v>
      </c>
    </row>
    <row r="17" spans="1:28" x14ac:dyDescent="0.25">
      <c r="A17" s="44" t="s">
        <v>260</v>
      </c>
      <c r="B17" s="45">
        <f t="shared" ca="1" si="4"/>
        <v>9</v>
      </c>
      <c r="C17" s="1">
        <f>IF(ISERROR(D17),"",IF(D17="","",MAX($C$12:C16)+1))</f>
        <v>5</v>
      </c>
      <c r="D17" t="str">
        <f t="shared" si="5"/>
        <v>Avangrid, Inc.</v>
      </c>
      <c r="E17" s="15"/>
      <c r="F17" s="62">
        <f t="shared" ca="1" si="10"/>
        <v>23.68888888888889</v>
      </c>
      <c r="G17" s="62">
        <f t="shared" si="6"/>
        <v>16.3</v>
      </c>
      <c r="H17" s="62">
        <f t="shared" si="7"/>
        <v>19.600000000000001</v>
      </c>
      <c r="I17" s="62">
        <f t="shared" si="8"/>
        <v>23.2</v>
      </c>
      <c r="J17" s="62">
        <f t="shared" ca="1" si="11"/>
        <v>23.6</v>
      </c>
      <c r="K17" s="62">
        <f t="shared" ca="1" si="11"/>
        <v>23.1</v>
      </c>
      <c r="L17" s="62">
        <f t="shared" ca="1" si="12"/>
        <v>26.1</v>
      </c>
      <c r="M17" s="62">
        <f t="shared" ca="1" si="12"/>
        <v>27.3</v>
      </c>
      <c r="N17" s="62">
        <f t="shared" ca="1" si="13"/>
        <v>20.5</v>
      </c>
      <c r="O17" s="62">
        <f t="shared" ca="1" si="13"/>
        <v>33.5</v>
      </c>
      <c r="P17" s="62" t="str">
        <f t="shared" ca="1" si="13"/>
        <v>N/A</v>
      </c>
      <c r="Q17" s="62" t="str">
        <f t="shared" ca="1" si="13"/>
        <v>N/A</v>
      </c>
      <c r="R17" s="62" t="str">
        <f t="shared" ca="1" si="13"/>
        <v>N/A</v>
      </c>
      <c r="S17" s="62" t="str">
        <f t="shared" ca="1" si="13"/>
        <v>N/A</v>
      </c>
      <c r="T17" s="62" t="str">
        <f t="shared" ca="1" si="13"/>
        <v>N/A</v>
      </c>
      <c r="U17" s="62" t="str">
        <f t="shared" ca="1" si="13"/>
        <v>N/A</v>
      </c>
      <c r="V17" s="62" t="str">
        <f t="shared" ca="1" si="13"/>
        <v>N/A</v>
      </c>
      <c r="W17" s="62" t="str">
        <f t="shared" ca="1" si="13"/>
        <v>N/A</v>
      </c>
      <c r="X17" s="62" t="str">
        <f t="shared" ca="1" si="13"/>
        <v>N/A</v>
      </c>
      <c r="Y17" s="62" t="str">
        <f t="shared" ca="1" si="13"/>
        <v>N/A</v>
      </c>
      <c r="Z17" s="62" t="str">
        <f t="shared" ca="1" si="13"/>
        <v>N/A</v>
      </c>
      <c r="AA17" s="62" t="str">
        <f t="shared" ca="1" si="13"/>
        <v>N/A</v>
      </c>
      <c r="AB17" s="62" t="str">
        <f t="shared" ca="1" si="13"/>
        <v>N/A</v>
      </c>
    </row>
    <row r="18" spans="1:28" x14ac:dyDescent="0.25">
      <c r="A18" s="44" t="s">
        <v>4</v>
      </c>
      <c r="B18" s="45">
        <f t="shared" ca="1" si="4"/>
        <v>10</v>
      </c>
      <c r="C18" s="1">
        <f>IF(ISERROR(D18),"",IF(D18="","",MAX($C$12:C17)+1))</f>
        <v>6</v>
      </c>
      <c r="D18" t="str">
        <f t="shared" si="5"/>
        <v xml:space="preserve">Avista Corp.                  </v>
      </c>
      <c r="E18" s="15"/>
      <c r="F18" s="62">
        <f t="shared" ca="1" si="10"/>
        <v>18.31731818181818</v>
      </c>
      <c r="G18" s="62">
        <f t="shared" si="6"/>
        <v>14.6</v>
      </c>
      <c r="H18" s="62">
        <f t="shared" si="7"/>
        <v>20</v>
      </c>
      <c r="I18" s="62">
        <f t="shared" si="8"/>
        <v>20.2</v>
      </c>
      <c r="J18" s="62">
        <f t="shared" ca="1" si="11"/>
        <v>21.2</v>
      </c>
      <c r="K18" s="62">
        <f t="shared" ca="1" si="11"/>
        <v>15</v>
      </c>
      <c r="L18" s="62">
        <f t="shared" ca="1" si="12"/>
        <v>24.5</v>
      </c>
      <c r="M18" s="62">
        <f t="shared" ca="1" si="12"/>
        <v>23.4</v>
      </c>
      <c r="N18" s="62">
        <f t="shared" ca="1" si="13"/>
        <v>18.8</v>
      </c>
      <c r="O18" s="62">
        <f t="shared" ca="1" si="13"/>
        <v>17.600000000000001</v>
      </c>
      <c r="P18" s="62">
        <f t="shared" ca="1" si="13"/>
        <v>17.3</v>
      </c>
      <c r="Q18" s="62">
        <f t="shared" ca="1" si="13"/>
        <v>14.6</v>
      </c>
      <c r="R18" s="62">
        <f t="shared" ca="1" si="13"/>
        <v>19.3</v>
      </c>
      <c r="S18" s="62">
        <f t="shared" ca="1" si="13"/>
        <v>14.1</v>
      </c>
      <c r="T18" s="62">
        <f t="shared" ca="1" si="13"/>
        <v>12.7</v>
      </c>
      <c r="U18" s="62">
        <f t="shared" ca="1" si="13"/>
        <v>11.4</v>
      </c>
      <c r="V18" s="62">
        <f t="shared" ca="1" si="13"/>
        <v>15</v>
      </c>
      <c r="W18" s="62">
        <f t="shared" ca="1" si="13"/>
        <v>30.9</v>
      </c>
      <c r="X18" s="62">
        <f t="shared" ca="1" si="13"/>
        <v>15.39</v>
      </c>
      <c r="Y18" s="62">
        <f t="shared" ca="1" si="13"/>
        <v>19.446999999999999</v>
      </c>
      <c r="Z18" s="62">
        <f t="shared" ca="1" si="13"/>
        <v>24.431999999999999</v>
      </c>
      <c r="AA18" s="62">
        <f t="shared" ca="1" si="13"/>
        <v>13.842000000000001</v>
      </c>
      <c r="AB18" s="62">
        <f t="shared" ca="1" si="13"/>
        <v>19.27</v>
      </c>
    </row>
    <row r="19" spans="1:28" x14ac:dyDescent="0.25">
      <c r="A19" s="44" t="s">
        <v>5</v>
      </c>
      <c r="B19" s="45">
        <f t="shared" ca="1" si="4"/>
        <v>11</v>
      </c>
      <c r="C19" s="1">
        <f>IF(ISERROR(D19),"",IF(D19="","",MAX($C$12:C18)+1))</f>
        <v>7</v>
      </c>
      <c r="D19" t="str">
        <f t="shared" si="5"/>
        <v xml:space="preserve">Black Hills                   </v>
      </c>
      <c r="E19" s="15"/>
      <c r="F19" s="62">
        <f t="shared" ca="1" si="10"/>
        <v>17.615476190476187</v>
      </c>
      <c r="G19" s="62">
        <f t="shared" si="6"/>
        <v>14.2</v>
      </c>
      <c r="H19" s="62">
        <f t="shared" si="7"/>
        <v>18.100000000000001</v>
      </c>
      <c r="I19" s="62">
        <f t="shared" si="8"/>
        <v>17.7</v>
      </c>
      <c r="J19" s="62">
        <f t="shared" ca="1" si="11"/>
        <v>17</v>
      </c>
      <c r="K19" s="62">
        <f t="shared" ca="1" si="11"/>
        <v>21.2</v>
      </c>
      <c r="L19" s="62">
        <f t="shared" ca="1" si="12"/>
        <v>16.8</v>
      </c>
      <c r="M19" s="62">
        <f t="shared" ca="1" si="12"/>
        <v>19.5</v>
      </c>
      <c r="N19" s="62">
        <f t="shared" ca="1" si="13"/>
        <v>22.3</v>
      </c>
      <c r="O19" s="62">
        <f t="shared" ca="1" si="13"/>
        <v>16.100000000000001</v>
      </c>
      <c r="P19" s="62">
        <f t="shared" ca="1" si="13"/>
        <v>19</v>
      </c>
      <c r="Q19" s="62">
        <f t="shared" ca="1" si="13"/>
        <v>18.2</v>
      </c>
      <c r="R19" s="62">
        <f t="shared" ca="1" si="13"/>
        <v>17.100000000000001</v>
      </c>
      <c r="S19" s="62">
        <f t="shared" ca="1" si="13"/>
        <v>31.1</v>
      </c>
      <c r="T19" s="62">
        <f t="shared" ca="1" si="13"/>
        <v>18.100000000000001</v>
      </c>
      <c r="U19" s="62">
        <f t="shared" ca="1" si="13"/>
        <v>9.9</v>
      </c>
      <c r="V19" s="62" t="str">
        <f t="shared" ca="1" si="13"/>
        <v>NMF</v>
      </c>
      <c r="W19" s="62">
        <f t="shared" ca="1" si="13"/>
        <v>15</v>
      </c>
      <c r="X19" s="62">
        <f t="shared" ca="1" si="13"/>
        <v>15.766999999999999</v>
      </c>
      <c r="Y19" s="62">
        <f t="shared" ca="1" si="13"/>
        <v>17.265000000000001</v>
      </c>
      <c r="Z19" s="62">
        <f t="shared" ca="1" si="13"/>
        <v>17.129000000000001</v>
      </c>
      <c r="AA19" s="62">
        <f t="shared" ca="1" si="13"/>
        <v>15.949</v>
      </c>
      <c r="AB19" s="62">
        <f t="shared" ca="1" si="13"/>
        <v>12.515000000000001</v>
      </c>
    </row>
    <row r="20" spans="1:28" x14ac:dyDescent="0.25">
      <c r="A20" s="44" t="s">
        <v>6</v>
      </c>
      <c r="B20" s="45">
        <f t="shared" ca="1" si="4"/>
        <v>13</v>
      </c>
      <c r="C20" s="1">
        <f>IF(ISERROR(D20),"",IF(D20="","",MAX($C$12:C19)+1))</f>
        <v>8</v>
      </c>
      <c r="D20" t="str">
        <f t="shared" si="5"/>
        <v xml:space="preserve">CenterPoint Energy            </v>
      </c>
      <c r="E20" s="15"/>
      <c r="F20" s="62">
        <f t="shared" ca="1" si="10"/>
        <v>16.804454545454547</v>
      </c>
      <c r="G20" s="62">
        <f t="shared" si="6"/>
        <v>18.8</v>
      </c>
      <c r="H20" s="62">
        <f t="shared" si="7"/>
        <v>18.7</v>
      </c>
      <c r="I20" s="62">
        <f t="shared" si="8"/>
        <v>26.1</v>
      </c>
      <c r="J20" s="62">
        <f t="shared" ca="1" si="11"/>
        <v>15.9</v>
      </c>
      <c r="K20" s="62">
        <f t="shared" ca="1" si="11"/>
        <v>19.5</v>
      </c>
      <c r="L20" s="62">
        <f t="shared" ca="1" si="12"/>
        <v>37</v>
      </c>
      <c r="M20" s="62">
        <f t="shared" ca="1" si="12"/>
        <v>17.899999999999999</v>
      </c>
      <c r="N20" s="62">
        <f t="shared" ca="1" si="13"/>
        <v>21.9</v>
      </c>
      <c r="O20" s="62">
        <f t="shared" ca="1" si="13"/>
        <v>18.100000000000001</v>
      </c>
      <c r="P20" s="62">
        <f t="shared" ca="1" si="13"/>
        <v>17</v>
      </c>
      <c r="Q20" s="62">
        <f t="shared" ca="1" si="13"/>
        <v>18.7</v>
      </c>
      <c r="R20" s="62">
        <f t="shared" ca="1" si="13"/>
        <v>14.8</v>
      </c>
      <c r="S20" s="62">
        <f t="shared" ca="1" si="13"/>
        <v>14.6</v>
      </c>
      <c r="T20" s="62">
        <f t="shared" ca="1" si="13"/>
        <v>13.8</v>
      </c>
      <c r="U20" s="62">
        <f t="shared" ca="1" si="13"/>
        <v>11.8</v>
      </c>
      <c r="V20" s="62">
        <f t="shared" ca="1" si="13"/>
        <v>11.3</v>
      </c>
      <c r="W20" s="62">
        <f t="shared" ca="1" si="13"/>
        <v>15</v>
      </c>
      <c r="X20" s="62">
        <f t="shared" ca="1" si="13"/>
        <v>10.265000000000001</v>
      </c>
      <c r="Y20" s="62">
        <f t="shared" ca="1" si="13"/>
        <v>19.055</v>
      </c>
      <c r="Z20" s="62">
        <f t="shared" ca="1" si="13"/>
        <v>17.841000000000001</v>
      </c>
      <c r="AA20" s="62">
        <f t="shared" ca="1" si="13"/>
        <v>6.0469999999999997</v>
      </c>
      <c r="AB20" s="62">
        <f t="shared" ca="1" si="13"/>
        <v>5.59</v>
      </c>
    </row>
    <row r="21" spans="1:28" x14ac:dyDescent="0.25">
      <c r="A21" s="44" t="s">
        <v>9</v>
      </c>
      <c r="B21" s="45">
        <f t="shared" ca="1" si="4"/>
        <v>17</v>
      </c>
      <c r="C21" s="1">
        <f>IF(ISERROR(D21),"",IF(D21="","",MAX($C$12:C20)+1))</f>
        <v>9</v>
      </c>
      <c r="D21" t="str">
        <f t="shared" si="5"/>
        <v xml:space="preserve">CMS Energy Corp.              </v>
      </c>
      <c r="E21" s="15"/>
      <c r="F21" s="62">
        <f t="shared" ca="1" si="10"/>
        <v>18.27835</v>
      </c>
      <c r="G21" s="62">
        <f t="shared" si="6"/>
        <v>17.399999999999999</v>
      </c>
      <c r="H21" s="62">
        <f t="shared" si="7"/>
        <v>22.9</v>
      </c>
      <c r="I21" s="62">
        <f t="shared" si="8"/>
        <v>23.6</v>
      </c>
      <c r="J21" s="62">
        <f t="shared" ca="1" si="11"/>
        <v>23.3</v>
      </c>
      <c r="K21" s="62">
        <f t="shared" ca="1" si="11"/>
        <v>24.3</v>
      </c>
      <c r="L21" s="62">
        <f t="shared" ca="1" si="12"/>
        <v>20.3</v>
      </c>
      <c r="M21" s="62">
        <f t="shared" ca="1" si="12"/>
        <v>21.3</v>
      </c>
      <c r="N21" s="62">
        <f t="shared" ca="1" si="13"/>
        <v>20.9</v>
      </c>
      <c r="O21" s="62">
        <f t="shared" ca="1" si="13"/>
        <v>18.3</v>
      </c>
      <c r="P21" s="62">
        <f t="shared" ca="1" si="13"/>
        <v>17.3</v>
      </c>
      <c r="Q21" s="62">
        <f t="shared" ca="1" si="13"/>
        <v>16.3</v>
      </c>
      <c r="R21" s="62">
        <f t="shared" ca="1" si="13"/>
        <v>15.1</v>
      </c>
      <c r="S21" s="62">
        <f t="shared" ca="1" si="13"/>
        <v>13.6</v>
      </c>
      <c r="T21" s="62">
        <f t="shared" ca="1" si="13"/>
        <v>12.5</v>
      </c>
      <c r="U21" s="62">
        <f t="shared" ca="1" si="13"/>
        <v>13.6</v>
      </c>
      <c r="V21" s="62">
        <f t="shared" ca="1" si="13"/>
        <v>10.9</v>
      </c>
      <c r="W21" s="62">
        <f t="shared" ca="1" si="13"/>
        <v>26.8</v>
      </c>
      <c r="X21" s="62">
        <f t="shared" ca="1" si="13"/>
        <v>22.181000000000001</v>
      </c>
      <c r="Y21" s="62">
        <f t="shared" ca="1" si="13"/>
        <v>12.601000000000001</v>
      </c>
      <c r="Z21" s="62">
        <f t="shared" ca="1" si="13"/>
        <v>12.385</v>
      </c>
      <c r="AA21" s="62" t="str">
        <f t="shared" ca="1" si="13"/>
        <v>N/A</v>
      </c>
      <c r="AB21" s="62" t="str">
        <f t="shared" ca="1" si="13"/>
        <v>N/A</v>
      </c>
    </row>
    <row r="22" spans="1:28" x14ac:dyDescent="0.25">
      <c r="A22" s="44" t="s">
        <v>10</v>
      </c>
      <c r="B22" s="45">
        <f t="shared" ca="1" si="4"/>
        <v>19</v>
      </c>
      <c r="C22" s="1">
        <f>IF(ISERROR(D22),"",IF(D22="","",MAX($C$12:C21)+1))</f>
        <v>10</v>
      </c>
      <c r="D22" t="str">
        <f t="shared" si="5"/>
        <v xml:space="preserve">Consol. Edison                </v>
      </c>
      <c r="E22" s="15"/>
      <c r="F22" s="62">
        <f t="shared" ca="1" si="10"/>
        <v>16.118227272727278</v>
      </c>
      <c r="G22" s="62">
        <f t="shared" si="6"/>
        <v>17.7</v>
      </c>
      <c r="H22" s="62">
        <f t="shared" si="7"/>
        <v>20.3</v>
      </c>
      <c r="I22" s="62">
        <f t="shared" si="8"/>
        <v>17.2</v>
      </c>
      <c r="J22" s="62">
        <f t="shared" ca="1" si="11"/>
        <v>19</v>
      </c>
      <c r="K22" s="62">
        <f t="shared" ca="1" si="11"/>
        <v>19.7</v>
      </c>
      <c r="L22" s="62">
        <f t="shared" ca="1" si="12"/>
        <v>17.100000000000001</v>
      </c>
      <c r="M22" s="62">
        <f t="shared" ca="1" si="12"/>
        <v>19.8</v>
      </c>
      <c r="N22" s="62">
        <f t="shared" ca="1" si="13"/>
        <v>18.8</v>
      </c>
      <c r="O22" s="62">
        <f t="shared" ca="1" si="13"/>
        <v>15.6</v>
      </c>
      <c r="P22" s="62">
        <f t="shared" ca="1" si="13"/>
        <v>15.9</v>
      </c>
      <c r="Q22" s="62">
        <f t="shared" ca="1" si="13"/>
        <v>14.7</v>
      </c>
      <c r="R22" s="62">
        <f t="shared" ca="1" si="13"/>
        <v>15.4</v>
      </c>
      <c r="S22" s="62">
        <f t="shared" ca="1" si="13"/>
        <v>15.1</v>
      </c>
      <c r="T22" s="62">
        <f t="shared" ca="1" si="13"/>
        <v>13.3</v>
      </c>
      <c r="U22" s="62">
        <f t="shared" ca="1" si="13"/>
        <v>12.5</v>
      </c>
      <c r="V22" s="62">
        <f t="shared" ca="1" si="13"/>
        <v>12.3</v>
      </c>
      <c r="W22" s="62">
        <f t="shared" ca="1" si="13"/>
        <v>13.8</v>
      </c>
      <c r="X22" s="62">
        <f t="shared" ca="1" si="13"/>
        <v>15.484999999999999</v>
      </c>
      <c r="Y22" s="62">
        <f t="shared" ca="1" si="13"/>
        <v>15.129</v>
      </c>
      <c r="Z22" s="62">
        <f t="shared" ca="1" si="13"/>
        <v>18.209</v>
      </c>
      <c r="AA22" s="62">
        <f t="shared" ca="1" si="13"/>
        <v>14.3</v>
      </c>
      <c r="AB22" s="62">
        <f t="shared" ca="1" si="13"/>
        <v>13.278</v>
      </c>
    </row>
    <row r="23" spans="1:28" x14ac:dyDescent="0.25">
      <c r="A23" s="44" t="s">
        <v>11</v>
      </c>
      <c r="B23" s="45">
        <f t="shared" ca="1" si="4"/>
        <v>21</v>
      </c>
      <c r="C23" s="1">
        <f>IF(ISERROR(D23),"",IF(D23="","",MAX($C$12:C22)+1))</f>
        <v>11</v>
      </c>
      <c r="D23" t="str">
        <f t="shared" si="5"/>
        <v xml:space="preserve">Dominion Resources            </v>
      </c>
      <c r="E23" s="15"/>
      <c r="F23" s="62">
        <f t="shared" ca="1" si="10"/>
        <v>18.337636363636367</v>
      </c>
      <c r="G23" s="62">
        <f t="shared" si="6"/>
        <v>18.3</v>
      </c>
      <c r="H23" s="62">
        <f t="shared" si="7"/>
        <v>18.7</v>
      </c>
      <c r="I23" s="62">
        <f t="shared" si="8"/>
        <v>19.5</v>
      </c>
      <c r="J23" s="62">
        <f t="shared" ca="1" si="11"/>
        <v>22.6</v>
      </c>
      <c r="K23" s="62">
        <f t="shared" ca="1" si="11"/>
        <v>18.2</v>
      </c>
      <c r="L23" s="62">
        <f t="shared" ca="1" si="12"/>
        <v>17.5</v>
      </c>
      <c r="M23" s="62">
        <f t="shared" ca="1" si="12"/>
        <v>22.2</v>
      </c>
      <c r="N23" s="62">
        <f t="shared" ca="1" si="13"/>
        <v>21.3</v>
      </c>
      <c r="O23" s="62">
        <f t="shared" ca="1" si="13"/>
        <v>22.1</v>
      </c>
      <c r="P23" s="62">
        <f t="shared" ca="1" si="13"/>
        <v>23</v>
      </c>
      <c r="Q23" s="62">
        <f t="shared" ca="1" si="13"/>
        <v>19.2</v>
      </c>
      <c r="R23" s="62">
        <f t="shared" ca="1" si="13"/>
        <v>18.899999999999999</v>
      </c>
      <c r="S23" s="62">
        <f t="shared" ca="1" si="13"/>
        <v>17.3</v>
      </c>
      <c r="T23" s="62">
        <f t="shared" ca="1" si="13"/>
        <v>14.3</v>
      </c>
      <c r="U23" s="62">
        <f t="shared" ca="1" si="13"/>
        <v>12.7</v>
      </c>
      <c r="V23" s="62">
        <f t="shared" ca="1" si="13"/>
        <v>13.8</v>
      </c>
      <c r="W23" s="62">
        <f t="shared" ca="1" si="13"/>
        <v>20.6</v>
      </c>
      <c r="X23" s="62">
        <f t="shared" ca="1" si="13"/>
        <v>15.976000000000001</v>
      </c>
      <c r="Y23" s="62">
        <f t="shared" ca="1" si="13"/>
        <v>24.893999999999998</v>
      </c>
      <c r="Z23" s="62">
        <f t="shared" ca="1" si="13"/>
        <v>15.071999999999999</v>
      </c>
      <c r="AA23" s="62">
        <f t="shared" ca="1" si="13"/>
        <v>15.241</v>
      </c>
      <c r="AB23" s="62">
        <f t="shared" ca="1" si="13"/>
        <v>12.045</v>
      </c>
    </row>
    <row r="24" spans="1:28" x14ac:dyDescent="0.25">
      <c r="A24" s="44" t="s">
        <v>12</v>
      </c>
      <c r="B24" s="45">
        <f t="shared" ca="1" si="4"/>
        <v>22</v>
      </c>
      <c r="C24" s="1">
        <f>IF(ISERROR(D24),"",IF(D24="","",MAX($C$12:C23)+1))</f>
        <v>12</v>
      </c>
      <c r="D24" t="str">
        <f t="shared" si="5"/>
        <v xml:space="preserve">DTE Energy                    </v>
      </c>
      <c r="E24" s="15"/>
      <c r="F24" s="62">
        <f t="shared" ca="1" si="10"/>
        <v>16.601772727272731</v>
      </c>
      <c r="G24" s="62">
        <f t="shared" si="6"/>
        <v>14.3</v>
      </c>
      <c r="H24" s="62">
        <f t="shared" si="7"/>
        <v>22.4</v>
      </c>
      <c r="I24" s="62">
        <f t="shared" si="8"/>
        <v>30</v>
      </c>
      <c r="J24" s="62">
        <f t="shared" ca="1" si="11"/>
        <v>16.3</v>
      </c>
      <c r="K24" s="62">
        <f t="shared" ca="1" si="11"/>
        <v>19.899999999999999</v>
      </c>
      <c r="L24" s="62">
        <f t="shared" ca="1" si="12"/>
        <v>17.399999999999999</v>
      </c>
      <c r="M24" s="62">
        <f t="shared" ca="1" si="12"/>
        <v>18.600000000000001</v>
      </c>
      <c r="N24" s="62">
        <f t="shared" ca="1" si="13"/>
        <v>19</v>
      </c>
      <c r="O24" s="62">
        <f t="shared" ca="1" si="13"/>
        <v>18.100000000000001</v>
      </c>
      <c r="P24" s="62">
        <f t="shared" ca="1" si="13"/>
        <v>14.9</v>
      </c>
      <c r="Q24" s="62">
        <f t="shared" ca="1" si="13"/>
        <v>17.899999999999999</v>
      </c>
      <c r="R24" s="62">
        <f t="shared" ca="1" si="13"/>
        <v>14.9</v>
      </c>
      <c r="S24" s="62">
        <f t="shared" ca="1" si="13"/>
        <v>13.5</v>
      </c>
      <c r="T24" s="62">
        <f t="shared" ca="1" si="13"/>
        <v>12.3</v>
      </c>
      <c r="U24" s="62">
        <f t="shared" ca="1" si="13"/>
        <v>10.4</v>
      </c>
      <c r="V24" s="62">
        <f t="shared" ca="1" si="13"/>
        <v>14.8</v>
      </c>
      <c r="W24" s="62">
        <f t="shared" ca="1" si="13"/>
        <v>18.3</v>
      </c>
      <c r="X24" s="62">
        <f t="shared" ca="1" si="13"/>
        <v>17.431000000000001</v>
      </c>
      <c r="Y24" s="62">
        <f t="shared" ca="1" si="13"/>
        <v>13.797000000000001</v>
      </c>
      <c r="Z24" s="62">
        <f t="shared" ca="1" si="13"/>
        <v>16.042999999999999</v>
      </c>
      <c r="AA24" s="62">
        <f t="shared" ca="1" si="13"/>
        <v>13.689</v>
      </c>
      <c r="AB24" s="62">
        <f t="shared" ca="1" si="13"/>
        <v>11.279</v>
      </c>
    </row>
    <row r="25" spans="1:28" x14ac:dyDescent="0.25">
      <c r="A25" s="44" t="s">
        <v>13</v>
      </c>
      <c r="B25" s="45">
        <f t="shared" ca="1" si="4"/>
        <v>23</v>
      </c>
      <c r="C25" s="1">
        <f>IF(ISERROR(D25),"",IF(D25="","",MAX($C$12:C24)+1))</f>
        <v>13</v>
      </c>
      <c r="D25" t="str">
        <f t="shared" si="5"/>
        <v xml:space="preserve">Duke Energy                   </v>
      </c>
      <c r="E25" s="15"/>
      <c r="F25" s="62">
        <f t="shared" ca="1" si="10"/>
        <v>17.18823529411765</v>
      </c>
      <c r="G25" s="62">
        <f t="shared" si="6"/>
        <v>16.5</v>
      </c>
      <c r="H25" s="62">
        <f t="shared" si="7"/>
        <v>19.600000000000001</v>
      </c>
      <c r="I25" s="62">
        <f t="shared" si="8"/>
        <v>18.899999999999999</v>
      </c>
      <c r="J25" s="62">
        <f t="shared" ca="1" si="11"/>
        <v>17.100000000000001</v>
      </c>
      <c r="K25" s="62">
        <f t="shared" ca="1" si="11"/>
        <v>17.7</v>
      </c>
      <c r="L25" s="62">
        <f t="shared" ca="1" si="12"/>
        <v>17</v>
      </c>
      <c r="M25" s="62">
        <f t="shared" ca="1" si="12"/>
        <v>19.899999999999999</v>
      </c>
      <c r="N25" s="62">
        <f t="shared" ca="1" si="13"/>
        <v>21.3</v>
      </c>
      <c r="O25" s="62">
        <f t="shared" ca="1" si="13"/>
        <v>18.2</v>
      </c>
      <c r="P25" s="62">
        <f t="shared" ca="1" si="13"/>
        <v>17.899999999999999</v>
      </c>
      <c r="Q25" s="62">
        <f t="shared" ca="1" si="13"/>
        <v>17.399999999999999</v>
      </c>
      <c r="R25" s="62">
        <f t="shared" ca="1" si="13"/>
        <v>17.5</v>
      </c>
      <c r="S25" s="62">
        <f t="shared" ca="1" si="13"/>
        <v>13.8</v>
      </c>
      <c r="T25" s="62">
        <f t="shared" ca="1" si="13"/>
        <v>12.7</v>
      </c>
      <c r="U25" s="62">
        <f t="shared" ca="1" si="13"/>
        <v>13.3</v>
      </c>
      <c r="V25" s="62">
        <f t="shared" ca="1" si="13"/>
        <v>17.3</v>
      </c>
      <c r="W25" s="62">
        <f t="shared" ca="1" si="13"/>
        <v>16.100000000000001</v>
      </c>
      <c r="X25" s="62" t="str">
        <f t="shared" ca="1" si="13"/>
        <v>N/A</v>
      </c>
      <c r="Y25" s="62" t="str">
        <f t="shared" ca="1" si="13"/>
        <v>N/A</v>
      </c>
      <c r="Z25" s="62" t="str">
        <f t="shared" ca="1" si="13"/>
        <v>N/A</v>
      </c>
      <c r="AA25" s="62" t="str">
        <f t="shared" ca="1" si="13"/>
        <v>N/A</v>
      </c>
      <c r="AB25" s="62" t="str">
        <f t="shared" ca="1" si="13"/>
        <v>N/A</v>
      </c>
    </row>
    <row r="26" spans="1:28" x14ac:dyDescent="0.25">
      <c r="A26" s="44" t="s">
        <v>14</v>
      </c>
      <c r="B26" s="45">
        <f t="shared" ca="1" si="4"/>
        <v>24</v>
      </c>
      <c r="C26" s="1">
        <f>IF(ISERROR(D26),"",IF(D26="","",MAX($C$12:C25)+1))</f>
        <v>14</v>
      </c>
      <c r="D26" t="str">
        <f t="shared" si="5"/>
        <v xml:space="preserve">Edison Int'l                  </v>
      </c>
      <c r="E26" s="15"/>
      <c r="F26" s="62">
        <f t="shared" ca="1" si="10"/>
        <v>17.084333333333333</v>
      </c>
      <c r="G26" s="62">
        <f t="shared" si="6"/>
        <v>14.3</v>
      </c>
      <c r="H26" s="62">
        <f t="shared" si="7"/>
        <v>40.6</v>
      </c>
      <c r="I26" s="62">
        <f t="shared" si="8"/>
        <v>29.7</v>
      </c>
      <c r="J26" s="62">
        <f t="shared" ca="1" si="11"/>
        <v>34.9</v>
      </c>
      <c r="K26" s="62">
        <f t="shared" ca="1" si="11"/>
        <v>16.7</v>
      </c>
      <c r="L26" s="62" t="str">
        <f t="shared" ca="1" si="12"/>
        <v>N/A</v>
      </c>
      <c r="M26" s="62">
        <f t="shared" ca="1" si="12"/>
        <v>17.2</v>
      </c>
      <c r="N26" s="62">
        <f t="shared" ca="1" si="13"/>
        <v>17.899999999999999</v>
      </c>
      <c r="O26" s="62">
        <f t="shared" ca="1" si="13"/>
        <v>14.8</v>
      </c>
      <c r="P26" s="62">
        <f t="shared" ca="1" si="13"/>
        <v>13</v>
      </c>
      <c r="Q26" s="62">
        <f t="shared" ca="1" si="13"/>
        <v>12.7</v>
      </c>
      <c r="R26" s="62">
        <f t="shared" ca="1" si="13"/>
        <v>9.6999999999999993</v>
      </c>
      <c r="S26" s="62">
        <f t="shared" ca="1" si="13"/>
        <v>11.8</v>
      </c>
      <c r="T26" s="62">
        <f t="shared" ca="1" si="13"/>
        <v>10.3</v>
      </c>
      <c r="U26" s="62">
        <f t="shared" ca="1" si="13"/>
        <v>9.6999999999999993</v>
      </c>
      <c r="V26" s="62">
        <f t="shared" ca="1" si="13"/>
        <v>12.4</v>
      </c>
      <c r="W26" s="62">
        <f t="shared" ca="1" si="13"/>
        <v>16</v>
      </c>
      <c r="X26" s="62">
        <f t="shared" ca="1" si="13"/>
        <v>12.988</v>
      </c>
      <c r="Y26" s="62">
        <f t="shared" ca="1" si="13"/>
        <v>11.74</v>
      </c>
      <c r="Z26" s="62">
        <f t="shared" ca="1" si="13"/>
        <v>37.591000000000001</v>
      </c>
      <c r="AA26" s="62">
        <f t="shared" ca="1" si="13"/>
        <v>6.968</v>
      </c>
      <c r="AB26" s="62">
        <f t="shared" ca="1" si="13"/>
        <v>7.7839999999999998</v>
      </c>
    </row>
    <row r="27" spans="1:28" x14ac:dyDescent="0.25">
      <c r="A27" s="44" t="s">
        <v>15</v>
      </c>
      <c r="B27" s="45">
        <f t="shared" ca="1" si="4"/>
        <v>25</v>
      </c>
      <c r="C27" s="1">
        <f>IF(ISERROR(D27),"",IF(D27="","",MAX($C$12:C26)+1))</f>
        <v>15</v>
      </c>
      <c r="D27" t="str">
        <f t="shared" si="5"/>
        <v xml:space="preserve">El Paso Electric              </v>
      </c>
      <c r="E27" s="15"/>
      <c r="F27" s="62">
        <f t="shared" ca="1" si="10"/>
        <v>17.679294117647061</v>
      </c>
      <c r="G27" s="62" t="str">
        <f t="shared" si="6"/>
        <v>N/A</v>
      </c>
      <c r="H27" s="62" t="str">
        <f t="shared" si="7"/>
        <v>N/A</v>
      </c>
      <c r="I27" s="62" t="str">
        <f t="shared" si="8"/>
        <v>N/A</v>
      </c>
      <c r="J27" s="62" t="str">
        <f t="shared" ca="1" si="11"/>
        <v>N/A</v>
      </c>
      <c r="K27" s="62" t="str">
        <f t="shared" ca="1" si="11"/>
        <v>N/A</v>
      </c>
      <c r="L27" s="62">
        <f t="shared" ca="1" si="12"/>
        <v>26.849</v>
      </c>
      <c r="M27" s="62">
        <f t="shared" ca="1" si="12"/>
        <v>21.783000000000001</v>
      </c>
      <c r="N27" s="62">
        <f t="shared" ca="1" si="13"/>
        <v>18.657</v>
      </c>
      <c r="O27" s="62">
        <f t="shared" ca="1" si="13"/>
        <v>18.329000000000001</v>
      </c>
      <c r="P27" s="62">
        <f t="shared" ca="1" si="13"/>
        <v>16.382999999999999</v>
      </c>
      <c r="Q27" s="62">
        <f t="shared" ca="1" si="13"/>
        <v>15.879</v>
      </c>
      <c r="R27" s="62">
        <f t="shared" ca="1" si="13"/>
        <v>14.473000000000001</v>
      </c>
      <c r="S27" s="62">
        <f t="shared" ca="1" si="13"/>
        <v>12.595000000000001</v>
      </c>
      <c r="T27" s="62">
        <f t="shared" ca="1" si="13"/>
        <v>10.72</v>
      </c>
      <c r="U27" s="62">
        <f t="shared" ca="1" si="13"/>
        <v>10.792999999999999</v>
      </c>
      <c r="V27" s="62">
        <f t="shared" ca="1" si="13"/>
        <v>11.894</v>
      </c>
      <c r="W27" s="62">
        <f t="shared" ca="1" si="13"/>
        <v>15.26</v>
      </c>
      <c r="X27" s="62">
        <f t="shared" ca="1" si="13"/>
        <v>16.920000000000002</v>
      </c>
      <c r="Y27" s="62">
        <f t="shared" ca="1" si="13"/>
        <v>26.724</v>
      </c>
      <c r="Z27" s="62">
        <f t="shared" ca="1" si="13"/>
        <v>22.033000000000001</v>
      </c>
      <c r="AA27" s="62">
        <f t="shared" ca="1" si="13"/>
        <v>18.263000000000002</v>
      </c>
      <c r="AB27" s="62">
        <f t="shared" ca="1" si="13"/>
        <v>22.992999999999999</v>
      </c>
    </row>
    <row r="28" spans="1:28" x14ac:dyDescent="0.25">
      <c r="A28" s="44" t="s">
        <v>17</v>
      </c>
      <c r="B28" s="45">
        <f t="shared" ca="1" si="4"/>
        <v>27</v>
      </c>
      <c r="C28" s="1">
        <f>IF(ISERROR(D28),"",IF(D28="","",MAX($C$12:C27)+1))</f>
        <v>16</v>
      </c>
      <c r="D28" t="str">
        <f t="shared" si="5"/>
        <v xml:space="preserve">Entergy Corp.                 </v>
      </c>
      <c r="E28" s="15"/>
      <c r="F28" s="62">
        <f t="shared" ca="1" si="10"/>
        <v>13.942772727272727</v>
      </c>
      <c r="G28" s="62">
        <f t="shared" si="6"/>
        <v>9.8000000000000007</v>
      </c>
      <c r="H28" s="62">
        <f t="shared" si="7"/>
        <v>21.1</v>
      </c>
      <c r="I28" s="62">
        <f t="shared" si="8"/>
        <v>15</v>
      </c>
      <c r="J28" s="62">
        <f t="shared" ca="1" si="11"/>
        <v>15.3</v>
      </c>
      <c r="K28" s="62">
        <f t="shared" ca="1" si="11"/>
        <v>16.5</v>
      </c>
      <c r="L28" s="62">
        <f t="shared" ca="1" si="12"/>
        <v>13.8</v>
      </c>
      <c r="M28" s="62">
        <f t="shared" ca="1" si="12"/>
        <v>15</v>
      </c>
      <c r="N28" s="62">
        <f t="shared" ca="1" si="13"/>
        <v>10.9</v>
      </c>
      <c r="O28" s="62">
        <f t="shared" ca="1" si="13"/>
        <v>12.5</v>
      </c>
      <c r="P28" s="62">
        <f t="shared" ca="1" si="13"/>
        <v>12.9</v>
      </c>
      <c r="Q28" s="62">
        <f t="shared" ca="1" si="13"/>
        <v>13.2</v>
      </c>
      <c r="R28" s="62">
        <f t="shared" ca="1" si="13"/>
        <v>11.2</v>
      </c>
      <c r="S28" s="62">
        <f t="shared" ca="1" si="13"/>
        <v>9.1</v>
      </c>
      <c r="T28" s="62">
        <f t="shared" ca="1" si="13"/>
        <v>11.6</v>
      </c>
      <c r="U28" s="62">
        <f t="shared" ca="1" si="13"/>
        <v>12</v>
      </c>
      <c r="V28" s="62">
        <f t="shared" ca="1" si="13"/>
        <v>16.600000000000001</v>
      </c>
      <c r="W28" s="62">
        <f t="shared" ca="1" si="13"/>
        <v>19.3</v>
      </c>
      <c r="X28" s="62">
        <f t="shared" ca="1" si="13"/>
        <v>14.276</v>
      </c>
      <c r="Y28" s="62">
        <f t="shared" ca="1" si="13"/>
        <v>16.282</v>
      </c>
      <c r="Z28" s="62">
        <f t="shared" ca="1" si="13"/>
        <v>15.087</v>
      </c>
      <c r="AA28" s="62">
        <f t="shared" ca="1" si="13"/>
        <v>13.771000000000001</v>
      </c>
      <c r="AB28" s="62">
        <f t="shared" ca="1" si="13"/>
        <v>11.525</v>
      </c>
    </row>
    <row r="29" spans="1:28" x14ac:dyDescent="0.25">
      <c r="A29" s="44" t="s">
        <v>211</v>
      </c>
      <c r="B29" s="45">
        <f t="shared" ca="1" si="4"/>
        <v>28</v>
      </c>
      <c r="C29" s="1">
        <f>IF(ISERROR(D29),"",IF(D29="","",MAX($C$12:C28)+1))</f>
        <v>17</v>
      </c>
      <c r="D29" t="str">
        <f t="shared" si="5"/>
        <v xml:space="preserve">Eversource Energy    </v>
      </c>
      <c r="E29" s="15"/>
      <c r="F29" s="62">
        <f t="shared" ca="1" si="10"/>
        <v>18.268636363636361</v>
      </c>
      <c r="G29" s="62">
        <f t="shared" si="6"/>
        <v>13.1</v>
      </c>
      <c r="H29" s="62">
        <f t="shared" si="7"/>
        <v>20.9</v>
      </c>
      <c r="I29" s="62">
        <f t="shared" si="8"/>
        <v>22.2</v>
      </c>
      <c r="J29" s="62">
        <f t="shared" ca="1" si="11"/>
        <v>23.7</v>
      </c>
      <c r="K29" s="62">
        <f t="shared" ca="1" si="11"/>
        <v>22.1</v>
      </c>
      <c r="L29" s="62">
        <f t="shared" ref="L29:L57" ca="1" si="14">IFERROR(INDEX(PE_WP,$B29,L$12),"N/A")</f>
        <v>18.7</v>
      </c>
      <c r="M29" s="62">
        <f t="shared" ref="M29:M57" ca="1" si="15">IFERROR(INDEX(PE_WP,$B29,M$12),"N/A")</f>
        <v>19.5</v>
      </c>
      <c r="N29" s="62">
        <f t="shared" ca="1" si="13"/>
        <v>18.7</v>
      </c>
      <c r="O29" s="62">
        <f t="shared" ca="1" si="13"/>
        <v>18.100000000000001</v>
      </c>
      <c r="P29" s="62">
        <f t="shared" ca="1" si="13"/>
        <v>17.899999999999999</v>
      </c>
      <c r="Q29" s="62">
        <f t="shared" ca="1" si="13"/>
        <v>16.899999999999999</v>
      </c>
      <c r="R29" s="62">
        <f t="shared" ca="1" si="13"/>
        <v>19.899999999999999</v>
      </c>
      <c r="S29" s="62">
        <f t="shared" ca="1" si="13"/>
        <v>15.4</v>
      </c>
      <c r="T29" s="62">
        <f t="shared" ca="1" si="13"/>
        <v>13.4</v>
      </c>
      <c r="U29" s="62">
        <f t="shared" ca="1" si="13"/>
        <v>12</v>
      </c>
      <c r="V29" s="62">
        <f t="shared" ca="1" si="13"/>
        <v>13.7</v>
      </c>
      <c r="W29" s="62">
        <f t="shared" ca="1" si="13"/>
        <v>18.7</v>
      </c>
      <c r="X29" s="62">
        <f t="shared" ca="1" si="13"/>
        <v>27.065000000000001</v>
      </c>
      <c r="Y29" s="62">
        <f t="shared" ca="1" si="13"/>
        <v>19.757000000000001</v>
      </c>
      <c r="Z29" s="62">
        <f t="shared" ca="1" si="13"/>
        <v>20.768000000000001</v>
      </c>
      <c r="AA29" s="62">
        <f t="shared" ca="1" si="13"/>
        <v>13.353999999999999</v>
      </c>
      <c r="AB29" s="62">
        <f t="shared" ca="1" si="13"/>
        <v>16.065999999999999</v>
      </c>
    </row>
    <row r="30" spans="1:28" x14ac:dyDescent="0.25">
      <c r="A30" s="44" t="s">
        <v>447</v>
      </c>
      <c r="B30" s="45">
        <f t="shared" ca="1" si="4"/>
        <v>29</v>
      </c>
      <c r="C30" s="1">
        <f>IF(ISERROR(D30),"",IF(D30="","",MAX($C$12:C29)+1))</f>
        <v>18</v>
      </c>
      <c r="D30" t="str">
        <f t="shared" si="5"/>
        <v>Evergy, Inc.</v>
      </c>
      <c r="E30" s="15"/>
      <c r="F30" s="62">
        <f t="shared" ca="1" si="10"/>
        <v>19.05</v>
      </c>
      <c r="G30" s="62">
        <f t="shared" si="6"/>
        <v>12</v>
      </c>
      <c r="H30" s="62">
        <f t="shared" si="7"/>
        <v>19.899999999999999</v>
      </c>
      <c r="I30" s="62">
        <f t="shared" si="8"/>
        <v>16.2</v>
      </c>
      <c r="J30" s="62">
        <f t="shared" ca="1" si="11"/>
        <v>21.7</v>
      </c>
      <c r="K30" s="62">
        <f t="shared" ca="1" si="11"/>
        <v>21.8</v>
      </c>
      <c r="L30" s="62">
        <f t="shared" ca="1" si="14"/>
        <v>22.7</v>
      </c>
      <c r="M30" s="62" t="str">
        <f t="shared" ca="1" si="15"/>
        <v>N/A</v>
      </c>
      <c r="N30" s="62" t="str">
        <f t="shared" ca="1" si="13"/>
        <v>N/A</v>
      </c>
      <c r="O30" s="62" t="str">
        <f t="shared" ca="1" si="13"/>
        <v>N/A</v>
      </c>
      <c r="P30" s="62" t="str">
        <f t="shared" ca="1" si="13"/>
        <v>N/A</v>
      </c>
      <c r="Q30" s="62" t="str">
        <f t="shared" ca="1" si="13"/>
        <v>N/A</v>
      </c>
      <c r="R30" s="62" t="str">
        <f t="shared" ca="1" si="13"/>
        <v>N/A</v>
      </c>
      <c r="S30" s="62" t="str">
        <f t="shared" ca="1" si="13"/>
        <v>N/A</v>
      </c>
      <c r="T30" s="62" t="str">
        <f t="shared" ca="1" si="13"/>
        <v>N/A</v>
      </c>
      <c r="U30" s="62" t="str">
        <f t="shared" ca="1" si="13"/>
        <v>N/A</v>
      </c>
      <c r="V30" s="62" t="str">
        <f t="shared" ca="1" si="13"/>
        <v>N/A</v>
      </c>
      <c r="W30" s="62" t="str">
        <f t="shared" ca="1" si="13"/>
        <v>N/A</v>
      </c>
      <c r="X30" s="62" t="str">
        <f t="shared" ca="1" si="13"/>
        <v>N/A</v>
      </c>
      <c r="Y30" s="62" t="str">
        <f t="shared" ca="1" si="13"/>
        <v>N/A</v>
      </c>
      <c r="Z30" s="62" t="str">
        <f t="shared" ca="1" si="13"/>
        <v>N/A</v>
      </c>
      <c r="AA30" s="62" t="str">
        <f t="shared" ca="1" si="13"/>
        <v>N/A</v>
      </c>
      <c r="AB30" s="62" t="str">
        <f t="shared" ca="1" si="13"/>
        <v>N/A</v>
      </c>
    </row>
    <row r="31" spans="1:28" x14ac:dyDescent="0.25">
      <c r="A31" s="44" t="s">
        <v>18</v>
      </c>
      <c r="B31" s="45">
        <f t="shared" ca="1" si="4"/>
        <v>30</v>
      </c>
      <c r="C31" s="1">
        <f>IF(ISERROR(D31),"",IF(D31="","",MAX($C$12:C30)+1))</f>
        <v>19</v>
      </c>
      <c r="D31" t="str">
        <f t="shared" si="5"/>
        <v xml:space="preserve">Exelon Corp.                  </v>
      </c>
      <c r="E31" s="15"/>
      <c r="F31" s="62">
        <f t="shared" ca="1" si="10"/>
        <v>14.382363636363635</v>
      </c>
      <c r="G31" s="62">
        <f t="shared" si="6"/>
        <v>15.4</v>
      </c>
      <c r="H31" s="62">
        <f t="shared" si="7"/>
        <v>19.899999999999999</v>
      </c>
      <c r="I31" s="62">
        <f t="shared" si="8"/>
        <v>16.600000000000001</v>
      </c>
      <c r="J31" s="62">
        <f t="shared" ca="1" si="11"/>
        <v>12.4</v>
      </c>
      <c r="K31" s="62">
        <f t="shared" ca="1" si="11"/>
        <v>14.7</v>
      </c>
      <c r="L31" s="62">
        <f t="shared" ca="1" si="14"/>
        <v>13.3</v>
      </c>
      <c r="M31" s="62">
        <f t="shared" ca="1" si="15"/>
        <v>13.4</v>
      </c>
      <c r="N31" s="62">
        <f t="shared" ref="N31:AB46" ca="1" si="16">IFERROR(INDEX(PE_WP,$B31,N$12),"N/A")</f>
        <v>12.5</v>
      </c>
      <c r="O31" s="62">
        <f t="shared" ca="1" si="16"/>
        <v>12.6</v>
      </c>
      <c r="P31" s="62">
        <f t="shared" ca="1" si="16"/>
        <v>16</v>
      </c>
      <c r="Q31" s="62">
        <f t="shared" ca="1" si="16"/>
        <v>13.4</v>
      </c>
      <c r="R31" s="62">
        <f t="shared" ca="1" si="16"/>
        <v>19.100000000000001</v>
      </c>
      <c r="S31" s="62">
        <f t="shared" ca="1" si="16"/>
        <v>11.3</v>
      </c>
      <c r="T31" s="62">
        <f t="shared" ca="1" si="16"/>
        <v>11</v>
      </c>
      <c r="U31" s="62">
        <f t="shared" ca="1" si="16"/>
        <v>11.5</v>
      </c>
      <c r="V31" s="62">
        <f t="shared" ca="1" si="16"/>
        <v>18</v>
      </c>
      <c r="W31" s="62">
        <f t="shared" ca="1" si="16"/>
        <v>18.2</v>
      </c>
      <c r="X31" s="62">
        <f t="shared" ca="1" si="16"/>
        <v>16.529</v>
      </c>
      <c r="Y31" s="62">
        <f t="shared" ca="1" si="16"/>
        <v>15.371</v>
      </c>
      <c r="Z31" s="62">
        <f t="shared" ca="1" si="16"/>
        <v>12.99</v>
      </c>
      <c r="AA31" s="62">
        <f t="shared" ca="1" si="16"/>
        <v>11.765000000000001</v>
      </c>
      <c r="AB31" s="62">
        <f t="shared" ca="1" si="16"/>
        <v>10.457000000000001</v>
      </c>
    </row>
    <row r="32" spans="1:28" x14ac:dyDescent="0.25">
      <c r="A32" s="44" t="s">
        <v>19</v>
      </c>
      <c r="B32" s="45">
        <f t="shared" ca="1" si="4"/>
        <v>31</v>
      </c>
      <c r="C32" s="1">
        <f>IF(ISERROR(D32),"",IF(D32="","",MAX($C$12:C31)+1))</f>
        <v>20</v>
      </c>
      <c r="D32" t="str">
        <f t="shared" si="5"/>
        <v xml:space="preserve">FirstEnergy Corp.             </v>
      </c>
      <c r="E32" s="15"/>
      <c r="F32" s="62">
        <f t="shared" ca="1" si="10"/>
        <v>15.188409090909092</v>
      </c>
      <c r="G32" s="62">
        <f t="shared" si="6"/>
        <v>14.4</v>
      </c>
      <c r="H32" s="62">
        <f t="shared" si="7"/>
        <v>17</v>
      </c>
      <c r="I32" s="62">
        <f t="shared" si="8"/>
        <v>14.1</v>
      </c>
      <c r="J32" s="62">
        <f t="shared" ca="1" si="11"/>
        <v>15.7</v>
      </c>
      <c r="K32" s="62">
        <f t="shared" ca="1" si="11"/>
        <v>17.100000000000001</v>
      </c>
      <c r="L32" s="62">
        <f t="shared" ca="1" si="14"/>
        <v>13.6</v>
      </c>
      <c r="M32" s="62">
        <f t="shared" ca="1" si="15"/>
        <v>11.4</v>
      </c>
      <c r="N32" s="62">
        <f t="shared" ca="1" si="16"/>
        <v>12.7</v>
      </c>
      <c r="O32" s="62">
        <f t="shared" ca="1" si="16"/>
        <v>12.6</v>
      </c>
      <c r="P32" s="62">
        <f t="shared" ca="1" si="16"/>
        <v>13.2</v>
      </c>
      <c r="Q32" s="62">
        <f t="shared" ca="1" si="16"/>
        <v>13.1</v>
      </c>
      <c r="R32" s="62">
        <f t="shared" ca="1" si="16"/>
        <v>21.1</v>
      </c>
      <c r="S32" s="62">
        <f t="shared" ca="1" si="16"/>
        <v>22.4</v>
      </c>
      <c r="T32" s="62">
        <f t="shared" ca="1" si="16"/>
        <v>11.7</v>
      </c>
      <c r="U32" s="62">
        <f t="shared" ca="1" si="16"/>
        <v>13</v>
      </c>
      <c r="V32" s="62">
        <f t="shared" ca="1" si="16"/>
        <v>15.6</v>
      </c>
      <c r="W32" s="62">
        <f t="shared" ca="1" si="16"/>
        <v>15.6</v>
      </c>
      <c r="X32" s="62">
        <f t="shared" ca="1" si="16"/>
        <v>14.228999999999999</v>
      </c>
      <c r="Y32" s="62">
        <f t="shared" ca="1" si="16"/>
        <v>16.065000000000001</v>
      </c>
      <c r="Z32" s="62">
        <f t="shared" ca="1" si="16"/>
        <v>14.127000000000001</v>
      </c>
      <c r="AA32" s="62">
        <f t="shared" ca="1" si="16"/>
        <v>22.47</v>
      </c>
      <c r="AB32" s="62">
        <f t="shared" ca="1" si="16"/>
        <v>12.954000000000001</v>
      </c>
    </row>
    <row r="33" spans="1:28" x14ac:dyDescent="0.25">
      <c r="A33" s="44" t="s">
        <v>266</v>
      </c>
      <c r="B33" s="45">
        <f t="shared" ca="1" si="4"/>
        <v>32</v>
      </c>
      <c r="C33" s="1">
        <f>IF(ISERROR(D33),"",IF(D33="","",MAX($C$12:C32)+1))</f>
        <v>21</v>
      </c>
      <c r="D33" t="str">
        <f t="shared" si="5"/>
        <v>Fortis Inc.</v>
      </c>
      <c r="E33" s="15"/>
      <c r="F33" s="62">
        <f t="shared" ca="1" si="10"/>
        <v>19.24355555555556</v>
      </c>
      <c r="G33" s="62">
        <f t="shared" si="6"/>
        <v>16.7</v>
      </c>
      <c r="H33" s="62">
        <f t="shared" si="7"/>
        <v>21.1</v>
      </c>
      <c r="I33" s="62">
        <f t="shared" si="8"/>
        <v>21.2</v>
      </c>
      <c r="J33" s="62">
        <f t="shared" ca="1" si="11"/>
        <v>20.6</v>
      </c>
      <c r="K33" s="62">
        <f t="shared" ca="1" si="11"/>
        <v>19.2</v>
      </c>
      <c r="L33" s="62">
        <f t="shared" ca="1" si="14"/>
        <v>17.100000000000001</v>
      </c>
      <c r="M33" s="62">
        <f t="shared" ca="1" si="15"/>
        <v>16.8</v>
      </c>
      <c r="N33" s="62">
        <f t="shared" ca="1" si="16"/>
        <v>21.6</v>
      </c>
      <c r="O33" s="62">
        <f t="shared" ca="1" si="16"/>
        <v>18</v>
      </c>
      <c r="P33" s="62">
        <f t="shared" ca="1" si="16"/>
        <v>24.3</v>
      </c>
      <c r="Q33" s="62">
        <f t="shared" ca="1" si="16"/>
        <v>20</v>
      </c>
      <c r="R33" s="62">
        <f t="shared" ca="1" si="16"/>
        <v>20.100000000000001</v>
      </c>
      <c r="S33" s="62">
        <f t="shared" ca="1" si="16"/>
        <v>18.8</v>
      </c>
      <c r="T33" s="62">
        <f t="shared" ca="1" si="16"/>
        <v>18.2</v>
      </c>
      <c r="U33" s="62">
        <f t="shared" ca="1" si="16"/>
        <v>16.399999999999999</v>
      </c>
      <c r="V33" s="62">
        <f t="shared" ca="1" si="16"/>
        <v>17.5</v>
      </c>
      <c r="W33" s="62">
        <f t="shared" ca="1" si="16"/>
        <v>21.1</v>
      </c>
      <c r="X33" s="62">
        <f t="shared" ca="1" si="16"/>
        <v>17.684000000000001</v>
      </c>
      <c r="Y33" s="62" t="str">
        <f t="shared" ca="1" si="16"/>
        <v>N/A</v>
      </c>
      <c r="Z33" s="62" t="str">
        <f t="shared" ca="1" si="16"/>
        <v>N/A</v>
      </c>
      <c r="AA33" s="62" t="str">
        <f t="shared" ca="1" si="16"/>
        <v>N/A</v>
      </c>
      <c r="AB33" s="62" t="str">
        <f t="shared" ca="1" si="16"/>
        <v>N/A</v>
      </c>
    </row>
    <row r="34" spans="1:28" x14ac:dyDescent="0.25">
      <c r="A34" s="44" t="s">
        <v>20</v>
      </c>
      <c r="B34" s="45">
        <f t="shared" ca="1" si="4"/>
        <v>34</v>
      </c>
      <c r="C34" s="1">
        <f>IF(ISERROR(D34),"",IF(D34="","",MAX($C$12:C33)+1))</f>
        <v>22</v>
      </c>
      <c r="D34" s="31" t="str">
        <f t="shared" si="5"/>
        <v xml:space="preserve">Great Plains Energy             </v>
      </c>
      <c r="E34" s="177"/>
      <c r="F34" s="62">
        <f t="shared" ca="1" si="10"/>
        <v>15.522533333333334</v>
      </c>
      <c r="G34" s="62" t="str">
        <f t="shared" si="6"/>
        <v>N/A</v>
      </c>
      <c r="H34" s="62" t="str">
        <f t="shared" si="7"/>
        <v>N/A</v>
      </c>
      <c r="I34" s="62" t="str">
        <f t="shared" si="8"/>
        <v>N/A</v>
      </c>
      <c r="J34" s="62" t="str">
        <f t="shared" ref="J34:K57" ca="1" si="17">IFERROR(INDEX(PE_WP,$B34,J$12),"N/A")</f>
        <v>N/A</v>
      </c>
      <c r="K34" s="62" t="str">
        <f t="shared" ca="1" si="17"/>
        <v>N/A</v>
      </c>
      <c r="L34" s="62" t="str">
        <f t="shared" ca="1" si="14"/>
        <v>N/A</v>
      </c>
      <c r="M34" s="62" t="str">
        <f t="shared" ca="1" si="15"/>
        <v>NMF</v>
      </c>
      <c r="N34" s="62">
        <f t="shared" ca="1" si="16"/>
        <v>17.981000000000002</v>
      </c>
      <c r="O34" s="62">
        <f t="shared" ca="1" si="16"/>
        <v>19.366</v>
      </c>
      <c r="P34" s="62">
        <f t="shared" ca="1" si="16"/>
        <v>16.47</v>
      </c>
      <c r="Q34" s="62">
        <f t="shared" ca="1" si="16"/>
        <v>14.186</v>
      </c>
      <c r="R34" s="62">
        <f t="shared" ca="1" si="16"/>
        <v>15.534000000000001</v>
      </c>
      <c r="S34" s="62">
        <f t="shared" ca="1" si="16"/>
        <v>16.105</v>
      </c>
      <c r="T34" s="62">
        <f t="shared" ca="1" si="16"/>
        <v>12.095000000000001</v>
      </c>
      <c r="U34" s="62">
        <f t="shared" ca="1" si="16"/>
        <v>16.033000000000001</v>
      </c>
      <c r="V34" s="62">
        <f t="shared" ca="1" si="16"/>
        <v>20.547000000000001</v>
      </c>
      <c r="W34" s="62">
        <f t="shared" ca="1" si="16"/>
        <v>16.347999999999999</v>
      </c>
      <c r="X34" s="62">
        <f t="shared" ca="1" si="16"/>
        <v>18.298999999999999</v>
      </c>
      <c r="Y34" s="62">
        <f t="shared" ca="1" si="16"/>
        <v>13.962</v>
      </c>
      <c r="Z34" s="62">
        <f t="shared" ca="1" si="16"/>
        <v>12.593</v>
      </c>
      <c r="AA34" s="62">
        <f t="shared" ca="1" si="16"/>
        <v>12.228999999999999</v>
      </c>
      <c r="AB34" s="62">
        <f t="shared" ca="1" si="16"/>
        <v>11.09</v>
      </c>
    </row>
    <row r="35" spans="1:28" x14ac:dyDescent="0.25">
      <c r="A35" s="44" t="s">
        <v>21</v>
      </c>
      <c r="B35" s="45">
        <f t="shared" ca="1" si="4"/>
        <v>35</v>
      </c>
      <c r="C35" s="1">
        <f>IF(ISERROR(D35),"",IF(D35="","",MAX($C$12:C34)+1))</f>
        <v>23</v>
      </c>
      <c r="D35" t="str">
        <f t="shared" si="5"/>
        <v xml:space="preserve">Hawaiian Elec.                </v>
      </c>
      <c r="E35" s="15"/>
      <c r="F35" s="62">
        <f t="shared" ca="1" si="10"/>
        <v>17.653142857142857</v>
      </c>
      <c r="G35" s="62">
        <f t="shared" si="6"/>
        <v>6</v>
      </c>
      <c r="H35" s="62">
        <f t="shared" si="7"/>
        <v>18.5</v>
      </c>
      <c r="I35" s="62">
        <f t="shared" si="8"/>
        <v>18.2</v>
      </c>
      <c r="J35" s="62">
        <f t="shared" ca="1" si="17"/>
        <v>21.5</v>
      </c>
      <c r="K35" s="62">
        <f t="shared" ca="1" si="17"/>
        <v>21.3</v>
      </c>
      <c r="L35" s="62">
        <f t="shared" ca="1" si="14"/>
        <v>18.899999999999999</v>
      </c>
      <c r="M35" s="62">
        <f t="shared" ca="1" si="15"/>
        <v>20.7</v>
      </c>
      <c r="N35" s="62">
        <f t="shared" ca="1" si="16"/>
        <v>13.6</v>
      </c>
      <c r="O35" s="62">
        <f t="shared" ca="1" si="16"/>
        <v>20.399999999999999</v>
      </c>
      <c r="P35" s="62">
        <f t="shared" ca="1" si="16"/>
        <v>15.9</v>
      </c>
      <c r="Q35" s="62">
        <f t="shared" ca="1" si="16"/>
        <v>16.2</v>
      </c>
      <c r="R35" s="62">
        <f t="shared" ca="1" si="16"/>
        <v>15.8</v>
      </c>
      <c r="S35" s="62">
        <f t="shared" ca="1" si="16"/>
        <v>17.100000000000001</v>
      </c>
      <c r="T35" s="62">
        <f t="shared" ca="1" si="16"/>
        <v>18.600000000000001</v>
      </c>
      <c r="U35" s="62">
        <f t="shared" ca="1" si="16"/>
        <v>19.8</v>
      </c>
      <c r="V35" s="62">
        <f t="shared" ca="1" si="16"/>
        <v>23.2</v>
      </c>
      <c r="W35" s="62" t="str">
        <f t="shared" ca="1" si="16"/>
        <v>21..6</v>
      </c>
      <c r="X35" s="62">
        <f t="shared" ca="1" si="16"/>
        <v>20.329000000000001</v>
      </c>
      <c r="Y35" s="62">
        <f t="shared" ca="1" si="16"/>
        <v>18.273</v>
      </c>
      <c r="Z35" s="62">
        <f t="shared" ca="1" si="16"/>
        <v>19.181000000000001</v>
      </c>
      <c r="AA35" s="62">
        <f t="shared" ca="1" si="16"/>
        <v>13.759</v>
      </c>
      <c r="AB35" s="62">
        <f t="shared" ca="1" si="16"/>
        <v>13.474</v>
      </c>
    </row>
    <row r="36" spans="1:28" x14ac:dyDescent="0.25">
      <c r="A36" s="44" t="s">
        <v>22</v>
      </c>
      <c r="B36" s="45">
        <f t="shared" ca="1" si="4"/>
        <v>36</v>
      </c>
      <c r="C36" s="1">
        <f>IF(ISERROR(D36),"",IF(D36="","",MAX($C$12:C35)+1))</f>
        <v>24</v>
      </c>
      <c r="D36" t="str">
        <f t="shared" si="5"/>
        <v xml:space="preserve">IDACORP, Inc.                 </v>
      </c>
      <c r="E36" s="15"/>
      <c r="F36" s="62">
        <f t="shared" ca="1" si="10"/>
        <v>17.14740909090909</v>
      </c>
      <c r="G36" s="62">
        <f t="shared" si="6"/>
        <v>18.100000000000001</v>
      </c>
      <c r="H36" s="62">
        <f t="shared" si="7"/>
        <v>21</v>
      </c>
      <c r="I36" s="62">
        <f t="shared" si="8"/>
        <v>20.8</v>
      </c>
      <c r="J36" s="62">
        <f t="shared" ca="1" si="17"/>
        <v>19.899999999999999</v>
      </c>
      <c r="K36" s="62">
        <f t="shared" ca="1" si="17"/>
        <v>22.3</v>
      </c>
      <c r="L36" s="62">
        <f t="shared" ca="1" si="14"/>
        <v>20.5</v>
      </c>
      <c r="M36" s="62">
        <f t="shared" ca="1" si="15"/>
        <v>20.6</v>
      </c>
      <c r="N36" s="62">
        <f t="shared" ca="1" si="16"/>
        <v>19.100000000000001</v>
      </c>
      <c r="O36" s="62">
        <f t="shared" ca="1" si="16"/>
        <v>16.2</v>
      </c>
      <c r="P36" s="62">
        <f t="shared" ca="1" si="16"/>
        <v>14.7</v>
      </c>
      <c r="Q36" s="62">
        <f t="shared" ca="1" si="16"/>
        <v>13.4</v>
      </c>
      <c r="R36" s="62">
        <f t="shared" ca="1" si="16"/>
        <v>12.4</v>
      </c>
      <c r="S36" s="62">
        <f t="shared" ca="1" si="16"/>
        <v>11.5</v>
      </c>
      <c r="T36" s="62">
        <f t="shared" ca="1" si="16"/>
        <v>11.8</v>
      </c>
      <c r="U36" s="62">
        <f t="shared" ca="1" si="16"/>
        <v>10.199999999999999</v>
      </c>
      <c r="V36" s="62">
        <f t="shared" ca="1" si="16"/>
        <v>13.9</v>
      </c>
      <c r="W36" s="62">
        <f t="shared" ca="1" si="16"/>
        <v>18.2</v>
      </c>
      <c r="X36" s="62">
        <f t="shared" ca="1" si="16"/>
        <v>15.07</v>
      </c>
      <c r="Y36" s="62">
        <f t="shared" ca="1" si="16"/>
        <v>16.699000000000002</v>
      </c>
      <c r="Z36" s="62">
        <f t="shared" ca="1" si="16"/>
        <v>15.488</v>
      </c>
      <c r="AA36" s="62">
        <f t="shared" ca="1" si="16"/>
        <v>26.510999999999999</v>
      </c>
      <c r="AB36" s="62">
        <f t="shared" ca="1" si="16"/>
        <v>18.875</v>
      </c>
    </row>
    <row r="37" spans="1:28" x14ac:dyDescent="0.25">
      <c r="A37" s="44" t="s">
        <v>25</v>
      </c>
      <c r="B37" s="45">
        <f ca="1">IFERROR(MATCH(A37,OFFSET(PE_WP,0,0,,1),0),"")</f>
        <v>40</v>
      </c>
      <c r="C37" s="1">
        <f>IF(ISERROR(D37),"",IF(D37="","",MAX($C$12:C36)+1))</f>
        <v>25</v>
      </c>
      <c r="D37" t="str">
        <f>VLOOKUP(A37,LUCurYr,2,FALSE)</f>
        <v xml:space="preserve">MGE Energy                    </v>
      </c>
      <c r="E37" s="15"/>
      <c r="F37" s="62">
        <f t="shared" ca="1" si="10"/>
        <v>19.980454545454549</v>
      </c>
      <c r="G37" s="62">
        <f t="shared" si="6"/>
        <v>18.600000000000001</v>
      </c>
      <c r="H37" s="62">
        <f t="shared" si="7"/>
        <v>24.7</v>
      </c>
      <c r="I37" s="62">
        <f>IFERROR(IF(VLOOKUP(A37,lucyyr,3,FALSE)=0,"",VLOOKUP(A37,lucyyr,3,FALSE)),"N/A")</f>
        <v>25.5</v>
      </c>
      <c r="J37" s="62">
        <f t="shared" ca="1" si="17"/>
        <v>26.4</v>
      </c>
      <c r="K37" s="62">
        <f t="shared" ca="1" si="17"/>
        <v>28.4</v>
      </c>
      <c r="L37" s="62">
        <f t="shared" ca="1" si="14"/>
        <v>25.1</v>
      </c>
      <c r="M37" s="62">
        <f t="shared" ca="1" si="15"/>
        <v>29.4</v>
      </c>
      <c r="N37" s="62">
        <f t="shared" ca="1" si="16"/>
        <v>24.9</v>
      </c>
      <c r="O37" s="62">
        <f t="shared" ca="1" si="16"/>
        <v>20.3</v>
      </c>
      <c r="P37" s="62">
        <f t="shared" ca="1" si="16"/>
        <v>17.2</v>
      </c>
      <c r="Q37" s="62">
        <f t="shared" ca="1" si="16"/>
        <v>17</v>
      </c>
      <c r="R37" s="62">
        <f t="shared" ca="1" si="16"/>
        <v>17.2</v>
      </c>
      <c r="S37" s="62">
        <f t="shared" ca="1" si="16"/>
        <v>15.8</v>
      </c>
      <c r="T37" s="62">
        <f t="shared" ca="1" si="16"/>
        <v>15</v>
      </c>
      <c r="U37" s="62">
        <f t="shared" ca="1" si="16"/>
        <v>15.1</v>
      </c>
      <c r="V37" s="62">
        <f t="shared" ca="1" si="16"/>
        <v>14.2</v>
      </c>
      <c r="W37" s="62">
        <f t="shared" ca="1" si="16"/>
        <v>15</v>
      </c>
      <c r="X37" s="62">
        <f t="shared" ca="1" si="16"/>
        <v>15.879</v>
      </c>
      <c r="Y37" s="62">
        <f t="shared" ca="1" si="16"/>
        <v>22.401</v>
      </c>
      <c r="Z37" s="62">
        <f t="shared" ca="1" si="16"/>
        <v>17.983000000000001</v>
      </c>
      <c r="AA37" s="62">
        <f t="shared" ca="1" si="16"/>
        <v>17.55</v>
      </c>
      <c r="AB37" s="62">
        <f t="shared" ca="1" si="16"/>
        <v>15.957000000000001</v>
      </c>
    </row>
    <row r="38" spans="1:28" x14ac:dyDescent="0.25">
      <c r="A38" s="44" t="s">
        <v>141</v>
      </c>
      <c r="B38" s="45">
        <f ca="1">IFERROR(MATCH(A38,OFFSET(PE_WP,0,0,,1),0),"")</f>
        <v>43</v>
      </c>
      <c r="C38" s="1">
        <f>IF(ISERROR(D38),"",IF(D38="","",MAX($C$12:C37)+1))</f>
        <v>26</v>
      </c>
      <c r="D38" t="str">
        <f>VLOOKUP(A38,LUCurYr,2,FALSE)</f>
        <v>NextEra Energy, Inc.</v>
      </c>
      <c r="E38" s="15"/>
      <c r="F38" s="62">
        <f t="shared" ca="1" si="10"/>
        <v>18.757909090909092</v>
      </c>
      <c r="G38" s="62">
        <f t="shared" si="6"/>
        <v>19.8</v>
      </c>
      <c r="H38" s="62">
        <f t="shared" si="7"/>
        <v>27.8</v>
      </c>
      <c r="I38" s="62">
        <f t="shared" si="8"/>
        <v>31.3</v>
      </c>
      <c r="J38" s="62">
        <f t="shared" ca="1" si="17"/>
        <v>28.9</v>
      </c>
      <c r="K38" s="62">
        <f t="shared" ca="1" si="17"/>
        <v>26.8</v>
      </c>
      <c r="L38" s="62">
        <f t="shared" ca="1" si="14"/>
        <v>24.8</v>
      </c>
      <c r="M38" s="62">
        <f t="shared" ca="1" si="15"/>
        <v>21.6</v>
      </c>
      <c r="N38" s="62">
        <f t="shared" ca="1" si="16"/>
        <v>20.7</v>
      </c>
      <c r="O38" s="62">
        <f t="shared" ca="1" si="16"/>
        <v>16.899999999999999</v>
      </c>
      <c r="P38" s="62">
        <f t="shared" ca="1" si="16"/>
        <v>17.3</v>
      </c>
      <c r="Q38" s="62">
        <f t="shared" ca="1" si="16"/>
        <v>16.600000000000001</v>
      </c>
      <c r="R38" s="62">
        <f t="shared" ca="1" si="16"/>
        <v>14.4</v>
      </c>
      <c r="S38" s="62">
        <f t="shared" ca="1" si="16"/>
        <v>11.5</v>
      </c>
      <c r="T38" s="62">
        <f t="shared" ca="1" si="16"/>
        <v>10.8</v>
      </c>
      <c r="U38" s="62">
        <f t="shared" ca="1" si="16"/>
        <v>13.4</v>
      </c>
      <c r="V38" s="62">
        <f t="shared" ca="1" si="16"/>
        <v>14.5</v>
      </c>
      <c r="W38" s="62">
        <f t="shared" ca="1" si="16"/>
        <v>18.899999999999999</v>
      </c>
      <c r="X38" s="62">
        <f t="shared" ca="1" si="16"/>
        <v>13.651999999999999</v>
      </c>
      <c r="Y38" s="62">
        <f t="shared" ca="1" si="16"/>
        <v>17.884</v>
      </c>
      <c r="Z38" s="62">
        <f t="shared" ca="1" si="16"/>
        <v>13.651999999999999</v>
      </c>
      <c r="AA38" s="62">
        <f t="shared" ca="1" si="16"/>
        <v>17.884</v>
      </c>
      <c r="AB38" s="62">
        <f t="shared" ca="1" si="16"/>
        <v>13.602</v>
      </c>
    </row>
    <row r="39" spans="1:28" x14ac:dyDescent="0.25">
      <c r="A39" s="44" t="s">
        <v>144</v>
      </c>
      <c r="B39" s="45">
        <f t="shared" ca="1" si="4"/>
        <v>46</v>
      </c>
      <c r="C39" s="1">
        <f>IF(ISERROR(D39),"",IF(D39="","",MAX($C$12:C38)+1))</f>
        <v>27</v>
      </c>
      <c r="D39" t="str">
        <f t="shared" si="5"/>
        <v xml:space="preserve">NorthWestern Corp             </v>
      </c>
      <c r="E39" s="15"/>
      <c r="F39" s="62">
        <f t="shared" ca="1" si="10"/>
        <v>16.923368421052629</v>
      </c>
      <c r="G39" s="62">
        <f t="shared" si="6"/>
        <v>13.7</v>
      </c>
      <c r="H39" s="62">
        <f t="shared" si="7"/>
        <v>17.3</v>
      </c>
      <c r="I39" s="62">
        <f t="shared" si="8"/>
        <v>17.399999999999999</v>
      </c>
      <c r="J39" s="62">
        <f t="shared" ca="1" si="17"/>
        <v>18.600000000000001</v>
      </c>
      <c r="K39" s="62">
        <f t="shared" ca="1" si="17"/>
        <v>19.899999999999999</v>
      </c>
      <c r="L39" s="62">
        <f t="shared" ca="1" si="14"/>
        <v>16.8</v>
      </c>
      <c r="M39" s="62">
        <f t="shared" ca="1" si="15"/>
        <v>17.8</v>
      </c>
      <c r="N39" s="62">
        <f t="shared" ca="1" si="16"/>
        <v>17.2</v>
      </c>
      <c r="O39" s="62">
        <f t="shared" ca="1" si="16"/>
        <v>18.399999999999999</v>
      </c>
      <c r="P39" s="62">
        <f t="shared" ca="1" si="16"/>
        <v>16.2</v>
      </c>
      <c r="Q39" s="62">
        <f t="shared" ca="1" si="16"/>
        <v>16.899999999999999</v>
      </c>
      <c r="R39" s="62">
        <f t="shared" ca="1" si="16"/>
        <v>15.7</v>
      </c>
      <c r="S39" s="62">
        <f t="shared" ca="1" si="16"/>
        <v>12.6</v>
      </c>
      <c r="T39" s="62">
        <f t="shared" ca="1" si="16"/>
        <v>12.9</v>
      </c>
      <c r="U39" s="62">
        <f t="shared" ca="1" si="16"/>
        <v>11.5</v>
      </c>
      <c r="V39" s="62">
        <f t="shared" ca="1" si="16"/>
        <v>13.9</v>
      </c>
      <c r="W39" s="62">
        <f t="shared" ca="1" si="16"/>
        <v>21.7</v>
      </c>
      <c r="X39" s="62">
        <f t="shared" ca="1" si="16"/>
        <v>25.952999999999999</v>
      </c>
      <c r="Y39" s="62">
        <f t="shared" ca="1" si="16"/>
        <v>17.091000000000001</v>
      </c>
      <c r="Z39" s="62" t="str">
        <f t="shared" ca="1" si="16"/>
        <v>N/A</v>
      </c>
      <c r="AA39" s="62" t="str">
        <f t="shared" ca="1" si="16"/>
        <v>N/A</v>
      </c>
      <c r="AB39" s="62" t="str">
        <f t="shared" ca="1" si="16"/>
        <v>N/A</v>
      </c>
    </row>
    <row r="40" spans="1:28" x14ac:dyDescent="0.25">
      <c r="A40" s="44" t="s">
        <v>27</v>
      </c>
      <c r="B40" s="45">
        <f t="shared" ca="1" si="4"/>
        <v>47</v>
      </c>
      <c r="C40" s="1">
        <f>IF(ISERROR(D40),"",IF(D40="","",MAX($C$12:C39)+1))</f>
        <v>28</v>
      </c>
      <c r="D40" t="str">
        <f t="shared" si="5"/>
        <v xml:space="preserve">OGE Energy                    </v>
      </c>
      <c r="E40" s="15"/>
      <c r="F40" s="62">
        <f t="shared" ca="1" si="10"/>
        <v>15.309863636363637</v>
      </c>
      <c r="G40" s="62">
        <f t="shared" si="6"/>
        <v>15.3</v>
      </c>
      <c r="H40" s="62">
        <f t="shared" si="7"/>
        <v>17.2</v>
      </c>
      <c r="I40" s="62">
        <f t="shared" si="8"/>
        <v>14.3</v>
      </c>
      <c r="J40" s="62">
        <f t="shared" ca="1" si="17"/>
        <v>16.2</v>
      </c>
      <c r="K40" s="62">
        <f t="shared" ca="1" si="17"/>
        <v>19</v>
      </c>
      <c r="L40" s="62">
        <f t="shared" ca="1" si="14"/>
        <v>16.5</v>
      </c>
      <c r="M40" s="62">
        <f t="shared" ca="1" si="15"/>
        <v>18.3</v>
      </c>
      <c r="N40" s="62">
        <f t="shared" ca="1" si="16"/>
        <v>17.7</v>
      </c>
      <c r="O40" s="62">
        <f t="shared" ca="1" si="16"/>
        <v>17.7</v>
      </c>
      <c r="P40" s="62">
        <f t="shared" ca="1" si="16"/>
        <v>18.3</v>
      </c>
      <c r="Q40" s="62">
        <f t="shared" ca="1" si="16"/>
        <v>17.7</v>
      </c>
      <c r="R40" s="62">
        <f t="shared" ca="1" si="16"/>
        <v>15.2</v>
      </c>
      <c r="S40" s="62">
        <f t="shared" ca="1" si="16"/>
        <v>14.4</v>
      </c>
      <c r="T40" s="62">
        <f t="shared" ca="1" si="16"/>
        <v>13.3</v>
      </c>
      <c r="U40" s="62">
        <f t="shared" ca="1" si="16"/>
        <v>10.8</v>
      </c>
      <c r="V40" s="62">
        <f t="shared" ca="1" si="16"/>
        <v>12.4</v>
      </c>
      <c r="W40" s="62">
        <f t="shared" ca="1" si="16"/>
        <v>13.8</v>
      </c>
      <c r="X40" s="62">
        <f t="shared" ca="1" si="16"/>
        <v>13.675000000000001</v>
      </c>
      <c r="Y40" s="62">
        <f t="shared" ca="1" si="16"/>
        <v>14.95</v>
      </c>
      <c r="Z40" s="62">
        <f t="shared" ca="1" si="16"/>
        <v>14.131</v>
      </c>
      <c r="AA40" s="62">
        <f t="shared" ca="1" si="16"/>
        <v>11.837999999999999</v>
      </c>
      <c r="AB40" s="62">
        <f t="shared" ca="1" si="16"/>
        <v>14.122999999999999</v>
      </c>
    </row>
    <row r="41" spans="1:28" x14ac:dyDescent="0.25">
      <c r="A41" s="44" t="s">
        <v>28</v>
      </c>
      <c r="B41" s="45">
        <f t="shared" ca="1" si="4"/>
        <v>49</v>
      </c>
      <c r="C41" s="1">
        <f>IF(ISERROR(D41),"",IF(D41="","",MAX($C$12:C40)+1))</f>
        <v>29</v>
      </c>
      <c r="D41" t="str">
        <f t="shared" si="5"/>
        <v xml:space="preserve">Otter Tail Corp.              </v>
      </c>
      <c r="E41" s="15"/>
      <c r="F41" s="62">
        <f t="shared" ca="1" si="10"/>
        <v>20.760095238095236</v>
      </c>
      <c r="G41" s="62">
        <f t="shared" si="6"/>
        <v>16.399999999999999</v>
      </c>
      <c r="H41" s="62">
        <f t="shared" si="7"/>
        <v>9.5</v>
      </c>
      <c r="I41" s="62">
        <f t="shared" si="8"/>
        <v>12.3</v>
      </c>
      <c r="J41" s="62">
        <f t="shared" ca="1" si="17"/>
        <v>18.3</v>
      </c>
      <c r="K41" s="62">
        <f t="shared" ca="1" si="17"/>
        <v>23.5</v>
      </c>
      <c r="L41" s="62">
        <f t="shared" ca="1" si="14"/>
        <v>22.2</v>
      </c>
      <c r="M41" s="62">
        <f t="shared" ca="1" si="15"/>
        <v>22.1</v>
      </c>
      <c r="N41" s="62">
        <f t="shared" ca="1" si="16"/>
        <v>20.2</v>
      </c>
      <c r="O41" s="62">
        <f t="shared" ca="1" si="16"/>
        <v>18.2</v>
      </c>
      <c r="P41" s="62">
        <f t="shared" ca="1" si="16"/>
        <v>18.8</v>
      </c>
      <c r="Q41" s="62">
        <f t="shared" ca="1" si="16"/>
        <v>21.1</v>
      </c>
      <c r="R41" s="62">
        <f t="shared" ca="1" si="16"/>
        <v>21.7</v>
      </c>
      <c r="S41" s="62">
        <f t="shared" ca="1" si="16"/>
        <v>47.5</v>
      </c>
      <c r="T41" s="62" t="str">
        <f t="shared" ca="1" si="16"/>
        <v>NMF</v>
      </c>
      <c r="U41" s="62">
        <f t="shared" ca="1" si="16"/>
        <v>31.2</v>
      </c>
      <c r="V41" s="62">
        <f t="shared" ca="1" si="16"/>
        <v>30.1</v>
      </c>
      <c r="W41" s="62">
        <f t="shared" ca="1" si="16"/>
        <v>19</v>
      </c>
      <c r="X41" s="62">
        <f t="shared" ca="1" si="16"/>
        <v>17.349</v>
      </c>
      <c r="Y41" s="62">
        <f t="shared" ca="1" si="16"/>
        <v>15.4</v>
      </c>
      <c r="Z41" s="62">
        <f t="shared" ca="1" si="16"/>
        <v>17.335000000000001</v>
      </c>
      <c r="AA41" s="62">
        <f t="shared" ca="1" si="16"/>
        <v>17.766999999999999</v>
      </c>
      <c r="AB41" s="62">
        <f t="shared" ca="1" si="16"/>
        <v>16.010999999999999</v>
      </c>
    </row>
    <row r="42" spans="1:28" x14ac:dyDescent="0.25">
      <c r="A42" s="44" t="s">
        <v>31</v>
      </c>
      <c r="B42" s="45">
        <f t="shared" ca="1" si="4"/>
        <v>52</v>
      </c>
      <c r="C42" s="1">
        <f>IF(ISERROR(D42),"",IF(D42="","",MAX($C$12:C41)+1))</f>
        <v>30</v>
      </c>
      <c r="D42" t="str">
        <f t="shared" si="5"/>
        <v xml:space="preserve">Pinnacle West Capital         </v>
      </c>
      <c r="E42" s="15"/>
      <c r="F42" s="62">
        <f t="shared" ca="1" si="10"/>
        <v>15.882636363636358</v>
      </c>
      <c r="G42" s="62">
        <f t="shared" si="6"/>
        <v>15.8</v>
      </c>
      <c r="H42" s="62">
        <f t="shared" si="7"/>
        <v>17.100000000000001</v>
      </c>
      <c r="I42" s="62">
        <f t="shared" si="8"/>
        <v>14.1</v>
      </c>
      <c r="J42" s="62">
        <f t="shared" ca="1" si="17"/>
        <v>16.7</v>
      </c>
      <c r="K42" s="62">
        <f t="shared" ca="1" si="17"/>
        <v>19.399999999999999</v>
      </c>
      <c r="L42" s="62">
        <f t="shared" ca="1" si="14"/>
        <v>17.8</v>
      </c>
      <c r="M42" s="62">
        <f t="shared" ca="1" si="15"/>
        <v>19.3</v>
      </c>
      <c r="N42" s="62">
        <f t="shared" ca="1" si="16"/>
        <v>18.7</v>
      </c>
      <c r="O42" s="62">
        <f t="shared" ca="1" si="16"/>
        <v>16</v>
      </c>
      <c r="P42" s="62">
        <f t="shared" ca="1" si="16"/>
        <v>15.9</v>
      </c>
      <c r="Q42" s="62">
        <f t="shared" ca="1" si="16"/>
        <v>15.3</v>
      </c>
      <c r="R42" s="62">
        <f t="shared" ca="1" si="16"/>
        <v>14.3</v>
      </c>
      <c r="S42" s="62">
        <f t="shared" ca="1" si="16"/>
        <v>14.6</v>
      </c>
      <c r="T42" s="62">
        <f t="shared" ca="1" si="16"/>
        <v>12.6</v>
      </c>
      <c r="U42" s="62">
        <f t="shared" ca="1" si="16"/>
        <v>13.7</v>
      </c>
      <c r="V42" s="62">
        <f t="shared" ca="1" si="16"/>
        <v>16.100000000000001</v>
      </c>
      <c r="W42" s="62">
        <f t="shared" ca="1" si="16"/>
        <v>14.9</v>
      </c>
      <c r="X42" s="62">
        <f t="shared" ca="1" si="16"/>
        <v>13.691000000000001</v>
      </c>
      <c r="Y42" s="62">
        <f t="shared" ca="1" si="16"/>
        <v>19.236000000000001</v>
      </c>
      <c r="Z42" s="62">
        <f t="shared" ca="1" si="16"/>
        <v>15.798999999999999</v>
      </c>
      <c r="AA42" s="62">
        <f t="shared" ca="1" si="16"/>
        <v>13.961</v>
      </c>
      <c r="AB42" s="62">
        <f t="shared" ca="1" si="16"/>
        <v>14.430999999999999</v>
      </c>
    </row>
    <row r="43" spans="1:28" x14ac:dyDescent="0.25">
      <c r="A43" s="44" t="s">
        <v>32</v>
      </c>
      <c r="B43" s="45">
        <f t="shared" ca="1" si="4"/>
        <v>53</v>
      </c>
      <c r="C43" s="1">
        <f>IF(ISERROR(D43),"",IF(D43="","",MAX($C$12:C42)+1))</f>
        <v>31</v>
      </c>
      <c r="D43" t="str">
        <f t="shared" si="5"/>
        <v xml:space="preserve">PNM Resources                 </v>
      </c>
      <c r="E43" s="15"/>
      <c r="F43" s="62">
        <f t="shared" ca="1" si="10"/>
        <v>18.284857142857145</v>
      </c>
      <c r="G43" s="62">
        <f t="shared" si="6"/>
        <v>14.2</v>
      </c>
      <c r="H43" s="62">
        <f t="shared" si="7"/>
        <v>17.399999999999999</v>
      </c>
      <c r="I43" s="62">
        <f t="shared" si="8"/>
        <v>19.899999999999999</v>
      </c>
      <c r="J43" s="62">
        <f t="shared" ca="1" si="17"/>
        <v>19.600000000000001</v>
      </c>
      <c r="K43" s="62">
        <f t="shared" ca="1" si="17"/>
        <v>22.2</v>
      </c>
      <c r="L43" s="62">
        <f t="shared" ca="1" si="14"/>
        <v>19.399999999999999</v>
      </c>
      <c r="M43" s="62">
        <f t="shared" ca="1" si="15"/>
        <v>20.399999999999999</v>
      </c>
      <c r="N43" s="62">
        <f t="shared" ca="1" si="16"/>
        <v>22.4</v>
      </c>
      <c r="O43" s="62">
        <f t="shared" ca="1" si="16"/>
        <v>18.7</v>
      </c>
      <c r="P43" s="62">
        <f t="shared" ca="1" si="16"/>
        <v>18.7</v>
      </c>
      <c r="Q43" s="62">
        <f t="shared" ca="1" si="16"/>
        <v>16.100000000000001</v>
      </c>
      <c r="R43" s="62">
        <f t="shared" ca="1" si="16"/>
        <v>15</v>
      </c>
      <c r="S43" s="62">
        <f t="shared" ca="1" si="16"/>
        <v>14.5</v>
      </c>
      <c r="T43" s="62">
        <f t="shared" ca="1" si="16"/>
        <v>14</v>
      </c>
      <c r="U43" s="62">
        <f t="shared" ca="1" si="16"/>
        <v>18.100000000000001</v>
      </c>
      <c r="V43" s="62" t="str">
        <f t="shared" ca="1" si="16"/>
        <v>N/A</v>
      </c>
      <c r="W43" s="62">
        <f t="shared" ca="1" si="16"/>
        <v>35.6</v>
      </c>
      <c r="X43" s="62">
        <f t="shared" ca="1" si="16"/>
        <v>15.573</v>
      </c>
      <c r="Y43" s="62">
        <f t="shared" ca="1" si="16"/>
        <v>17.379000000000001</v>
      </c>
      <c r="Z43" s="62">
        <f t="shared" ca="1" si="16"/>
        <v>15.021000000000001</v>
      </c>
      <c r="AA43" s="62">
        <f t="shared" ca="1" si="16"/>
        <v>14.73</v>
      </c>
      <c r="AB43" s="62">
        <f t="shared" ca="1" si="16"/>
        <v>15.079000000000001</v>
      </c>
    </row>
    <row r="44" spans="1:28" x14ac:dyDescent="0.25">
      <c r="A44" s="44" t="s">
        <v>33</v>
      </c>
      <c r="B44" s="45">
        <f t="shared" ca="1" si="4"/>
        <v>54</v>
      </c>
      <c r="C44" s="1">
        <f>IF(ISERROR(D44),"",IF(D44="","",MAX($C$12:C43)+1))</f>
        <v>32</v>
      </c>
      <c r="D44" t="str">
        <f t="shared" si="5"/>
        <v xml:space="preserve">Portland General              </v>
      </c>
      <c r="E44" s="15"/>
      <c r="F44" s="62">
        <f t="shared" ca="1" si="10"/>
        <v>16.713888888888889</v>
      </c>
      <c r="G44" s="62">
        <f t="shared" si="6"/>
        <v>14.3</v>
      </c>
      <c r="H44" s="62">
        <f t="shared" si="7"/>
        <v>18.2</v>
      </c>
      <c r="I44" s="62">
        <f t="shared" si="8"/>
        <v>17.7</v>
      </c>
      <c r="J44" s="62">
        <f t="shared" ca="1" si="17"/>
        <v>16.600000000000001</v>
      </c>
      <c r="K44" s="62">
        <f t="shared" ca="1" si="17"/>
        <v>22.3</v>
      </c>
      <c r="L44" s="62">
        <f t="shared" ca="1" si="14"/>
        <v>18.399999999999999</v>
      </c>
      <c r="M44" s="62">
        <f t="shared" ca="1" si="15"/>
        <v>20</v>
      </c>
      <c r="N44" s="62">
        <f t="shared" ca="1" si="16"/>
        <v>19.100000000000001</v>
      </c>
      <c r="O44" s="62">
        <f t="shared" ca="1" si="16"/>
        <v>17.7</v>
      </c>
      <c r="P44" s="62">
        <f t="shared" ca="1" si="16"/>
        <v>15.3</v>
      </c>
      <c r="Q44" s="62">
        <f t="shared" ca="1" si="16"/>
        <v>16.899999999999999</v>
      </c>
      <c r="R44" s="62">
        <f t="shared" ca="1" si="16"/>
        <v>14</v>
      </c>
      <c r="S44" s="62">
        <f t="shared" ca="1" si="16"/>
        <v>12.4</v>
      </c>
      <c r="T44" s="62">
        <f t="shared" ca="1" si="16"/>
        <v>12</v>
      </c>
      <c r="U44" s="62">
        <f t="shared" ca="1" si="16"/>
        <v>14.4</v>
      </c>
      <c r="V44" s="62">
        <f t="shared" ca="1" si="16"/>
        <v>16.3</v>
      </c>
      <c r="W44" s="62">
        <f t="shared" ca="1" si="16"/>
        <v>11.9</v>
      </c>
      <c r="X44" s="62">
        <f t="shared" ca="1" si="16"/>
        <v>23.35</v>
      </c>
      <c r="Y44" s="62" t="str">
        <f t="shared" ca="1" si="16"/>
        <v>N/A</v>
      </c>
      <c r="Z44" s="62" t="str">
        <f t="shared" ca="1" si="16"/>
        <v>N/A</v>
      </c>
      <c r="AA44" s="62" t="str">
        <f t="shared" ca="1" si="16"/>
        <v>N/A</v>
      </c>
      <c r="AB44" s="62" t="str">
        <f t="shared" ca="1" si="16"/>
        <v>N/A</v>
      </c>
    </row>
    <row r="45" spans="1:28" x14ac:dyDescent="0.25">
      <c r="A45" s="44" t="s">
        <v>34</v>
      </c>
      <c r="B45" s="45">
        <f t="shared" ca="1" si="4"/>
        <v>55</v>
      </c>
      <c r="C45" s="1">
        <f>IF(ISERROR(D45),"",IF(D45="","",MAX($C$12:C44)+1))</f>
        <v>33</v>
      </c>
      <c r="D45" t="str">
        <f t="shared" si="5"/>
        <v xml:space="preserve">PPL Corp.                     </v>
      </c>
      <c r="E45" s="15"/>
      <c r="F45" s="62">
        <f t="shared" ca="1" si="10"/>
        <v>16.240045454545459</v>
      </c>
      <c r="G45" s="62">
        <f t="shared" si="6"/>
        <v>16.2</v>
      </c>
      <c r="H45" s="62">
        <f t="shared" si="7"/>
        <v>20</v>
      </c>
      <c r="I45" s="62">
        <f t="shared" si="8"/>
        <v>54.1</v>
      </c>
      <c r="J45" s="62">
        <f t="shared" ca="1" si="17"/>
        <v>13.9</v>
      </c>
      <c r="K45" s="62">
        <f t="shared" ca="1" si="17"/>
        <v>13.3</v>
      </c>
      <c r="L45" s="62">
        <f t="shared" ca="1" si="14"/>
        <v>11.3</v>
      </c>
      <c r="M45" s="62">
        <f t="shared" ca="1" si="15"/>
        <v>17.600000000000001</v>
      </c>
      <c r="N45" s="62">
        <f t="shared" ca="1" si="16"/>
        <v>12.8</v>
      </c>
      <c r="O45" s="62">
        <f t="shared" ca="1" si="16"/>
        <v>13.9</v>
      </c>
      <c r="P45" s="62">
        <f t="shared" ca="1" si="16"/>
        <v>14.1</v>
      </c>
      <c r="Q45" s="62">
        <f t="shared" ca="1" si="16"/>
        <v>12.8</v>
      </c>
      <c r="R45" s="62">
        <f t="shared" ca="1" si="16"/>
        <v>10.9</v>
      </c>
      <c r="S45" s="62">
        <f t="shared" ca="1" si="16"/>
        <v>10.5</v>
      </c>
      <c r="T45" s="62">
        <f t="shared" ca="1" si="16"/>
        <v>11.9</v>
      </c>
      <c r="U45" s="62">
        <f t="shared" ca="1" si="16"/>
        <v>25.7</v>
      </c>
      <c r="V45" s="62">
        <f t="shared" ca="1" si="16"/>
        <v>17.600000000000001</v>
      </c>
      <c r="W45" s="62">
        <f t="shared" ca="1" si="16"/>
        <v>17.3</v>
      </c>
      <c r="X45" s="62">
        <f t="shared" ca="1" si="16"/>
        <v>14.1</v>
      </c>
      <c r="Y45" s="62">
        <f t="shared" ca="1" si="16"/>
        <v>15.116</v>
      </c>
      <c r="Z45" s="62">
        <f t="shared" ca="1" si="16"/>
        <v>12.513</v>
      </c>
      <c r="AA45" s="62">
        <f t="shared" ca="1" si="16"/>
        <v>10.587999999999999</v>
      </c>
      <c r="AB45" s="62">
        <f t="shared" ca="1" si="16"/>
        <v>11.064</v>
      </c>
    </row>
    <row r="46" spans="1:28" x14ac:dyDescent="0.25">
      <c r="A46" s="44" t="s">
        <v>35</v>
      </c>
      <c r="B46" s="45">
        <f t="shared" ca="1" si="4"/>
        <v>56</v>
      </c>
      <c r="C46" s="1">
        <f>IF(ISERROR(D46),"",IF(D46="","",MAX($C$12:C45)+1))</f>
        <v>34</v>
      </c>
      <c r="D46" t="str">
        <f>VLOOKUP(A46,LUCurYr,2,FALSE)</f>
        <v xml:space="preserve">Public Serv. Enterprise       </v>
      </c>
      <c r="E46" s="15"/>
      <c r="F46" s="62">
        <f t="shared" ca="1" si="10"/>
        <v>14.512363636363638</v>
      </c>
      <c r="G46" s="62">
        <f t="shared" si="6"/>
        <v>18.8</v>
      </c>
      <c r="H46" s="62">
        <f t="shared" si="7"/>
        <v>18.5</v>
      </c>
      <c r="I46" s="62">
        <f t="shared" si="8"/>
        <v>16.8</v>
      </c>
      <c r="J46" s="62">
        <f t="shared" ca="1" si="17"/>
        <v>15.7</v>
      </c>
      <c r="K46" s="62">
        <f t="shared" ca="1" si="17"/>
        <v>18</v>
      </c>
      <c r="L46" s="62">
        <f t="shared" ca="1" si="14"/>
        <v>16.600000000000001</v>
      </c>
      <c r="M46" s="62">
        <f t="shared" ca="1" si="15"/>
        <v>16.3</v>
      </c>
      <c r="N46" s="62">
        <f t="shared" ca="1" si="16"/>
        <v>15.3</v>
      </c>
      <c r="O46" s="62">
        <f t="shared" ca="1" si="16"/>
        <v>14.1</v>
      </c>
      <c r="P46" s="62">
        <f t="shared" ca="1" si="16"/>
        <v>12.6</v>
      </c>
      <c r="Q46" s="62">
        <f t="shared" ca="1" si="16"/>
        <v>13.5</v>
      </c>
      <c r="R46" s="62">
        <f t="shared" ca="1" si="16"/>
        <v>12.8</v>
      </c>
      <c r="S46" s="62">
        <f t="shared" ca="1" si="16"/>
        <v>10.4</v>
      </c>
      <c r="T46" s="62">
        <f t="shared" ca="1" si="16"/>
        <v>10.4</v>
      </c>
      <c r="U46" s="62">
        <f t="shared" ca="1" si="16"/>
        <v>10</v>
      </c>
      <c r="V46" s="62">
        <f t="shared" ca="1" si="16"/>
        <v>13.6</v>
      </c>
      <c r="W46" s="62">
        <f t="shared" ca="1" si="16"/>
        <v>16.5</v>
      </c>
      <c r="X46" s="62">
        <f t="shared" ca="1" si="16"/>
        <v>17.808</v>
      </c>
      <c r="Y46" s="62">
        <f t="shared" ca="1" si="16"/>
        <v>16.738</v>
      </c>
      <c r="Z46" s="62">
        <f t="shared" ca="1" si="16"/>
        <v>14.255000000000001</v>
      </c>
      <c r="AA46" s="62">
        <f t="shared" ca="1" si="16"/>
        <v>10.576000000000001</v>
      </c>
      <c r="AB46" s="62">
        <f t="shared" ca="1" si="16"/>
        <v>9.9949999999999992</v>
      </c>
    </row>
    <row r="47" spans="1:28" x14ac:dyDescent="0.25">
      <c r="A47" s="44" t="s">
        <v>36</v>
      </c>
      <c r="B47" s="45">
        <f t="shared" ca="1" si="4"/>
        <v>57</v>
      </c>
      <c r="C47" s="1">
        <f>IF(ISERROR(D47),"",IF(D47="","",MAX($C$12:C46)+1))</f>
        <v>35</v>
      </c>
      <c r="D47" t="str">
        <f t="shared" si="5"/>
        <v xml:space="preserve">SCANA Corp.                   </v>
      </c>
      <c r="E47" s="15"/>
      <c r="F47" s="62">
        <f t="shared" ca="1" si="10"/>
        <v>13.957687499999999</v>
      </c>
      <c r="G47" s="62" t="str">
        <f t="shared" si="6"/>
        <v>N/A</v>
      </c>
      <c r="H47" s="62" t="str">
        <f t="shared" si="7"/>
        <v>N/A</v>
      </c>
      <c r="I47" s="62" t="str">
        <f t="shared" si="8"/>
        <v>N/A</v>
      </c>
      <c r="J47" s="62" t="str">
        <f t="shared" ca="1" si="17"/>
        <v>N/A</v>
      </c>
      <c r="K47" s="62" t="str">
        <f t="shared" ca="1" si="17"/>
        <v>N/A</v>
      </c>
      <c r="L47" s="62" t="str">
        <f t="shared" ca="1" si="14"/>
        <v>N/A</v>
      </c>
      <c r="M47" s="62">
        <f t="shared" ca="1" si="15"/>
        <v>14.46</v>
      </c>
      <c r="N47" s="62">
        <f t="shared" ref="N47:AB53" ca="1" si="18">IFERROR(INDEX(PE_WP,$B47,N$12),"N/A")</f>
        <v>16.795999999999999</v>
      </c>
      <c r="O47" s="62">
        <f t="shared" ca="1" si="18"/>
        <v>14.664999999999999</v>
      </c>
      <c r="P47" s="62">
        <f t="shared" ca="1" si="18"/>
        <v>13.677</v>
      </c>
      <c r="Q47" s="62">
        <f t="shared" ca="1" si="18"/>
        <v>14.427</v>
      </c>
      <c r="R47" s="62">
        <f t="shared" ca="1" si="18"/>
        <v>14.798999999999999</v>
      </c>
      <c r="S47" s="62">
        <f t="shared" ca="1" si="18"/>
        <v>13.670999999999999</v>
      </c>
      <c r="T47" s="62">
        <f t="shared" ca="1" si="18"/>
        <v>12.933999999999999</v>
      </c>
      <c r="U47" s="62">
        <f t="shared" ca="1" si="18"/>
        <v>11.625999999999999</v>
      </c>
      <c r="V47" s="62">
        <f t="shared" ca="1" si="18"/>
        <v>12.667</v>
      </c>
      <c r="W47" s="62">
        <f t="shared" ca="1" si="18"/>
        <v>14.957000000000001</v>
      </c>
      <c r="X47" s="62">
        <f t="shared" ca="1" si="18"/>
        <v>15.42</v>
      </c>
      <c r="Y47" s="62">
        <f t="shared" ca="1" si="18"/>
        <v>14.444000000000001</v>
      </c>
      <c r="Z47" s="62">
        <f t="shared" ca="1" si="18"/>
        <v>13.568</v>
      </c>
      <c r="AA47" s="62">
        <f t="shared" ca="1" si="18"/>
        <v>13.045</v>
      </c>
      <c r="AB47" s="62">
        <f t="shared" ca="1" si="18"/>
        <v>12.167</v>
      </c>
    </row>
    <row r="48" spans="1:28" x14ac:dyDescent="0.25">
      <c r="A48" s="44" t="s">
        <v>37</v>
      </c>
      <c r="B48" s="45">
        <f t="shared" ca="1" si="4"/>
        <v>58</v>
      </c>
      <c r="C48" s="1">
        <f>IF(ISERROR(D48),"",IF(D48="","",MAX($C$12:C47)+1))</f>
        <v>36</v>
      </c>
      <c r="D48" t="str">
        <f t="shared" si="5"/>
        <v xml:space="preserve">Sempra Energy                 </v>
      </c>
      <c r="E48" s="15"/>
      <c r="F48" s="62">
        <f t="shared" ca="1" si="10"/>
        <v>15.540500000000002</v>
      </c>
      <c r="G48" s="62">
        <f t="shared" si="6"/>
        <v>15</v>
      </c>
      <c r="H48" s="62">
        <f t="shared" si="7"/>
        <v>16.8</v>
      </c>
      <c r="I48" s="62">
        <f t="shared" si="8"/>
        <v>15.4</v>
      </c>
      <c r="J48" s="62">
        <f t="shared" ca="1" si="17"/>
        <v>17.5</v>
      </c>
      <c r="K48" s="62">
        <f t="shared" ca="1" si="17"/>
        <v>22.5</v>
      </c>
      <c r="L48" s="62">
        <f t="shared" ca="1" si="14"/>
        <v>20.399999999999999</v>
      </c>
      <c r="M48" s="62">
        <f t="shared" ca="1" si="15"/>
        <v>24.3</v>
      </c>
      <c r="N48" s="62">
        <f t="shared" ca="1" si="18"/>
        <v>24.4</v>
      </c>
      <c r="O48" s="62">
        <f t="shared" ca="1" si="18"/>
        <v>19.7</v>
      </c>
      <c r="P48" s="62">
        <f t="shared" ca="1" si="18"/>
        <v>21.9</v>
      </c>
      <c r="Q48" s="62">
        <f t="shared" ca="1" si="18"/>
        <v>19.7</v>
      </c>
      <c r="R48" s="62">
        <f t="shared" ca="1" si="18"/>
        <v>14.9</v>
      </c>
      <c r="S48" s="62">
        <f t="shared" ca="1" si="18"/>
        <v>11.8</v>
      </c>
      <c r="T48" s="62">
        <f t="shared" ca="1" si="18"/>
        <v>12.6</v>
      </c>
      <c r="U48" s="62">
        <f t="shared" ca="1" si="18"/>
        <v>10.1</v>
      </c>
      <c r="V48" s="62">
        <f t="shared" ca="1" si="18"/>
        <v>11.8</v>
      </c>
      <c r="W48" s="62">
        <f t="shared" ca="1" si="18"/>
        <v>14</v>
      </c>
      <c r="X48" s="62">
        <f t="shared" ca="1" si="18"/>
        <v>11.500999999999999</v>
      </c>
      <c r="Y48" s="62">
        <f t="shared" ca="1" si="18"/>
        <v>11.794</v>
      </c>
      <c r="Z48" s="62">
        <f t="shared" ca="1" si="18"/>
        <v>8.6470000000000002</v>
      </c>
      <c r="AA48" s="62">
        <f t="shared" ca="1" si="18"/>
        <v>8.9589999999999996</v>
      </c>
      <c r="AB48" s="62">
        <f t="shared" ca="1" si="18"/>
        <v>8.19</v>
      </c>
    </row>
    <row r="49" spans="1:28" x14ac:dyDescent="0.25">
      <c r="A49" s="44" t="s">
        <v>38</v>
      </c>
      <c r="B49" s="45">
        <f t="shared" ca="1" si="4"/>
        <v>62</v>
      </c>
      <c r="C49" s="1">
        <f>IF(ISERROR(D49),"",IF(D49="","",MAX($C$12:C48)+1))</f>
        <v>37</v>
      </c>
      <c r="D49" t="str">
        <f t="shared" si="5"/>
        <v xml:space="preserve">Southern Co.                  </v>
      </c>
      <c r="E49" s="15"/>
      <c r="F49" s="62">
        <f t="shared" ca="1" si="10"/>
        <v>16.275136363636367</v>
      </c>
      <c r="G49" s="62">
        <f t="shared" si="6"/>
        <v>18.600000000000001</v>
      </c>
      <c r="H49" s="62">
        <f t="shared" si="7"/>
        <v>19.600000000000001</v>
      </c>
      <c r="I49" s="62">
        <f t="shared" si="8"/>
        <v>18.399999999999999</v>
      </c>
      <c r="J49" s="62">
        <f t="shared" ca="1" si="17"/>
        <v>17.899999999999999</v>
      </c>
      <c r="K49" s="62">
        <f t="shared" ca="1" si="17"/>
        <v>17.600000000000001</v>
      </c>
      <c r="L49" s="62">
        <f t="shared" ca="1" si="14"/>
        <v>15.1</v>
      </c>
      <c r="M49" s="62">
        <f t="shared" ca="1" si="15"/>
        <v>15.5</v>
      </c>
      <c r="N49" s="62">
        <f t="shared" ca="1" si="18"/>
        <v>17.8</v>
      </c>
      <c r="O49" s="62">
        <f t="shared" ca="1" si="18"/>
        <v>15.8</v>
      </c>
      <c r="P49" s="62">
        <f t="shared" ca="1" si="18"/>
        <v>16</v>
      </c>
      <c r="Q49" s="62">
        <f t="shared" ca="1" si="18"/>
        <v>16.2</v>
      </c>
      <c r="R49" s="62">
        <f t="shared" ca="1" si="18"/>
        <v>17</v>
      </c>
      <c r="S49" s="62">
        <f t="shared" ca="1" si="18"/>
        <v>15.8</v>
      </c>
      <c r="T49" s="62">
        <f t="shared" ca="1" si="18"/>
        <v>14.9</v>
      </c>
      <c r="U49" s="62">
        <f t="shared" ca="1" si="18"/>
        <v>13.5</v>
      </c>
      <c r="V49" s="62">
        <f t="shared" ca="1" si="18"/>
        <v>16.100000000000001</v>
      </c>
      <c r="W49" s="62">
        <f t="shared" ca="1" si="18"/>
        <v>16</v>
      </c>
      <c r="X49" s="62">
        <f t="shared" ca="1" si="18"/>
        <v>16.189</v>
      </c>
      <c r="Y49" s="62">
        <f t="shared" ca="1" si="18"/>
        <v>15.917</v>
      </c>
      <c r="Z49" s="62">
        <f t="shared" ca="1" si="18"/>
        <v>14.683999999999999</v>
      </c>
      <c r="AA49" s="62">
        <f t="shared" ca="1" si="18"/>
        <v>14.831</v>
      </c>
      <c r="AB49" s="62">
        <f t="shared" ca="1" si="18"/>
        <v>14.632</v>
      </c>
    </row>
    <row r="50" spans="1:28" x14ac:dyDescent="0.25">
      <c r="A50" s="44" t="s">
        <v>42</v>
      </c>
      <c r="B50" s="45">
        <f t="shared" ca="1" si="4"/>
        <v>70</v>
      </c>
      <c r="C50" s="1">
        <f>IF(ISERROR(D50),"",IF(D50="","",MAX($C$12:C49)+1))</f>
        <v>38</v>
      </c>
      <c r="D50" t="str">
        <f t="shared" si="5"/>
        <v xml:space="preserve">Vectren Corp.                 </v>
      </c>
      <c r="E50" s="15"/>
      <c r="F50" s="62">
        <f t="shared" ca="1" si="10"/>
        <v>17.049250000000001</v>
      </c>
      <c r="G50" s="62" t="str">
        <f t="shared" si="6"/>
        <v>N/A</v>
      </c>
      <c r="H50" s="62" t="str">
        <f t="shared" si="7"/>
        <v>N/A</v>
      </c>
      <c r="I50" s="62" t="str">
        <f t="shared" si="8"/>
        <v>N/A</v>
      </c>
      <c r="J50" s="62" t="str">
        <f t="shared" ca="1" si="17"/>
        <v>N/A</v>
      </c>
      <c r="K50" s="62" t="str">
        <f t="shared" ca="1" si="17"/>
        <v>N/A</v>
      </c>
      <c r="L50" s="62" t="str">
        <f t="shared" ca="1" si="14"/>
        <v>N/A</v>
      </c>
      <c r="M50" s="62">
        <f t="shared" ca="1" si="15"/>
        <v>23.536000000000001</v>
      </c>
      <c r="N50" s="62">
        <f t="shared" ca="1" si="18"/>
        <v>19.178000000000001</v>
      </c>
      <c r="O50" s="62">
        <f t="shared" ca="1" si="18"/>
        <v>17.922000000000001</v>
      </c>
      <c r="P50" s="62">
        <f t="shared" ca="1" si="18"/>
        <v>19.983000000000001</v>
      </c>
      <c r="Q50" s="62">
        <f t="shared" ca="1" si="18"/>
        <v>20.664000000000001</v>
      </c>
      <c r="R50" s="62">
        <f t="shared" ca="1" si="18"/>
        <v>15.018000000000001</v>
      </c>
      <c r="S50" s="62">
        <f t="shared" ca="1" si="18"/>
        <v>15.826000000000001</v>
      </c>
      <c r="T50" s="62">
        <f t="shared" ca="1" si="18"/>
        <v>15.102</v>
      </c>
      <c r="U50" s="62">
        <f t="shared" ca="1" si="18"/>
        <v>12.891</v>
      </c>
      <c r="V50" s="62">
        <f t="shared" ca="1" si="18"/>
        <v>16.788</v>
      </c>
      <c r="W50" s="62">
        <f t="shared" ca="1" si="18"/>
        <v>15.334</v>
      </c>
      <c r="X50" s="62">
        <f t="shared" ca="1" si="18"/>
        <v>18.917000000000002</v>
      </c>
      <c r="Y50" s="62">
        <f t="shared" ca="1" si="18"/>
        <v>15.106</v>
      </c>
      <c r="Z50" s="62">
        <f t="shared" ca="1" si="18"/>
        <v>17.57</v>
      </c>
      <c r="AA50" s="62">
        <f t="shared" ca="1" si="18"/>
        <v>14.795999999999999</v>
      </c>
      <c r="AB50" s="62">
        <f t="shared" ca="1" si="18"/>
        <v>14.157</v>
      </c>
    </row>
    <row r="51" spans="1:28" x14ac:dyDescent="0.25">
      <c r="A51" s="44" t="s">
        <v>44</v>
      </c>
      <c r="B51" s="45">
        <f t="shared" ca="1" si="4"/>
        <v>71</v>
      </c>
      <c r="C51" s="1">
        <f>IF(ISERROR(D51),"",IF(D51="","",MAX($C$12:C50)+1))</f>
        <v>39</v>
      </c>
      <c r="D51" t="str">
        <f t="shared" si="5"/>
        <v>WEC Energy Group</v>
      </c>
      <c r="E51" s="15"/>
      <c r="F51" s="62">
        <f t="shared" ca="1" si="10"/>
        <v>17.37409090909091</v>
      </c>
      <c r="G51" s="62">
        <f t="shared" si="6"/>
        <v>15.2</v>
      </c>
      <c r="H51" s="62">
        <f t="shared" si="7"/>
        <v>21.9</v>
      </c>
      <c r="I51" s="62">
        <f t="shared" si="8"/>
        <v>22.3</v>
      </c>
      <c r="J51" s="62">
        <f t="shared" ca="1" si="17"/>
        <v>24.9</v>
      </c>
      <c r="K51" s="62">
        <f t="shared" ca="1" si="17"/>
        <v>23.5</v>
      </c>
      <c r="L51" s="62">
        <f t="shared" ca="1" si="14"/>
        <v>19.600000000000001</v>
      </c>
      <c r="M51" s="62">
        <f t="shared" ca="1" si="15"/>
        <v>20</v>
      </c>
      <c r="N51" s="62">
        <f t="shared" ca="1" si="18"/>
        <v>19.899999999999999</v>
      </c>
      <c r="O51" s="62">
        <f t="shared" ca="1" si="18"/>
        <v>21.3</v>
      </c>
      <c r="P51" s="62">
        <f t="shared" ca="1" si="18"/>
        <v>17.7</v>
      </c>
      <c r="Q51" s="62">
        <f t="shared" ca="1" si="18"/>
        <v>16.5</v>
      </c>
      <c r="R51" s="62">
        <f t="shared" ca="1" si="18"/>
        <v>15.8</v>
      </c>
      <c r="S51" s="62">
        <f t="shared" ca="1" si="18"/>
        <v>14.2</v>
      </c>
      <c r="T51" s="62">
        <f t="shared" ca="1" si="18"/>
        <v>14</v>
      </c>
      <c r="U51" s="62">
        <f t="shared" ca="1" si="18"/>
        <v>13.3</v>
      </c>
      <c r="V51" s="62">
        <f t="shared" ca="1" si="18"/>
        <v>14.8</v>
      </c>
      <c r="W51" s="62">
        <f t="shared" ca="1" si="18"/>
        <v>16.5</v>
      </c>
      <c r="X51" s="62">
        <f t="shared" ca="1" si="18"/>
        <v>15.967000000000001</v>
      </c>
      <c r="Y51" s="62">
        <f t="shared" ca="1" si="18"/>
        <v>14.462999999999999</v>
      </c>
      <c r="Z51" s="62">
        <f t="shared" ca="1" si="18"/>
        <v>17.513999999999999</v>
      </c>
      <c r="AA51" s="62">
        <f t="shared" ca="1" si="18"/>
        <v>12.427</v>
      </c>
      <c r="AB51" s="62">
        <f t="shared" ca="1" si="18"/>
        <v>10.459</v>
      </c>
    </row>
    <row r="52" spans="1:28" x14ac:dyDescent="0.25">
      <c r="A52" s="44" t="s">
        <v>43</v>
      </c>
      <c r="B52" s="45">
        <f t="shared" ca="1" si="4"/>
        <v>72</v>
      </c>
      <c r="C52" s="1">
        <f>IF(ISERROR(D52),"",IF(D52="","",MAX($C$12:C51)+1))</f>
        <v>40</v>
      </c>
      <c r="D52" s="31" t="str">
        <f t="shared" si="5"/>
        <v xml:space="preserve">Westar Energy                 </v>
      </c>
      <c r="E52" s="177"/>
      <c r="F52" s="62">
        <f t="shared" ca="1" si="10"/>
        <v>15.575937500000002</v>
      </c>
      <c r="G52" s="62" t="str">
        <f t="shared" si="6"/>
        <v>N/A</v>
      </c>
      <c r="H52" s="62" t="str">
        <f t="shared" si="7"/>
        <v>N/A</v>
      </c>
      <c r="I52" s="62" t="str">
        <f t="shared" si="8"/>
        <v>N/A</v>
      </c>
      <c r="J52" s="62" t="str">
        <f t="shared" ca="1" si="17"/>
        <v>N/A</v>
      </c>
      <c r="K52" s="62" t="str">
        <f t="shared" ca="1" si="17"/>
        <v>N/A</v>
      </c>
      <c r="L52" s="62" t="str">
        <f t="shared" ca="1" si="14"/>
        <v>N/A</v>
      </c>
      <c r="M52" s="62">
        <f t="shared" ca="1" si="15"/>
        <v>23.4</v>
      </c>
      <c r="N52" s="62">
        <f t="shared" ca="1" si="18"/>
        <v>21.585999999999999</v>
      </c>
      <c r="O52" s="62">
        <f t="shared" ca="1" si="18"/>
        <v>18.454000000000001</v>
      </c>
      <c r="P52" s="62">
        <f t="shared" ca="1" si="18"/>
        <v>15.358000000000001</v>
      </c>
      <c r="Q52" s="62">
        <f t="shared" ca="1" si="18"/>
        <v>14.037000000000001</v>
      </c>
      <c r="R52" s="62">
        <f t="shared" ca="1" si="18"/>
        <v>13.43</v>
      </c>
      <c r="S52" s="62">
        <f t="shared" ca="1" si="18"/>
        <v>14.778</v>
      </c>
      <c r="T52" s="62">
        <f t="shared" ca="1" si="18"/>
        <v>12.957000000000001</v>
      </c>
      <c r="U52" s="62">
        <f t="shared" ca="1" si="18"/>
        <v>14.946999999999999</v>
      </c>
      <c r="V52" s="62">
        <f t="shared" ca="1" si="18"/>
        <v>16.963000000000001</v>
      </c>
      <c r="W52" s="62">
        <f t="shared" ca="1" si="18"/>
        <v>14.103</v>
      </c>
      <c r="X52" s="62">
        <f t="shared" ca="1" si="18"/>
        <v>12.177</v>
      </c>
      <c r="Y52" s="62">
        <f t="shared" ca="1" si="18"/>
        <v>14.785</v>
      </c>
      <c r="Z52" s="62">
        <f t="shared" ca="1" si="18"/>
        <v>17.436</v>
      </c>
      <c r="AA52" s="62">
        <f t="shared" ca="1" si="18"/>
        <v>10.781000000000001</v>
      </c>
      <c r="AB52" s="62">
        <f t="shared" ca="1" si="18"/>
        <v>14.023</v>
      </c>
    </row>
    <row r="53" spans="1:28" x14ac:dyDescent="0.25">
      <c r="A53" s="44" t="s">
        <v>45</v>
      </c>
      <c r="B53" s="45">
        <f t="shared" ca="1" si="4"/>
        <v>74</v>
      </c>
      <c r="C53" s="1">
        <f>IF(ISERROR(D53),"",IF(D53="","",MAX($C$12:C52)+1))</f>
        <v>41</v>
      </c>
      <c r="D53" t="str">
        <f t="shared" si="5"/>
        <v xml:space="preserve">Xcel Energy Inc.              </v>
      </c>
      <c r="E53" s="15"/>
      <c r="F53" s="62">
        <f t="shared" ca="1" si="10"/>
        <v>17.869409090909091</v>
      </c>
      <c r="G53" s="62">
        <f t="shared" si="6"/>
        <v>15.3</v>
      </c>
      <c r="H53" s="62">
        <f t="shared" si="7"/>
        <v>22.2</v>
      </c>
      <c r="I53" s="62">
        <f t="shared" si="8"/>
        <v>22.5</v>
      </c>
      <c r="J53" s="62">
        <f t="shared" ca="1" si="17"/>
        <v>23.9</v>
      </c>
      <c r="K53" s="62">
        <f t="shared" ca="1" si="17"/>
        <v>22.3</v>
      </c>
      <c r="L53" s="62">
        <f t="shared" ca="1" si="14"/>
        <v>18.899999999999999</v>
      </c>
      <c r="M53" s="62">
        <f t="shared" ca="1" si="15"/>
        <v>20.2</v>
      </c>
      <c r="N53" s="62">
        <f t="shared" ca="1" si="18"/>
        <v>18.5</v>
      </c>
      <c r="O53" s="62">
        <f t="shared" ca="1" si="18"/>
        <v>16.5</v>
      </c>
      <c r="P53" s="62">
        <f t="shared" ca="1" si="18"/>
        <v>15.4</v>
      </c>
      <c r="Q53" s="62">
        <f t="shared" ca="1" si="18"/>
        <v>15</v>
      </c>
      <c r="R53" s="62">
        <f t="shared" ca="1" si="18"/>
        <v>14.8</v>
      </c>
      <c r="S53" s="62">
        <f t="shared" ca="1" si="18"/>
        <v>14.2</v>
      </c>
      <c r="T53" s="62">
        <f t="shared" ca="1" si="18"/>
        <v>14.1</v>
      </c>
      <c r="U53" s="62">
        <f t="shared" ca="1" si="18"/>
        <v>12.7</v>
      </c>
      <c r="V53" s="62">
        <f t="shared" ca="1" si="18"/>
        <v>13.7</v>
      </c>
      <c r="W53" s="62">
        <f t="shared" ca="1" si="18"/>
        <v>16.7</v>
      </c>
      <c r="X53" s="62">
        <f t="shared" ca="1" si="18"/>
        <v>14.801</v>
      </c>
      <c r="Y53" s="62">
        <f t="shared" ca="1" si="18"/>
        <v>15.362</v>
      </c>
      <c r="Z53" s="62">
        <f t="shared" ca="1" si="18"/>
        <v>13.648</v>
      </c>
      <c r="AA53" s="62">
        <f t="shared" ca="1" si="18"/>
        <v>11.616</v>
      </c>
      <c r="AB53" s="62">
        <f t="shared" ca="1" si="18"/>
        <v>40.799999999999997</v>
      </c>
    </row>
    <row r="54" spans="1:28" hidden="1" x14ac:dyDescent="0.25">
      <c r="A54" s="44"/>
      <c r="B54" s="45" t="str">
        <f t="shared" ca="1" si="4"/>
        <v/>
      </c>
      <c r="C54" s="1" t="str">
        <f>IF(ISERROR(D54),"",IF(D54="","",MAX($C$12:C53)+1))</f>
        <v/>
      </c>
      <c r="D54" t="e">
        <f t="shared" si="5"/>
        <v>#N/A</v>
      </c>
      <c r="E54" s="15"/>
      <c r="F54" s="62" t="str">
        <f t="shared" ca="1" si="10"/>
        <v>N/A</v>
      </c>
      <c r="G54" s="62"/>
      <c r="H54" s="62" t="str">
        <f t="shared" si="7"/>
        <v>N/A</v>
      </c>
      <c r="I54" s="62" t="str">
        <f t="shared" si="8"/>
        <v>N/A</v>
      </c>
      <c r="J54" s="62" t="str">
        <f t="shared" ca="1" si="17"/>
        <v>N/A</v>
      </c>
      <c r="K54" s="62" t="str">
        <f t="shared" ca="1" si="17"/>
        <v>N/A</v>
      </c>
      <c r="L54" s="62" t="str">
        <f t="shared" ca="1" si="14"/>
        <v>N/A</v>
      </c>
      <c r="M54" s="62" t="str">
        <f t="shared" ca="1" si="15"/>
        <v>N/A</v>
      </c>
      <c r="N54" s="62"/>
      <c r="O54" s="62" t="str">
        <f t="shared" ref="O54:AB57" ca="1" si="19">IFERROR(INDEX(PE_WP,$B54,O$12),"N/A")</f>
        <v>N/A</v>
      </c>
      <c r="P54" s="62" t="str">
        <f t="shared" ca="1" si="19"/>
        <v>N/A</v>
      </c>
      <c r="Q54" s="62" t="str">
        <f t="shared" ca="1" si="19"/>
        <v>N/A</v>
      </c>
      <c r="R54" s="62" t="str">
        <f t="shared" ca="1" si="19"/>
        <v>N/A</v>
      </c>
      <c r="S54" s="62" t="str">
        <f t="shared" ca="1" si="19"/>
        <v>N/A</v>
      </c>
      <c r="T54" s="62" t="str">
        <f t="shared" ca="1" si="19"/>
        <v>N/A</v>
      </c>
      <c r="U54" s="62" t="str">
        <f t="shared" ca="1" si="19"/>
        <v>N/A</v>
      </c>
      <c r="V54" s="62" t="str">
        <f t="shared" ca="1" si="19"/>
        <v>N/A</v>
      </c>
      <c r="W54" s="62" t="str">
        <f t="shared" ca="1" si="19"/>
        <v>N/A</v>
      </c>
      <c r="X54" s="62" t="str">
        <f t="shared" ca="1" si="19"/>
        <v>N/A</v>
      </c>
      <c r="Y54" s="62" t="str">
        <f t="shared" ca="1" si="19"/>
        <v>N/A</v>
      </c>
      <c r="Z54" s="62" t="str">
        <f t="shared" ca="1" si="19"/>
        <v>N/A</v>
      </c>
      <c r="AA54" s="62" t="str">
        <f t="shared" ca="1" si="19"/>
        <v>N/A</v>
      </c>
      <c r="AB54" s="62" t="str">
        <f t="shared" ca="1" si="19"/>
        <v>N/A</v>
      </c>
    </row>
    <row r="55" spans="1:28" hidden="1" x14ac:dyDescent="0.25">
      <c r="A55" s="50"/>
      <c r="B55" s="45" t="str">
        <f t="shared" ca="1" si="4"/>
        <v/>
      </c>
      <c r="C55" s="1" t="str">
        <f>IF(ISERROR(D55),"",IF(D55="","",MAX($C$12:C54)+1))</f>
        <v/>
      </c>
      <c r="D55" t="e">
        <f t="shared" si="5"/>
        <v>#N/A</v>
      </c>
      <c r="F55" s="62" t="str">
        <f t="shared" ca="1" si="10"/>
        <v>N/A</v>
      </c>
      <c r="G55" s="62"/>
      <c r="H55" s="62" t="str">
        <f t="shared" si="7"/>
        <v>N/A</v>
      </c>
      <c r="I55" s="62" t="str">
        <f t="shared" si="8"/>
        <v>N/A</v>
      </c>
      <c r="J55" s="62" t="str">
        <f t="shared" ca="1" si="17"/>
        <v>N/A</v>
      </c>
      <c r="K55" s="62" t="str">
        <f t="shared" ca="1" si="17"/>
        <v>N/A</v>
      </c>
      <c r="L55" s="62" t="str">
        <f t="shared" ca="1" si="14"/>
        <v>N/A</v>
      </c>
      <c r="M55" s="62" t="str">
        <f t="shared" ca="1" si="15"/>
        <v>N/A</v>
      </c>
      <c r="N55" s="62"/>
      <c r="O55" s="62" t="str">
        <f t="shared" ca="1" si="19"/>
        <v>N/A</v>
      </c>
      <c r="P55" s="62" t="str">
        <f t="shared" ca="1" si="19"/>
        <v>N/A</v>
      </c>
      <c r="Q55" s="62" t="str">
        <f t="shared" ca="1" si="19"/>
        <v>N/A</v>
      </c>
      <c r="R55" s="62" t="str">
        <f t="shared" ca="1" si="19"/>
        <v>N/A</v>
      </c>
      <c r="S55" s="62" t="str">
        <f t="shared" ca="1" si="19"/>
        <v>N/A</v>
      </c>
      <c r="T55" s="62" t="str">
        <f t="shared" ca="1" si="19"/>
        <v>N/A</v>
      </c>
      <c r="U55" s="62" t="str">
        <f t="shared" ca="1" si="19"/>
        <v>N/A</v>
      </c>
      <c r="V55" s="62" t="str">
        <f t="shared" ca="1" si="19"/>
        <v>N/A</v>
      </c>
      <c r="W55" s="62" t="str">
        <f t="shared" ca="1" si="19"/>
        <v>N/A</v>
      </c>
      <c r="X55" s="62" t="str">
        <f t="shared" ca="1" si="19"/>
        <v>N/A</v>
      </c>
      <c r="Y55" s="62" t="str">
        <f t="shared" ca="1" si="19"/>
        <v>N/A</v>
      </c>
      <c r="Z55" s="62" t="str">
        <f t="shared" ca="1" si="19"/>
        <v>N/A</v>
      </c>
      <c r="AA55" s="62" t="str">
        <f t="shared" ca="1" si="19"/>
        <v>N/A</v>
      </c>
      <c r="AB55" s="62" t="str">
        <f t="shared" ca="1" si="19"/>
        <v>N/A</v>
      </c>
    </row>
    <row r="56" spans="1:28" hidden="1" x14ac:dyDescent="0.25">
      <c r="A56" s="50"/>
      <c r="B56" s="45" t="str">
        <f t="shared" ca="1" si="4"/>
        <v/>
      </c>
      <c r="C56" s="1" t="str">
        <f>IF(ISERROR(D56),"",IF(D56="","",MAX($C$12:C55)+1))</f>
        <v/>
      </c>
      <c r="D56" t="e">
        <f t="shared" si="5"/>
        <v>#N/A</v>
      </c>
      <c r="F56" s="62" t="str">
        <f t="shared" ca="1" si="10"/>
        <v>N/A</v>
      </c>
      <c r="G56" s="62"/>
      <c r="H56" s="62" t="str">
        <f t="shared" si="7"/>
        <v>N/A</v>
      </c>
      <c r="I56" s="62" t="str">
        <f t="shared" si="8"/>
        <v>N/A</v>
      </c>
      <c r="J56" s="62" t="str">
        <f t="shared" ca="1" si="17"/>
        <v>N/A</v>
      </c>
      <c r="K56" s="62" t="str">
        <f t="shared" ca="1" si="17"/>
        <v>N/A</v>
      </c>
      <c r="L56" s="62" t="str">
        <f t="shared" ca="1" si="14"/>
        <v>N/A</v>
      </c>
      <c r="M56" s="62" t="str">
        <f t="shared" ca="1" si="15"/>
        <v>N/A</v>
      </c>
      <c r="N56" s="62"/>
      <c r="O56" s="62" t="str">
        <f t="shared" ca="1" si="19"/>
        <v>N/A</v>
      </c>
      <c r="P56" s="62" t="str">
        <f t="shared" ca="1" si="19"/>
        <v>N/A</v>
      </c>
      <c r="Q56" s="62" t="str">
        <f t="shared" ca="1" si="19"/>
        <v>N/A</v>
      </c>
      <c r="R56" s="62" t="str">
        <f t="shared" ca="1" si="19"/>
        <v>N/A</v>
      </c>
      <c r="S56" s="62" t="str">
        <f t="shared" ca="1" si="19"/>
        <v>N/A</v>
      </c>
      <c r="T56" s="62" t="str">
        <f t="shared" ca="1" si="19"/>
        <v>N/A</v>
      </c>
      <c r="U56" s="62" t="str">
        <f t="shared" ca="1" si="19"/>
        <v>N/A</v>
      </c>
      <c r="V56" s="62" t="str">
        <f t="shared" ca="1" si="19"/>
        <v>N/A</v>
      </c>
      <c r="W56" s="62" t="str">
        <f t="shared" ca="1" si="19"/>
        <v>N/A</v>
      </c>
      <c r="X56" s="62" t="str">
        <f t="shared" ca="1" si="19"/>
        <v>N/A</v>
      </c>
      <c r="Y56" s="62" t="str">
        <f t="shared" ca="1" si="19"/>
        <v>N/A</v>
      </c>
      <c r="Z56" s="62" t="str">
        <f t="shared" ca="1" si="19"/>
        <v>N/A</v>
      </c>
      <c r="AA56" s="62" t="str">
        <f t="shared" ca="1" si="19"/>
        <v>N/A</v>
      </c>
      <c r="AB56" s="62" t="str">
        <f t="shared" ca="1" si="19"/>
        <v>N/A</v>
      </c>
    </row>
    <row r="57" spans="1:28" hidden="1" x14ac:dyDescent="0.25">
      <c r="A57" s="50"/>
      <c r="B57" s="45" t="str">
        <f t="shared" ca="1" si="4"/>
        <v/>
      </c>
      <c r="C57" s="1" t="str">
        <f>IF(ISERROR(D57),"",IF(D57="","",MAX($C$12:C56)+1))</f>
        <v/>
      </c>
      <c r="D57" t="e">
        <f t="shared" si="5"/>
        <v>#N/A</v>
      </c>
      <c r="F57" s="62" t="str">
        <f t="shared" ca="1" si="10"/>
        <v>N/A</v>
      </c>
      <c r="G57" s="62"/>
      <c r="H57" s="62" t="str">
        <f t="shared" si="7"/>
        <v>N/A</v>
      </c>
      <c r="I57" s="62" t="str">
        <f t="shared" si="8"/>
        <v>N/A</v>
      </c>
      <c r="J57" s="62" t="str">
        <f t="shared" ca="1" si="17"/>
        <v>N/A</v>
      </c>
      <c r="K57" s="62" t="str">
        <f t="shared" ca="1" si="17"/>
        <v>N/A</v>
      </c>
      <c r="L57" s="62" t="str">
        <f t="shared" ca="1" si="14"/>
        <v>N/A</v>
      </c>
      <c r="M57" s="62" t="str">
        <f t="shared" ca="1" si="15"/>
        <v>N/A</v>
      </c>
      <c r="N57" s="62"/>
      <c r="O57" s="62" t="str">
        <f t="shared" ca="1" si="19"/>
        <v>N/A</v>
      </c>
      <c r="P57" s="62" t="str">
        <f t="shared" ca="1" si="19"/>
        <v>N/A</v>
      </c>
      <c r="Q57" s="62" t="str">
        <f t="shared" ca="1" si="19"/>
        <v>N/A</v>
      </c>
      <c r="R57" s="62" t="str">
        <f t="shared" ca="1" si="19"/>
        <v>N/A</v>
      </c>
      <c r="S57" s="62" t="str">
        <f t="shared" ca="1" si="19"/>
        <v>N/A</v>
      </c>
      <c r="T57" s="62" t="str">
        <f t="shared" ca="1" si="19"/>
        <v>N/A</v>
      </c>
      <c r="U57" s="62" t="str">
        <f t="shared" ca="1" si="19"/>
        <v>N/A</v>
      </c>
      <c r="V57" s="62" t="str">
        <f t="shared" ca="1" si="19"/>
        <v>N/A</v>
      </c>
      <c r="W57" s="62" t="str">
        <f t="shared" ca="1" si="19"/>
        <v>N/A</v>
      </c>
      <c r="X57" s="62" t="str">
        <f t="shared" ca="1" si="19"/>
        <v>N/A</v>
      </c>
      <c r="Y57" s="62" t="str">
        <f t="shared" ca="1" si="19"/>
        <v>N/A</v>
      </c>
      <c r="Z57" s="62" t="str">
        <f t="shared" ca="1" si="19"/>
        <v>N/A</v>
      </c>
      <c r="AA57" s="62" t="str">
        <f t="shared" ca="1" si="19"/>
        <v>N/A</v>
      </c>
      <c r="AB57" s="62" t="str">
        <f t="shared" ca="1" si="19"/>
        <v>N/A</v>
      </c>
    </row>
    <row r="58" spans="1:28" x14ac:dyDescent="0.25">
      <c r="A58" s="31"/>
      <c r="B58" s="31"/>
      <c r="C58" s="1" t="str">
        <f>IF(ISERROR(D58),"",IF(D58="","",MAX($C$12:C57)+1))</f>
        <v/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25">
      <c r="A59" s="31"/>
      <c r="B59" s="31"/>
      <c r="C59" s="1">
        <f>IF(ISERROR(D59),"",IF(D59="","",MAX($C$12:C58)+1))</f>
        <v>42</v>
      </c>
      <c r="D59" t="s">
        <v>98</v>
      </c>
      <c r="F59" s="62">
        <f ca="1">AVERAGE(G59:AB59)</f>
        <v>17.002882812677782</v>
      </c>
      <c r="G59" s="62">
        <f>AVERAGE(G13:G58)</f>
        <v>15.461111111111112</v>
      </c>
      <c r="H59" s="62">
        <f t="shared" ref="H59:AB59" si="20">AVERAGE(H13:H58)</f>
        <v>20.294444444444444</v>
      </c>
      <c r="I59" s="62">
        <f t="shared" si="20"/>
        <v>20.908333333333328</v>
      </c>
      <c r="J59" s="62">
        <f t="shared" ca="1" si="20"/>
        <v>19.947222222222223</v>
      </c>
      <c r="K59" s="62">
        <f t="shared" ca="1" si="20"/>
        <v>20.511111111111109</v>
      </c>
      <c r="L59" s="62">
        <f t="shared" ca="1" si="20"/>
        <v>19.434694444444446</v>
      </c>
      <c r="M59" s="62">
        <f t="shared" ca="1" si="20"/>
        <v>19.845615384615382</v>
      </c>
      <c r="N59" s="62">
        <f t="shared" ca="1" si="20"/>
        <v>18.749949999999998</v>
      </c>
      <c r="O59" s="62">
        <f t="shared" ca="1" si="20"/>
        <v>17.580899999999996</v>
      </c>
      <c r="P59" s="62">
        <f t="shared" ca="1" si="20"/>
        <v>16.765923076923077</v>
      </c>
      <c r="Q59" s="62">
        <f t="shared" ca="1" si="20"/>
        <v>16.187000000000001</v>
      </c>
      <c r="R59" s="62">
        <f t="shared" ca="1" si="20"/>
        <v>15.560358974358969</v>
      </c>
      <c r="S59" s="62">
        <f t="shared" ca="1" si="20"/>
        <v>15.299358974358976</v>
      </c>
      <c r="T59" s="62">
        <f t="shared" ca="1" si="20"/>
        <v>13.163368421052633</v>
      </c>
      <c r="U59" s="62">
        <f t="shared" ca="1" si="20"/>
        <v>13.571538461538463</v>
      </c>
      <c r="V59" s="62">
        <f t="shared" ca="1" si="20"/>
        <v>15.266459459459458</v>
      </c>
      <c r="W59" s="62">
        <f t="shared" ca="1" si="20"/>
        <v>17.657947368421048</v>
      </c>
      <c r="X59" s="62">
        <f t="shared" ca="1" si="20"/>
        <v>16.514263157894739</v>
      </c>
      <c r="Y59" s="62">
        <f t="shared" ca="1" si="20"/>
        <v>16.556444444444441</v>
      </c>
      <c r="Z59" s="62">
        <f t="shared" ca="1" si="20"/>
        <v>16.64677142857143</v>
      </c>
      <c r="AA59" s="62">
        <f t="shared" ca="1" si="20"/>
        <v>13.82927272727273</v>
      </c>
      <c r="AB59" s="62">
        <f t="shared" ca="1" si="20"/>
        <v>14.311333333333334</v>
      </c>
    </row>
    <row r="60" spans="1:28" x14ac:dyDescent="0.25">
      <c r="A60" s="31"/>
      <c r="B60" s="31"/>
      <c r="C60" s="1">
        <f>IF(ISERROR(D60),"",IF(D60="","",MAX($C$12:C59)+1))</f>
        <v>43</v>
      </c>
      <c r="D60" t="s">
        <v>257</v>
      </c>
      <c r="F60" s="62">
        <f ca="1">MEDIAN(G60:AB60)</f>
        <v>16.095500000000001</v>
      </c>
      <c r="G60" s="62">
        <f>MEDIAN(G13:G58)</f>
        <v>15.4</v>
      </c>
      <c r="H60" s="62">
        <f t="shared" ref="H60:AB60" si="21">MEDIAN(H13:H58)</f>
        <v>19.899999999999999</v>
      </c>
      <c r="I60" s="62">
        <f t="shared" si="21"/>
        <v>19.7</v>
      </c>
      <c r="J60" s="62">
        <f t="shared" ca="1" si="21"/>
        <v>19.3</v>
      </c>
      <c r="K60" s="62">
        <f t="shared" ca="1" si="21"/>
        <v>21.2</v>
      </c>
      <c r="L60" s="62">
        <f t="shared" ca="1" si="21"/>
        <v>18.549999999999997</v>
      </c>
      <c r="M60" s="62">
        <f t="shared" ca="1" si="21"/>
        <v>20</v>
      </c>
      <c r="N60" s="62">
        <f t="shared" ca="1" si="21"/>
        <v>18.8</v>
      </c>
      <c r="O60" s="62">
        <f t="shared" ca="1" si="21"/>
        <v>17.811</v>
      </c>
      <c r="P60" s="62">
        <f t="shared" ca="1" si="21"/>
        <v>16.47</v>
      </c>
      <c r="Q60" s="62">
        <f t="shared" ca="1" si="21"/>
        <v>16.2</v>
      </c>
      <c r="R60" s="62">
        <f t="shared" ca="1" si="21"/>
        <v>15.018000000000001</v>
      </c>
      <c r="S60" s="62">
        <f t="shared" ca="1" si="21"/>
        <v>14.2</v>
      </c>
      <c r="T60" s="62">
        <f t="shared" ca="1" si="21"/>
        <v>12.8</v>
      </c>
      <c r="U60" s="62">
        <f t="shared" ca="1" si="21"/>
        <v>12.7</v>
      </c>
      <c r="V60" s="62">
        <f t="shared" ca="1" si="21"/>
        <v>14.2</v>
      </c>
      <c r="W60" s="62">
        <f t="shared" ca="1" si="21"/>
        <v>16.323999999999998</v>
      </c>
      <c r="X60" s="62">
        <f t="shared" ca="1" si="21"/>
        <v>15.923</v>
      </c>
      <c r="Y60" s="62">
        <f t="shared" ca="1" si="21"/>
        <v>15.991</v>
      </c>
      <c r="Z60" s="62">
        <f t="shared" ca="1" si="21"/>
        <v>15.488</v>
      </c>
      <c r="AA60" s="62">
        <f t="shared" ca="1" si="21"/>
        <v>13.689</v>
      </c>
      <c r="AB60" s="62">
        <f t="shared" ca="1" si="21"/>
        <v>13.474</v>
      </c>
    </row>
    <row r="61" spans="1:28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 spans="1:28" x14ac:dyDescent="0.25">
      <c r="A62" s="31"/>
      <c r="B62" s="31"/>
      <c r="C62" s="1"/>
      <c r="D62" s="18"/>
      <c r="E62" s="88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</row>
    <row r="63" spans="1:28" x14ac:dyDescent="0.25">
      <c r="A63" s="31"/>
      <c r="B63" s="31"/>
      <c r="C63" s="1"/>
      <c r="D63" s="20" t="s">
        <v>107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</row>
    <row r="64" spans="1:28" s="270" customFormat="1" x14ac:dyDescent="0.25">
      <c r="A64" s="31"/>
      <c r="B64" s="31"/>
      <c r="C64" s="1"/>
      <c r="D64" s="20"/>
      <c r="E64" s="270" t="s">
        <v>571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</row>
    <row r="65" spans="1:28" ht="16.2" x14ac:dyDescent="0.25">
      <c r="A65" s="31"/>
      <c r="B65" s="31"/>
      <c r="C65" s="1"/>
      <c r="D65" s="76">
        <v>1</v>
      </c>
      <c r="E65" s="21" t="str">
        <f>"Data for years 2019 and prior were retrieved from the Value Line Investment Survey Investment Analyzer Software, downloaded on "&amp;TEXT('2020'!$A$1,"mmmm d, yyyy.")</f>
        <v>Data for years 2019 and prior were retrieved from the Value Line Investment Survey Investment Analyzer Software, downloaded on June 18, 2021.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</row>
    <row r="66" spans="1:28" ht="16.2" x14ac:dyDescent="0.25">
      <c r="A66" s="31"/>
      <c r="B66" s="31"/>
      <c r="C66" s="1"/>
      <c r="D66" s="76"/>
      <c r="E66" s="21" t="s">
        <v>559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</row>
    <row r="67" spans="1:28" ht="16.2" x14ac:dyDescent="0.25">
      <c r="A67" s="31"/>
      <c r="B67" s="31"/>
      <c r="C67" s="1"/>
      <c r="D67" s="76">
        <v>2</v>
      </c>
      <c r="E67" s="21" t="str">
        <f>"The Value Line Investment Survey, "&amp;'2023 Data (WP)'!$D$1</f>
        <v>The Value Line Investment Survey, March 8, April 19, and May 10, 2024.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</row>
    <row r="68" spans="1:28" ht="16.2" x14ac:dyDescent="0.25">
      <c r="A68" s="31"/>
      <c r="B68" s="31"/>
      <c r="C68" s="1"/>
      <c r="D68" s="76"/>
      <c r="E68" s="21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</row>
    <row r="69" spans="1:28" x14ac:dyDescent="0.25">
      <c r="A69" s="31"/>
      <c r="B69" s="31"/>
      <c r="C69" s="1"/>
    </row>
    <row r="70" spans="1:28" ht="16.2" x14ac:dyDescent="0.25">
      <c r="A70" s="31"/>
      <c r="B70" s="31"/>
      <c r="C70" s="6"/>
      <c r="D70" s="6"/>
      <c r="E70" s="19"/>
      <c r="F70" s="276" t="s">
        <v>109</v>
      </c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</row>
    <row r="71" spans="1:28" x14ac:dyDescent="0.25">
      <c r="A71" s="31"/>
      <c r="B71" s="31"/>
      <c r="C71" s="6"/>
      <c r="D71" s="7"/>
      <c r="E71" s="7"/>
      <c r="F71" s="8" t="s">
        <v>562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7"/>
      <c r="V71" s="7"/>
      <c r="W71" s="7"/>
      <c r="X71" s="7"/>
      <c r="Y71" s="7"/>
      <c r="Z71" s="7"/>
      <c r="AA71" s="7"/>
    </row>
    <row r="72" spans="1:28" ht="16.2" x14ac:dyDescent="0.25">
      <c r="A72" s="31"/>
      <c r="B72" s="31"/>
      <c r="C72" s="9" t="s">
        <v>96</v>
      </c>
      <c r="D72" s="275" t="s">
        <v>97</v>
      </c>
      <c r="E72" s="275"/>
      <c r="F72" s="10" t="s">
        <v>98</v>
      </c>
      <c r="G72" s="40" t="s">
        <v>558</v>
      </c>
      <c r="H72" s="40">
        <v>2022</v>
      </c>
      <c r="I72" s="10" t="s">
        <v>541</v>
      </c>
      <c r="J72" s="40">
        <v>2020</v>
      </c>
      <c r="K72" s="40">
        <v>2019</v>
      </c>
      <c r="L72" s="40">
        <v>2018</v>
      </c>
      <c r="M72" s="40">
        <v>2017</v>
      </c>
      <c r="N72" s="40">
        <v>2016</v>
      </c>
      <c r="O72" s="40">
        <v>2015</v>
      </c>
      <c r="P72" s="40">
        <v>2014</v>
      </c>
      <c r="Q72" s="40">
        <v>2013</v>
      </c>
      <c r="R72" s="40">
        <v>2012</v>
      </c>
      <c r="S72" s="40">
        <v>2011</v>
      </c>
      <c r="T72" s="40">
        <v>2010</v>
      </c>
      <c r="U72" s="40">
        <v>2009</v>
      </c>
      <c r="V72" s="40">
        <v>2008</v>
      </c>
      <c r="W72" s="40">
        <v>2007</v>
      </c>
      <c r="X72" s="40">
        <v>2006</v>
      </c>
      <c r="Y72" s="40">
        <v>2005</v>
      </c>
      <c r="Z72" s="40">
        <v>2004</v>
      </c>
      <c r="AA72" s="40">
        <v>2003</v>
      </c>
      <c r="AB72" s="40">
        <v>2002</v>
      </c>
    </row>
    <row r="73" spans="1:28" x14ac:dyDescent="0.25">
      <c r="A73" s="41"/>
      <c r="B73" s="41"/>
      <c r="C73" s="9"/>
      <c r="D73" s="11"/>
      <c r="E73" s="11"/>
      <c r="F73" s="12">
        <v>-1</v>
      </c>
      <c r="G73" s="12">
        <f>+F73-1</f>
        <v>-2</v>
      </c>
      <c r="H73" s="12">
        <f>+G73-1</f>
        <v>-3</v>
      </c>
      <c r="I73" s="12">
        <f>+H73-1</f>
        <v>-4</v>
      </c>
      <c r="J73" s="12">
        <f t="shared" ref="J73:Z73" si="22">+I73-1</f>
        <v>-5</v>
      </c>
      <c r="K73" s="12">
        <f t="shared" si="22"/>
        <v>-6</v>
      </c>
      <c r="L73" s="12">
        <f t="shared" si="22"/>
        <v>-7</v>
      </c>
      <c r="M73" s="12">
        <f t="shared" si="22"/>
        <v>-8</v>
      </c>
      <c r="N73" s="12">
        <f t="shared" si="22"/>
        <v>-9</v>
      </c>
      <c r="O73" s="12">
        <f t="shared" si="22"/>
        <v>-10</v>
      </c>
      <c r="P73" s="12">
        <f t="shared" si="22"/>
        <v>-11</v>
      </c>
      <c r="Q73" s="12">
        <f t="shared" si="22"/>
        <v>-12</v>
      </c>
      <c r="R73" s="12">
        <f t="shared" si="22"/>
        <v>-13</v>
      </c>
      <c r="S73" s="12">
        <f t="shared" si="22"/>
        <v>-14</v>
      </c>
      <c r="T73" s="12">
        <f t="shared" si="22"/>
        <v>-15</v>
      </c>
      <c r="U73" s="12">
        <f t="shared" si="22"/>
        <v>-16</v>
      </c>
      <c r="V73" s="12">
        <f t="shared" si="22"/>
        <v>-17</v>
      </c>
      <c r="W73" s="12">
        <f t="shared" si="22"/>
        <v>-18</v>
      </c>
      <c r="X73" s="12">
        <f t="shared" si="22"/>
        <v>-19</v>
      </c>
      <c r="Y73" s="12">
        <f t="shared" si="22"/>
        <v>-20</v>
      </c>
      <c r="Z73" s="12">
        <f t="shared" si="22"/>
        <v>-21</v>
      </c>
      <c r="AA73" s="12">
        <f>+Z73-1</f>
        <v>-22</v>
      </c>
      <c r="AB73" s="12">
        <f>+AA73-1</f>
        <v>-23</v>
      </c>
    </row>
    <row r="74" spans="1:28" x14ac:dyDescent="0.25">
      <c r="A74" s="42"/>
      <c r="B74" s="43"/>
      <c r="C74" s="6"/>
      <c r="E74" s="22"/>
      <c r="F74" s="50"/>
      <c r="G74" s="50"/>
      <c r="H74" s="50"/>
      <c r="I74" s="50"/>
      <c r="J74" s="126">
        <f t="shared" ref="J74:X74" ca="1" si="23">MATCH(VALUE(LEFT(J72,4)),OFFSET(MP_CF_WP,-1,0,1,),0)</f>
        <v>7</v>
      </c>
      <c r="K74" s="126">
        <f t="shared" ca="1" si="23"/>
        <v>8</v>
      </c>
      <c r="L74" s="126">
        <f t="shared" ca="1" si="23"/>
        <v>9</v>
      </c>
      <c r="M74" s="126">
        <f t="shared" ca="1" si="23"/>
        <v>10</v>
      </c>
      <c r="N74" s="126">
        <f t="shared" ca="1" si="23"/>
        <v>11</v>
      </c>
      <c r="O74" s="126">
        <f t="shared" ca="1" si="23"/>
        <v>12</v>
      </c>
      <c r="P74" s="126">
        <f t="shared" ca="1" si="23"/>
        <v>13</v>
      </c>
      <c r="Q74" s="126">
        <f t="shared" ca="1" si="23"/>
        <v>14</v>
      </c>
      <c r="R74" s="126">
        <f t="shared" ca="1" si="23"/>
        <v>15</v>
      </c>
      <c r="S74" s="126">
        <f t="shared" ca="1" si="23"/>
        <v>16</v>
      </c>
      <c r="T74" s="126">
        <f t="shared" ca="1" si="23"/>
        <v>17</v>
      </c>
      <c r="U74" s="126">
        <f t="shared" ca="1" si="23"/>
        <v>18</v>
      </c>
      <c r="V74" s="126">
        <f t="shared" ca="1" si="23"/>
        <v>19</v>
      </c>
      <c r="W74" s="126">
        <f t="shared" ca="1" si="23"/>
        <v>20</v>
      </c>
      <c r="X74" s="126">
        <f t="shared" ca="1" si="23"/>
        <v>21</v>
      </c>
      <c r="Y74" s="126">
        <f ca="1">MATCH(VALUE(LEFT(Y72,4)),OFFSET(MP_CF_WP,-1,0,1,),0)</f>
        <v>22</v>
      </c>
      <c r="Z74" s="126">
        <f ca="1">MATCH(VALUE(LEFT(Z72,4)),OFFSET(MP_CF_WP,-1,0,1,),0)</f>
        <v>23</v>
      </c>
      <c r="AA74" s="126">
        <f ca="1">MATCH(VALUE(LEFT(AA72,4)),OFFSET(MP_CF_WP,-1,0,1,),0)</f>
        <v>24</v>
      </c>
      <c r="AB74" s="126">
        <f ca="1">MATCH(VALUE(LEFT(AB72,4)),OFFSET(MP_CF_WP,-1,0,1,),0)</f>
        <v>25</v>
      </c>
    </row>
    <row r="75" spans="1:28" x14ac:dyDescent="0.25">
      <c r="A75" s="50" t="str">
        <f t="shared" ref="A75:A91" si="24">A13</f>
        <v>ALE</v>
      </c>
      <c r="B75" s="45">
        <f t="shared" ref="B75:B91" ca="1" si="25">IFERROR(MATCH(A75,OFFSET(MP_CF_WP,0,0,,1),0),"")</f>
        <v>2</v>
      </c>
      <c r="C75" s="1">
        <f>IF(ISERROR(D75),"",IF(D75="","",MAX($C$73:C74)+1))</f>
        <v>1</v>
      </c>
      <c r="D75" t="str">
        <f t="shared" ref="D75:D91" si="26">D13</f>
        <v xml:space="preserve">ALLETE                        </v>
      </c>
      <c r="E75" s="22"/>
      <c r="F75" s="62">
        <f ca="1">IFERROR(AVERAGE(G75:AB75),"N/A")</f>
        <v>9.1749697159447337</v>
      </c>
      <c r="G75" s="62">
        <f t="shared" ref="G75:G119" si="27">IFERROR(IF(VLOOKUP($A75,Data2023,19,FALSE)=0,"N/A",VLOOKUP($A75,Data2023,19,FALSE)),"N/A")</f>
        <v>6.6897347174163784</v>
      </c>
      <c r="H75" s="62">
        <f t="shared" ref="H75:H119" si="28">IFERROR(IF(VLOOKUP($A75,Data2022,17,FALSE)=0,"N/A",VLOOKUP($A75,Data2022,17,FALSE)),"N/A")</f>
        <v>7.5584415584415581</v>
      </c>
      <c r="I75" s="62">
        <f t="shared" ref="I75:I119" si="29">IFERROR(IF(VLOOKUP(A75,lucyyr,17,FALSE)=0,"N/A",VLOOKUP(A75,lucyyr,17,FALSE)),"N/A")</f>
        <v>8.6140583554376651</v>
      </c>
      <c r="J75" s="62">
        <f t="shared" ref="J75:L119" ca="1" si="30">IFERROR(IF(INDEX(MP_CF_WP,$B75,J$74)=0,"N/A",INDEX(MP_CF_WP,$B75,J$74)),"N/A")</f>
        <v>8.1407496012759175</v>
      </c>
      <c r="K75" s="62">
        <f t="shared" ca="1" si="30"/>
        <v>11.378072355702844</v>
      </c>
      <c r="L75" s="62">
        <f t="shared" ca="1" si="30"/>
        <v>10.161806591618065</v>
      </c>
      <c r="M75" s="62">
        <f t="shared" ref="M75:AB90" ca="1" si="31">IFERROR(IF(INDEX(MP_CF_WP,$B75,M$74)=0,"N/A",INDEX(MP_CF_WP,$B75,M$74)),"N/A")</f>
        <v>10.947640006070724</v>
      </c>
      <c r="N75" s="62">
        <f t="shared" ca="1" si="31"/>
        <v>8.2644441305269112</v>
      </c>
      <c r="O75" s="62">
        <f t="shared" ca="1" si="31"/>
        <v>7.4948453608247423</v>
      </c>
      <c r="P75" s="62">
        <f t="shared" ca="1" si="31"/>
        <v>8.8042290748898679</v>
      </c>
      <c r="Q75" s="62">
        <f t="shared" ca="1" si="31"/>
        <v>9.1492984097287184</v>
      </c>
      <c r="R75" s="62">
        <f t="shared" ca="1" si="31"/>
        <v>8.1817092651757175</v>
      </c>
      <c r="S75" s="62">
        <f t="shared" ca="1" si="31"/>
        <v>7.9102198697068395</v>
      </c>
      <c r="T75" s="62">
        <f t="shared" ca="1" si="31"/>
        <v>8.0392922794117645</v>
      </c>
      <c r="U75" s="62">
        <f t="shared" ca="1" si="31"/>
        <v>8.5107812937552509</v>
      </c>
      <c r="V75" s="62">
        <f t="shared" ca="1" si="31"/>
        <v>9.2917552563193961</v>
      </c>
      <c r="W75" s="62">
        <f t="shared" ca="1" si="31"/>
        <v>10.302330844082373</v>
      </c>
      <c r="X75" s="62">
        <f t="shared" ca="1" si="31"/>
        <v>11.056694813027745</v>
      </c>
      <c r="Y75" s="62">
        <f t="shared" ca="1" si="31"/>
        <v>11.543020535482194</v>
      </c>
      <c r="Z75" s="62">
        <f t="shared" ca="1" si="31"/>
        <v>11.46027</v>
      </c>
      <c r="AA75" s="62" t="str">
        <f t="shared" ca="1" si="31"/>
        <v>N/A</v>
      </c>
      <c r="AB75" s="62" t="str">
        <f t="shared" ca="1" si="31"/>
        <v>N/A</v>
      </c>
    </row>
    <row r="76" spans="1:28" x14ac:dyDescent="0.25">
      <c r="A76" s="50" t="str">
        <f t="shared" si="24"/>
        <v>LNT</v>
      </c>
      <c r="B76" s="45">
        <f t="shared" ca="1" si="25"/>
        <v>3</v>
      </c>
      <c r="C76" s="1">
        <f>IF(ISERROR(D76),"",IF(D76="","",MAX($C$73:C75)+1))</f>
        <v>2</v>
      </c>
      <c r="D76" t="str">
        <f t="shared" si="26"/>
        <v xml:space="preserve">Alliant Energy                </v>
      </c>
      <c r="E76" s="22"/>
      <c r="F76" s="62">
        <f t="shared" ref="F76:F119" ca="1" si="32">IFERROR(AVERAGE(G76:AB76),"N/A")</f>
        <v>8.248203096419287</v>
      </c>
      <c r="G76" s="62">
        <f t="shared" si="27"/>
        <v>9.4330855018587361</v>
      </c>
      <c r="H76" s="62">
        <f t="shared" si="28"/>
        <v>10.425925925925926</v>
      </c>
      <c r="I76" s="62">
        <f t="shared" si="29"/>
        <v>10.314285714285713</v>
      </c>
      <c r="J76" s="62">
        <f t="shared" ca="1" si="30"/>
        <v>10.66253303516975</v>
      </c>
      <c r="K76" s="62">
        <f t="shared" ca="1" si="30"/>
        <v>10.741337982131183</v>
      </c>
      <c r="L76" s="62">
        <f t="shared" ca="1" si="30"/>
        <v>9.708825573314801</v>
      </c>
      <c r="M76" s="62">
        <f t="shared" ca="1" si="31"/>
        <v>13.212765957446807</v>
      </c>
      <c r="N76" s="62">
        <f t="shared" ca="1" si="31"/>
        <v>10.666956521739131</v>
      </c>
      <c r="O76" s="62">
        <f t="shared" ca="1" si="31"/>
        <v>8.8627394080092863</v>
      </c>
      <c r="P76" s="62">
        <f t="shared" ca="1" si="31"/>
        <v>8.3958151700087189</v>
      </c>
      <c r="Q76" s="62">
        <f t="shared" ca="1" si="31"/>
        <v>7.5191502094554163</v>
      </c>
      <c r="R76" s="62">
        <f t="shared" ca="1" si="31"/>
        <v>7.4996607869742204</v>
      </c>
      <c r="S76" s="62">
        <f t="shared" ca="1" si="31"/>
        <v>7.2149600580973132</v>
      </c>
      <c r="T76" s="62">
        <f t="shared" ca="1" si="31"/>
        <v>6.5860215053763431</v>
      </c>
      <c r="U76" s="62">
        <f t="shared" ca="1" si="31"/>
        <v>6.2287208749405609</v>
      </c>
      <c r="V76" s="62">
        <f t="shared" ca="1" si="31"/>
        <v>7.4890254609306401</v>
      </c>
      <c r="W76" s="62">
        <f t="shared" ca="1" si="31"/>
        <v>7.924579914028917</v>
      </c>
      <c r="X76" s="62">
        <f t="shared" ca="1" si="31"/>
        <v>8.0023094688221708</v>
      </c>
      <c r="Y76" s="62">
        <f t="shared" ca="1" si="31"/>
        <v>5.0915080527086376</v>
      </c>
      <c r="Z76" s="62">
        <f t="shared" ca="1" si="31"/>
        <v>5.5218499999999997</v>
      </c>
      <c r="AA76" s="62">
        <f t="shared" ca="1" si="31"/>
        <v>4.7578800000000001</v>
      </c>
      <c r="AB76" s="62">
        <f t="shared" ca="1" si="31"/>
        <v>5.2005309999999998</v>
      </c>
    </row>
    <row r="77" spans="1:28" x14ac:dyDescent="0.25">
      <c r="A77" s="50" t="str">
        <f t="shared" si="24"/>
        <v>AEE</v>
      </c>
      <c r="B77" s="45">
        <f t="shared" ca="1" si="25"/>
        <v>6</v>
      </c>
      <c r="C77" s="1">
        <f>IF(ISERROR(D77),"",IF(D77="","",MAX($C$73:C76)+1))</f>
        <v>3</v>
      </c>
      <c r="D77" t="str">
        <f t="shared" si="26"/>
        <v xml:space="preserve">Ameren Corp.                  </v>
      </c>
      <c r="E77" s="22"/>
      <c r="F77" s="62">
        <f t="shared" ca="1" si="32"/>
        <v>7.4096648318933438</v>
      </c>
      <c r="G77" s="62">
        <f t="shared" si="27"/>
        <v>8.0530530530530537</v>
      </c>
      <c r="H77" s="62">
        <f t="shared" si="28"/>
        <v>9.5409292035398234</v>
      </c>
      <c r="I77" s="62">
        <f t="shared" si="29"/>
        <v>9.0326209223847016</v>
      </c>
      <c r="J77" s="62">
        <f t="shared" ca="1" si="30"/>
        <v>9.6342701498080974</v>
      </c>
      <c r="K77" s="62">
        <f t="shared" ca="1" si="30"/>
        <v>9.4494955944323831</v>
      </c>
      <c r="L77" s="62">
        <f t="shared" ca="1" si="30"/>
        <v>7.9464659685863879</v>
      </c>
      <c r="M77" s="62">
        <f t="shared" ca="1" si="31"/>
        <v>8.3847736625514404</v>
      </c>
      <c r="N77" s="62">
        <f t="shared" ca="1" si="31"/>
        <v>7.4442757364105674</v>
      </c>
      <c r="O77" s="62">
        <f t="shared" ca="1" si="31"/>
        <v>6.8692219114986024</v>
      </c>
      <c r="P77" s="62">
        <f t="shared" ca="1" si="31"/>
        <v>6.9488734835355288</v>
      </c>
      <c r="Q77" s="62">
        <f t="shared" ca="1" si="31"/>
        <v>6.6104440632742527</v>
      </c>
      <c r="R77" s="62">
        <f t="shared" ca="1" si="31"/>
        <v>5.4788012940575515</v>
      </c>
      <c r="S77" s="62">
        <f t="shared" ca="1" si="31"/>
        <v>5.0182158665304737</v>
      </c>
      <c r="T77" s="62">
        <f t="shared" ca="1" si="31"/>
        <v>4.2268057531215426</v>
      </c>
      <c r="U77" s="62">
        <f t="shared" ca="1" si="31"/>
        <v>4.2504540201419845</v>
      </c>
      <c r="V77" s="62">
        <f t="shared" ca="1" si="31"/>
        <v>6.3536263394937107</v>
      </c>
      <c r="W77" s="62">
        <f t="shared" ca="1" si="31"/>
        <v>7.6877587226493196</v>
      </c>
      <c r="X77" s="62">
        <f t="shared" ca="1" si="31"/>
        <v>8.5713098404255312</v>
      </c>
      <c r="Y77" s="62">
        <f t="shared" ca="1" si="31"/>
        <v>8.5745657161586362</v>
      </c>
      <c r="Z77" s="62">
        <f t="shared" ca="1" si="31"/>
        <v>8.241695</v>
      </c>
      <c r="AA77" s="62">
        <f t="shared" ca="1" si="31"/>
        <v>6.7395110000000003</v>
      </c>
      <c r="AB77" s="62">
        <f t="shared" ca="1" si="31"/>
        <v>7.9554590000000003</v>
      </c>
    </row>
    <row r="78" spans="1:28" x14ac:dyDescent="0.25">
      <c r="A78" s="50" t="str">
        <f t="shared" si="24"/>
        <v>AEP</v>
      </c>
      <c r="B78" s="45">
        <f t="shared" ca="1" si="25"/>
        <v>7</v>
      </c>
      <c r="C78" s="1">
        <f>IF(ISERROR(D78),"",IF(D78="","",MAX($C$73:C77)+1))</f>
        <v>4</v>
      </c>
      <c r="D78" t="str">
        <f t="shared" si="26"/>
        <v>American Electric Power</v>
      </c>
      <c r="E78" s="22"/>
      <c r="F78" s="62">
        <f t="shared" ca="1" si="32"/>
        <v>6.7236433712996382</v>
      </c>
      <c r="G78" s="62">
        <f t="shared" si="27"/>
        <v>7.6785714285714279</v>
      </c>
      <c r="H78" s="62">
        <f t="shared" si="28"/>
        <v>8.6707089552238799</v>
      </c>
      <c r="I78" s="62">
        <f t="shared" si="29"/>
        <v>7.5728597449908923</v>
      </c>
      <c r="J78" s="62">
        <f t="shared" ca="1" si="30"/>
        <v>8.4111240762349269</v>
      </c>
      <c r="K78" s="62">
        <f t="shared" ca="1" si="30"/>
        <v>9.338464827881122</v>
      </c>
      <c r="L78" s="62">
        <f t="shared" ca="1" si="30"/>
        <v>8.0250941028858218</v>
      </c>
      <c r="M78" s="62">
        <f t="shared" ca="1" si="31"/>
        <v>8.8058142461615923</v>
      </c>
      <c r="N78" s="62">
        <f t="shared" ca="1" si="31"/>
        <v>7.5706695005313502</v>
      </c>
      <c r="O78" s="62">
        <f t="shared" ca="1" si="31"/>
        <v>7.0949993733550567</v>
      </c>
      <c r="P78" s="62">
        <f t="shared" ca="1" si="31"/>
        <v>7</v>
      </c>
      <c r="Q78" s="62">
        <f t="shared" ca="1" si="31"/>
        <v>6.5675406098603597</v>
      </c>
      <c r="R78" s="62">
        <f t="shared" ca="1" si="31"/>
        <v>5.9286127167630065</v>
      </c>
      <c r="S78" s="62">
        <f t="shared" ca="1" si="31"/>
        <v>5.4648403164371517</v>
      </c>
      <c r="T78" s="62">
        <f t="shared" ca="1" si="31"/>
        <v>5.5438652256834073</v>
      </c>
      <c r="U78" s="62">
        <f t="shared" ca="1" si="31"/>
        <v>4.7136529030216741</v>
      </c>
      <c r="V78" s="62">
        <f t="shared" ca="1" si="31"/>
        <v>5.7125511995318901</v>
      </c>
      <c r="W78" s="62">
        <f t="shared" ca="1" si="31"/>
        <v>6.8440717858193594</v>
      </c>
      <c r="X78" s="62">
        <f t="shared" ca="1" si="31"/>
        <v>5.5355428914217155</v>
      </c>
      <c r="Y78" s="62">
        <f t="shared" ca="1" si="31"/>
        <v>6.0654252642174127</v>
      </c>
      <c r="Z78" s="62">
        <f t="shared" ca="1" si="31"/>
        <v>5.5033099999999999</v>
      </c>
      <c r="AA78" s="62">
        <f t="shared" ca="1" si="31"/>
        <v>4.6854269999999998</v>
      </c>
      <c r="AB78" s="62">
        <f t="shared" ca="1" si="31"/>
        <v>5.1870079999999996</v>
      </c>
    </row>
    <row r="79" spans="1:28" x14ac:dyDescent="0.25">
      <c r="A79" s="50" t="str">
        <f t="shared" si="24"/>
        <v>AGR</v>
      </c>
      <c r="B79" s="45">
        <f t="shared" ca="1" si="25"/>
        <v>10</v>
      </c>
      <c r="C79" s="1">
        <f>IF(ISERROR(D79),"",IF(D79="","",MAX($C$73:C78)+1))</f>
        <v>5</v>
      </c>
      <c r="D79" t="str">
        <f t="shared" si="26"/>
        <v>Avangrid, Inc.</v>
      </c>
      <c r="E79" s="22"/>
      <c r="F79" s="62">
        <f t="shared" ca="1" si="32"/>
        <v>9.5264507898378632</v>
      </c>
      <c r="G79" s="62">
        <f t="shared" si="27"/>
        <v>7.1161417322834639</v>
      </c>
      <c r="H79" s="62">
        <f t="shared" si="28"/>
        <v>8.6867704280155653</v>
      </c>
      <c r="I79" s="62">
        <f t="shared" si="29"/>
        <v>11.191011235955056</v>
      </c>
      <c r="J79" s="62">
        <f t="shared" ca="1" si="30"/>
        <v>9.3899073526512904</v>
      </c>
      <c r="K79" s="62">
        <f t="shared" ca="1" si="30"/>
        <v>9.1097361237488617</v>
      </c>
      <c r="L79" s="62">
        <f t="shared" ca="1" si="30"/>
        <v>10.235522815633313</v>
      </c>
      <c r="M79" s="62">
        <f t="shared" ca="1" si="31"/>
        <v>10.143461795500112</v>
      </c>
      <c r="N79" s="62">
        <f t="shared" ca="1" si="31"/>
        <v>8.563739974672858</v>
      </c>
      <c r="O79" s="62">
        <f t="shared" ca="1" si="31"/>
        <v>11.301765650080256</v>
      </c>
      <c r="P79" s="62" t="str">
        <f t="shared" ca="1" si="31"/>
        <v>N/A</v>
      </c>
      <c r="Q79" s="62" t="str">
        <f t="shared" ca="1" si="31"/>
        <v>N/A</v>
      </c>
      <c r="R79" s="62" t="str">
        <f t="shared" ca="1" si="31"/>
        <v>N/A</v>
      </c>
      <c r="S79" s="62" t="str">
        <f t="shared" ca="1" si="31"/>
        <v>N/A</v>
      </c>
      <c r="T79" s="62" t="str">
        <f t="shared" ca="1" si="31"/>
        <v>N/A</v>
      </c>
      <c r="U79" s="62" t="str">
        <f t="shared" ca="1" si="31"/>
        <v>N/A</v>
      </c>
      <c r="V79" s="62" t="str">
        <f t="shared" ca="1" si="31"/>
        <v>N/A</v>
      </c>
      <c r="W79" s="62" t="str">
        <f t="shared" ca="1" si="31"/>
        <v>N/A</v>
      </c>
      <c r="X79" s="62" t="str">
        <f t="shared" ca="1" si="31"/>
        <v>N/A</v>
      </c>
      <c r="Y79" s="62" t="str">
        <f t="shared" ca="1" si="31"/>
        <v>N/A</v>
      </c>
      <c r="Z79" s="62" t="str">
        <f t="shared" ca="1" si="31"/>
        <v>N/A</v>
      </c>
      <c r="AA79" s="62" t="str">
        <f t="shared" ca="1" si="31"/>
        <v>N/A</v>
      </c>
      <c r="AB79" s="62" t="str">
        <f t="shared" ca="1" si="31"/>
        <v>N/A</v>
      </c>
    </row>
    <row r="80" spans="1:28" x14ac:dyDescent="0.25">
      <c r="A80" s="50" t="str">
        <f t="shared" si="24"/>
        <v>AVA</v>
      </c>
      <c r="B80" s="45">
        <f t="shared" ca="1" si="25"/>
        <v>11</v>
      </c>
      <c r="C80" s="1">
        <f>IF(ISERROR(D80),"",IF(D80="","",MAX($C$73:C79)+1))</f>
        <v>6</v>
      </c>
      <c r="D80" t="str">
        <f t="shared" si="26"/>
        <v xml:space="preserve">Avista Corp.                  </v>
      </c>
      <c r="E80" s="22"/>
      <c r="F80" s="62">
        <f t="shared" ca="1" si="32"/>
        <v>6.9659728791924174</v>
      </c>
      <c r="G80" s="62">
        <f t="shared" si="27"/>
        <v>6.731793960923623</v>
      </c>
      <c r="H80" s="62">
        <f t="shared" si="28"/>
        <v>9.3863636363636349</v>
      </c>
      <c r="I80" s="62">
        <f t="shared" si="29"/>
        <v>8.033707865168541</v>
      </c>
      <c r="J80" s="62">
        <f t="shared" ca="1" si="30"/>
        <v>7.8046556741028121</v>
      </c>
      <c r="K80" s="62">
        <f t="shared" ca="1" si="30"/>
        <v>7.3391060531090222</v>
      </c>
      <c r="L80" s="62">
        <f t="shared" ca="1" si="30"/>
        <v>10.138495310317301</v>
      </c>
      <c r="M80" s="62">
        <f t="shared" ca="1" si="31"/>
        <v>9.351251538777186</v>
      </c>
      <c r="N80" s="62">
        <f t="shared" ca="1" si="31"/>
        <v>7.6315391879131251</v>
      </c>
      <c r="O80" s="62">
        <f t="shared" ca="1" si="31"/>
        <v>6.7580743449116394</v>
      </c>
      <c r="P80" s="62">
        <f t="shared" ca="1" si="31"/>
        <v>7.3000459136822773</v>
      </c>
      <c r="Q80" s="62">
        <f t="shared" ca="1" si="31"/>
        <v>6.2096330275229361</v>
      </c>
      <c r="R80" s="62">
        <f t="shared" ca="1" si="31"/>
        <v>6.882464198865172</v>
      </c>
      <c r="S80" s="62">
        <f t="shared" ca="1" si="31"/>
        <v>6.404125892620999</v>
      </c>
      <c r="T80" s="62">
        <f t="shared" ca="1" si="31"/>
        <v>5.8034235229155167</v>
      </c>
      <c r="U80" s="62">
        <f t="shared" ca="1" si="31"/>
        <v>4.0559928041376203</v>
      </c>
      <c r="V80" s="62">
        <f t="shared" ca="1" si="31"/>
        <v>5.1186525892408241</v>
      </c>
      <c r="W80" s="62">
        <f t="shared" ca="1" si="31"/>
        <v>7.5844421699078817</v>
      </c>
      <c r="X80" s="62">
        <f t="shared" ca="1" si="31"/>
        <v>5.2971201123858576</v>
      </c>
      <c r="Y80" s="62">
        <f t="shared" ca="1" si="31"/>
        <v>6.582413539367181</v>
      </c>
      <c r="Z80" s="62">
        <f t="shared" ca="1" si="31"/>
        <v>7.5796849999999996</v>
      </c>
      <c r="AA80" s="62">
        <f t="shared" ca="1" si="31"/>
        <v>5.3602889999999999</v>
      </c>
      <c r="AB80" s="62">
        <f t="shared" ca="1" si="31"/>
        <v>5.8981279999999998</v>
      </c>
    </row>
    <row r="81" spans="1:28" x14ac:dyDescent="0.25">
      <c r="A81" s="50" t="str">
        <f t="shared" si="24"/>
        <v>BKH</v>
      </c>
      <c r="B81" s="45">
        <f t="shared" ca="1" si="25"/>
        <v>12</v>
      </c>
      <c r="C81" s="1">
        <f>IF(ISERROR(D81),"",IF(D81="","",MAX($C$73:C80)+1))</f>
        <v>7</v>
      </c>
      <c r="D81" t="str">
        <f t="shared" si="26"/>
        <v xml:space="preserve">Black Hills                   </v>
      </c>
      <c r="E81" s="22"/>
      <c r="F81" s="62">
        <f t="shared" ca="1" si="32"/>
        <v>7.9151033059736129</v>
      </c>
      <c r="G81" s="62">
        <f t="shared" si="27"/>
        <v>7.7577319587628875</v>
      </c>
      <c r="H81" s="62">
        <f t="shared" si="28"/>
        <v>8.9171974522292992</v>
      </c>
      <c r="I81" s="62">
        <f t="shared" si="29"/>
        <v>8.8394062078272597</v>
      </c>
      <c r="J81" s="62">
        <f t="shared" ca="1" si="30"/>
        <v>8.5562154136860578</v>
      </c>
      <c r="K81" s="62">
        <f t="shared" ca="1" si="30"/>
        <v>10.652607580507269</v>
      </c>
      <c r="L81" s="62">
        <f t="shared" ca="1" si="30"/>
        <v>8.8295265466646509</v>
      </c>
      <c r="M81" s="62">
        <f t="shared" ca="1" si="31"/>
        <v>9.202683813251328</v>
      </c>
      <c r="N81" s="62">
        <f t="shared" ca="1" si="31"/>
        <v>9.3268098647573581</v>
      </c>
      <c r="O81" s="62">
        <f t="shared" ca="1" si="31"/>
        <v>8.0614298323036184</v>
      </c>
      <c r="P81" s="62">
        <f t="shared" ca="1" si="31"/>
        <v>8.8062449959967974</v>
      </c>
      <c r="Q81" s="62">
        <f t="shared" ca="1" si="31"/>
        <v>8.0283353010625742</v>
      </c>
      <c r="R81" s="62">
        <f t="shared" ca="1" si="31"/>
        <v>6.0373881932021476</v>
      </c>
      <c r="S81" s="62">
        <f t="shared" ca="1" si="31"/>
        <v>7.8482276585122319</v>
      </c>
      <c r="T81" s="62">
        <f t="shared" ca="1" si="31"/>
        <v>6.1607875307629199</v>
      </c>
      <c r="U81" s="62">
        <f t="shared" ca="1" si="31"/>
        <v>4.2542028450027702</v>
      </c>
      <c r="V81" s="62">
        <f t="shared" ca="1" si="31"/>
        <v>11.257026752455131</v>
      </c>
      <c r="W81" s="62">
        <f t="shared" ca="1" si="31"/>
        <v>7.6150936258747874</v>
      </c>
      <c r="X81" s="62">
        <f t="shared" ca="1" si="31"/>
        <v>6.9166335847558544</v>
      </c>
      <c r="Y81" s="62">
        <f t="shared" ca="1" si="31"/>
        <v>7.5738045738045745</v>
      </c>
      <c r="Z81" s="62">
        <f t="shared" ca="1" si="31"/>
        <v>6.6870099999999999</v>
      </c>
      <c r="AA81" s="62">
        <f t="shared" ca="1" si="31"/>
        <v>6.8855000000000004</v>
      </c>
      <c r="AB81" s="62">
        <f t="shared" ca="1" si="31"/>
        <v>5.9184089999999996</v>
      </c>
    </row>
    <row r="82" spans="1:28" x14ac:dyDescent="0.25">
      <c r="A82" s="50" t="str">
        <f t="shared" si="24"/>
        <v>CNP</v>
      </c>
      <c r="B82" s="45">
        <f t="shared" ca="1" si="25"/>
        <v>14</v>
      </c>
      <c r="C82" s="1">
        <f>IF(ISERROR(D82),"",IF(D82="","",MAX($C$73:C81)+1))</f>
        <v>8</v>
      </c>
      <c r="D82" t="str">
        <f t="shared" si="26"/>
        <v xml:space="preserve">CenterPoint Energy            </v>
      </c>
      <c r="E82" s="22"/>
      <c r="F82" s="62">
        <f t="shared" ca="1" si="32"/>
        <v>5.576834831076642</v>
      </c>
      <c r="G82" s="62">
        <f t="shared" si="27"/>
        <v>7.9247910863509752</v>
      </c>
      <c r="H82" s="62">
        <f t="shared" si="28"/>
        <v>8.0136986301369859</v>
      </c>
      <c r="I82" s="62">
        <f t="shared" si="29"/>
        <v>7.95</v>
      </c>
      <c r="J82" s="62">
        <f t="shared" ca="1" si="30"/>
        <v>5.9415678333815443</v>
      </c>
      <c r="K82" s="62">
        <f t="shared" ca="1" si="30"/>
        <v>7.0315380883066476</v>
      </c>
      <c r="L82" s="62">
        <f t="shared" ca="1" si="30"/>
        <v>8.4472222222222211</v>
      </c>
      <c r="M82" s="62">
        <f t="shared" ca="1" si="31"/>
        <v>6.9695091720376796</v>
      </c>
      <c r="N82" s="62">
        <f t="shared" ca="1" si="31"/>
        <v>5.957041870581838</v>
      </c>
      <c r="O82" s="62">
        <f t="shared" ca="1" si="31"/>
        <v>5.7488235294117649</v>
      </c>
      <c r="P82" s="62">
        <f t="shared" ca="1" si="31"/>
        <v>6.2537003375746556</v>
      </c>
      <c r="Q82" s="62">
        <f t="shared" ca="1" si="31"/>
        <v>6.5611064069997171</v>
      </c>
      <c r="R82" s="62">
        <f t="shared" ca="1" si="31"/>
        <v>5.1511179645335385</v>
      </c>
      <c r="S82" s="62">
        <f t="shared" ca="1" si="31"/>
        <v>5.3933566433566442</v>
      </c>
      <c r="T82" s="62">
        <f t="shared" ca="1" si="31"/>
        <v>4.6976744186046515</v>
      </c>
      <c r="U82" s="62">
        <f t="shared" ca="1" si="31"/>
        <v>4.0547432845970759</v>
      </c>
      <c r="V82" s="62">
        <f t="shared" ca="1" si="31"/>
        <v>4.2873025160912812</v>
      </c>
      <c r="W82" s="62">
        <f t="shared" ca="1" si="31"/>
        <v>5.1730032419687593</v>
      </c>
      <c r="X82" s="62">
        <f t="shared" ca="1" si="31"/>
        <v>3.938834391229082</v>
      </c>
      <c r="Y82" s="62">
        <f t="shared" ca="1" si="31"/>
        <v>4.698932646301067</v>
      </c>
      <c r="Z82" s="62">
        <f t="shared" ca="1" si="31"/>
        <v>4.2561600000000004</v>
      </c>
      <c r="AA82" s="62">
        <f t="shared" ca="1" si="31"/>
        <v>2.080613</v>
      </c>
      <c r="AB82" s="62">
        <f t="shared" ca="1" si="31"/>
        <v>2.1596289999999998</v>
      </c>
    </row>
    <row r="83" spans="1:28" x14ac:dyDescent="0.25">
      <c r="A83" s="50" t="str">
        <f t="shared" si="24"/>
        <v>CMS</v>
      </c>
      <c r="B83" s="45">
        <f t="shared" ca="1" si="25"/>
        <v>18</v>
      </c>
      <c r="C83" s="1">
        <f>IF(ISERROR(D83),"",IF(D83="","",MAX($C$73:C82)+1))</f>
        <v>9</v>
      </c>
      <c r="D83" t="str">
        <f t="shared" si="26"/>
        <v xml:space="preserve">CMS Energy Corp.              </v>
      </c>
      <c r="E83" s="22"/>
      <c r="F83" s="62">
        <f t="shared" ca="1" si="32"/>
        <v>6.512819375700091</v>
      </c>
      <c r="G83" s="62">
        <f t="shared" si="27"/>
        <v>8.2808022922636102</v>
      </c>
      <c r="H83" s="62">
        <f t="shared" si="28"/>
        <v>9.4319880418535114</v>
      </c>
      <c r="I83" s="62">
        <f t="shared" si="29"/>
        <v>9.2679127725856691</v>
      </c>
      <c r="J83" s="62">
        <f t="shared" ca="1" si="30"/>
        <v>9.8658653846153843</v>
      </c>
      <c r="K83" s="62">
        <f t="shared" ca="1" si="30"/>
        <v>9.8524617996604409</v>
      </c>
      <c r="L83" s="62">
        <f t="shared" ca="1" si="30"/>
        <v>8.3986811620032089</v>
      </c>
      <c r="M83" s="62">
        <f t="shared" ca="1" si="31"/>
        <v>8.7488178551163234</v>
      </c>
      <c r="N83" s="62">
        <f t="shared" ca="1" si="31"/>
        <v>8.5008200082000815</v>
      </c>
      <c r="O83" s="62">
        <f t="shared" ca="1" si="31"/>
        <v>7.5266710211190944</v>
      </c>
      <c r="P83" s="62">
        <f t="shared" ca="1" si="31"/>
        <v>7.1293225959261006</v>
      </c>
      <c r="Q83" s="62">
        <f t="shared" ca="1" si="31"/>
        <v>6.6755358462675529</v>
      </c>
      <c r="R83" s="62">
        <f t="shared" ca="1" si="31"/>
        <v>6.0340225071970686</v>
      </c>
      <c r="S83" s="62">
        <f t="shared" ca="1" si="31"/>
        <v>5.405805038335159</v>
      </c>
      <c r="T83" s="62">
        <f t="shared" ca="1" si="31"/>
        <v>4.4751485683414369</v>
      </c>
      <c r="U83" s="62">
        <f t="shared" ca="1" si="31"/>
        <v>3.6362849725987885</v>
      </c>
      <c r="V83" s="62">
        <f t="shared" ca="1" si="31"/>
        <v>3.4463641052088705</v>
      </c>
      <c r="W83" s="62">
        <f t="shared" ca="1" si="31"/>
        <v>5.5730045425048669</v>
      </c>
      <c r="X83" s="62">
        <f t="shared" ca="1" si="31"/>
        <v>4.4045919950356813</v>
      </c>
      <c r="Y83" s="62">
        <f t="shared" ca="1" si="31"/>
        <v>4.0422863808690588</v>
      </c>
      <c r="Z83" s="62">
        <f t="shared" ca="1" si="31"/>
        <v>3.1967210000000001</v>
      </c>
      <c r="AA83" s="62">
        <f t="shared" ca="1" si="31"/>
        <v>2.876099</v>
      </c>
      <c r="AB83" s="62" t="str">
        <f t="shared" ca="1" si="31"/>
        <v>NMF</v>
      </c>
    </row>
    <row r="84" spans="1:28" x14ac:dyDescent="0.25">
      <c r="A84" s="50" t="str">
        <f t="shared" si="24"/>
        <v>ED</v>
      </c>
      <c r="B84" s="45">
        <f t="shared" ca="1" si="25"/>
        <v>20</v>
      </c>
      <c r="C84" s="1">
        <f>IF(ISERROR(D84),"",IF(D84="","",MAX($C$73:C83)+1))</f>
        <v>10</v>
      </c>
      <c r="D84" t="str">
        <f t="shared" si="26"/>
        <v xml:space="preserve">Consol. Edison                </v>
      </c>
      <c r="E84" s="22"/>
      <c r="F84" s="62">
        <f t="shared" ca="1" si="32"/>
        <v>8.2397579252856854</v>
      </c>
      <c r="G84" s="62">
        <f t="shared" si="27"/>
        <v>8.2604735883424407</v>
      </c>
      <c r="H84" s="62">
        <f t="shared" si="28"/>
        <v>8.7017374517374524</v>
      </c>
      <c r="I84" s="62">
        <f t="shared" si="29"/>
        <v>7.2552783109404988</v>
      </c>
      <c r="J84" s="62">
        <f t="shared" ca="1" si="30"/>
        <v>8.3459955682177895</v>
      </c>
      <c r="K84" s="62">
        <f t="shared" ca="1" si="30"/>
        <v>9.4618681318681315</v>
      </c>
      <c r="L84" s="62">
        <f t="shared" ca="1" si="30"/>
        <v>8.7258860475549564</v>
      </c>
      <c r="M84" s="62">
        <f t="shared" ca="1" si="31"/>
        <v>9.6401902497027336</v>
      </c>
      <c r="N84" s="62">
        <f t="shared" ca="1" si="31"/>
        <v>9.3949270767279636</v>
      </c>
      <c r="O84" s="62">
        <f t="shared" ca="1" si="31"/>
        <v>7.963546922300706</v>
      </c>
      <c r="P84" s="62">
        <f t="shared" ca="1" si="31"/>
        <v>7.8885843497327679</v>
      </c>
      <c r="Q84" s="62">
        <f t="shared" ca="1" si="31"/>
        <v>7.7697059218477236</v>
      </c>
      <c r="R84" s="62">
        <f t="shared" ca="1" si="31"/>
        <v>8.3131821998320738</v>
      </c>
      <c r="S84" s="62">
        <f t="shared" ca="1" si="31"/>
        <v>8.1457545028000613</v>
      </c>
      <c r="T84" s="62">
        <f t="shared" ca="1" si="31"/>
        <v>7.3884707766212969</v>
      </c>
      <c r="U84" s="62">
        <f t="shared" ca="1" si="31"/>
        <v>6.7200614124872056</v>
      </c>
      <c r="V84" s="62">
        <f t="shared" ca="1" si="31"/>
        <v>6.8936205744822976</v>
      </c>
      <c r="W84" s="62">
        <f t="shared" ca="1" si="31"/>
        <v>8.3095980595980592</v>
      </c>
      <c r="X84" s="62">
        <f t="shared" ca="1" si="31"/>
        <v>8.6531540064406141</v>
      </c>
      <c r="Y84" s="62">
        <f t="shared" ca="1" si="31"/>
        <v>8.5887602050503133</v>
      </c>
      <c r="Z84" s="62">
        <f t="shared" ca="1" si="31"/>
        <v>9.3134920000000001</v>
      </c>
      <c r="AA84" s="62">
        <f t="shared" ca="1" si="31"/>
        <v>7.8992769999999997</v>
      </c>
      <c r="AB84" s="62">
        <f t="shared" ca="1" si="31"/>
        <v>7.6411100000000003</v>
      </c>
    </row>
    <row r="85" spans="1:28" x14ac:dyDescent="0.25">
      <c r="A85" s="50" t="str">
        <f t="shared" si="24"/>
        <v>D</v>
      </c>
      <c r="B85" s="45">
        <f t="shared" ca="1" si="25"/>
        <v>22</v>
      </c>
      <c r="C85" s="1">
        <f>IF(ISERROR(D85),"",IF(D85="","",MAX($C$73:C84)+1))</f>
        <v>11</v>
      </c>
      <c r="D85" t="str">
        <f t="shared" si="26"/>
        <v xml:space="preserve">Dominion Resources            </v>
      </c>
      <c r="E85" s="22"/>
      <c r="F85" s="62">
        <f t="shared" ca="1" si="32"/>
        <v>9.8934910642228786</v>
      </c>
      <c r="G85" s="62">
        <f t="shared" si="27"/>
        <v>9.2383512544802855</v>
      </c>
      <c r="H85" s="62">
        <f t="shared" si="28"/>
        <v>9.3469910371318825</v>
      </c>
      <c r="I85" s="62">
        <f t="shared" si="29"/>
        <v>11.152694610778443</v>
      </c>
      <c r="J85" s="62">
        <f t="shared" ca="1" si="30"/>
        <v>14.585993069487508</v>
      </c>
      <c r="K85" s="62">
        <f t="shared" ca="1" si="30"/>
        <v>13.46611945511701</v>
      </c>
      <c r="L85" s="62">
        <f t="shared" ca="1" si="30"/>
        <v>10.936699089084453</v>
      </c>
      <c r="M85" s="62">
        <f t="shared" ca="1" si="31"/>
        <v>11.34826736262143</v>
      </c>
      <c r="N85" s="62">
        <f t="shared" ca="1" si="31"/>
        <v>11.594436541804964</v>
      </c>
      <c r="O85" s="62">
        <f t="shared" ca="1" si="31"/>
        <v>11.837733957219251</v>
      </c>
      <c r="P85" s="62">
        <f t="shared" ca="1" si="31"/>
        <v>12.270753064798599</v>
      </c>
      <c r="Q85" s="62">
        <f t="shared" ca="1" si="31"/>
        <v>10.877263581488934</v>
      </c>
      <c r="R85" s="62">
        <f t="shared" ca="1" si="31"/>
        <v>9.9176201372997728</v>
      </c>
      <c r="S85" s="62">
        <f t="shared" ca="1" si="31"/>
        <v>9.4481665014866199</v>
      </c>
      <c r="T85" s="62">
        <f t="shared" ca="1" si="31"/>
        <v>8.1228207639569039</v>
      </c>
      <c r="U85" s="62">
        <f t="shared" ca="1" si="31"/>
        <v>6.9848421926910307</v>
      </c>
      <c r="V85" s="62">
        <f t="shared" ca="1" si="31"/>
        <v>8.2672192618906646</v>
      </c>
      <c r="W85" s="62">
        <f t="shared" ca="1" si="31"/>
        <v>8.6465262743554412</v>
      </c>
      <c r="X85" s="62">
        <f t="shared" ca="1" si="31"/>
        <v>7.8091649694501024</v>
      </c>
      <c r="Y85" s="62">
        <f t="shared" ca="1" si="31"/>
        <v>10.089435287760065</v>
      </c>
      <c r="Z85" s="62">
        <f t="shared" ca="1" si="31"/>
        <v>7.6822210000000002</v>
      </c>
      <c r="AA85" s="62">
        <f t="shared" ca="1" si="31"/>
        <v>7.50718</v>
      </c>
      <c r="AB85" s="62">
        <f t="shared" ca="1" si="31"/>
        <v>6.5263039999999997</v>
      </c>
    </row>
    <row r="86" spans="1:28" x14ac:dyDescent="0.25">
      <c r="A86" s="50" t="str">
        <f t="shared" si="24"/>
        <v>DTE</v>
      </c>
      <c r="B86" s="45">
        <f t="shared" ca="1" si="25"/>
        <v>23</v>
      </c>
      <c r="C86" s="1">
        <f>IF(ISERROR(D86),"",IF(D86="","",MAX($C$73:C85)+1))</f>
        <v>12</v>
      </c>
      <c r="D86" t="str">
        <f t="shared" si="26"/>
        <v xml:space="preserve">DTE Energy                    </v>
      </c>
      <c r="E86" s="22"/>
      <c r="F86" s="62">
        <f t="shared" ca="1" si="32"/>
        <v>6.7621976720325838</v>
      </c>
      <c r="G86" s="62">
        <f t="shared" si="27"/>
        <v>7.2696011004126539</v>
      </c>
      <c r="H86" s="62">
        <f t="shared" si="28"/>
        <v>7.9572953736654801</v>
      </c>
      <c r="I86" s="62">
        <f t="shared" si="29"/>
        <v>10.619765494137354</v>
      </c>
      <c r="J86" s="62">
        <f t="shared" ca="1" si="30"/>
        <v>7.8526330112940537</v>
      </c>
      <c r="K86" s="62">
        <f t="shared" ca="1" si="30"/>
        <v>9.6730428075588115</v>
      </c>
      <c r="L86" s="62">
        <f t="shared" ca="1" si="30"/>
        <v>8.5355269432522647</v>
      </c>
      <c r="M86" s="62">
        <f t="shared" ca="1" si="31"/>
        <v>9.0492652679860708</v>
      </c>
      <c r="N86" s="62">
        <f t="shared" ca="1" si="31"/>
        <v>8.6420754716981136</v>
      </c>
      <c r="O86" s="62">
        <f t="shared" ca="1" si="31"/>
        <v>8.5202881661192933</v>
      </c>
      <c r="P86" s="62">
        <f t="shared" ca="1" si="31"/>
        <v>6.4158090096170071</v>
      </c>
      <c r="Q86" s="62">
        <f t="shared" ca="1" si="31"/>
        <v>6.6529382716049383</v>
      </c>
      <c r="R86" s="62">
        <f t="shared" ca="1" si="31"/>
        <v>5.9124961621123733</v>
      </c>
      <c r="S86" s="62">
        <f t="shared" ca="1" si="31"/>
        <v>5.1828350407693913</v>
      </c>
      <c r="T86" s="62">
        <f t="shared" ca="1" si="31"/>
        <v>4.6905930470347652</v>
      </c>
      <c r="U86" s="62">
        <f t="shared" ca="1" si="31"/>
        <v>3.5945859533198341</v>
      </c>
      <c r="V86" s="62">
        <f t="shared" ca="1" si="31"/>
        <v>4.8969359331476321</v>
      </c>
      <c r="W86" s="62">
        <f t="shared" ca="1" si="31"/>
        <v>5.7259870359457867</v>
      </c>
      <c r="X86" s="62">
        <f t="shared" ca="1" si="31"/>
        <v>5.2138932975216701</v>
      </c>
      <c r="Y86" s="62">
        <f t="shared" ca="1" si="31"/>
        <v>5.5403413975193416</v>
      </c>
      <c r="Z86" s="62">
        <f t="shared" ca="1" si="31"/>
        <v>6.0036690000000004</v>
      </c>
      <c r="AA86" s="62">
        <f t="shared" ca="1" si="31"/>
        <v>5.6177109999999999</v>
      </c>
      <c r="AB86" s="62">
        <f t="shared" ca="1" si="31"/>
        <v>5.20106</v>
      </c>
    </row>
    <row r="87" spans="1:28" x14ac:dyDescent="0.25">
      <c r="A87" s="50" t="str">
        <f t="shared" si="24"/>
        <v>DUK</v>
      </c>
      <c r="B87" s="45">
        <f t="shared" ca="1" si="25"/>
        <v>24</v>
      </c>
      <c r="C87" s="1">
        <f>IF(ISERROR(D87),"",IF(D87="","",MAX($C$73:C86)+1))</f>
        <v>13</v>
      </c>
      <c r="D87" t="str">
        <f t="shared" si="26"/>
        <v xml:space="preserve">Duke Energy                   </v>
      </c>
      <c r="E87" s="22"/>
      <c r="F87" s="62">
        <f t="shared" ca="1" si="32"/>
        <v>7.6126509114110164</v>
      </c>
      <c r="G87" s="62">
        <f t="shared" si="27"/>
        <v>7.167170953101361</v>
      </c>
      <c r="H87" s="62">
        <f t="shared" si="28"/>
        <v>7.7498063516653755</v>
      </c>
      <c r="I87" s="62">
        <f t="shared" si="29"/>
        <v>7.8861788617886175</v>
      </c>
      <c r="J87" s="62">
        <f t="shared" ca="1" si="30"/>
        <v>8.0611514094206225</v>
      </c>
      <c r="K87" s="62">
        <f t="shared" ca="1" si="30"/>
        <v>7.4022097625329817</v>
      </c>
      <c r="L87" s="62">
        <f t="shared" ca="1" si="30"/>
        <v>7.6455611709735862</v>
      </c>
      <c r="M87" s="62">
        <f t="shared" ca="1" si="31"/>
        <v>8.3977828822530718</v>
      </c>
      <c r="N87" s="62">
        <f t="shared" ca="1" si="31"/>
        <v>8.5698913043478271</v>
      </c>
      <c r="O87" s="62">
        <f t="shared" ca="1" si="31"/>
        <v>7.9461702127659573</v>
      </c>
      <c r="P87" s="62">
        <f t="shared" ca="1" si="31"/>
        <v>8.1206366630076836</v>
      </c>
      <c r="Q87" s="62">
        <f t="shared" ca="1" si="31"/>
        <v>8.1148632858144438</v>
      </c>
      <c r="R87" s="62">
        <f t="shared" ca="1" si="31"/>
        <v>9.5307443365695796</v>
      </c>
      <c r="S87" s="62">
        <f t="shared" ca="1" si="31"/>
        <v>6.5644009216589865</v>
      </c>
      <c r="T87" s="62">
        <f t="shared" ca="1" si="31"/>
        <v>6.0090737685599809</v>
      </c>
      <c r="U87" s="62">
        <f t="shared" ca="1" si="31"/>
        <v>5.9555408970976256</v>
      </c>
      <c r="V87" s="62">
        <f t="shared" ca="1" si="31"/>
        <v>7.1315538608198281</v>
      </c>
      <c r="W87" s="62">
        <f t="shared" ca="1" si="31"/>
        <v>7.1623288516097201</v>
      </c>
      <c r="X87" s="62" t="str">
        <f t="shared" ca="1" si="31"/>
        <v>N/A</v>
      </c>
      <c r="Y87" s="62" t="str">
        <f t="shared" ca="1" si="31"/>
        <v>N/A</v>
      </c>
      <c r="Z87" s="62" t="str">
        <f t="shared" ca="1" si="31"/>
        <v>N/A</v>
      </c>
      <c r="AA87" s="62" t="str">
        <f t="shared" ca="1" si="31"/>
        <v>N/A</v>
      </c>
      <c r="AB87" s="62" t="str">
        <f t="shared" ca="1" si="31"/>
        <v>N/A</v>
      </c>
    </row>
    <row r="88" spans="1:28" x14ac:dyDescent="0.25">
      <c r="A88" s="50" t="str">
        <f t="shared" si="24"/>
        <v>EIX</v>
      </c>
      <c r="B88" s="45">
        <f t="shared" ca="1" si="25"/>
        <v>25</v>
      </c>
      <c r="C88" s="1">
        <f>IF(ISERROR(D88),"",IF(D88="","",MAX($C$73:C87)+1))</f>
        <v>14</v>
      </c>
      <c r="D88" t="str">
        <f t="shared" si="26"/>
        <v xml:space="preserve">Edison Int'l                  </v>
      </c>
      <c r="E88" s="22"/>
      <c r="F88" s="62">
        <f t="shared" ca="1" si="32"/>
        <v>6.0177422740797475</v>
      </c>
      <c r="G88" s="62">
        <f t="shared" si="27"/>
        <v>5.6652542372881349</v>
      </c>
      <c r="H88" s="62">
        <f t="shared" si="28"/>
        <v>6.8288770053475929</v>
      </c>
      <c r="I88" s="62">
        <f t="shared" si="29"/>
        <v>7.1386946386946386</v>
      </c>
      <c r="J88" s="62">
        <f t="shared" ca="1" si="30"/>
        <v>7.5666960574379649</v>
      </c>
      <c r="K88" s="62">
        <f t="shared" ca="1" si="30"/>
        <v>7.2478408221274737</v>
      </c>
      <c r="L88" s="62">
        <f t="shared" ca="1" si="30"/>
        <v>13.461751544854039</v>
      </c>
      <c r="M88" s="62">
        <f t="shared" ca="1" si="31"/>
        <v>7.0462333423986943</v>
      </c>
      <c r="N88" s="62">
        <f t="shared" ca="1" si="31"/>
        <v>6.7719163629388071</v>
      </c>
      <c r="O88" s="62">
        <f t="shared" ca="1" si="31"/>
        <v>5.9209661835748788</v>
      </c>
      <c r="P88" s="62">
        <f t="shared" ca="1" si="31"/>
        <v>5.6784242789669381</v>
      </c>
      <c r="Q88" s="62">
        <f t="shared" ca="1" si="31"/>
        <v>5.4568602932817996</v>
      </c>
      <c r="R88" s="62">
        <f t="shared" ca="1" si="31"/>
        <v>4.5871416701287906</v>
      </c>
      <c r="S88" s="62">
        <f t="shared" ca="1" si="31"/>
        <v>4.22358803986711</v>
      </c>
      <c r="T88" s="62">
        <f t="shared" ca="1" si="31"/>
        <v>4.1089979793177225</v>
      </c>
      <c r="U88" s="62">
        <f t="shared" ca="1" si="31"/>
        <v>3.9531701192718138</v>
      </c>
      <c r="V88" s="62">
        <f t="shared" ca="1" si="31"/>
        <v>5.6253092528451267</v>
      </c>
      <c r="W88" s="62">
        <f t="shared" ca="1" si="31"/>
        <v>7.0055292259083721</v>
      </c>
      <c r="X88" s="62">
        <f t="shared" ca="1" si="31"/>
        <v>5.873293809458155</v>
      </c>
      <c r="Y88" s="62">
        <f t="shared" ca="1" si="31"/>
        <v>5.6129401660463794</v>
      </c>
      <c r="Z88" s="62">
        <f t="shared" ca="1" si="31"/>
        <v>6.8365840000000002</v>
      </c>
      <c r="AA88" s="62">
        <f t="shared" ca="1" si="31"/>
        <v>2.8197589999999999</v>
      </c>
      <c r="AB88" s="62">
        <f t="shared" ca="1" si="31"/>
        <v>2.960502</v>
      </c>
    </row>
    <row r="89" spans="1:28" x14ac:dyDescent="0.25">
      <c r="A89" s="50" t="str">
        <f t="shared" si="24"/>
        <v>EE</v>
      </c>
      <c r="B89" s="45">
        <f t="shared" ca="1" si="25"/>
        <v>26</v>
      </c>
      <c r="C89" s="1">
        <f>IF(ISERROR(D89),"",IF(D89="","",MAX($C$73:C88)+1))</f>
        <v>15</v>
      </c>
      <c r="D89" t="str">
        <f t="shared" si="26"/>
        <v xml:space="preserve">El Paso Electric              </v>
      </c>
      <c r="E89" s="22"/>
      <c r="F89" s="62">
        <f t="shared" ca="1" si="32"/>
        <v>5.9348785593669477</v>
      </c>
      <c r="G89" s="62" t="str">
        <f t="shared" si="27"/>
        <v>N/A</v>
      </c>
      <c r="H89" s="62" t="str">
        <f t="shared" si="28"/>
        <v>N/A</v>
      </c>
      <c r="I89" s="62" t="str">
        <f t="shared" si="29"/>
        <v>N/A</v>
      </c>
      <c r="J89" s="62" t="str">
        <f t="shared" ca="1" si="30"/>
        <v>N/A</v>
      </c>
      <c r="K89" s="62" t="str">
        <f t="shared" ca="1" si="30"/>
        <v>N/A</v>
      </c>
      <c r="L89" s="62">
        <f t="shared" ca="1" si="30"/>
        <v>9.4327902240325869</v>
      </c>
      <c r="M89" s="62">
        <f t="shared" ca="1" si="31"/>
        <v>8.5396079701927761</v>
      </c>
      <c r="N89" s="62">
        <f t="shared" ca="1" si="31"/>
        <v>7.4615127175368148</v>
      </c>
      <c r="O89" s="62">
        <f t="shared" ca="1" si="31"/>
        <v>6.4707826086956519</v>
      </c>
      <c r="P89" s="62">
        <f t="shared" ca="1" si="31"/>
        <v>6.3323684658607178</v>
      </c>
      <c r="Q89" s="62">
        <f t="shared" ca="1" si="31"/>
        <v>6.1883082373782115</v>
      </c>
      <c r="R89" s="62">
        <f t="shared" ca="1" si="31"/>
        <v>5.77813107224872</v>
      </c>
      <c r="S89" s="62">
        <f t="shared" ca="1" si="31"/>
        <v>5.1629752066115708</v>
      </c>
      <c r="T89" s="62">
        <f t="shared" ca="1" si="31"/>
        <v>4.3062293809431402</v>
      </c>
      <c r="U89" s="62">
        <f t="shared" ca="1" si="31"/>
        <v>3.9808212441603148</v>
      </c>
      <c r="V89" s="62">
        <f t="shared" ca="1" si="31"/>
        <v>4.9475835537388804</v>
      </c>
      <c r="W89" s="62">
        <f t="shared" ca="1" si="31"/>
        <v>6.4357050452781364</v>
      </c>
      <c r="X89" s="62">
        <f t="shared" ca="1" si="31"/>
        <v>6.2486187845303869</v>
      </c>
      <c r="Y89" s="62">
        <f t="shared" ca="1" si="31"/>
        <v>6.6677609980302037</v>
      </c>
      <c r="Z89" s="62">
        <f t="shared" ca="1" si="31"/>
        <v>4.6549300000000002</v>
      </c>
      <c r="AA89" s="62">
        <f t="shared" ca="1" si="31"/>
        <v>3.8985989999999999</v>
      </c>
      <c r="AB89" s="62">
        <f t="shared" ca="1" si="31"/>
        <v>4.3862110000000003</v>
      </c>
    </row>
    <row r="90" spans="1:28" x14ac:dyDescent="0.25">
      <c r="A90" s="50" t="str">
        <f t="shared" si="24"/>
        <v>ETR</v>
      </c>
      <c r="B90" s="45">
        <f t="shared" ca="1" si="25"/>
        <v>28</v>
      </c>
      <c r="C90" s="1">
        <f>IF(ISERROR(D90),"",IF(D90="","",MAX($C$73:C89)+1))</f>
        <v>16</v>
      </c>
      <c r="D90" t="str">
        <f t="shared" si="26"/>
        <v xml:space="preserve">Entergy Corp.                 </v>
      </c>
      <c r="E90" s="22"/>
      <c r="F90" s="62">
        <f t="shared" ca="1" si="32"/>
        <v>5.7385000893416009</v>
      </c>
      <c r="G90" s="62">
        <f t="shared" si="27"/>
        <v>4.6214584300975377</v>
      </c>
      <c r="H90" s="62">
        <f t="shared" si="28"/>
        <v>7.147001934235977</v>
      </c>
      <c r="I90" s="62">
        <f t="shared" si="29"/>
        <v>5.6089385474860345</v>
      </c>
      <c r="J90" s="62">
        <f t="shared" ca="1" si="30"/>
        <v>5.7808106326889286</v>
      </c>
      <c r="K90" s="62">
        <f t="shared" ca="1" si="30"/>
        <v>6.0481065673899135</v>
      </c>
      <c r="L90" s="62">
        <f t="shared" ca="1" si="30"/>
        <v>4.9222235693501464</v>
      </c>
      <c r="M90" s="62">
        <f t="shared" ref="M90:M119" ca="1" si="33">IFERROR(IF(INDEX(MP_CF_WP,$B90,M$74)=0,"N/A",INDEX(MP_CF_WP,$B90,M$74)),"N/A")</f>
        <v>4.6631547440885965</v>
      </c>
      <c r="N90" s="62">
        <f t="shared" ca="1" si="31"/>
        <v>4.0131916257209994</v>
      </c>
      <c r="O90" s="62">
        <f t="shared" ca="1" si="31"/>
        <v>4.1113181972212809</v>
      </c>
      <c r="P90" s="62">
        <f t="shared" ca="1" si="31"/>
        <v>4.2062683865127859</v>
      </c>
      <c r="Q90" s="62">
        <f t="shared" ca="1" si="31"/>
        <v>4.0342238089375853</v>
      </c>
      <c r="R90" s="62">
        <f t="shared" ca="1" si="31"/>
        <v>4.2285499718380377</v>
      </c>
      <c r="S90" s="62">
        <f t="shared" ca="1" si="31"/>
        <v>3.9024070271503537</v>
      </c>
      <c r="T90" s="62">
        <f t="shared" ca="1" si="31"/>
        <v>4.6604172966434838</v>
      </c>
      <c r="U90" s="62">
        <f t="shared" ca="1" si="31"/>
        <v>5.6803883202889818</v>
      </c>
      <c r="V90" s="62">
        <f t="shared" ca="1" si="31"/>
        <v>7.963460046547711</v>
      </c>
      <c r="W90" s="62">
        <f t="shared" ca="1" si="31"/>
        <v>9.2136890555744984</v>
      </c>
      <c r="X90" s="62">
        <f t="shared" ca="1" si="31"/>
        <v>7.1561769381838589</v>
      </c>
      <c r="Y90" s="62">
        <f t="shared" ca="1" si="31"/>
        <v>8.756049865558543</v>
      </c>
      <c r="Z90" s="62">
        <f t="shared" ca="1" si="31"/>
        <v>7.1220420000000004</v>
      </c>
      <c r="AA90" s="62">
        <f t="shared" ca="1" si="31"/>
        <v>6.8374600000000001</v>
      </c>
      <c r="AB90" s="62">
        <f t="shared" ca="1" si="31"/>
        <v>5.5696649999999996</v>
      </c>
    </row>
    <row r="91" spans="1:28" x14ac:dyDescent="0.25">
      <c r="A91" s="50" t="str">
        <f t="shared" si="24"/>
        <v>ES</v>
      </c>
      <c r="B91" s="45">
        <f t="shared" ca="1" si="25"/>
        <v>29</v>
      </c>
      <c r="C91" s="1">
        <f>IF(ISERROR(D91),"",IF(D91="","",MAX($C$73:C90)+1))</f>
        <v>17</v>
      </c>
      <c r="D91" t="str">
        <f t="shared" si="26"/>
        <v xml:space="preserve">Eversource Energy    </v>
      </c>
      <c r="E91" s="22"/>
      <c r="F91" s="62">
        <f t="shared" ca="1" si="32"/>
        <v>7.6504290469382701</v>
      </c>
      <c r="G91" s="62">
        <f t="shared" si="27"/>
        <v>10.389221556886229</v>
      </c>
      <c r="H91" s="62">
        <f t="shared" si="28"/>
        <v>9.3913538111490329</v>
      </c>
      <c r="I91" s="62">
        <f t="shared" si="29"/>
        <v>11.40835579514825</v>
      </c>
      <c r="J91" s="62">
        <f t="shared" ca="1" si="30"/>
        <v>12.529881055990716</v>
      </c>
      <c r="K91" s="62">
        <f t="shared" ca="1" si="30"/>
        <v>11.469703803939257</v>
      </c>
      <c r="L91" s="62">
        <f t="shared" ca="1" si="30"/>
        <v>9.1634803552611768</v>
      </c>
      <c r="M91" s="62">
        <f t="shared" ca="1" si="33"/>
        <v>10.358829568788501</v>
      </c>
      <c r="N91" s="62">
        <f t="shared" ref="N91:X109" ca="1" si="34">IFERROR(IF(INDEX(MP_CF_WP,$B91,N$74)=0,"N/A",INDEX(MP_CF_WP,$B91,N$74)),"N/A")</f>
        <v>10.136863319897397</v>
      </c>
      <c r="O91" s="62">
        <f t="shared" ca="1" si="34"/>
        <v>10.12006479044341</v>
      </c>
      <c r="P91" s="62">
        <f t="shared" ca="1" si="34"/>
        <v>10.143264589732338</v>
      </c>
      <c r="Q91" s="62">
        <f t="shared" ca="1" si="34"/>
        <v>8.0810344827586214</v>
      </c>
      <c r="R91" s="62">
        <f t="shared" ca="1" si="34"/>
        <v>9.3024293505205762</v>
      </c>
      <c r="S91" s="62">
        <f t="shared" ca="1" si="34"/>
        <v>6.9887202625102534</v>
      </c>
      <c r="T91" s="62">
        <f t="shared" ca="1" si="34"/>
        <v>4.9663495419309376</v>
      </c>
      <c r="U91" s="62">
        <f t="shared" ca="1" si="34"/>
        <v>4.6065739060294417</v>
      </c>
      <c r="V91" s="62">
        <f t="shared" ca="1" si="34"/>
        <v>4.1233165666071718</v>
      </c>
      <c r="W91" s="62">
        <f t="shared" ca="1" si="34"/>
        <v>6.1838174273858924</v>
      </c>
      <c r="X91" s="62">
        <f t="shared" ca="1" si="34"/>
        <v>6.0159934941718625</v>
      </c>
      <c r="Y91" s="62">
        <f t="shared" ref="Y91:AB106" ca="1" si="35">IFERROR(IF(INDEX(MP_CF_WP,$B91,Y$74)=0,"N/A",INDEX(MP_CF_WP,$B91,Y$74)),"N/A")</f>
        <v>3.5481033534909288</v>
      </c>
      <c r="Z91" s="62">
        <f t="shared" ca="1" si="35"/>
        <v>3.782826</v>
      </c>
      <c r="AA91" s="62">
        <f t="shared" ca="1" si="35"/>
        <v>2.852541</v>
      </c>
      <c r="AB91" s="62">
        <f t="shared" ca="1" si="35"/>
        <v>2.746715</v>
      </c>
    </row>
    <row r="92" spans="1:28" x14ac:dyDescent="0.25">
      <c r="A92" s="50" t="s">
        <v>447</v>
      </c>
      <c r="B92" s="45" t="str">
        <f ca="1">IFERROR(MATCH(A92,OFFSET(MP_CF_WP,0,0,,1),0),"")</f>
        <v/>
      </c>
      <c r="C92" s="1">
        <f>IF(ISERROR(D92),"",IF(D92="","",MAX($C$73:C91)+1))</f>
        <v>18</v>
      </c>
      <c r="D92" t="s">
        <v>448</v>
      </c>
      <c r="E92" s="22"/>
      <c r="F92" s="62">
        <f t="shared" ca="1" si="32"/>
        <v>7.7289568336071675</v>
      </c>
      <c r="G92" s="62">
        <f t="shared" si="27"/>
        <v>7.1075949367088613</v>
      </c>
      <c r="H92" s="62">
        <f t="shared" si="28"/>
        <v>8.6648501362397816</v>
      </c>
      <c r="I92" s="62">
        <f t="shared" si="29"/>
        <v>7.4144254278728612</v>
      </c>
      <c r="J92" s="62" t="str">
        <f t="shared" ca="1" si="30"/>
        <v>N/A</v>
      </c>
      <c r="K92" s="62" t="str">
        <f t="shared" ca="1" si="30"/>
        <v>N/A</v>
      </c>
      <c r="L92" s="62" t="str">
        <f t="shared" ca="1" si="30"/>
        <v>N/A</v>
      </c>
      <c r="M92" s="62" t="str">
        <f t="shared" ca="1" si="33"/>
        <v>N/A</v>
      </c>
      <c r="N92" s="62" t="str">
        <f t="shared" ca="1" si="34"/>
        <v>N/A</v>
      </c>
      <c r="O92" s="62" t="str">
        <f t="shared" ca="1" si="34"/>
        <v>N/A</v>
      </c>
      <c r="P92" s="62" t="str">
        <f t="shared" ca="1" si="34"/>
        <v>N/A</v>
      </c>
      <c r="Q92" s="62" t="str">
        <f t="shared" ca="1" si="34"/>
        <v>N/A</v>
      </c>
      <c r="R92" s="62" t="str">
        <f t="shared" ca="1" si="34"/>
        <v>N/A</v>
      </c>
      <c r="S92" s="62" t="str">
        <f t="shared" ca="1" si="34"/>
        <v>N/A</v>
      </c>
      <c r="T92" s="62" t="str">
        <f t="shared" ca="1" si="34"/>
        <v>N/A</v>
      </c>
      <c r="U92" s="62" t="str">
        <f t="shared" ca="1" si="34"/>
        <v>N/A</v>
      </c>
      <c r="V92" s="62" t="str">
        <f t="shared" ca="1" si="34"/>
        <v>N/A</v>
      </c>
      <c r="W92" s="62" t="str">
        <f t="shared" ca="1" si="34"/>
        <v>N/A</v>
      </c>
      <c r="X92" s="62" t="str">
        <f t="shared" ca="1" si="34"/>
        <v>N/A</v>
      </c>
      <c r="Y92" s="62" t="str">
        <f t="shared" ca="1" si="35"/>
        <v>N/A</v>
      </c>
      <c r="Z92" s="62" t="str">
        <f t="shared" ca="1" si="35"/>
        <v>N/A</v>
      </c>
      <c r="AA92" s="62" t="str">
        <f t="shared" ca="1" si="35"/>
        <v>N/A</v>
      </c>
      <c r="AB92" s="62" t="str">
        <f t="shared" ca="1" si="35"/>
        <v>N/A</v>
      </c>
    </row>
    <row r="93" spans="1:28" x14ac:dyDescent="0.25">
      <c r="A93" s="50" t="str">
        <f t="shared" ref="A93:A119" si="36">A31</f>
        <v>EXC</v>
      </c>
      <c r="B93" s="45">
        <f ca="1">IFERROR(MATCH(A93,OFFSET(MP_CF_WP,0,0,,1),0),"")</f>
        <v>30</v>
      </c>
      <c r="C93" s="1">
        <f>IF(ISERROR(D93),"",IF(D93="","",MAX($C$73:C92)+1))</f>
        <v>19</v>
      </c>
      <c r="D93" t="str">
        <f t="shared" ref="D93:D119" si="37">D31</f>
        <v xml:space="preserve">Exelon Corp.                  </v>
      </c>
      <c r="E93" s="22"/>
      <c r="F93" s="62">
        <f t="shared" ca="1" si="32"/>
        <v>6.0546273168621463</v>
      </c>
      <c r="G93" s="62">
        <f t="shared" si="27"/>
        <v>6.4133986928104578</v>
      </c>
      <c r="H93" s="62">
        <f t="shared" si="28"/>
        <v>7.6935749588138389</v>
      </c>
      <c r="I93" s="62">
        <f t="shared" si="29"/>
        <v>5.0843881856540083</v>
      </c>
      <c r="J93" s="62">
        <f t="shared" ca="1" si="30"/>
        <v>4.4368555272203123</v>
      </c>
      <c r="K93" s="62">
        <f t="shared" ca="1" si="30"/>
        <v>5.2916945746818485</v>
      </c>
      <c r="L93" s="62">
        <f t="shared" ca="1" si="30"/>
        <v>5.0454931456993819</v>
      </c>
      <c r="M93" s="62">
        <f t="shared" ca="1" si="33"/>
        <v>4.4541218637992834</v>
      </c>
      <c r="N93" s="62">
        <f t="shared" ca="1" si="34"/>
        <v>4.8002855103497497</v>
      </c>
      <c r="O93" s="62">
        <f t="shared" ca="1" si="34"/>
        <v>4.6968092927510661</v>
      </c>
      <c r="P93" s="62">
        <f t="shared" ca="1" si="34"/>
        <v>5.0912668382019071</v>
      </c>
      <c r="Q93" s="62">
        <f t="shared" ca="1" si="34"/>
        <v>4.6141263940520449</v>
      </c>
      <c r="R93" s="62">
        <f t="shared" ca="1" si="34"/>
        <v>5.5449591280653951</v>
      </c>
      <c r="S93" s="62">
        <f t="shared" ca="1" si="34"/>
        <v>5.858446226154272</v>
      </c>
      <c r="T93" s="62">
        <f t="shared" ca="1" si="34"/>
        <v>5.1031373963216735</v>
      </c>
      <c r="U93" s="62">
        <f t="shared" ca="1" si="34"/>
        <v>5.9759912695525648</v>
      </c>
      <c r="V93" s="62">
        <f t="shared" ca="1" si="34"/>
        <v>9.6510805500982322</v>
      </c>
      <c r="W93" s="62">
        <f t="shared" ca="1" si="34"/>
        <v>9.8861066235864303</v>
      </c>
      <c r="X93" s="62">
        <f t="shared" ca="1" si="34"/>
        <v>8.615040953090098</v>
      </c>
      <c r="Y93" s="62">
        <f t="shared" ca="1" si="35"/>
        <v>7.9709208400646201</v>
      </c>
      <c r="Z93" s="62">
        <f t="shared" ca="1" si="35"/>
        <v>6.2868700000000004</v>
      </c>
      <c r="AA93" s="62">
        <f t="shared" ca="1" si="35"/>
        <v>5.7122630000000001</v>
      </c>
      <c r="AB93" s="62">
        <f t="shared" ca="1" si="35"/>
        <v>4.9749699999999999</v>
      </c>
    </row>
    <row r="94" spans="1:28" x14ac:dyDescent="0.25">
      <c r="A94" s="50" t="str">
        <f t="shared" si="36"/>
        <v>FE</v>
      </c>
      <c r="B94" s="45">
        <f t="shared" ref="B94:B119" ca="1" si="38">IFERROR(MATCH(A94,OFFSET(MP_CF_WP,0,0,,1),0),"")</f>
        <v>31</v>
      </c>
      <c r="C94" s="1">
        <f>IF(ISERROR(D94),"",IF(D94="","",MAX($C$73:C93)+1))</f>
        <v>20</v>
      </c>
      <c r="D94" t="str">
        <f t="shared" si="37"/>
        <v xml:space="preserve">FirstEnergy Corp.             </v>
      </c>
      <c r="E94" s="22"/>
      <c r="F94" s="62">
        <f t="shared" ca="1" si="32"/>
        <v>6.8988868224646387</v>
      </c>
      <c r="G94" s="62">
        <f t="shared" si="27"/>
        <v>7.8974895397489533</v>
      </c>
      <c r="H94" s="62">
        <f t="shared" si="28"/>
        <v>8.927813163481952</v>
      </c>
      <c r="I94" s="62">
        <f t="shared" si="29"/>
        <v>6.5985130111524164</v>
      </c>
      <c r="J94" s="62">
        <f t="shared" ca="1" si="30"/>
        <v>9.2338431179082381</v>
      </c>
      <c r="K94" s="62">
        <f t="shared" ca="1" si="30"/>
        <v>11.094851635810297</v>
      </c>
      <c r="L94" s="62">
        <f t="shared" ca="1" si="30"/>
        <v>8.8403213658046695</v>
      </c>
      <c r="M94" s="62">
        <f t="shared" ca="1" si="33"/>
        <v>4.7616572389542879</v>
      </c>
      <c r="N94" s="62">
        <f t="shared" ca="1" si="34"/>
        <v>5.1169805542795892</v>
      </c>
      <c r="O94" s="62">
        <f t="shared" ca="1" si="34"/>
        <v>5.3809072230124864</v>
      </c>
      <c r="P94" s="62">
        <f t="shared" ca="1" si="34"/>
        <v>7.4331868131868131</v>
      </c>
      <c r="Q94" s="62">
        <f t="shared" ca="1" si="34"/>
        <v>6.1523325928276735</v>
      </c>
      <c r="R94" s="62">
        <f t="shared" ca="1" si="34"/>
        <v>7.4218698381235546</v>
      </c>
      <c r="S94" s="62">
        <f t="shared" ca="1" si="34"/>
        <v>7.3257918552036196</v>
      </c>
      <c r="T94" s="62">
        <f t="shared" ca="1" si="34"/>
        <v>4.4901799364930026</v>
      </c>
      <c r="U94" s="62">
        <f t="shared" ca="1" si="34"/>
        <v>4.9147533530347811</v>
      </c>
      <c r="V94" s="62">
        <f t="shared" ca="1" si="34"/>
        <v>7.5785864395531464</v>
      </c>
      <c r="W94" s="62">
        <f t="shared" ca="1" si="34"/>
        <v>7.8850395588587867</v>
      </c>
      <c r="X94" s="62">
        <f t="shared" ca="1" si="34"/>
        <v>7.5272122974657245</v>
      </c>
      <c r="Y94" s="62">
        <f t="shared" ca="1" si="35"/>
        <v>6.0413135593220346</v>
      </c>
      <c r="Z94" s="62">
        <f t="shared" ca="1" si="35"/>
        <v>5.149756</v>
      </c>
      <c r="AA94" s="62">
        <f t="shared" ca="1" si="35"/>
        <v>6.8987049999999996</v>
      </c>
      <c r="AB94" s="62">
        <f t="shared" ca="1" si="35"/>
        <v>5.104406</v>
      </c>
    </row>
    <row r="95" spans="1:28" x14ac:dyDescent="0.25">
      <c r="A95" s="50" t="str">
        <f t="shared" si="36"/>
        <v>FTS.TO</v>
      </c>
      <c r="B95" s="45">
        <f t="shared" ca="1" si="38"/>
        <v>32</v>
      </c>
      <c r="C95" s="1">
        <f>IF(ISERROR(D95),"",IF(D95="","",MAX($C$73:C94)+1))</f>
        <v>21</v>
      </c>
      <c r="D95" t="str">
        <f t="shared" si="37"/>
        <v>Fortis Inc.</v>
      </c>
      <c r="E95" s="22"/>
      <c r="F95" s="62">
        <f t="shared" ca="1" si="32"/>
        <v>8.4663121874317184</v>
      </c>
      <c r="G95" s="62">
        <f t="shared" si="27"/>
        <v>8.3383010432190758</v>
      </c>
      <c r="H95" s="62">
        <f t="shared" si="28"/>
        <v>9.1025641025641022</v>
      </c>
      <c r="I95" s="62">
        <f t="shared" si="29"/>
        <v>9.5746527777777786</v>
      </c>
      <c r="J95" s="62">
        <f t="shared" ca="1" si="30"/>
        <v>9.495131881748982</v>
      </c>
      <c r="K95" s="62">
        <f t="shared" ca="1" si="30"/>
        <v>9.4646204741775417</v>
      </c>
      <c r="L95" s="62">
        <f t="shared" ca="1" si="30"/>
        <v>7.9736939607261954</v>
      </c>
      <c r="M95" s="62">
        <f t="shared" ca="1" si="33"/>
        <v>8.2302595251242412</v>
      </c>
      <c r="N95" s="62">
        <f t="shared" ca="1" si="34"/>
        <v>10.455569782330347</v>
      </c>
      <c r="O95" s="62">
        <f t="shared" ca="1" si="34"/>
        <v>7.2851937092443411</v>
      </c>
      <c r="P95" s="62">
        <f t="shared" ca="1" si="34"/>
        <v>9.2506210322936795</v>
      </c>
      <c r="Q95" s="62">
        <f t="shared" ca="1" si="34"/>
        <v>7.9295980511571251</v>
      </c>
      <c r="R95" s="62">
        <f t="shared" ca="1" si="34"/>
        <v>8.0921277114306598</v>
      </c>
      <c r="S95" s="62">
        <f t="shared" ca="1" si="34"/>
        <v>8.3779144248014337</v>
      </c>
      <c r="T95" s="62">
        <f t="shared" ca="1" si="34"/>
        <v>7.4047678795483058</v>
      </c>
      <c r="U95" s="62">
        <f t="shared" ca="1" si="34"/>
        <v>6.7606019151846795</v>
      </c>
      <c r="V95" s="62">
        <f t="shared" ca="1" si="34"/>
        <v>7.5814550641940093</v>
      </c>
      <c r="W95" s="62">
        <f t="shared" ca="1" si="34"/>
        <v>9.183935200809989</v>
      </c>
      <c r="X95" s="62">
        <f t="shared" ca="1" si="34"/>
        <v>7.8926108374384238</v>
      </c>
      <c r="Y95" s="62" t="str">
        <f t="shared" ca="1" si="35"/>
        <v>N/A</v>
      </c>
      <c r="Z95" s="62" t="str">
        <f t="shared" ca="1" si="35"/>
        <v>N/A</v>
      </c>
      <c r="AA95" s="62" t="str">
        <f t="shared" ca="1" si="35"/>
        <v>N/A</v>
      </c>
      <c r="AB95" s="62" t="str">
        <f t="shared" ca="1" si="35"/>
        <v>N/A</v>
      </c>
    </row>
    <row r="96" spans="1:28" x14ac:dyDescent="0.25">
      <c r="A96" s="50" t="str">
        <f t="shared" si="36"/>
        <v>GXP</v>
      </c>
      <c r="B96" s="45">
        <f t="shared" ca="1" si="38"/>
        <v>34</v>
      </c>
      <c r="C96" s="1">
        <f>IF(ISERROR(D96),"",IF(D96="","",MAX($C$73:C95)+1))</f>
        <v>22</v>
      </c>
      <c r="D96" t="str">
        <f t="shared" si="37"/>
        <v xml:space="preserve">Great Plains Energy             </v>
      </c>
      <c r="E96" s="22"/>
      <c r="F96" s="62">
        <f t="shared" ca="1" si="32"/>
        <v>6.8909699841154586</v>
      </c>
      <c r="G96" s="62" t="str">
        <f t="shared" si="27"/>
        <v>N/A</v>
      </c>
      <c r="H96" s="62" t="str">
        <f t="shared" si="28"/>
        <v>N/A</v>
      </c>
      <c r="I96" s="62" t="str">
        <f t="shared" si="29"/>
        <v>N/A</v>
      </c>
      <c r="J96" s="62" t="str">
        <f t="shared" ca="1" si="30"/>
        <v>N/A</v>
      </c>
      <c r="K96" s="62" t="str">
        <f t="shared" ca="1" si="30"/>
        <v>N/A</v>
      </c>
      <c r="L96" s="62" t="str">
        <f t="shared" ca="1" si="30"/>
        <v>N/A</v>
      </c>
      <c r="M96" s="62">
        <f t="shared" ca="1" si="33"/>
        <v>14.61904761904762</v>
      </c>
      <c r="N96" s="62">
        <f t="shared" ca="1" si="34"/>
        <v>8.628614008941879</v>
      </c>
      <c r="O96" s="62">
        <f t="shared" ca="1" si="34"/>
        <v>6.66273229532898</v>
      </c>
      <c r="P96" s="62">
        <f t="shared" ca="1" si="34"/>
        <v>6.4499875280618602</v>
      </c>
      <c r="Q96" s="62">
        <f t="shared" ca="1" si="34"/>
        <v>5.7326016462958336</v>
      </c>
      <c r="R96" s="62">
        <f t="shared" ca="1" si="34"/>
        <v>6.087373004354137</v>
      </c>
      <c r="S96" s="62">
        <f t="shared" ca="1" si="34"/>
        <v>5.7353276353276357</v>
      </c>
      <c r="T96" s="62">
        <f t="shared" ca="1" si="34"/>
        <v>4.491504854368932</v>
      </c>
      <c r="U96" s="62">
        <f t="shared" ca="1" si="34"/>
        <v>5.0578866768759569</v>
      </c>
      <c r="V96" s="62">
        <f t="shared" ca="1" si="34"/>
        <v>7.7057872615583571</v>
      </c>
      <c r="W96" s="62">
        <f t="shared" ca="1" si="34"/>
        <v>7.132783018867924</v>
      </c>
      <c r="X96" s="62">
        <f t="shared" ca="1" si="34"/>
        <v>7.6797927461139892</v>
      </c>
      <c r="Y96" s="62">
        <f t="shared" ca="1" si="35"/>
        <v>6.6982834507042259</v>
      </c>
      <c r="Z96" s="62">
        <f t="shared" ca="1" si="35"/>
        <v>6.5216839999999996</v>
      </c>
      <c r="AA96" s="62">
        <f t="shared" ca="1" si="35"/>
        <v>5.9151930000000004</v>
      </c>
      <c r="AB96" s="62">
        <f t="shared" ca="1" si="35"/>
        <v>5.1369210000000001</v>
      </c>
    </row>
    <row r="97" spans="1:28" x14ac:dyDescent="0.25">
      <c r="A97" s="50" t="str">
        <f t="shared" si="36"/>
        <v>HE</v>
      </c>
      <c r="B97" s="45">
        <f t="shared" ca="1" si="38"/>
        <v>35</v>
      </c>
      <c r="C97" s="1">
        <f>IF(ISERROR(D97),"",IF(D97="","",MAX($C$73:C96)+1))</f>
        <v>23</v>
      </c>
      <c r="D97" t="str">
        <f t="shared" si="37"/>
        <v xml:space="preserve">Hawaiian Elec.                </v>
      </c>
      <c r="E97" s="22"/>
      <c r="F97" s="62">
        <f t="shared" ca="1" si="32"/>
        <v>7.9556846074237768</v>
      </c>
      <c r="G97" s="62">
        <f t="shared" si="27"/>
        <v>5.7019438444924413</v>
      </c>
      <c r="H97" s="62">
        <f t="shared" si="28"/>
        <v>7.9489795918367347</v>
      </c>
      <c r="I97" s="62">
        <f t="shared" si="29"/>
        <v>8.2291666666666679</v>
      </c>
      <c r="J97" s="62">
        <f t="shared" ca="1" si="30"/>
        <v>8.6873743016759786</v>
      </c>
      <c r="K97" s="62">
        <f t="shared" ca="1" si="30"/>
        <v>9.2983304042179267</v>
      </c>
      <c r="L97" s="62">
        <f t="shared" ca="1" si="30"/>
        <v>8.3430135681980495</v>
      </c>
      <c r="M97" s="62">
        <f t="shared" ca="1" si="33"/>
        <v>9.2144990496877544</v>
      </c>
      <c r="N97" s="62">
        <f t="shared" ca="1" si="34"/>
        <v>7.441035474592522</v>
      </c>
      <c r="O97" s="62">
        <f t="shared" ca="1" si="34"/>
        <v>9.2515114873035067</v>
      </c>
      <c r="P97" s="62">
        <f t="shared" ca="1" si="34"/>
        <v>7.6423122065727709</v>
      </c>
      <c r="Q97" s="62">
        <f t="shared" ca="1" si="34"/>
        <v>8.1517690875232773</v>
      </c>
      <c r="R97" s="62">
        <f t="shared" ca="1" si="34"/>
        <v>8.0463132236441197</v>
      </c>
      <c r="S97" s="62">
        <f t="shared" ca="1" si="34"/>
        <v>7.731385485391141</v>
      </c>
      <c r="T97" s="62">
        <f t="shared" ca="1" si="34"/>
        <v>7.8093750000000002</v>
      </c>
      <c r="U97" s="62">
        <f t="shared" ca="1" si="34"/>
        <v>6.9490544191431871</v>
      </c>
      <c r="V97" s="62">
        <f t="shared" ca="1" si="34"/>
        <v>9.104335047759001</v>
      </c>
      <c r="W97" s="62">
        <f t="shared" ca="1" si="34"/>
        <v>7.945255474452555</v>
      </c>
      <c r="X97" s="62">
        <f t="shared" ca="1" si="34"/>
        <v>8.473205891570041</v>
      </c>
      <c r="Y97" s="62">
        <f t="shared" ca="1" si="35"/>
        <v>8.290553138595401</v>
      </c>
      <c r="Z97" s="62">
        <f t="shared" ca="1" si="35"/>
        <v>8.4448039999999995</v>
      </c>
      <c r="AA97" s="62">
        <f t="shared" ca="1" si="35"/>
        <v>6.1214690000000003</v>
      </c>
      <c r="AB97" s="62">
        <f t="shared" ca="1" si="35"/>
        <v>6.1993749999999999</v>
      </c>
    </row>
    <row r="98" spans="1:28" x14ac:dyDescent="0.25">
      <c r="A98" s="50" t="str">
        <f t="shared" si="36"/>
        <v>IDA</v>
      </c>
      <c r="B98" s="45">
        <f t="shared" ca="1" si="38"/>
        <v>36</v>
      </c>
      <c r="C98" s="1">
        <f>IF(ISERROR(D98),"",IF(D98="","",MAX($C$73:C97)+1))</f>
        <v>24</v>
      </c>
      <c r="D98" t="str">
        <f t="shared" si="37"/>
        <v xml:space="preserve">IDACORP, Inc.                 </v>
      </c>
      <c r="E98" s="22"/>
      <c r="F98" s="62">
        <f t="shared" ca="1" si="32"/>
        <v>8.9757745264440576</v>
      </c>
      <c r="G98" s="62">
        <f t="shared" si="27"/>
        <v>11.037321624588365</v>
      </c>
      <c r="H98" s="62">
        <f t="shared" si="28"/>
        <v>12.421052631578947</v>
      </c>
      <c r="I98" s="62">
        <f t="shared" si="29"/>
        <v>11.837098692033294</v>
      </c>
      <c r="J98" s="62">
        <f t="shared" ca="1" si="30"/>
        <v>11.382981320962031</v>
      </c>
      <c r="K98" s="62">
        <f t="shared" ca="1" si="30"/>
        <v>12.751766893986362</v>
      </c>
      <c r="L98" s="62">
        <f t="shared" ca="1" si="30"/>
        <v>11.724146714212941</v>
      </c>
      <c r="M98" s="62">
        <f t="shared" ca="1" si="33"/>
        <v>11.557702558635395</v>
      </c>
      <c r="N98" s="62">
        <f t="shared" ca="1" si="34"/>
        <v>10.952019833746537</v>
      </c>
      <c r="O98" s="62">
        <f t="shared" ca="1" si="34"/>
        <v>9.3677611940298515</v>
      </c>
      <c r="P98" s="62">
        <f t="shared" ca="1" si="34"/>
        <v>8.5856143552311437</v>
      </c>
      <c r="Q98" s="62">
        <f t="shared" ca="1" si="34"/>
        <v>7.7771247021445591</v>
      </c>
      <c r="R98" s="62">
        <f t="shared" ca="1" si="34"/>
        <v>7.0498988536749829</v>
      </c>
      <c r="S98" s="62">
        <f t="shared" ca="1" si="34"/>
        <v>6.6411925976696367</v>
      </c>
      <c r="T98" s="62">
        <f t="shared" ca="1" si="34"/>
        <v>6.5214953271028042</v>
      </c>
      <c r="U98" s="62">
        <f t="shared" ca="1" si="34"/>
        <v>5.3067218608318543</v>
      </c>
      <c r="V98" s="62">
        <f t="shared" ca="1" si="34"/>
        <v>7.104376316405336</v>
      </c>
      <c r="W98" s="62">
        <f t="shared" ca="1" si="34"/>
        <v>8.2275711159737419</v>
      </c>
      <c r="X98" s="62">
        <f t="shared" ca="1" si="34"/>
        <v>7.7289393278044525</v>
      </c>
      <c r="Y98" s="62">
        <f t="shared" ca="1" si="35"/>
        <v>7.5475206611570247</v>
      </c>
      <c r="Z98" s="62">
        <f t="shared" ca="1" si="35"/>
        <v>7.1459450000000002</v>
      </c>
      <c r="AA98" s="62">
        <f t="shared" ca="1" si="35"/>
        <v>7.2654870000000003</v>
      </c>
      <c r="AB98" s="62">
        <f t="shared" ca="1" si="35"/>
        <v>7.5333009999999998</v>
      </c>
    </row>
    <row r="99" spans="1:28" x14ac:dyDescent="0.25">
      <c r="A99" s="50" t="str">
        <f t="shared" si="36"/>
        <v>MGEE</v>
      </c>
      <c r="B99" s="45">
        <f ca="1">IFERROR(MATCH(A99,OFFSET(MP_CF_WP,0,0,,1),0),"")</f>
        <v>40</v>
      </c>
      <c r="C99" s="1">
        <f>IF(ISERROR(D99),"",IF(D99="","",MAX($C$73:C98)+1))</f>
        <v>25</v>
      </c>
      <c r="D99" t="str">
        <f t="shared" si="37"/>
        <v xml:space="preserve">MGE Energy                    </v>
      </c>
      <c r="E99" s="22"/>
      <c r="F99" s="62">
        <f t="shared" ca="1" si="32"/>
        <v>11.680750537579927</v>
      </c>
      <c r="G99" s="62">
        <f t="shared" si="27"/>
        <v>12.284768211920527</v>
      </c>
      <c r="H99" s="62">
        <f t="shared" si="28"/>
        <v>13.627992633517495</v>
      </c>
      <c r="I99" s="62" t="str">
        <f>IFERROR(IF(VLOOKUP(A99,lucyyr,17,FALSE)=0,"N/A",VLOOKUP(A99,lucyyr,17,FALSE)),"N/A")</f>
        <v>N/A</v>
      </c>
      <c r="J99" s="62">
        <f t="shared" ca="1" si="30"/>
        <v>14.903407857607986</v>
      </c>
      <c r="K99" s="62">
        <f t="shared" ca="1" si="30"/>
        <v>15.578336980306345</v>
      </c>
      <c r="L99" s="62">
        <f t="shared" ca="1" si="30"/>
        <v>15.041902883904362</v>
      </c>
      <c r="M99" s="62">
        <f t="shared" ca="1" si="33"/>
        <v>17.333870101986044</v>
      </c>
      <c r="N99" s="62">
        <f t="shared" ca="1" si="34"/>
        <v>15.659071243149697</v>
      </c>
      <c r="O99" s="62">
        <f t="shared" ca="1" si="34"/>
        <v>12.529994001199759</v>
      </c>
      <c r="P99" s="62">
        <f t="shared" ca="1" si="34"/>
        <v>11.424520194786595</v>
      </c>
      <c r="Q99" s="62">
        <f t="shared" ca="1" si="34"/>
        <v>11.201158183480645</v>
      </c>
      <c r="R99" s="62">
        <f t="shared" ca="1" si="34"/>
        <v>10.772773109243698</v>
      </c>
      <c r="S99" s="62">
        <f t="shared" ca="1" si="34"/>
        <v>9.4788972089857033</v>
      </c>
      <c r="T99" s="62">
        <f t="shared" ca="1" si="34"/>
        <v>9.0492932221819498</v>
      </c>
      <c r="U99" s="62">
        <f t="shared" ca="1" si="34"/>
        <v>8.3960843373493983</v>
      </c>
      <c r="V99" s="62">
        <f t="shared" ca="1" si="34"/>
        <v>8.4240388204553955</v>
      </c>
      <c r="W99" s="62">
        <f t="shared" ca="1" si="34"/>
        <v>9.2263307598537185</v>
      </c>
      <c r="X99" s="62">
        <f t="shared" ca="1" si="34"/>
        <v>9.3011945392491473</v>
      </c>
      <c r="Y99" s="62">
        <f t="shared" ca="1" si="35"/>
        <v>11.727</v>
      </c>
      <c r="Z99" s="62">
        <f t="shared" ca="1" si="35"/>
        <v>11.044409999999999</v>
      </c>
      <c r="AA99" s="62">
        <f t="shared" ca="1" si="35"/>
        <v>10.19708</v>
      </c>
      <c r="AB99" s="62">
        <f t="shared" ca="1" si="35"/>
        <v>8.0936369999999993</v>
      </c>
    </row>
    <row r="100" spans="1:28" x14ac:dyDescent="0.25">
      <c r="A100" s="50" t="str">
        <f t="shared" si="36"/>
        <v>NEE</v>
      </c>
      <c r="B100" s="45">
        <f ca="1">IFERROR(MATCH(A100,OFFSET(MP_CF_WP,0,0,,1),0),"")</f>
        <v>43</v>
      </c>
      <c r="C100" s="1">
        <f>IF(ISERROR(D100),"",IF(D100="","",MAX($C$73:C99)+1))</f>
        <v>26</v>
      </c>
      <c r="D100" t="str">
        <f t="shared" si="37"/>
        <v>NextEra Energy, Inc.</v>
      </c>
      <c r="E100" s="22"/>
      <c r="F100" s="62">
        <f t="shared" ca="1" si="32"/>
        <v>9.2011009239872195</v>
      </c>
      <c r="G100" s="62">
        <f t="shared" si="27"/>
        <v>10.887622149837133</v>
      </c>
      <c r="H100" s="62">
        <f t="shared" si="28"/>
        <v>15.169811320754718</v>
      </c>
      <c r="I100" s="62">
        <f>IFERROR(IF(VLOOKUP(A100,lucyyr,17,FALSE)=0,"N/A",VLOOKUP(A100,lucyyr,17,FALSE)),"N/A")</f>
        <v>20.403022670025187</v>
      </c>
      <c r="J100" s="62">
        <f t="shared" ca="1" si="30"/>
        <v>15.481541676340839</v>
      </c>
      <c r="K100" s="62">
        <f t="shared" ca="1" si="30"/>
        <v>12.325664136622391</v>
      </c>
      <c r="L100" s="62">
        <f t="shared" ca="1" si="30"/>
        <v>10.769791666666668</v>
      </c>
      <c r="M100" s="62">
        <f t="shared" ca="1" si="33"/>
        <v>11.610561056105611</v>
      </c>
      <c r="N100" s="62">
        <f t="shared" ca="1" si="34"/>
        <v>9.2370370370370374</v>
      </c>
      <c r="O100" s="62">
        <f t="shared" ca="1" si="34"/>
        <v>7.9253754451153426</v>
      </c>
      <c r="P100" s="62">
        <f t="shared" ca="1" si="34"/>
        <v>7.9842174847132705</v>
      </c>
      <c r="Q100" s="62">
        <f t="shared" ca="1" si="34"/>
        <v>7.5967160212604412</v>
      </c>
      <c r="R100" s="62">
        <f t="shared" ca="1" si="34"/>
        <v>7.5773658761224949</v>
      </c>
      <c r="S100" s="62">
        <f t="shared" ca="1" si="34"/>
        <v>5.9845011301259277</v>
      </c>
      <c r="T100" s="62">
        <f t="shared" ca="1" si="34"/>
        <v>5.33489242282507</v>
      </c>
      <c r="U100" s="62">
        <f t="shared" ca="1" si="34"/>
        <v>6.0868571428571423</v>
      </c>
      <c r="V100" s="62">
        <f t="shared" ca="1" si="34"/>
        <v>7.3440069773236978</v>
      </c>
      <c r="W100" s="62">
        <f t="shared" ca="1" si="34"/>
        <v>9.0182428488032684</v>
      </c>
      <c r="X100" s="62">
        <f t="shared" ca="1" si="34"/>
        <v>6.5145516324420152</v>
      </c>
      <c r="Y100" s="62">
        <f t="shared" ca="1" si="35"/>
        <v>6.7148405890920859</v>
      </c>
      <c r="Z100" s="62">
        <f t="shared" ca="1" si="35"/>
        <v>6.7148405890920859</v>
      </c>
      <c r="AA100" s="62">
        <f t="shared" ca="1" si="35"/>
        <v>5.9742903053026248</v>
      </c>
      <c r="AB100" s="62">
        <f t="shared" ca="1" si="35"/>
        <v>5.7684701492537309</v>
      </c>
    </row>
    <row r="101" spans="1:28" x14ac:dyDescent="0.25">
      <c r="A101" s="50" t="str">
        <f t="shared" si="36"/>
        <v>NWE</v>
      </c>
      <c r="B101" s="45">
        <f ca="1">IFERROR(MATCH(A101,OFFSET(MP_CF_WP,0,0,,1),0),"")</f>
        <v>46</v>
      </c>
      <c r="C101" s="1">
        <f>IF(ISERROR(D101),"",IF(D101="","",MAX($C$73:C100)+1))</f>
        <v>27</v>
      </c>
      <c r="D101" t="str">
        <f t="shared" si="37"/>
        <v xml:space="preserve">NorthWestern Corp             </v>
      </c>
      <c r="E101" s="22"/>
      <c r="F101" s="62">
        <f t="shared" ca="1" si="32"/>
        <v>7.900829953854009</v>
      </c>
      <c r="G101" s="62">
        <f t="shared" si="27"/>
        <v>8.0119581464872951</v>
      </c>
      <c r="H101" s="62">
        <f t="shared" si="28"/>
        <v>8.6532507739938094</v>
      </c>
      <c r="I101" s="62">
        <f>IFERROR(IF(VLOOKUP(A101,lucyyr,17,FALSE)=0,"N/A",VLOOKUP(A101,lucyyr,17,FALSE)),"N/A")</f>
        <v>8.8319088319088319</v>
      </c>
      <c r="J101" s="62">
        <f t="shared" ca="1" si="30"/>
        <v>8.8797082030668459</v>
      </c>
      <c r="K101" s="62">
        <f t="shared" ca="1" si="30"/>
        <v>9.9259259259259256</v>
      </c>
      <c r="L101" s="62">
        <f t="shared" ca="1" si="30"/>
        <v>8.1941370886621652</v>
      </c>
      <c r="M101" s="62">
        <f t="shared" ca="1" si="33"/>
        <v>8.8209264466479205</v>
      </c>
      <c r="N101" s="62">
        <f t="shared" ca="1" si="34"/>
        <v>8.647914502003859</v>
      </c>
      <c r="O101" s="62">
        <f t="shared" ca="1" si="34"/>
        <v>8.9886900742741389</v>
      </c>
      <c r="P101" s="62">
        <f t="shared" ca="1" si="34"/>
        <v>9.0096510764662217</v>
      </c>
      <c r="Q101" s="62">
        <f t="shared" ca="1" si="34"/>
        <v>7.607300073367572</v>
      </c>
      <c r="R101" s="62">
        <f t="shared" ca="1" si="34"/>
        <v>6.8546893091470471</v>
      </c>
      <c r="S101" s="62">
        <f t="shared" ca="1" si="34"/>
        <v>5.8909795240730487</v>
      </c>
      <c r="T101" s="62">
        <f t="shared" ca="1" si="34"/>
        <v>5.7926112510495376</v>
      </c>
      <c r="U101" s="62">
        <f t="shared" ca="1" si="34"/>
        <v>5.0469900389779117</v>
      </c>
      <c r="V101" s="62">
        <f t="shared" ca="1" si="34"/>
        <v>5.5741539859186924</v>
      </c>
      <c r="W101" s="62">
        <f t="shared" ca="1" si="34"/>
        <v>8.4497840172786169</v>
      </c>
      <c r="X101" s="62">
        <f t="shared" ca="1" si="34"/>
        <v>9.3943078198397334</v>
      </c>
      <c r="Y101" s="62">
        <f t="shared" ca="1" si="35"/>
        <v>7.3119839879909936</v>
      </c>
      <c r="Z101" s="62">
        <f t="shared" ca="1" si="35"/>
        <v>8.1297280000000001</v>
      </c>
      <c r="AA101" s="62" t="str">
        <f t="shared" ca="1" si="35"/>
        <v>N/A</v>
      </c>
      <c r="AB101" s="62" t="str">
        <f t="shared" ca="1" si="35"/>
        <v>N/A</v>
      </c>
    </row>
    <row r="102" spans="1:28" x14ac:dyDescent="0.25">
      <c r="A102" s="50" t="str">
        <f t="shared" si="36"/>
        <v>OGE</v>
      </c>
      <c r="B102" s="45">
        <f t="shared" ca="1" si="38"/>
        <v>47</v>
      </c>
      <c r="C102" s="1">
        <f>IF(ISERROR(D102),"",IF(D102="","",MAX($C$73:C101)+1))</f>
        <v>28</v>
      </c>
      <c r="D102" t="str">
        <f t="shared" si="37"/>
        <v xml:space="preserve">OGE Energy                    </v>
      </c>
      <c r="E102" s="22"/>
      <c r="F102" s="62">
        <f t="shared" ca="1" si="32"/>
        <v>7.9392069709132196</v>
      </c>
      <c r="G102" s="62">
        <f t="shared" si="27"/>
        <v>7.8791208791208796</v>
      </c>
      <c r="H102" s="62">
        <f t="shared" si="28"/>
        <v>8.3552631578947363</v>
      </c>
      <c r="I102" s="62">
        <f t="shared" si="29"/>
        <v>7.6351351351351342</v>
      </c>
      <c r="J102" s="62">
        <f t="shared" ca="1" si="30"/>
        <v>8.3765493306891425</v>
      </c>
      <c r="K102" s="62">
        <f t="shared" ca="1" si="30"/>
        <v>10.584680427754289</v>
      </c>
      <c r="L102" s="62">
        <f t="shared" ca="1" si="30"/>
        <v>9.3646083934776794</v>
      </c>
      <c r="M102" s="62">
        <f t="shared" ca="1" si="33"/>
        <v>10.520334928229666</v>
      </c>
      <c r="N102" s="62">
        <f t="shared" ca="1" si="34"/>
        <v>9.0299184043517666</v>
      </c>
      <c r="O102" s="62">
        <f t="shared" ca="1" si="34"/>
        <v>9.2496905940594054</v>
      </c>
      <c r="P102" s="62">
        <f t="shared" ca="1" si="34"/>
        <v>10.649587750294463</v>
      </c>
      <c r="Q102" s="62">
        <f t="shared" ca="1" si="34"/>
        <v>9.9288400347121772</v>
      </c>
      <c r="R102" s="62">
        <f t="shared" ca="1" si="34"/>
        <v>7.3460601137286758</v>
      </c>
      <c r="S102" s="62">
        <f t="shared" ca="1" si="34"/>
        <v>7.4802293993359488</v>
      </c>
      <c r="T102" s="62">
        <f t="shared" ca="1" si="34"/>
        <v>6.6104284290933242</v>
      </c>
      <c r="U102" s="62">
        <f t="shared" ca="1" si="34"/>
        <v>5.3664804469273744</v>
      </c>
      <c r="V102" s="62">
        <f t="shared" ca="1" si="34"/>
        <v>6.4339858392336531</v>
      </c>
      <c r="W102" s="62">
        <f t="shared" ca="1" si="34"/>
        <v>7.5818713450292394</v>
      </c>
      <c r="X102" s="62">
        <f t="shared" ca="1" si="34"/>
        <v>7.498657117278424</v>
      </c>
      <c r="Y102" s="62">
        <f t="shared" ca="1" si="35"/>
        <v>7.0365226337448563</v>
      </c>
      <c r="Z102" s="62">
        <f t="shared" ca="1" si="35"/>
        <v>6.7290000000000001</v>
      </c>
      <c r="AA102" s="62">
        <f t="shared" ca="1" si="35"/>
        <v>5.6171150000000001</v>
      </c>
      <c r="AB102" s="62">
        <f t="shared" ca="1" si="35"/>
        <v>5.3884740000000004</v>
      </c>
    </row>
    <row r="103" spans="1:28" x14ac:dyDescent="0.25">
      <c r="A103" s="50" t="str">
        <f t="shared" si="36"/>
        <v>OTTR</v>
      </c>
      <c r="B103" s="45">
        <f t="shared" ca="1" si="38"/>
        <v>49</v>
      </c>
      <c r="C103" s="1">
        <f>IF(ISERROR(D103),"",IF(D103="","",MAX($C$73:C102)+1))</f>
        <v>29</v>
      </c>
      <c r="D103" t="str">
        <f t="shared" si="37"/>
        <v xml:space="preserve">Otter Tail Corp.              </v>
      </c>
      <c r="E103" s="22"/>
      <c r="F103" s="62">
        <f t="shared" ca="1" si="32"/>
        <v>9.2680927424546162</v>
      </c>
      <c r="G103" s="62">
        <f t="shared" si="27"/>
        <v>8.0213903743315509</v>
      </c>
      <c r="H103" s="62">
        <f t="shared" si="28"/>
        <v>7.7023945267958949</v>
      </c>
      <c r="I103" s="62">
        <f t="shared" si="29"/>
        <v>8.6124031007751931</v>
      </c>
      <c r="J103" s="62">
        <f t="shared" ca="1" si="30"/>
        <v>9.9871794871794872</v>
      </c>
      <c r="K103" s="62">
        <f t="shared" ca="1" si="30"/>
        <v>12.421232042853665</v>
      </c>
      <c r="L103" s="62">
        <f t="shared" ca="1" si="30"/>
        <v>11.578069732187974</v>
      </c>
      <c r="M103" s="62">
        <f t="shared" ca="1" si="33"/>
        <v>11.088084301540125</v>
      </c>
      <c r="N103" s="62">
        <f t="shared" ca="1" si="34"/>
        <v>9.3839674702294502</v>
      </c>
      <c r="O103" s="62">
        <f t="shared" ca="1" si="34"/>
        <v>9.0356460852959906</v>
      </c>
      <c r="P103" s="62">
        <f t="shared" ca="1" si="34"/>
        <v>9.4525736484299134</v>
      </c>
      <c r="Q103" s="62">
        <f t="shared" ca="1" si="34"/>
        <v>9.5807947019867559</v>
      </c>
      <c r="R103" s="62">
        <f t="shared" ca="1" si="34"/>
        <v>8.430047988187523</v>
      </c>
      <c r="S103" s="62">
        <f t="shared" ca="1" si="34"/>
        <v>9.03849407783418</v>
      </c>
      <c r="T103" s="62">
        <f t="shared" ca="1" si="34"/>
        <v>8.0651001540832059</v>
      </c>
      <c r="U103" s="62">
        <f t="shared" ca="1" si="34"/>
        <v>8.0097755249818974</v>
      </c>
      <c r="V103" s="62">
        <f t="shared" ca="1" si="34"/>
        <v>11.65457132692992</v>
      </c>
      <c r="W103" s="62">
        <f t="shared" ca="1" si="34"/>
        <v>9.5285674078243723</v>
      </c>
      <c r="X103" s="62">
        <f t="shared" ca="1" si="34"/>
        <v>8.6563330380868013</v>
      </c>
      <c r="Y103" s="62">
        <f t="shared" ca="1" si="35"/>
        <v>8.1753653444676395</v>
      </c>
      <c r="Z103" s="62">
        <f t="shared" ca="1" si="35"/>
        <v>9.0128249999999994</v>
      </c>
      <c r="AA103" s="62">
        <f t="shared" ca="1" si="35"/>
        <v>8.1296970000000002</v>
      </c>
      <c r="AB103" s="62">
        <f t="shared" ca="1" si="35"/>
        <v>8.3335279999999994</v>
      </c>
    </row>
    <row r="104" spans="1:28" x14ac:dyDescent="0.25">
      <c r="A104" s="50" t="str">
        <f t="shared" si="36"/>
        <v>PNW</v>
      </c>
      <c r="B104" s="45">
        <f t="shared" ca="1" si="38"/>
        <v>52</v>
      </c>
      <c r="C104" s="1">
        <f>IF(ISERROR(D104),"",IF(D104="","",MAX($C$73:C103)+1))</f>
        <v>30</v>
      </c>
      <c r="D104" t="str">
        <f t="shared" si="37"/>
        <v xml:space="preserve">Pinnacle West Capital         </v>
      </c>
      <c r="E104" s="22"/>
      <c r="F104" s="62">
        <f t="shared" ca="1" si="32"/>
        <v>6.2077406907757453</v>
      </c>
      <c r="G104" s="62">
        <f t="shared" si="27"/>
        <v>6.468619246861925</v>
      </c>
      <c r="H104" s="62">
        <f t="shared" si="28"/>
        <v>5.1934523809523814</v>
      </c>
      <c r="I104" s="62">
        <f t="shared" si="29"/>
        <v>6.1856091578086678</v>
      </c>
      <c r="J104" s="62">
        <f t="shared" ca="1" si="30"/>
        <v>7.4900570797274906</v>
      </c>
      <c r="K104" s="62">
        <f t="shared" ca="1" si="30"/>
        <v>8.2962730130220042</v>
      </c>
      <c r="L104" s="62">
        <f t="shared" ca="1" si="30"/>
        <v>7.0917857455948106</v>
      </c>
      <c r="M104" s="62">
        <f t="shared" ca="1" si="33"/>
        <v>8.7281831187410592</v>
      </c>
      <c r="N104" s="62">
        <f t="shared" ca="1" si="34"/>
        <v>7.8861312313591814</v>
      </c>
      <c r="O104" s="62">
        <f t="shared" ca="1" si="34"/>
        <v>6.9145308546914537</v>
      </c>
      <c r="P104" s="62">
        <f t="shared" ca="1" si="34"/>
        <v>7.033391046252782</v>
      </c>
      <c r="Q104" s="62">
        <f t="shared" ca="1" si="34"/>
        <v>6.8530782438067206</v>
      </c>
      <c r="R104" s="62">
        <f t="shared" ca="1" si="34"/>
        <v>6.3436512950094759</v>
      </c>
      <c r="S104" s="62">
        <f t="shared" ca="1" si="34"/>
        <v>5.8035619351408823</v>
      </c>
      <c r="T104" s="62">
        <f t="shared" ca="1" si="34"/>
        <v>5.6503139144400638</v>
      </c>
      <c r="U104" s="62">
        <f t="shared" ca="1" si="34"/>
        <v>3.8445159692993318</v>
      </c>
      <c r="V104" s="62">
        <f t="shared" ca="1" si="34"/>
        <v>4.1873616916646181</v>
      </c>
      <c r="W104" s="62">
        <f t="shared" ca="1" si="34"/>
        <v>4.7558377273216399</v>
      </c>
      <c r="X104" s="62">
        <f t="shared" ca="1" si="34"/>
        <v>4.4759694719471952</v>
      </c>
      <c r="Y104" s="62">
        <f t="shared" ca="1" si="35"/>
        <v>7.479257073424753</v>
      </c>
      <c r="Z104" s="62">
        <f t="shared" ca="1" si="35"/>
        <v>5.8802649999999996</v>
      </c>
      <c r="AA104" s="62">
        <f t="shared" ca="1" si="35"/>
        <v>4.8030030000000004</v>
      </c>
      <c r="AB104" s="62">
        <f t="shared" ca="1" si="35"/>
        <v>5.2054470000000004</v>
      </c>
    </row>
    <row r="105" spans="1:28" x14ac:dyDescent="0.25">
      <c r="A105" s="50" t="str">
        <f t="shared" si="36"/>
        <v>PNM</v>
      </c>
      <c r="B105" s="45">
        <f t="shared" ca="1" si="38"/>
        <v>53</v>
      </c>
      <c r="C105" s="1">
        <f>IF(ISERROR(D105),"",IF(D105="","",MAX($C$73:C104)+1))</f>
        <v>31</v>
      </c>
      <c r="D105" t="str">
        <f t="shared" si="37"/>
        <v xml:space="preserve">PNM Resources                 </v>
      </c>
      <c r="E105" s="22"/>
      <c r="F105" s="62">
        <f t="shared" ca="1" si="32"/>
        <v>6.899035216809275</v>
      </c>
      <c r="G105" s="62">
        <f t="shared" si="27"/>
        <v>6.8731117824773413</v>
      </c>
      <c r="H105" s="62">
        <f t="shared" si="28"/>
        <v>6.949025487256371</v>
      </c>
      <c r="I105" s="62">
        <f t="shared" si="29"/>
        <v>7.8119800332778713</v>
      </c>
      <c r="J105" s="62">
        <f t="shared" ca="1" si="30"/>
        <v>7.8691671068850146</v>
      </c>
      <c r="K105" s="62">
        <f t="shared" ca="1" si="30"/>
        <v>7.9189189189189193</v>
      </c>
      <c r="L105" s="62">
        <f t="shared" ca="1" si="30"/>
        <v>7.5711778471138853</v>
      </c>
      <c r="M105" s="62">
        <f t="shared" ca="1" si="33"/>
        <v>7.4008303453481785</v>
      </c>
      <c r="N105" s="62">
        <f t="shared" ca="1" si="34"/>
        <v>7.6435412286848878</v>
      </c>
      <c r="O105" s="62">
        <f t="shared" ca="1" si="34"/>
        <v>6.9454499748617398</v>
      </c>
      <c r="P105" s="62">
        <f t="shared" ca="1" si="34"/>
        <v>7.4806629834254137</v>
      </c>
      <c r="Q105" s="62">
        <f t="shared" ca="1" si="34"/>
        <v>6.4745231995445494</v>
      </c>
      <c r="R105" s="62">
        <f t="shared" ca="1" si="34"/>
        <v>5.8023668639053252</v>
      </c>
      <c r="S105" s="62">
        <f t="shared" ca="1" si="34"/>
        <v>4.9386406544996859</v>
      </c>
      <c r="T105" s="62">
        <f t="shared" ca="1" si="34"/>
        <v>4.5815523059617549</v>
      </c>
      <c r="U105" s="62">
        <f t="shared" ca="1" si="34"/>
        <v>4.5271786022433131</v>
      </c>
      <c r="V105" s="62">
        <f t="shared" ca="1" si="34"/>
        <v>7.1007972665148058</v>
      </c>
      <c r="W105" s="62">
        <f t="shared" ca="1" si="34"/>
        <v>10.670736510437179</v>
      </c>
      <c r="X105" s="62">
        <f t="shared" ca="1" si="34"/>
        <v>7.4967814161768827</v>
      </c>
      <c r="Y105" s="62">
        <f t="shared" ca="1" si="35"/>
        <v>7.6200112422709383</v>
      </c>
      <c r="Z105" s="62">
        <f t="shared" ca="1" si="35"/>
        <v>6.8385860000000003</v>
      </c>
      <c r="AA105" s="62">
        <f t="shared" ca="1" si="35"/>
        <v>5.5484400000000003</v>
      </c>
      <c r="AB105" s="62">
        <f t="shared" ca="1" si="35"/>
        <v>5.7152950000000002</v>
      </c>
    </row>
    <row r="106" spans="1:28" x14ac:dyDescent="0.25">
      <c r="A106" s="50" t="str">
        <f t="shared" si="36"/>
        <v>POR</v>
      </c>
      <c r="B106" s="45">
        <f t="shared" ca="1" si="38"/>
        <v>54</v>
      </c>
      <c r="C106" s="1">
        <f>IF(ISERROR(D106),"",IF(D106="","",MAX($C$73:C105)+1))</f>
        <v>32</v>
      </c>
      <c r="D106" t="str">
        <f t="shared" si="37"/>
        <v xml:space="preserve">Portland General              </v>
      </c>
      <c r="E106" s="22"/>
      <c r="F106" s="62">
        <f t="shared" ca="1" si="32"/>
        <v>6.002629049587747</v>
      </c>
      <c r="G106" s="62">
        <f t="shared" si="27"/>
        <v>6.559297218155197</v>
      </c>
      <c r="H106" s="62">
        <f t="shared" si="28"/>
        <v>6.6531713900134948</v>
      </c>
      <c r="I106" s="62">
        <f t="shared" si="29"/>
        <v>6.475862068965518</v>
      </c>
      <c r="J106" s="62">
        <f t="shared" ca="1" si="30"/>
        <v>6.7193472508085854</v>
      </c>
      <c r="K106" s="62">
        <f t="shared" ca="1" si="30"/>
        <v>7.6505021520803442</v>
      </c>
      <c r="L106" s="62">
        <f t="shared" ca="1" si="30"/>
        <v>6.5622182146077543</v>
      </c>
      <c r="M106" s="62">
        <f t="shared" ca="1" si="33"/>
        <v>7.4455445544554459</v>
      </c>
      <c r="N106" s="62">
        <f t="shared" ca="1" si="34"/>
        <v>7.1232047066966606</v>
      </c>
      <c r="O106" s="62">
        <f t="shared" ca="1" si="34"/>
        <v>6.7269173492181684</v>
      </c>
      <c r="P106" s="62">
        <f t="shared" ca="1" si="34"/>
        <v>5.4877567789646671</v>
      </c>
      <c r="Q106" s="62">
        <f t="shared" ca="1" si="34"/>
        <v>6.0602434077079108</v>
      </c>
      <c r="R106" s="62">
        <f t="shared" ca="1" si="34"/>
        <v>5.0777000777000785</v>
      </c>
      <c r="S106" s="62">
        <f t="shared" ca="1" si="34"/>
        <v>4.8601652226475922</v>
      </c>
      <c r="T106" s="62">
        <f t="shared" ca="1" si="34"/>
        <v>4.1327800829875523</v>
      </c>
      <c r="U106" s="62">
        <f t="shared" ca="1" si="34"/>
        <v>4.6343081838289502</v>
      </c>
      <c r="V106" s="62">
        <f t="shared" ca="1" si="34"/>
        <v>4.8050487908358077</v>
      </c>
      <c r="W106" s="62">
        <f t="shared" ca="1" si="34"/>
        <v>5.3364019946298429</v>
      </c>
      <c r="X106" s="62">
        <f t="shared" ca="1" si="34"/>
        <v>5.7368534482758626</v>
      </c>
      <c r="Y106" s="62" t="str">
        <f t="shared" ca="1" si="35"/>
        <v>N/A</v>
      </c>
      <c r="Z106" s="62" t="str">
        <f t="shared" ca="1" si="35"/>
        <v>N/A</v>
      </c>
      <c r="AA106" s="62" t="str">
        <f t="shared" ca="1" si="35"/>
        <v>N/A</v>
      </c>
      <c r="AB106" s="62" t="str">
        <f t="shared" ca="1" si="35"/>
        <v>N/A</v>
      </c>
    </row>
    <row r="107" spans="1:28" x14ac:dyDescent="0.25">
      <c r="A107" s="50" t="str">
        <f t="shared" si="36"/>
        <v>PPL</v>
      </c>
      <c r="B107" s="45">
        <f t="shared" ca="1" si="38"/>
        <v>55</v>
      </c>
      <c r="C107" s="1">
        <f>IF(ISERROR(D107),"",IF(D107="","",MAX($C$73:C106)+1))</f>
        <v>33</v>
      </c>
      <c r="D107" t="str">
        <f t="shared" si="37"/>
        <v xml:space="preserve">PPL Corp.                     </v>
      </c>
      <c r="E107" s="22"/>
      <c r="F107" s="62">
        <f t="shared" ca="1" si="32"/>
        <v>7.8423176874111737</v>
      </c>
      <c r="G107" s="62">
        <f t="shared" si="27"/>
        <v>7.8343023255813948</v>
      </c>
      <c r="H107" s="62">
        <f t="shared" si="28"/>
        <v>8.8187702265372181</v>
      </c>
      <c r="I107" s="62">
        <f t="shared" si="29"/>
        <v>13.743961352657006</v>
      </c>
      <c r="J107" s="62">
        <f t="shared" ca="1" si="30"/>
        <v>7.4610338493833641</v>
      </c>
      <c r="K107" s="62">
        <f t="shared" ca="1" si="30"/>
        <v>7.986308316430021</v>
      </c>
      <c r="L107" s="62">
        <f t="shared" ca="1" si="30"/>
        <v>7.0220994475138117</v>
      </c>
      <c r="M107" s="62">
        <f t="shared" ca="1" si="33"/>
        <v>10.111593809394515</v>
      </c>
      <c r="N107" s="62">
        <f t="shared" ca="1" si="34"/>
        <v>8.3669939223936414</v>
      </c>
      <c r="O107" s="62">
        <f t="shared" ca="1" si="34"/>
        <v>8.7315329626687834</v>
      </c>
      <c r="P107" s="62">
        <f t="shared" ca="1" si="34"/>
        <v>7.3180428134556577</v>
      </c>
      <c r="Q107" s="62">
        <f t="shared" ca="1" si="34"/>
        <v>6.58935115326579</v>
      </c>
      <c r="R107" s="62">
        <f t="shared" ca="1" si="34"/>
        <v>5.8655514250309793</v>
      </c>
      <c r="S107" s="62">
        <f t="shared" ca="1" si="34"/>
        <v>5.9795206971677564</v>
      </c>
      <c r="T107" s="62">
        <f t="shared" ca="1" si="34"/>
        <v>7.4642076502732237</v>
      </c>
      <c r="U107" s="62">
        <f t="shared" ca="1" si="34"/>
        <v>8.821645021645022</v>
      </c>
      <c r="V107" s="62">
        <f t="shared" ca="1" si="34"/>
        <v>9.1652173913043473</v>
      </c>
      <c r="W107" s="62">
        <f t="shared" ca="1" si="34"/>
        <v>8.9002156439913733</v>
      </c>
      <c r="X107" s="62">
        <f t="shared" ca="1" si="34"/>
        <v>7.5813571260859351</v>
      </c>
      <c r="Y107" s="62">
        <f t="shared" ref="Y107:AB108" ca="1" si="39">IFERROR(IF(INDEX(MP_CF_WP,$B107,Y$74)=0,"N/A",INDEX(MP_CF_WP,$B107,Y$74)),"N/A")</f>
        <v>7.5679269882659712</v>
      </c>
      <c r="Z107" s="62">
        <f t="shared" ca="1" si="39"/>
        <v>6.493322</v>
      </c>
      <c r="AA107" s="62">
        <f t="shared" ca="1" si="39"/>
        <v>5.4071610000000003</v>
      </c>
      <c r="AB107" s="62">
        <f t="shared" ca="1" si="39"/>
        <v>5.3008740000000003</v>
      </c>
    </row>
    <row r="108" spans="1:28" x14ac:dyDescent="0.25">
      <c r="A108" s="50" t="str">
        <f t="shared" si="36"/>
        <v>PEG</v>
      </c>
      <c r="B108" s="45">
        <f t="shared" ca="1" si="38"/>
        <v>56</v>
      </c>
      <c r="C108" s="1">
        <f>IF(ISERROR(D108),"",IF(D108="","",MAX($C$73:C107)+1))</f>
        <v>34</v>
      </c>
      <c r="D108" t="str">
        <f t="shared" si="37"/>
        <v xml:space="preserve">Public Serv. Enterprise       </v>
      </c>
      <c r="E108" s="22"/>
      <c r="F108" s="62">
        <f t="shared" ca="1" si="32"/>
        <v>7.9499825199160918</v>
      </c>
      <c r="G108" s="62">
        <f t="shared" si="27"/>
        <v>9.675324675324676</v>
      </c>
      <c r="H108" s="62">
        <f t="shared" si="28"/>
        <v>10.534539473684211</v>
      </c>
      <c r="I108" s="62">
        <f t="shared" si="29"/>
        <v>11.320224719101123</v>
      </c>
      <c r="J108" s="62">
        <f t="shared" ca="1" si="30"/>
        <v>8.2221882640586799</v>
      </c>
      <c r="K108" s="62">
        <f t="shared" ca="1" si="30"/>
        <v>8.7174363528715215</v>
      </c>
      <c r="L108" s="62">
        <f t="shared" ca="1" si="30"/>
        <v>9.4849375459221168</v>
      </c>
      <c r="M108" s="62">
        <f t="shared" ca="1" si="33"/>
        <v>8.6703752592871961</v>
      </c>
      <c r="N108" s="62">
        <f t="shared" ca="1" si="34"/>
        <v>8.5649773220272145</v>
      </c>
      <c r="O108" s="62">
        <f t="shared" ca="1" si="34"/>
        <v>6.6634130470148039</v>
      </c>
      <c r="P108" s="62">
        <f t="shared" ca="1" si="34"/>
        <v>6.4780144280316048</v>
      </c>
      <c r="Q108" s="62">
        <f t="shared" ca="1" si="34"/>
        <v>6.4036786060019368</v>
      </c>
      <c r="R108" s="62">
        <f t="shared" ca="1" si="34"/>
        <v>6.4006153846153842</v>
      </c>
      <c r="S108" s="62">
        <f t="shared" ca="1" si="34"/>
        <v>6.0311567164179101</v>
      </c>
      <c r="T108" s="62">
        <f t="shared" ca="1" si="34"/>
        <v>6.0390817681654339</v>
      </c>
      <c r="U108" s="62">
        <f t="shared" ca="1" si="34"/>
        <v>6.2038523274478337</v>
      </c>
      <c r="V108" s="62">
        <f t="shared" ca="1" si="34"/>
        <v>8.4593843522873033</v>
      </c>
      <c r="W108" s="62">
        <f t="shared" ca="1" si="34"/>
        <v>9.8315741165672321</v>
      </c>
      <c r="X108" s="62">
        <f t="shared" ca="1" si="34"/>
        <v>8.4095213718965969</v>
      </c>
      <c r="Y108" s="62">
        <f t="shared" ca="1" si="39"/>
        <v>8.5944997074312468</v>
      </c>
      <c r="Z108" s="62">
        <f t="shared" ca="1" si="39"/>
        <v>7.1653440000000002</v>
      </c>
      <c r="AA108" s="62">
        <f t="shared" ca="1" si="39"/>
        <v>6.7910959999999996</v>
      </c>
      <c r="AB108" s="62">
        <f t="shared" ca="1" si="39"/>
        <v>6.2383800000000003</v>
      </c>
    </row>
    <row r="109" spans="1:28" x14ac:dyDescent="0.25">
      <c r="A109" s="50" t="str">
        <f t="shared" si="36"/>
        <v>SCG</v>
      </c>
      <c r="B109" s="45">
        <f t="shared" ca="1" si="38"/>
        <v>57</v>
      </c>
      <c r="C109" s="1">
        <f>IF(ISERROR(D109),"",IF(D109="","",MAX($C$73:C108)+1))</f>
        <v>35</v>
      </c>
      <c r="D109" t="str">
        <f t="shared" si="37"/>
        <v xml:space="preserve">SCANA Corp.                   </v>
      </c>
      <c r="E109" s="22"/>
      <c r="F109" s="62">
        <f t="shared" ca="1" si="32"/>
        <v>7.0934372697415329</v>
      </c>
      <c r="G109" s="62" t="str">
        <f t="shared" si="27"/>
        <v>N/A</v>
      </c>
      <c r="H109" s="62" t="str">
        <f t="shared" si="28"/>
        <v>N/A</v>
      </c>
      <c r="I109" s="62" t="str">
        <f t="shared" si="29"/>
        <v>N/A</v>
      </c>
      <c r="J109" s="62" t="str">
        <f t="shared" ca="1" si="30"/>
        <v>N/A</v>
      </c>
      <c r="K109" s="62" t="str">
        <f t="shared" ca="1" si="30"/>
        <v>N/A</v>
      </c>
      <c r="L109" s="62" t="str">
        <f t="shared" ca="1" si="30"/>
        <v>N/A</v>
      </c>
      <c r="M109" s="62">
        <f t="shared" ca="1" si="33"/>
        <v>8.2625850340136058</v>
      </c>
      <c r="N109" s="62">
        <f t="shared" ca="1" si="34"/>
        <v>9.5910775566231976</v>
      </c>
      <c r="O109" s="62">
        <f t="shared" ca="1" si="34"/>
        <v>8.3345763723150359</v>
      </c>
      <c r="P109" s="62">
        <f t="shared" ca="1" si="34"/>
        <v>7.5013024602026048</v>
      </c>
      <c r="Q109" s="62">
        <f t="shared" ca="1" si="34"/>
        <v>7.4871402327005505</v>
      </c>
      <c r="R109" s="62">
        <f t="shared" ref="R109:AB109" ca="1" si="40">IFERROR(IF(INDEX(MP_CF_WP,$B109,R$74)=0,"N/A",INDEX(MP_CF_WP,$B109,R$74)),"N/A")</f>
        <v>7.3960019038553071</v>
      </c>
      <c r="S109" s="62">
        <f t="shared" ca="1" si="40"/>
        <v>6.7523698652918673</v>
      </c>
      <c r="T109" s="62">
        <f t="shared" ca="1" si="40"/>
        <v>6.5238659444820577</v>
      </c>
      <c r="U109" s="62">
        <f t="shared" ca="1" si="40"/>
        <v>5.8802129547471162</v>
      </c>
      <c r="V109" s="62">
        <f t="shared" ca="1" si="40"/>
        <v>6.3791396381017416</v>
      </c>
      <c r="W109" s="62">
        <f t="shared" ca="1" si="40"/>
        <v>7.1470177886292294</v>
      </c>
      <c r="X109" s="62">
        <f t="shared" ca="1" si="40"/>
        <v>7.0274502903396092</v>
      </c>
      <c r="Y109" s="62">
        <f t="shared" ca="1" si="40"/>
        <v>5.4041722745625842</v>
      </c>
      <c r="Z109" s="62">
        <f t="shared" ca="1" si="40"/>
        <v>6.8624739999999997</v>
      </c>
      <c r="AA109" s="62">
        <f t="shared" ca="1" si="40"/>
        <v>6.5898159999999999</v>
      </c>
      <c r="AB109" s="62">
        <f t="shared" ca="1" si="40"/>
        <v>6.3557940000000004</v>
      </c>
    </row>
    <row r="110" spans="1:28" x14ac:dyDescent="0.25">
      <c r="A110" s="50" t="str">
        <f t="shared" si="36"/>
        <v>SRE</v>
      </c>
      <c r="B110" s="45">
        <f t="shared" ca="1" si="38"/>
        <v>58</v>
      </c>
      <c r="C110" s="1">
        <f>IF(ISERROR(D110),"",IF(D110="","",MAX($C$73:C109)+1))</f>
        <v>36</v>
      </c>
      <c r="D110" t="str">
        <f t="shared" si="37"/>
        <v xml:space="preserve">Sempra Energy                 </v>
      </c>
      <c r="E110" s="22"/>
      <c r="F110" s="62">
        <f t="shared" ca="1" si="32"/>
        <v>8.4539795212149116</v>
      </c>
      <c r="G110" s="62">
        <f t="shared" si="27"/>
        <v>8.9325153374233128</v>
      </c>
      <c r="H110" s="62">
        <f t="shared" si="28"/>
        <v>9.7515923566878975</v>
      </c>
      <c r="I110" s="62">
        <f t="shared" si="29"/>
        <v>13.231396534148828</v>
      </c>
      <c r="J110" s="62">
        <f t="shared" ca="1" si="30"/>
        <v>10.401450443190974</v>
      </c>
      <c r="K110" s="62">
        <f t="shared" ca="1" si="30"/>
        <v>12.049708389412293</v>
      </c>
      <c r="L110" s="62">
        <f t="shared" ca="1" si="30"/>
        <v>10.101554029634984</v>
      </c>
      <c r="M110" s="62">
        <f t="shared" ca="1" si="33"/>
        <v>10.653522458628842</v>
      </c>
      <c r="N110" s="62">
        <f t="shared" ref="N110:AB119" ca="1" si="41">IFERROR(IF(INDEX(MP_CF_WP,$B110,N$74)=0,"N/A",INDEX(MP_CF_WP,$B110,N$74)),"N/A")</f>
        <v>10.880185302168879</v>
      </c>
      <c r="O110" s="62">
        <f t="shared" ca="1" si="41"/>
        <v>9.9947684557256355</v>
      </c>
      <c r="P110" s="62">
        <f t="shared" ca="1" si="41"/>
        <v>10.766000425260472</v>
      </c>
      <c r="Q110" s="62">
        <f t="shared" ca="1" si="41"/>
        <v>9.3668245376635095</v>
      </c>
      <c r="R110" s="62">
        <f t="shared" ca="1" si="41"/>
        <v>7.2571716718960122</v>
      </c>
      <c r="S110" s="62">
        <f t="shared" ca="1" si="41"/>
        <v>6.1345458785123004</v>
      </c>
      <c r="T110" s="62">
        <f t="shared" ca="1" si="41"/>
        <v>6.5281072717895814</v>
      </c>
      <c r="U110" s="62">
        <f t="shared" ca="1" si="41"/>
        <v>6.0718871962734484</v>
      </c>
      <c r="V110" s="62">
        <f t="shared" ca="1" si="41"/>
        <v>7.0656934306569346</v>
      </c>
      <c r="W110" s="62">
        <f t="shared" ca="1" si="41"/>
        <v>8.6065195442088562</v>
      </c>
      <c r="X110" s="62">
        <f t="shared" ca="1" si="41"/>
        <v>7.222090261282661</v>
      </c>
      <c r="Y110" s="62">
        <f t="shared" ca="1" si="41"/>
        <v>6.9599329421626148</v>
      </c>
      <c r="Z110" s="62">
        <f t="shared" ca="1" si="41"/>
        <v>5.163653</v>
      </c>
      <c r="AA110" s="62">
        <f t="shared" ca="1" si="41"/>
        <v>4.8501799999999999</v>
      </c>
      <c r="AB110" s="62">
        <f t="shared" ca="1" si="41"/>
        <v>3.9982500000000001</v>
      </c>
    </row>
    <row r="111" spans="1:28" x14ac:dyDescent="0.25">
      <c r="A111" s="50" t="str">
        <f t="shared" si="36"/>
        <v>SO</v>
      </c>
      <c r="B111" s="45">
        <f t="shared" ca="1" si="38"/>
        <v>62</v>
      </c>
      <c r="C111" s="1">
        <f>IF(ISERROR(D111),"",IF(D111="","",MAX($C$73:C110)+1))</f>
        <v>37</v>
      </c>
      <c r="D111" t="str">
        <f t="shared" si="37"/>
        <v xml:space="preserve">Southern Co.                  </v>
      </c>
      <c r="E111" s="22"/>
      <c r="F111" s="62">
        <f t="shared" ca="1" si="32"/>
        <v>8.2887645229447493</v>
      </c>
      <c r="G111" s="62">
        <f t="shared" si="27"/>
        <v>8.6392811296534013</v>
      </c>
      <c r="H111" s="62">
        <f t="shared" si="28"/>
        <v>9.6253405994550416</v>
      </c>
      <c r="I111" s="62">
        <f t="shared" si="29"/>
        <v>8.7222222222222232</v>
      </c>
      <c r="J111" s="62">
        <f t="shared" ca="1" si="30"/>
        <v>8.3432707467392859</v>
      </c>
      <c r="K111" s="62">
        <f t="shared" ca="1" si="30"/>
        <v>8.801357966208748</v>
      </c>
      <c r="L111" s="62">
        <f t="shared" ca="1" si="30"/>
        <v>7.0469432314410483</v>
      </c>
      <c r="M111" s="62">
        <f t="shared" ca="1" si="33"/>
        <v>7.4877975293763184</v>
      </c>
      <c r="N111" s="62">
        <f t="shared" ca="1" si="41"/>
        <v>8.832337434094903</v>
      </c>
      <c r="O111" s="62">
        <f t="shared" ca="1" si="41"/>
        <v>8.2270151709011152</v>
      </c>
      <c r="P111" s="62">
        <f t="shared" ca="1" si="41"/>
        <v>8.4186398939193037</v>
      </c>
      <c r="Q111" s="62">
        <f t="shared" ca="1" si="41"/>
        <v>8.2988985947588301</v>
      </c>
      <c r="R111" s="62">
        <f t="shared" ca="1" si="41"/>
        <v>8.7459459459459463</v>
      </c>
      <c r="S111" s="62">
        <f t="shared" ca="1" si="41"/>
        <v>8.2234432234432226</v>
      </c>
      <c r="T111" s="62">
        <f t="shared" ca="1" si="41"/>
        <v>7.7901617549302014</v>
      </c>
      <c r="U111" s="62">
        <f t="shared" ca="1" si="41"/>
        <v>7.0776173285198549</v>
      </c>
      <c r="V111" s="62">
        <f t="shared" ca="1" si="41"/>
        <v>8.1835814163283711</v>
      </c>
      <c r="W111" s="62">
        <f t="shared" ca="1" si="41"/>
        <v>8.6184834123222753</v>
      </c>
      <c r="X111" s="62">
        <f t="shared" ca="1" si="41"/>
        <v>8.4714677298778973</v>
      </c>
      <c r="Y111" s="62">
        <f t="shared" ca="1" si="41"/>
        <v>8.4108161746464916</v>
      </c>
      <c r="Z111" s="62">
        <f t="shared" ca="1" si="41"/>
        <v>8.2763340000000003</v>
      </c>
      <c r="AA111" s="62">
        <f t="shared" ca="1" si="41"/>
        <v>8.2793989999999997</v>
      </c>
      <c r="AB111" s="62">
        <f t="shared" ca="1" si="41"/>
        <v>7.832465</v>
      </c>
    </row>
    <row r="112" spans="1:28" x14ac:dyDescent="0.25">
      <c r="A112" s="50" t="str">
        <f t="shared" si="36"/>
        <v>VVC</v>
      </c>
      <c r="B112" s="45">
        <f t="shared" ca="1" si="38"/>
        <v>70</v>
      </c>
      <c r="C112" s="1">
        <f>IF(ISERROR(D112),"",IF(D112="","",MAX($C$73:C111)+1))</f>
        <v>38</v>
      </c>
      <c r="D112" t="str">
        <f t="shared" si="37"/>
        <v xml:space="preserve">Vectren Corp.                 </v>
      </c>
      <c r="E112" s="22"/>
      <c r="F112" s="62">
        <f t="shared" ca="1" si="32"/>
        <v>7.078196483053353</v>
      </c>
      <c r="G112" s="62" t="str">
        <f t="shared" si="27"/>
        <v>N/A</v>
      </c>
      <c r="H112" s="62" t="str">
        <f t="shared" si="28"/>
        <v>N/A</v>
      </c>
      <c r="I112" s="62" t="str">
        <f t="shared" si="29"/>
        <v>N/A</v>
      </c>
      <c r="J112" s="62" t="str">
        <f t="shared" ca="1" si="30"/>
        <v>N/A</v>
      </c>
      <c r="K112" s="62" t="str">
        <f t="shared" ca="1" si="30"/>
        <v>N/A</v>
      </c>
      <c r="L112" s="62" t="str">
        <f t="shared" ca="1" si="30"/>
        <v>N/A</v>
      </c>
      <c r="M112" s="62">
        <f t="shared" ca="1" si="33"/>
        <v>10.31939291736931</v>
      </c>
      <c r="N112" s="62">
        <f t="shared" ca="1" si="41"/>
        <v>8.5962383547196346</v>
      </c>
      <c r="O112" s="62">
        <f t="shared" ca="1" si="41"/>
        <v>7.8192771084337362</v>
      </c>
      <c r="P112" s="62">
        <f t="shared" ca="1" si="41"/>
        <v>7.5717501406865502</v>
      </c>
      <c r="Q112" s="62">
        <f t="shared" ca="1" si="41"/>
        <v>6.8210379797176373</v>
      </c>
      <c r="R112" s="62">
        <f t="shared" ca="1" si="41"/>
        <v>5.7899443561208273</v>
      </c>
      <c r="S112" s="62">
        <f t="shared" ca="1" si="41"/>
        <v>5.8104838709677429</v>
      </c>
      <c r="T112" s="62">
        <f t="shared" ca="1" si="41"/>
        <v>5.5771222697590632</v>
      </c>
      <c r="U112" s="62">
        <f t="shared" ca="1" si="41"/>
        <v>5.2428993410588509</v>
      </c>
      <c r="V112" s="62">
        <f t="shared" ca="1" si="41"/>
        <v>6.9016393442622945</v>
      </c>
      <c r="W112" s="62">
        <f t="shared" ca="1" si="41"/>
        <v>6.5349324639031217</v>
      </c>
      <c r="X112" s="62">
        <f t="shared" ca="1" si="41"/>
        <v>7.3743909041689228</v>
      </c>
      <c r="Y112" s="62">
        <f t="shared" ca="1" si="41"/>
        <v>7.0612086776859506</v>
      </c>
      <c r="Z112" s="62">
        <f t="shared" ca="1" si="41"/>
        <v>7.6323040000000004</v>
      </c>
      <c r="AA112" s="62">
        <f t="shared" ca="1" si="41"/>
        <v>7.2745040000000003</v>
      </c>
      <c r="AB112" s="62">
        <f t="shared" ca="1" si="41"/>
        <v>6.9240180000000002</v>
      </c>
    </row>
    <row r="113" spans="1:28" x14ac:dyDescent="0.25">
      <c r="A113" s="50" t="str">
        <f t="shared" si="36"/>
        <v>WEC</v>
      </c>
      <c r="B113" s="45">
        <f t="shared" ca="1" si="38"/>
        <v>71</v>
      </c>
      <c r="C113" s="1">
        <f>IF(ISERROR(D113),"",IF(D113="","",MAX($C$73:C112)+1))</f>
        <v>39</v>
      </c>
      <c r="D113" t="str">
        <f t="shared" si="37"/>
        <v>WEC Energy Group</v>
      </c>
      <c r="E113" s="22"/>
      <c r="F113" s="62">
        <f t="shared" ca="1" si="32"/>
        <v>9.2390735856510382</v>
      </c>
      <c r="G113" s="62">
        <f t="shared" si="27"/>
        <v>10.11574074074074</v>
      </c>
      <c r="H113" s="62">
        <f t="shared" si="28"/>
        <v>11.81023720349563</v>
      </c>
      <c r="I113" s="62">
        <f t="shared" si="29"/>
        <v>11.985391766268259</v>
      </c>
      <c r="J113" s="62">
        <f t="shared" ca="1" si="30"/>
        <v>13.673238619889823</v>
      </c>
      <c r="K113" s="62">
        <f t="shared" ca="1" si="30"/>
        <v>12.879595588235295</v>
      </c>
      <c r="L113" s="62">
        <f t="shared" ca="1" si="30"/>
        <v>10.823120238489565</v>
      </c>
      <c r="M113" s="62">
        <f t="shared" ca="1" si="33"/>
        <v>11.043760984182775</v>
      </c>
      <c r="N113" s="62">
        <f t="shared" ca="1" si="41"/>
        <v>10.951956965312558</v>
      </c>
      <c r="O113" s="62">
        <f t="shared" ca="1" si="41"/>
        <v>12.896150865409455</v>
      </c>
      <c r="P113" s="62">
        <f t="shared" ca="1" si="41"/>
        <v>10.266114592658909</v>
      </c>
      <c r="Q113" s="62">
        <f t="shared" ca="1" si="41"/>
        <v>9.5760517799352769</v>
      </c>
      <c r="R113" s="62">
        <f t="shared" ca="1" si="41"/>
        <v>9.2385229540918168</v>
      </c>
      <c r="S113" s="62">
        <f t="shared" ca="1" si="41"/>
        <v>8.4315960912052113</v>
      </c>
      <c r="T113" s="62">
        <f t="shared" ca="1" si="41"/>
        <v>8.1465778316172006</v>
      </c>
      <c r="U113" s="62">
        <f t="shared" ca="1" si="41"/>
        <v>6.8706563706563699</v>
      </c>
      <c r="V113" s="62">
        <f t="shared" ca="1" si="41"/>
        <v>7.5732656514382404</v>
      </c>
      <c r="W113" s="62">
        <f t="shared" ca="1" si="41"/>
        <v>7.8410995641971173</v>
      </c>
      <c r="X113" s="62">
        <f t="shared" ca="1" si="41"/>
        <v>7.2726017943409245</v>
      </c>
      <c r="Y113" s="62">
        <f t="shared" ca="1" si="41"/>
        <v>6.4014522821576767</v>
      </c>
      <c r="Z113" s="62">
        <f t="shared" ca="1" si="41"/>
        <v>6.2742060000000004</v>
      </c>
      <c r="AA113" s="62">
        <f t="shared" ca="1" si="41"/>
        <v>4.9149459999999996</v>
      </c>
      <c r="AB113" s="62">
        <f t="shared" ca="1" si="41"/>
        <v>4.2733350000000003</v>
      </c>
    </row>
    <row r="114" spans="1:28" x14ac:dyDescent="0.25">
      <c r="A114" s="50" t="str">
        <f t="shared" si="36"/>
        <v>WR</v>
      </c>
      <c r="B114" s="45">
        <f t="shared" ca="1" si="38"/>
        <v>72</v>
      </c>
      <c r="C114" s="1">
        <f>IF(ISERROR(D114),"",IF(D114="","",MAX($C$73:C113)+1))</f>
        <v>40</v>
      </c>
      <c r="D114" t="str">
        <f t="shared" si="37"/>
        <v xml:space="preserve">Westar Energy                 </v>
      </c>
      <c r="E114" s="22"/>
      <c r="F114" s="62">
        <f t="shared" ca="1" si="32"/>
        <v>6.9143518980145302</v>
      </c>
      <c r="G114" s="62" t="str">
        <f t="shared" si="27"/>
        <v>N/A</v>
      </c>
      <c r="H114" s="62" t="str">
        <f t="shared" si="28"/>
        <v>N/A</v>
      </c>
      <c r="I114" s="62" t="str">
        <f t="shared" si="29"/>
        <v>N/A</v>
      </c>
      <c r="J114" s="62" t="str">
        <f t="shared" ca="1" si="30"/>
        <v>N/A</v>
      </c>
      <c r="K114" s="62" t="str">
        <f t="shared" ca="1" si="30"/>
        <v>N/A</v>
      </c>
      <c r="L114" s="62" t="str">
        <f t="shared" ca="1" si="30"/>
        <v>N/A</v>
      </c>
      <c r="M114" s="62">
        <f t="shared" ca="1" si="33"/>
        <v>10.86734693877551</v>
      </c>
      <c r="N114" s="62">
        <f t="shared" ca="1" si="41"/>
        <v>10.855546357615895</v>
      </c>
      <c r="O114" s="62">
        <f t="shared" ca="1" si="41"/>
        <v>9.0473844710297922</v>
      </c>
      <c r="P114" s="62">
        <f t="shared" ca="1" si="41"/>
        <v>7.92512077294686</v>
      </c>
      <c r="Q114" s="62">
        <f t="shared" ca="1" si="41"/>
        <v>7.2319564230594651</v>
      </c>
      <c r="R114" s="62">
        <f t="shared" ca="1" si="41"/>
        <v>6.7148837209302323</v>
      </c>
      <c r="S114" s="62">
        <f t="shared" ca="1" si="41"/>
        <v>6.6716267339218156</v>
      </c>
      <c r="T114" s="62">
        <f t="shared" ca="1" si="41"/>
        <v>5.5069657615112151</v>
      </c>
      <c r="U114" s="62">
        <f t="shared" ca="1" si="41"/>
        <v>5.3247982187586977</v>
      </c>
      <c r="V114" s="62">
        <f t="shared" ca="1" si="41"/>
        <v>7.0880382775119619</v>
      </c>
      <c r="W114" s="62">
        <f t="shared" ca="1" si="41"/>
        <v>6.875993640699523</v>
      </c>
      <c r="X114" s="62">
        <f t="shared" ca="1" si="41"/>
        <v>5.8074581430745811</v>
      </c>
      <c r="Y114" s="62">
        <f t="shared" ca="1" si="41"/>
        <v>6.9972519083969464</v>
      </c>
      <c r="Z114" s="62">
        <f t="shared" ca="1" si="41"/>
        <v>6.538462</v>
      </c>
      <c r="AA114" s="62">
        <f t="shared" ca="1" si="41"/>
        <v>4.2357319999999996</v>
      </c>
      <c r="AB114" s="62">
        <f t="shared" ca="1" si="41"/>
        <v>2.941065</v>
      </c>
    </row>
    <row r="115" spans="1:28" x14ac:dyDescent="0.25">
      <c r="A115" s="50" t="str">
        <f t="shared" si="36"/>
        <v>XEL</v>
      </c>
      <c r="B115" s="45">
        <f t="shared" ca="1" si="38"/>
        <v>74</v>
      </c>
      <c r="C115" s="1">
        <f>IF(ISERROR(D115),"",IF(D115="","",MAX($C$73:C114)+1))</f>
        <v>41</v>
      </c>
      <c r="D115" t="str">
        <f t="shared" si="37"/>
        <v xml:space="preserve">Xcel Energy Inc.              </v>
      </c>
      <c r="E115" s="22"/>
      <c r="F115" s="62">
        <f t="shared" ca="1" si="32"/>
        <v>7.0529302610724081</v>
      </c>
      <c r="G115" s="62">
        <f t="shared" si="27"/>
        <v>7.958542713567839</v>
      </c>
      <c r="H115" s="62">
        <f t="shared" si="28"/>
        <v>8.6171574903969272</v>
      </c>
      <c r="I115" s="62">
        <f t="shared" si="29"/>
        <v>9.187853107344635</v>
      </c>
      <c r="J115" s="62">
        <f t="shared" ca="1" si="30"/>
        <v>10.071957671957673</v>
      </c>
      <c r="K115" s="62">
        <f t="shared" ca="1" si="30"/>
        <v>9.4429143314651718</v>
      </c>
      <c r="L115" s="62">
        <f t="shared" ca="1" si="30"/>
        <v>7.9019939168638054</v>
      </c>
      <c r="M115" s="62">
        <f t="shared" ca="1" si="33"/>
        <v>8.5000914913083268</v>
      </c>
      <c r="N115" s="62">
        <f t="shared" ca="1" si="41"/>
        <v>8.0961729129486422</v>
      </c>
      <c r="O115" s="62">
        <f t="shared" ca="1" si="41"/>
        <v>7.6210226025894219</v>
      </c>
      <c r="P115" s="62">
        <f t="shared" ca="1" si="41"/>
        <v>7.314819136522754</v>
      </c>
      <c r="Q115" s="62">
        <f t="shared" ca="1" si="41"/>
        <v>7.0043891733723482</v>
      </c>
      <c r="R115" s="62">
        <f t="shared" ca="1" si="41"/>
        <v>6.8532866783304174</v>
      </c>
      <c r="S115" s="62">
        <f t="shared" ca="1" si="41"/>
        <v>6.4721268163804488</v>
      </c>
      <c r="T115" s="62">
        <f t="shared" ca="1" si="41"/>
        <v>6.2759111617312078</v>
      </c>
      <c r="U115" s="62">
        <f t="shared" ca="1" si="41"/>
        <v>5.4270923209663504</v>
      </c>
      <c r="V115" s="62">
        <f t="shared" ca="1" si="41"/>
        <v>5.7058823529411766</v>
      </c>
      <c r="W115" s="62">
        <f t="shared" ca="1" si="41"/>
        <v>6.5089751013317887</v>
      </c>
      <c r="X115" s="62">
        <f t="shared" ca="1" si="41"/>
        <v>5.5397837538120314</v>
      </c>
      <c r="Y115" s="62">
        <f t="shared" ca="1" si="41"/>
        <v>5.6238560097620498</v>
      </c>
      <c r="Z115" s="62">
        <f t="shared" ca="1" si="41"/>
        <v>5.3087289999999996</v>
      </c>
      <c r="AA115" s="62">
        <f t="shared" ca="1" si="41"/>
        <v>4.2676220000000002</v>
      </c>
      <c r="AB115" s="62">
        <f t="shared" ca="1" si="41"/>
        <v>5.4642860000000004</v>
      </c>
    </row>
    <row r="116" spans="1:28" hidden="1" x14ac:dyDescent="0.25">
      <c r="A116" s="50">
        <f t="shared" si="36"/>
        <v>0</v>
      </c>
      <c r="B116" s="45" t="str">
        <f t="shared" ca="1" si="38"/>
        <v/>
      </c>
      <c r="C116" s="1" t="str">
        <f>IF(ISERROR(D116),"",IF(D116="","",MAX($C$73:C115)+1))</f>
        <v/>
      </c>
      <c r="D116" t="e">
        <f t="shared" si="37"/>
        <v>#N/A</v>
      </c>
      <c r="E116" s="22"/>
      <c r="F116" s="62" t="str">
        <f t="shared" ca="1" si="32"/>
        <v>N/A</v>
      </c>
      <c r="G116" s="62" t="str">
        <f t="shared" si="27"/>
        <v>N/A</v>
      </c>
      <c r="H116" s="62" t="str">
        <f t="shared" si="28"/>
        <v>N/A</v>
      </c>
      <c r="I116" s="62" t="str">
        <f t="shared" si="29"/>
        <v>N/A</v>
      </c>
      <c r="J116" s="62" t="str">
        <f t="shared" ca="1" si="30"/>
        <v>N/A</v>
      </c>
      <c r="K116" s="62" t="str">
        <f t="shared" ca="1" si="30"/>
        <v>N/A</v>
      </c>
      <c r="L116" s="62" t="str">
        <f t="shared" ca="1" si="30"/>
        <v>N/A</v>
      </c>
      <c r="M116" s="62" t="str">
        <f t="shared" ca="1" si="33"/>
        <v>N/A</v>
      </c>
      <c r="N116" s="62"/>
      <c r="O116" s="62" t="str">
        <f t="shared" ca="1" si="41"/>
        <v>N/A</v>
      </c>
      <c r="P116" s="62" t="str">
        <f t="shared" ca="1" si="41"/>
        <v>N/A</v>
      </c>
      <c r="Q116" s="62" t="str">
        <f t="shared" ca="1" si="41"/>
        <v>N/A</v>
      </c>
      <c r="R116" s="62" t="str">
        <f t="shared" ca="1" si="41"/>
        <v>N/A</v>
      </c>
      <c r="S116" s="62" t="str">
        <f t="shared" ca="1" si="41"/>
        <v>N/A</v>
      </c>
      <c r="T116" s="62" t="str">
        <f t="shared" ca="1" si="41"/>
        <v>N/A</v>
      </c>
      <c r="U116" s="62" t="str">
        <f t="shared" ca="1" si="41"/>
        <v>N/A</v>
      </c>
      <c r="V116" s="62" t="str">
        <f t="shared" ca="1" si="41"/>
        <v>N/A</v>
      </c>
      <c r="W116" s="62" t="str">
        <f t="shared" ca="1" si="41"/>
        <v>N/A</v>
      </c>
      <c r="X116" s="62" t="str">
        <f t="shared" ca="1" si="41"/>
        <v>N/A</v>
      </c>
      <c r="Y116" s="62" t="str">
        <f t="shared" ca="1" si="41"/>
        <v>N/A</v>
      </c>
      <c r="Z116" s="62" t="str">
        <f t="shared" ca="1" si="41"/>
        <v>N/A</v>
      </c>
      <c r="AA116" s="62" t="str">
        <f t="shared" ca="1" si="41"/>
        <v>N/A</v>
      </c>
      <c r="AB116" s="62" t="str">
        <f t="shared" ca="1" si="41"/>
        <v>N/A</v>
      </c>
    </row>
    <row r="117" spans="1:28" hidden="1" x14ac:dyDescent="0.25">
      <c r="A117" s="50">
        <f t="shared" si="36"/>
        <v>0</v>
      </c>
      <c r="B117" s="45" t="str">
        <f t="shared" ca="1" si="38"/>
        <v/>
      </c>
      <c r="C117" s="1" t="str">
        <f>IF(ISERROR(D117),"",IF(D117="","",MAX($C$73:C116)+1))</f>
        <v/>
      </c>
      <c r="D117" t="e">
        <f t="shared" si="37"/>
        <v>#N/A</v>
      </c>
      <c r="F117" s="62" t="str">
        <f t="shared" ca="1" si="32"/>
        <v>N/A</v>
      </c>
      <c r="G117" s="62" t="str">
        <f t="shared" si="27"/>
        <v>N/A</v>
      </c>
      <c r="H117" s="62" t="str">
        <f t="shared" si="28"/>
        <v>N/A</v>
      </c>
      <c r="I117" s="62" t="str">
        <f t="shared" si="29"/>
        <v>N/A</v>
      </c>
      <c r="J117" s="62" t="str">
        <f t="shared" ca="1" si="30"/>
        <v>N/A</v>
      </c>
      <c r="K117" s="62" t="str">
        <f t="shared" ca="1" si="30"/>
        <v>N/A</v>
      </c>
      <c r="L117" s="62" t="str">
        <f t="shared" ca="1" si="30"/>
        <v>N/A</v>
      </c>
      <c r="M117" s="62" t="str">
        <f t="shared" ca="1" si="33"/>
        <v>N/A</v>
      </c>
      <c r="N117" s="62"/>
      <c r="O117" s="62" t="str">
        <f t="shared" ca="1" si="41"/>
        <v>N/A</v>
      </c>
      <c r="P117" s="62" t="str">
        <f t="shared" ca="1" si="41"/>
        <v>N/A</v>
      </c>
      <c r="Q117" s="62" t="str">
        <f t="shared" ca="1" si="41"/>
        <v>N/A</v>
      </c>
      <c r="R117" s="62" t="str">
        <f t="shared" ca="1" si="41"/>
        <v>N/A</v>
      </c>
      <c r="S117" s="62" t="str">
        <f t="shared" ca="1" si="41"/>
        <v>N/A</v>
      </c>
      <c r="T117" s="62" t="str">
        <f t="shared" ca="1" si="41"/>
        <v>N/A</v>
      </c>
      <c r="U117" s="62" t="str">
        <f t="shared" ca="1" si="41"/>
        <v>N/A</v>
      </c>
      <c r="V117" s="62" t="str">
        <f t="shared" ca="1" si="41"/>
        <v>N/A</v>
      </c>
      <c r="W117" s="62" t="str">
        <f t="shared" ca="1" si="41"/>
        <v>N/A</v>
      </c>
      <c r="X117" s="62" t="str">
        <f t="shared" ca="1" si="41"/>
        <v>N/A</v>
      </c>
      <c r="Y117" s="62" t="str">
        <f t="shared" ca="1" si="41"/>
        <v>N/A</v>
      </c>
      <c r="Z117" s="62" t="str">
        <f t="shared" ca="1" si="41"/>
        <v>N/A</v>
      </c>
      <c r="AA117" s="62" t="str">
        <f t="shared" ca="1" si="41"/>
        <v>N/A</v>
      </c>
      <c r="AB117" s="62" t="str">
        <f t="shared" ca="1" si="41"/>
        <v>N/A</v>
      </c>
    </row>
    <row r="118" spans="1:28" hidden="1" x14ac:dyDescent="0.25">
      <c r="A118" s="50">
        <f t="shared" si="36"/>
        <v>0</v>
      </c>
      <c r="B118" s="45" t="str">
        <f t="shared" ca="1" si="38"/>
        <v/>
      </c>
      <c r="C118" s="1" t="str">
        <f>IF(ISERROR(D118),"",IF(D118="","",MAX($C$73:C117)+1))</f>
        <v/>
      </c>
      <c r="D118" t="e">
        <f t="shared" si="37"/>
        <v>#N/A</v>
      </c>
      <c r="F118" s="62" t="str">
        <f t="shared" ca="1" si="32"/>
        <v>N/A</v>
      </c>
      <c r="G118" s="62" t="str">
        <f t="shared" si="27"/>
        <v>N/A</v>
      </c>
      <c r="H118" s="62" t="str">
        <f t="shared" si="28"/>
        <v>N/A</v>
      </c>
      <c r="I118" s="62" t="str">
        <f t="shared" si="29"/>
        <v>N/A</v>
      </c>
      <c r="J118" s="62" t="str">
        <f t="shared" ca="1" si="30"/>
        <v>N/A</v>
      </c>
      <c r="K118" s="62" t="str">
        <f t="shared" ca="1" si="30"/>
        <v>N/A</v>
      </c>
      <c r="L118" s="62" t="str">
        <f t="shared" ca="1" si="30"/>
        <v>N/A</v>
      </c>
      <c r="M118" s="62" t="str">
        <f t="shared" ca="1" si="33"/>
        <v>N/A</v>
      </c>
      <c r="N118" s="62"/>
      <c r="O118" s="62" t="str">
        <f t="shared" ca="1" si="41"/>
        <v>N/A</v>
      </c>
      <c r="P118" s="62" t="str">
        <f t="shared" ca="1" si="41"/>
        <v>N/A</v>
      </c>
      <c r="Q118" s="62" t="str">
        <f t="shared" ca="1" si="41"/>
        <v>N/A</v>
      </c>
      <c r="R118" s="62" t="str">
        <f t="shared" ca="1" si="41"/>
        <v>N/A</v>
      </c>
      <c r="S118" s="62" t="str">
        <f t="shared" ca="1" si="41"/>
        <v>N/A</v>
      </c>
      <c r="T118" s="62" t="str">
        <f t="shared" ca="1" si="41"/>
        <v>N/A</v>
      </c>
      <c r="U118" s="62" t="str">
        <f t="shared" ca="1" si="41"/>
        <v>N/A</v>
      </c>
      <c r="V118" s="62" t="str">
        <f t="shared" ca="1" si="41"/>
        <v>N/A</v>
      </c>
      <c r="W118" s="62" t="str">
        <f t="shared" ca="1" si="41"/>
        <v>N/A</v>
      </c>
      <c r="X118" s="62" t="str">
        <f t="shared" ca="1" si="41"/>
        <v>N/A</v>
      </c>
      <c r="Y118" s="62" t="str">
        <f t="shared" ca="1" si="41"/>
        <v>N/A</v>
      </c>
      <c r="Z118" s="62" t="str">
        <f t="shared" ca="1" si="41"/>
        <v>N/A</v>
      </c>
      <c r="AA118" s="62" t="str">
        <f t="shared" ca="1" si="41"/>
        <v>N/A</v>
      </c>
      <c r="AB118" s="62" t="str">
        <f t="shared" ca="1" si="41"/>
        <v>N/A</v>
      </c>
    </row>
    <row r="119" spans="1:28" hidden="1" x14ac:dyDescent="0.25">
      <c r="A119" s="50">
        <f t="shared" si="36"/>
        <v>0</v>
      </c>
      <c r="B119" s="45" t="str">
        <f t="shared" ca="1" si="38"/>
        <v/>
      </c>
      <c r="C119" s="1" t="str">
        <f>IF(ISERROR(D119),"",IF(D119="","",MAX($C$73:C118)+1))</f>
        <v/>
      </c>
      <c r="D119" t="e">
        <f t="shared" si="37"/>
        <v>#N/A</v>
      </c>
      <c r="F119" s="62" t="str">
        <f t="shared" ca="1" si="32"/>
        <v>N/A</v>
      </c>
      <c r="G119" s="62" t="str">
        <f t="shared" si="27"/>
        <v>N/A</v>
      </c>
      <c r="H119" s="62" t="str">
        <f t="shared" si="28"/>
        <v>N/A</v>
      </c>
      <c r="I119" s="62" t="str">
        <f t="shared" si="29"/>
        <v>N/A</v>
      </c>
      <c r="J119" s="62" t="str">
        <f t="shared" ca="1" si="30"/>
        <v>N/A</v>
      </c>
      <c r="K119" s="62" t="str">
        <f t="shared" ca="1" si="30"/>
        <v>N/A</v>
      </c>
      <c r="L119" s="62" t="str">
        <f t="shared" ca="1" si="30"/>
        <v>N/A</v>
      </c>
      <c r="M119" s="62" t="str">
        <f t="shared" ca="1" si="33"/>
        <v>N/A</v>
      </c>
      <c r="N119" s="62"/>
      <c r="O119" s="62" t="str">
        <f t="shared" ca="1" si="41"/>
        <v>N/A</v>
      </c>
      <c r="P119" s="62" t="str">
        <f t="shared" ca="1" si="41"/>
        <v>N/A</v>
      </c>
      <c r="Q119" s="62" t="str">
        <f t="shared" ca="1" si="41"/>
        <v>N/A</v>
      </c>
      <c r="R119" s="62" t="str">
        <f t="shared" ca="1" si="41"/>
        <v>N/A</v>
      </c>
      <c r="S119" s="62" t="str">
        <f t="shared" ca="1" si="41"/>
        <v>N/A</v>
      </c>
      <c r="T119" s="62" t="str">
        <f t="shared" ca="1" si="41"/>
        <v>N/A</v>
      </c>
      <c r="U119" s="62" t="str">
        <f t="shared" ca="1" si="41"/>
        <v>N/A</v>
      </c>
      <c r="V119" s="62" t="str">
        <f t="shared" ca="1" si="41"/>
        <v>N/A</v>
      </c>
      <c r="W119" s="62" t="str">
        <f t="shared" ca="1" si="41"/>
        <v>N/A</v>
      </c>
      <c r="X119" s="62" t="str">
        <f t="shared" ca="1" si="41"/>
        <v>N/A</v>
      </c>
      <c r="Y119" s="62" t="str">
        <f t="shared" ca="1" si="41"/>
        <v>N/A</v>
      </c>
      <c r="Z119" s="62" t="str">
        <f t="shared" ca="1" si="41"/>
        <v>N/A</v>
      </c>
      <c r="AA119" s="62" t="str">
        <f t="shared" ca="1" si="41"/>
        <v>N/A</v>
      </c>
      <c r="AB119" s="62" t="str">
        <f t="shared" ca="1" si="41"/>
        <v>N/A</v>
      </c>
    </row>
    <row r="120" spans="1:28" x14ac:dyDescent="0.25">
      <c r="A120" s="31"/>
      <c r="B120" s="31"/>
      <c r="C120" s="1" t="str">
        <f>IF(ISERROR(D120),"",IF(D120="","",MAX($C$73:C119)+1))</f>
        <v/>
      </c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x14ac:dyDescent="0.25">
      <c r="A121" s="31"/>
      <c r="B121" s="31"/>
      <c r="C121" s="1">
        <f>IF(ISERROR(D121),"",IF(D121="","",MAX($C$73:C120)+1))</f>
        <v>42</v>
      </c>
      <c r="D121" t="s">
        <v>98</v>
      </c>
      <c r="F121" s="62">
        <f ca="1">AVERAGE(G121:AB121)</f>
        <v>7.6523305888223794</v>
      </c>
      <c r="G121" s="62">
        <f>AVERAGE(G75:G120)</f>
        <v>8.0254133740317837</v>
      </c>
      <c r="H121" s="62">
        <f t="shared" ref="H121:AB121" si="42">AVERAGE(H75:H120)</f>
        <v>8.9993311222948389</v>
      </c>
      <c r="I121" s="62">
        <f t="shared" si="42"/>
        <v>9.2791709868115664</v>
      </c>
      <c r="J121" s="62">
        <f t="shared" ca="1" si="42"/>
        <v>9.2641809446429733</v>
      </c>
      <c r="K121" s="62">
        <f t="shared" ca="1" si="42"/>
        <v>9.7754808651712626</v>
      </c>
      <c r="L121" s="62">
        <f t="shared" ca="1" si="42"/>
        <v>9.0332379992869676</v>
      </c>
      <c r="M121" s="62">
        <f t="shared" ca="1" si="42"/>
        <v>9.4128034641396034</v>
      </c>
      <c r="N121" s="62">
        <f t="shared" ca="1" si="42"/>
        <v>8.6812972082915927</v>
      </c>
      <c r="O121" s="62">
        <f t="shared" ca="1" si="42"/>
        <v>8.0726448026582123</v>
      </c>
      <c r="P121" s="62">
        <f t="shared" ca="1" si="42"/>
        <v>7.903320378984847</v>
      </c>
      <c r="Q121" s="62">
        <f t="shared" ca="1" si="42"/>
        <v>7.4086096558365755</v>
      </c>
      <c r="R121" s="62">
        <f t="shared" ca="1" si="42"/>
        <v>7.0121331348839071</v>
      </c>
      <c r="S121" s="62">
        <f t="shared" ca="1" si="42"/>
        <v>6.5623332337679523</v>
      </c>
      <c r="T121" s="62">
        <f t="shared" ca="1" si="42"/>
        <v>6.0173180756395439</v>
      </c>
      <c r="U121" s="62">
        <f t="shared" ca="1" si="42"/>
        <v>5.614837893966766</v>
      </c>
      <c r="V121" s="62">
        <f t="shared" ca="1" si="42"/>
        <v>7.0147879616058475</v>
      </c>
      <c r="W121" s="62">
        <f t="shared" ca="1" si="42"/>
        <v>7.771301043642822</v>
      </c>
      <c r="X121" s="62">
        <f t="shared" ca="1" si="42"/>
        <v>7.168181692329429</v>
      </c>
      <c r="Y121" s="62">
        <f t="shared" ca="1" si="42"/>
        <v>7.1836121518964084</v>
      </c>
      <c r="Z121" s="62">
        <f t="shared" ca="1" si="42"/>
        <v>6.8182224052525591</v>
      </c>
      <c r="AA121" s="62">
        <f t="shared" ca="1" si="42"/>
        <v>5.7532660089794891</v>
      </c>
      <c r="AB121" s="62">
        <f t="shared" ca="1" si="42"/>
        <v>5.5797885499773852</v>
      </c>
    </row>
    <row r="122" spans="1:28" x14ac:dyDescent="0.25">
      <c r="A122" s="31"/>
      <c r="B122" s="31"/>
      <c r="C122" s="1">
        <f>IF(ISERROR(D122),"",IF(D122="","",MAX($C$73:C121)+1))</f>
        <v>43</v>
      </c>
      <c r="D122" t="s">
        <v>257</v>
      </c>
      <c r="F122" s="62">
        <f ca="1">MEDIAN(G122:AB122)</f>
        <v>7.5036681504297267</v>
      </c>
      <c r="G122" s="62">
        <f>MEDIAN(G75:G120)</f>
        <v>7.9111403130499642</v>
      </c>
      <c r="H122" s="62">
        <f t="shared" ref="H122:AB122" si="43">MEDIAN(H75:H120)</f>
        <v>8.6942539398765089</v>
      </c>
      <c r="I122" s="62">
        <f t="shared" si="43"/>
        <v>8.7222222222222232</v>
      </c>
      <c r="J122" s="62">
        <f t="shared" ca="1" si="43"/>
        <v>8.5562154136860578</v>
      </c>
      <c r="K122" s="62">
        <f t="shared" ca="1" si="43"/>
        <v>9.4618681318681315</v>
      </c>
      <c r="L122" s="62">
        <f t="shared" ca="1" si="43"/>
        <v>8.7777062971098037</v>
      </c>
      <c r="M122" s="62">
        <f t="shared" ca="1" si="43"/>
        <v>9.1259745406186994</v>
      </c>
      <c r="N122" s="62">
        <f t="shared" ca="1" si="43"/>
        <v>8.5830648295337308</v>
      </c>
      <c r="O122" s="62">
        <f t="shared" ca="1" si="43"/>
        <v>7.9357728289406495</v>
      </c>
      <c r="P122" s="62">
        <f t="shared" ca="1" si="43"/>
        <v>7.5717501406865502</v>
      </c>
      <c r="Q122" s="62">
        <f t="shared" ca="1" si="43"/>
        <v>7.2319564230594651</v>
      </c>
      <c r="R122" s="62">
        <f t="shared" ca="1" si="43"/>
        <v>6.8546893091470471</v>
      </c>
      <c r="S122" s="62">
        <f t="shared" ca="1" si="43"/>
        <v>6.404125892620999</v>
      </c>
      <c r="T122" s="62">
        <f t="shared" ca="1" si="43"/>
        <v>5.8034235229155167</v>
      </c>
      <c r="U122" s="62">
        <f t="shared" ca="1" si="43"/>
        <v>5.3664804469273744</v>
      </c>
      <c r="V122" s="62">
        <f t="shared" ca="1" si="43"/>
        <v>7.1007972665148058</v>
      </c>
      <c r="W122" s="62">
        <f t="shared" ca="1" si="43"/>
        <v>7.8410995641971173</v>
      </c>
      <c r="X122" s="62">
        <f t="shared" ca="1" si="43"/>
        <v>7.4355861601729032</v>
      </c>
      <c r="Y122" s="62">
        <f t="shared" ca="1" si="43"/>
        <v>7.048865655715403</v>
      </c>
      <c r="Z122" s="62">
        <f t="shared" ca="1" si="43"/>
        <v>6.7219202945460435</v>
      </c>
      <c r="AA122" s="62">
        <f t="shared" ca="1" si="43"/>
        <v>5.664987</v>
      </c>
      <c r="AB122" s="62">
        <f t="shared" ca="1" si="43"/>
        <v>5.4642860000000004</v>
      </c>
    </row>
    <row r="123" spans="1:28" x14ac:dyDescent="0.25">
      <c r="A123" s="31"/>
      <c r="B123" s="31"/>
      <c r="C123" s="1"/>
    </row>
    <row r="124" spans="1:28" x14ac:dyDescent="0.25">
      <c r="A124" s="31"/>
      <c r="B124" s="31"/>
      <c r="D124" s="18"/>
      <c r="E124" s="88"/>
    </row>
    <row r="125" spans="1:28" x14ac:dyDescent="0.25">
      <c r="A125" s="31"/>
      <c r="B125" s="31"/>
      <c r="D125" s="20" t="s">
        <v>107</v>
      </c>
    </row>
    <row r="126" spans="1:28" s="270" customFormat="1" x14ac:dyDescent="0.25">
      <c r="A126" s="31"/>
      <c r="B126" s="31"/>
      <c r="D126" s="20"/>
      <c r="E126" s="270" t="str">
        <f>E64</f>
        <v>The current year P/E ratio is based on the forward P/E (price over expected earnings per share).  All historical year P/E ratios are based on annual average share price over achieved earnings per share.</v>
      </c>
    </row>
    <row r="127" spans="1:28" ht="16.2" x14ac:dyDescent="0.25">
      <c r="A127" s="31"/>
      <c r="B127" s="31"/>
      <c r="D127" s="76">
        <v>1</v>
      </c>
      <c r="E127" s="21" t="str">
        <f>E65</f>
        <v>Data for years 2019 and prior were retrieved from the Value Line Investment Survey Investment Analyzer Software, downloaded on June 18, 2021.</v>
      </c>
    </row>
    <row r="128" spans="1:28" ht="16.2" x14ac:dyDescent="0.25">
      <c r="A128" s="31"/>
      <c r="B128" s="31"/>
      <c r="D128" s="76"/>
      <c r="E128" s="21" t="s">
        <v>559</v>
      </c>
    </row>
    <row r="129" spans="1:28" ht="16.2" x14ac:dyDescent="0.25">
      <c r="A129" s="31"/>
      <c r="B129" s="31"/>
      <c r="D129" s="76">
        <v>2</v>
      </c>
      <c r="E129" s="21" t="str">
        <f>"The Value Line Investment Survey, "&amp;'2023 Data (WP)'!$D$1</f>
        <v>The Value Line Investment Survey, March 8, April 19, and May 10, 2024.</v>
      </c>
    </row>
    <row r="130" spans="1:28" ht="16.2" x14ac:dyDescent="0.25">
      <c r="A130" s="31"/>
      <c r="B130" s="31"/>
      <c r="D130" s="76"/>
      <c r="E130" s="21"/>
    </row>
    <row r="131" spans="1:28" x14ac:dyDescent="0.25">
      <c r="A131" s="31"/>
      <c r="B131" s="31"/>
      <c r="D131" s="20" t="s">
        <v>108</v>
      </c>
    </row>
    <row r="132" spans="1:28" ht="16.2" x14ac:dyDescent="0.25">
      <c r="A132" s="31"/>
      <c r="B132" s="31"/>
      <c r="D132" s="89" t="s">
        <v>354</v>
      </c>
      <c r="E132" t="s">
        <v>521</v>
      </c>
    </row>
    <row r="133" spans="1:28" x14ac:dyDescent="0.25">
      <c r="A133" s="31"/>
      <c r="B133" s="31"/>
      <c r="C133" s="1"/>
    </row>
    <row r="134" spans="1:28" ht="16.2" x14ac:dyDescent="0.25">
      <c r="A134" s="31"/>
      <c r="B134" s="31"/>
      <c r="C134" s="6"/>
      <c r="D134" s="6"/>
      <c r="E134" s="19"/>
      <c r="F134" s="276" t="s">
        <v>259</v>
      </c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</row>
    <row r="135" spans="1:28" x14ac:dyDescent="0.25">
      <c r="A135" s="31"/>
      <c r="B135" s="31"/>
      <c r="C135" s="6"/>
      <c r="D135" s="7"/>
      <c r="E135" s="7"/>
      <c r="F135" s="8" t="s">
        <v>563</v>
      </c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7"/>
      <c r="V135" s="7"/>
      <c r="W135" s="7"/>
      <c r="X135" s="7"/>
      <c r="Y135" s="7"/>
      <c r="Z135" s="7"/>
      <c r="AA135" s="7"/>
    </row>
    <row r="136" spans="1:28" ht="16.2" x14ac:dyDescent="0.25">
      <c r="A136" s="31"/>
      <c r="B136" s="31"/>
      <c r="C136" s="9" t="s">
        <v>96</v>
      </c>
      <c r="D136" s="275" t="s">
        <v>97</v>
      </c>
      <c r="E136" s="275"/>
      <c r="F136" s="10" t="s">
        <v>98</v>
      </c>
      <c r="G136" s="40" t="s">
        <v>558</v>
      </c>
      <c r="H136" s="40">
        <v>2022</v>
      </c>
      <c r="I136" s="10" t="s">
        <v>541</v>
      </c>
      <c r="J136" s="40">
        <v>2020</v>
      </c>
      <c r="K136" s="40">
        <v>2019</v>
      </c>
      <c r="L136" s="40">
        <v>2018</v>
      </c>
      <c r="M136" s="40">
        <v>2017</v>
      </c>
      <c r="N136" s="40">
        <v>2016</v>
      </c>
      <c r="O136" s="40">
        <v>2015</v>
      </c>
      <c r="P136" s="40">
        <v>2014</v>
      </c>
      <c r="Q136" s="40">
        <v>2013</v>
      </c>
      <c r="R136" s="40">
        <v>2012</v>
      </c>
      <c r="S136" s="40">
        <v>2011</v>
      </c>
      <c r="T136" s="40">
        <v>2010</v>
      </c>
      <c r="U136" s="40">
        <v>2009</v>
      </c>
      <c r="V136" s="40">
        <v>2008</v>
      </c>
      <c r="W136" s="40">
        <v>2007</v>
      </c>
      <c r="X136" s="40">
        <v>2006</v>
      </c>
      <c r="Y136" s="40">
        <v>2005</v>
      </c>
      <c r="Z136" s="40"/>
      <c r="AA136" s="40"/>
      <c r="AB136" s="40"/>
    </row>
    <row r="137" spans="1:28" x14ac:dyDescent="0.25">
      <c r="A137" s="41"/>
      <c r="B137" s="41"/>
      <c r="C137" s="9"/>
      <c r="D137" s="11"/>
      <c r="E137" s="11"/>
      <c r="F137" s="12">
        <v>-1</v>
      </c>
      <c r="G137" s="12">
        <f>+F137-1</f>
        <v>-2</v>
      </c>
      <c r="H137" s="12">
        <f>+G137-1</f>
        <v>-3</v>
      </c>
      <c r="I137" s="12">
        <f>+H137-1</f>
        <v>-4</v>
      </c>
      <c r="J137" s="12">
        <f t="shared" ref="J137:X137" si="44">+I137-1</f>
        <v>-5</v>
      </c>
      <c r="K137" s="12">
        <f t="shared" si="44"/>
        <v>-6</v>
      </c>
      <c r="L137" s="12">
        <f t="shared" si="44"/>
        <v>-7</v>
      </c>
      <c r="M137" s="12">
        <f t="shared" si="44"/>
        <v>-8</v>
      </c>
      <c r="N137" s="12">
        <f t="shared" si="44"/>
        <v>-9</v>
      </c>
      <c r="O137" s="12">
        <f t="shared" si="44"/>
        <v>-10</v>
      </c>
      <c r="P137" s="12">
        <f t="shared" si="44"/>
        <v>-11</v>
      </c>
      <c r="Q137" s="12">
        <f t="shared" si="44"/>
        <v>-12</v>
      </c>
      <c r="R137" s="12">
        <f t="shared" si="44"/>
        <v>-13</v>
      </c>
      <c r="S137" s="12">
        <f t="shared" si="44"/>
        <v>-14</v>
      </c>
      <c r="T137" s="12">
        <f t="shared" si="44"/>
        <v>-15</v>
      </c>
      <c r="U137" s="12">
        <f t="shared" si="44"/>
        <v>-16</v>
      </c>
      <c r="V137" s="12">
        <f t="shared" si="44"/>
        <v>-17</v>
      </c>
      <c r="W137" s="12">
        <f t="shared" si="44"/>
        <v>-18</v>
      </c>
      <c r="X137" s="12">
        <f t="shared" si="44"/>
        <v>-19</v>
      </c>
      <c r="Y137" s="12">
        <f>+X137-1</f>
        <v>-20</v>
      </c>
      <c r="Z137" s="12"/>
      <c r="AA137" s="12"/>
      <c r="AB137" s="12"/>
    </row>
    <row r="138" spans="1:28" x14ac:dyDescent="0.25">
      <c r="A138" s="42"/>
      <c r="B138" s="43"/>
      <c r="C138" s="6"/>
      <c r="E138" s="22"/>
      <c r="F138" s="50"/>
      <c r="G138" s="50"/>
      <c r="H138" s="50"/>
      <c r="I138" s="50"/>
      <c r="J138" s="126">
        <f t="shared" ref="J138:X138" ca="1" si="45">MATCH(VALUE(LEFT(J136,4)),OFFSET(MP_BV_WP,-1,0,1,),0)</f>
        <v>6</v>
      </c>
      <c r="K138" s="126">
        <f t="shared" ca="1" si="45"/>
        <v>7</v>
      </c>
      <c r="L138" s="126">
        <f t="shared" ca="1" si="45"/>
        <v>8</v>
      </c>
      <c r="M138" s="126">
        <f t="shared" ca="1" si="45"/>
        <v>9</v>
      </c>
      <c r="N138" s="126">
        <f t="shared" ca="1" si="45"/>
        <v>10</v>
      </c>
      <c r="O138" s="126">
        <f t="shared" ca="1" si="45"/>
        <v>11</v>
      </c>
      <c r="P138" s="126">
        <f t="shared" ca="1" si="45"/>
        <v>12</v>
      </c>
      <c r="Q138" s="126">
        <f t="shared" ca="1" si="45"/>
        <v>13</v>
      </c>
      <c r="R138" s="126">
        <f t="shared" ca="1" si="45"/>
        <v>14</v>
      </c>
      <c r="S138" s="126">
        <f t="shared" ca="1" si="45"/>
        <v>15</v>
      </c>
      <c r="T138" s="126">
        <f t="shared" ca="1" si="45"/>
        <v>16</v>
      </c>
      <c r="U138" s="126">
        <f t="shared" ca="1" si="45"/>
        <v>17</v>
      </c>
      <c r="V138" s="126">
        <f t="shared" ca="1" si="45"/>
        <v>18</v>
      </c>
      <c r="W138" s="126">
        <f t="shared" ca="1" si="45"/>
        <v>19</v>
      </c>
      <c r="X138" s="126">
        <f t="shared" ca="1" si="45"/>
        <v>20</v>
      </c>
      <c r="Y138" s="126">
        <f ca="1">MATCH(VALUE(LEFT(Y136,4)),OFFSET(MP_BV_WP,-1,0,1,),0)</f>
        <v>21</v>
      </c>
      <c r="Z138" s="51"/>
      <c r="AA138" s="51"/>
      <c r="AB138" s="51"/>
    </row>
    <row r="139" spans="1:28" x14ac:dyDescent="0.25">
      <c r="A139" s="50" t="str">
        <f t="shared" ref="A139:A155" si="46">A13</f>
        <v>ALE</v>
      </c>
      <c r="B139" s="45">
        <f t="shared" ref="B139:B155" ca="1" si="47">MATCH(A139,OFFSET(MP_BV_WP,0,0,,1),0)</f>
        <v>2</v>
      </c>
      <c r="C139" s="1">
        <f>IF(ISERROR(D139),"",IF(D139="","",MAX($C$137:C138)+1))</f>
        <v>1</v>
      </c>
      <c r="D139" t="str">
        <f t="shared" ref="D139:D155" si="48">D13</f>
        <v xml:space="preserve">ALLETE                        </v>
      </c>
      <c r="E139" s="22"/>
      <c r="F139" s="62">
        <f ca="1">AVERAGE(G139:Y139)</f>
        <v>1.5497049717890117</v>
      </c>
      <c r="G139" s="62">
        <f t="shared" ref="G139:G179" si="49">IFERROR(IF(VLOOKUP($A139,Data2023,20,FALSE)=0,"",VLOOKUP($A139,Data2023,20,FALSE)),"N/A")</f>
        <v>1.1890118901189011</v>
      </c>
      <c r="H139" s="62">
        <f t="shared" ref="H139:H183" si="50">IFERROR(IF(VLOOKUP($A139,Data2022,18,FALSE)=0,"",VLOOKUP($A139,Data2022,18,FALSE)),"N/A")</f>
        <v>1.2367190820229492</v>
      </c>
      <c r="I139" s="62">
        <f t="shared" ref="I139:I183" si="51">IFERROR(IF(VLOOKUP(A139,lucyyr,18,FALSE)=0,"",VLOOKUP(A139,lucyyr,18,FALSE)),"N/A")</f>
        <v>1.4318783068783068</v>
      </c>
      <c r="J139" s="62">
        <f t="shared" ref="J139:Y154" ca="1" si="52">IFERROR(IF(INDEX(MP_BV_WP,$B139,J$138)=0,"N/A",INDEX(MP_BV_WP,$B139,J$138)),"N/A")</f>
        <v>1.3907406566459288</v>
      </c>
      <c r="K139" s="62">
        <f t="shared" ca="1" si="52"/>
        <v>1.9087329163771138</v>
      </c>
      <c r="L139" s="62">
        <f t="shared" ca="1" si="52"/>
        <v>1.7898471094123269</v>
      </c>
      <c r="M139" s="62">
        <f t="shared" ca="1" si="52"/>
        <v>1.782230567771903</v>
      </c>
      <c r="N139" s="62">
        <f t="shared" ca="1" si="52"/>
        <v>1.5329228350582995</v>
      </c>
      <c r="O139" s="62">
        <f t="shared" ca="1" si="52"/>
        <v>1.3727711688381754</v>
      </c>
      <c r="P139" s="62">
        <f t="shared" ca="1" si="52"/>
        <v>1.4249778969283859</v>
      </c>
      <c r="Q139" s="62">
        <f t="shared" ca="1" si="52"/>
        <v>1.5076301754169621</v>
      </c>
      <c r="R139" s="62">
        <f t="shared" ca="1" si="52"/>
        <v>1.3442031362771472</v>
      </c>
      <c r="S139" s="62">
        <f t="shared" ca="1" si="52"/>
        <v>1.3500225843438378</v>
      </c>
      <c r="T139" s="62">
        <f t="shared" ca="1" si="52"/>
        <v>1.2833143821296262</v>
      </c>
      <c r="U139" s="62">
        <f t="shared" ca="1" si="52"/>
        <v>1.1509505415435886</v>
      </c>
      <c r="V139" s="62">
        <f t="shared" ca="1" si="52"/>
        <v>1.5502739348074575</v>
      </c>
      <c r="W139" s="62">
        <f t="shared" ca="1" si="52"/>
        <v>1.8882621318954793</v>
      </c>
      <c r="X139" s="62">
        <f t="shared" ca="1" si="52"/>
        <v>2.092598511483494</v>
      </c>
      <c r="Y139" s="62">
        <f t="shared" ca="1" si="52"/>
        <v>2.2173066360413438</v>
      </c>
      <c r="Z139" s="17"/>
      <c r="AA139" s="17"/>
      <c r="AB139" s="17"/>
    </row>
    <row r="140" spans="1:28" x14ac:dyDescent="0.25">
      <c r="A140" s="50" t="str">
        <f t="shared" si="46"/>
        <v>LNT</v>
      </c>
      <c r="B140" s="45">
        <f t="shared" ca="1" si="47"/>
        <v>3</v>
      </c>
      <c r="C140" s="1">
        <f>IF(ISERROR(D140),"",IF(D140="","",MAX($C$137:C139)+1))</f>
        <v>2</v>
      </c>
      <c r="D140" t="str">
        <f t="shared" si="48"/>
        <v xml:space="preserve">Alliant Energy                </v>
      </c>
      <c r="E140" s="22"/>
      <c r="F140" s="62">
        <f t="shared" ref="F140:F183" ca="1" si="53">AVERAGE(G140:Y140)</f>
        <v>1.81219435245826</v>
      </c>
      <c r="G140" s="62">
        <f t="shared" si="49"/>
        <v>1.9179894179894179</v>
      </c>
      <c r="H140" s="62">
        <f t="shared" si="50"/>
        <v>2.252901160464186</v>
      </c>
      <c r="I140" s="62">
        <f t="shared" si="51"/>
        <v>2.2647427854454203</v>
      </c>
      <c r="J140" s="62">
        <f t="shared" ca="1" si="52"/>
        <v>2.3040326831839746</v>
      </c>
      <c r="K140" s="62">
        <f t="shared" ca="1" si="52"/>
        <v>2.3203878924822297</v>
      </c>
      <c r="L140" s="62">
        <f t="shared" ca="1" si="52"/>
        <v>2.1575723257489963</v>
      </c>
      <c r="M140" s="62">
        <f t="shared" ca="1" si="52"/>
        <v>2.3811073026201126</v>
      </c>
      <c r="N140" s="62">
        <f t="shared" ca="1" si="52"/>
        <v>2.1694865295053942</v>
      </c>
      <c r="O140" s="62">
        <f t="shared" ca="1" si="52"/>
        <v>1.8608944674628323</v>
      </c>
      <c r="P140" s="62">
        <f t="shared" ca="1" si="52"/>
        <v>1.8585949562532167</v>
      </c>
      <c r="Q140" s="62">
        <f t="shared" ca="1" si="52"/>
        <v>1.6991683007640814</v>
      </c>
      <c r="R140" s="62">
        <f t="shared" ca="1" si="52"/>
        <v>1.5654605961906112</v>
      </c>
      <c r="S140" s="62">
        <f t="shared" ca="1" si="52"/>
        <v>1.4642593957258658</v>
      </c>
      <c r="T140" s="62">
        <f t="shared" ca="1" si="52"/>
        <v>1.3144784241588103</v>
      </c>
      <c r="U140" s="62">
        <f t="shared" ca="1" si="52"/>
        <v>1.0448273111589694</v>
      </c>
      <c r="V140" s="62">
        <f t="shared" ca="1" si="52"/>
        <v>1.3346894069785635</v>
      </c>
      <c r="W140" s="62">
        <f t="shared" ca="1" si="52"/>
        <v>1.6693282844912742</v>
      </c>
      <c r="X140" s="62">
        <f t="shared" ca="1" si="52"/>
        <v>1.5176068675543097</v>
      </c>
      <c r="Y140" s="62">
        <f t="shared" ca="1" si="52"/>
        <v>1.3341645885286784</v>
      </c>
      <c r="Z140" s="17"/>
      <c r="AA140" s="17"/>
      <c r="AB140" s="17"/>
    </row>
    <row r="141" spans="1:28" x14ac:dyDescent="0.25">
      <c r="A141" s="50" t="str">
        <f t="shared" si="46"/>
        <v>AEE</v>
      </c>
      <c r="B141" s="45">
        <f t="shared" ca="1" si="47"/>
        <v>6</v>
      </c>
      <c r="C141" s="1">
        <f>IF(ISERROR(D141),"",IF(D141="","",MAX($C$137:C140)+1))</f>
        <v>3</v>
      </c>
      <c r="D141" t="str">
        <f t="shared" si="48"/>
        <v xml:space="preserve">Ameren Corp.                  </v>
      </c>
      <c r="E141" s="22"/>
      <c r="F141" s="62">
        <f t="shared" ca="1" si="53"/>
        <v>1.5965529269395597</v>
      </c>
      <c r="G141" s="62">
        <f t="shared" si="49"/>
        <v>1.9982613015399902</v>
      </c>
      <c r="H141" s="62">
        <f t="shared" si="50"/>
        <v>2.150336574420344</v>
      </c>
      <c r="I141" s="62">
        <f t="shared" si="51"/>
        <v>2.1333687566418704</v>
      </c>
      <c r="J141" s="62">
        <f t="shared" ca="1" si="52"/>
        <v>2.2052938842600462</v>
      </c>
      <c r="K141" s="62">
        <f t="shared" ca="1" si="52"/>
        <v>2.2606158734038</v>
      </c>
      <c r="L141" s="62">
        <f t="shared" ca="1" si="52"/>
        <v>1.9451795841209831</v>
      </c>
      <c r="M141" s="62">
        <f t="shared" ca="1" si="52"/>
        <v>1.9268440961902187</v>
      </c>
      <c r="N141" s="62">
        <f t="shared" ca="1" si="52"/>
        <v>1.6747967479674797</v>
      </c>
      <c r="O141" s="62">
        <f t="shared" ca="1" si="52"/>
        <v>1.4586928424214904</v>
      </c>
      <c r="P141" s="62">
        <f t="shared" ca="1" si="52"/>
        <v>1.4491994072360572</v>
      </c>
      <c r="Q141" s="62">
        <f t="shared" ca="1" si="52"/>
        <v>1.2860109005969376</v>
      </c>
      <c r="R141" s="62">
        <f t="shared" ca="1" si="52"/>
        <v>1.180071148274471</v>
      </c>
      <c r="S141" s="62">
        <f t="shared" ca="1" si="52"/>
        <v>0.90303902947123327</v>
      </c>
      <c r="T141" s="62">
        <f t="shared" ca="1" si="52"/>
        <v>0.83169025034986777</v>
      </c>
      <c r="U141" s="62">
        <f t="shared" ca="1" si="52"/>
        <v>0.77828834003446301</v>
      </c>
      <c r="V141" s="62">
        <f t="shared" ca="1" si="52"/>
        <v>1.2473626440636625</v>
      </c>
      <c r="W141" s="62">
        <f t="shared" ca="1" si="52"/>
        <v>1.6041955884621317</v>
      </c>
      <c r="X141" s="62">
        <f t="shared" ca="1" si="52"/>
        <v>1.61828395681647</v>
      </c>
      <c r="Y141" s="62">
        <f t="shared" ca="1" si="52"/>
        <v>1.6829746855801089</v>
      </c>
      <c r="Z141" s="17"/>
      <c r="AA141" s="17"/>
      <c r="AB141" s="17"/>
    </row>
    <row r="142" spans="1:28" x14ac:dyDescent="0.25">
      <c r="A142" s="50" t="str">
        <f t="shared" si="46"/>
        <v>AEP</v>
      </c>
      <c r="B142" s="45">
        <f t="shared" ca="1" si="47"/>
        <v>7</v>
      </c>
      <c r="C142" s="1">
        <f>IF(ISERROR(D142),"",IF(D142="","",MAX($C$137:C141)+1))</f>
        <v>4</v>
      </c>
      <c r="D142" t="str">
        <f t="shared" si="48"/>
        <v>American Electric Power</v>
      </c>
      <c r="E142" s="22"/>
      <c r="F142" s="62">
        <f t="shared" ca="1" si="53"/>
        <v>1.6421976476100415</v>
      </c>
      <c r="G142" s="62">
        <f t="shared" si="49"/>
        <v>1.7302930251754023</v>
      </c>
      <c r="H142" s="62">
        <f t="shared" si="50"/>
        <v>1.9946351931330468</v>
      </c>
      <c r="I142" s="62">
        <f t="shared" si="51"/>
        <v>1.8689593167003822</v>
      </c>
      <c r="J142" s="62">
        <f t="shared" ca="1" si="52"/>
        <v>2.0902302877993377</v>
      </c>
      <c r="K142" s="62">
        <f t="shared" ca="1" si="52"/>
        <v>2.198751510269835</v>
      </c>
      <c r="L142" s="62">
        <f t="shared" ca="1" si="52"/>
        <v>1.8237337342526827</v>
      </c>
      <c r="M142" s="62">
        <f t="shared" ca="1" si="52"/>
        <v>1.8825602668962549</v>
      </c>
      <c r="N142" s="62">
        <f t="shared" ca="1" si="52"/>
        <v>1.8122102882984736</v>
      </c>
      <c r="O142" s="62">
        <f t="shared" ca="1" si="52"/>
        <v>1.5537532592287633</v>
      </c>
      <c r="P142" s="62">
        <f t="shared" ca="1" si="52"/>
        <v>1.5428596368715082</v>
      </c>
      <c r="Q142" s="62">
        <f t="shared" ca="1" si="52"/>
        <v>1.3977134885977682</v>
      </c>
      <c r="R142" s="62">
        <f t="shared" ca="1" si="52"/>
        <v>1.3076849520288147</v>
      </c>
      <c r="S142" s="62">
        <f t="shared" ca="1" si="52"/>
        <v>1.2297422034680556</v>
      </c>
      <c r="T142" s="62">
        <f t="shared" ca="1" si="52"/>
        <v>1.2311873499929407</v>
      </c>
      <c r="U142" s="62">
        <f t="shared" ca="1" si="52"/>
        <v>1.0840064032598413</v>
      </c>
      <c r="V142" s="62">
        <f t="shared" ca="1" si="52"/>
        <v>1.4829681388372007</v>
      </c>
      <c r="W142" s="62">
        <f t="shared" ca="1" si="52"/>
        <v>1.8483969647610348</v>
      </c>
      <c r="X142" s="62">
        <f t="shared" ca="1" si="52"/>
        <v>1.5556538964049396</v>
      </c>
      <c r="Y142" s="62">
        <f t="shared" ca="1" si="52"/>
        <v>1.5664153886145047</v>
      </c>
      <c r="Z142" s="17"/>
      <c r="AA142" s="17"/>
      <c r="AB142" s="17"/>
    </row>
    <row r="143" spans="1:28" x14ac:dyDescent="0.25">
      <c r="A143" s="50" t="str">
        <f t="shared" si="46"/>
        <v>AGR</v>
      </c>
      <c r="B143" s="45">
        <f t="shared" ca="1" si="47"/>
        <v>10</v>
      </c>
      <c r="C143" s="1">
        <f>IF(ISERROR(D143),"",IF(D143="","",MAX($C$137:C142)+1))</f>
        <v>5</v>
      </c>
      <c r="D143" t="str">
        <f t="shared" si="48"/>
        <v>Avangrid, Inc.</v>
      </c>
      <c r="E143" s="22"/>
      <c r="F143" s="62">
        <f t="shared" ca="1" si="53"/>
        <v>0.90037172352727113</v>
      </c>
      <c r="G143" s="62">
        <f t="shared" si="49"/>
        <v>0.71161417322834641</v>
      </c>
      <c r="H143" s="62">
        <f t="shared" si="50"/>
        <v>0.89068422102533418</v>
      </c>
      <c r="I143" s="62">
        <f t="shared" si="51"/>
        <v>1.0091185410334345</v>
      </c>
      <c r="J143" s="62">
        <f t="shared" ca="1" si="52"/>
        <v>0.96803365306454237</v>
      </c>
      <c r="K143" s="62">
        <f t="shared" ca="1" si="52"/>
        <v>1.0151693368485093</v>
      </c>
      <c r="L143" s="62">
        <f t="shared" ref="L143:L183" ca="1" si="54">IFERROR(IF(INDEX(MP_BV_WP,$B143,L$138)=0,"N/A",INDEX(MP_BV_WP,$B143,L$138)),"N/A")</f>
        <v>1.0233638167720289</v>
      </c>
      <c r="M143" s="62">
        <f t="shared" ca="1" si="52"/>
        <v>0.93322675848499748</v>
      </c>
      <c r="N143" s="62">
        <f t="shared" ca="1" si="52"/>
        <v>0.82978853940856478</v>
      </c>
      <c r="O143" s="62">
        <f t="shared" ca="1" si="52"/>
        <v>0.72234647187968071</v>
      </c>
      <c r="P143" s="62" t="str">
        <f t="shared" ca="1" si="52"/>
        <v>N/A</v>
      </c>
      <c r="Q143" s="62" t="str">
        <f t="shared" ca="1" si="52"/>
        <v>N/A</v>
      </c>
      <c r="R143" s="62" t="str">
        <f t="shared" ca="1" si="52"/>
        <v>N/A</v>
      </c>
      <c r="S143" s="62" t="str">
        <f t="shared" ca="1" si="52"/>
        <v>N/A</v>
      </c>
      <c r="T143" s="62" t="str">
        <f t="shared" ca="1" si="52"/>
        <v>N/A</v>
      </c>
      <c r="U143" s="62" t="str">
        <f t="shared" ca="1" si="52"/>
        <v>N/A</v>
      </c>
      <c r="V143" s="62" t="str">
        <f t="shared" ca="1" si="52"/>
        <v>N/A</v>
      </c>
      <c r="W143" s="62" t="str">
        <f t="shared" ca="1" si="52"/>
        <v>N/A</v>
      </c>
      <c r="X143" s="62" t="str">
        <f t="shared" ca="1" si="52"/>
        <v>N/A</v>
      </c>
      <c r="Y143" s="62" t="str">
        <f t="shared" ca="1" si="52"/>
        <v>N/A</v>
      </c>
      <c r="Z143" s="17"/>
      <c r="AA143" s="17"/>
      <c r="AB143" s="17"/>
    </row>
    <row r="144" spans="1:28" x14ac:dyDescent="0.25">
      <c r="A144" s="50" t="str">
        <f t="shared" si="46"/>
        <v>AVA</v>
      </c>
      <c r="B144" s="45">
        <f t="shared" ca="1" si="47"/>
        <v>11</v>
      </c>
      <c r="C144" s="1">
        <f>IF(ISERROR(D144),"",IF(D144="","",MAX($C$137:C143)+1))</f>
        <v>6</v>
      </c>
      <c r="D144" t="str">
        <f t="shared" si="48"/>
        <v xml:space="preserve">Avista Corp.                  </v>
      </c>
      <c r="E144" s="22"/>
      <c r="F144" s="62">
        <f t="shared" ca="1" si="53"/>
        <v>1.3268893330340275</v>
      </c>
      <c r="G144" s="62">
        <f t="shared" si="49"/>
        <v>1.1907005969211435</v>
      </c>
      <c r="H144" s="62">
        <f t="shared" si="50"/>
        <v>1.3258426966292134</v>
      </c>
      <c r="I144" s="62">
        <f t="shared" si="51"/>
        <v>1.4233576642335768</v>
      </c>
      <c r="J144" s="62">
        <f t="shared" ca="1" si="52"/>
        <v>1.3724373187787819</v>
      </c>
      <c r="K144" s="62">
        <f t="shared" ca="1" si="52"/>
        <v>1.5413953166135514</v>
      </c>
      <c r="L144" s="62">
        <f t="shared" ca="1" si="54"/>
        <v>1.8820478624879604</v>
      </c>
      <c r="M144" s="62">
        <f t="shared" ca="1" si="52"/>
        <v>1.7256550053006212</v>
      </c>
      <c r="N144" s="62">
        <f t="shared" ca="1" si="52"/>
        <v>1.5731916218951958</v>
      </c>
      <c r="O144" s="62">
        <f t="shared" ca="1" si="52"/>
        <v>1.3561878362954509</v>
      </c>
      <c r="P144" s="62">
        <f t="shared" ca="1" si="52"/>
        <v>1.3340185426018374</v>
      </c>
      <c r="Q144" s="62">
        <f t="shared" ca="1" si="52"/>
        <v>1.2528459046737623</v>
      </c>
      <c r="R144" s="62">
        <f t="shared" ca="1" si="52"/>
        <v>1.2096689936838108</v>
      </c>
      <c r="S144" s="62">
        <f t="shared" ca="1" si="52"/>
        <v>1.1931017491993101</v>
      </c>
      <c r="T144" s="62">
        <f t="shared" ca="1" si="52"/>
        <v>1.0665178344918564</v>
      </c>
      <c r="U144" s="62">
        <f t="shared" ca="1" si="52"/>
        <v>0.94084815606906258</v>
      </c>
      <c r="V144" s="62">
        <f t="shared" ca="1" si="52"/>
        <v>1.1129208570179274</v>
      </c>
      <c r="W144" s="62">
        <f t="shared" ca="1" si="52"/>
        <v>1.2869051754081278</v>
      </c>
      <c r="X144" s="62">
        <f t="shared" ca="1" si="52"/>
        <v>1.2958359585314163</v>
      </c>
      <c r="Y144" s="62">
        <f t="shared" ca="1" si="52"/>
        <v>1.1274182368139138</v>
      </c>
      <c r="Z144" s="17"/>
      <c r="AA144" s="17"/>
      <c r="AB144" s="17"/>
    </row>
    <row r="145" spans="1:28" x14ac:dyDescent="0.25">
      <c r="A145" s="50" t="str">
        <f t="shared" si="46"/>
        <v>BKH</v>
      </c>
      <c r="B145" s="45">
        <f t="shared" ca="1" si="47"/>
        <v>12</v>
      </c>
      <c r="C145" s="1">
        <f>IF(ISERROR(D145),"",IF(D145="","",MAX($C$137:C144)+1))</f>
        <v>7</v>
      </c>
      <c r="D145" t="str">
        <f t="shared" si="48"/>
        <v xml:space="preserve">Black Hills                   </v>
      </c>
      <c r="E145" s="22"/>
      <c r="F145" s="62">
        <f t="shared" ca="1" si="53"/>
        <v>1.5052031908903836</v>
      </c>
      <c r="G145" s="62">
        <f t="shared" si="49"/>
        <v>1.2767762460233298</v>
      </c>
      <c r="H145" s="62">
        <f t="shared" si="50"/>
        <v>1.5449128227764291</v>
      </c>
      <c r="I145" s="62">
        <f t="shared" si="51"/>
        <v>1.5214866434378631</v>
      </c>
      <c r="J145" s="62">
        <f t="shared" ca="1" si="52"/>
        <v>1.5541309144398137</v>
      </c>
      <c r="K145" s="62">
        <f t="shared" ca="1" si="52"/>
        <v>1.9457096010202224</v>
      </c>
      <c r="L145" s="62">
        <f t="shared" ca="1" si="54"/>
        <v>1.6055230079489506</v>
      </c>
      <c r="M145" s="62">
        <f t="shared" ca="1" si="52"/>
        <v>2.0625959459882828</v>
      </c>
      <c r="N145" s="62">
        <f t="shared" ca="1" si="52"/>
        <v>1.9380103811948293</v>
      </c>
      <c r="O145" s="62">
        <f t="shared" ca="1" si="52"/>
        <v>1.5948314999126942</v>
      </c>
      <c r="P145" s="62">
        <f t="shared" ca="1" si="52"/>
        <v>1.7853780475927667</v>
      </c>
      <c r="Q145" s="62">
        <f t="shared" ca="1" si="52"/>
        <v>1.6197087246495168</v>
      </c>
      <c r="R145" s="62">
        <f t="shared" ca="1" si="52"/>
        <v>1.2104659086833327</v>
      </c>
      <c r="S145" s="62">
        <f t="shared" ca="1" si="52"/>
        <v>1.1419439198024117</v>
      </c>
      <c r="T145" s="62">
        <f t="shared" ca="1" si="52"/>
        <v>1.0721296263249938</v>
      </c>
      <c r="U145" s="62">
        <f t="shared" ca="1" si="52"/>
        <v>0.82718488451452998</v>
      </c>
      <c r="V145" s="62">
        <f t="shared" ca="1" si="52"/>
        <v>1.2225368688168878</v>
      </c>
      <c r="W145" s="62">
        <f t="shared" ca="1" si="52"/>
        <v>1.5690179267342168</v>
      </c>
      <c r="X145" s="62">
        <f t="shared" ca="1" si="52"/>
        <v>1.4717857746240919</v>
      </c>
      <c r="Y145" s="62">
        <f t="shared" ca="1" si="52"/>
        <v>1.6347318824321293</v>
      </c>
      <c r="Z145" s="17"/>
      <c r="AA145" s="17"/>
      <c r="AB145" s="17"/>
    </row>
    <row r="146" spans="1:28" x14ac:dyDescent="0.25">
      <c r="A146" s="50" t="str">
        <f t="shared" si="46"/>
        <v>CNP</v>
      </c>
      <c r="B146" s="45">
        <f t="shared" ca="1" si="47"/>
        <v>14</v>
      </c>
      <c r="C146" s="1">
        <f>IF(ISERROR(D146),"",IF(D146="","",MAX($C$137:C145)+1))</f>
        <v>8</v>
      </c>
      <c r="D146" t="str">
        <f t="shared" si="48"/>
        <v xml:space="preserve">CenterPoint Energy            </v>
      </c>
      <c r="E146" s="22"/>
      <c r="F146" s="62">
        <f t="shared" ca="1" si="53"/>
        <v>2.2749354445872316</v>
      </c>
      <c r="G146" s="62">
        <f t="shared" si="49"/>
        <v>1.8570496083550914</v>
      </c>
      <c r="H146" s="62">
        <f t="shared" si="50"/>
        <v>1.992506811989101</v>
      </c>
      <c r="I146" s="62">
        <f t="shared" si="51"/>
        <v>1.7408759124087594</v>
      </c>
      <c r="J146" s="62">
        <f t="shared" ca="1" si="52"/>
        <v>1.9046735905044507</v>
      </c>
      <c r="K146" s="62">
        <f t="shared" ca="1" si="52"/>
        <v>2.2120125162176603</v>
      </c>
      <c r="L146" s="62">
        <f t="shared" ca="1" si="54"/>
        <v>2.1842777334397447</v>
      </c>
      <c r="M146" s="62">
        <f t="shared" ca="1" si="52"/>
        <v>2.5850496506068406</v>
      </c>
      <c r="N146" s="62">
        <f t="shared" ca="1" si="52"/>
        <v>2.7271595718197656</v>
      </c>
      <c r="O146" s="62">
        <f t="shared" ca="1" si="52"/>
        <v>2.4283761958007206</v>
      </c>
      <c r="P146" s="62">
        <f t="shared" ca="1" si="52"/>
        <v>2.2717668144514667</v>
      </c>
      <c r="Q146" s="62">
        <f t="shared" ca="1" si="52"/>
        <v>2.3036369041720346</v>
      </c>
      <c r="R146" s="62">
        <f t="shared" ca="1" si="52"/>
        <v>1.9919499105545617</v>
      </c>
      <c r="S146" s="62">
        <f t="shared" ca="1" si="52"/>
        <v>1.8678102926337035</v>
      </c>
      <c r="T146" s="62">
        <f t="shared" ca="1" si="52"/>
        <v>1.9583001328021248</v>
      </c>
      <c r="U146" s="62">
        <f t="shared" ca="1" si="52"/>
        <v>1.7703384798099764</v>
      </c>
      <c r="V146" s="62">
        <f t="shared" ca="1" si="52"/>
        <v>2.4896364254162417</v>
      </c>
      <c r="W146" s="62">
        <f t="shared" ca="1" si="52"/>
        <v>3.1292565519700482</v>
      </c>
      <c r="X146" s="62">
        <f t="shared" ca="1" si="52"/>
        <v>2.7518645434388227</v>
      </c>
      <c r="Y146" s="62">
        <f t="shared" ca="1" si="52"/>
        <v>3.0572318007662833</v>
      </c>
      <c r="Z146" s="17"/>
      <c r="AA146" s="17"/>
      <c r="AB146" s="17"/>
    </row>
    <row r="147" spans="1:28" x14ac:dyDescent="0.25">
      <c r="A147" s="50" t="str">
        <f t="shared" si="46"/>
        <v>CMS</v>
      </c>
      <c r="B147" s="45">
        <f t="shared" ca="1" si="47"/>
        <v>18</v>
      </c>
      <c r="C147" s="1">
        <f>IF(ISERROR(D147),"",IF(D147="","",MAX($C$137:C146)+1))</f>
        <v>9</v>
      </c>
      <c r="D147" t="str">
        <f t="shared" si="48"/>
        <v xml:space="preserve">CMS Energy Corp.              </v>
      </c>
      <c r="E147" s="22"/>
      <c r="F147" s="62">
        <f t="shared" ca="1" si="53"/>
        <v>2.1793115115904391</v>
      </c>
      <c r="G147" s="62">
        <f t="shared" si="49"/>
        <v>2.3250201126307322</v>
      </c>
      <c r="H147" s="62">
        <f t="shared" si="50"/>
        <v>2.7058319039451111</v>
      </c>
      <c r="I147" s="62">
        <f t="shared" si="51"/>
        <v>2.6910900045228403</v>
      </c>
      <c r="J147" s="62">
        <f t="shared" ca="1" si="52"/>
        <v>3.2365806214184323</v>
      </c>
      <c r="K147" s="62">
        <f t="shared" ca="1" si="52"/>
        <v>3.2828534253549813</v>
      </c>
      <c r="L147" s="62">
        <f t="shared" ca="1" si="54"/>
        <v>2.8084028605482714</v>
      </c>
      <c r="M147" s="62">
        <f t="shared" ca="1" si="52"/>
        <v>2.9334728564180619</v>
      </c>
      <c r="N147" s="62">
        <f t="shared" ca="1" si="52"/>
        <v>2.7223608193277311</v>
      </c>
      <c r="O147" s="62">
        <f t="shared" ca="1" si="52"/>
        <v>2.4331362612612613</v>
      </c>
      <c r="P147" s="62">
        <f t="shared" ca="1" si="52"/>
        <v>2.2570485902819435</v>
      </c>
      <c r="Q147" s="62">
        <f t="shared" ca="1" si="52"/>
        <v>2.0875192604006161</v>
      </c>
      <c r="R147" s="62">
        <f t="shared" ca="1" si="52"/>
        <v>1.9063998677029934</v>
      </c>
      <c r="S147" s="62">
        <f t="shared" ca="1" si="52"/>
        <v>1.656624989510783</v>
      </c>
      <c r="T147" s="62">
        <f t="shared" ca="1" si="52"/>
        <v>1.4805183199285077</v>
      </c>
      <c r="U147" s="62">
        <f t="shared" ca="1" si="52"/>
        <v>1.1041338237870031</v>
      </c>
      <c r="V147" s="62">
        <f t="shared" ca="1" si="52"/>
        <v>1.2286265857694429</v>
      </c>
      <c r="W147" s="62">
        <f t="shared" ca="1" si="52"/>
        <v>1.8154529119543386</v>
      </c>
      <c r="X147" s="62">
        <f t="shared" ca="1" si="52"/>
        <v>1.4156362185879536</v>
      </c>
      <c r="Y147" s="62">
        <f t="shared" ca="1" si="52"/>
        <v>1.3162092868673441</v>
      </c>
      <c r="Z147" s="17"/>
      <c r="AA147" s="17"/>
      <c r="AB147" s="17"/>
    </row>
    <row r="148" spans="1:28" x14ac:dyDescent="0.25">
      <c r="A148" s="50" t="str">
        <f t="shared" si="46"/>
        <v>ED</v>
      </c>
      <c r="B148" s="45">
        <f t="shared" ca="1" si="47"/>
        <v>20</v>
      </c>
      <c r="C148" s="1">
        <f>IF(ISERROR(D148),"",IF(D148="","",MAX($C$137:C147)+1))</f>
        <v>10</v>
      </c>
      <c r="D148" t="str">
        <f t="shared" si="48"/>
        <v xml:space="preserve">Consol. Edison                </v>
      </c>
      <c r="E148" s="22"/>
      <c r="F148" s="62">
        <f t="shared" ca="1" si="53"/>
        <v>1.4210477398943147</v>
      </c>
      <c r="G148" s="62">
        <f t="shared" si="49"/>
        <v>1.4808163265306122</v>
      </c>
      <c r="H148" s="62">
        <f t="shared" si="50"/>
        <v>1.5468428277282087</v>
      </c>
      <c r="I148" s="62">
        <f t="shared" si="51"/>
        <v>1.3356890459363957</v>
      </c>
      <c r="J148" s="62">
        <f t="shared" ca="1" si="52"/>
        <v>1.4365237922266618</v>
      </c>
      <c r="K148" s="62">
        <f t="shared" ca="1" si="52"/>
        <v>1.5892026578073088</v>
      </c>
      <c r="L148" s="62">
        <f t="shared" ca="1" si="54"/>
        <v>1.4931101984416382</v>
      </c>
      <c r="M148" s="62">
        <f t="shared" ca="1" si="52"/>
        <v>1.6301196340605209</v>
      </c>
      <c r="N148" s="62">
        <f t="shared" ca="1" si="52"/>
        <v>1.5802171548027901</v>
      </c>
      <c r="O148" s="62">
        <f t="shared" ca="1" si="52"/>
        <v>1.4172989718493243</v>
      </c>
      <c r="P148" s="62">
        <f t="shared" ca="1" si="52"/>
        <v>1.3405449464368888</v>
      </c>
      <c r="Q148" s="62">
        <f t="shared" ca="1" si="52"/>
        <v>1.3839033723989476</v>
      </c>
      <c r="R148" s="62">
        <f t="shared" ca="1" si="52"/>
        <v>1.4658737600552729</v>
      </c>
      <c r="S148" s="62">
        <f t="shared" ca="1" si="52"/>
        <v>1.3783486144547459</v>
      </c>
      <c r="T148" s="62">
        <f t="shared" ca="1" si="52"/>
        <v>1.2164777221196941</v>
      </c>
      <c r="U148" s="62">
        <f t="shared" ca="1" si="52"/>
        <v>1.0805332309295883</v>
      </c>
      <c r="V148" s="62">
        <f t="shared" ca="1" si="52"/>
        <v>1.1650860852384985</v>
      </c>
      <c r="W148" s="62">
        <f t="shared" ca="1" si="52"/>
        <v>1.4720704683567614</v>
      </c>
      <c r="X148" s="62">
        <f t="shared" ca="1" si="52"/>
        <v>1.4693299880986845</v>
      </c>
      <c r="Y148" s="62">
        <f t="shared" ca="1" si="52"/>
        <v>1.5179182605194284</v>
      </c>
      <c r="Z148" s="17"/>
      <c r="AA148" s="17"/>
      <c r="AB148" s="17"/>
    </row>
    <row r="149" spans="1:28" x14ac:dyDescent="0.25">
      <c r="A149" s="50" t="str">
        <f t="shared" si="46"/>
        <v>D</v>
      </c>
      <c r="B149" s="45">
        <f t="shared" ca="1" si="47"/>
        <v>22</v>
      </c>
      <c r="C149" s="1">
        <f>IF(ISERROR(D149),"",IF(D149="","",MAX($C$137:C148)+1))</f>
        <v>11</v>
      </c>
      <c r="D149" t="str">
        <f t="shared" si="48"/>
        <v xml:space="preserve">Dominion Resources            </v>
      </c>
      <c r="E149" s="22"/>
      <c r="F149" s="62">
        <f t="shared" ca="1" si="53"/>
        <v>2.543796347189252</v>
      </c>
      <c r="G149" s="62">
        <f t="shared" si="49"/>
        <v>1.6780598958333333</v>
      </c>
      <c r="H149" s="62">
        <f t="shared" si="50"/>
        <v>2.3352527191298784</v>
      </c>
      <c r="I149" s="62">
        <f t="shared" si="51"/>
        <v>2.3650793650793651</v>
      </c>
      <c r="J149" s="62">
        <f t="shared" ca="1" si="52"/>
        <v>2.7163575844032333</v>
      </c>
      <c r="K149" s="62">
        <f t="shared" ca="1" si="52"/>
        <v>2.1824177068296962</v>
      </c>
      <c r="L149" s="62">
        <f t="shared" ca="1" si="54"/>
        <v>2.3988147646461226</v>
      </c>
      <c r="M149" s="62">
        <f t="shared" ca="1" si="52"/>
        <v>2.9432181401120596</v>
      </c>
      <c r="N149" s="62">
        <f t="shared" ca="1" si="52"/>
        <v>3.1532840440165066</v>
      </c>
      <c r="O149" s="62">
        <f t="shared" ca="1" si="52"/>
        <v>3.3353893963650063</v>
      </c>
      <c r="P149" s="62">
        <f t="shared" ca="1" si="52"/>
        <v>3.5490831729308074</v>
      </c>
      <c r="Q149" s="62">
        <f t="shared" ca="1" si="52"/>
        <v>2.9701813096248939</v>
      </c>
      <c r="R149" s="62">
        <f t="shared" ca="1" si="52"/>
        <v>2.8351504579153946</v>
      </c>
      <c r="S149" s="62">
        <f t="shared" ca="1" si="52"/>
        <v>2.3725051017868695</v>
      </c>
      <c r="T149" s="62">
        <f t="shared" ca="1" si="52"/>
        <v>2.0075038729666925</v>
      </c>
      <c r="U149" s="62">
        <f t="shared" ca="1" si="52"/>
        <v>1.8027331189710611</v>
      </c>
      <c r="V149" s="62">
        <f t="shared" ca="1" si="52"/>
        <v>2.4243301116962788</v>
      </c>
      <c r="W149" s="62">
        <f t="shared" ca="1" si="52"/>
        <v>2.6941190899613665</v>
      </c>
      <c r="X149" s="62">
        <f t="shared" ca="1" si="52"/>
        <v>2.0725945945945949</v>
      </c>
      <c r="Y149" s="62">
        <f t="shared" ca="1" si="52"/>
        <v>2.4960561497326204</v>
      </c>
      <c r="Z149" s="17"/>
      <c r="AA149" s="17"/>
      <c r="AB149" s="17"/>
    </row>
    <row r="150" spans="1:28" x14ac:dyDescent="0.25">
      <c r="A150" s="50" t="str">
        <f t="shared" si="46"/>
        <v>DTE</v>
      </c>
      <c r="B150" s="45">
        <f t="shared" ca="1" si="47"/>
        <v>23</v>
      </c>
      <c r="C150" s="1">
        <f>IF(ISERROR(D150),"",IF(D150="","",MAX($C$137:C149)+1))</f>
        <v>12</v>
      </c>
      <c r="D150" t="str">
        <f t="shared" si="48"/>
        <v xml:space="preserve">DTE Energy                    </v>
      </c>
      <c r="E150" s="22"/>
      <c r="F150" s="62">
        <f t="shared" ca="1" si="53"/>
        <v>1.6481021654062711</v>
      </c>
      <c r="G150" s="62">
        <f t="shared" si="49"/>
        <v>1.9738562091503267</v>
      </c>
      <c r="H150" s="62">
        <f t="shared" si="50"/>
        <v>2.4120819848975188</v>
      </c>
      <c r="I150" s="62">
        <f t="shared" si="51"/>
        <v>2.8221678166036059</v>
      </c>
      <c r="J150" s="62">
        <f t="shared" ca="1" si="52"/>
        <v>1.7999750475655782</v>
      </c>
      <c r="K150" s="62">
        <f t="shared" ca="1" si="52"/>
        <v>2.0651944801238349</v>
      </c>
      <c r="L150" s="62">
        <f t="shared" ca="1" si="54"/>
        <v>1.9085480717966945</v>
      </c>
      <c r="M150" s="62">
        <f t="shared" ca="1" si="52"/>
        <v>2.0091843470061295</v>
      </c>
      <c r="N150" s="62">
        <f t="shared" ca="1" si="52"/>
        <v>1.8241303092455046</v>
      </c>
      <c r="O150" s="62">
        <f t="shared" ca="1" si="52"/>
        <v>1.6454160443562411</v>
      </c>
      <c r="P150" s="62">
        <f t="shared" ca="1" si="52"/>
        <v>1.6164980445502464</v>
      </c>
      <c r="Q150" s="62">
        <f t="shared" ca="1" si="52"/>
        <v>1.5059804601041831</v>
      </c>
      <c r="R150" s="62">
        <f t="shared" ca="1" si="52"/>
        <v>1.3504523247387736</v>
      </c>
      <c r="S150" s="62">
        <f t="shared" ca="1" si="52"/>
        <v>1.1971844589863088</v>
      </c>
      <c r="T150" s="62">
        <f t="shared" ca="1" si="52"/>
        <v>1.1562444864524262</v>
      </c>
      <c r="U150" s="62">
        <f t="shared" ca="1" si="52"/>
        <v>0.88860786173464013</v>
      </c>
      <c r="V150" s="62">
        <f t="shared" ca="1" si="52"/>
        <v>1.0994969408565602</v>
      </c>
      <c r="W150" s="62">
        <f t="shared" ca="1" si="52"/>
        <v>1.3549655576317037</v>
      </c>
      <c r="X150" s="62">
        <f t="shared" ca="1" si="52"/>
        <v>1.2934068263726946</v>
      </c>
      <c r="Y150" s="62">
        <f t="shared" ca="1" si="52"/>
        <v>1.3905498705461719</v>
      </c>
      <c r="Z150" s="17"/>
      <c r="AA150" s="17"/>
      <c r="AB150" s="17"/>
    </row>
    <row r="151" spans="1:28" x14ac:dyDescent="0.25">
      <c r="A151" s="50" t="str">
        <f t="shared" si="46"/>
        <v>DUK</v>
      </c>
      <c r="B151" s="45">
        <f t="shared" ca="1" si="47"/>
        <v>24</v>
      </c>
      <c r="C151" s="1">
        <f>IF(ISERROR(D151),"",IF(D151="","",MAX($C$137:C150)+1))</f>
        <v>13</v>
      </c>
      <c r="D151" t="str">
        <f t="shared" si="48"/>
        <v xml:space="preserve">Duke Energy                   </v>
      </c>
      <c r="E151" s="22"/>
      <c r="F151" s="62">
        <f t="shared" ca="1" si="53"/>
        <v>1.28342249556333</v>
      </c>
      <c r="G151" s="62">
        <f t="shared" si="49"/>
        <v>1.4874411302982731</v>
      </c>
      <c r="H151" s="62">
        <f t="shared" si="50"/>
        <v>1.6265647862136239</v>
      </c>
      <c r="I151" s="62">
        <f t="shared" si="51"/>
        <v>1.5759545085296507</v>
      </c>
      <c r="J151" s="62">
        <f t="shared" ca="1" si="52"/>
        <v>1.4676117082629845</v>
      </c>
      <c r="K151" s="62">
        <f t="shared" ca="1" si="52"/>
        <v>1.4668714563487524</v>
      </c>
      <c r="L151" s="62">
        <f t="shared" ca="1" si="54"/>
        <v>1.3303081083771631</v>
      </c>
      <c r="M151" s="62">
        <f t="shared" ca="1" si="52"/>
        <v>1.4102168480721822</v>
      </c>
      <c r="N151" s="62">
        <f t="shared" ca="1" si="52"/>
        <v>1.3450075913952815</v>
      </c>
      <c r="O151" s="62">
        <f t="shared" ca="1" si="52"/>
        <v>1.2935593924804738</v>
      </c>
      <c r="P151" s="62">
        <f t="shared" ca="1" si="52"/>
        <v>1.2795814235060106</v>
      </c>
      <c r="Q151" s="62">
        <f t="shared" ca="1" si="52"/>
        <v>1.1862967834509148</v>
      </c>
      <c r="R151" s="62">
        <f t="shared" ca="1" si="52"/>
        <v>1.1162221762800635</v>
      </c>
      <c r="S151" s="62">
        <f t="shared" ca="1" si="52"/>
        <v>1.1141767696519358</v>
      </c>
      <c r="T151" s="62">
        <f t="shared" ca="1" si="52"/>
        <v>1.0029108073556889</v>
      </c>
      <c r="U151" s="62">
        <f t="shared" ca="1" si="52"/>
        <v>0.90554039958276511</v>
      </c>
      <c r="V151" s="62">
        <f t="shared" ca="1" si="52"/>
        <v>1.0578123421876577</v>
      </c>
      <c r="W151" s="62">
        <f t="shared" ca="1" si="52"/>
        <v>1.1521061925831861</v>
      </c>
      <c r="X151" s="62" t="str">
        <f t="shared" ca="1" si="52"/>
        <v>N/A</v>
      </c>
      <c r="Y151" s="62" t="str">
        <f t="shared" ca="1" si="52"/>
        <v>N/A</v>
      </c>
      <c r="Z151" s="17"/>
      <c r="AA151" s="17"/>
      <c r="AB151" s="17"/>
    </row>
    <row r="152" spans="1:28" x14ac:dyDescent="0.25">
      <c r="A152" s="50" t="str">
        <f t="shared" si="46"/>
        <v>EIX</v>
      </c>
      <c r="B152" s="45">
        <f t="shared" ca="1" si="47"/>
        <v>25</v>
      </c>
      <c r="C152" s="1">
        <f>IF(ISERROR(D152),"",IF(D152="","",MAX($C$137:C151)+1))</f>
        <v>14</v>
      </c>
      <c r="D152" t="str">
        <f t="shared" si="48"/>
        <v xml:space="preserve">Edison Int'l                  </v>
      </c>
      <c r="E152" s="22"/>
      <c r="F152" s="62">
        <f t="shared" ca="1" si="53"/>
        <v>1.7005376130156236</v>
      </c>
      <c r="G152" s="62">
        <f t="shared" si="49"/>
        <v>1.855913381454747</v>
      </c>
      <c r="H152" s="62">
        <f t="shared" si="50"/>
        <v>2.078450520833333</v>
      </c>
      <c r="I152" s="62">
        <f t="shared" si="51"/>
        <v>1.6748701121137544</v>
      </c>
      <c r="J152" s="62">
        <f t="shared" ca="1" si="52"/>
        <v>1.6202832097100472</v>
      </c>
      <c r="K152" s="62">
        <f t="shared" ca="1" si="52"/>
        <v>1.8039727891156465</v>
      </c>
      <c r="L152" s="62">
        <f t="shared" ca="1" si="54"/>
        <v>1.9680383788667022</v>
      </c>
      <c r="M152" s="62">
        <f t="shared" ca="1" si="52"/>
        <v>2.1698724212054383</v>
      </c>
      <c r="N152" s="62">
        <f t="shared" ca="1" si="52"/>
        <v>1.9175968929085525</v>
      </c>
      <c r="O152" s="62">
        <f t="shared" ca="1" si="52"/>
        <v>1.756384167836978</v>
      </c>
      <c r="P152" s="62">
        <f t="shared" ca="1" si="52"/>
        <v>1.6797764499539225</v>
      </c>
      <c r="Q152" s="62">
        <f t="shared" ca="1" si="52"/>
        <v>1.5737984394465936</v>
      </c>
      <c r="R152" s="62">
        <f t="shared" ca="1" si="52"/>
        <v>1.5256140108466612</v>
      </c>
      <c r="S152" s="62">
        <f t="shared" ca="1" si="52"/>
        <v>1.2358316321570915</v>
      </c>
      <c r="T152" s="62">
        <f t="shared" ca="1" si="52"/>
        <v>1.065563158868134</v>
      </c>
      <c r="U152" s="62">
        <f t="shared" ca="1" si="52"/>
        <v>1.0424433040887271</v>
      </c>
      <c r="V152" s="62">
        <f t="shared" ca="1" si="52"/>
        <v>1.5568298527901403</v>
      </c>
      <c r="W152" s="62">
        <f t="shared" ca="1" si="52"/>
        <v>2.0532469035768028</v>
      </c>
      <c r="X152" s="62">
        <f t="shared" ca="1" si="52"/>
        <v>1.8003888254934277</v>
      </c>
      <c r="Y152" s="62">
        <f t="shared" ca="1" si="52"/>
        <v>1.9313401960301435</v>
      </c>
      <c r="Z152" s="17"/>
      <c r="AA152" s="17"/>
      <c r="AB152" s="17"/>
    </row>
    <row r="153" spans="1:28" x14ac:dyDescent="0.25">
      <c r="A153" s="50" t="str">
        <f t="shared" si="46"/>
        <v>EE</v>
      </c>
      <c r="B153" s="45">
        <f t="shared" ca="1" si="47"/>
        <v>26</v>
      </c>
      <c r="C153" s="1">
        <f>IF(ISERROR(D153),"",IF(D153="","",MAX($C$137:C152)+1))</f>
        <v>15</v>
      </c>
      <c r="D153" t="str">
        <f t="shared" si="48"/>
        <v xml:space="preserve">El Paso Electric              </v>
      </c>
      <c r="E153" s="22"/>
      <c r="F153" s="62">
        <f t="shared" ca="1" si="53"/>
        <v>1.5608579467967636</v>
      </c>
      <c r="G153" s="62" t="str">
        <f t="shared" si="49"/>
        <v>N/A</v>
      </c>
      <c r="H153" s="62" t="str">
        <f t="shared" si="50"/>
        <v>N/A</v>
      </c>
      <c r="I153" s="62" t="str">
        <f t="shared" si="51"/>
        <v>N/A</v>
      </c>
      <c r="J153" s="62" t="str">
        <f t="shared" ca="1" si="52"/>
        <v>N/A</v>
      </c>
      <c r="K153" s="62" t="str">
        <f t="shared" ca="1" si="52"/>
        <v>N/A</v>
      </c>
      <c r="L153" s="62">
        <f t="shared" ca="1" si="54"/>
        <v>1.9422680412371136</v>
      </c>
      <c r="M153" s="62">
        <f t="shared" ca="1" si="52"/>
        <v>1.873112319226806</v>
      </c>
      <c r="N153" s="62">
        <f t="shared" ca="1" si="52"/>
        <v>1.6815627710525325</v>
      </c>
      <c r="O153" s="62">
        <f t="shared" ca="1" si="52"/>
        <v>1.4802864531529738</v>
      </c>
      <c r="P153" s="62">
        <f t="shared" ca="1" si="52"/>
        <v>1.5248677682561811</v>
      </c>
      <c r="Q153" s="62">
        <f t="shared" ca="1" si="52"/>
        <v>1.490315699658703</v>
      </c>
      <c r="R153" s="62">
        <f t="shared" ca="1" si="52"/>
        <v>1.590411824767832</v>
      </c>
      <c r="S153" s="62">
        <f t="shared" ca="1" si="52"/>
        <v>1.641753390097761</v>
      </c>
      <c r="T153" s="62">
        <f t="shared" ca="1" si="52"/>
        <v>1.165686068501786</v>
      </c>
      <c r="U153" s="62">
        <f t="shared" ca="1" si="52"/>
        <v>0.9839552692354443</v>
      </c>
      <c r="V153" s="62">
        <f t="shared" ca="1" si="52"/>
        <v>1.330380810758389</v>
      </c>
      <c r="W153" s="62">
        <f t="shared" ca="1" si="52"/>
        <v>1.6851161845403428</v>
      </c>
      <c r="X153" s="62">
        <f t="shared" ca="1" si="52"/>
        <v>1.7050702213758631</v>
      </c>
      <c r="Y153" s="62">
        <f t="shared" ca="1" si="52"/>
        <v>1.7572244332929572</v>
      </c>
      <c r="Z153" s="17"/>
      <c r="AA153" s="17"/>
      <c r="AB153" s="17"/>
    </row>
    <row r="154" spans="1:28" x14ac:dyDescent="0.25">
      <c r="A154" s="50" t="str">
        <f t="shared" si="46"/>
        <v>ETR</v>
      </c>
      <c r="B154" s="45">
        <f t="shared" ca="1" si="47"/>
        <v>28</v>
      </c>
      <c r="C154" s="1">
        <f>IF(ISERROR(D154),"",IF(D154="","",MAX($C$137:C153)+1))</f>
        <v>16</v>
      </c>
      <c r="D154" t="str">
        <f t="shared" si="48"/>
        <v xml:space="preserve">Entergy Corp.                 </v>
      </c>
      <c r="E154" s="22"/>
      <c r="F154" s="62">
        <f t="shared" ca="1" si="53"/>
        <v>1.7362823285626181</v>
      </c>
      <c r="G154" s="62">
        <f t="shared" si="49"/>
        <v>1.4483260553129549</v>
      </c>
      <c r="H154" s="62">
        <f t="shared" si="50"/>
        <v>1.8053745928338762</v>
      </c>
      <c r="I154" s="62">
        <f t="shared" si="51"/>
        <v>1.7485196795541624</v>
      </c>
      <c r="J154" s="62">
        <f t="shared" ca="1" si="52"/>
        <v>1.9290557876988492</v>
      </c>
      <c r="K154" s="62">
        <f t="shared" ref="K154:K183" ca="1" si="55">IFERROR(IF(INDEX(MP_BV_WP,$B154,K$138)=0,"N/A",INDEX(MP_BV_WP,$B154,K$138)),"N/A")</f>
        <v>2.025303387420379</v>
      </c>
      <c r="L154" s="62">
        <f t="shared" ca="1" si="54"/>
        <v>1.7356832902246639</v>
      </c>
      <c r="M154" s="62">
        <f t="shared" ca="1" si="52"/>
        <v>1.7593730237600504</v>
      </c>
      <c r="N154" s="62">
        <f t="shared" ca="1" si="52"/>
        <v>1.6655141077642575</v>
      </c>
      <c r="O154" s="62">
        <f t="shared" ca="1" si="52"/>
        <v>1.4028444238885356</v>
      </c>
      <c r="P154" s="62">
        <f t="shared" ca="1" si="52"/>
        <v>1.3316258910341368</v>
      </c>
      <c r="Q154" s="62">
        <f t="shared" ca="1" si="52"/>
        <v>1.2136587533795045</v>
      </c>
      <c r="R154" s="62">
        <f t="shared" ca="1" si="52"/>
        <v>1.3062928951184145</v>
      </c>
      <c r="S154" s="62">
        <f t="shared" ca="1" si="52"/>
        <v>1.3464202778761758</v>
      </c>
      <c r="T154" s="62">
        <f t="shared" ca="1" si="52"/>
        <v>1.6211894894073591</v>
      </c>
      <c r="U154" s="62">
        <f t="shared" ca="1" si="52"/>
        <v>1.6572840048303874</v>
      </c>
      <c r="V154" s="62">
        <f t="shared" ca="1" si="52"/>
        <v>2.4398992179886383</v>
      </c>
      <c r="W154" s="62">
        <f t="shared" ca="1" si="52"/>
        <v>2.6549835437441667</v>
      </c>
      <c r="X154" s="62">
        <f t="shared" ca="1" si="52"/>
        <v>1.8917428924598267</v>
      </c>
      <c r="Y154" s="62">
        <f t="shared" ca="1" si="52"/>
        <v>2.0062729283934018</v>
      </c>
      <c r="Z154" s="17"/>
      <c r="AA154" s="17"/>
      <c r="AB154" s="17"/>
    </row>
    <row r="155" spans="1:28" x14ac:dyDescent="0.25">
      <c r="A155" s="50" t="str">
        <f t="shared" si="46"/>
        <v>ES</v>
      </c>
      <c r="B155" s="45">
        <f t="shared" ca="1" si="47"/>
        <v>29</v>
      </c>
      <c r="C155" s="1">
        <f>IF(ISERROR(D155),"",IF(D155="","",MAX($C$137:C154)+1))</f>
        <v>17</v>
      </c>
      <c r="D155" t="str">
        <f t="shared" si="48"/>
        <v xml:space="preserve">Eversource Energy    </v>
      </c>
      <c r="E155" s="22"/>
      <c r="F155" s="62">
        <f t="shared" ca="1" si="53"/>
        <v>1.5518209715484956</v>
      </c>
      <c r="G155" s="62">
        <f t="shared" si="49"/>
        <v>1.711467324290999</v>
      </c>
      <c r="H155" s="62">
        <f t="shared" si="50"/>
        <v>1.858815582076109</v>
      </c>
      <c r="I155" s="62">
        <f t="shared" si="51"/>
        <v>1.9969332389714556</v>
      </c>
      <c r="J155" s="62">
        <f t="shared" ref="J155:J183" ca="1" si="56">IFERROR(IF(INDEX(MP_BV_WP,$B155,J$138)=0,"N/A",INDEX(MP_BV_WP,$B155,J$138)),"N/A")</f>
        <v>2.1064940132172558</v>
      </c>
      <c r="K155" s="62">
        <f t="shared" ca="1" si="55"/>
        <v>1.9924517460234543</v>
      </c>
      <c r="L155" s="62">
        <f t="shared" ca="1" si="54"/>
        <v>1.6793014979723577</v>
      </c>
      <c r="M155" s="62">
        <f t="shared" ref="M155:M183" ca="1" si="57">IFERROR(IF(INDEX(MP_BV_WP,$B155,M$138)=0,"N/A",INDEX(MP_BV_WP,$B155,M$138)),"N/A")</f>
        <v>1.7303701586394169</v>
      </c>
      <c r="N155" s="62">
        <f t="shared" ref="N155:N178" ca="1" si="58">IFERROR(IF(INDEX(MP_BV_WP,$B155,N$138)=0,"N/A",INDEX(MP_BV_WP,$B155,N$138)),"N/A")</f>
        <v>1.6367482176138213</v>
      </c>
      <c r="O155" s="62">
        <f t="shared" ref="O155:Y178" ca="1" si="59">IFERROR(IF(INDEX(MP_BV_WP,$B155,O$138)=0,"N/A",INDEX(MP_BV_WP,$B155,O$138)),"N/A")</f>
        <v>1.5314826730398012</v>
      </c>
      <c r="P155" s="62">
        <f t="shared" ca="1" si="59"/>
        <v>1.4689267331765901</v>
      </c>
      <c r="Q155" s="62">
        <f t="shared" ca="1" si="59"/>
        <v>1.3836843141113953</v>
      </c>
      <c r="R155" s="62">
        <f t="shared" ca="1" si="59"/>
        <v>1.275873793009656</v>
      </c>
      <c r="S155" s="62">
        <f t="shared" ca="1" si="59"/>
        <v>1.5045033112582782</v>
      </c>
      <c r="T155" s="62">
        <f t="shared" ca="1" si="59"/>
        <v>1.3051067179036067</v>
      </c>
      <c r="U155" s="62">
        <f t="shared" ca="1" si="59"/>
        <v>1.1212879791881412</v>
      </c>
      <c r="V155" s="62">
        <f t="shared" ca="1" si="59"/>
        <v>1.3111134041894539</v>
      </c>
      <c r="W155" s="62">
        <f t="shared" ca="1" si="59"/>
        <v>1.5980055758095646</v>
      </c>
      <c r="X155" s="62">
        <f t="shared" ca="1" si="59"/>
        <v>1.2232265887670175</v>
      </c>
      <c r="Y155" s="62">
        <f t="shared" ca="1" si="59"/>
        <v>1.0488055901630464</v>
      </c>
      <c r="Z155" s="17"/>
      <c r="AA155" s="17"/>
      <c r="AB155" s="17"/>
    </row>
    <row r="156" spans="1:28" x14ac:dyDescent="0.25">
      <c r="A156" s="50" t="s">
        <v>447</v>
      </c>
      <c r="B156" s="45" t="e">
        <f ca="1">MATCH(A156,OFFSET(MP_BV_WP,0,0,,1),0)</f>
        <v>#N/A</v>
      </c>
      <c r="C156" s="1">
        <f>IF(ISERROR(D156),"",IF(D156="","",MAX($C$137:C155)+1))</f>
        <v>18</v>
      </c>
      <c r="D156" t="s">
        <v>448</v>
      </c>
      <c r="E156" s="22"/>
      <c r="F156" s="62">
        <f t="shared" ca="1" si="53"/>
        <v>1.4461849250805949</v>
      </c>
      <c r="G156" s="62">
        <f t="shared" si="49"/>
        <v>1.3149882903981265</v>
      </c>
      <c r="H156" s="62">
        <f t="shared" si="50"/>
        <v>1.5193502150023888</v>
      </c>
      <c r="I156" s="62">
        <f t="shared" si="51"/>
        <v>1.50421626984127</v>
      </c>
      <c r="J156" s="62" t="str">
        <f t="shared" ca="1" si="56"/>
        <v>N/A</v>
      </c>
      <c r="K156" s="62" t="str">
        <f t="shared" ca="1" si="55"/>
        <v>N/A</v>
      </c>
      <c r="L156" s="62" t="str">
        <f t="shared" ca="1" si="54"/>
        <v>N/A</v>
      </c>
      <c r="M156" s="62" t="str">
        <f t="shared" ca="1" si="57"/>
        <v>N/A</v>
      </c>
      <c r="N156" s="62" t="str">
        <f t="shared" ca="1" si="58"/>
        <v>N/A</v>
      </c>
      <c r="O156" s="62" t="str">
        <f t="shared" ref="O156:Y156" ca="1" si="60">IFERROR(IF(INDEX(MP_BV_WP,$B156,O$138)=0,"N/A",INDEX(MP_BV_WP,$B156,O$138)),"N/A")</f>
        <v>N/A</v>
      </c>
      <c r="P156" s="62" t="str">
        <f t="shared" ca="1" si="60"/>
        <v>N/A</v>
      </c>
      <c r="Q156" s="62" t="str">
        <f t="shared" ca="1" si="60"/>
        <v>N/A</v>
      </c>
      <c r="R156" s="62" t="str">
        <f t="shared" ca="1" si="60"/>
        <v>N/A</v>
      </c>
      <c r="S156" s="62" t="str">
        <f t="shared" ca="1" si="60"/>
        <v>N/A</v>
      </c>
      <c r="T156" s="62" t="str">
        <f t="shared" ca="1" si="60"/>
        <v>N/A</v>
      </c>
      <c r="U156" s="62" t="str">
        <f t="shared" ca="1" si="60"/>
        <v>N/A</v>
      </c>
      <c r="V156" s="62" t="str">
        <f t="shared" ca="1" si="60"/>
        <v>N/A</v>
      </c>
      <c r="W156" s="62" t="str">
        <f t="shared" ca="1" si="60"/>
        <v>N/A</v>
      </c>
      <c r="X156" s="62" t="str">
        <f t="shared" ca="1" si="60"/>
        <v>N/A</v>
      </c>
      <c r="Y156" s="62" t="str">
        <f t="shared" ca="1" si="60"/>
        <v>N/A</v>
      </c>
      <c r="Z156" s="17"/>
      <c r="AA156" s="17"/>
      <c r="AB156" s="17"/>
    </row>
    <row r="157" spans="1:28" x14ac:dyDescent="0.25">
      <c r="A157" s="50" t="str">
        <f t="shared" ref="A157:A183" si="61">A31</f>
        <v>EXC</v>
      </c>
      <c r="B157" s="45">
        <f ca="1">MATCH(A157,OFFSET(MP_BV_WP,0,0,,1),0)</f>
        <v>30</v>
      </c>
      <c r="C157" s="1">
        <f>IF(ISERROR(D157),"",IF(D157="","",MAX($C$137:C156)+1))</f>
        <v>19</v>
      </c>
      <c r="D157" t="str">
        <f t="shared" ref="D157:D183" si="62">D31</f>
        <v xml:space="preserve">Exelon Corp.                  </v>
      </c>
      <c r="E157" s="22"/>
      <c r="F157" s="62">
        <f t="shared" ca="1" si="53"/>
        <v>2.0752566714312803</v>
      </c>
      <c r="G157" s="62">
        <f t="shared" si="49"/>
        <v>1.5224980605120249</v>
      </c>
      <c r="H157" s="62">
        <f t="shared" si="50"/>
        <v>1.8762555243069508</v>
      </c>
      <c r="I157" s="62">
        <f t="shared" si="51"/>
        <v>1.3720466837460858</v>
      </c>
      <c r="J157" s="62">
        <f t="shared" ca="1" si="56"/>
        <v>1.1985862337506739</v>
      </c>
      <c r="K157" s="62">
        <f t="shared" ca="1" si="55"/>
        <v>1.4313364333595022</v>
      </c>
      <c r="L157" s="62">
        <f t="shared" ca="1" si="54"/>
        <v>1.3088906372934699</v>
      </c>
      <c r="M157" s="62">
        <f t="shared" ca="1" si="57"/>
        <v>1.2028845223114897</v>
      </c>
      <c r="N157" s="62">
        <f t="shared" ca="1" si="58"/>
        <v>1.2026036264797395</v>
      </c>
      <c r="O157" s="62">
        <f t="shared" ca="1" si="59"/>
        <v>1.1392752692774093</v>
      </c>
      <c r="P157" s="62">
        <f t="shared" ca="1" si="59"/>
        <v>1.2793519187616476</v>
      </c>
      <c r="Q157" s="62">
        <f t="shared" ca="1" si="59"/>
        <v>1.1702368381354655</v>
      </c>
      <c r="R157" s="62">
        <f t="shared" ca="1" si="59"/>
        <v>1.460992342054882</v>
      </c>
      <c r="S157" s="62">
        <f t="shared" ca="1" si="59"/>
        <v>1.9543463223426334</v>
      </c>
      <c r="T157" s="62">
        <f t="shared" ca="1" si="59"/>
        <v>2.0720909800859042</v>
      </c>
      <c r="U157" s="62">
        <f t="shared" ca="1" si="59"/>
        <v>2.5723680776658489</v>
      </c>
      <c r="V157" s="62">
        <f t="shared" ca="1" si="59"/>
        <v>4.389991063449509</v>
      </c>
      <c r="W157" s="62">
        <f t="shared" ca="1" si="59"/>
        <v>4.7874046548014864</v>
      </c>
      <c r="X157" s="62">
        <f t="shared" ca="1" si="59"/>
        <v>3.8856797420741538</v>
      </c>
      <c r="Y157" s="62">
        <f t="shared" ca="1" si="59"/>
        <v>3.6030378267854535</v>
      </c>
      <c r="Z157" s="17"/>
      <c r="AA157" s="17"/>
      <c r="AB157" s="17"/>
    </row>
    <row r="158" spans="1:28" x14ac:dyDescent="0.25">
      <c r="A158" s="50" t="str">
        <f t="shared" si="61"/>
        <v>FE</v>
      </c>
      <c r="B158" s="45">
        <f t="shared" ref="B158:B183" ca="1" si="63">MATCH(A158,OFFSET(MP_BV_WP,0,0,,1),0)</f>
        <v>31</v>
      </c>
      <c r="C158" s="1">
        <f>IF(ISERROR(D158),"",IF(D158="","",MAX($C$137:C157)+1))</f>
        <v>20</v>
      </c>
      <c r="D158" t="str">
        <f t="shared" si="62"/>
        <v xml:space="preserve">FirstEnergy Corp.             </v>
      </c>
      <c r="E158" s="22"/>
      <c r="F158" s="62">
        <f t="shared" ca="1" si="53"/>
        <v>2.0588165130289919</v>
      </c>
      <c r="G158" s="62">
        <f t="shared" si="49"/>
        <v>2.0776004402861856</v>
      </c>
      <c r="H158" s="62">
        <f t="shared" si="50"/>
        <v>2.3663477771525043</v>
      </c>
      <c r="I158" s="62">
        <f t="shared" si="51"/>
        <v>2.3339907955292571</v>
      </c>
      <c r="J158" s="62">
        <f t="shared" ca="1" si="56"/>
        <v>2.8093058161350846</v>
      </c>
      <c r="K158" s="62">
        <f t="shared" ca="1" si="55"/>
        <v>3.3909774436090228</v>
      </c>
      <c r="L158" s="62">
        <f t="shared" ca="1" si="54"/>
        <v>2.6731703613726085</v>
      </c>
      <c r="M158" s="62">
        <f t="shared" ca="1" si="57"/>
        <v>3.5336963921034719</v>
      </c>
      <c r="N158" s="62">
        <f t="shared" ca="1" si="58"/>
        <v>2.3686299525125802</v>
      </c>
      <c r="O158" s="62">
        <f t="shared" ca="1" si="59"/>
        <v>1.1609548167092925</v>
      </c>
      <c r="P158" s="62">
        <f t="shared" ca="1" si="59"/>
        <v>1.1467078049772834</v>
      </c>
      <c r="Q158" s="62">
        <f t="shared" ca="1" si="59"/>
        <v>1.2788442509400355</v>
      </c>
      <c r="R158" s="62">
        <f t="shared" ca="1" si="59"/>
        <v>1.4362154387086463</v>
      </c>
      <c r="S158" s="62">
        <f t="shared" ca="1" si="59"/>
        <v>1.3256282673049065</v>
      </c>
      <c r="T158" s="62">
        <f t="shared" ca="1" si="59"/>
        <v>1.3620148401826484</v>
      </c>
      <c r="U158" s="62">
        <f t="shared" ca="1" si="59"/>
        <v>1.5400505752039035</v>
      </c>
      <c r="V158" s="62">
        <f t="shared" ca="1" si="59"/>
        <v>2.5216399234506111</v>
      </c>
      <c r="W158" s="62">
        <f t="shared" ca="1" si="59"/>
        <v>2.2335902747122143</v>
      </c>
      <c r="X158" s="62">
        <f t="shared" ca="1" si="59"/>
        <v>1.9202967673555909</v>
      </c>
      <c r="Y158" s="62">
        <f t="shared" ca="1" si="59"/>
        <v>1.6378518093049972</v>
      </c>
      <c r="Z158" s="17"/>
      <c r="AA158" s="17"/>
      <c r="AB158" s="17"/>
    </row>
    <row r="159" spans="1:28" x14ac:dyDescent="0.25">
      <c r="A159" s="50" t="str">
        <f t="shared" si="61"/>
        <v>FTS.TO</v>
      </c>
      <c r="B159" s="45">
        <f t="shared" ca="1" si="63"/>
        <v>32</v>
      </c>
      <c r="C159" s="1">
        <f>IF(ISERROR(D159),"",IF(D159="","",MAX($C$137:C158)+1))</f>
        <v>21</v>
      </c>
      <c r="D159" t="str">
        <f t="shared" si="62"/>
        <v>Fortis Inc.</v>
      </c>
      <c r="E159" s="22"/>
      <c r="F159" s="62">
        <f t="shared" ca="1" si="53"/>
        <v>1.4731708366774936</v>
      </c>
      <c r="G159" s="62">
        <f t="shared" si="49"/>
        <v>1.4258409785932722</v>
      </c>
      <c r="H159" s="62">
        <f t="shared" si="50"/>
        <v>1.5587266739846324</v>
      </c>
      <c r="I159" s="62">
        <f t="shared" si="51"/>
        <v>1.4821284600913733</v>
      </c>
      <c r="J159" s="62">
        <f t="shared" ca="1" si="56"/>
        <v>1.4664406594307899</v>
      </c>
      <c r="K159" s="62">
        <f t="shared" ca="1" si="55"/>
        <v>1.411070009590355</v>
      </c>
      <c r="L159" s="62">
        <f t="shared" ca="1" si="54"/>
        <v>1.2369812622140477</v>
      </c>
      <c r="M159" s="62">
        <f t="shared" ca="1" si="57"/>
        <v>1.4072826839554353</v>
      </c>
      <c r="N159" s="62">
        <f t="shared" ca="1" si="58"/>
        <v>1.2634689772551448</v>
      </c>
      <c r="O159" s="62">
        <f t="shared" ca="1" si="59"/>
        <v>1.3269405435617969</v>
      </c>
      <c r="P159" s="62">
        <f t="shared" ca="1" si="59"/>
        <v>1.3462542679252862</v>
      </c>
      <c r="Q159" s="62">
        <f t="shared" ca="1" si="59"/>
        <v>1.4540784418833201</v>
      </c>
      <c r="R159" s="62">
        <f t="shared" ca="1" si="59"/>
        <v>1.5932626325639425</v>
      </c>
      <c r="S159" s="62">
        <f t="shared" ca="1" si="59"/>
        <v>1.5925871809857781</v>
      </c>
      <c r="T159" s="62">
        <f t="shared" ca="1" si="59"/>
        <v>1.5570682285895203</v>
      </c>
      <c r="U159" s="62">
        <f t="shared" ca="1" si="59"/>
        <v>1.3307124777855568</v>
      </c>
      <c r="V159" s="62">
        <f t="shared" ca="1" si="59"/>
        <v>1.4760317724823642</v>
      </c>
      <c r="W159" s="62">
        <f t="shared" ca="1" si="59"/>
        <v>1.627122697919158</v>
      </c>
      <c r="X159" s="62">
        <f t="shared" ca="1" si="59"/>
        <v>1.9610771113831089</v>
      </c>
      <c r="Y159" s="62" t="str">
        <f t="shared" ca="1" si="59"/>
        <v>N/A</v>
      </c>
      <c r="Z159" s="17"/>
      <c r="AA159" s="17"/>
      <c r="AB159" s="17"/>
    </row>
    <row r="160" spans="1:28" x14ac:dyDescent="0.25">
      <c r="A160" s="50" t="str">
        <f t="shared" si="61"/>
        <v>GXP</v>
      </c>
      <c r="B160" s="45">
        <f t="shared" ca="1" si="63"/>
        <v>34</v>
      </c>
      <c r="C160" s="1">
        <f>IF(ISERROR(D160),"",IF(D160="","",MAX($C$137:C159)+1))</f>
        <v>22</v>
      </c>
      <c r="D160" t="str">
        <f t="shared" si="62"/>
        <v xml:space="preserve">Great Plains Energy             </v>
      </c>
      <c r="E160" s="22"/>
      <c r="F160" s="62">
        <f t="shared" ca="1" si="53"/>
        <v>1.2097662238612388</v>
      </c>
      <c r="G160" s="62" t="str">
        <f t="shared" si="49"/>
        <v>N/A</v>
      </c>
      <c r="H160" s="62" t="str">
        <f t="shared" si="50"/>
        <v>N/A</v>
      </c>
      <c r="I160" s="62" t="str">
        <f t="shared" si="51"/>
        <v>N/A</v>
      </c>
      <c r="J160" s="62" t="str">
        <f t="shared" ca="1" si="56"/>
        <v>N/A</v>
      </c>
      <c r="K160" s="62" t="str">
        <f t="shared" ca="1" si="55"/>
        <v>N/A</v>
      </c>
      <c r="L160" s="62" t="str">
        <f t="shared" ca="1" si="54"/>
        <v>N/A</v>
      </c>
      <c r="M160" s="62">
        <f t="shared" ca="1" si="57"/>
        <v>1.3336229365768899</v>
      </c>
      <c r="N160" s="62">
        <f t="shared" ca="1" si="58"/>
        <v>1.170555173668675</v>
      </c>
      <c r="O160" s="62">
        <f t="shared" ca="1" si="59"/>
        <v>1.120349647396647</v>
      </c>
      <c r="P160" s="62">
        <f t="shared" ca="1" si="59"/>
        <v>1.1115983148482504</v>
      </c>
      <c r="Q160" s="62">
        <f t="shared" ca="1" si="59"/>
        <v>1.0177582923696913</v>
      </c>
      <c r="R160" s="62">
        <f t="shared" ca="1" si="59"/>
        <v>0.96396230751551371</v>
      </c>
      <c r="S160" s="62">
        <f t="shared" ca="1" si="59"/>
        <v>0.9259463686122994</v>
      </c>
      <c r="T160" s="62">
        <f t="shared" ca="1" si="59"/>
        <v>0.87020926404890664</v>
      </c>
      <c r="U160" s="62">
        <f t="shared" ca="1" si="59"/>
        <v>0.80083410115901266</v>
      </c>
      <c r="V160" s="62">
        <f t="shared" ca="1" si="59"/>
        <v>1.1143631943145689</v>
      </c>
      <c r="W160" s="62">
        <f t="shared" ca="1" si="59"/>
        <v>1.6633483665163349</v>
      </c>
      <c r="X160" s="62">
        <f t="shared" ca="1" si="59"/>
        <v>1.7749835339201243</v>
      </c>
      <c r="Y160" s="62">
        <f t="shared" ca="1" si="59"/>
        <v>1.8594294092491905</v>
      </c>
      <c r="Z160" s="17"/>
      <c r="AA160" s="17"/>
      <c r="AB160" s="17"/>
    </row>
    <row r="161" spans="1:28" x14ac:dyDescent="0.25">
      <c r="A161" s="50" t="str">
        <f t="shared" si="61"/>
        <v>HE</v>
      </c>
      <c r="B161" s="45">
        <f t="shared" ca="1" si="63"/>
        <v>35</v>
      </c>
      <c r="C161" s="1">
        <f>IF(ISERROR(D161),"",IF(D161="","",MAX($C$137:C160)+1))</f>
        <v>23</v>
      </c>
      <c r="D161" t="str">
        <f t="shared" si="62"/>
        <v xml:space="preserve">Hawaiian Elec.                </v>
      </c>
      <c r="E161" s="22"/>
      <c r="F161" s="62">
        <f t="shared" ca="1" si="53"/>
        <v>1.6546347361414881</v>
      </c>
      <c r="G161" s="62">
        <f t="shared" si="49"/>
        <v>1.2400187881634572</v>
      </c>
      <c r="H161" s="62">
        <f t="shared" si="50"/>
        <v>1.9358846918489065</v>
      </c>
      <c r="I161" s="62">
        <f t="shared" si="51"/>
        <v>1.80612711476909</v>
      </c>
      <c r="J161" s="62">
        <f t="shared" ca="1" si="56"/>
        <v>1.8158718296043719</v>
      </c>
      <c r="K161" s="62">
        <f t="shared" ca="1" si="55"/>
        <v>2.0227479091995222</v>
      </c>
      <c r="L161" s="62">
        <f t="shared" ca="1" si="54"/>
        <v>1.7648924920690869</v>
      </c>
      <c r="M161" s="62">
        <f t="shared" ca="1" si="57"/>
        <v>1.7602178423236512</v>
      </c>
      <c r="N161" s="62">
        <f t="shared" ca="1" si="58"/>
        <v>1.6309761479457814</v>
      </c>
      <c r="O161" s="62">
        <f t="shared" ca="1" si="59"/>
        <v>1.7060987847028655</v>
      </c>
      <c r="P161" s="62">
        <f t="shared" ca="1" si="59"/>
        <v>1.4911828695751745</v>
      </c>
      <c r="Q161" s="62">
        <f t="shared" ca="1" si="59"/>
        <v>1.5399272983114447</v>
      </c>
      <c r="R161" s="62">
        <f t="shared" ca="1" si="59"/>
        <v>1.6225116736298846</v>
      </c>
      <c r="S161" s="62">
        <f t="shared" ca="1" si="59"/>
        <v>1.5427872860635699</v>
      </c>
      <c r="T161" s="62">
        <f t="shared" ca="1" si="59"/>
        <v>1.4354735767168751</v>
      </c>
      <c r="U161" s="62">
        <f t="shared" ca="1" si="59"/>
        <v>1.1554999358233859</v>
      </c>
      <c r="V161" s="62">
        <f t="shared" ca="1" si="59"/>
        <v>1.6144625407166124</v>
      </c>
      <c r="W161" s="62">
        <f t="shared" ca="1" si="59"/>
        <v>1.5664944070124942</v>
      </c>
      <c r="X161" s="62">
        <f t="shared" ca="1" si="59"/>
        <v>2.0110078095946449</v>
      </c>
      <c r="Y161" s="62">
        <f t="shared" ca="1" si="59"/>
        <v>1.7758769886174532</v>
      </c>
      <c r="Z161" s="17"/>
      <c r="AA161" s="17"/>
      <c r="AB161" s="17"/>
    </row>
    <row r="162" spans="1:28" x14ac:dyDescent="0.25">
      <c r="A162" s="50" t="str">
        <f t="shared" si="61"/>
        <v>IDA</v>
      </c>
      <c r="B162" s="45">
        <f t="shared" ca="1" si="63"/>
        <v>36</v>
      </c>
      <c r="C162" s="1">
        <f>IF(ISERROR(D162),"",IF(D162="","",MAX($C$137:C161)+1))</f>
        <v>24</v>
      </c>
      <c r="D162" t="str">
        <f t="shared" si="62"/>
        <v xml:space="preserve">IDACORP, Inc.                 </v>
      </c>
      <c r="E162" s="22"/>
      <c r="F162" s="62">
        <f t="shared" ca="1" si="53"/>
        <v>1.5168515311236357</v>
      </c>
      <c r="G162" s="62">
        <f t="shared" si="49"/>
        <v>1.7505222841225627</v>
      </c>
      <c r="H162" s="62">
        <f t="shared" si="50"/>
        <v>1.9128242074927952</v>
      </c>
      <c r="I162" s="62">
        <f t="shared" si="51"/>
        <v>1.8847027641045058</v>
      </c>
      <c r="J162" s="62">
        <f t="shared" ca="1" si="56"/>
        <v>1.83789004750547</v>
      </c>
      <c r="K162" s="62">
        <f t="shared" ca="1" si="55"/>
        <v>2.1039032772799806</v>
      </c>
      <c r="L162" s="62">
        <f t="shared" ca="1" si="54"/>
        <v>1.9581808899855357</v>
      </c>
      <c r="M162" s="62">
        <f t="shared" ca="1" si="57"/>
        <v>1.9422883120954919</v>
      </c>
      <c r="N162" s="62">
        <f t="shared" ca="1" si="58"/>
        <v>1.7571304897166524</v>
      </c>
      <c r="O162" s="62">
        <f t="shared" ca="1" si="59"/>
        <v>1.535360454022848</v>
      </c>
      <c r="P162" s="62">
        <f t="shared" ca="1" si="59"/>
        <v>1.4531065012611315</v>
      </c>
      <c r="Q162" s="62">
        <f t="shared" ca="1" si="59"/>
        <v>1.3288366538190111</v>
      </c>
      <c r="R162" s="62">
        <f t="shared" ca="1" si="59"/>
        <v>1.1926422358477116</v>
      </c>
      <c r="S162" s="62">
        <f t="shared" ca="1" si="59"/>
        <v>1.1679373210788007</v>
      </c>
      <c r="T162" s="62">
        <f t="shared" ca="1" si="59"/>
        <v>1.1250846473831866</v>
      </c>
      <c r="U162" s="62">
        <f t="shared" ca="1" si="59"/>
        <v>0.92277370261191471</v>
      </c>
      <c r="V162" s="62">
        <f t="shared" ca="1" si="59"/>
        <v>1.093591267696963</v>
      </c>
      <c r="W162" s="62">
        <f t="shared" ca="1" si="59"/>
        <v>1.2630636010749479</v>
      </c>
      <c r="X162" s="62">
        <f t="shared" ca="1" si="59"/>
        <v>1.3744469455872081</v>
      </c>
      <c r="Y162" s="62">
        <f t="shared" ca="1" si="59"/>
        <v>1.2158934886623673</v>
      </c>
      <c r="Z162" s="17"/>
      <c r="AA162" s="17"/>
      <c r="AB162" s="17"/>
    </row>
    <row r="163" spans="1:28" x14ac:dyDescent="0.25">
      <c r="A163" s="50" t="str">
        <f t="shared" si="61"/>
        <v>MGEE</v>
      </c>
      <c r="B163" s="45">
        <f ca="1">MATCH(A163,OFFSET(MP_BV_WP,0,0,,1),0)</f>
        <v>40</v>
      </c>
      <c r="C163" s="1">
        <f>IF(ISERROR(D163),"",IF(D163="","",MAX($C$137:C162)+1))</f>
        <v>25</v>
      </c>
      <c r="D163" t="str">
        <f t="shared" si="62"/>
        <v xml:space="preserve">MGE Energy                    </v>
      </c>
      <c r="E163" s="22"/>
      <c r="F163" s="62">
        <f t="shared" ca="1" si="53"/>
        <v>2.1517135728947818</v>
      </c>
      <c r="G163" s="62">
        <f t="shared" si="49"/>
        <v>2.3540609137055832</v>
      </c>
      <c r="H163" s="62">
        <f t="shared" si="50"/>
        <v>2.4740889334670677</v>
      </c>
      <c r="I163" s="62" t="str">
        <f>IFERROR(IF(VLOOKUP(A163,lucyyr,18,FALSE)=0,"",VLOOKUP(A163,lucyyr,18,FALSE)),"N/A")</f>
        <v>N/A</v>
      </c>
      <c r="J163" s="62">
        <f t="shared" ca="1" si="56"/>
        <v>2.5439994071658822</v>
      </c>
      <c r="K163" s="62">
        <f t="shared" ca="1" si="55"/>
        <v>2.8844096912729924</v>
      </c>
      <c r="L163" s="62">
        <f t="shared" ca="1" si="54"/>
        <v>2.5906350823569366</v>
      </c>
      <c r="M163" s="62">
        <f t="shared" ca="1" si="57"/>
        <v>2.8772664498596696</v>
      </c>
      <c r="N163" s="62">
        <f t="shared" ca="1" si="58"/>
        <v>2.5993488461170164</v>
      </c>
      <c r="O163" s="62">
        <f t="shared" ca="1" si="59"/>
        <v>2.0975597509540069</v>
      </c>
      <c r="P163" s="62">
        <f t="shared" ca="1" si="59"/>
        <v>2.0968980021030497</v>
      </c>
      <c r="Q163" s="62">
        <f t="shared" ca="1" si="59"/>
        <v>2.0632719514933751</v>
      </c>
      <c r="R163" s="62">
        <f t="shared" ca="1" si="59"/>
        <v>1.9177237912876974</v>
      </c>
      <c r="S163" s="62">
        <f t="shared" ca="1" si="59"/>
        <v>1.7526117054751416</v>
      </c>
      <c r="T163" s="62">
        <f t="shared" ca="1" si="59"/>
        <v>1.6486397253037506</v>
      </c>
      <c r="U163" s="62">
        <f t="shared" ca="1" si="59"/>
        <v>1.5408001105506806</v>
      </c>
      <c r="V163" s="62">
        <f t="shared" ca="1" si="59"/>
        <v>1.621497341572065</v>
      </c>
      <c r="W163" s="62">
        <f t="shared" ca="1" si="59"/>
        <v>1.7479599692070824</v>
      </c>
      <c r="X163" s="62">
        <f t="shared" ca="1" si="59"/>
        <v>1.8276469108894291</v>
      </c>
      <c r="Y163" s="62">
        <f t="shared" ca="1" si="59"/>
        <v>2.09242572932465</v>
      </c>
      <c r="Z163" s="17"/>
      <c r="AA163" s="17"/>
      <c r="AB163" s="17"/>
    </row>
    <row r="164" spans="1:28" x14ac:dyDescent="0.25">
      <c r="A164" s="50" t="str">
        <f t="shared" si="61"/>
        <v>NEE</v>
      </c>
      <c r="B164" s="45">
        <f ca="1">MATCH(A164,OFFSET(MP_BV_WP,0,0,,1),0)</f>
        <v>43</v>
      </c>
      <c r="C164" s="1">
        <f>IF(ISERROR(D164),"",IF(D164="","",MAX($C$137:C163)+1))</f>
        <v>26</v>
      </c>
      <c r="D164" t="str">
        <f t="shared" si="62"/>
        <v>NextEra Energy, Inc.</v>
      </c>
      <c r="E164" s="22"/>
      <c r="F164" s="62">
        <f t="shared" ca="1" si="53"/>
        <v>2.384992309015761</v>
      </c>
      <c r="G164" s="62">
        <f t="shared" si="49"/>
        <v>2.890185905750108</v>
      </c>
      <c r="H164" s="62">
        <f t="shared" si="50"/>
        <v>4.0729483282674774</v>
      </c>
      <c r="I164" s="62">
        <f>IFERROR(IF(VLOOKUP(A164,lucyyr,18,FALSE)=0,"",VLOOKUP(A164,lucyyr,18,FALSE)),"N/A")</f>
        <v>4.2744063324538262</v>
      </c>
      <c r="J164" s="62">
        <f t="shared" ca="1" si="56"/>
        <v>3.5793118256481828</v>
      </c>
      <c r="K164" s="62">
        <f t="shared" ca="1" si="55"/>
        <v>2.7467096569586134</v>
      </c>
      <c r="L164" s="62">
        <f t="shared" ca="1" si="54"/>
        <v>2.3155655095184771</v>
      </c>
      <c r="M164" s="62">
        <f t="shared" ca="1" si="57"/>
        <v>2.3500334001336003</v>
      </c>
      <c r="N164" s="62">
        <f t="shared" ca="1" si="58"/>
        <v>2.3021538461538462</v>
      </c>
      <c r="O164" s="62">
        <f t="shared" ca="1" si="59"/>
        <v>2.0907958420977391</v>
      </c>
      <c r="P164" s="62">
        <f t="shared" ca="1" si="59"/>
        <v>2.1492759748203838</v>
      </c>
      <c r="Q164" s="62">
        <f t="shared" ca="1" si="59"/>
        <v>1.9299992766029275</v>
      </c>
      <c r="R164" s="62">
        <f t="shared" ca="1" si="59"/>
        <v>1.7367796073464217</v>
      </c>
      <c r="S164" s="62">
        <f t="shared" ca="1" si="59"/>
        <v>1.5478967734751259</v>
      </c>
      <c r="T164" s="62">
        <f t="shared" ca="1" si="59"/>
        <v>1.4938009313154832</v>
      </c>
      <c r="U164" s="62">
        <f t="shared" ca="1" si="59"/>
        <v>1.6988835725677829</v>
      </c>
      <c r="V164" s="62">
        <f t="shared" ca="1" si="59"/>
        <v>2.0633970454386334</v>
      </c>
      <c r="W164" s="62">
        <f t="shared" ca="1" si="59"/>
        <v>2.3447294528344842</v>
      </c>
      <c r="X164" s="62">
        <f t="shared" ca="1" si="59"/>
        <v>1.8003184453335512</v>
      </c>
      <c r="Y164" s="62">
        <f t="shared" ca="1" si="59"/>
        <v>1.9276621445827913</v>
      </c>
      <c r="Z164" s="17"/>
      <c r="AA164" s="17"/>
      <c r="AB164" s="17"/>
    </row>
    <row r="165" spans="1:28" x14ac:dyDescent="0.25">
      <c r="A165" s="50" t="str">
        <f t="shared" si="61"/>
        <v>NWE</v>
      </c>
      <c r="B165" s="45">
        <f t="shared" ca="1" si="63"/>
        <v>46</v>
      </c>
      <c r="C165" s="1">
        <f>IF(ISERROR(D165),"",IF(D165="","",MAX($C$137:C164)+1))</f>
        <v>27</v>
      </c>
      <c r="D165" t="str">
        <f t="shared" si="62"/>
        <v xml:space="preserve">NorthWestern Corp             </v>
      </c>
      <c r="E165" s="22"/>
      <c r="F165" s="62">
        <f t="shared" ca="1" si="53"/>
        <v>1.4368291434480118</v>
      </c>
      <c r="G165" s="62">
        <f t="shared" si="49"/>
        <v>1.1785400175901497</v>
      </c>
      <c r="H165" s="62">
        <f t="shared" si="50"/>
        <v>1.2530822685496528</v>
      </c>
      <c r="I165" s="62">
        <f t="shared" si="51"/>
        <v>1.432532347504621</v>
      </c>
      <c r="J165" s="62">
        <f t="shared" ca="1" si="56"/>
        <v>1.4512518552762843</v>
      </c>
      <c r="K165" s="62">
        <f t="shared" ca="1" si="55"/>
        <v>1.7373317498020586</v>
      </c>
      <c r="L165" s="62">
        <f t="shared" ca="1" si="54"/>
        <v>1.4773563397067206</v>
      </c>
      <c r="M165" s="62">
        <f t="shared" ca="1" si="57"/>
        <v>1.63582720386431</v>
      </c>
      <c r="N165" s="62">
        <f t="shared" ca="1" si="58"/>
        <v>1.6798627530130903</v>
      </c>
      <c r="O165" s="62">
        <f t="shared" ca="1" si="59"/>
        <v>1.6030164368715756</v>
      </c>
      <c r="P165" s="62">
        <f t="shared" ca="1" si="59"/>
        <v>1.5411282897869774</v>
      </c>
      <c r="Q165" s="62">
        <f t="shared" ca="1" si="59"/>
        <v>1.5591519115822714</v>
      </c>
      <c r="R165" s="62">
        <f t="shared" ca="1" si="59"/>
        <v>1.4155176536223799</v>
      </c>
      <c r="S165" s="62">
        <f t="shared" ca="1" si="59"/>
        <v>1.3485494700392719</v>
      </c>
      <c r="T165" s="62">
        <f t="shared" ca="1" si="59"/>
        <v>1.218743099412622</v>
      </c>
      <c r="U165" s="62">
        <f t="shared" ca="1" si="59"/>
        <v>1.0661939615736504</v>
      </c>
      <c r="V165" s="62">
        <f t="shared" ca="1" si="59"/>
        <v>1.1549103571596631</v>
      </c>
      <c r="W165" s="62">
        <f t="shared" ca="1" si="59"/>
        <v>1.4819830484397936</v>
      </c>
      <c r="X165" s="62">
        <f t="shared" ca="1" si="59"/>
        <v>1.6463125272383903</v>
      </c>
      <c r="Y165" s="62">
        <f t="shared" ca="1" si="59"/>
        <v>1.418462434478742</v>
      </c>
      <c r="Z165" s="17"/>
      <c r="AA165" s="17"/>
      <c r="AB165" s="17"/>
    </row>
    <row r="166" spans="1:28" x14ac:dyDescent="0.25">
      <c r="A166" s="50" t="str">
        <f t="shared" si="61"/>
        <v>OGE</v>
      </c>
      <c r="B166" s="45">
        <f t="shared" ca="1" si="63"/>
        <v>47</v>
      </c>
      <c r="C166" s="1">
        <f>IF(ISERROR(D166),"",IF(D166="","",MAX($C$137:C165)+1))</f>
        <v>28</v>
      </c>
      <c r="D166" t="str">
        <f t="shared" si="62"/>
        <v xml:space="preserve">OGE Energy                    </v>
      </c>
      <c r="E166" s="22"/>
      <c r="F166" s="62">
        <f t="shared" ca="1" si="53"/>
        <v>1.8219106731835022</v>
      </c>
      <c r="G166" s="62">
        <f t="shared" si="49"/>
        <v>1.6112359550561799</v>
      </c>
      <c r="H166" s="62">
        <f t="shared" si="50"/>
        <v>1.7357630979498859</v>
      </c>
      <c r="I166" s="62">
        <f t="shared" si="51"/>
        <v>1.6724222989639861</v>
      </c>
      <c r="J166" s="62">
        <f t="shared" ca="1" si="56"/>
        <v>1.8617630853994489</v>
      </c>
      <c r="K166" s="62">
        <f t="shared" ca="1" si="55"/>
        <v>2.0573790303088897</v>
      </c>
      <c r="L166" s="62">
        <f t="shared" ca="1" si="54"/>
        <v>1.7467590745911448</v>
      </c>
      <c r="M166" s="62">
        <f t="shared" ca="1" si="57"/>
        <v>1.8243103090645094</v>
      </c>
      <c r="N166" s="62">
        <f t="shared" ca="1" si="58"/>
        <v>1.7326761380110176</v>
      </c>
      <c r="O166" s="62">
        <f t="shared" ca="1" si="59"/>
        <v>1.7949564695286699</v>
      </c>
      <c r="P166" s="62">
        <f t="shared" ca="1" si="59"/>
        <v>2.2227275520865342</v>
      </c>
      <c r="Q166" s="62">
        <f t="shared" ca="1" si="59"/>
        <v>2.2433986928104575</v>
      </c>
      <c r="R166" s="62">
        <f t="shared" ca="1" si="59"/>
        <v>1.9372322193658955</v>
      </c>
      <c r="S166" s="62">
        <f t="shared" ca="1" si="59"/>
        <v>1.8968235744355149</v>
      </c>
      <c r="T166" s="62">
        <f t="shared" ca="1" si="59"/>
        <v>1.6968456947996589</v>
      </c>
      <c r="U166" s="62">
        <f t="shared" ca="1" si="59"/>
        <v>1.3696768060836504</v>
      </c>
      <c r="V166" s="62">
        <f t="shared" ca="1" si="59"/>
        <v>1.523020802523908</v>
      </c>
      <c r="W166" s="62">
        <f t="shared" ca="1" si="59"/>
        <v>1.9826324412889134</v>
      </c>
      <c r="X166" s="62">
        <f t="shared" ca="1" si="59"/>
        <v>1.9051518253155919</v>
      </c>
      <c r="Y166" s="62">
        <f t="shared" ca="1" si="59"/>
        <v>1.8015277229026736</v>
      </c>
      <c r="Z166" s="17"/>
      <c r="AA166" s="17"/>
      <c r="AB166" s="17"/>
    </row>
    <row r="167" spans="1:28" x14ac:dyDescent="0.25">
      <c r="A167" s="50" t="str">
        <f t="shared" si="61"/>
        <v>OTTR</v>
      </c>
      <c r="B167" s="45">
        <f t="shared" ca="1" si="63"/>
        <v>49</v>
      </c>
      <c r="C167" s="1">
        <f>IF(ISERROR(D167),"",IF(D167="","",MAX($C$137:C166)+1))</f>
        <v>29</v>
      </c>
      <c r="D167" t="str">
        <f t="shared" si="62"/>
        <v xml:space="preserve">Otter Tail Corp.              </v>
      </c>
      <c r="E167" s="22"/>
      <c r="F167" s="62">
        <f t="shared" ca="1" si="53"/>
        <v>1.9280037501258593</v>
      </c>
      <c r="G167" s="62">
        <f t="shared" si="49"/>
        <v>2.5492861998640377</v>
      </c>
      <c r="H167" s="62">
        <f t="shared" si="50"/>
        <v>2.2976190476190474</v>
      </c>
      <c r="I167" s="62">
        <f t="shared" si="51"/>
        <v>2.3301174496644292</v>
      </c>
      <c r="J167" s="62">
        <f t="shared" ca="1" si="56"/>
        <v>2.0400438053518712</v>
      </c>
      <c r="K167" s="62">
        <f t="shared" ca="1" si="55"/>
        <v>2.6214799588900308</v>
      </c>
      <c r="L167" s="62">
        <f t="shared" ca="1" si="54"/>
        <v>2.4937962559860685</v>
      </c>
      <c r="M167" s="62">
        <f t="shared" ca="1" si="57"/>
        <v>2.3293977408185276</v>
      </c>
      <c r="N167" s="62">
        <f t="shared" ca="1" si="58"/>
        <v>1.8971814445096886</v>
      </c>
      <c r="O167" s="62">
        <f t="shared" ca="1" si="59"/>
        <v>1.77637342009761</v>
      </c>
      <c r="P167" s="62">
        <f t="shared" ca="1" si="59"/>
        <v>1.8973942426408474</v>
      </c>
      <c r="Q167" s="62">
        <f t="shared" ca="1" si="59"/>
        <v>1.9622923024754155</v>
      </c>
      <c r="R167" s="62">
        <f t="shared" ca="1" si="59"/>
        <v>1.5823863636363635</v>
      </c>
      <c r="S167" s="62">
        <f t="shared" ca="1" si="59"/>
        <v>1.349864173352707</v>
      </c>
      <c r="T167" s="62">
        <f t="shared" ca="1" si="59"/>
        <v>1.1919726729291205</v>
      </c>
      <c r="U167" s="62">
        <f t="shared" ca="1" si="59"/>
        <v>1.1776949693904712</v>
      </c>
      <c r="V167" s="62">
        <f t="shared" ca="1" si="59"/>
        <v>1.7117404253095776</v>
      </c>
      <c r="W167" s="62">
        <f t="shared" ca="1" si="59"/>
        <v>1.9289499173836249</v>
      </c>
      <c r="X167" s="62">
        <f t="shared" ca="1" si="59"/>
        <v>1.7591048179036417</v>
      </c>
      <c r="Y167" s="62">
        <f t="shared" ca="1" si="59"/>
        <v>1.7353760445682451</v>
      </c>
      <c r="Z167" s="17"/>
      <c r="AA167" s="17"/>
      <c r="AB167" s="17"/>
    </row>
    <row r="168" spans="1:28" x14ac:dyDescent="0.25">
      <c r="A168" s="50" t="str">
        <f t="shared" si="61"/>
        <v>PNW</v>
      </c>
      <c r="B168" s="45">
        <f t="shared" ca="1" si="63"/>
        <v>52</v>
      </c>
      <c r="C168" s="1">
        <f>IF(ISERROR(D168),"",IF(D168="","",MAX($C$137:C167)+1))</f>
        <v>30</v>
      </c>
      <c r="D168" t="str">
        <f t="shared" si="62"/>
        <v xml:space="preserve">Pinnacle West Capital         </v>
      </c>
      <c r="E168" s="22"/>
      <c r="F168" s="62">
        <f t="shared" ca="1" si="53"/>
        <v>1.4205187598295932</v>
      </c>
      <c r="G168" s="62">
        <f t="shared" si="49"/>
        <v>1.4191297962181018</v>
      </c>
      <c r="H168" s="62">
        <f t="shared" si="50"/>
        <v>1.3058933582787651</v>
      </c>
      <c r="I168" s="62">
        <f t="shared" si="51"/>
        <v>1.4475698430922312</v>
      </c>
      <c r="J168" s="62">
        <f t="shared" ca="1" si="56"/>
        <v>1.6284427542033626</v>
      </c>
      <c r="K168" s="62">
        <f t="shared" ca="1" si="55"/>
        <v>1.9126086956521742</v>
      </c>
      <c r="L168" s="62">
        <f t="shared" ca="1" si="54"/>
        <v>1.7363010023395076</v>
      </c>
      <c r="M168" s="62">
        <f t="shared" ca="1" si="57"/>
        <v>1.9064773894022589</v>
      </c>
      <c r="N168" s="62">
        <f t="shared" ca="1" si="58"/>
        <v>1.7159578166647349</v>
      </c>
      <c r="O168" s="62">
        <f t="shared" ca="1" si="59"/>
        <v>1.5218865000968429</v>
      </c>
      <c r="P168" s="62">
        <f t="shared" ca="1" si="59"/>
        <v>1.4398339198460719</v>
      </c>
      <c r="Q168" s="62">
        <f t="shared" ca="1" si="59"/>
        <v>1.4678609892563503</v>
      </c>
      <c r="R168" s="62">
        <f t="shared" ca="1" si="59"/>
        <v>1.3869782602690532</v>
      </c>
      <c r="S168" s="62">
        <f t="shared" ca="1" si="59"/>
        <v>1.2481705922707522</v>
      </c>
      <c r="T168" s="62">
        <f t="shared" ca="1" si="59"/>
        <v>1.142776990314198</v>
      </c>
      <c r="U168" s="62">
        <f t="shared" ca="1" si="59"/>
        <v>0.94995717606753949</v>
      </c>
      <c r="V168" s="62">
        <f t="shared" ca="1" si="59"/>
        <v>0.99718936643635092</v>
      </c>
      <c r="W168" s="62">
        <f t="shared" ca="1" si="59"/>
        <v>1.2575330772513869</v>
      </c>
      <c r="X168" s="62">
        <f t="shared" ca="1" si="59"/>
        <v>1.2588542422044959</v>
      </c>
      <c r="Y168" s="62">
        <f t="shared" ca="1" si="59"/>
        <v>1.2464346668980879</v>
      </c>
      <c r="Z168" s="17"/>
      <c r="AA168" s="17"/>
      <c r="AB168" s="17"/>
    </row>
    <row r="169" spans="1:28" x14ac:dyDescent="0.25">
      <c r="A169" s="50" t="str">
        <f t="shared" si="61"/>
        <v>PNM</v>
      </c>
      <c r="B169" s="45">
        <f t="shared" ca="1" si="63"/>
        <v>53</v>
      </c>
      <c r="C169" s="1">
        <f>IF(ISERROR(D169),"",IF(D169="","",MAX($C$137:C168)+1))</f>
        <v>31</v>
      </c>
      <c r="D169" t="str">
        <f t="shared" si="62"/>
        <v xml:space="preserve">PNM Resources                 </v>
      </c>
      <c r="E169" s="22"/>
      <c r="F169" s="62">
        <f t="shared" ca="1" si="53"/>
        <v>1.3690542129220347</v>
      </c>
      <c r="G169" s="62">
        <f t="shared" si="49"/>
        <v>1.7473118279569892</v>
      </c>
      <c r="H169" s="62">
        <f t="shared" si="50"/>
        <v>1.8148003132341424</v>
      </c>
      <c r="I169" s="62">
        <f t="shared" si="51"/>
        <v>1.8594059405940595</v>
      </c>
      <c r="J169" s="62">
        <f t="shared" ca="1" si="56"/>
        <v>1.8716337898395947</v>
      </c>
      <c r="K169" s="62">
        <f t="shared" ca="1" si="55"/>
        <v>2.2800474495848162</v>
      </c>
      <c r="L169" s="62">
        <f t="shared" ca="1" si="54"/>
        <v>1.831627117044865</v>
      </c>
      <c r="M169" s="62">
        <f t="shared" ca="1" si="57"/>
        <v>1.8426443640464218</v>
      </c>
      <c r="N169" s="62">
        <f t="shared" ca="1" si="58"/>
        <v>1.5552281368821295</v>
      </c>
      <c r="O169" s="62">
        <f t="shared" ca="1" si="59"/>
        <v>1.3299157641395911</v>
      </c>
      <c r="P169" s="62">
        <f t="shared" ca="1" si="59"/>
        <v>1.2094144968960743</v>
      </c>
      <c r="Q169" s="62">
        <f t="shared" ca="1" si="59"/>
        <v>1.0900508003450591</v>
      </c>
      <c r="R169" s="62">
        <f t="shared" ca="1" si="59"/>
        <v>0.97839860314292826</v>
      </c>
      <c r="S169" s="62">
        <f t="shared" ca="1" si="59"/>
        <v>0.80011215334420882</v>
      </c>
      <c r="T169" s="62">
        <f t="shared" ca="1" si="59"/>
        <v>0.69437972381655955</v>
      </c>
      <c r="U169" s="62">
        <f t="shared" ca="1" si="59"/>
        <v>0.55520871911539071</v>
      </c>
      <c r="V169" s="62">
        <f t="shared" ca="1" si="59"/>
        <v>0.65997988673053509</v>
      </c>
      <c r="W169" s="62">
        <f t="shared" ca="1" si="59"/>
        <v>1.2297113289760349</v>
      </c>
      <c r="X169" s="62">
        <f t="shared" ca="1" si="59"/>
        <v>1.2124751041100852</v>
      </c>
      <c r="Y169" s="62">
        <f t="shared" ca="1" si="59"/>
        <v>1.4496845257191742</v>
      </c>
      <c r="Z169" s="17"/>
      <c r="AA169" s="17"/>
      <c r="AB169" s="17"/>
    </row>
    <row r="170" spans="1:28" x14ac:dyDescent="0.25">
      <c r="A170" s="50" t="str">
        <f t="shared" si="61"/>
        <v>POR</v>
      </c>
      <c r="B170" s="45">
        <f t="shared" ca="1" si="63"/>
        <v>54</v>
      </c>
      <c r="C170" s="1">
        <f>IF(ISERROR(D170),"",IF(D170="","",MAX($C$137:C169)+1))</f>
        <v>32</v>
      </c>
      <c r="D170" t="str">
        <f t="shared" si="62"/>
        <v xml:space="preserve">Portland General              </v>
      </c>
      <c r="E170" s="22"/>
      <c r="F170" s="62">
        <f t="shared" ca="1" si="53"/>
        <v>1.3673289135441995</v>
      </c>
      <c r="G170" s="62">
        <f t="shared" si="49"/>
        <v>1.3654373666565069</v>
      </c>
      <c r="H170" s="62">
        <f t="shared" si="50"/>
        <v>1.583681336331513</v>
      </c>
      <c r="I170" s="62">
        <f t="shared" si="51"/>
        <v>1.5505284015852048</v>
      </c>
      <c r="J170" s="62">
        <f t="shared" ca="1" si="56"/>
        <v>1.5661515265736901</v>
      </c>
      <c r="K170" s="62">
        <f t="shared" ca="1" si="55"/>
        <v>1.8396467260056577</v>
      </c>
      <c r="L170" s="62">
        <f t="shared" ca="1" si="54"/>
        <v>1.5554091119581093</v>
      </c>
      <c r="M170" s="62">
        <f t="shared" ca="1" si="57"/>
        <v>1.6920069344546493</v>
      </c>
      <c r="N170" s="62">
        <f t="shared" ca="1" si="58"/>
        <v>1.5620612453990057</v>
      </c>
      <c r="O170" s="62">
        <f t="shared" ca="1" si="59"/>
        <v>1.4210381439244986</v>
      </c>
      <c r="P170" s="62">
        <f t="shared" ca="1" si="59"/>
        <v>1.3669968888161126</v>
      </c>
      <c r="Q170" s="62">
        <f t="shared" ca="1" si="59"/>
        <v>1.2825499034127494</v>
      </c>
      <c r="R170" s="62">
        <f t="shared" ca="1" si="59"/>
        <v>1.1429820725841713</v>
      </c>
      <c r="S170" s="62">
        <f t="shared" ca="1" si="59"/>
        <v>1.0930801649521911</v>
      </c>
      <c r="T170" s="62">
        <f t="shared" ca="1" si="59"/>
        <v>0.94242323887022761</v>
      </c>
      <c r="U170" s="62">
        <f t="shared" ca="1" si="59"/>
        <v>0.91976392547068575</v>
      </c>
      <c r="V170" s="62">
        <f t="shared" ca="1" si="59"/>
        <v>1.0468157870413162</v>
      </c>
      <c r="W170" s="62">
        <f t="shared" ca="1" si="59"/>
        <v>1.3220564477810512</v>
      </c>
      <c r="X170" s="62">
        <f t="shared" ca="1" si="59"/>
        <v>1.3592912219782465</v>
      </c>
      <c r="Y170" s="62" t="str">
        <f t="shared" ref="Y170:Y178" ca="1" si="64">IFERROR(IF(INDEX(MP_BV_WP,$B170,Y$138)=0,"N/A",INDEX(MP_BV_WP,$B170,Y$138)),"N/A")</f>
        <v>N/A</v>
      </c>
      <c r="Z170" s="17"/>
      <c r="AA170" s="17"/>
      <c r="AB170" s="17"/>
    </row>
    <row r="171" spans="1:28" x14ac:dyDescent="0.25">
      <c r="A171" s="50" t="str">
        <f t="shared" si="61"/>
        <v>PPL</v>
      </c>
      <c r="B171" s="45">
        <f t="shared" ca="1" si="63"/>
        <v>55</v>
      </c>
      <c r="C171" s="1">
        <f>IF(ISERROR(D171),"",IF(D171="","",MAX($C$137:C170)+1))</f>
        <v>33</v>
      </c>
      <c r="D171" t="str">
        <f t="shared" si="62"/>
        <v xml:space="preserve">PPL Corp.                     </v>
      </c>
      <c r="E171" s="22"/>
      <c r="F171" s="62">
        <f t="shared" ca="1" si="53"/>
        <v>1.9940344863926383</v>
      </c>
      <c r="G171" s="62">
        <f t="shared" si="49"/>
        <v>1.425925925925926</v>
      </c>
      <c r="H171" s="62">
        <f t="shared" si="50"/>
        <v>1.4425622022233986</v>
      </c>
      <c r="I171" s="62">
        <f t="shared" si="51"/>
        <v>1.523835029459025</v>
      </c>
      <c r="J171" s="62">
        <f t="shared" ca="1" si="56"/>
        <v>1.6348896044158234</v>
      </c>
      <c r="K171" s="62">
        <f t="shared" ca="1" si="55"/>
        <v>1.8602645877628161</v>
      </c>
      <c r="L171" s="62">
        <f t="shared" ca="1" si="54"/>
        <v>1.8064017796453069</v>
      </c>
      <c r="M171" s="62">
        <f t="shared" ca="1" si="57"/>
        <v>2.3997035891487855</v>
      </c>
      <c r="N171" s="62">
        <f t="shared" ca="1" si="58"/>
        <v>2.457872691066401</v>
      </c>
      <c r="O171" s="62">
        <f t="shared" ca="1" si="59"/>
        <v>2.2404211956521736</v>
      </c>
      <c r="P171" s="62">
        <f t="shared" ca="1" si="59"/>
        <v>1.6368788781941663</v>
      </c>
      <c r="Q171" s="62">
        <f t="shared" ca="1" si="59"/>
        <v>1.5456338170602215</v>
      </c>
      <c r="R171" s="62">
        <f t="shared" ca="1" si="59"/>
        <v>1.5770448109278694</v>
      </c>
      <c r="S171" s="62">
        <f t="shared" ca="1" si="59"/>
        <v>1.4661324786324788</v>
      </c>
      <c r="T171" s="62">
        <f t="shared" ca="1" si="59"/>
        <v>1.6085138954309937</v>
      </c>
      <c r="U171" s="62">
        <f t="shared" ca="1" si="59"/>
        <v>2.097796994029236</v>
      </c>
      <c r="V171" s="62">
        <f t="shared" ca="1" si="59"/>
        <v>3.1882839014313116</v>
      </c>
      <c r="W171" s="62">
        <f t="shared" ca="1" si="59"/>
        <v>3.0500503862949278</v>
      </c>
      <c r="X171" s="62">
        <f t="shared" ca="1" si="59"/>
        <v>2.4271968728858151</v>
      </c>
      <c r="Y171" s="62">
        <f t="shared" ca="1" si="64"/>
        <v>2.4972466012734471</v>
      </c>
      <c r="Z171" s="17"/>
      <c r="AA171" s="17"/>
      <c r="AB171" s="17"/>
    </row>
    <row r="172" spans="1:28" x14ac:dyDescent="0.25">
      <c r="A172" s="50" t="str">
        <f t="shared" si="61"/>
        <v>PEG</v>
      </c>
      <c r="B172" s="45">
        <f t="shared" ca="1" si="63"/>
        <v>56</v>
      </c>
      <c r="C172" s="1">
        <f>IF(ISERROR(D172),"",IF(D172="","",MAX($C$137:C171)+1))</f>
        <v>34</v>
      </c>
      <c r="D172" t="str">
        <f t="shared" si="62"/>
        <v xml:space="preserve">Public Serv. Enterprise       </v>
      </c>
      <c r="E172" s="22"/>
      <c r="F172" s="62">
        <f t="shared" ca="1" si="53"/>
        <v>1.9337122396394253</v>
      </c>
      <c r="G172" s="62">
        <f t="shared" si="49"/>
        <v>1.9176319176319179</v>
      </c>
      <c r="H172" s="62">
        <f t="shared" si="50"/>
        <v>2.3189717595944965</v>
      </c>
      <c r="I172" s="62">
        <f t="shared" si="51"/>
        <v>2.1099476439790577</v>
      </c>
      <c r="J172" s="62">
        <f t="shared" ca="1" si="56"/>
        <v>1.6966008702781106</v>
      </c>
      <c r="K172" s="62">
        <f t="shared" ca="1" si="55"/>
        <v>1.9672322800454274</v>
      </c>
      <c r="L172" s="62">
        <f t="shared" ca="1" si="54"/>
        <v>1.8101381196101802</v>
      </c>
      <c r="M172" s="62">
        <f t="shared" ca="1" si="57"/>
        <v>1.6768417213712616</v>
      </c>
      <c r="N172" s="62">
        <f t="shared" ca="1" si="58"/>
        <v>1.6700503710539469</v>
      </c>
      <c r="O172" s="62">
        <f t="shared" ca="1" si="59"/>
        <v>1.5839746316562897</v>
      </c>
      <c r="P172" s="62">
        <f t="shared" ca="1" si="59"/>
        <v>1.5656523724521567</v>
      </c>
      <c r="Q172" s="62">
        <f t="shared" ca="1" si="59"/>
        <v>1.4413648842986013</v>
      </c>
      <c r="R172" s="62">
        <f t="shared" ca="1" si="59"/>
        <v>1.4643108545684922</v>
      </c>
      <c r="S172" s="62">
        <f t="shared" ca="1" si="59"/>
        <v>1.5925415045076112</v>
      </c>
      <c r="T172" s="62">
        <f t="shared" ca="1" si="59"/>
        <v>1.6719365512894584</v>
      </c>
      <c r="U172" s="62">
        <f t="shared" ca="1" si="59"/>
        <v>1.7802855826807924</v>
      </c>
      <c r="V172" s="62">
        <f t="shared" ca="1" si="59"/>
        <v>2.5768704825161164</v>
      </c>
      <c r="W172" s="62">
        <f t="shared" ca="1" si="59"/>
        <v>2.9851598968856683</v>
      </c>
      <c r="X172" s="62">
        <f t="shared" ca="1" si="59"/>
        <v>2.4605706582790385</v>
      </c>
      <c r="Y172" s="62">
        <f t="shared" ca="1" si="64"/>
        <v>2.4504504504504507</v>
      </c>
      <c r="Z172" s="17"/>
      <c r="AA172" s="17"/>
      <c r="AB172" s="17"/>
    </row>
    <row r="173" spans="1:28" x14ac:dyDescent="0.25">
      <c r="A173" s="50" t="str">
        <f t="shared" si="61"/>
        <v>SCG</v>
      </c>
      <c r="B173" s="45">
        <f t="shared" ca="1" si="63"/>
        <v>57</v>
      </c>
      <c r="C173" s="1">
        <f>IF(ISERROR(D173),"",IF(D173="","",MAX($C$137:C172)+1))</f>
        <v>35</v>
      </c>
      <c r="D173" t="str">
        <f t="shared" si="62"/>
        <v xml:space="preserve">SCANA Corp.                   </v>
      </c>
      <c r="E173" s="22"/>
      <c r="F173" s="62">
        <f t="shared" ca="1" si="53"/>
        <v>1.508192975974457</v>
      </c>
      <c r="G173" s="62" t="str">
        <f t="shared" si="49"/>
        <v>N/A</v>
      </c>
      <c r="H173" s="62" t="str">
        <f t="shared" si="50"/>
        <v>N/A</v>
      </c>
      <c r="I173" s="62" t="str">
        <f t="shared" si="51"/>
        <v>N/A</v>
      </c>
      <c r="J173" s="62" t="str">
        <f t="shared" ca="1" si="56"/>
        <v>N/A</v>
      </c>
      <c r="K173" s="62" t="str">
        <f t="shared" ca="1" si="55"/>
        <v>N/A</v>
      </c>
      <c r="L173" s="62" t="str">
        <f t="shared" ca="1" si="54"/>
        <v>N/A</v>
      </c>
      <c r="M173" s="62">
        <f t="shared" ca="1" si="57"/>
        <v>1.6526069445956242</v>
      </c>
      <c r="N173" s="62">
        <f t="shared" ca="1" si="58"/>
        <v>1.7440281556548434</v>
      </c>
      <c r="O173" s="62">
        <f t="shared" ca="1" si="59"/>
        <v>1.4669204515620897</v>
      </c>
      <c r="P173" s="62">
        <f t="shared" ca="1" si="59"/>
        <v>1.4832174435573868</v>
      </c>
      <c r="Q173" s="62">
        <f t="shared" ca="1" si="59"/>
        <v>1.4785053509885724</v>
      </c>
      <c r="R173" s="62">
        <f t="shared" ca="1" si="59"/>
        <v>1.4814567642291925</v>
      </c>
      <c r="S173" s="62">
        <f t="shared" ca="1" si="59"/>
        <v>1.3559763550746415</v>
      </c>
      <c r="T173" s="62">
        <f t="shared" ca="1" si="59"/>
        <v>1.3268727623244285</v>
      </c>
      <c r="U173" s="62">
        <f t="shared" ca="1" si="59"/>
        <v>1.1991965545944772</v>
      </c>
      <c r="V173" s="62">
        <f t="shared" ca="1" si="59"/>
        <v>1.4454415348315475</v>
      </c>
      <c r="W173" s="62">
        <f t="shared" ca="1" si="59"/>
        <v>1.6152057386094909</v>
      </c>
      <c r="X173" s="62">
        <f t="shared" ca="1" si="59"/>
        <v>1.6370977659356425</v>
      </c>
      <c r="Y173" s="62">
        <f t="shared" ca="1" si="64"/>
        <v>1.7199828657100023</v>
      </c>
      <c r="Z173" s="17"/>
      <c r="AA173" s="17"/>
      <c r="AB173" s="17"/>
    </row>
    <row r="174" spans="1:28" x14ac:dyDescent="0.25">
      <c r="A174" s="50" t="str">
        <f t="shared" si="61"/>
        <v>SRE</v>
      </c>
      <c r="B174" s="45">
        <f t="shared" ca="1" si="63"/>
        <v>58</v>
      </c>
      <c r="C174" s="1">
        <f>IF(ISERROR(D174),"",IF(D174="","",MAX($C$137:C173)+1))</f>
        <v>36</v>
      </c>
      <c r="D174" t="str">
        <f t="shared" si="62"/>
        <v xml:space="preserve">Sempra Energy                 </v>
      </c>
      <c r="E174" s="22"/>
      <c r="F174" s="62">
        <f t="shared" ca="1" si="53"/>
        <v>1.7931173610531221</v>
      </c>
      <c r="G174" s="62">
        <f t="shared" si="49"/>
        <v>1.6545454545454545</v>
      </c>
      <c r="H174" s="62">
        <f t="shared" si="50"/>
        <v>1.8350713172719644</v>
      </c>
      <c r="I174" s="62">
        <f t="shared" si="51"/>
        <v>1.6395099153719845</v>
      </c>
      <c r="J174" s="62">
        <f t="shared" ca="1" si="56"/>
        <v>1.8410040647507666</v>
      </c>
      <c r="K174" s="62">
        <f t="shared" ca="1" si="55"/>
        <v>2.2169140102679239</v>
      </c>
      <c r="L174" s="62">
        <f t="shared" ca="1" si="54"/>
        <v>2.05703561966441</v>
      </c>
      <c r="M174" s="62">
        <f t="shared" ca="1" si="57"/>
        <v>2.2350712216799589</v>
      </c>
      <c r="N174" s="62">
        <f t="shared" ca="1" si="58"/>
        <v>1.9960596461407711</v>
      </c>
      <c r="O174" s="62">
        <f t="shared" ca="1" si="59"/>
        <v>2.1691757779646759</v>
      </c>
      <c r="P174" s="62">
        <f t="shared" ca="1" si="59"/>
        <v>2.2024184954000741</v>
      </c>
      <c r="Q174" s="62">
        <f t="shared" ca="1" si="59"/>
        <v>1.8446591161447923</v>
      </c>
      <c r="R174" s="62">
        <f t="shared" ca="1" si="59"/>
        <v>1.5266011361761309</v>
      </c>
      <c r="S174" s="62">
        <f t="shared" ca="1" si="59"/>
        <v>1.2832231787917958</v>
      </c>
      <c r="T174" s="62">
        <f t="shared" ca="1" si="59"/>
        <v>1.3486402258743306</v>
      </c>
      <c r="U174" s="62">
        <f t="shared" ca="1" si="59"/>
        <v>1.3199682522305547</v>
      </c>
      <c r="V174" s="62">
        <f t="shared" ca="1" si="59"/>
        <v>1.596042868920033</v>
      </c>
      <c r="W174" s="62">
        <f t="shared" ca="1" si="59"/>
        <v>1.8722623156573579</v>
      </c>
      <c r="X174" s="62">
        <f t="shared" ca="1" si="59"/>
        <v>1.6976549413735345</v>
      </c>
      <c r="Y174" s="62">
        <f t="shared" ca="1" si="64"/>
        <v>1.7333723017828064</v>
      </c>
      <c r="Z174" s="17"/>
      <c r="AA174" s="17"/>
      <c r="AB174" s="17"/>
    </row>
    <row r="175" spans="1:28" x14ac:dyDescent="0.25">
      <c r="A175" s="50" t="str">
        <f t="shared" si="61"/>
        <v>SO</v>
      </c>
      <c r="B175" s="45">
        <f t="shared" ca="1" si="63"/>
        <v>62</v>
      </c>
      <c r="C175" s="1">
        <f>IF(ISERROR(D175),"",IF(D175="","",MAX($C$137:C174)+1))</f>
        <v>37</v>
      </c>
      <c r="D175" t="str">
        <f t="shared" si="62"/>
        <v xml:space="preserve">Southern Co.                  </v>
      </c>
      <c r="E175" s="22"/>
      <c r="F175" s="62">
        <f t="shared" ca="1" si="53"/>
        <v>2.1187369911808269</v>
      </c>
      <c r="G175" s="62">
        <f t="shared" si="49"/>
        <v>2.3351839000693961</v>
      </c>
      <c r="H175" s="62">
        <f t="shared" si="50"/>
        <v>2.5295381310418907</v>
      </c>
      <c r="I175" s="62">
        <f t="shared" si="51"/>
        <v>2.3878326996197718</v>
      </c>
      <c r="J175" s="62">
        <f t="shared" ca="1" si="56"/>
        <v>2.1985496846319448</v>
      </c>
      <c r="K175" s="62">
        <f t="shared" ca="1" si="55"/>
        <v>2.1344489545837479</v>
      </c>
      <c r="L175" s="62">
        <f t="shared" ca="1" si="54"/>
        <v>1.8893999581852396</v>
      </c>
      <c r="M175" s="62">
        <f t="shared" ca="1" si="57"/>
        <v>2.0722951844903066</v>
      </c>
      <c r="N175" s="62">
        <f t="shared" ca="1" si="58"/>
        <v>2.0104008320665652</v>
      </c>
      <c r="O175" s="62">
        <f t="shared" ca="1" si="59"/>
        <v>1.9928274152129639</v>
      </c>
      <c r="P175" s="62">
        <f t="shared" ca="1" si="59"/>
        <v>2.0222970513287222</v>
      </c>
      <c r="Q175" s="62">
        <f t="shared" ca="1" si="59"/>
        <v>2.03957623559061</v>
      </c>
      <c r="R175" s="62">
        <f t="shared" ca="1" si="59"/>
        <v>2.148636471425184</v>
      </c>
      <c r="S175" s="62">
        <f t="shared" ca="1" si="59"/>
        <v>1.9888768579584601</v>
      </c>
      <c r="T175" s="62">
        <f t="shared" ca="1" si="59"/>
        <v>1.8299500312304808</v>
      </c>
      <c r="U175" s="62">
        <f t="shared" ca="1" si="59"/>
        <v>1.7280740414279416</v>
      </c>
      <c r="V175" s="62">
        <f t="shared" ca="1" si="59"/>
        <v>2.1242243297037819</v>
      </c>
      <c r="W175" s="62">
        <f t="shared" ca="1" si="59"/>
        <v>2.2409118915588415</v>
      </c>
      <c r="X175" s="62">
        <f t="shared" ca="1" si="59"/>
        <v>2.2311478637527076</v>
      </c>
      <c r="Y175" s="62">
        <f t="shared" ca="1" si="64"/>
        <v>2.3518312985571588</v>
      </c>
      <c r="Z175" s="17"/>
      <c r="AA175" s="17"/>
      <c r="AB175" s="17"/>
    </row>
    <row r="176" spans="1:28" x14ac:dyDescent="0.25">
      <c r="A176" s="50" t="str">
        <f t="shared" si="61"/>
        <v>VVC</v>
      </c>
      <c r="B176" s="45">
        <f t="shared" ca="1" si="63"/>
        <v>70</v>
      </c>
      <c r="C176" s="1">
        <f>IF(ISERROR(D176),"",IF(D176="","",MAX($C$137:C175)+1))</f>
        <v>38</v>
      </c>
      <c r="D176" t="str">
        <f t="shared" si="62"/>
        <v xml:space="preserve">Vectren Corp.                 </v>
      </c>
      <c r="E176" s="22"/>
      <c r="F176" s="62">
        <f t="shared" ca="1" si="53"/>
        <v>1.8345507631686608</v>
      </c>
      <c r="G176" s="62" t="str">
        <f t="shared" si="49"/>
        <v>N/A</v>
      </c>
      <c r="H176" s="62" t="str">
        <f t="shared" si="50"/>
        <v>N/A</v>
      </c>
      <c r="I176" s="62" t="str">
        <f t="shared" si="51"/>
        <v>N/A</v>
      </c>
      <c r="J176" s="62" t="str">
        <f t="shared" ca="1" si="56"/>
        <v>N/A</v>
      </c>
      <c r="K176" s="62" t="str">
        <f t="shared" ca="1" si="55"/>
        <v>N/A</v>
      </c>
      <c r="L176" s="62" t="str">
        <f t="shared" ca="1" si="54"/>
        <v>N/A</v>
      </c>
      <c r="M176" s="62">
        <f t="shared" ca="1" si="57"/>
        <v>2.746465598491989</v>
      </c>
      <c r="N176" s="62">
        <f t="shared" ca="1" si="58"/>
        <v>2.2929482370592651</v>
      </c>
      <c r="O176" s="62">
        <f t="shared" ca="1" si="59"/>
        <v>2.1063139260424864</v>
      </c>
      <c r="P176" s="62">
        <f t="shared" ca="1" si="59"/>
        <v>2.0753213367609256</v>
      </c>
      <c r="Q176" s="62">
        <f t="shared" ca="1" si="59"/>
        <v>1.8185336372793297</v>
      </c>
      <c r="R176" s="62">
        <f t="shared" ca="1" si="59"/>
        <v>1.5692664009479695</v>
      </c>
      <c r="S176" s="62">
        <f t="shared" ca="1" si="59"/>
        <v>1.5300659438918076</v>
      </c>
      <c r="T176" s="62">
        <f t="shared" ca="1" si="59"/>
        <v>1.4063138769021124</v>
      </c>
      <c r="U176" s="62">
        <f t="shared" ca="1" si="59"/>
        <v>1.3393313211051776</v>
      </c>
      <c r="V176" s="62">
        <f t="shared" ca="1" si="59"/>
        <v>1.6404891793057967</v>
      </c>
      <c r="W176" s="62">
        <f t="shared" ca="1" si="59"/>
        <v>1.7367704400569413</v>
      </c>
      <c r="X176" s="62">
        <f t="shared" ca="1" si="59"/>
        <v>1.7654569021386908</v>
      </c>
      <c r="Y176" s="62">
        <f t="shared" ca="1" si="64"/>
        <v>1.8218831212101021</v>
      </c>
      <c r="Z176" s="17"/>
      <c r="AA176" s="17"/>
      <c r="AB176" s="17"/>
    </row>
    <row r="177" spans="1:28" x14ac:dyDescent="0.25">
      <c r="A177" s="50" t="str">
        <f t="shared" si="61"/>
        <v>WEC</v>
      </c>
      <c r="B177" s="45">
        <f t="shared" ca="1" si="63"/>
        <v>71</v>
      </c>
      <c r="C177" s="1">
        <f>IF(ISERROR(D177),"",IF(D177="","",MAX($C$137:C176)+1))</f>
        <v>39</v>
      </c>
      <c r="D177" t="str">
        <f t="shared" si="62"/>
        <v>WEC Energy Group</v>
      </c>
      <c r="E177" s="22"/>
      <c r="F177" s="62">
        <f t="shared" ca="1" si="53"/>
        <v>2.0642924128637423</v>
      </c>
      <c r="G177" s="62">
        <f t="shared" si="49"/>
        <v>2.3463087248322148</v>
      </c>
      <c r="H177" s="62">
        <f t="shared" si="50"/>
        <v>2.5734494015233951</v>
      </c>
      <c r="I177" s="62">
        <f t="shared" si="51"/>
        <v>2.6083815028901731</v>
      </c>
      <c r="J177" s="62">
        <f t="shared" ca="1" si="56"/>
        <v>2.8416739477569219</v>
      </c>
      <c r="K177" s="62">
        <f t="shared" ca="1" si="55"/>
        <v>2.6223566839248957</v>
      </c>
      <c r="L177" s="62">
        <f t="shared" ca="1" si="54"/>
        <v>2.1064337287261474</v>
      </c>
      <c r="M177" s="62">
        <f t="shared" ca="1" si="57"/>
        <v>2.0959607751575997</v>
      </c>
      <c r="N177" s="62">
        <f t="shared" ca="1" si="58"/>
        <v>2.0868059237267169</v>
      </c>
      <c r="O177" s="62">
        <f t="shared" ca="1" si="59"/>
        <v>1.8208710242194339</v>
      </c>
      <c r="P177" s="62">
        <f t="shared" ca="1" si="59"/>
        <v>2.3404939279518318</v>
      </c>
      <c r="Q177" s="62">
        <f t="shared" ca="1" si="59"/>
        <v>2.2113916617733413</v>
      </c>
      <c r="R177" s="62">
        <f t="shared" ca="1" si="59"/>
        <v>2.0509582364019057</v>
      </c>
      <c r="S177" s="62">
        <f t="shared" ca="1" si="59"/>
        <v>1.8064553649316661</v>
      </c>
      <c r="T177" s="62">
        <f t="shared" ca="1" si="59"/>
        <v>1.6539596655189375</v>
      </c>
      <c r="U177" s="62">
        <f t="shared" ca="1" si="59"/>
        <v>1.3998033431661749</v>
      </c>
      <c r="V177" s="62">
        <f t="shared" ca="1" si="59"/>
        <v>1.5682550805886477</v>
      </c>
      <c r="W177" s="62">
        <f t="shared" ca="1" si="59"/>
        <v>1.7651498000150934</v>
      </c>
      <c r="X177" s="62">
        <f t="shared" ca="1" si="59"/>
        <v>1.7066968985342943</v>
      </c>
      <c r="Y177" s="62">
        <f t="shared" ca="1" si="64"/>
        <v>1.6161501527717155</v>
      </c>
      <c r="Z177" s="17"/>
      <c r="AA177" s="17"/>
      <c r="AB177" s="17"/>
    </row>
    <row r="178" spans="1:28" x14ac:dyDescent="0.25">
      <c r="A178" s="50" t="str">
        <f t="shared" si="61"/>
        <v>WR</v>
      </c>
      <c r="B178" s="45">
        <f t="shared" ca="1" si="63"/>
        <v>72</v>
      </c>
      <c r="C178" s="1">
        <f>IF(ISERROR(D178),"",IF(D178="","",MAX($C$137:C177)+1))</f>
        <v>40</v>
      </c>
      <c r="D178" t="str">
        <f t="shared" si="62"/>
        <v xml:space="preserve">Westar Energy                 </v>
      </c>
      <c r="E178" s="22"/>
      <c r="F178" s="62">
        <f t="shared" ca="1" si="53"/>
        <v>1.3699139672426195</v>
      </c>
      <c r="G178" s="62" t="str">
        <f t="shared" si="49"/>
        <v>N/A</v>
      </c>
      <c r="H178" s="62" t="str">
        <f t="shared" si="50"/>
        <v>N/A</v>
      </c>
      <c r="I178" s="62" t="str">
        <f t="shared" si="51"/>
        <v>N/A</v>
      </c>
      <c r="J178" s="62" t="str">
        <f t="shared" ca="1" si="56"/>
        <v>N/A</v>
      </c>
      <c r="K178" s="62" t="str">
        <f t="shared" ca="1" si="55"/>
        <v>N/A</v>
      </c>
      <c r="L178" s="62" t="str">
        <f t="shared" ca="1" si="54"/>
        <v>N/A</v>
      </c>
      <c r="M178" s="62">
        <f t="shared" ca="1" si="57"/>
        <v>1.9363636363636363</v>
      </c>
      <c r="N178" s="62">
        <f t="shared" ca="1" si="58"/>
        <v>1.9542490965314256</v>
      </c>
      <c r="O178" s="62">
        <f t="shared" ca="1" si="59"/>
        <v>1.4909350960609224</v>
      </c>
      <c r="P178" s="62">
        <f t="shared" ca="1" si="59"/>
        <v>1.4424860111910471</v>
      </c>
      <c r="Q178" s="62">
        <f t="shared" ca="1" si="59"/>
        <v>1.3343942376146405</v>
      </c>
      <c r="R178" s="62">
        <f t="shared" ca="1" si="59"/>
        <v>1.2612038088582163</v>
      </c>
      <c r="S178" s="62">
        <f t="shared" ca="1" si="59"/>
        <v>1.200717171258681</v>
      </c>
      <c r="T178" s="62">
        <f t="shared" ca="1" si="59"/>
        <v>1.0974542374476495</v>
      </c>
      <c r="U178" s="62">
        <f t="shared" ca="1" si="59"/>
        <v>0.92936947440007789</v>
      </c>
      <c r="V178" s="62">
        <f t="shared" ca="1" si="59"/>
        <v>1.1009215219976218</v>
      </c>
      <c r="W178" s="62">
        <f t="shared" ca="1" si="59"/>
        <v>1.3558702126547886</v>
      </c>
      <c r="X178" s="62">
        <f t="shared" ca="1" si="59"/>
        <v>1.2996309963099633</v>
      </c>
      <c r="Y178" s="62">
        <f t="shared" ca="1" si="64"/>
        <v>1.4052860734653831</v>
      </c>
      <c r="Z178" s="17"/>
      <c r="AA178" s="17"/>
      <c r="AB178" s="17"/>
    </row>
    <row r="179" spans="1:28" x14ac:dyDescent="0.25">
      <c r="A179" s="50" t="str">
        <f t="shared" si="61"/>
        <v>XEL</v>
      </c>
      <c r="B179" s="45">
        <f t="shared" ca="1" si="63"/>
        <v>74</v>
      </c>
      <c r="C179" s="1">
        <f>IF(ISERROR(D179),"",IF(D179="","",MAX($C$137:C178)+1))</f>
        <v>41</v>
      </c>
      <c r="D179" t="str">
        <f t="shared" si="62"/>
        <v xml:space="preserve">Xcel Energy Inc.              </v>
      </c>
      <c r="E179" s="22"/>
      <c r="F179" s="62">
        <f t="shared" ca="1" si="53"/>
        <v>1.7321908677456406</v>
      </c>
      <c r="G179" s="62">
        <f t="shared" si="49"/>
        <v>1.9959042218021426</v>
      </c>
      <c r="H179" s="62">
        <f t="shared" si="50"/>
        <v>2.2181938035596573</v>
      </c>
      <c r="I179" s="62">
        <f t="shared" si="51"/>
        <v>2.266550522648084</v>
      </c>
      <c r="J179" s="62">
        <f t="shared" ca="1" si="56"/>
        <v>2.456801504480254</v>
      </c>
      <c r="K179" s="62">
        <f t="shared" ca="1" si="55"/>
        <v>2.3365030310234158</v>
      </c>
      <c r="L179" s="62">
        <f t="shared" ca="1" si="54"/>
        <v>1.9667746141228919</v>
      </c>
      <c r="M179" s="62">
        <f t="shared" ca="1" si="57"/>
        <v>2.0590868794326243</v>
      </c>
      <c r="N179" s="62">
        <f t="shared" ref="N179:Y183" ca="1" si="65">IFERROR(IF(INDEX(MP_BV_WP,$B179,N$138)=0,"N/A",INDEX(MP_BV_WP,$B179,N$138)),"N/A")</f>
        <v>1.8790960972017672</v>
      </c>
      <c r="O179" s="62">
        <f t="shared" ca="1" si="65"/>
        <v>1.6627088619715611</v>
      </c>
      <c r="P179" s="62">
        <f t="shared" ca="1" si="65"/>
        <v>1.5519136505421598</v>
      </c>
      <c r="Q179" s="62">
        <f t="shared" ca="1" si="65"/>
        <v>1.4953149401353463</v>
      </c>
      <c r="R179" s="62">
        <f t="shared" ca="1" si="65"/>
        <v>1.5077532167601453</v>
      </c>
      <c r="S179" s="62">
        <f t="shared" ca="1" si="65"/>
        <v>1.4050473186119874</v>
      </c>
      <c r="T179" s="62">
        <f t="shared" ca="1" si="65"/>
        <v>1.3151739363923862</v>
      </c>
      <c r="U179" s="62">
        <f t="shared" ca="1" si="65"/>
        <v>1.1853759658269991</v>
      </c>
      <c r="V179" s="62">
        <f t="shared" ca="1" si="65"/>
        <v>1.3020982666492897</v>
      </c>
      <c r="W179" s="62">
        <f t="shared" ca="1" si="65"/>
        <v>1.529908132017693</v>
      </c>
      <c r="X179" s="62">
        <f t="shared" ca="1" si="65"/>
        <v>1.3991037669794146</v>
      </c>
      <c r="Y179" s="62">
        <f t="shared" ca="1" si="65"/>
        <v>1.3783177570093457</v>
      </c>
      <c r="Z179" s="17"/>
      <c r="AA179" s="17"/>
      <c r="AB179" s="17"/>
    </row>
    <row r="180" spans="1:28" hidden="1" x14ac:dyDescent="0.25">
      <c r="A180" s="50">
        <f t="shared" si="61"/>
        <v>0</v>
      </c>
      <c r="B180" s="45" t="e">
        <f t="shared" ca="1" si="63"/>
        <v>#N/A</v>
      </c>
      <c r="C180" s="1" t="str">
        <f>IF(ISERROR(D180),"",IF(D180="","",MAX($C$137:C179)+1))</f>
        <v/>
      </c>
      <c r="D180" t="e">
        <f t="shared" si="62"/>
        <v>#N/A</v>
      </c>
      <c r="E180" s="22"/>
      <c r="F180" s="62" t="e">
        <f t="shared" ca="1" si="53"/>
        <v>#DIV/0!</v>
      </c>
      <c r="G180" s="62"/>
      <c r="H180" s="62" t="str">
        <f t="shared" si="50"/>
        <v>N/A</v>
      </c>
      <c r="I180" s="62" t="str">
        <f t="shared" si="51"/>
        <v>N/A</v>
      </c>
      <c r="J180" s="62" t="str">
        <f t="shared" ca="1" si="56"/>
        <v>N/A</v>
      </c>
      <c r="K180" s="62" t="str">
        <f t="shared" ca="1" si="55"/>
        <v>N/A</v>
      </c>
      <c r="L180" s="62" t="str">
        <f t="shared" ca="1" si="54"/>
        <v>N/A</v>
      </c>
      <c r="M180" s="62" t="str">
        <f t="shared" ca="1" si="57"/>
        <v>N/A</v>
      </c>
      <c r="N180" s="62" t="str">
        <f t="shared" ca="1" si="65"/>
        <v>N/A</v>
      </c>
      <c r="O180" s="62" t="str">
        <f t="shared" ca="1" si="65"/>
        <v>N/A</v>
      </c>
      <c r="P180" s="62" t="str">
        <f t="shared" ca="1" si="65"/>
        <v>N/A</v>
      </c>
      <c r="Q180" s="62" t="str">
        <f t="shared" ca="1" si="65"/>
        <v>N/A</v>
      </c>
      <c r="R180" s="62" t="str">
        <f t="shared" ca="1" si="65"/>
        <v>N/A</v>
      </c>
      <c r="S180" s="62" t="str">
        <f t="shared" ca="1" si="65"/>
        <v>N/A</v>
      </c>
      <c r="T180" s="62" t="str">
        <f t="shared" ca="1" si="65"/>
        <v>N/A</v>
      </c>
      <c r="U180" s="62" t="str">
        <f t="shared" ca="1" si="65"/>
        <v>N/A</v>
      </c>
      <c r="V180" s="62" t="str">
        <f t="shared" ca="1" si="65"/>
        <v>N/A</v>
      </c>
      <c r="W180" s="62" t="str">
        <f t="shared" ca="1" si="65"/>
        <v>N/A</v>
      </c>
      <c r="X180" s="62" t="str">
        <f t="shared" ca="1" si="65"/>
        <v>N/A</v>
      </c>
      <c r="Y180" s="62" t="str">
        <f t="shared" ca="1" si="65"/>
        <v>N/A</v>
      </c>
      <c r="Z180" s="17"/>
      <c r="AA180" s="17"/>
      <c r="AB180" s="17"/>
    </row>
    <row r="181" spans="1:28" hidden="1" x14ac:dyDescent="0.25">
      <c r="A181" s="50">
        <f t="shared" si="61"/>
        <v>0</v>
      </c>
      <c r="B181" s="45" t="e">
        <f t="shared" ca="1" si="63"/>
        <v>#N/A</v>
      </c>
      <c r="C181" s="1" t="str">
        <f>IF(ISERROR(D181),"",IF(D181="","",MAX($C$137:C180)+1))</f>
        <v/>
      </c>
      <c r="D181" t="e">
        <f t="shared" si="62"/>
        <v>#N/A</v>
      </c>
      <c r="F181" s="62" t="e">
        <f t="shared" ca="1" si="53"/>
        <v>#DIV/0!</v>
      </c>
      <c r="G181" s="62"/>
      <c r="H181" s="62" t="str">
        <f t="shared" si="50"/>
        <v>N/A</v>
      </c>
      <c r="I181" s="62" t="str">
        <f t="shared" si="51"/>
        <v>N/A</v>
      </c>
      <c r="J181" s="62" t="str">
        <f t="shared" ca="1" si="56"/>
        <v>N/A</v>
      </c>
      <c r="K181" s="62" t="str">
        <f t="shared" ca="1" si="55"/>
        <v>N/A</v>
      </c>
      <c r="L181" s="62" t="str">
        <f t="shared" ca="1" si="54"/>
        <v>N/A</v>
      </c>
      <c r="M181" s="62" t="str">
        <f t="shared" ca="1" si="57"/>
        <v>N/A</v>
      </c>
      <c r="N181" s="62" t="str">
        <f t="shared" ca="1" si="65"/>
        <v>N/A</v>
      </c>
      <c r="O181" s="62" t="str">
        <f t="shared" ca="1" si="65"/>
        <v>N/A</v>
      </c>
      <c r="P181" s="62" t="str">
        <f t="shared" ca="1" si="65"/>
        <v>N/A</v>
      </c>
      <c r="Q181" s="62" t="str">
        <f t="shared" ca="1" si="65"/>
        <v>N/A</v>
      </c>
      <c r="R181" s="62" t="str">
        <f t="shared" ca="1" si="65"/>
        <v>N/A</v>
      </c>
      <c r="S181" s="62" t="str">
        <f t="shared" ca="1" si="65"/>
        <v>N/A</v>
      </c>
      <c r="T181" s="62" t="str">
        <f t="shared" ca="1" si="65"/>
        <v>N/A</v>
      </c>
      <c r="U181" s="62" t="str">
        <f t="shared" ca="1" si="65"/>
        <v>N/A</v>
      </c>
      <c r="V181" s="62" t="str">
        <f t="shared" ca="1" si="65"/>
        <v>N/A</v>
      </c>
      <c r="W181" s="62" t="str">
        <f t="shared" ca="1" si="65"/>
        <v>N/A</v>
      </c>
      <c r="X181" s="62" t="str">
        <f t="shared" ca="1" si="65"/>
        <v>N/A</v>
      </c>
      <c r="Y181" s="62" t="str">
        <f t="shared" ca="1" si="65"/>
        <v>N/A</v>
      </c>
      <c r="Z181" s="17"/>
      <c r="AA181" s="17"/>
      <c r="AB181" s="17"/>
    </row>
    <row r="182" spans="1:28" hidden="1" x14ac:dyDescent="0.25">
      <c r="A182" s="50">
        <f t="shared" si="61"/>
        <v>0</v>
      </c>
      <c r="B182" s="45" t="e">
        <f t="shared" ca="1" si="63"/>
        <v>#N/A</v>
      </c>
      <c r="C182" s="1" t="str">
        <f>IF(ISERROR(D182),"",IF(D182="","",MAX($C$137:C181)+1))</f>
        <v/>
      </c>
      <c r="D182" t="e">
        <f t="shared" si="62"/>
        <v>#N/A</v>
      </c>
      <c r="F182" s="62" t="e">
        <f t="shared" ca="1" si="53"/>
        <v>#DIV/0!</v>
      </c>
      <c r="G182" s="62"/>
      <c r="H182" s="62" t="str">
        <f t="shared" si="50"/>
        <v>N/A</v>
      </c>
      <c r="I182" s="62" t="str">
        <f t="shared" si="51"/>
        <v>N/A</v>
      </c>
      <c r="J182" s="62" t="str">
        <f t="shared" ca="1" si="56"/>
        <v>N/A</v>
      </c>
      <c r="K182" s="62" t="str">
        <f t="shared" ca="1" si="55"/>
        <v>N/A</v>
      </c>
      <c r="L182" s="62" t="str">
        <f t="shared" ca="1" si="54"/>
        <v>N/A</v>
      </c>
      <c r="M182" s="62" t="str">
        <f t="shared" ca="1" si="57"/>
        <v>N/A</v>
      </c>
      <c r="N182" s="62" t="str">
        <f t="shared" ca="1" si="65"/>
        <v>N/A</v>
      </c>
      <c r="O182" s="62" t="str">
        <f t="shared" ca="1" si="65"/>
        <v>N/A</v>
      </c>
      <c r="P182" s="62" t="str">
        <f t="shared" ca="1" si="65"/>
        <v>N/A</v>
      </c>
      <c r="Q182" s="62" t="str">
        <f t="shared" ca="1" si="65"/>
        <v>N/A</v>
      </c>
      <c r="R182" s="62" t="str">
        <f t="shared" ca="1" si="65"/>
        <v>N/A</v>
      </c>
      <c r="S182" s="62" t="str">
        <f t="shared" ca="1" si="65"/>
        <v>N/A</v>
      </c>
      <c r="T182" s="62" t="str">
        <f t="shared" ca="1" si="65"/>
        <v>N/A</v>
      </c>
      <c r="U182" s="62" t="str">
        <f t="shared" ca="1" si="65"/>
        <v>N/A</v>
      </c>
      <c r="V182" s="62" t="str">
        <f t="shared" ca="1" si="65"/>
        <v>N/A</v>
      </c>
      <c r="W182" s="62" t="str">
        <f t="shared" ca="1" si="65"/>
        <v>N/A</v>
      </c>
      <c r="X182" s="62" t="str">
        <f t="shared" ca="1" si="65"/>
        <v>N/A</v>
      </c>
      <c r="Y182" s="62" t="str">
        <f t="shared" ca="1" si="65"/>
        <v>N/A</v>
      </c>
      <c r="Z182" s="17"/>
      <c r="AA182" s="17"/>
      <c r="AB182" s="17"/>
    </row>
    <row r="183" spans="1:28" hidden="1" x14ac:dyDescent="0.25">
      <c r="A183" s="50">
        <f t="shared" si="61"/>
        <v>0</v>
      </c>
      <c r="B183" s="45" t="e">
        <f t="shared" ca="1" si="63"/>
        <v>#N/A</v>
      </c>
      <c r="C183" s="1" t="str">
        <f>IF(ISERROR(D183),"",IF(D183="","",MAX($C$137:C182)+1))</f>
        <v/>
      </c>
      <c r="D183" t="e">
        <f t="shared" si="62"/>
        <v>#N/A</v>
      </c>
      <c r="F183" s="62" t="e">
        <f t="shared" ca="1" si="53"/>
        <v>#DIV/0!</v>
      </c>
      <c r="G183" s="62"/>
      <c r="H183" s="62" t="str">
        <f t="shared" si="50"/>
        <v>N/A</v>
      </c>
      <c r="I183" s="62" t="str">
        <f t="shared" si="51"/>
        <v>N/A</v>
      </c>
      <c r="J183" s="62" t="str">
        <f t="shared" ca="1" si="56"/>
        <v>N/A</v>
      </c>
      <c r="K183" s="62" t="str">
        <f t="shared" ca="1" si="55"/>
        <v>N/A</v>
      </c>
      <c r="L183" s="62" t="str">
        <f t="shared" ca="1" si="54"/>
        <v>N/A</v>
      </c>
      <c r="M183" s="62" t="str">
        <f t="shared" ca="1" si="57"/>
        <v>N/A</v>
      </c>
      <c r="N183" s="62" t="str">
        <f t="shared" ca="1" si="65"/>
        <v>N/A</v>
      </c>
      <c r="O183" s="62" t="str">
        <f t="shared" ca="1" si="65"/>
        <v>N/A</v>
      </c>
      <c r="P183" s="62" t="str">
        <f t="shared" ca="1" si="65"/>
        <v>N/A</v>
      </c>
      <c r="Q183" s="62" t="str">
        <f t="shared" ca="1" si="65"/>
        <v>N/A</v>
      </c>
      <c r="R183" s="62" t="str">
        <f t="shared" ca="1" si="65"/>
        <v>N/A</v>
      </c>
      <c r="S183" s="62" t="str">
        <f t="shared" ca="1" si="65"/>
        <v>N/A</v>
      </c>
      <c r="T183" s="62" t="str">
        <f t="shared" ca="1" si="65"/>
        <v>N/A</v>
      </c>
      <c r="U183" s="62" t="str">
        <f t="shared" ca="1" si="65"/>
        <v>N/A</v>
      </c>
      <c r="V183" s="62" t="str">
        <f t="shared" ca="1" si="65"/>
        <v>N/A</v>
      </c>
      <c r="W183" s="62" t="str">
        <f t="shared" ca="1" si="65"/>
        <v>N/A</v>
      </c>
      <c r="X183" s="62" t="str">
        <f t="shared" ca="1" si="65"/>
        <v>N/A</v>
      </c>
      <c r="Y183" s="62" t="str">
        <f t="shared" ca="1" si="65"/>
        <v>N/A</v>
      </c>
      <c r="Z183" s="17"/>
      <c r="AA183" s="17"/>
      <c r="AB183" s="17"/>
    </row>
    <row r="184" spans="1:28" x14ac:dyDescent="0.25">
      <c r="A184" s="31"/>
      <c r="B184" s="31"/>
      <c r="C184" s="1" t="str">
        <f>IF(ISERROR(D184),"",IF(D184="","",MAX($C$137:C183)+1))</f>
        <v/>
      </c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17"/>
      <c r="AA184" s="17"/>
    </row>
    <row r="185" spans="1:28" x14ac:dyDescent="0.25">
      <c r="A185" s="31"/>
      <c r="B185" s="31"/>
      <c r="C185" s="1">
        <f>IF(ISERROR(D185),"",IF(D185="","",MAX($C$137:C184)+1))</f>
        <v>42</v>
      </c>
      <c r="D185" t="s">
        <v>98</v>
      </c>
      <c r="F185" s="62">
        <f ca="1">AVERAGE(G185:AB185)</f>
        <v>1.7371364899515171</v>
      </c>
      <c r="G185" s="62">
        <f>AVERAGE(G139:G184)</f>
        <v>1.7209653795703868</v>
      </c>
      <c r="H185" s="62">
        <f t="shared" ref="H185:Y185" si="66">AVERAGE(H139:H184)</f>
        <v>1.9550779408005221</v>
      </c>
      <c r="I185" s="62">
        <f t="shared" si="66"/>
        <v>1.9168669632571107</v>
      </c>
      <c r="J185" s="62">
        <f t="shared" ca="1" si="66"/>
        <v>1.9555047732965269</v>
      </c>
      <c r="K185" s="62">
        <f t="shared" ca="1" si="66"/>
        <v>2.0968117197536804</v>
      </c>
      <c r="L185" s="62">
        <f t="shared" ca="1" si="66"/>
        <v>1.8889380372968101</v>
      </c>
      <c r="M185" s="62">
        <f t="shared" ca="1" si="66"/>
        <v>2.0062640343525513</v>
      </c>
      <c r="N185" s="62">
        <f t="shared" ca="1" si="66"/>
        <v>1.857833351702644</v>
      </c>
      <c r="O185" s="62">
        <f t="shared" ca="1" si="66"/>
        <v>1.67005804374486</v>
      </c>
      <c r="P185" s="62">
        <f t="shared" ca="1" si="66"/>
        <v>1.6868538085585965</v>
      </c>
      <c r="Q185" s="62">
        <f t="shared" ca="1" si="66"/>
        <v>1.6015303660453806</v>
      </c>
      <c r="R185" s="62">
        <f t="shared" ca="1" si="66"/>
        <v>1.5163234014871385</v>
      </c>
      <c r="S185" s="62">
        <f t="shared" ca="1" si="66"/>
        <v>1.4300678268670868</v>
      </c>
      <c r="T185" s="62">
        <f t="shared" ca="1" si="66"/>
        <v>1.3458758317931678</v>
      </c>
      <c r="U185" s="62">
        <f t="shared" ca="1" si="66"/>
        <v>1.2503226345966436</v>
      </c>
      <c r="V185" s="62">
        <f t="shared" ca="1" si="66"/>
        <v>1.630390296607175</v>
      </c>
      <c r="W185" s="62">
        <f t="shared" ca="1" si="66"/>
        <v>1.8990589115597527</v>
      </c>
      <c r="X185" s="62">
        <f t="shared" ca="1" si="66"/>
        <v>1.7762165614652883</v>
      </c>
      <c r="Y185" s="62">
        <f t="shared" ca="1" si="66"/>
        <v>1.8006334263235086</v>
      </c>
      <c r="Z185" s="17"/>
      <c r="AA185" s="17"/>
      <c r="AB185" s="17"/>
    </row>
    <row r="186" spans="1:28" x14ac:dyDescent="0.25">
      <c r="A186" s="31"/>
      <c r="B186" s="31"/>
      <c r="C186" s="1">
        <f>IF(ISERROR(D186),"",IF(D186="","",MAX($C$137:C185)+1))</f>
        <v>43</v>
      </c>
      <c r="D186" t="s">
        <v>257</v>
      </c>
      <c r="F186" s="62">
        <f ca="1">MEDIAN(G186:AB186)</f>
        <v>1.6947636100621661</v>
      </c>
      <c r="G186" s="62">
        <f>MEDIAN(G139:G184)</f>
        <v>1.6947636100621661</v>
      </c>
      <c r="H186" s="62">
        <f t="shared" ref="H186:Y186" si="67">MEDIAN(H139:H184)</f>
        <v>1.8945398658998731</v>
      </c>
      <c r="I186" s="62">
        <f t="shared" si="67"/>
        <v>1.7485196795541624</v>
      </c>
      <c r="J186" s="62">
        <f t="shared" ca="1" si="67"/>
        <v>1.8410040647507666</v>
      </c>
      <c r="K186" s="62">
        <f t="shared" ca="1" si="67"/>
        <v>2.0573790303088897</v>
      </c>
      <c r="L186" s="62">
        <f t="shared" ca="1" si="67"/>
        <v>1.8568374897664128</v>
      </c>
      <c r="M186" s="62">
        <f t="shared" ca="1" si="67"/>
        <v>1.9166607427962388</v>
      </c>
      <c r="N186" s="62">
        <f t="shared" ca="1" si="67"/>
        <v>1.750579322685748</v>
      </c>
      <c r="O186" s="62">
        <f t="shared" ca="1" si="67"/>
        <v>1.5688639454425264</v>
      </c>
      <c r="P186" s="62">
        <f t="shared" ca="1" si="67"/>
        <v>1.5411282897869774</v>
      </c>
      <c r="Q186" s="62">
        <f t="shared" ca="1" si="67"/>
        <v>1.4953149401353463</v>
      </c>
      <c r="R186" s="62">
        <f t="shared" ca="1" si="67"/>
        <v>1.4658737600552729</v>
      </c>
      <c r="S186" s="62">
        <f t="shared" ca="1" si="67"/>
        <v>1.3559763550746415</v>
      </c>
      <c r="T186" s="62">
        <f t="shared" ca="1" si="67"/>
        <v>1.3144784241588103</v>
      </c>
      <c r="U186" s="62">
        <f t="shared" ca="1" si="67"/>
        <v>1.1509505415435886</v>
      </c>
      <c r="V186" s="62">
        <f t="shared" ca="1" si="67"/>
        <v>1.4760317724823642</v>
      </c>
      <c r="W186" s="62">
        <f t="shared" ca="1" si="67"/>
        <v>1.6851161845403428</v>
      </c>
      <c r="X186" s="62">
        <f t="shared" ca="1" si="67"/>
        <v>1.7058835599550788</v>
      </c>
      <c r="Y186" s="62">
        <f t="shared" ca="1" si="67"/>
        <v>1.7266775837464043</v>
      </c>
      <c r="Z186" s="17"/>
      <c r="AA186" s="17"/>
      <c r="AB186" s="17"/>
    </row>
    <row r="187" spans="1:28" x14ac:dyDescent="0.25">
      <c r="A187" s="31"/>
      <c r="B187" s="31"/>
      <c r="C187" s="1"/>
    </row>
    <row r="188" spans="1:28" x14ac:dyDescent="0.25">
      <c r="A188" s="31"/>
      <c r="B188" s="31"/>
      <c r="D188" s="18"/>
      <c r="E188" s="88"/>
    </row>
    <row r="189" spans="1:28" x14ac:dyDescent="0.25">
      <c r="A189" s="31"/>
      <c r="B189" s="31"/>
      <c r="D189" s="20" t="s">
        <v>107</v>
      </c>
    </row>
    <row r="190" spans="1:28" s="270" customFormat="1" x14ac:dyDescent="0.25">
      <c r="A190" s="31"/>
      <c r="B190" s="31"/>
      <c r="D190" s="20"/>
      <c r="E190" s="270" t="str">
        <f>E64</f>
        <v>The current year P/E ratio is based on the forward P/E (price over expected earnings per share).  All historical year P/E ratios are based on annual average share price over achieved earnings per share.</v>
      </c>
    </row>
    <row r="191" spans="1:28" ht="16.2" x14ac:dyDescent="0.25">
      <c r="A191" s="31"/>
      <c r="B191" s="31"/>
      <c r="D191" s="76">
        <v>1</v>
      </c>
      <c r="E191" s="21" t="str">
        <f>E127</f>
        <v>Data for years 2019 and prior were retrieved from the Value Line Investment Survey Investment Analyzer Software, downloaded on June 18, 2021.</v>
      </c>
    </row>
    <row r="192" spans="1:28" ht="16.2" x14ac:dyDescent="0.25">
      <c r="A192" s="31"/>
      <c r="B192" s="31"/>
      <c r="D192" s="76"/>
      <c r="E192" s="21" t="s">
        <v>559</v>
      </c>
    </row>
    <row r="193" spans="1:5" ht="16.2" x14ac:dyDescent="0.25">
      <c r="A193" s="31"/>
      <c r="B193" s="31"/>
      <c r="D193" s="76">
        <v>2</v>
      </c>
      <c r="E193" s="21" t="str">
        <f>"The Value Line Investment Survey, "&amp;'2023 Data (WP)'!$D$1</f>
        <v>The Value Line Investment Survey, March 8, April 19, and May 10, 2024.</v>
      </c>
    </row>
    <row r="194" spans="1:5" ht="16.2" x14ac:dyDescent="0.25">
      <c r="A194" s="31"/>
      <c r="B194" s="31"/>
      <c r="D194" s="76"/>
      <c r="E194" s="21"/>
    </row>
    <row r="195" spans="1:5" x14ac:dyDescent="0.25">
      <c r="A195" s="31"/>
      <c r="B195" s="31"/>
      <c r="D195" s="20" t="s">
        <v>328</v>
      </c>
    </row>
    <row r="196" spans="1:5" ht="16.2" x14ac:dyDescent="0.25">
      <c r="D196" s="89" t="s">
        <v>355</v>
      </c>
      <c r="E196" t="s">
        <v>522</v>
      </c>
    </row>
  </sheetData>
  <mergeCells count="9">
    <mergeCell ref="D72:E72"/>
    <mergeCell ref="F134:AB134"/>
    <mergeCell ref="D136:E136"/>
    <mergeCell ref="C1:AB1"/>
    <mergeCell ref="C4:AB4"/>
    <mergeCell ref="C5:AB5"/>
    <mergeCell ref="F8:AB8"/>
    <mergeCell ref="D10:E10"/>
    <mergeCell ref="F70:AB70"/>
  </mergeCells>
  <printOptions horizontalCentered="1"/>
  <pageMargins left="0.7" right="0.7" top="1.5" bottom="0.75" header="0.55000000000000004" footer="0.51"/>
  <pageSetup scale="47" fitToHeight="0" orientation="landscape" useFirstPageNumber="1" r:id="rId1"/>
  <headerFooter>
    <oddHeader>&amp;R&amp;"Arial,Bold"&amp;20Docket Nos. 20240026-EI, 20230139-EI, and 20230090-EI
Valuation Metrics
Exhibit CCW-1, Page &amp;P of 16</oddHeader>
  </headerFooter>
  <rowBreaks count="2" manualBreakCount="2">
    <brk id="68" min="2" max="25" man="1"/>
    <brk id="132" min="2" max="2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BC71"/>
  <sheetViews>
    <sheetView topLeftCell="C1" zoomScale="70" zoomScaleNormal="70" zoomScalePageLayoutView="90" workbookViewId="0">
      <selection activeCell="E177" sqref="E177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9765625" customWidth="1"/>
    <col min="6" max="11" width="9" customWidth="1"/>
    <col min="12" max="12" width="9.69921875" bestFit="1" customWidth="1"/>
    <col min="13" max="21" width="9" customWidth="1"/>
    <col min="22" max="22" width="10.09765625" bestFit="1" customWidth="1"/>
    <col min="23" max="23" width="9" customWidth="1"/>
    <col min="24" max="30" width="9.19921875" hidden="1" customWidth="1"/>
    <col min="31" max="31" width="10.59765625" hidden="1" customWidth="1"/>
    <col min="32" max="39" width="8.69921875" hidden="1" customWidth="1"/>
    <col min="40" max="55" width="0" hidden="1" customWidth="1"/>
  </cols>
  <sheetData>
    <row r="1" spans="1:55" ht="28.2" x14ac:dyDescent="0.5">
      <c r="C1" s="277" t="str">
        <f>'CCW-1, Page 3W'!C1:Y1</f>
        <v>Ameren Illinois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114"/>
      <c r="Y1" s="114"/>
      <c r="Z1" s="221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</row>
    <row r="2" spans="1:55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55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55" ht="21" x14ac:dyDescent="0.4">
      <c r="C4" s="278" t="s">
        <v>499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115"/>
      <c r="Y4" s="115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</row>
    <row r="5" spans="1:55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116"/>
      <c r="Y5" s="116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</row>
    <row r="6" spans="1:55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55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189"/>
      <c r="X7" s="7"/>
      <c r="Y7" s="7"/>
      <c r="Z7" s="7"/>
      <c r="AA7" s="7"/>
      <c r="AB7" s="7"/>
      <c r="AC7" s="7"/>
      <c r="AD7" s="7"/>
      <c r="AE7" s="7"/>
    </row>
    <row r="8" spans="1:55" ht="16.2" x14ac:dyDescent="0.25">
      <c r="C8" s="6"/>
      <c r="D8" s="7"/>
      <c r="E8" s="7"/>
      <c r="F8" s="280" t="s">
        <v>444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191"/>
      <c r="Y8" s="191"/>
      <c r="Z8" s="224"/>
      <c r="AA8" s="224"/>
      <c r="AB8" s="224"/>
      <c r="AC8" s="224"/>
      <c r="AD8" s="224"/>
      <c r="AE8" s="224"/>
      <c r="AF8" s="224"/>
      <c r="AG8" s="8"/>
      <c r="AH8" s="8"/>
      <c r="AI8" s="8"/>
      <c r="AJ8" s="8"/>
      <c r="AK8" s="8"/>
      <c r="AL8" s="8"/>
      <c r="AM8" s="8"/>
    </row>
    <row r="9" spans="1:55" x14ac:dyDescent="0.25">
      <c r="A9" s="41" t="s">
        <v>99</v>
      </c>
      <c r="B9" s="41" t="s">
        <v>241</v>
      </c>
      <c r="C9" s="6"/>
      <c r="D9" s="7"/>
      <c r="E9" s="7"/>
      <c r="F9" s="8" t="s">
        <v>535</v>
      </c>
      <c r="G9" s="8"/>
      <c r="H9" s="8"/>
      <c r="I9" s="8"/>
      <c r="J9" s="8"/>
      <c r="K9" s="109">
        <v>2017</v>
      </c>
      <c r="L9" s="8"/>
      <c r="M9" s="8"/>
      <c r="N9" s="8"/>
      <c r="O9" s="8"/>
      <c r="P9" s="8"/>
      <c r="Q9" s="8"/>
      <c r="R9" s="7"/>
      <c r="S9" s="7"/>
      <c r="T9" s="7"/>
      <c r="U9" s="7"/>
      <c r="V9" s="7"/>
      <c r="W9" s="7"/>
      <c r="X9" s="183">
        <v>2018</v>
      </c>
      <c r="Y9" s="183">
        <v>2017</v>
      </c>
      <c r="Z9" s="183">
        <v>2017</v>
      </c>
      <c r="AA9" s="183"/>
      <c r="AB9" s="183"/>
      <c r="AC9" s="183" t="s">
        <v>511</v>
      </c>
      <c r="AD9" s="183" t="s">
        <v>512</v>
      </c>
      <c r="AE9" s="7"/>
      <c r="AF9" s="183" t="s">
        <v>513</v>
      </c>
      <c r="AG9" s="183" t="s">
        <v>514</v>
      </c>
      <c r="AH9" s="183" t="s">
        <v>515</v>
      </c>
      <c r="AI9" s="183"/>
      <c r="AJ9" s="183"/>
      <c r="AK9" s="183"/>
      <c r="AL9" s="183"/>
      <c r="AM9" s="183"/>
    </row>
    <row r="10" spans="1:55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539</v>
      </c>
      <c r="H10" s="40">
        <v>2021</v>
      </c>
      <c r="I10" s="40">
        <v>2020</v>
      </c>
      <c r="J10" s="40">
        <v>2019</v>
      </c>
      <c r="K10" s="40">
        <v>2018</v>
      </c>
      <c r="L10" s="40">
        <v>2017</v>
      </c>
      <c r="M10" s="40">
        <v>2016</v>
      </c>
      <c r="N10" s="40">
        <v>2015</v>
      </c>
      <c r="O10" s="40">
        <v>2014</v>
      </c>
      <c r="P10" s="40">
        <v>2013</v>
      </c>
      <c r="Q10" s="40">
        <v>2012</v>
      </c>
      <c r="R10" s="40">
        <v>2011</v>
      </c>
      <c r="S10" s="40">
        <v>2010</v>
      </c>
      <c r="T10" s="40">
        <v>2009</v>
      </c>
      <c r="U10" s="40">
        <v>2008</v>
      </c>
      <c r="V10" s="40">
        <v>2007</v>
      </c>
      <c r="W10" s="40">
        <v>2006</v>
      </c>
      <c r="X10" s="40" t="s">
        <v>443</v>
      </c>
      <c r="Y10" s="40" t="s">
        <v>443</v>
      </c>
      <c r="Z10" s="40" t="s">
        <v>445</v>
      </c>
      <c r="AA10" s="40" t="s">
        <v>445</v>
      </c>
      <c r="AB10" s="40"/>
      <c r="AC10" s="40" t="s">
        <v>516</v>
      </c>
      <c r="AD10" s="40" t="s">
        <v>517</v>
      </c>
      <c r="AE10" s="185" t="s">
        <v>518</v>
      </c>
      <c r="AF10" s="40" t="s">
        <v>516</v>
      </c>
      <c r="AG10" s="40" t="s">
        <v>519</v>
      </c>
      <c r="AH10" s="40" t="s">
        <v>516</v>
      </c>
      <c r="AI10" s="40"/>
      <c r="AJ10" s="40"/>
      <c r="AK10" s="40"/>
      <c r="AL10" s="40"/>
      <c r="AM10" s="40"/>
    </row>
    <row r="11" spans="1:55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>+J11-1</f>
        <v>-6</v>
      </c>
      <c r="L11" s="12">
        <f t="shared" ref="L11:X11" si="0">+K11-1</f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/>
      <c r="Z11" s="12"/>
      <c r="AA11" s="12"/>
      <c r="AB11" s="12"/>
      <c r="AC11" s="12"/>
      <c r="AD11" s="12"/>
      <c r="AE11" s="12"/>
    </row>
    <row r="12" spans="1:55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36"/>
      <c r="K12" s="126">
        <f t="shared" ref="K12:W12" ca="1" si="1">MATCH(K10,OFFSET(Dividends,-2,0,1,),0)</f>
        <v>4</v>
      </c>
      <c r="L12" s="126">
        <f t="shared" ca="1" si="1"/>
        <v>5</v>
      </c>
      <c r="M12" s="126">
        <f t="shared" ca="1" si="1"/>
        <v>6</v>
      </c>
      <c r="N12" s="126">
        <f t="shared" ca="1" si="1"/>
        <v>7</v>
      </c>
      <c r="O12" s="126">
        <f t="shared" ca="1" si="1"/>
        <v>8</v>
      </c>
      <c r="P12" s="126">
        <f t="shared" ca="1" si="1"/>
        <v>9</v>
      </c>
      <c r="Q12" s="126">
        <f t="shared" ca="1" si="1"/>
        <v>10</v>
      </c>
      <c r="R12" s="126">
        <f t="shared" ca="1" si="1"/>
        <v>11</v>
      </c>
      <c r="S12" s="126">
        <f t="shared" ca="1" si="1"/>
        <v>12</v>
      </c>
      <c r="T12" s="126">
        <f t="shared" ca="1" si="1"/>
        <v>13</v>
      </c>
      <c r="U12" s="126">
        <f t="shared" ca="1" si="1"/>
        <v>14</v>
      </c>
      <c r="V12" s="126">
        <f t="shared" ca="1" si="1"/>
        <v>15</v>
      </c>
      <c r="W12" s="126">
        <f t="shared" ca="1" si="1"/>
        <v>16</v>
      </c>
      <c r="X12" s="16"/>
      <c r="Y12" s="16"/>
      <c r="Z12" s="16"/>
      <c r="AA12" s="16"/>
      <c r="AB12" s="16"/>
      <c r="AC12" s="16"/>
      <c r="AD12" s="16"/>
      <c r="AE12" s="16"/>
      <c r="AN12">
        <v>2018</v>
      </c>
      <c r="AO12">
        <v>2017</v>
      </c>
      <c r="AP12">
        <v>2016</v>
      </c>
      <c r="AQ12">
        <v>2015</v>
      </c>
      <c r="AR12">
        <v>2014</v>
      </c>
      <c r="AS12">
        <v>2013</v>
      </c>
      <c r="AT12">
        <v>2012</v>
      </c>
      <c r="AU12">
        <v>2011</v>
      </c>
      <c r="AV12">
        <v>2010</v>
      </c>
      <c r="AW12">
        <v>2009</v>
      </c>
      <c r="AX12">
        <v>2008</v>
      </c>
      <c r="AY12">
        <v>2007</v>
      </c>
      <c r="AZ12">
        <v>2006</v>
      </c>
    </row>
    <row r="13" spans="1:55" x14ac:dyDescent="0.25">
      <c r="A13" s="44" t="s">
        <v>165</v>
      </c>
      <c r="B13" s="110">
        <f t="shared" ref="B13:B57" ca="1" si="2">IFERROR(MATCH(A13,OFFSET(Dividends,0,0,,1),0),"")</f>
        <v>6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125">
        <f ca="1">IFERROR(AVERAGE(G13:W13),"N/A")</f>
        <v>1.5199999999999998</v>
      </c>
      <c r="G13" s="125">
        <f>IFERROR(IF(VLOOKUP($A13,'2022 Data (WP)'!$D$9:$AA$70,8,FALSE)=0,"",VLOOKUP($A13,'2022 Data (WP)'!$D$9:$AA$70,8,FALSE)),"N/A")</f>
        <v>2.11</v>
      </c>
      <c r="H13" s="125">
        <f>IFERROR(IF(VLOOKUP($A13,'2021 Data (WP)'!$D$9:$AA$70,8,FALSE)=0,"",VLOOKUP($A13,'2021 Data (WP)'!$D$9:$AA$70,8,FALSE)),"N/A")</f>
        <v>2.5499999999999998</v>
      </c>
      <c r="I13" s="125">
        <f>IFERROR(IF(VLOOKUP($A13,'2020 Data (WP)'!$D$9:$AA$70,8,FALSE)=0,"",VLOOKUP($A13,'2020 Data (WP)'!$D$9:$AA$70,8,FALSE)),"N/A")</f>
        <v>2.33</v>
      </c>
      <c r="J13" s="125">
        <f>IFERROR(IF(VLOOKUP($A13,LUCurYr,8,FALSE)=0,"",VLOOKUP(A13,LUCurYr,8,FALSE)),"N/A")</f>
        <v>2.15</v>
      </c>
      <c r="K13" s="125">
        <f t="shared" ref="K13:W28" ca="1" si="4">IFERROR(IF(INDEX(Earnings,$B13,K$12)=0,"N/A",INDEX(Earnings,$B13,K$12)),"N/A")</f>
        <v>1.72</v>
      </c>
      <c r="L13" s="125">
        <f t="shared" ca="1" si="4"/>
        <v>1.88</v>
      </c>
      <c r="M13" s="125">
        <f t="shared" ca="1" si="4"/>
        <v>1.62</v>
      </c>
      <c r="N13" s="125">
        <f t="shared" ca="1" si="4"/>
        <v>1.6</v>
      </c>
      <c r="O13" s="125">
        <f t="shared" ca="1" si="4"/>
        <v>1.57</v>
      </c>
      <c r="P13" s="125">
        <f t="shared" ca="1" si="4"/>
        <v>1.61</v>
      </c>
      <c r="Q13" s="125">
        <f t="shared" ca="1" si="4"/>
        <v>1.41</v>
      </c>
      <c r="R13" s="125">
        <f t="shared" ca="1" si="4"/>
        <v>1.1200000000000001</v>
      </c>
      <c r="S13" s="125">
        <f t="shared" ca="1" si="4"/>
        <v>1.1100000000000001</v>
      </c>
      <c r="T13" s="125">
        <f t="shared" ca="1" si="4"/>
        <v>0.81</v>
      </c>
      <c r="U13" s="125">
        <f t="shared" ca="1" si="4"/>
        <v>0.77500000000000002</v>
      </c>
      <c r="V13" s="125">
        <f t="shared" ca="1" si="4"/>
        <v>0.81</v>
      </c>
      <c r="W13" s="125">
        <f t="shared" ca="1" si="4"/>
        <v>0.66500000000000004</v>
      </c>
      <c r="X13" s="77">
        <f ca="1">IFERROR(IF(K13&gt;0,((K13/VLOOKUP(A13,$A$13:$W$53,BB13,0))^(1/(AH13)))-1,"N/A"),"N/A")</f>
        <v>3.4190203964379773E-2</v>
      </c>
      <c r="Y13" s="77">
        <f ca="1">IFERROR(IF(L13&gt;0,((L13/VLOOKUP(A13,$A$13:$W$53,BB13,0))^(1/(AC13)))-1,"N/A"),"N/A")</f>
        <v>4.9066865196599974E-2</v>
      </c>
      <c r="Z13" s="125">
        <f ca="1">+W13*(1+Y13)^11</f>
        <v>1.126306306306307</v>
      </c>
      <c r="AA13" s="77" t="b">
        <f ca="1">ROUND(Z13,10)=ROUND(L13,10)</f>
        <v>0</v>
      </c>
      <c r="AB13" s="77"/>
      <c r="AC13" s="184">
        <f ca="1">BA13-2</f>
        <v>11</v>
      </c>
      <c r="AD13" s="181">
        <f t="shared" ref="AD13:AD53" si="5">IFERROR(IF(VLOOKUP(A13,LUCurYr,16,FALSE)=0,"",VLOOKUP(A13,LUCurYr,16,FALSE)),"N/A")</f>
        <v>43840</v>
      </c>
      <c r="AE13" s="190">
        <v>43100</v>
      </c>
      <c r="AF13" s="186">
        <f t="shared" ref="AF13:AF57" si="6">AD13-AE13</f>
        <v>740</v>
      </c>
      <c r="AG13" s="187">
        <f>AF13/365</f>
        <v>2.0273972602739727</v>
      </c>
      <c r="AH13" s="187">
        <f t="shared" ref="AH13:AH57" ca="1" si="7">AC13+AG13</f>
        <v>13.027397260273972</v>
      </c>
      <c r="AI13" s="188">
        <f t="shared" ref="AI13:AI58" ca="1" si="8">(K13/W13)^(1/AH13)-1</f>
        <v>7.5672119464476051E-2</v>
      </c>
      <c r="AJ13" s="188"/>
      <c r="AK13" s="188"/>
      <c r="AL13" s="188"/>
      <c r="AM13" s="188"/>
      <c r="AN13" t="b">
        <f t="shared" ref="AN13:AZ32" ca="1" si="9">ISNUMBER(K13)</f>
        <v>1</v>
      </c>
      <c r="AO13" t="b">
        <f t="shared" ca="1" si="9"/>
        <v>1</v>
      </c>
      <c r="AP13" t="b">
        <f t="shared" ca="1" si="9"/>
        <v>1</v>
      </c>
      <c r="AQ13" t="b">
        <f t="shared" ca="1" si="9"/>
        <v>1</v>
      </c>
      <c r="AR13" t="b">
        <f t="shared" ca="1" si="9"/>
        <v>1</v>
      </c>
      <c r="AS13" t="b">
        <f t="shared" ca="1" si="9"/>
        <v>1</v>
      </c>
      <c r="AT13" t="b">
        <f t="shared" ca="1" si="9"/>
        <v>1</v>
      </c>
      <c r="AU13" t="b">
        <f t="shared" ca="1" si="9"/>
        <v>1</v>
      </c>
      <c r="AV13" t="b">
        <f t="shared" ca="1" si="9"/>
        <v>1</v>
      </c>
      <c r="AW13" t="b">
        <f t="shared" ca="1" si="9"/>
        <v>1</v>
      </c>
      <c r="AX13" t="b">
        <f t="shared" ca="1" si="9"/>
        <v>1</v>
      </c>
      <c r="AY13" t="b">
        <f t="shared" ca="1" si="9"/>
        <v>1</v>
      </c>
      <c r="AZ13" t="b">
        <f t="shared" ca="1" si="9"/>
        <v>1</v>
      </c>
      <c r="BA13">
        <f ca="1">IF(AN13=FALSE,COUNTIF(AN13:AZ13,TRUE)+1,COUNTIF(AN13:AZ13,TRUE))</f>
        <v>13</v>
      </c>
      <c r="BB13">
        <f ca="1">BA13+6</f>
        <v>19</v>
      </c>
      <c r="BC13">
        <f>2018.33-2006</f>
        <v>12.329999999999927</v>
      </c>
    </row>
    <row r="14" spans="1:55" x14ac:dyDescent="0.25">
      <c r="A14" s="44" t="s">
        <v>167</v>
      </c>
      <c r="B14" s="110">
        <f t="shared" ca="1" si="2"/>
        <v>7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125">
        <f t="shared" ref="F14:F57" ca="1" si="10">IFERROR(AVERAGE(G14:W14),"N/A")</f>
        <v>2.2829411764705885</v>
      </c>
      <c r="G14" s="125">
        <f>IFERROR(IF(VLOOKUP($A14,'2022 Data (WP)'!$D$9:$AA$70,8,FALSE)=0,"",VLOOKUP($A14,'2022 Data (WP)'!$D$9:$AA$70,8,FALSE)),"N/A")</f>
        <v>4.51</v>
      </c>
      <c r="H14" s="125">
        <f>IFERROR(IF(VLOOKUP($A14,'2021 Data (WP)'!$D$9:$AA$70,8,FALSE)=0,"",VLOOKUP($A14,'2021 Data (WP)'!$D$9:$AA$70,8,FALSE)),"N/A")</f>
        <v>6.95</v>
      </c>
      <c r="I14" s="125">
        <f>IFERROR(IF(VLOOKUP($A14,'2020 Data (WP)'!$D$9:$AA$70,8,FALSE)=0,"",VLOOKUP($A14,'2020 Data (WP)'!$D$9:$AA$70,8,FALSE)),"N/A")</f>
        <v>3.91</v>
      </c>
      <c r="J14" s="125">
        <f>IFERROR(IF(VLOOKUP($A14,LUCurYr,8,FALSE)=0,"",VLOOKUP(A14,LUCurYr,8,FALSE)),"N/A")</f>
        <v>3.6</v>
      </c>
      <c r="K14" s="125">
        <f t="shared" ca="1" si="4"/>
        <v>3.15</v>
      </c>
      <c r="L14" s="125">
        <f t="shared" ca="1" si="4"/>
        <v>2.38</v>
      </c>
      <c r="M14" s="125">
        <f t="shared" ca="1" si="4"/>
        <v>2.62</v>
      </c>
      <c r="N14" s="125">
        <f t="shared" ca="1" si="4"/>
        <v>2.64</v>
      </c>
      <c r="O14" s="125">
        <f t="shared" ca="1" si="4"/>
        <v>2.39</v>
      </c>
      <c r="P14" s="125">
        <f t="shared" ca="1" si="4"/>
        <v>2.06</v>
      </c>
      <c r="Q14" s="125">
        <f t="shared" ca="1" si="4"/>
        <v>2.11</v>
      </c>
      <c r="R14" s="125">
        <f t="shared" ca="1" si="4"/>
        <v>1.72</v>
      </c>
      <c r="S14" s="125">
        <f t="shared" ca="1" si="4"/>
        <v>1.53</v>
      </c>
      <c r="T14" s="125">
        <f t="shared" ca="1" si="4"/>
        <v>1.25</v>
      </c>
      <c r="U14" s="125">
        <f t="shared" ca="1" si="4"/>
        <v>1.1000000000000001</v>
      </c>
      <c r="V14" s="125">
        <f t="shared" ca="1" si="4"/>
        <v>-2.14</v>
      </c>
      <c r="W14" s="125">
        <f t="shared" ca="1" si="4"/>
        <v>-0.97</v>
      </c>
      <c r="X14" s="77">
        <f t="shared" ref="X14:X57" ca="1" si="11">IFERROR(IF(K14&gt;0,((K14/VLOOKUP(A14,$A$13:$W$53,BB14,0))^(1/(AH14)))-1,"N/A"),"N/A")</f>
        <v>5.6997141460222833E-2</v>
      </c>
      <c r="Y14" s="77">
        <f t="shared" ref="Y14:Y57" ca="1" si="12">IFERROR(IF(L14&gt;0,((L14/VLOOKUP(A14,$A$13:$W$53,BB14,0))^(1/(AC14)))-1,"N/A"),"N/A")</f>
        <v>4.0984202123229618E-2</v>
      </c>
      <c r="Z14" s="125">
        <f t="shared" ref="Z14:Z57" ca="1" si="13">+W14*(1+Y14)^11</f>
        <v>-1.5088888888888898</v>
      </c>
      <c r="AA14" s="77" t="b">
        <f t="shared" ref="AA14:AA57" ca="1" si="14">ROUND(Z14,10)=ROUND(L14,10)</f>
        <v>0</v>
      </c>
      <c r="AB14" s="77"/>
      <c r="AC14" s="184">
        <f ca="1">BA14-2</f>
        <v>11</v>
      </c>
      <c r="AD14" s="181">
        <f t="shared" si="5"/>
        <v>43840</v>
      </c>
      <c r="AE14" s="190">
        <v>43100</v>
      </c>
      <c r="AF14" s="186">
        <f t="shared" si="6"/>
        <v>740</v>
      </c>
      <c r="AG14" s="187">
        <f t="shared" ref="AG14:AG57" si="15">AF14/365</f>
        <v>2.0273972602739727</v>
      </c>
      <c r="AH14" s="187">
        <f t="shared" ca="1" si="7"/>
        <v>13.027397260273972</v>
      </c>
      <c r="AI14" s="188" t="e">
        <f t="shared" ca="1" si="8"/>
        <v>#NUM!</v>
      </c>
      <c r="AN14" t="b">
        <f t="shared" ca="1" si="9"/>
        <v>1</v>
      </c>
      <c r="AO14" t="b">
        <f t="shared" ca="1" si="9"/>
        <v>1</v>
      </c>
      <c r="AP14" t="b">
        <f t="shared" ca="1" si="9"/>
        <v>1</v>
      </c>
      <c r="AQ14" t="b">
        <f t="shared" ca="1" si="9"/>
        <v>1</v>
      </c>
      <c r="AR14" t="b">
        <f t="shared" ca="1" si="9"/>
        <v>1</v>
      </c>
      <c r="AS14" t="b">
        <f t="shared" ca="1" si="9"/>
        <v>1</v>
      </c>
      <c r="AT14" t="b">
        <f t="shared" ca="1" si="9"/>
        <v>1</v>
      </c>
      <c r="AU14" t="b">
        <f t="shared" ca="1" si="9"/>
        <v>1</v>
      </c>
      <c r="AV14" t="b">
        <f t="shared" ca="1" si="9"/>
        <v>1</v>
      </c>
      <c r="AW14" t="b">
        <f t="shared" ca="1" si="9"/>
        <v>1</v>
      </c>
      <c r="AX14" t="b">
        <f t="shared" ca="1" si="9"/>
        <v>1</v>
      </c>
      <c r="AY14" t="b">
        <f t="shared" ca="1" si="9"/>
        <v>1</v>
      </c>
      <c r="AZ14" t="b">
        <f t="shared" ca="1" si="9"/>
        <v>1</v>
      </c>
      <c r="BA14">
        <f t="shared" ref="BA14:BA53" ca="1" si="16">IF(AN14=FALSE,COUNTIF(AN14:AZ14,TRUE)+1,COUNTIF(AN14:AZ14,TRUE))</f>
        <v>13</v>
      </c>
      <c r="BB14">
        <f t="shared" ref="BB14:BB53" ca="1" si="17">BA14+6</f>
        <v>19</v>
      </c>
    </row>
    <row r="15" spans="1:55" x14ac:dyDescent="0.25">
      <c r="A15" s="44" t="s">
        <v>533</v>
      </c>
      <c r="B15" s="110">
        <v>10</v>
      </c>
      <c r="C15" s="1">
        <f ca="1">IF(ISERROR(D15),"",IF(D15="","",MAX($C$12:C14)+1))</f>
        <v>3</v>
      </c>
      <c r="D15" t="s">
        <v>548</v>
      </c>
      <c r="E15" s="15"/>
      <c r="F15" s="125">
        <f t="shared" ca="1" si="10"/>
        <v>1.036</v>
      </c>
      <c r="G15" s="125">
        <f>IFERROR(IF(VLOOKUP($A15,'2022 Data (WP)'!$D$9:$AA$70,8,FALSE)=0,"",VLOOKUP($A15,'2022 Data (WP)'!$D$9:$AA$70,8,FALSE)),"N/A")</f>
        <v>1.77</v>
      </c>
      <c r="H15" s="125">
        <f>IFERROR(IF(VLOOKUP($A15,'2021 Data (WP)'!$D$9:$AA$70,8,FALSE)=0,"",VLOOKUP($A15,'2021 Data (WP)'!$D$9:$AA$70,8,FALSE)),"N/A")</f>
        <v>1.67</v>
      </c>
      <c r="I15" s="125">
        <f>IFERROR(IF(VLOOKUP($A15,'2020 Data (WP)'!$D$9:$AA$70,8,FALSE)=0,"",VLOOKUP($A15,'2020 Data (WP)'!$D$9:$AA$70,8,FALSE)),"N/A")</f>
        <v>1.1200000000000001</v>
      </c>
      <c r="J15" s="125">
        <f>IFERROR(IF(VLOOKUP("WTR",LUCurYr,8,FALSE)=0,"",VLOOKUP("WTR",LUCurYr,8,FALSE)),"N/A")</f>
        <v>1.05</v>
      </c>
      <c r="K15" s="125">
        <f t="shared" ca="1" si="4"/>
        <v>1.08</v>
      </c>
      <c r="L15" s="125">
        <f t="shared" ca="1" si="4"/>
        <v>1.35</v>
      </c>
      <c r="M15" s="125">
        <f t="shared" ca="1" si="4"/>
        <v>1.32</v>
      </c>
      <c r="N15" s="125">
        <f t="shared" ca="1" si="4"/>
        <v>1.1399999999999999</v>
      </c>
      <c r="O15" s="125">
        <f t="shared" ca="1" si="4"/>
        <v>1.2</v>
      </c>
      <c r="P15" s="125">
        <f t="shared" ca="1" si="4"/>
        <v>1.1599999999999999</v>
      </c>
      <c r="Q15" s="125">
        <f t="shared" ca="1" si="4"/>
        <v>0.872</v>
      </c>
      <c r="R15" s="125">
        <f t="shared" ca="1" si="4"/>
        <v>0.83199999999999996</v>
      </c>
      <c r="S15" s="125">
        <f t="shared" ca="1" si="4"/>
        <v>0.72</v>
      </c>
      <c r="T15" s="125">
        <f t="shared" ca="1" si="4"/>
        <v>0.61599999999999999</v>
      </c>
      <c r="U15" s="125">
        <f t="shared" ca="1" si="4"/>
        <v>0.58399999999999996</v>
      </c>
      <c r="V15" s="125">
        <f t="shared" ca="1" si="4"/>
        <v>0.56799999999999995</v>
      </c>
      <c r="W15" s="125">
        <f t="shared" ca="1" si="4"/>
        <v>0.56000000000000005</v>
      </c>
      <c r="X15" s="77" t="str">
        <f t="shared" ca="1" si="11"/>
        <v>N/A</v>
      </c>
      <c r="Y15" s="77">
        <f t="shared" ca="1" si="12"/>
        <v>5.8810641411554121E-2</v>
      </c>
      <c r="Z15" s="125">
        <f t="shared" ca="1" si="13"/>
        <v>1.0499999999999998</v>
      </c>
      <c r="AA15" s="77" t="b">
        <f t="shared" ca="1" si="14"/>
        <v>0</v>
      </c>
      <c r="AB15" s="77"/>
      <c r="AC15" s="184">
        <f ca="1">BA15-2</f>
        <v>11</v>
      </c>
      <c r="AD15" s="181" t="str">
        <f t="shared" si="5"/>
        <v>N/A</v>
      </c>
      <c r="AE15" s="190">
        <v>43100</v>
      </c>
      <c r="AF15" s="186" t="e">
        <f t="shared" si="6"/>
        <v>#VALUE!</v>
      </c>
      <c r="AG15" s="187" t="e">
        <f t="shared" si="15"/>
        <v>#VALUE!</v>
      </c>
      <c r="AH15" s="187" t="e">
        <f t="shared" ca="1" si="7"/>
        <v>#VALUE!</v>
      </c>
      <c r="AI15" s="188" t="e">
        <f t="shared" ca="1" si="8"/>
        <v>#VALUE!</v>
      </c>
      <c r="AL15" s="188"/>
      <c r="AN15" t="b">
        <f t="shared" ca="1" si="9"/>
        <v>1</v>
      </c>
      <c r="AO15" t="b">
        <f t="shared" ca="1" si="9"/>
        <v>1</v>
      </c>
      <c r="AP15" t="b">
        <f t="shared" ca="1" si="9"/>
        <v>1</v>
      </c>
      <c r="AQ15" t="b">
        <f t="shared" ca="1" si="9"/>
        <v>1</v>
      </c>
      <c r="AR15" t="b">
        <f t="shared" ca="1" si="9"/>
        <v>1</v>
      </c>
      <c r="AS15" t="b">
        <f t="shared" ca="1" si="9"/>
        <v>1</v>
      </c>
      <c r="AT15" t="b">
        <f t="shared" ca="1" si="9"/>
        <v>1</v>
      </c>
      <c r="AU15" t="b">
        <f t="shared" ca="1" si="9"/>
        <v>1</v>
      </c>
      <c r="AV15" t="b">
        <f t="shared" ca="1" si="9"/>
        <v>1</v>
      </c>
      <c r="AW15" t="b">
        <f t="shared" ca="1" si="9"/>
        <v>1</v>
      </c>
      <c r="AX15" t="b">
        <f t="shared" ca="1" si="9"/>
        <v>1</v>
      </c>
      <c r="AY15" t="b">
        <f t="shared" ca="1" si="9"/>
        <v>1</v>
      </c>
      <c r="AZ15" t="b">
        <f t="shared" ca="1" si="9"/>
        <v>1</v>
      </c>
      <c r="BA15">
        <f t="shared" ca="1" si="16"/>
        <v>13</v>
      </c>
      <c r="BB15">
        <f t="shared" ca="1" si="17"/>
        <v>19</v>
      </c>
    </row>
    <row r="16" spans="1:55" x14ac:dyDescent="0.25">
      <c r="A16" s="44" t="s">
        <v>177</v>
      </c>
      <c r="B16" s="110">
        <f t="shared" ca="1" si="2"/>
        <v>16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125">
        <f t="shared" ca="1" si="10"/>
        <v>1.1852941176470588</v>
      </c>
      <c r="G16" s="125">
        <f>IFERROR(IF(VLOOKUP($A16,'2022 Data (WP)'!$D$9:$AA$70,8,FALSE)=0,"",VLOOKUP($A16,'2022 Data (WP)'!$D$9:$AA$70,8,FALSE)),"N/A")</f>
        <v>1.77</v>
      </c>
      <c r="H16" s="125">
        <f>IFERROR(IF(VLOOKUP($A16,'2021 Data (WP)'!$D$9:$AA$70,8,FALSE)=0,"",VLOOKUP($A16,'2021 Data (WP)'!$D$9:$AA$70,8,FALSE)),"N/A")</f>
        <v>1.96</v>
      </c>
      <c r="I16" s="125">
        <f>IFERROR(IF(VLOOKUP($A16,'2020 Data (WP)'!$D$9:$AA$70,8,FALSE)=0,"",VLOOKUP($A16,'2020 Data (WP)'!$D$9:$AA$70,8,FALSE)),"N/A")</f>
        <v>1.97</v>
      </c>
      <c r="J16" s="125">
        <f t="shared" ref="J16:J57" si="18">IFERROR(IF(VLOOKUP($A16,LUCurYr,8,FALSE)=0,"",VLOOKUP(A16,LUCurYr,8,FALSE)),"N/A")</f>
        <v>1.4</v>
      </c>
      <c r="K16" s="125">
        <f t="shared" ca="1" si="4"/>
        <v>1.36</v>
      </c>
      <c r="L16" s="125">
        <f t="shared" ca="1" si="4"/>
        <v>1.4</v>
      </c>
      <c r="M16" s="125">
        <f t="shared" ca="1" si="4"/>
        <v>1.01</v>
      </c>
      <c r="N16" s="125">
        <f t="shared" ca="1" si="4"/>
        <v>0.94</v>
      </c>
      <c r="O16" s="125">
        <f t="shared" ca="1" si="4"/>
        <v>1.19</v>
      </c>
      <c r="P16" s="125">
        <f t="shared" ca="1" si="4"/>
        <v>1.02</v>
      </c>
      <c r="Q16" s="125">
        <f t="shared" ca="1" si="4"/>
        <v>1.02</v>
      </c>
      <c r="R16" s="125">
        <f t="shared" ca="1" si="4"/>
        <v>0.86</v>
      </c>
      <c r="S16" s="125">
        <f t="shared" ca="1" si="4"/>
        <v>0.90500000000000003</v>
      </c>
      <c r="T16" s="125">
        <f t="shared" ca="1" si="4"/>
        <v>0.97499999999999998</v>
      </c>
      <c r="U16" s="125">
        <f t="shared" ca="1" si="4"/>
        <v>0.95</v>
      </c>
      <c r="V16" s="125">
        <f t="shared" ca="1" si="4"/>
        <v>0.75</v>
      </c>
      <c r="W16" s="125">
        <f t="shared" ca="1" si="4"/>
        <v>0.67</v>
      </c>
      <c r="X16" s="77">
        <f t="shared" ca="1" si="11"/>
        <v>3.1759157770673729E-2</v>
      </c>
      <c r="Y16" s="77">
        <f t="shared" ca="1" si="12"/>
        <v>4.046003956427624E-2</v>
      </c>
      <c r="Z16" s="125">
        <f t="shared" ca="1" si="13"/>
        <v>1.0364640883977894</v>
      </c>
      <c r="AA16" s="77" t="b">
        <f t="shared" ca="1" si="14"/>
        <v>0</v>
      </c>
      <c r="AB16" s="77"/>
      <c r="AC16" s="184">
        <f ca="1">BA16-2</f>
        <v>11</v>
      </c>
      <c r="AD16" s="181">
        <f t="shared" si="5"/>
        <v>43840</v>
      </c>
      <c r="AE16" s="190">
        <v>43100</v>
      </c>
      <c r="AF16" s="186">
        <f t="shared" si="6"/>
        <v>740</v>
      </c>
      <c r="AG16" s="187">
        <f t="shared" si="15"/>
        <v>2.0273972602739727</v>
      </c>
      <c r="AH16" s="187">
        <f t="shared" ca="1" si="7"/>
        <v>13.027397260273972</v>
      </c>
      <c r="AI16" s="188">
        <f t="shared" ca="1" si="8"/>
        <v>5.5847863943605303E-2</v>
      </c>
      <c r="AN16" t="b">
        <f t="shared" ca="1" si="9"/>
        <v>1</v>
      </c>
      <c r="AO16" t="b">
        <f t="shared" ca="1" si="9"/>
        <v>1</v>
      </c>
      <c r="AP16" t="b">
        <f t="shared" ca="1" si="9"/>
        <v>1</v>
      </c>
      <c r="AQ16" t="b">
        <f t="shared" ca="1" si="9"/>
        <v>1</v>
      </c>
      <c r="AR16" t="b">
        <f t="shared" ca="1" si="9"/>
        <v>1</v>
      </c>
      <c r="AS16" t="b">
        <f t="shared" ca="1" si="9"/>
        <v>1</v>
      </c>
      <c r="AT16" t="b">
        <f t="shared" ca="1" si="9"/>
        <v>1</v>
      </c>
      <c r="AU16" t="b">
        <f t="shared" ca="1" si="9"/>
        <v>1</v>
      </c>
      <c r="AV16" t="b">
        <f t="shared" ca="1" si="9"/>
        <v>1</v>
      </c>
      <c r="AW16" t="b">
        <f t="shared" ca="1" si="9"/>
        <v>1</v>
      </c>
      <c r="AX16" t="b">
        <f t="shared" ca="1" si="9"/>
        <v>1</v>
      </c>
      <c r="AY16" t="b">
        <f t="shared" ca="1" si="9"/>
        <v>1</v>
      </c>
      <c r="AZ16" t="b">
        <f t="shared" ca="1" si="9"/>
        <v>1</v>
      </c>
      <c r="BA16">
        <f t="shared" ca="1" si="16"/>
        <v>13</v>
      </c>
      <c r="BB16">
        <f t="shared" ca="1" si="17"/>
        <v>19</v>
      </c>
    </row>
    <row r="17" spans="1:54" x14ac:dyDescent="0.25">
      <c r="A17" s="44" t="s">
        <v>188</v>
      </c>
      <c r="B17" s="110">
        <f t="shared" ca="1" si="2"/>
        <v>39</v>
      </c>
      <c r="C17" s="1">
        <f ca="1">IF(ISERROR(D17),"",IF(D17="","",MAX($C$12:C16)+1))</f>
        <v>5</v>
      </c>
      <c r="D17" t="str">
        <f t="shared" ca="1" si="3"/>
        <v>Middlesex Water</v>
      </c>
      <c r="E17" s="15"/>
      <c r="F17" s="125">
        <f t="shared" ca="1" si="10"/>
        <v>1.3347058823529412</v>
      </c>
      <c r="G17" s="125">
        <f>IFERROR(IF(VLOOKUP($A17,'2022 Data (WP)'!$D$9:$AA$70,8,FALSE)=0,"",VLOOKUP($A17,'2022 Data (WP)'!$D$9:$AA$70,8,FALSE)),"N/A")</f>
        <v>2.39</v>
      </c>
      <c r="H17" s="125">
        <f>IFERROR(IF(VLOOKUP($A17,'2021 Data (WP)'!$D$9:$AA$70,8,FALSE)=0,"",VLOOKUP($A17,'2021 Data (WP)'!$D$9:$AA$70,8,FALSE)),"N/A")</f>
        <v>2.0699999999999998</v>
      </c>
      <c r="I17" s="125">
        <f>IFERROR(IF(VLOOKUP($A17,'2020 Data (WP)'!$D$9:$AA$70,8,FALSE)=0,"",VLOOKUP($A17,'2020 Data (WP)'!$D$9:$AA$70,8,FALSE)),"N/A")</f>
        <v>2.1800000000000002</v>
      </c>
      <c r="J17" s="125">
        <f t="shared" si="18"/>
        <v>1.95</v>
      </c>
      <c r="K17" s="125">
        <f t="shared" ca="1" si="4"/>
        <v>1.96</v>
      </c>
      <c r="L17" s="125">
        <f t="shared" ca="1" si="4"/>
        <v>1.38</v>
      </c>
      <c r="M17" s="125">
        <f t="shared" ca="1" si="4"/>
        <v>1.38</v>
      </c>
      <c r="N17" s="125">
        <f t="shared" ca="1" si="4"/>
        <v>1.22</v>
      </c>
      <c r="O17" s="125">
        <f t="shared" ca="1" si="4"/>
        <v>1.1299999999999999</v>
      </c>
      <c r="P17" s="125">
        <f t="shared" ca="1" si="4"/>
        <v>1.03</v>
      </c>
      <c r="Q17" s="125">
        <f t="shared" ca="1" si="4"/>
        <v>0.9</v>
      </c>
      <c r="R17" s="125">
        <f t="shared" ca="1" si="4"/>
        <v>0.84</v>
      </c>
      <c r="S17" s="125">
        <f t="shared" ca="1" si="4"/>
        <v>0.96</v>
      </c>
      <c r="T17" s="125">
        <f t="shared" ca="1" si="4"/>
        <v>0.72</v>
      </c>
      <c r="U17" s="125">
        <f t="shared" ca="1" si="4"/>
        <v>0.89</v>
      </c>
      <c r="V17" s="125">
        <f t="shared" ca="1" si="4"/>
        <v>0.87</v>
      </c>
      <c r="W17" s="125">
        <f t="shared" ca="1" si="4"/>
        <v>0.82</v>
      </c>
      <c r="X17" s="77">
        <f t="shared" ca="1" si="11"/>
        <v>5.6318389172582473E-2</v>
      </c>
      <c r="Y17" s="77">
        <f t="shared" ca="1" si="12"/>
        <v>3.3541659547785319E-2</v>
      </c>
      <c r="Z17" s="125">
        <f t="shared" ca="1" si="13"/>
        <v>1.1787499999999993</v>
      </c>
      <c r="AA17" s="77" t="b">
        <f t="shared" ca="1" si="14"/>
        <v>0</v>
      </c>
      <c r="AB17" s="77"/>
      <c r="AC17" s="184">
        <v>11</v>
      </c>
      <c r="AD17" s="181">
        <f t="shared" si="5"/>
        <v>43840</v>
      </c>
      <c r="AE17" s="190">
        <v>43100</v>
      </c>
      <c r="AF17" s="186">
        <f t="shared" si="6"/>
        <v>740</v>
      </c>
      <c r="AG17" s="187">
        <f t="shared" si="15"/>
        <v>2.0273972602739727</v>
      </c>
      <c r="AH17" s="187">
        <f t="shared" si="7"/>
        <v>13.027397260273972</v>
      </c>
      <c r="AI17" s="188">
        <f t="shared" ca="1" si="8"/>
        <v>6.9177271983695166E-2</v>
      </c>
      <c r="AN17" t="b">
        <f t="shared" ca="1" si="9"/>
        <v>1</v>
      </c>
      <c r="AO17" t="b">
        <f t="shared" ca="1" si="9"/>
        <v>1</v>
      </c>
      <c r="AP17" t="b">
        <f t="shared" ca="1" si="9"/>
        <v>1</v>
      </c>
      <c r="AQ17" t="b">
        <f t="shared" ca="1" si="9"/>
        <v>1</v>
      </c>
      <c r="AR17" t="b">
        <f t="shared" ca="1" si="9"/>
        <v>1</v>
      </c>
      <c r="AS17" t="b">
        <f t="shared" ca="1" si="9"/>
        <v>1</v>
      </c>
      <c r="AT17" t="b">
        <f t="shared" ca="1" si="9"/>
        <v>1</v>
      </c>
      <c r="AU17" t="b">
        <f t="shared" ca="1" si="9"/>
        <v>1</v>
      </c>
      <c r="AV17" t="b">
        <f t="shared" ca="1" si="9"/>
        <v>1</v>
      </c>
      <c r="AW17" t="b">
        <f t="shared" ca="1" si="9"/>
        <v>1</v>
      </c>
      <c r="AX17" t="b">
        <f t="shared" ca="1" si="9"/>
        <v>1</v>
      </c>
      <c r="AY17" t="b">
        <f t="shared" ca="1" si="9"/>
        <v>1</v>
      </c>
      <c r="AZ17" t="b">
        <f t="shared" ca="1" si="9"/>
        <v>1</v>
      </c>
      <c r="BA17">
        <f t="shared" ca="1" si="16"/>
        <v>13</v>
      </c>
      <c r="BB17">
        <f t="shared" ca="1" si="17"/>
        <v>19</v>
      </c>
    </row>
    <row r="18" spans="1:54" x14ac:dyDescent="0.25">
      <c r="A18" s="44" t="s">
        <v>196</v>
      </c>
      <c r="B18" s="110">
        <f t="shared" ca="1" si="2"/>
        <v>57</v>
      </c>
      <c r="C18" s="1">
        <f ca="1">IF(ISERROR(D18),"",IF(D18="","",MAX($C$12:C17)+1))</f>
        <v>6</v>
      </c>
      <c r="D18" t="str">
        <f t="shared" ca="1" si="3"/>
        <v>SJW Corp.</v>
      </c>
      <c r="E18" s="15"/>
      <c r="F18" s="125">
        <f t="shared" ca="1" si="10"/>
        <v>1.6508235294117646</v>
      </c>
      <c r="G18" s="125">
        <f>IFERROR(IF(VLOOKUP($A18,'2022 Data (WP)'!$D$9:$AA$70,8,FALSE)=0,"",VLOOKUP($A18,'2022 Data (WP)'!$D$9:$AA$70,8,FALSE)),"N/A")</f>
        <v>2.4300000000000002</v>
      </c>
      <c r="H18" s="125">
        <f>IFERROR(IF(VLOOKUP($A18,'2021 Data (WP)'!$D$9:$AA$70,8,FALSE)=0,"",VLOOKUP($A18,'2021 Data (WP)'!$D$9:$AA$70,8,FALSE)),"N/A")</f>
        <v>2.0299999999999998</v>
      </c>
      <c r="I18" s="125">
        <f>IFERROR(IF(VLOOKUP($A18,'2020 Data (WP)'!$D$9:$AA$70,8,FALSE)=0,"",VLOOKUP($A18,'2020 Data (WP)'!$D$9:$AA$70,8,FALSE)),"N/A")</f>
        <v>2.14</v>
      </c>
      <c r="J18" s="125">
        <f t="shared" si="18"/>
        <v>1.45</v>
      </c>
      <c r="K18" s="125">
        <f t="shared" ca="1" si="4"/>
        <v>1.82</v>
      </c>
      <c r="L18" s="125">
        <f t="shared" ca="1" si="4"/>
        <v>2.86</v>
      </c>
      <c r="M18" s="125">
        <f t="shared" ca="1" si="4"/>
        <v>2.57</v>
      </c>
      <c r="N18" s="125">
        <f t="shared" ca="1" si="4"/>
        <v>1.85</v>
      </c>
      <c r="O18" s="125">
        <f t="shared" ca="1" si="4"/>
        <v>2.54</v>
      </c>
      <c r="P18" s="125">
        <f t="shared" ca="1" si="4"/>
        <v>1.1200000000000001</v>
      </c>
      <c r="Q18" s="125">
        <f t="shared" ca="1" si="4"/>
        <v>1.18</v>
      </c>
      <c r="R18" s="125">
        <f t="shared" ca="1" si="4"/>
        <v>1.1100000000000001</v>
      </c>
      <c r="S18" s="125">
        <f t="shared" ca="1" si="4"/>
        <v>0.84</v>
      </c>
      <c r="T18" s="125">
        <f t="shared" ca="1" si="4"/>
        <v>0.81</v>
      </c>
      <c r="U18" s="125">
        <f t="shared" ca="1" si="4"/>
        <v>1.0840000000000001</v>
      </c>
      <c r="V18" s="125">
        <f t="shared" ca="1" si="4"/>
        <v>1.04</v>
      </c>
      <c r="W18" s="125">
        <f t="shared" ca="1" si="4"/>
        <v>1.19</v>
      </c>
      <c r="X18" s="77">
        <f t="shared" ca="1" si="11"/>
        <v>6.1147706089426324E-2</v>
      </c>
      <c r="Y18" s="77">
        <f t="shared" ca="1" si="12"/>
        <v>0.11781909072254848</v>
      </c>
      <c r="Z18" s="125">
        <f ca="1">+O18*(1+Y18)^3</f>
        <v>3.5477114039819049</v>
      </c>
      <c r="AA18" s="77" t="b">
        <f t="shared" ca="1" si="14"/>
        <v>0</v>
      </c>
      <c r="AB18" s="77"/>
      <c r="AC18" s="184">
        <f t="shared" ref="AC18:AC32" ca="1" si="19">BA18-2</f>
        <v>11</v>
      </c>
      <c r="AD18" s="181">
        <f t="shared" si="5"/>
        <v>43840</v>
      </c>
      <c r="AE18" s="190">
        <v>43100</v>
      </c>
      <c r="AF18" s="186">
        <f t="shared" si="6"/>
        <v>740</v>
      </c>
      <c r="AG18" s="187">
        <f t="shared" si="15"/>
        <v>2.0273972602739727</v>
      </c>
      <c r="AH18" s="187">
        <f t="shared" ca="1" si="7"/>
        <v>13.027397260273972</v>
      </c>
      <c r="AI18" s="188">
        <f t="shared" ca="1" si="8"/>
        <v>3.3152273183057801E-2</v>
      </c>
      <c r="AN18" t="b">
        <f t="shared" ca="1" si="9"/>
        <v>1</v>
      </c>
      <c r="AO18" t="b">
        <f t="shared" ca="1" si="9"/>
        <v>1</v>
      </c>
      <c r="AP18" t="b">
        <f t="shared" ca="1" si="9"/>
        <v>1</v>
      </c>
      <c r="AQ18" t="b">
        <f t="shared" ca="1" si="9"/>
        <v>1</v>
      </c>
      <c r="AR18" t="b">
        <f t="shared" ca="1" si="9"/>
        <v>1</v>
      </c>
      <c r="AS18" t="b">
        <f t="shared" ca="1" si="9"/>
        <v>1</v>
      </c>
      <c r="AT18" t="b">
        <f t="shared" ca="1" si="9"/>
        <v>1</v>
      </c>
      <c r="AU18" t="b">
        <f t="shared" ca="1" si="9"/>
        <v>1</v>
      </c>
      <c r="AV18" t="b">
        <f t="shared" ca="1" si="9"/>
        <v>1</v>
      </c>
      <c r="AW18" t="b">
        <f t="shared" ca="1" si="9"/>
        <v>1</v>
      </c>
      <c r="AX18" t="b">
        <f t="shared" ca="1" si="9"/>
        <v>1</v>
      </c>
      <c r="AY18" t="b">
        <f t="shared" ca="1" si="9"/>
        <v>1</v>
      </c>
      <c r="AZ18" t="b">
        <f t="shared" ca="1" si="9"/>
        <v>1</v>
      </c>
      <c r="BA18">
        <f t="shared" ca="1" si="16"/>
        <v>13</v>
      </c>
      <c r="BB18">
        <f t="shared" ca="1" si="17"/>
        <v>19</v>
      </c>
    </row>
    <row r="19" spans="1:54" hidden="1" x14ac:dyDescent="0.25">
      <c r="A19" s="44"/>
      <c r="B19" s="110" t="str">
        <f t="shared" ca="1" si="2"/>
        <v/>
      </c>
      <c r="C19" s="1" t="str">
        <f>IF(ISERROR(D19),"",IF(D19="","",MAX($C$12:C18)+1))</f>
        <v/>
      </c>
      <c r="D19" t="e">
        <f t="shared" si="3"/>
        <v>#N/A</v>
      </c>
      <c r="E19" s="15"/>
      <c r="F19" s="125" t="str">
        <f t="shared" ca="1" si="10"/>
        <v>N/A</v>
      </c>
      <c r="G19" s="125" t="str">
        <f>IFERROR(IF(VLOOKUP($A19,'2022 Data (WP)'!$D$9:$AA$70,8,FALSE)=0,"",VLOOKUP($A19,'2022 Data (WP)'!$D$9:$AA$70,8,FALSE)),"N/A")</f>
        <v>N/A</v>
      </c>
      <c r="H19" s="125" t="str">
        <f>IFERROR(IF(VLOOKUP($A19,'2021 Data (WP)'!$D$9:$AA$70,8,FALSE)=0,"",VLOOKUP($A19,'2021 Data (WP)'!$D$9:$AA$70,8,FALSE)),"N/A")</f>
        <v>N/A</v>
      </c>
      <c r="I19" s="125" t="str">
        <f>IFERROR(IF(VLOOKUP($A19,'2020 Data (WP)'!$D$9:$AA$70,8,FALSE)=0,"",VLOOKUP($A19,'2020 Data (WP)'!$D$9:$AA$70,8,FALSE)),"N/A")</f>
        <v>N/A</v>
      </c>
      <c r="J19" s="125" t="str">
        <f t="shared" si="18"/>
        <v>N/A</v>
      </c>
      <c r="K19" s="125" t="str">
        <f t="shared" ca="1" si="4"/>
        <v>N/A</v>
      </c>
      <c r="L19" s="125" t="str">
        <f t="shared" ca="1" si="4"/>
        <v>N/A</v>
      </c>
      <c r="M19" s="125" t="str">
        <f t="shared" ca="1" si="4"/>
        <v>N/A</v>
      </c>
      <c r="N19" s="125" t="str">
        <f t="shared" ca="1" si="4"/>
        <v>N/A</v>
      </c>
      <c r="O19" s="125" t="str">
        <f t="shared" ca="1" si="4"/>
        <v>N/A</v>
      </c>
      <c r="P19" s="125" t="str">
        <f t="shared" ca="1" si="4"/>
        <v>N/A</v>
      </c>
      <c r="Q19" s="125" t="str">
        <f t="shared" ca="1" si="4"/>
        <v>N/A</v>
      </c>
      <c r="R19" s="125" t="str">
        <f t="shared" ca="1" si="4"/>
        <v>N/A</v>
      </c>
      <c r="S19" s="125" t="str">
        <f t="shared" ca="1" si="4"/>
        <v>N/A</v>
      </c>
      <c r="T19" s="125" t="str">
        <f t="shared" ca="1" si="4"/>
        <v>N/A</v>
      </c>
      <c r="U19" s="125" t="str">
        <f t="shared" ca="1" si="4"/>
        <v>N/A</v>
      </c>
      <c r="V19" s="125" t="str">
        <f t="shared" ca="1" si="4"/>
        <v>N/A</v>
      </c>
      <c r="W19" s="125" t="str">
        <f t="shared" ca="1" si="4"/>
        <v>N/A</v>
      </c>
      <c r="X19" s="77" t="str">
        <f t="shared" ca="1" si="11"/>
        <v>N/A</v>
      </c>
      <c r="Y19" s="77" t="str">
        <f t="shared" ca="1" si="12"/>
        <v>N/A</v>
      </c>
      <c r="Z19" s="125" t="e">
        <f t="shared" ca="1" si="13"/>
        <v>#VALUE!</v>
      </c>
      <c r="AA19" s="77" t="e">
        <f t="shared" ca="1" si="14"/>
        <v>#VALUE!</v>
      </c>
      <c r="AB19" s="77"/>
      <c r="AC19" s="184">
        <f t="shared" ca="1" si="19"/>
        <v>-1</v>
      </c>
      <c r="AD19" s="181" t="str">
        <f t="shared" si="5"/>
        <v>N/A</v>
      </c>
      <c r="AE19" s="190">
        <v>43100</v>
      </c>
      <c r="AF19" s="186" t="e">
        <f t="shared" si="6"/>
        <v>#VALUE!</v>
      </c>
      <c r="AG19" s="187" t="e">
        <f t="shared" si="15"/>
        <v>#VALUE!</v>
      </c>
      <c r="AH19" s="187" t="e">
        <f t="shared" ca="1" si="7"/>
        <v>#VALUE!</v>
      </c>
      <c r="AI19" s="188" t="e">
        <f t="shared" ca="1" si="8"/>
        <v>#VALUE!</v>
      </c>
      <c r="AN19" t="b">
        <f t="shared" ca="1" si="9"/>
        <v>0</v>
      </c>
      <c r="AO19" t="b">
        <f t="shared" ca="1" si="9"/>
        <v>0</v>
      </c>
      <c r="AP19" t="b">
        <f t="shared" ca="1" si="9"/>
        <v>0</v>
      </c>
      <c r="AQ19" t="b">
        <f t="shared" ca="1" si="9"/>
        <v>0</v>
      </c>
      <c r="AR19" t="b">
        <f t="shared" ca="1" si="9"/>
        <v>0</v>
      </c>
      <c r="AS19" t="b">
        <f t="shared" ca="1" si="9"/>
        <v>0</v>
      </c>
      <c r="AT19" t="b">
        <f t="shared" ca="1" si="9"/>
        <v>0</v>
      </c>
      <c r="AU19" t="b">
        <f t="shared" ca="1" si="9"/>
        <v>0</v>
      </c>
      <c r="AV19" t="b">
        <f t="shared" ca="1" si="9"/>
        <v>0</v>
      </c>
      <c r="AW19" t="b">
        <f t="shared" ca="1" si="9"/>
        <v>0</v>
      </c>
      <c r="AX19" t="b">
        <f t="shared" ca="1" si="9"/>
        <v>0</v>
      </c>
      <c r="AY19" t="b">
        <f t="shared" ca="1" si="9"/>
        <v>0</v>
      </c>
      <c r="AZ19" t="b">
        <f t="shared" ca="1" si="9"/>
        <v>0</v>
      </c>
      <c r="BA19">
        <f t="shared" ca="1" si="16"/>
        <v>1</v>
      </c>
      <c r="BB19">
        <f t="shared" ca="1" si="17"/>
        <v>7</v>
      </c>
    </row>
    <row r="20" spans="1:54" hidden="1" x14ac:dyDescent="0.25">
      <c r="A20" s="44"/>
      <c r="B20" s="110" t="str">
        <f t="shared" ca="1" si="2"/>
        <v/>
      </c>
      <c r="C20" s="1" t="str">
        <f>IF(ISERROR(D20),"",IF(D20="","",MAX($C$12:C19)+1))</f>
        <v/>
      </c>
      <c r="D20" t="e">
        <f t="shared" si="3"/>
        <v>#N/A</v>
      </c>
      <c r="E20" s="15"/>
      <c r="F20" s="125" t="str">
        <f t="shared" ca="1" si="10"/>
        <v>N/A</v>
      </c>
      <c r="G20" s="125" t="str">
        <f>IFERROR(IF(VLOOKUP($A20,'2022 Data (WP)'!$D$9:$AA$70,8,FALSE)=0,"",VLOOKUP($A20,'2022 Data (WP)'!$D$9:$AA$70,8,FALSE)),"N/A")</f>
        <v>N/A</v>
      </c>
      <c r="H20" s="125" t="str">
        <f>IFERROR(IF(VLOOKUP($A20,'2021 Data (WP)'!$D$9:$AA$70,8,FALSE)=0,"",VLOOKUP($A20,'2021 Data (WP)'!$D$9:$AA$70,8,FALSE)),"N/A")</f>
        <v>N/A</v>
      </c>
      <c r="I20" s="125" t="str">
        <f>IFERROR(IF(VLOOKUP($A20,'2020 Data (WP)'!$D$9:$AA$70,8,FALSE)=0,"",VLOOKUP($A20,'2020 Data (WP)'!$D$9:$AA$70,8,FALSE)),"N/A")</f>
        <v>N/A</v>
      </c>
      <c r="J20" s="125" t="str">
        <f t="shared" si="18"/>
        <v>N/A</v>
      </c>
      <c r="K20" s="125" t="str">
        <f t="shared" ca="1" si="4"/>
        <v>N/A</v>
      </c>
      <c r="L20" s="125" t="str">
        <f t="shared" ca="1" si="4"/>
        <v>N/A</v>
      </c>
      <c r="M20" s="125" t="str">
        <f t="shared" ca="1" si="4"/>
        <v>N/A</v>
      </c>
      <c r="N20" s="125" t="str">
        <f t="shared" ca="1" si="4"/>
        <v>N/A</v>
      </c>
      <c r="O20" s="125" t="str">
        <f t="shared" ca="1" si="4"/>
        <v>N/A</v>
      </c>
      <c r="P20" s="125" t="str">
        <f t="shared" ca="1" si="4"/>
        <v>N/A</v>
      </c>
      <c r="Q20" s="125" t="str">
        <f t="shared" ca="1" si="4"/>
        <v>N/A</v>
      </c>
      <c r="R20" s="125" t="str">
        <f t="shared" ca="1" si="4"/>
        <v>N/A</v>
      </c>
      <c r="S20" s="125" t="str">
        <f t="shared" ca="1" si="4"/>
        <v>N/A</v>
      </c>
      <c r="T20" s="125" t="str">
        <f t="shared" ca="1" si="4"/>
        <v>N/A</v>
      </c>
      <c r="U20" s="125" t="str">
        <f t="shared" ca="1" si="4"/>
        <v>N/A</v>
      </c>
      <c r="V20" s="125" t="str">
        <f t="shared" ca="1" si="4"/>
        <v>N/A</v>
      </c>
      <c r="W20" s="125" t="str">
        <f t="shared" ca="1" si="4"/>
        <v>N/A</v>
      </c>
      <c r="X20" s="77" t="str">
        <f t="shared" ca="1" si="11"/>
        <v>N/A</v>
      </c>
      <c r="Y20" s="77" t="str">
        <f t="shared" ca="1" si="12"/>
        <v>N/A</v>
      </c>
      <c r="Z20" s="125" t="e">
        <f t="shared" ca="1" si="13"/>
        <v>#VALUE!</v>
      </c>
      <c r="AA20" s="77" t="e">
        <f t="shared" ca="1" si="14"/>
        <v>#VALUE!</v>
      </c>
      <c r="AB20" s="77"/>
      <c r="AC20" s="184">
        <f t="shared" ca="1" si="19"/>
        <v>-1</v>
      </c>
      <c r="AD20" s="181" t="str">
        <f t="shared" si="5"/>
        <v>N/A</v>
      </c>
      <c r="AE20" s="190">
        <v>43100</v>
      </c>
      <c r="AF20" s="186" t="e">
        <f t="shared" si="6"/>
        <v>#VALUE!</v>
      </c>
      <c r="AG20" s="187" t="e">
        <f t="shared" si="15"/>
        <v>#VALUE!</v>
      </c>
      <c r="AH20" s="187" t="e">
        <f t="shared" ca="1" si="7"/>
        <v>#VALUE!</v>
      </c>
      <c r="AI20" s="188" t="e">
        <f t="shared" ca="1" si="8"/>
        <v>#VALUE!</v>
      </c>
      <c r="AN20" t="b">
        <f t="shared" ca="1" si="9"/>
        <v>0</v>
      </c>
      <c r="AO20" t="b">
        <f t="shared" ca="1" si="9"/>
        <v>0</v>
      </c>
      <c r="AP20" t="b">
        <f t="shared" ca="1" si="9"/>
        <v>0</v>
      </c>
      <c r="AQ20" t="b">
        <f t="shared" ca="1" si="9"/>
        <v>0</v>
      </c>
      <c r="AR20" t="b">
        <f t="shared" ca="1" si="9"/>
        <v>0</v>
      </c>
      <c r="AS20" t="b">
        <f t="shared" ca="1" si="9"/>
        <v>0</v>
      </c>
      <c r="AT20" t="b">
        <f t="shared" ca="1" si="9"/>
        <v>0</v>
      </c>
      <c r="AU20" t="b">
        <f t="shared" ca="1" si="9"/>
        <v>0</v>
      </c>
      <c r="AV20" t="b">
        <f t="shared" ca="1" si="9"/>
        <v>0</v>
      </c>
      <c r="AW20" t="b">
        <f t="shared" ca="1" si="9"/>
        <v>0</v>
      </c>
      <c r="AX20" t="b">
        <f t="shared" ca="1" si="9"/>
        <v>0</v>
      </c>
      <c r="AY20" t="b">
        <f t="shared" ca="1" si="9"/>
        <v>0</v>
      </c>
      <c r="AZ20" t="b">
        <f t="shared" ca="1" si="9"/>
        <v>0</v>
      </c>
      <c r="BA20">
        <f t="shared" ca="1" si="16"/>
        <v>1</v>
      </c>
      <c r="BB20">
        <f t="shared" ca="1" si="17"/>
        <v>7</v>
      </c>
    </row>
    <row r="21" spans="1:54" hidden="1" x14ac:dyDescent="0.25">
      <c r="A21" s="44"/>
      <c r="B21" s="110" t="str">
        <f t="shared" ca="1" si="2"/>
        <v/>
      </c>
      <c r="C21" s="1" t="str">
        <f>IF(ISERROR(D21),"",IF(D21="","",MAX($C$12:C20)+1))</f>
        <v/>
      </c>
      <c r="D21" t="e">
        <f t="shared" si="3"/>
        <v>#N/A</v>
      </c>
      <c r="E21" s="15"/>
      <c r="F21" s="125" t="str">
        <f t="shared" ca="1" si="10"/>
        <v>N/A</v>
      </c>
      <c r="G21" s="125"/>
      <c r="H21" s="125"/>
      <c r="I21" s="125"/>
      <c r="J21" s="125" t="str">
        <f t="shared" si="18"/>
        <v>N/A</v>
      </c>
      <c r="K21" s="125" t="str">
        <f t="shared" ca="1" si="4"/>
        <v>N/A</v>
      </c>
      <c r="L21" s="125" t="str">
        <f t="shared" ca="1" si="4"/>
        <v>N/A</v>
      </c>
      <c r="M21" s="125" t="str">
        <f t="shared" ca="1" si="4"/>
        <v>N/A</v>
      </c>
      <c r="N21" s="125" t="str">
        <f t="shared" ca="1" si="4"/>
        <v>N/A</v>
      </c>
      <c r="O21" s="125" t="str">
        <f t="shared" ca="1" si="4"/>
        <v>N/A</v>
      </c>
      <c r="P21" s="125" t="str">
        <f t="shared" ca="1" si="4"/>
        <v>N/A</v>
      </c>
      <c r="Q21" s="125" t="str">
        <f t="shared" ca="1" si="4"/>
        <v>N/A</v>
      </c>
      <c r="R21" s="125" t="str">
        <f t="shared" ca="1" si="4"/>
        <v>N/A</v>
      </c>
      <c r="S21" s="125" t="str">
        <f t="shared" ca="1" si="4"/>
        <v>N/A</v>
      </c>
      <c r="T21" s="125" t="str">
        <f t="shared" ca="1" si="4"/>
        <v>N/A</v>
      </c>
      <c r="U21" s="125" t="str">
        <f t="shared" ca="1" si="4"/>
        <v>N/A</v>
      </c>
      <c r="V21" s="125" t="str">
        <f t="shared" ca="1" si="4"/>
        <v>N/A</v>
      </c>
      <c r="W21" s="125" t="str">
        <f t="shared" ca="1" si="4"/>
        <v>N/A</v>
      </c>
      <c r="X21" s="77" t="str">
        <f t="shared" ca="1" si="11"/>
        <v>N/A</v>
      </c>
      <c r="Y21" s="77" t="str">
        <f t="shared" ca="1" si="12"/>
        <v>N/A</v>
      </c>
      <c r="Z21" s="125" t="e">
        <f t="shared" ca="1" si="13"/>
        <v>#VALUE!</v>
      </c>
      <c r="AA21" s="77" t="e">
        <f t="shared" ca="1" si="14"/>
        <v>#VALUE!</v>
      </c>
      <c r="AB21" s="77"/>
      <c r="AC21" s="184">
        <f t="shared" ca="1" si="19"/>
        <v>-1</v>
      </c>
      <c r="AD21" s="181" t="str">
        <f t="shared" si="5"/>
        <v>N/A</v>
      </c>
      <c r="AE21" s="190">
        <v>43100</v>
      </c>
      <c r="AF21" s="186" t="e">
        <f t="shared" si="6"/>
        <v>#VALUE!</v>
      </c>
      <c r="AG21" s="187" t="e">
        <f t="shared" si="15"/>
        <v>#VALUE!</v>
      </c>
      <c r="AH21" s="187" t="e">
        <f t="shared" ca="1" si="7"/>
        <v>#VALUE!</v>
      </c>
      <c r="AI21" s="188" t="e">
        <f t="shared" ca="1" si="8"/>
        <v>#VALUE!</v>
      </c>
      <c r="AN21" t="b">
        <f t="shared" ca="1" si="9"/>
        <v>0</v>
      </c>
      <c r="AO21" t="b">
        <f t="shared" ca="1" si="9"/>
        <v>0</v>
      </c>
      <c r="AP21" t="b">
        <f t="shared" ca="1" si="9"/>
        <v>0</v>
      </c>
      <c r="AQ21" t="b">
        <f t="shared" ca="1" si="9"/>
        <v>0</v>
      </c>
      <c r="AR21" t="b">
        <f t="shared" ca="1" si="9"/>
        <v>0</v>
      </c>
      <c r="AS21" t="b">
        <f t="shared" ca="1" si="9"/>
        <v>0</v>
      </c>
      <c r="AT21" t="b">
        <f t="shared" ca="1" si="9"/>
        <v>0</v>
      </c>
      <c r="AU21" t="b">
        <f t="shared" ca="1" si="9"/>
        <v>0</v>
      </c>
      <c r="AV21" t="b">
        <f t="shared" ca="1" si="9"/>
        <v>0</v>
      </c>
      <c r="AW21" t="b">
        <f t="shared" ca="1" si="9"/>
        <v>0</v>
      </c>
      <c r="AX21" t="b">
        <f t="shared" ca="1" si="9"/>
        <v>0</v>
      </c>
      <c r="AY21" t="b">
        <f t="shared" ca="1" si="9"/>
        <v>0</v>
      </c>
      <c r="AZ21" t="b">
        <f t="shared" ca="1" si="9"/>
        <v>0</v>
      </c>
      <c r="BA21">
        <f t="shared" ca="1" si="16"/>
        <v>1</v>
      </c>
      <c r="BB21">
        <f t="shared" ca="1" si="17"/>
        <v>7</v>
      </c>
    </row>
    <row r="22" spans="1:54" hidden="1" x14ac:dyDescent="0.25">
      <c r="A22" s="44"/>
      <c r="B22" s="110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125" t="str">
        <f t="shared" ca="1" si="10"/>
        <v>N/A</v>
      </c>
      <c r="G22" s="125"/>
      <c r="H22" s="125"/>
      <c r="I22" s="125"/>
      <c r="J22" s="125" t="str">
        <f t="shared" si="18"/>
        <v>N/A</v>
      </c>
      <c r="K22" s="125" t="str">
        <f t="shared" ca="1" si="4"/>
        <v>N/A</v>
      </c>
      <c r="L22" s="125" t="str">
        <f t="shared" ca="1" si="4"/>
        <v>N/A</v>
      </c>
      <c r="M22" s="125" t="str">
        <f t="shared" ca="1" si="4"/>
        <v>N/A</v>
      </c>
      <c r="N22" s="125" t="str">
        <f t="shared" ca="1" si="4"/>
        <v>N/A</v>
      </c>
      <c r="O22" s="125" t="str">
        <f t="shared" ca="1" si="4"/>
        <v>N/A</v>
      </c>
      <c r="P22" s="125" t="str">
        <f t="shared" ca="1" si="4"/>
        <v>N/A</v>
      </c>
      <c r="Q22" s="125" t="str">
        <f t="shared" ca="1" si="4"/>
        <v>N/A</v>
      </c>
      <c r="R22" s="125" t="str">
        <f t="shared" ca="1" si="4"/>
        <v>N/A</v>
      </c>
      <c r="S22" s="125" t="str">
        <f t="shared" ca="1" si="4"/>
        <v>N/A</v>
      </c>
      <c r="T22" s="125" t="str">
        <f t="shared" ca="1" si="4"/>
        <v>N/A</v>
      </c>
      <c r="U22" s="125" t="str">
        <f t="shared" ca="1" si="4"/>
        <v>N/A</v>
      </c>
      <c r="V22" s="125" t="str">
        <f t="shared" ca="1" si="4"/>
        <v>N/A</v>
      </c>
      <c r="W22" s="125" t="str">
        <f t="shared" ca="1" si="4"/>
        <v>N/A</v>
      </c>
      <c r="X22" s="77" t="str">
        <f t="shared" ca="1" si="11"/>
        <v>N/A</v>
      </c>
      <c r="Y22" s="77" t="str">
        <f t="shared" ca="1" si="12"/>
        <v>N/A</v>
      </c>
      <c r="Z22" s="125" t="e">
        <f t="shared" ca="1" si="13"/>
        <v>#VALUE!</v>
      </c>
      <c r="AA22" s="77" t="e">
        <f t="shared" ca="1" si="14"/>
        <v>#VALUE!</v>
      </c>
      <c r="AB22" s="77"/>
      <c r="AC22" s="184">
        <f t="shared" ca="1" si="19"/>
        <v>-1</v>
      </c>
      <c r="AD22" s="181" t="str">
        <f t="shared" si="5"/>
        <v>N/A</v>
      </c>
      <c r="AE22" s="190">
        <v>43100</v>
      </c>
      <c r="AF22" s="186" t="e">
        <f t="shared" si="6"/>
        <v>#VALUE!</v>
      </c>
      <c r="AG22" s="187" t="e">
        <f t="shared" si="15"/>
        <v>#VALUE!</v>
      </c>
      <c r="AH22" s="187" t="e">
        <f t="shared" ca="1" si="7"/>
        <v>#VALUE!</v>
      </c>
      <c r="AI22" s="188" t="e">
        <f t="shared" ca="1" si="8"/>
        <v>#VALUE!</v>
      </c>
      <c r="AN22" t="b">
        <f t="shared" ca="1" si="9"/>
        <v>0</v>
      </c>
      <c r="AO22" t="b">
        <f t="shared" ca="1" si="9"/>
        <v>0</v>
      </c>
      <c r="AP22" t="b">
        <f t="shared" ca="1" si="9"/>
        <v>0</v>
      </c>
      <c r="AQ22" t="b">
        <f t="shared" ca="1" si="9"/>
        <v>0</v>
      </c>
      <c r="AR22" t="b">
        <f t="shared" ca="1" si="9"/>
        <v>0</v>
      </c>
      <c r="AS22" t="b">
        <f t="shared" ca="1" si="9"/>
        <v>0</v>
      </c>
      <c r="AT22" t="b">
        <f t="shared" ca="1" si="9"/>
        <v>0</v>
      </c>
      <c r="AU22" t="b">
        <f t="shared" ca="1" si="9"/>
        <v>0</v>
      </c>
      <c r="AV22" t="b">
        <f t="shared" ca="1" si="9"/>
        <v>0</v>
      </c>
      <c r="AW22" t="b">
        <f t="shared" ca="1" si="9"/>
        <v>0</v>
      </c>
      <c r="AX22" t="b">
        <f t="shared" ca="1" si="9"/>
        <v>0</v>
      </c>
      <c r="AY22" t="b">
        <f t="shared" ca="1" si="9"/>
        <v>0</v>
      </c>
      <c r="AZ22" t="b">
        <f t="shared" ca="1" si="9"/>
        <v>0</v>
      </c>
      <c r="BA22">
        <f t="shared" ca="1" si="16"/>
        <v>1</v>
      </c>
      <c r="BB22">
        <f t="shared" ca="1" si="17"/>
        <v>7</v>
      </c>
    </row>
    <row r="23" spans="1:54" hidden="1" x14ac:dyDescent="0.25">
      <c r="A23" s="44"/>
      <c r="B23" s="110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125" t="str">
        <f t="shared" ca="1" si="10"/>
        <v>N/A</v>
      </c>
      <c r="G23" s="125"/>
      <c r="H23" s="125"/>
      <c r="I23" s="125"/>
      <c r="J23" s="125" t="str">
        <f t="shared" si="18"/>
        <v>N/A</v>
      </c>
      <c r="K23" s="125" t="str">
        <f t="shared" ca="1" si="4"/>
        <v>N/A</v>
      </c>
      <c r="L23" s="125" t="str">
        <f t="shared" ca="1" si="4"/>
        <v>N/A</v>
      </c>
      <c r="M23" s="125" t="str">
        <f t="shared" ca="1" si="4"/>
        <v>N/A</v>
      </c>
      <c r="N23" s="125" t="str">
        <f t="shared" ca="1" si="4"/>
        <v>N/A</v>
      </c>
      <c r="O23" s="125" t="str">
        <f t="shared" ca="1" si="4"/>
        <v>N/A</v>
      </c>
      <c r="P23" s="125" t="str">
        <f t="shared" ca="1" si="4"/>
        <v>N/A</v>
      </c>
      <c r="Q23" s="125" t="str">
        <f t="shared" ca="1" si="4"/>
        <v>N/A</v>
      </c>
      <c r="R23" s="125" t="str">
        <f t="shared" ca="1" si="4"/>
        <v>N/A</v>
      </c>
      <c r="S23" s="125" t="str">
        <f t="shared" ca="1" si="4"/>
        <v>N/A</v>
      </c>
      <c r="T23" s="125" t="str">
        <f t="shared" ca="1" si="4"/>
        <v>N/A</v>
      </c>
      <c r="U23" s="125" t="str">
        <f t="shared" ca="1" si="4"/>
        <v>N/A</v>
      </c>
      <c r="V23" s="125" t="str">
        <f t="shared" ca="1" si="4"/>
        <v>N/A</v>
      </c>
      <c r="W23" s="125" t="str">
        <f t="shared" ca="1" si="4"/>
        <v>N/A</v>
      </c>
      <c r="X23" s="77" t="str">
        <f t="shared" ca="1" si="11"/>
        <v>N/A</v>
      </c>
      <c r="Y23" s="77" t="str">
        <f t="shared" ca="1" si="12"/>
        <v>N/A</v>
      </c>
      <c r="Z23" s="125" t="e">
        <f t="shared" ca="1" si="13"/>
        <v>#VALUE!</v>
      </c>
      <c r="AA23" s="77" t="e">
        <f t="shared" ca="1" si="14"/>
        <v>#VALUE!</v>
      </c>
      <c r="AB23" s="77"/>
      <c r="AC23" s="184">
        <f t="shared" ca="1" si="19"/>
        <v>-1</v>
      </c>
      <c r="AD23" s="181" t="str">
        <f t="shared" si="5"/>
        <v>N/A</v>
      </c>
      <c r="AE23" s="190">
        <v>43100</v>
      </c>
      <c r="AF23" s="186" t="e">
        <f t="shared" si="6"/>
        <v>#VALUE!</v>
      </c>
      <c r="AG23" s="187" t="e">
        <f t="shared" si="15"/>
        <v>#VALUE!</v>
      </c>
      <c r="AH23" s="187" t="e">
        <f t="shared" ca="1" si="7"/>
        <v>#VALUE!</v>
      </c>
      <c r="AI23" s="188" t="e">
        <f t="shared" ca="1" si="8"/>
        <v>#VALUE!</v>
      </c>
      <c r="AN23" t="b">
        <f t="shared" ca="1" si="9"/>
        <v>0</v>
      </c>
      <c r="AO23" t="b">
        <f t="shared" ca="1" si="9"/>
        <v>0</v>
      </c>
      <c r="AP23" t="b">
        <f t="shared" ca="1" si="9"/>
        <v>0</v>
      </c>
      <c r="AQ23" t="b">
        <f t="shared" ca="1" si="9"/>
        <v>0</v>
      </c>
      <c r="AR23" t="b">
        <f t="shared" ca="1" si="9"/>
        <v>0</v>
      </c>
      <c r="AS23" t="b">
        <f t="shared" ca="1" si="9"/>
        <v>0</v>
      </c>
      <c r="AT23" t="b">
        <f t="shared" ca="1" si="9"/>
        <v>0</v>
      </c>
      <c r="AU23" t="b">
        <f t="shared" ca="1" si="9"/>
        <v>0</v>
      </c>
      <c r="AV23" t="b">
        <f t="shared" ca="1" si="9"/>
        <v>0</v>
      </c>
      <c r="AW23" t="b">
        <f t="shared" ca="1" si="9"/>
        <v>0</v>
      </c>
      <c r="AX23" t="b">
        <f t="shared" ca="1" si="9"/>
        <v>0</v>
      </c>
      <c r="AY23" t="b">
        <f t="shared" ca="1" si="9"/>
        <v>0</v>
      </c>
      <c r="AZ23" t="b">
        <f t="shared" ca="1" si="9"/>
        <v>0</v>
      </c>
      <c r="BA23">
        <f t="shared" ca="1" si="16"/>
        <v>1</v>
      </c>
      <c r="BB23">
        <f t="shared" ca="1" si="17"/>
        <v>7</v>
      </c>
    </row>
    <row r="24" spans="1:54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25" t="str">
        <f t="shared" ca="1" si="10"/>
        <v>N/A</v>
      </c>
      <c r="G24" s="125"/>
      <c r="H24" s="125"/>
      <c r="I24" s="125"/>
      <c r="J24" s="125" t="str">
        <f t="shared" si="18"/>
        <v>N/A</v>
      </c>
      <c r="K24" s="125" t="str">
        <f t="shared" ca="1" si="4"/>
        <v>N/A</v>
      </c>
      <c r="L24" s="125" t="str">
        <f t="shared" ca="1" si="4"/>
        <v>N/A</v>
      </c>
      <c r="M24" s="125" t="str">
        <f t="shared" ca="1" si="4"/>
        <v>N/A</v>
      </c>
      <c r="N24" s="125" t="str">
        <f t="shared" ca="1" si="4"/>
        <v>N/A</v>
      </c>
      <c r="O24" s="125" t="str">
        <f t="shared" ca="1" si="4"/>
        <v>N/A</v>
      </c>
      <c r="P24" s="125" t="str">
        <f t="shared" ca="1" si="4"/>
        <v>N/A</v>
      </c>
      <c r="Q24" s="125" t="str">
        <f t="shared" ca="1" si="4"/>
        <v>N/A</v>
      </c>
      <c r="R24" s="125" t="str">
        <f t="shared" ca="1" si="4"/>
        <v>N/A</v>
      </c>
      <c r="S24" s="125" t="str">
        <f t="shared" ca="1" si="4"/>
        <v>N/A</v>
      </c>
      <c r="T24" s="125" t="str">
        <f t="shared" ca="1" si="4"/>
        <v>N/A</v>
      </c>
      <c r="U24" s="125" t="str">
        <f t="shared" ca="1" si="4"/>
        <v>N/A</v>
      </c>
      <c r="V24" s="125" t="str">
        <f t="shared" ca="1" si="4"/>
        <v>N/A</v>
      </c>
      <c r="W24" s="125" t="str">
        <f t="shared" ca="1" si="4"/>
        <v>N/A</v>
      </c>
      <c r="X24" s="77" t="str">
        <f t="shared" ca="1" si="11"/>
        <v>N/A</v>
      </c>
      <c r="Y24" s="77" t="str">
        <f t="shared" ca="1" si="12"/>
        <v>N/A</v>
      </c>
      <c r="Z24" s="125" t="e">
        <f t="shared" ca="1" si="13"/>
        <v>#VALUE!</v>
      </c>
      <c r="AA24" s="77" t="e">
        <f t="shared" ca="1" si="14"/>
        <v>#VALUE!</v>
      </c>
      <c r="AB24" s="77"/>
      <c r="AC24" s="184">
        <f t="shared" ca="1" si="19"/>
        <v>-1</v>
      </c>
      <c r="AD24" s="181" t="str">
        <f t="shared" si="5"/>
        <v>N/A</v>
      </c>
      <c r="AE24" s="190">
        <v>43100</v>
      </c>
      <c r="AF24" s="186" t="e">
        <f t="shared" si="6"/>
        <v>#VALUE!</v>
      </c>
      <c r="AG24" s="187" t="e">
        <f t="shared" si="15"/>
        <v>#VALUE!</v>
      </c>
      <c r="AH24" s="187" t="e">
        <f t="shared" ca="1" si="7"/>
        <v>#VALUE!</v>
      </c>
      <c r="AI24" s="188" t="e">
        <f t="shared" ca="1" si="8"/>
        <v>#VALUE!</v>
      </c>
      <c r="AN24" t="b">
        <f t="shared" ca="1" si="9"/>
        <v>0</v>
      </c>
      <c r="AO24" t="b">
        <f t="shared" ca="1" si="9"/>
        <v>0</v>
      </c>
      <c r="AP24" t="b">
        <f t="shared" ca="1" si="9"/>
        <v>0</v>
      </c>
      <c r="AQ24" t="b">
        <f t="shared" ca="1" si="9"/>
        <v>0</v>
      </c>
      <c r="AR24" t="b">
        <f t="shared" ca="1" si="9"/>
        <v>0</v>
      </c>
      <c r="AS24" t="b">
        <f t="shared" ca="1" si="9"/>
        <v>0</v>
      </c>
      <c r="AT24" t="b">
        <f t="shared" ca="1" si="9"/>
        <v>0</v>
      </c>
      <c r="AU24" t="b">
        <f t="shared" ca="1" si="9"/>
        <v>0</v>
      </c>
      <c r="AV24" t="b">
        <f t="shared" ca="1" si="9"/>
        <v>0</v>
      </c>
      <c r="AW24" t="b">
        <f t="shared" ca="1" si="9"/>
        <v>0</v>
      </c>
      <c r="AX24" t="b">
        <f t="shared" ca="1" si="9"/>
        <v>0</v>
      </c>
      <c r="AY24" t="b">
        <f t="shared" ca="1" si="9"/>
        <v>0</v>
      </c>
      <c r="AZ24" t="b">
        <f t="shared" ca="1" si="9"/>
        <v>0</v>
      </c>
      <c r="BA24">
        <f t="shared" ca="1" si="16"/>
        <v>1</v>
      </c>
      <c r="BB24">
        <f t="shared" ca="1" si="17"/>
        <v>7</v>
      </c>
    </row>
    <row r="25" spans="1:54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25" t="str">
        <f t="shared" ca="1" si="10"/>
        <v>N/A</v>
      </c>
      <c r="G25" s="125"/>
      <c r="H25" s="125"/>
      <c r="I25" s="125"/>
      <c r="J25" s="125" t="str">
        <f t="shared" si="18"/>
        <v>N/A</v>
      </c>
      <c r="K25" s="125" t="str">
        <f t="shared" ca="1" si="4"/>
        <v>N/A</v>
      </c>
      <c r="L25" s="125" t="str">
        <f t="shared" ca="1" si="4"/>
        <v>N/A</v>
      </c>
      <c r="M25" s="125" t="str">
        <f t="shared" ca="1" si="4"/>
        <v>N/A</v>
      </c>
      <c r="N25" s="125" t="str">
        <f t="shared" ca="1" si="4"/>
        <v>N/A</v>
      </c>
      <c r="O25" s="125" t="str">
        <f t="shared" ca="1" si="4"/>
        <v>N/A</v>
      </c>
      <c r="P25" s="125" t="str">
        <f t="shared" ca="1" si="4"/>
        <v>N/A</v>
      </c>
      <c r="Q25" s="125" t="str">
        <f t="shared" ca="1" si="4"/>
        <v>N/A</v>
      </c>
      <c r="R25" s="125" t="str">
        <f t="shared" ca="1" si="4"/>
        <v>N/A</v>
      </c>
      <c r="S25" s="125" t="str">
        <f t="shared" ca="1" si="4"/>
        <v>N/A</v>
      </c>
      <c r="T25" s="125" t="str">
        <f t="shared" ca="1" si="4"/>
        <v>N/A</v>
      </c>
      <c r="U25" s="125" t="str">
        <f t="shared" ca="1" si="4"/>
        <v>N/A</v>
      </c>
      <c r="V25" s="125" t="str">
        <f t="shared" ca="1" si="4"/>
        <v>N/A</v>
      </c>
      <c r="W25" s="125" t="str">
        <f t="shared" ca="1" si="4"/>
        <v>N/A</v>
      </c>
      <c r="X25" s="77" t="str">
        <f t="shared" ca="1" si="11"/>
        <v>N/A</v>
      </c>
      <c r="Y25" s="77" t="str">
        <f t="shared" ca="1" si="12"/>
        <v>N/A</v>
      </c>
      <c r="Z25" s="125" t="e">
        <f t="shared" ca="1" si="13"/>
        <v>#VALUE!</v>
      </c>
      <c r="AA25" s="77" t="e">
        <f t="shared" ca="1" si="14"/>
        <v>#VALUE!</v>
      </c>
      <c r="AB25" s="77"/>
      <c r="AC25" s="184">
        <f t="shared" ca="1" si="19"/>
        <v>-1</v>
      </c>
      <c r="AD25" s="181" t="str">
        <f t="shared" si="5"/>
        <v>N/A</v>
      </c>
      <c r="AE25" s="190">
        <v>43100</v>
      </c>
      <c r="AF25" s="186" t="e">
        <f t="shared" si="6"/>
        <v>#VALUE!</v>
      </c>
      <c r="AG25" s="187" t="e">
        <f t="shared" si="15"/>
        <v>#VALUE!</v>
      </c>
      <c r="AH25" s="187" t="e">
        <f t="shared" ca="1" si="7"/>
        <v>#VALUE!</v>
      </c>
      <c r="AI25" s="188" t="e">
        <f t="shared" ca="1" si="8"/>
        <v>#VALUE!</v>
      </c>
      <c r="AN25" t="b">
        <f t="shared" ca="1" si="9"/>
        <v>0</v>
      </c>
      <c r="AO25" t="b">
        <f t="shared" ca="1" si="9"/>
        <v>0</v>
      </c>
      <c r="AP25" t="b">
        <f t="shared" ca="1" si="9"/>
        <v>0</v>
      </c>
      <c r="AQ25" t="b">
        <f t="shared" ca="1" si="9"/>
        <v>0</v>
      </c>
      <c r="AR25" t="b">
        <f t="shared" ca="1" si="9"/>
        <v>0</v>
      </c>
      <c r="AS25" t="b">
        <f t="shared" ca="1" si="9"/>
        <v>0</v>
      </c>
      <c r="AT25" t="b">
        <f t="shared" ca="1" si="9"/>
        <v>0</v>
      </c>
      <c r="AU25" t="b">
        <f t="shared" ca="1" si="9"/>
        <v>0</v>
      </c>
      <c r="AV25" t="b">
        <f t="shared" ca="1" si="9"/>
        <v>0</v>
      </c>
      <c r="AW25" t="b">
        <f t="shared" ca="1" si="9"/>
        <v>0</v>
      </c>
      <c r="AX25" t="b">
        <f t="shared" ca="1" si="9"/>
        <v>0</v>
      </c>
      <c r="AY25" t="b">
        <f t="shared" ca="1" si="9"/>
        <v>0</v>
      </c>
      <c r="AZ25" t="b">
        <f t="shared" ca="1" si="9"/>
        <v>0</v>
      </c>
      <c r="BA25">
        <f t="shared" ca="1" si="16"/>
        <v>1</v>
      </c>
      <c r="BB25">
        <f t="shared" ca="1" si="17"/>
        <v>7</v>
      </c>
    </row>
    <row r="26" spans="1:54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25" t="str">
        <f t="shared" ca="1" si="10"/>
        <v>N/A</v>
      </c>
      <c r="G26" s="125"/>
      <c r="H26" s="125"/>
      <c r="I26" s="125"/>
      <c r="J26" s="125" t="str">
        <f t="shared" si="18"/>
        <v>N/A</v>
      </c>
      <c r="K26" s="125" t="str">
        <f t="shared" ca="1" si="4"/>
        <v>N/A</v>
      </c>
      <c r="L26" s="125" t="str">
        <f t="shared" ca="1" si="4"/>
        <v>N/A</v>
      </c>
      <c r="M26" s="125" t="str">
        <f t="shared" ca="1" si="4"/>
        <v>N/A</v>
      </c>
      <c r="N26" s="125" t="str">
        <f t="shared" ca="1" si="4"/>
        <v>N/A</v>
      </c>
      <c r="O26" s="125" t="str">
        <f t="shared" ca="1" si="4"/>
        <v>N/A</v>
      </c>
      <c r="P26" s="125" t="str">
        <f t="shared" ca="1" si="4"/>
        <v>N/A</v>
      </c>
      <c r="Q26" s="125" t="str">
        <f t="shared" ca="1" si="4"/>
        <v>N/A</v>
      </c>
      <c r="R26" s="125" t="str">
        <f t="shared" ca="1" si="4"/>
        <v>N/A</v>
      </c>
      <c r="S26" s="125" t="str">
        <f t="shared" ca="1" si="4"/>
        <v>N/A</v>
      </c>
      <c r="T26" s="125" t="str">
        <f t="shared" ca="1" si="4"/>
        <v>N/A</v>
      </c>
      <c r="U26" s="125" t="str">
        <f t="shared" ca="1" si="4"/>
        <v>N/A</v>
      </c>
      <c r="V26" s="125" t="str">
        <f t="shared" ca="1" si="4"/>
        <v>N/A</v>
      </c>
      <c r="W26" s="125" t="str">
        <f t="shared" ca="1" si="4"/>
        <v>N/A</v>
      </c>
      <c r="X26" s="77" t="str">
        <f t="shared" ca="1" si="11"/>
        <v>N/A</v>
      </c>
      <c r="Y26" s="77" t="str">
        <f t="shared" ca="1" si="12"/>
        <v>N/A</v>
      </c>
      <c r="Z26" s="125" t="e">
        <f t="shared" ca="1" si="13"/>
        <v>#VALUE!</v>
      </c>
      <c r="AA26" s="77" t="e">
        <f t="shared" ca="1" si="14"/>
        <v>#VALUE!</v>
      </c>
      <c r="AB26" s="77"/>
      <c r="AC26" s="184">
        <f t="shared" ca="1" si="19"/>
        <v>-1</v>
      </c>
      <c r="AD26" s="181" t="str">
        <f t="shared" si="5"/>
        <v>N/A</v>
      </c>
      <c r="AE26" s="190">
        <v>43100</v>
      </c>
      <c r="AF26" s="186" t="e">
        <f t="shared" si="6"/>
        <v>#VALUE!</v>
      </c>
      <c r="AG26" s="187" t="e">
        <f t="shared" si="15"/>
        <v>#VALUE!</v>
      </c>
      <c r="AH26" s="187" t="e">
        <f t="shared" ca="1" si="7"/>
        <v>#VALUE!</v>
      </c>
      <c r="AI26" s="188" t="e">
        <f t="shared" ca="1" si="8"/>
        <v>#VALUE!</v>
      </c>
      <c r="AN26" t="b">
        <f t="shared" ca="1" si="9"/>
        <v>0</v>
      </c>
      <c r="AO26" t="b">
        <f t="shared" ca="1" si="9"/>
        <v>0</v>
      </c>
      <c r="AP26" t="b">
        <f t="shared" ca="1" si="9"/>
        <v>0</v>
      </c>
      <c r="AQ26" t="b">
        <f t="shared" ca="1" si="9"/>
        <v>0</v>
      </c>
      <c r="AR26" t="b">
        <f t="shared" ca="1" si="9"/>
        <v>0</v>
      </c>
      <c r="AS26" t="b">
        <f t="shared" ca="1" si="9"/>
        <v>0</v>
      </c>
      <c r="AT26" t="b">
        <f t="shared" ca="1" si="9"/>
        <v>0</v>
      </c>
      <c r="AU26" t="b">
        <f t="shared" ca="1" si="9"/>
        <v>0</v>
      </c>
      <c r="AV26" t="b">
        <f t="shared" ca="1" si="9"/>
        <v>0</v>
      </c>
      <c r="AW26" t="b">
        <f t="shared" ca="1" si="9"/>
        <v>0</v>
      </c>
      <c r="AX26" t="b">
        <f t="shared" ca="1" si="9"/>
        <v>0</v>
      </c>
      <c r="AY26" t="b">
        <f t="shared" ca="1" si="9"/>
        <v>0</v>
      </c>
      <c r="AZ26" t="b">
        <f t="shared" ca="1" si="9"/>
        <v>0</v>
      </c>
      <c r="BA26">
        <f t="shared" ca="1" si="16"/>
        <v>1</v>
      </c>
      <c r="BB26">
        <f t="shared" ca="1" si="17"/>
        <v>7</v>
      </c>
    </row>
    <row r="27" spans="1:54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25" t="str">
        <f t="shared" ca="1" si="10"/>
        <v>N/A</v>
      </c>
      <c r="G27" s="125"/>
      <c r="H27" s="125"/>
      <c r="I27" s="125"/>
      <c r="J27" s="125" t="str">
        <f t="shared" si="18"/>
        <v>N/A</v>
      </c>
      <c r="K27" s="125" t="str">
        <f t="shared" ca="1" si="4"/>
        <v>N/A</v>
      </c>
      <c r="L27" s="125" t="str">
        <f t="shared" ca="1" si="4"/>
        <v>N/A</v>
      </c>
      <c r="M27" s="125" t="str">
        <f t="shared" ca="1" si="4"/>
        <v>N/A</v>
      </c>
      <c r="N27" s="125" t="str">
        <f t="shared" ca="1" si="4"/>
        <v>N/A</v>
      </c>
      <c r="O27" s="125" t="str">
        <f t="shared" ca="1" si="4"/>
        <v>N/A</v>
      </c>
      <c r="P27" s="125" t="str">
        <f t="shared" ca="1" si="4"/>
        <v>N/A</v>
      </c>
      <c r="Q27" s="125" t="str">
        <f t="shared" ca="1" si="4"/>
        <v>N/A</v>
      </c>
      <c r="R27" s="125" t="str">
        <f t="shared" ca="1" si="4"/>
        <v>N/A</v>
      </c>
      <c r="S27" s="125" t="str">
        <f t="shared" ca="1" si="4"/>
        <v>N/A</v>
      </c>
      <c r="T27" s="125" t="str">
        <f t="shared" ca="1" si="4"/>
        <v>N/A</v>
      </c>
      <c r="U27" s="125" t="str">
        <f t="shared" ca="1" si="4"/>
        <v>N/A</v>
      </c>
      <c r="V27" s="125" t="str">
        <f t="shared" ca="1" si="4"/>
        <v>N/A</v>
      </c>
      <c r="W27" s="125" t="str">
        <f t="shared" ca="1" si="4"/>
        <v>N/A</v>
      </c>
      <c r="X27" s="77" t="str">
        <f t="shared" ca="1" si="11"/>
        <v>N/A</v>
      </c>
      <c r="Y27" s="77" t="str">
        <f t="shared" ca="1" si="12"/>
        <v>N/A</v>
      </c>
      <c r="Z27" s="125" t="e">
        <f t="shared" ca="1" si="13"/>
        <v>#VALUE!</v>
      </c>
      <c r="AA27" s="77" t="e">
        <f t="shared" ca="1" si="14"/>
        <v>#VALUE!</v>
      </c>
      <c r="AB27" s="77"/>
      <c r="AC27" s="184">
        <f t="shared" ca="1" si="19"/>
        <v>-1</v>
      </c>
      <c r="AD27" s="181" t="str">
        <f t="shared" si="5"/>
        <v>N/A</v>
      </c>
      <c r="AE27" s="190">
        <v>43100</v>
      </c>
      <c r="AF27" s="186" t="e">
        <f t="shared" si="6"/>
        <v>#VALUE!</v>
      </c>
      <c r="AG27" s="187" t="e">
        <f t="shared" si="15"/>
        <v>#VALUE!</v>
      </c>
      <c r="AH27" s="187" t="e">
        <f t="shared" ca="1" si="7"/>
        <v>#VALUE!</v>
      </c>
      <c r="AI27" s="188" t="e">
        <f t="shared" ca="1" si="8"/>
        <v>#VALUE!</v>
      </c>
      <c r="AN27" t="b">
        <f t="shared" ca="1" si="9"/>
        <v>0</v>
      </c>
      <c r="AO27" t="b">
        <f t="shared" ca="1" si="9"/>
        <v>0</v>
      </c>
      <c r="AP27" t="b">
        <f t="shared" ca="1" si="9"/>
        <v>0</v>
      </c>
      <c r="AQ27" t="b">
        <f t="shared" ca="1" si="9"/>
        <v>0</v>
      </c>
      <c r="AR27" t="b">
        <f t="shared" ca="1" si="9"/>
        <v>0</v>
      </c>
      <c r="AS27" t="b">
        <f t="shared" ca="1" si="9"/>
        <v>0</v>
      </c>
      <c r="AT27" t="b">
        <f t="shared" ca="1" si="9"/>
        <v>0</v>
      </c>
      <c r="AU27" t="b">
        <f t="shared" ca="1" si="9"/>
        <v>0</v>
      </c>
      <c r="AV27" t="b">
        <f t="shared" ca="1" si="9"/>
        <v>0</v>
      </c>
      <c r="AW27" t="b">
        <f t="shared" ca="1" si="9"/>
        <v>0</v>
      </c>
      <c r="AX27" t="b">
        <f t="shared" ca="1" si="9"/>
        <v>0</v>
      </c>
      <c r="AY27" t="b">
        <f t="shared" ca="1" si="9"/>
        <v>0</v>
      </c>
      <c r="AZ27" t="b">
        <f t="shared" ca="1" si="9"/>
        <v>0</v>
      </c>
      <c r="BA27">
        <f t="shared" ca="1" si="16"/>
        <v>1</v>
      </c>
      <c r="BB27">
        <f t="shared" ca="1" si="17"/>
        <v>7</v>
      </c>
    </row>
    <row r="28" spans="1:54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25" t="str">
        <f t="shared" ca="1" si="10"/>
        <v>N/A</v>
      </c>
      <c r="G28" s="125"/>
      <c r="H28" s="125"/>
      <c r="I28" s="125"/>
      <c r="J28" s="125" t="str">
        <f t="shared" si="18"/>
        <v>N/A</v>
      </c>
      <c r="K28" s="125" t="str">
        <f t="shared" ca="1" si="4"/>
        <v>N/A</v>
      </c>
      <c r="L28" s="125" t="str">
        <f t="shared" ca="1" si="4"/>
        <v>N/A</v>
      </c>
      <c r="M28" s="125" t="str">
        <f t="shared" ca="1" si="4"/>
        <v>N/A</v>
      </c>
      <c r="N28" s="125" t="str">
        <f t="shared" ca="1" si="4"/>
        <v>N/A</v>
      </c>
      <c r="O28" s="125" t="str">
        <f t="shared" ca="1" si="4"/>
        <v>N/A</v>
      </c>
      <c r="P28" s="125" t="str">
        <f t="shared" ca="1" si="4"/>
        <v>N/A</v>
      </c>
      <c r="Q28" s="125" t="str">
        <f t="shared" ca="1" si="4"/>
        <v>N/A</v>
      </c>
      <c r="R28" s="125" t="str">
        <f t="shared" ca="1" si="4"/>
        <v>N/A</v>
      </c>
      <c r="S28" s="125" t="str">
        <f t="shared" ca="1" si="4"/>
        <v>N/A</v>
      </c>
      <c r="T28" s="125" t="str">
        <f t="shared" ca="1" si="4"/>
        <v>N/A</v>
      </c>
      <c r="U28" s="125" t="str">
        <f t="shared" ca="1" si="4"/>
        <v>N/A</v>
      </c>
      <c r="V28" s="125" t="str">
        <f t="shared" ca="1" si="4"/>
        <v>N/A</v>
      </c>
      <c r="W28" s="125" t="str">
        <f t="shared" ca="1" si="4"/>
        <v>N/A</v>
      </c>
      <c r="X28" s="77" t="str">
        <f t="shared" ca="1" si="11"/>
        <v>N/A</v>
      </c>
      <c r="Y28" s="77" t="str">
        <f t="shared" ca="1" si="12"/>
        <v>N/A</v>
      </c>
      <c r="Z28" s="125" t="e">
        <f t="shared" ca="1" si="13"/>
        <v>#VALUE!</v>
      </c>
      <c r="AA28" s="77" t="e">
        <f t="shared" ca="1" si="14"/>
        <v>#VALUE!</v>
      </c>
      <c r="AB28" s="77"/>
      <c r="AC28" s="184">
        <f t="shared" ca="1" si="19"/>
        <v>-1</v>
      </c>
      <c r="AD28" s="181" t="str">
        <f t="shared" si="5"/>
        <v>N/A</v>
      </c>
      <c r="AE28" s="190">
        <v>43100</v>
      </c>
      <c r="AF28" s="186" t="e">
        <f t="shared" si="6"/>
        <v>#VALUE!</v>
      </c>
      <c r="AG28" s="187" t="e">
        <f t="shared" si="15"/>
        <v>#VALUE!</v>
      </c>
      <c r="AH28" s="187" t="e">
        <f t="shared" ca="1" si="7"/>
        <v>#VALUE!</v>
      </c>
      <c r="AI28" s="188" t="e">
        <f t="shared" ca="1" si="8"/>
        <v>#VALUE!</v>
      </c>
      <c r="AN28" t="b">
        <f t="shared" ca="1" si="9"/>
        <v>0</v>
      </c>
      <c r="AO28" t="b">
        <f t="shared" ca="1" si="9"/>
        <v>0</v>
      </c>
      <c r="AP28" t="b">
        <f t="shared" ca="1" si="9"/>
        <v>0</v>
      </c>
      <c r="AQ28" t="b">
        <f t="shared" ca="1" si="9"/>
        <v>0</v>
      </c>
      <c r="AR28" t="b">
        <f t="shared" ca="1" si="9"/>
        <v>0</v>
      </c>
      <c r="AS28" t="b">
        <f t="shared" ca="1" si="9"/>
        <v>0</v>
      </c>
      <c r="AT28" t="b">
        <f t="shared" ca="1" si="9"/>
        <v>0</v>
      </c>
      <c r="AU28" t="b">
        <f t="shared" ca="1" si="9"/>
        <v>0</v>
      </c>
      <c r="AV28" t="b">
        <f t="shared" ca="1" si="9"/>
        <v>0</v>
      </c>
      <c r="AW28" t="b">
        <f t="shared" ca="1" si="9"/>
        <v>0</v>
      </c>
      <c r="AX28" t="b">
        <f t="shared" ca="1" si="9"/>
        <v>0</v>
      </c>
      <c r="AY28" t="b">
        <f t="shared" ca="1" si="9"/>
        <v>0</v>
      </c>
      <c r="AZ28" t="b">
        <f t="shared" ca="1" si="9"/>
        <v>0</v>
      </c>
      <c r="BA28">
        <f t="shared" ca="1" si="16"/>
        <v>1</v>
      </c>
      <c r="BB28">
        <f t="shared" ca="1" si="17"/>
        <v>7</v>
      </c>
    </row>
    <row r="29" spans="1:54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25" t="str">
        <f t="shared" ca="1" si="10"/>
        <v>N/A</v>
      </c>
      <c r="G29" s="125"/>
      <c r="H29" s="125"/>
      <c r="I29" s="125"/>
      <c r="J29" s="125" t="str">
        <f t="shared" si="18"/>
        <v>N/A</v>
      </c>
      <c r="K29" s="125" t="str">
        <f t="shared" ref="K29:W48" ca="1" si="20">IFERROR(IF(INDEX(Earnings,$B29,K$12)=0,"N/A",INDEX(Earnings,$B29,K$12)),"N/A")</f>
        <v>N/A</v>
      </c>
      <c r="L29" s="125" t="str">
        <f t="shared" ca="1" si="20"/>
        <v>N/A</v>
      </c>
      <c r="M29" s="125" t="str">
        <f t="shared" ca="1" si="20"/>
        <v>N/A</v>
      </c>
      <c r="N29" s="125" t="str">
        <f t="shared" ca="1" si="20"/>
        <v>N/A</v>
      </c>
      <c r="O29" s="125" t="str">
        <f t="shared" ca="1" si="20"/>
        <v>N/A</v>
      </c>
      <c r="P29" s="125" t="str">
        <f t="shared" ca="1" si="20"/>
        <v>N/A</v>
      </c>
      <c r="Q29" s="125" t="str">
        <f t="shared" ca="1" si="20"/>
        <v>N/A</v>
      </c>
      <c r="R29" s="125" t="str">
        <f t="shared" ca="1" si="20"/>
        <v>N/A</v>
      </c>
      <c r="S29" s="125" t="str">
        <f t="shared" ca="1" si="20"/>
        <v>N/A</v>
      </c>
      <c r="T29" s="125" t="str">
        <f t="shared" ca="1" si="20"/>
        <v>N/A</v>
      </c>
      <c r="U29" s="125" t="str">
        <f t="shared" ca="1" si="20"/>
        <v>N/A</v>
      </c>
      <c r="V29" s="125" t="str">
        <f t="shared" ca="1" si="20"/>
        <v>N/A</v>
      </c>
      <c r="W29" s="125" t="str">
        <f t="shared" ca="1" si="20"/>
        <v>N/A</v>
      </c>
      <c r="X29" s="77" t="str">
        <f t="shared" ca="1" si="11"/>
        <v>N/A</v>
      </c>
      <c r="Y29" s="77" t="str">
        <f t="shared" ca="1" si="12"/>
        <v>N/A</v>
      </c>
      <c r="Z29" s="125" t="e">
        <f t="shared" ca="1" si="13"/>
        <v>#VALUE!</v>
      </c>
      <c r="AA29" s="77" t="e">
        <f t="shared" ca="1" si="14"/>
        <v>#VALUE!</v>
      </c>
      <c r="AB29" s="77"/>
      <c r="AC29" s="184">
        <f t="shared" ca="1" si="19"/>
        <v>-1</v>
      </c>
      <c r="AD29" s="181" t="str">
        <f t="shared" si="5"/>
        <v>N/A</v>
      </c>
      <c r="AE29" s="190">
        <v>43100</v>
      </c>
      <c r="AF29" s="186" t="e">
        <f t="shared" si="6"/>
        <v>#VALUE!</v>
      </c>
      <c r="AG29" s="187" t="e">
        <f t="shared" si="15"/>
        <v>#VALUE!</v>
      </c>
      <c r="AH29" s="187" t="e">
        <f t="shared" ca="1" si="7"/>
        <v>#VALUE!</v>
      </c>
      <c r="AI29" s="188" t="e">
        <f t="shared" ca="1" si="8"/>
        <v>#VALUE!</v>
      </c>
      <c r="AN29" t="b">
        <f t="shared" ca="1" si="9"/>
        <v>0</v>
      </c>
      <c r="AO29" t="b">
        <f t="shared" ca="1" si="9"/>
        <v>0</v>
      </c>
      <c r="AP29" t="b">
        <f t="shared" ca="1" si="9"/>
        <v>0</v>
      </c>
      <c r="AQ29" t="b">
        <f t="shared" ca="1" si="9"/>
        <v>0</v>
      </c>
      <c r="AR29" t="b">
        <f t="shared" ca="1" si="9"/>
        <v>0</v>
      </c>
      <c r="AS29" t="b">
        <f t="shared" ca="1" si="9"/>
        <v>0</v>
      </c>
      <c r="AT29" t="b">
        <f t="shared" ca="1" si="9"/>
        <v>0</v>
      </c>
      <c r="AU29" t="b">
        <f t="shared" ca="1" si="9"/>
        <v>0</v>
      </c>
      <c r="AV29" t="b">
        <f t="shared" ca="1" si="9"/>
        <v>0</v>
      </c>
      <c r="AW29" t="b">
        <f t="shared" ca="1" si="9"/>
        <v>0</v>
      </c>
      <c r="AX29" t="b">
        <f t="shared" ca="1" si="9"/>
        <v>0</v>
      </c>
      <c r="AY29" t="b">
        <f t="shared" ca="1" si="9"/>
        <v>0</v>
      </c>
      <c r="AZ29" t="b">
        <f t="shared" ca="1" si="9"/>
        <v>0</v>
      </c>
      <c r="BA29">
        <f t="shared" ca="1" si="16"/>
        <v>1</v>
      </c>
      <c r="BB29">
        <f t="shared" ca="1" si="17"/>
        <v>7</v>
      </c>
    </row>
    <row r="30" spans="1:54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25" t="str">
        <f t="shared" ca="1" si="10"/>
        <v>N/A</v>
      </c>
      <c r="G30" s="125"/>
      <c r="H30" s="125"/>
      <c r="I30" s="125"/>
      <c r="J30" s="125" t="str">
        <f t="shared" si="18"/>
        <v>N/A</v>
      </c>
      <c r="K30" s="125" t="str">
        <f t="shared" ca="1" si="20"/>
        <v>N/A</v>
      </c>
      <c r="L30" s="125" t="str">
        <f t="shared" ca="1" si="20"/>
        <v>N/A</v>
      </c>
      <c r="M30" s="125" t="str">
        <f t="shared" ca="1" si="20"/>
        <v>N/A</v>
      </c>
      <c r="N30" s="125" t="str">
        <f t="shared" ca="1" si="20"/>
        <v>N/A</v>
      </c>
      <c r="O30" s="125" t="str">
        <f t="shared" ca="1" si="20"/>
        <v>N/A</v>
      </c>
      <c r="P30" s="125" t="str">
        <f t="shared" ca="1" si="20"/>
        <v>N/A</v>
      </c>
      <c r="Q30" s="125" t="str">
        <f t="shared" ca="1" si="20"/>
        <v>N/A</v>
      </c>
      <c r="R30" s="125" t="str">
        <f t="shared" ca="1" si="20"/>
        <v>N/A</v>
      </c>
      <c r="S30" s="125" t="str">
        <f t="shared" ca="1" si="20"/>
        <v>N/A</v>
      </c>
      <c r="T30" s="125" t="str">
        <f t="shared" ca="1" si="20"/>
        <v>N/A</v>
      </c>
      <c r="U30" s="125" t="str">
        <f t="shared" ca="1" si="20"/>
        <v>N/A</v>
      </c>
      <c r="V30" s="125" t="str">
        <f t="shared" ca="1" si="20"/>
        <v>N/A</v>
      </c>
      <c r="W30" s="125" t="str">
        <f t="shared" ca="1" si="20"/>
        <v>N/A</v>
      </c>
      <c r="X30" s="77" t="str">
        <f t="shared" ca="1" si="11"/>
        <v>N/A</v>
      </c>
      <c r="Y30" s="77" t="str">
        <f t="shared" ca="1" si="12"/>
        <v>N/A</v>
      </c>
      <c r="Z30" s="125" t="e">
        <f t="shared" ca="1" si="13"/>
        <v>#VALUE!</v>
      </c>
      <c r="AA30" s="77" t="e">
        <f t="shared" ca="1" si="14"/>
        <v>#VALUE!</v>
      </c>
      <c r="AB30" s="77"/>
      <c r="AC30" s="184">
        <f t="shared" ca="1" si="19"/>
        <v>-1</v>
      </c>
      <c r="AD30" s="181" t="str">
        <f t="shared" si="5"/>
        <v>N/A</v>
      </c>
      <c r="AE30" s="190">
        <v>43100</v>
      </c>
      <c r="AF30" s="186" t="e">
        <f t="shared" si="6"/>
        <v>#VALUE!</v>
      </c>
      <c r="AG30" s="187" t="e">
        <f t="shared" si="15"/>
        <v>#VALUE!</v>
      </c>
      <c r="AH30" s="187" t="e">
        <f t="shared" ca="1" si="7"/>
        <v>#VALUE!</v>
      </c>
      <c r="AI30" s="188" t="e">
        <f t="shared" ca="1" si="8"/>
        <v>#VALUE!</v>
      </c>
      <c r="AN30" t="b">
        <f t="shared" ca="1" si="9"/>
        <v>0</v>
      </c>
      <c r="AO30" t="b">
        <f t="shared" ca="1" si="9"/>
        <v>0</v>
      </c>
      <c r="AP30" t="b">
        <f t="shared" ca="1" si="9"/>
        <v>0</v>
      </c>
      <c r="AQ30" t="b">
        <f t="shared" ca="1" si="9"/>
        <v>0</v>
      </c>
      <c r="AR30" t="b">
        <f t="shared" ca="1" si="9"/>
        <v>0</v>
      </c>
      <c r="AS30" t="b">
        <f t="shared" ca="1" si="9"/>
        <v>0</v>
      </c>
      <c r="AT30" t="b">
        <f t="shared" ca="1" si="9"/>
        <v>0</v>
      </c>
      <c r="AU30" t="b">
        <f t="shared" ca="1" si="9"/>
        <v>0</v>
      </c>
      <c r="AV30" t="b">
        <f t="shared" ca="1" si="9"/>
        <v>0</v>
      </c>
      <c r="AW30" t="b">
        <f t="shared" ca="1" si="9"/>
        <v>0</v>
      </c>
      <c r="AX30" t="b">
        <f t="shared" ca="1" si="9"/>
        <v>0</v>
      </c>
      <c r="AY30" t="b">
        <f t="shared" ca="1" si="9"/>
        <v>0</v>
      </c>
      <c r="AZ30" t="b">
        <f t="shared" ca="1" si="9"/>
        <v>0</v>
      </c>
      <c r="BA30">
        <f t="shared" ca="1" si="16"/>
        <v>1</v>
      </c>
      <c r="BB30">
        <f t="shared" ca="1" si="17"/>
        <v>7</v>
      </c>
    </row>
    <row r="31" spans="1:54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25" t="str">
        <f t="shared" ca="1" si="10"/>
        <v>N/A</v>
      </c>
      <c r="G31" s="125"/>
      <c r="H31" s="125"/>
      <c r="I31" s="125"/>
      <c r="J31" s="125" t="str">
        <f t="shared" si="18"/>
        <v>N/A</v>
      </c>
      <c r="K31" s="125" t="str">
        <f t="shared" ca="1" si="20"/>
        <v>N/A</v>
      </c>
      <c r="L31" s="125" t="str">
        <f t="shared" ca="1" si="20"/>
        <v>N/A</v>
      </c>
      <c r="M31" s="125" t="str">
        <f t="shared" ca="1" si="20"/>
        <v>N/A</v>
      </c>
      <c r="N31" s="125" t="str">
        <f t="shared" ca="1" si="20"/>
        <v>N/A</v>
      </c>
      <c r="O31" s="125" t="str">
        <f t="shared" ca="1" si="20"/>
        <v>N/A</v>
      </c>
      <c r="P31" s="125" t="str">
        <f t="shared" ca="1" si="20"/>
        <v>N/A</v>
      </c>
      <c r="Q31" s="125" t="str">
        <f t="shared" ca="1" si="20"/>
        <v>N/A</v>
      </c>
      <c r="R31" s="125" t="str">
        <f t="shared" ca="1" si="20"/>
        <v>N/A</v>
      </c>
      <c r="S31" s="125" t="str">
        <f t="shared" ca="1" si="20"/>
        <v>N/A</v>
      </c>
      <c r="T31" s="125" t="str">
        <f t="shared" ca="1" si="20"/>
        <v>N/A</v>
      </c>
      <c r="U31" s="125" t="str">
        <f t="shared" ca="1" si="20"/>
        <v>N/A</v>
      </c>
      <c r="V31" s="125" t="str">
        <f t="shared" ca="1" si="20"/>
        <v>N/A</v>
      </c>
      <c r="W31" s="125" t="str">
        <f t="shared" ca="1" si="20"/>
        <v>N/A</v>
      </c>
      <c r="X31" s="77" t="str">
        <f t="shared" ca="1" si="11"/>
        <v>N/A</v>
      </c>
      <c r="Y31" s="77" t="str">
        <f t="shared" ca="1" si="12"/>
        <v>N/A</v>
      </c>
      <c r="Z31" s="125" t="e">
        <f t="shared" ca="1" si="13"/>
        <v>#VALUE!</v>
      </c>
      <c r="AA31" s="77" t="e">
        <f t="shared" ca="1" si="14"/>
        <v>#VALUE!</v>
      </c>
      <c r="AB31" s="77"/>
      <c r="AC31" s="184">
        <f t="shared" ca="1" si="19"/>
        <v>-1</v>
      </c>
      <c r="AD31" s="181" t="str">
        <f t="shared" si="5"/>
        <v>N/A</v>
      </c>
      <c r="AE31" s="190">
        <v>43100</v>
      </c>
      <c r="AF31" s="186" t="e">
        <f t="shared" si="6"/>
        <v>#VALUE!</v>
      </c>
      <c r="AG31" s="187" t="e">
        <f t="shared" si="15"/>
        <v>#VALUE!</v>
      </c>
      <c r="AH31" s="187" t="e">
        <f t="shared" ca="1" si="7"/>
        <v>#VALUE!</v>
      </c>
      <c r="AI31" s="188" t="e">
        <f t="shared" ca="1" si="8"/>
        <v>#VALUE!</v>
      </c>
      <c r="AN31" t="b">
        <f t="shared" ca="1" si="9"/>
        <v>0</v>
      </c>
      <c r="AO31" t="b">
        <f t="shared" ca="1" si="9"/>
        <v>0</v>
      </c>
      <c r="AP31" t="b">
        <f t="shared" ca="1" si="9"/>
        <v>0</v>
      </c>
      <c r="AQ31" t="b">
        <f t="shared" ca="1" si="9"/>
        <v>0</v>
      </c>
      <c r="AR31" t="b">
        <f t="shared" ca="1" si="9"/>
        <v>0</v>
      </c>
      <c r="AS31" t="b">
        <f t="shared" ca="1" si="9"/>
        <v>0</v>
      </c>
      <c r="AT31" t="b">
        <f t="shared" ca="1" si="9"/>
        <v>0</v>
      </c>
      <c r="AU31" t="b">
        <f t="shared" ca="1" si="9"/>
        <v>0</v>
      </c>
      <c r="AV31" t="b">
        <f t="shared" ca="1" si="9"/>
        <v>0</v>
      </c>
      <c r="AW31" t="b">
        <f t="shared" ca="1" si="9"/>
        <v>0</v>
      </c>
      <c r="AX31" t="b">
        <f t="shared" ca="1" si="9"/>
        <v>0</v>
      </c>
      <c r="AY31" t="b">
        <f t="shared" ca="1" si="9"/>
        <v>0</v>
      </c>
      <c r="AZ31" t="b">
        <f t="shared" ca="1" si="9"/>
        <v>0</v>
      </c>
      <c r="BA31">
        <f t="shared" ca="1" si="16"/>
        <v>1</v>
      </c>
      <c r="BB31">
        <f t="shared" ca="1" si="17"/>
        <v>7</v>
      </c>
    </row>
    <row r="32" spans="1:54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25" t="str">
        <f t="shared" ca="1" si="10"/>
        <v>N/A</v>
      </c>
      <c r="G32" s="125"/>
      <c r="H32" s="125"/>
      <c r="I32" s="125"/>
      <c r="J32" s="125" t="str">
        <f t="shared" si="18"/>
        <v>N/A</v>
      </c>
      <c r="K32" s="125" t="str">
        <f t="shared" ca="1" si="20"/>
        <v>N/A</v>
      </c>
      <c r="L32" s="125" t="str">
        <f t="shared" ca="1" si="20"/>
        <v>N/A</v>
      </c>
      <c r="M32" s="125" t="str">
        <f t="shared" ca="1" si="20"/>
        <v>N/A</v>
      </c>
      <c r="N32" s="125" t="str">
        <f t="shared" ca="1" si="20"/>
        <v>N/A</v>
      </c>
      <c r="O32" s="125" t="str">
        <f t="shared" ca="1" si="20"/>
        <v>N/A</v>
      </c>
      <c r="P32" s="125" t="str">
        <f t="shared" ca="1" si="20"/>
        <v>N/A</v>
      </c>
      <c r="Q32" s="125" t="str">
        <f t="shared" ca="1" si="20"/>
        <v>N/A</v>
      </c>
      <c r="R32" s="125" t="str">
        <f t="shared" ca="1" si="20"/>
        <v>N/A</v>
      </c>
      <c r="S32" s="125" t="str">
        <f t="shared" ca="1" si="20"/>
        <v>N/A</v>
      </c>
      <c r="T32" s="125" t="str">
        <f t="shared" ca="1" si="20"/>
        <v>N/A</v>
      </c>
      <c r="U32" s="125" t="str">
        <f t="shared" ca="1" si="20"/>
        <v>N/A</v>
      </c>
      <c r="V32" s="125" t="str">
        <f t="shared" ca="1" si="20"/>
        <v>N/A</v>
      </c>
      <c r="W32" s="125" t="str">
        <f t="shared" ca="1" si="20"/>
        <v>N/A</v>
      </c>
      <c r="X32" s="77" t="str">
        <f t="shared" ca="1" si="11"/>
        <v>N/A</v>
      </c>
      <c r="Y32" s="77" t="str">
        <f t="shared" ca="1" si="12"/>
        <v>N/A</v>
      </c>
      <c r="Z32" s="125" t="e">
        <f t="shared" ca="1" si="13"/>
        <v>#VALUE!</v>
      </c>
      <c r="AA32" s="77" t="e">
        <f t="shared" ca="1" si="14"/>
        <v>#VALUE!</v>
      </c>
      <c r="AB32" s="77"/>
      <c r="AC32" s="184">
        <f t="shared" ca="1" si="19"/>
        <v>-1</v>
      </c>
      <c r="AD32" s="181" t="str">
        <f t="shared" si="5"/>
        <v>N/A</v>
      </c>
      <c r="AE32" s="190">
        <v>43100</v>
      </c>
      <c r="AF32" s="186" t="e">
        <f t="shared" si="6"/>
        <v>#VALUE!</v>
      </c>
      <c r="AG32" s="187" t="e">
        <f t="shared" si="15"/>
        <v>#VALUE!</v>
      </c>
      <c r="AH32" s="187" t="e">
        <f t="shared" ca="1" si="7"/>
        <v>#VALUE!</v>
      </c>
      <c r="AI32" s="188" t="e">
        <f t="shared" ca="1" si="8"/>
        <v>#VALUE!</v>
      </c>
      <c r="AN32" t="b">
        <f t="shared" ca="1" si="9"/>
        <v>0</v>
      </c>
      <c r="AO32" t="b">
        <f t="shared" ca="1" si="9"/>
        <v>0</v>
      </c>
      <c r="AP32" t="b">
        <f t="shared" ca="1" si="9"/>
        <v>0</v>
      </c>
      <c r="AQ32" t="b">
        <f t="shared" ca="1" si="9"/>
        <v>0</v>
      </c>
      <c r="AR32" t="b">
        <f t="shared" ca="1" si="9"/>
        <v>0</v>
      </c>
      <c r="AS32" t="b">
        <f t="shared" ca="1" si="9"/>
        <v>0</v>
      </c>
      <c r="AT32" t="b">
        <f t="shared" ca="1" si="9"/>
        <v>0</v>
      </c>
      <c r="AU32" t="b">
        <f t="shared" ca="1" si="9"/>
        <v>0</v>
      </c>
      <c r="AV32" t="b">
        <f t="shared" ref="AV32:AZ53" ca="1" si="21">ISNUMBER(S32)</f>
        <v>0</v>
      </c>
      <c r="AW32" t="b">
        <f t="shared" ca="1" si="21"/>
        <v>0</v>
      </c>
      <c r="AX32" t="b">
        <f t="shared" ca="1" si="21"/>
        <v>0</v>
      </c>
      <c r="AY32" t="b">
        <f t="shared" ca="1" si="21"/>
        <v>0</v>
      </c>
      <c r="AZ32" t="b">
        <f t="shared" ca="1" si="21"/>
        <v>0</v>
      </c>
      <c r="BA32">
        <f t="shared" ca="1" si="16"/>
        <v>1</v>
      </c>
      <c r="BB32">
        <f t="shared" ca="1" si="17"/>
        <v>7</v>
      </c>
    </row>
    <row r="33" spans="1:54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25" t="str">
        <f t="shared" ca="1" si="10"/>
        <v>N/A</v>
      </c>
      <c r="G33" s="125"/>
      <c r="H33" s="125"/>
      <c r="I33" s="125"/>
      <c r="J33" s="125" t="str">
        <f t="shared" si="18"/>
        <v>N/A</v>
      </c>
      <c r="K33" s="125" t="str">
        <f t="shared" ca="1" si="20"/>
        <v>N/A</v>
      </c>
      <c r="L33" s="125" t="str">
        <f t="shared" ca="1" si="20"/>
        <v>N/A</v>
      </c>
      <c r="M33" s="125" t="str">
        <f t="shared" ca="1" si="20"/>
        <v>N/A</v>
      </c>
      <c r="N33" s="125" t="str">
        <f t="shared" ca="1" si="20"/>
        <v>N/A</v>
      </c>
      <c r="O33" s="125" t="str">
        <f t="shared" ca="1" si="20"/>
        <v>N/A</v>
      </c>
      <c r="P33" s="125" t="str">
        <f t="shared" ca="1" si="20"/>
        <v>N/A</v>
      </c>
      <c r="Q33" s="125" t="str">
        <f t="shared" ca="1" si="20"/>
        <v>N/A</v>
      </c>
      <c r="R33" s="125" t="str">
        <f t="shared" ca="1" si="20"/>
        <v>N/A</v>
      </c>
      <c r="S33" s="125" t="str">
        <f t="shared" ca="1" si="20"/>
        <v>N/A</v>
      </c>
      <c r="T33" s="125" t="str">
        <f t="shared" ca="1" si="20"/>
        <v>N/A</v>
      </c>
      <c r="U33" s="125" t="str">
        <f t="shared" ca="1" si="20"/>
        <v>N/A</v>
      </c>
      <c r="V33" s="125" t="str">
        <f t="shared" ca="1" si="20"/>
        <v>N/A</v>
      </c>
      <c r="W33" s="125" t="str">
        <f t="shared" ca="1" si="20"/>
        <v>N/A</v>
      </c>
      <c r="X33" s="77" t="str">
        <f t="shared" ca="1" si="11"/>
        <v>N/A</v>
      </c>
      <c r="Y33" s="77" t="str">
        <f t="shared" ca="1" si="12"/>
        <v>N/A</v>
      </c>
      <c r="Z33" s="125" t="e">
        <f ca="1">(L33/W33)^(1/10)-1</f>
        <v>#VALUE!</v>
      </c>
      <c r="AA33" s="77" t="e">
        <f t="shared" ca="1" si="14"/>
        <v>#VALUE!</v>
      </c>
      <c r="AB33" s="77"/>
      <c r="AC33" s="184">
        <v>10</v>
      </c>
      <c r="AD33" s="181" t="str">
        <f t="shared" si="5"/>
        <v>N/A</v>
      </c>
      <c r="AE33" s="190">
        <v>43100</v>
      </c>
      <c r="AF33" s="186" t="e">
        <f t="shared" si="6"/>
        <v>#VALUE!</v>
      </c>
      <c r="AG33" s="187" t="e">
        <f t="shared" si="15"/>
        <v>#VALUE!</v>
      </c>
      <c r="AH33" s="187" t="e">
        <f t="shared" si="7"/>
        <v>#VALUE!</v>
      </c>
      <c r="AI33" s="188" t="e">
        <f t="shared" ca="1" si="8"/>
        <v>#VALUE!</v>
      </c>
      <c r="AN33" t="b">
        <f t="shared" ref="AN33:AU53" ca="1" si="22">ISNUMBER(K33)</f>
        <v>0</v>
      </c>
      <c r="AO33" t="b">
        <f t="shared" ca="1" si="22"/>
        <v>0</v>
      </c>
      <c r="AP33" t="b">
        <f t="shared" ca="1" si="22"/>
        <v>0</v>
      </c>
      <c r="AQ33" t="b">
        <f t="shared" ca="1" si="22"/>
        <v>0</v>
      </c>
      <c r="AR33" t="b">
        <f t="shared" ca="1" si="22"/>
        <v>0</v>
      </c>
      <c r="AS33" t="b">
        <f t="shared" ca="1" si="22"/>
        <v>0</v>
      </c>
      <c r="AT33" t="b">
        <f t="shared" ca="1" si="22"/>
        <v>0</v>
      </c>
      <c r="AU33" t="b">
        <f t="shared" ca="1" si="22"/>
        <v>0</v>
      </c>
      <c r="AV33" t="b">
        <f t="shared" ca="1" si="21"/>
        <v>0</v>
      </c>
      <c r="AW33" t="b">
        <f t="shared" ca="1" si="21"/>
        <v>0</v>
      </c>
      <c r="AX33" t="b">
        <f t="shared" ca="1" si="21"/>
        <v>0</v>
      </c>
      <c r="AY33" t="b">
        <f t="shared" ca="1" si="21"/>
        <v>0</v>
      </c>
      <c r="AZ33" t="b">
        <f t="shared" ca="1" si="21"/>
        <v>0</v>
      </c>
      <c r="BA33">
        <f t="shared" ca="1" si="16"/>
        <v>1</v>
      </c>
      <c r="BB33">
        <f t="shared" ca="1" si="17"/>
        <v>7</v>
      </c>
    </row>
    <row r="34" spans="1:54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25" t="str">
        <f t="shared" ca="1" si="10"/>
        <v>N/A</v>
      </c>
      <c r="G34" s="125"/>
      <c r="H34" s="125"/>
      <c r="I34" s="125"/>
      <c r="J34" s="125" t="str">
        <f t="shared" si="18"/>
        <v>N/A</v>
      </c>
      <c r="K34" s="125" t="str">
        <f t="shared" ca="1" si="20"/>
        <v>N/A</v>
      </c>
      <c r="L34" s="125" t="str">
        <f t="shared" ca="1" si="20"/>
        <v>N/A</v>
      </c>
      <c r="M34" s="125" t="str">
        <f t="shared" ca="1" si="20"/>
        <v>N/A</v>
      </c>
      <c r="N34" s="125" t="str">
        <f t="shared" ca="1" si="20"/>
        <v>N/A</v>
      </c>
      <c r="O34" s="125" t="str">
        <f t="shared" ca="1" si="20"/>
        <v>N/A</v>
      </c>
      <c r="P34" s="125" t="str">
        <f t="shared" ca="1" si="20"/>
        <v>N/A</v>
      </c>
      <c r="Q34" s="125" t="str">
        <f t="shared" ca="1" si="20"/>
        <v>N/A</v>
      </c>
      <c r="R34" s="125" t="str">
        <f t="shared" ca="1" si="20"/>
        <v>N/A</v>
      </c>
      <c r="S34" s="125" t="str">
        <f t="shared" ca="1" si="20"/>
        <v>N/A</v>
      </c>
      <c r="T34" s="125" t="str">
        <f t="shared" ca="1" si="20"/>
        <v>N/A</v>
      </c>
      <c r="U34" s="125" t="str">
        <f t="shared" ca="1" si="20"/>
        <v>N/A</v>
      </c>
      <c r="V34" s="125" t="str">
        <f t="shared" ca="1" si="20"/>
        <v>N/A</v>
      </c>
      <c r="W34" s="125" t="str">
        <f t="shared" ca="1" si="20"/>
        <v>N/A</v>
      </c>
      <c r="X34" s="77" t="str">
        <f t="shared" ca="1" si="11"/>
        <v>N/A</v>
      </c>
      <c r="Y34" s="77" t="str">
        <f t="shared" ca="1" si="12"/>
        <v>N/A</v>
      </c>
      <c r="Z34" s="125" t="e">
        <f t="shared" ca="1" si="13"/>
        <v>#VALUE!</v>
      </c>
      <c r="AA34" s="77" t="e">
        <f t="shared" ca="1" si="14"/>
        <v>#VALUE!</v>
      </c>
      <c r="AB34" s="77"/>
      <c r="AC34" s="184">
        <f t="shared" ref="AC34:AC57" ca="1" si="23">BA34-2</f>
        <v>-1</v>
      </c>
      <c r="AD34" s="181" t="str">
        <f t="shared" si="5"/>
        <v>N/A</v>
      </c>
      <c r="AE34" s="190">
        <v>43100</v>
      </c>
      <c r="AF34" s="186" t="e">
        <f t="shared" si="6"/>
        <v>#VALUE!</v>
      </c>
      <c r="AG34" s="187" t="e">
        <f t="shared" si="15"/>
        <v>#VALUE!</v>
      </c>
      <c r="AH34" s="187" t="e">
        <f t="shared" ca="1" si="7"/>
        <v>#VALUE!</v>
      </c>
      <c r="AI34" s="188" t="e">
        <f t="shared" ca="1" si="8"/>
        <v>#VALUE!</v>
      </c>
      <c r="AN34" t="b">
        <f t="shared" ca="1" si="22"/>
        <v>0</v>
      </c>
      <c r="AO34" t="b">
        <f t="shared" ca="1" si="22"/>
        <v>0</v>
      </c>
      <c r="AP34" t="b">
        <f t="shared" ca="1" si="22"/>
        <v>0</v>
      </c>
      <c r="AQ34" t="b">
        <f t="shared" ca="1" si="22"/>
        <v>0</v>
      </c>
      <c r="AR34" t="b">
        <f t="shared" ca="1" si="22"/>
        <v>0</v>
      </c>
      <c r="AS34" t="b">
        <f t="shared" ca="1" si="22"/>
        <v>0</v>
      </c>
      <c r="AT34" t="b">
        <f t="shared" ca="1" si="22"/>
        <v>0</v>
      </c>
      <c r="AU34" t="b">
        <f t="shared" ca="1" si="22"/>
        <v>0</v>
      </c>
      <c r="AV34" t="b">
        <f t="shared" ca="1" si="21"/>
        <v>0</v>
      </c>
      <c r="AW34" t="b">
        <f t="shared" ca="1" si="21"/>
        <v>0</v>
      </c>
      <c r="AX34" t="b">
        <f t="shared" ca="1" si="21"/>
        <v>0</v>
      </c>
      <c r="AY34" t="b">
        <f t="shared" ca="1" si="21"/>
        <v>0</v>
      </c>
      <c r="AZ34" t="b">
        <f t="shared" ca="1" si="21"/>
        <v>0</v>
      </c>
      <c r="BA34">
        <f t="shared" ca="1" si="16"/>
        <v>1</v>
      </c>
      <c r="BB34">
        <f t="shared" ca="1" si="17"/>
        <v>7</v>
      </c>
    </row>
    <row r="35" spans="1:54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25" t="str">
        <f t="shared" ca="1" si="10"/>
        <v>N/A</v>
      </c>
      <c r="G35" s="125"/>
      <c r="H35" s="125"/>
      <c r="I35" s="125"/>
      <c r="J35" s="125" t="str">
        <f t="shared" si="18"/>
        <v>N/A</v>
      </c>
      <c r="K35" s="125" t="str">
        <f t="shared" ca="1" si="20"/>
        <v>N/A</v>
      </c>
      <c r="L35" s="125" t="str">
        <f t="shared" ca="1" si="20"/>
        <v>N/A</v>
      </c>
      <c r="M35" s="125" t="str">
        <f t="shared" ca="1" si="20"/>
        <v>N/A</v>
      </c>
      <c r="N35" s="125" t="str">
        <f t="shared" ca="1" si="20"/>
        <v>N/A</v>
      </c>
      <c r="O35" s="125" t="str">
        <f t="shared" ca="1" si="20"/>
        <v>N/A</v>
      </c>
      <c r="P35" s="125" t="str">
        <f t="shared" ca="1" si="20"/>
        <v>N/A</v>
      </c>
      <c r="Q35" s="125" t="str">
        <f t="shared" ca="1" si="20"/>
        <v>N/A</v>
      </c>
      <c r="R35" s="125" t="str">
        <f t="shared" ca="1" si="20"/>
        <v>N/A</v>
      </c>
      <c r="S35" s="125" t="str">
        <f t="shared" ca="1" si="20"/>
        <v>N/A</v>
      </c>
      <c r="T35" s="125" t="str">
        <f t="shared" ca="1" si="20"/>
        <v>N/A</v>
      </c>
      <c r="U35" s="125" t="str">
        <f t="shared" ca="1" si="20"/>
        <v>N/A</v>
      </c>
      <c r="V35" s="125" t="str">
        <f t="shared" ca="1" si="20"/>
        <v>N/A</v>
      </c>
      <c r="W35" s="125" t="str">
        <f t="shared" ca="1" si="20"/>
        <v>N/A</v>
      </c>
      <c r="X35" s="77" t="str">
        <f t="shared" ca="1" si="11"/>
        <v>N/A</v>
      </c>
      <c r="Y35" s="77" t="str">
        <f t="shared" ca="1" si="12"/>
        <v>N/A</v>
      </c>
      <c r="Z35" s="125" t="e">
        <f t="shared" ca="1" si="13"/>
        <v>#VALUE!</v>
      </c>
      <c r="AA35" s="77" t="e">
        <f t="shared" ca="1" si="14"/>
        <v>#VALUE!</v>
      </c>
      <c r="AB35" s="77"/>
      <c r="AC35" s="184">
        <f t="shared" ca="1" si="23"/>
        <v>-1</v>
      </c>
      <c r="AD35" s="181" t="str">
        <f t="shared" si="5"/>
        <v>N/A</v>
      </c>
      <c r="AE35" s="190">
        <v>43100</v>
      </c>
      <c r="AF35" s="186" t="e">
        <f t="shared" si="6"/>
        <v>#VALUE!</v>
      </c>
      <c r="AG35" s="187" t="e">
        <f t="shared" si="15"/>
        <v>#VALUE!</v>
      </c>
      <c r="AH35" s="187" t="e">
        <f t="shared" ca="1" si="7"/>
        <v>#VALUE!</v>
      </c>
      <c r="AI35" s="188" t="e">
        <f t="shared" ca="1" si="8"/>
        <v>#VALUE!</v>
      </c>
      <c r="AN35" t="b">
        <f t="shared" ca="1" si="22"/>
        <v>0</v>
      </c>
      <c r="AO35" t="b">
        <f t="shared" ca="1" si="22"/>
        <v>0</v>
      </c>
      <c r="AP35" t="b">
        <f t="shared" ca="1" si="22"/>
        <v>0</v>
      </c>
      <c r="AQ35" t="b">
        <f t="shared" ca="1" si="22"/>
        <v>0</v>
      </c>
      <c r="AR35" t="b">
        <f t="shared" ca="1" si="22"/>
        <v>0</v>
      </c>
      <c r="AS35" t="b">
        <f t="shared" ca="1" si="22"/>
        <v>0</v>
      </c>
      <c r="AT35" t="b">
        <f t="shared" ca="1" si="22"/>
        <v>0</v>
      </c>
      <c r="AU35" t="b">
        <f t="shared" ca="1" si="22"/>
        <v>0</v>
      </c>
      <c r="AV35" t="b">
        <f t="shared" ca="1" si="21"/>
        <v>0</v>
      </c>
      <c r="AW35" t="b">
        <f t="shared" ca="1" si="21"/>
        <v>0</v>
      </c>
      <c r="AX35" t="b">
        <f t="shared" ca="1" si="21"/>
        <v>0</v>
      </c>
      <c r="AY35" t="b">
        <f t="shared" ca="1" si="21"/>
        <v>0</v>
      </c>
      <c r="AZ35" t="b">
        <f t="shared" ca="1" si="21"/>
        <v>0</v>
      </c>
      <c r="BA35">
        <f t="shared" ca="1" si="16"/>
        <v>1</v>
      </c>
      <c r="BB35">
        <f t="shared" ca="1" si="17"/>
        <v>7</v>
      </c>
    </row>
    <row r="36" spans="1:54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25" t="str">
        <f t="shared" ca="1" si="10"/>
        <v>N/A</v>
      </c>
      <c r="G36" s="125"/>
      <c r="H36" s="125"/>
      <c r="I36" s="125"/>
      <c r="J36" s="125" t="str">
        <f t="shared" si="18"/>
        <v>N/A</v>
      </c>
      <c r="K36" s="125" t="str">
        <f t="shared" ca="1" si="20"/>
        <v>N/A</v>
      </c>
      <c r="L36" s="125" t="str">
        <f t="shared" ca="1" si="20"/>
        <v>N/A</v>
      </c>
      <c r="M36" s="125" t="str">
        <f t="shared" ca="1" si="20"/>
        <v>N/A</v>
      </c>
      <c r="N36" s="125" t="str">
        <f t="shared" ca="1" si="20"/>
        <v>N/A</v>
      </c>
      <c r="O36" s="125" t="str">
        <f t="shared" ca="1" si="20"/>
        <v>N/A</v>
      </c>
      <c r="P36" s="125" t="str">
        <f t="shared" ca="1" si="20"/>
        <v>N/A</v>
      </c>
      <c r="Q36" s="125" t="str">
        <f t="shared" ca="1" si="20"/>
        <v>N/A</v>
      </c>
      <c r="R36" s="125" t="str">
        <f t="shared" ca="1" si="20"/>
        <v>N/A</v>
      </c>
      <c r="S36" s="125" t="str">
        <f t="shared" ca="1" si="20"/>
        <v>N/A</v>
      </c>
      <c r="T36" s="125" t="str">
        <f t="shared" ca="1" si="20"/>
        <v>N/A</v>
      </c>
      <c r="U36" s="125" t="str">
        <f t="shared" ca="1" si="20"/>
        <v>N/A</v>
      </c>
      <c r="V36" s="125" t="str">
        <f t="shared" ca="1" si="20"/>
        <v>N/A</v>
      </c>
      <c r="W36" s="125" t="str">
        <f t="shared" ca="1" si="20"/>
        <v>N/A</v>
      </c>
      <c r="X36" s="77" t="str">
        <f t="shared" ca="1" si="11"/>
        <v>N/A</v>
      </c>
      <c r="Y36" s="77" t="str">
        <f t="shared" ca="1" si="12"/>
        <v>N/A</v>
      </c>
      <c r="Z36" s="125" t="e">
        <f t="shared" ca="1" si="13"/>
        <v>#VALUE!</v>
      </c>
      <c r="AA36" s="77" t="e">
        <f t="shared" ca="1" si="14"/>
        <v>#VALUE!</v>
      </c>
      <c r="AB36" s="77"/>
      <c r="AC36" s="184">
        <f t="shared" ca="1" si="23"/>
        <v>-1</v>
      </c>
      <c r="AD36" s="181" t="str">
        <f t="shared" si="5"/>
        <v>N/A</v>
      </c>
      <c r="AE36" s="190">
        <v>43100</v>
      </c>
      <c r="AF36" s="186" t="e">
        <f t="shared" si="6"/>
        <v>#VALUE!</v>
      </c>
      <c r="AG36" s="187" t="e">
        <f t="shared" si="15"/>
        <v>#VALUE!</v>
      </c>
      <c r="AH36" s="187" t="e">
        <f t="shared" ca="1" si="7"/>
        <v>#VALUE!</v>
      </c>
      <c r="AI36" s="188" t="e">
        <f t="shared" ca="1" si="8"/>
        <v>#VALUE!</v>
      </c>
      <c r="AN36" t="b">
        <f t="shared" ca="1" si="22"/>
        <v>0</v>
      </c>
      <c r="AO36" t="b">
        <f t="shared" ca="1" si="22"/>
        <v>0</v>
      </c>
      <c r="AP36" t="b">
        <f t="shared" ca="1" si="22"/>
        <v>0</v>
      </c>
      <c r="AQ36" t="b">
        <f t="shared" ca="1" si="22"/>
        <v>0</v>
      </c>
      <c r="AR36" t="b">
        <f t="shared" ca="1" si="22"/>
        <v>0</v>
      </c>
      <c r="AS36" t="b">
        <f t="shared" ca="1" si="22"/>
        <v>0</v>
      </c>
      <c r="AT36" t="b">
        <f t="shared" ca="1" si="22"/>
        <v>0</v>
      </c>
      <c r="AU36" t="b">
        <f t="shared" ca="1" si="22"/>
        <v>0</v>
      </c>
      <c r="AV36" t="b">
        <f t="shared" ca="1" si="21"/>
        <v>0</v>
      </c>
      <c r="AW36" t="b">
        <f t="shared" ca="1" si="21"/>
        <v>0</v>
      </c>
      <c r="AX36" t="b">
        <f t="shared" ca="1" si="21"/>
        <v>0</v>
      </c>
      <c r="AY36" t="b">
        <f t="shared" ca="1" si="21"/>
        <v>0</v>
      </c>
      <c r="AZ36" t="b">
        <f t="shared" ca="1" si="21"/>
        <v>0</v>
      </c>
      <c r="BA36">
        <f t="shared" ca="1" si="16"/>
        <v>1</v>
      </c>
      <c r="BB36">
        <f t="shared" ca="1" si="17"/>
        <v>7</v>
      </c>
    </row>
    <row r="37" spans="1:54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25" t="str">
        <f t="shared" ca="1" si="10"/>
        <v>N/A</v>
      </c>
      <c r="G37" s="125"/>
      <c r="H37" s="125"/>
      <c r="I37" s="125"/>
      <c r="J37" s="125" t="str">
        <f t="shared" si="18"/>
        <v>N/A</v>
      </c>
      <c r="K37" s="125" t="str">
        <f t="shared" ca="1" si="20"/>
        <v>N/A</v>
      </c>
      <c r="L37" s="125" t="str">
        <f t="shared" ca="1" si="20"/>
        <v>N/A</v>
      </c>
      <c r="M37" s="125" t="str">
        <f t="shared" ca="1" si="20"/>
        <v>N/A</v>
      </c>
      <c r="N37" s="125" t="str">
        <f t="shared" ca="1" si="20"/>
        <v>N/A</v>
      </c>
      <c r="O37" s="125" t="str">
        <f t="shared" ca="1" si="20"/>
        <v>N/A</v>
      </c>
      <c r="P37" s="125" t="str">
        <f t="shared" ca="1" si="20"/>
        <v>N/A</v>
      </c>
      <c r="Q37" s="125" t="str">
        <f t="shared" ca="1" si="20"/>
        <v>N/A</v>
      </c>
      <c r="R37" s="125" t="str">
        <f t="shared" ca="1" si="20"/>
        <v>N/A</v>
      </c>
      <c r="S37" s="125" t="str">
        <f t="shared" ca="1" si="20"/>
        <v>N/A</v>
      </c>
      <c r="T37" s="125" t="str">
        <f t="shared" ca="1" si="20"/>
        <v>N/A</v>
      </c>
      <c r="U37" s="125" t="str">
        <f t="shared" ca="1" si="20"/>
        <v>N/A</v>
      </c>
      <c r="V37" s="125" t="str">
        <f t="shared" ca="1" si="20"/>
        <v>N/A</v>
      </c>
      <c r="W37" s="125" t="str">
        <f t="shared" ca="1" si="20"/>
        <v>N/A</v>
      </c>
      <c r="X37" s="77" t="str">
        <f t="shared" ca="1" si="11"/>
        <v>N/A</v>
      </c>
      <c r="Y37" s="77" t="str">
        <f t="shared" ca="1" si="12"/>
        <v>N/A</v>
      </c>
      <c r="Z37" s="125" t="e">
        <f ca="1">+W37*(1+Y37)^11</f>
        <v>#VALUE!</v>
      </c>
      <c r="AA37" s="77" t="e">
        <f t="shared" ca="1" si="14"/>
        <v>#VALUE!</v>
      </c>
      <c r="AB37" s="77"/>
      <c r="AC37" s="184">
        <f t="shared" ca="1" si="23"/>
        <v>-1</v>
      </c>
      <c r="AD37" s="181" t="str">
        <f t="shared" si="5"/>
        <v>N/A</v>
      </c>
      <c r="AE37" s="190">
        <v>43100</v>
      </c>
      <c r="AF37" s="186" t="e">
        <f t="shared" si="6"/>
        <v>#VALUE!</v>
      </c>
      <c r="AG37" s="187" t="e">
        <f t="shared" si="15"/>
        <v>#VALUE!</v>
      </c>
      <c r="AH37" s="187" t="e">
        <f t="shared" ca="1" si="7"/>
        <v>#VALUE!</v>
      </c>
      <c r="AI37" s="188" t="e">
        <f t="shared" ca="1" si="8"/>
        <v>#VALUE!</v>
      </c>
      <c r="AN37" t="b">
        <f t="shared" ca="1" si="22"/>
        <v>0</v>
      </c>
      <c r="AO37" t="b">
        <f t="shared" ca="1" si="22"/>
        <v>0</v>
      </c>
      <c r="AP37" t="b">
        <f t="shared" ca="1" si="22"/>
        <v>0</v>
      </c>
      <c r="AQ37" t="b">
        <f t="shared" ca="1" si="22"/>
        <v>0</v>
      </c>
      <c r="AR37" t="b">
        <f t="shared" ca="1" si="22"/>
        <v>0</v>
      </c>
      <c r="AS37" t="b">
        <f t="shared" ca="1" si="22"/>
        <v>0</v>
      </c>
      <c r="AT37" t="b">
        <f t="shared" ca="1" si="22"/>
        <v>0</v>
      </c>
      <c r="AU37" t="b">
        <f t="shared" ca="1" si="22"/>
        <v>0</v>
      </c>
      <c r="AV37" t="b">
        <f t="shared" ca="1" si="21"/>
        <v>0</v>
      </c>
      <c r="AW37" t="b">
        <f t="shared" ca="1" si="21"/>
        <v>0</v>
      </c>
      <c r="AX37" t="b">
        <f t="shared" ca="1" si="21"/>
        <v>0</v>
      </c>
      <c r="AY37" t="b">
        <f t="shared" ca="1" si="21"/>
        <v>0</v>
      </c>
      <c r="AZ37" t="b">
        <f t="shared" ca="1" si="21"/>
        <v>0</v>
      </c>
      <c r="BA37">
        <f t="shared" ca="1" si="16"/>
        <v>1</v>
      </c>
      <c r="BB37">
        <f t="shared" ca="1" si="17"/>
        <v>7</v>
      </c>
    </row>
    <row r="38" spans="1:54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25" t="str">
        <f t="shared" ca="1" si="10"/>
        <v>N/A</v>
      </c>
      <c r="G38" s="125"/>
      <c r="H38" s="125"/>
      <c r="I38" s="125"/>
      <c r="J38" s="125" t="str">
        <f t="shared" si="18"/>
        <v>N/A</v>
      </c>
      <c r="K38" s="125" t="str">
        <f t="shared" ca="1" si="20"/>
        <v>N/A</v>
      </c>
      <c r="L38" s="125" t="str">
        <f t="shared" ca="1" si="20"/>
        <v>N/A</v>
      </c>
      <c r="M38" s="125" t="str">
        <f t="shared" ca="1" si="20"/>
        <v>N/A</v>
      </c>
      <c r="N38" s="125" t="str">
        <f t="shared" ca="1" si="20"/>
        <v>N/A</v>
      </c>
      <c r="O38" s="125" t="str">
        <f t="shared" ca="1" si="20"/>
        <v>N/A</v>
      </c>
      <c r="P38" s="125" t="str">
        <f t="shared" ca="1" si="20"/>
        <v>N/A</v>
      </c>
      <c r="Q38" s="125" t="str">
        <f t="shared" ca="1" si="20"/>
        <v>N/A</v>
      </c>
      <c r="R38" s="125" t="str">
        <f t="shared" ca="1" si="20"/>
        <v>N/A</v>
      </c>
      <c r="S38" s="125" t="str">
        <f t="shared" ca="1" si="20"/>
        <v>N/A</v>
      </c>
      <c r="T38" s="125" t="str">
        <f t="shared" ca="1" si="20"/>
        <v>N/A</v>
      </c>
      <c r="U38" s="125" t="str">
        <f t="shared" ca="1" si="20"/>
        <v>N/A</v>
      </c>
      <c r="V38" s="125" t="str">
        <f t="shared" ca="1" si="20"/>
        <v>N/A</v>
      </c>
      <c r="W38" s="125" t="str">
        <f t="shared" ca="1" si="20"/>
        <v>N/A</v>
      </c>
      <c r="X38" s="77" t="str">
        <f t="shared" ca="1" si="11"/>
        <v>N/A</v>
      </c>
      <c r="Y38" s="77" t="str">
        <f t="shared" ca="1" si="12"/>
        <v>N/A</v>
      </c>
      <c r="Z38" s="125" t="e">
        <f t="shared" ca="1" si="13"/>
        <v>#VALUE!</v>
      </c>
      <c r="AA38" s="77" t="e">
        <f t="shared" ca="1" si="14"/>
        <v>#VALUE!</v>
      </c>
      <c r="AB38" s="77"/>
      <c r="AC38" s="184">
        <f t="shared" ca="1" si="23"/>
        <v>-1</v>
      </c>
      <c r="AD38" s="181" t="str">
        <f t="shared" si="5"/>
        <v>N/A</v>
      </c>
      <c r="AE38" s="190">
        <v>43100</v>
      </c>
      <c r="AF38" s="186" t="e">
        <f t="shared" si="6"/>
        <v>#VALUE!</v>
      </c>
      <c r="AG38" s="187" t="e">
        <f t="shared" si="15"/>
        <v>#VALUE!</v>
      </c>
      <c r="AH38" s="187" t="e">
        <f t="shared" ca="1" si="7"/>
        <v>#VALUE!</v>
      </c>
      <c r="AI38" s="188" t="e">
        <f t="shared" ca="1" si="8"/>
        <v>#VALUE!</v>
      </c>
      <c r="AN38" t="b">
        <f t="shared" ca="1" si="22"/>
        <v>0</v>
      </c>
      <c r="AO38" t="b">
        <f t="shared" ca="1" si="22"/>
        <v>0</v>
      </c>
      <c r="AP38" t="b">
        <f t="shared" ca="1" si="22"/>
        <v>0</v>
      </c>
      <c r="AQ38" t="b">
        <f t="shared" ca="1" si="22"/>
        <v>0</v>
      </c>
      <c r="AR38" t="b">
        <f t="shared" ca="1" si="22"/>
        <v>0</v>
      </c>
      <c r="AS38" t="b">
        <f t="shared" ca="1" si="22"/>
        <v>0</v>
      </c>
      <c r="AT38" t="b">
        <f t="shared" ca="1" si="22"/>
        <v>0</v>
      </c>
      <c r="AU38" t="b">
        <f t="shared" ca="1" si="22"/>
        <v>0</v>
      </c>
      <c r="AV38" t="b">
        <f t="shared" ca="1" si="21"/>
        <v>0</v>
      </c>
      <c r="AW38" t="b">
        <f t="shared" ca="1" si="21"/>
        <v>0</v>
      </c>
      <c r="AX38" t="b">
        <f t="shared" ca="1" si="21"/>
        <v>0</v>
      </c>
      <c r="AY38" t="b">
        <f t="shared" ca="1" si="21"/>
        <v>0</v>
      </c>
      <c r="AZ38" t="b">
        <f t="shared" ca="1" si="21"/>
        <v>0</v>
      </c>
      <c r="BA38">
        <f t="shared" ca="1" si="16"/>
        <v>1</v>
      </c>
      <c r="BB38">
        <f t="shared" ca="1" si="17"/>
        <v>7</v>
      </c>
    </row>
    <row r="39" spans="1:54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25" t="str">
        <f t="shared" ca="1" si="10"/>
        <v>N/A</v>
      </c>
      <c r="G39" s="125"/>
      <c r="H39" s="125"/>
      <c r="I39" s="125"/>
      <c r="J39" s="125" t="str">
        <f t="shared" si="18"/>
        <v>N/A</v>
      </c>
      <c r="K39" s="125" t="str">
        <f t="shared" ca="1" si="20"/>
        <v>N/A</v>
      </c>
      <c r="L39" s="125" t="str">
        <f t="shared" ca="1" si="20"/>
        <v>N/A</v>
      </c>
      <c r="M39" s="125" t="str">
        <f t="shared" ca="1" si="20"/>
        <v>N/A</v>
      </c>
      <c r="N39" s="125" t="str">
        <f t="shared" ca="1" si="20"/>
        <v>N/A</v>
      </c>
      <c r="O39" s="125" t="str">
        <f t="shared" ca="1" si="20"/>
        <v>N/A</v>
      </c>
      <c r="P39" s="125" t="str">
        <f t="shared" ca="1" si="20"/>
        <v>N/A</v>
      </c>
      <c r="Q39" s="125" t="str">
        <f t="shared" ca="1" si="20"/>
        <v>N/A</v>
      </c>
      <c r="R39" s="125" t="str">
        <f t="shared" ca="1" si="20"/>
        <v>N/A</v>
      </c>
      <c r="S39" s="125" t="str">
        <f t="shared" ca="1" si="20"/>
        <v>N/A</v>
      </c>
      <c r="T39" s="125" t="str">
        <f t="shared" ca="1" si="20"/>
        <v>N/A</v>
      </c>
      <c r="U39" s="125" t="str">
        <f t="shared" ca="1" si="20"/>
        <v>N/A</v>
      </c>
      <c r="V39" s="125" t="str">
        <f t="shared" ca="1" si="20"/>
        <v>N/A</v>
      </c>
      <c r="W39" s="125" t="str">
        <f t="shared" ca="1" si="20"/>
        <v>N/A</v>
      </c>
      <c r="X39" s="77" t="str">
        <f t="shared" ca="1" si="11"/>
        <v>N/A</v>
      </c>
      <c r="Y39" s="77" t="str">
        <f t="shared" ca="1" si="12"/>
        <v>N/A</v>
      </c>
      <c r="Z39" s="125" t="e">
        <f t="shared" ca="1" si="13"/>
        <v>#VALUE!</v>
      </c>
      <c r="AA39" s="77" t="e">
        <f t="shared" ca="1" si="14"/>
        <v>#VALUE!</v>
      </c>
      <c r="AB39" s="77"/>
      <c r="AC39" s="184">
        <f t="shared" ca="1" si="23"/>
        <v>-1</v>
      </c>
      <c r="AD39" s="181" t="str">
        <f t="shared" si="5"/>
        <v>N/A</v>
      </c>
      <c r="AE39" s="190">
        <v>43100</v>
      </c>
      <c r="AF39" s="186" t="e">
        <f t="shared" si="6"/>
        <v>#VALUE!</v>
      </c>
      <c r="AG39" s="187" t="e">
        <f t="shared" si="15"/>
        <v>#VALUE!</v>
      </c>
      <c r="AH39" s="187" t="e">
        <f t="shared" ca="1" si="7"/>
        <v>#VALUE!</v>
      </c>
      <c r="AI39" s="188" t="e">
        <f t="shared" ca="1" si="8"/>
        <v>#VALUE!</v>
      </c>
      <c r="AN39" t="b">
        <f t="shared" ca="1" si="22"/>
        <v>0</v>
      </c>
      <c r="AO39" t="b">
        <f t="shared" ca="1" si="22"/>
        <v>0</v>
      </c>
      <c r="AP39" t="b">
        <f t="shared" ca="1" si="22"/>
        <v>0</v>
      </c>
      <c r="AQ39" t="b">
        <f t="shared" ca="1" si="22"/>
        <v>0</v>
      </c>
      <c r="AR39" t="b">
        <f t="shared" ca="1" si="22"/>
        <v>0</v>
      </c>
      <c r="AS39" t="b">
        <f t="shared" ca="1" si="22"/>
        <v>0</v>
      </c>
      <c r="AT39" t="b">
        <f t="shared" ca="1" si="22"/>
        <v>0</v>
      </c>
      <c r="AU39" t="b">
        <f t="shared" ca="1" si="22"/>
        <v>0</v>
      </c>
      <c r="AV39" t="b">
        <f t="shared" ca="1" si="21"/>
        <v>0</v>
      </c>
      <c r="AW39" t="b">
        <f t="shared" ca="1" si="21"/>
        <v>0</v>
      </c>
      <c r="AX39" t="b">
        <f t="shared" ca="1" si="21"/>
        <v>0</v>
      </c>
      <c r="AY39" t="b">
        <f t="shared" ca="1" si="21"/>
        <v>0</v>
      </c>
      <c r="AZ39" t="b">
        <f t="shared" ca="1" si="21"/>
        <v>0</v>
      </c>
      <c r="BA39">
        <f t="shared" ca="1" si="16"/>
        <v>1</v>
      </c>
      <c r="BB39">
        <f t="shared" ca="1" si="17"/>
        <v>7</v>
      </c>
    </row>
    <row r="40" spans="1:54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25" t="str">
        <f t="shared" ca="1" si="10"/>
        <v>N/A</v>
      </c>
      <c r="G40" s="125"/>
      <c r="H40" s="125"/>
      <c r="I40" s="125"/>
      <c r="J40" s="125" t="str">
        <f t="shared" si="18"/>
        <v>N/A</v>
      </c>
      <c r="K40" s="125" t="str">
        <f t="shared" ca="1" si="20"/>
        <v>N/A</v>
      </c>
      <c r="L40" s="125" t="str">
        <f t="shared" ca="1" si="20"/>
        <v>N/A</v>
      </c>
      <c r="M40" s="125" t="str">
        <f t="shared" ca="1" si="20"/>
        <v>N/A</v>
      </c>
      <c r="N40" s="125" t="str">
        <f t="shared" ca="1" si="20"/>
        <v>N/A</v>
      </c>
      <c r="O40" s="125" t="str">
        <f t="shared" ca="1" si="20"/>
        <v>N/A</v>
      </c>
      <c r="P40" s="125" t="str">
        <f t="shared" ca="1" si="20"/>
        <v>N/A</v>
      </c>
      <c r="Q40" s="125" t="str">
        <f t="shared" ca="1" si="20"/>
        <v>N/A</v>
      </c>
      <c r="R40" s="125" t="str">
        <f t="shared" ca="1" si="20"/>
        <v>N/A</v>
      </c>
      <c r="S40" s="125" t="str">
        <f t="shared" ca="1" si="20"/>
        <v>N/A</v>
      </c>
      <c r="T40" s="125" t="str">
        <f t="shared" ca="1" si="20"/>
        <v>N/A</v>
      </c>
      <c r="U40" s="125" t="str">
        <f t="shared" ca="1" si="20"/>
        <v>N/A</v>
      </c>
      <c r="V40" s="125" t="str">
        <f t="shared" ca="1" si="20"/>
        <v>N/A</v>
      </c>
      <c r="W40" s="125" t="str">
        <f t="shared" ca="1" si="20"/>
        <v>N/A</v>
      </c>
      <c r="X40" s="77" t="str">
        <f t="shared" ca="1" si="11"/>
        <v>N/A</v>
      </c>
      <c r="Y40" s="77" t="str">
        <f t="shared" ca="1" si="12"/>
        <v>N/A</v>
      </c>
      <c r="Z40" s="125" t="e">
        <f t="shared" ca="1" si="13"/>
        <v>#VALUE!</v>
      </c>
      <c r="AA40" s="77" t="e">
        <f t="shared" ca="1" si="14"/>
        <v>#VALUE!</v>
      </c>
      <c r="AB40" s="77"/>
      <c r="AC40" s="184">
        <f t="shared" ca="1" si="23"/>
        <v>-1</v>
      </c>
      <c r="AD40" s="181" t="str">
        <f t="shared" si="5"/>
        <v>N/A</v>
      </c>
      <c r="AE40" s="190">
        <v>43100</v>
      </c>
      <c r="AF40" s="186" t="e">
        <f t="shared" si="6"/>
        <v>#VALUE!</v>
      </c>
      <c r="AG40" s="187" t="e">
        <f t="shared" si="15"/>
        <v>#VALUE!</v>
      </c>
      <c r="AH40" s="187" t="e">
        <f t="shared" ca="1" si="7"/>
        <v>#VALUE!</v>
      </c>
      <c r="AI40" s="188" t="e">
        <f t="shared" ca="1" si="8"/>
        <v>#VALUE!</v>
      </c>
      <c r="AN40" t="b">
        <f t="shared" ca="1" si="22"/>
        <v>0</v>
      </c>
      <c r="AO40" t="b">
        <f t="shared" ca="1" si="22"/>
        <v>0</v>
      </c>
      <c r="AP40" t="b">
        <f t="shared" ca="1" si="22"/>
        <v>0</v>
      </c>
      <c r="AQ40" t="b">
        <f t="shared" ca="1" si="22"/>
        <v>0</v>
      </c>
      <c r="AR40" t="b">
        <f t="shared" ca="1" si="22"/>
        <v>0</v>
      </c>
      <c r="AS40" t="b">
        <f t="shared" ca="1" si="22"/>
        <v>0</v>
      </c>
      <c r="AT40" t="b">
        <f t="shared" ca="1" si="22"/>
        <v>0</v>
      </c>
      <c r="AU40" t="b">
        <f t="shared" ca="1" si="22"/>
        <v>0</v>
      </c>
      <c r="AV40" t="b">
        <f t="shared" ca="1" si="21"/>
        <v>0</v>
      </c>
      <c r="AW40" t="b">
        <f t="shared" ca="1" si="21"/>
        <v>0</v>
      </c>
      <c r="AX40" t="b">
        <f t="shared" ca="1" si="21"/>
        <v>0</v>
      </c>
      <c r="AY40" t="b">
        <f t="shared" ca="1" si="21"/>
        <v>0</v>
      </c>
      <c r="AZ40" t="b">
        <f t="shared" ca="1" si="21"/>
        <v>0</v>
      </c>
      <c r="BA40">
        <f t="shared" ca="1" si="16"/>
        <v>1</v>
      </c>
      <c r="BB40">
        <f t="shared" ca="1" si="17"/>
        <v>7</v>
      </c>
    </row>
    <row r="41" spans="1:54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25" t="str">
        <f t="shared" ca="1" si="10"/>
        <v>N/A</v>
      </c>
      <c r="G41" s="125"/>
      <c r="H41" s="125"/>
      <c r="I41" s="125"/>
      <c r="J41" s="125" t="str">
        <f t="shared" si="18"/>
        <v>N/A</v>
      </c>
      <c r="K41" s="125" t="str">
        <f t="shared" ca="1" si="20"/>
        <v>N/A</v>
      </c>
      <c r="L41" s="125" t="str">
        <f t="shared" ca="1" si="20"/>
        <v>N/A</v>
      </c>
      <c r="M41" s="125" t="str">
        <f t="shared" ca="1" si="20"/>
        <v>N/A</v>
      </c>
      <c r="N41" s="125" t="str">
        <f t="shared" ca="1" si="20"/>
        <v>N/A</v>
      </c>
      <c r="O41" s="125" t="str">
        <f t="shared" ca="1" si="20"/>
        <v>N/A</v>
      </c>
      <c r="P41" s="125" t="str">
        <f t="shared" ca="1" si="20"/>
        <v>N/A</v>
      </c>
      <c r="Q41" s="125" t="str">
        <f t="shared" ca="1" si="20"/>
        <v>N/A</v>
      </c>
      <c r="R41" s="125" t="str">
        <f t="shared" ca="1" si="20"/>
        <v>N/A</v>
      </c>
      <c r="S41" s="125" t="str">
        <f t="shared" ca="1" si="20"/>
        <v>N/A</v>
      </c>
      <c r="T41" s="125" t="str">
        <f t="shared" ca="1" si="20"/>
        <v>N/A</v>
      </c>
      <c r="U41" s="125" t="str">
        <f t="shared" ca="1" si="20"/>
        <v>N/A</v>
      </c>
      <c r="V41" s="125" t="str">
        <f t="shared" ca="1" si="20"/>
        <v>N/A</v>
      </c>
      <c r="W41" s="125" t="str">
        <f t="shared" ca="1" si="20"/>
        <v>N/A</v>
      </c>
      <c r="X41" s="77" t="str">
        <f t="shared" ca="1" si="11"/>
        <v>N/A</v>
      </c>
      <c r="Y41" s="77" t="str">
        <f t="shared" ca="1" si="12"/>
        <v>N/A</v>
      </c>
      <c r="Z41" s="125" t="e">
        <f t="shared" ca="1" si="13"/>
        <v>#VALUE!</v>
      </c>
      <c r="AA41" s="77" t="e">
        <f t="shared" ca="1" si="14"/>
        <v>#VALUE!</v>
      </c>
      <c r="AB41" s="77"/>
      <c r="AC41" s="184">
        <f t="shared" ca="1" si="23"/>
        <v>-1</v>
      </c>
      <c r="AD41" s="181" t="str">
        <f t="shared" si="5"/>
        <v>N/A</v>
      </c>
      <c r="AE41" s="190">
        <v>43100</v>
      </c>
      <c r="AF41" s="186" t="e">
        <f t="shared" si="6"/>
        <v>#VALUE!</v>
      </c>
      <c r="AG41" s="187" t="e">
        <f t="shared" si="15"/>
        <v>#VALUE!</v>
      </c>
      <c r="AH41" s="187" t="e">
        <f t="shared" ca="1" si="7"/>
        <v>#VALUE!</v>
      </c>
      <c r="AI41" s="188" t="e">
        <f t="shared" ca="1" si="8"/>
        <v>#VALUE!</v>
      </c>
      <c r="AN41" t="b">
        <f t="shared" ca="1" si="22"/>
        <v>0</v>
      </c>
      <c r="AO41" t="b">
        <f t="shared" ca="1" si="22"/>
        <v>0</v>
      </c>
      <c r="AP41" t="b">
        <f t="shared" ca="1" si="22"/>
        <v>0</v>
      </c>
      <c r="AQ41" t="b">
        <f t="shared" ca="1" si="22"/>
        <v>0</v>
      </c>
      <c r="AR41" t="b">
        <f t="shared" ca="1" si="22"/>
        <v>0</v>
      </c>
      <c r="AS41" t="b">
        <f t="shared" ca="1" si="22"/>
        <v>0</v>
      </c>
      <c r="AT41" t="b">
        <f t="shared" ca="1" si="22"/>
        <v>0</v>
      </c>
      <c r="AU41" t="b">
        <f t="shared" ca="1" si="22"/>
        <v>0</v>
      </c>
      <c r="AV41" t="b">
        <f t="shared" ca="1" si="21"/>
        <v>0</v>
      </c>
      <c r="AW41" t="b">
        <f t="shared" ca="1" si="21"/>
        <v>0</v>
      </c>
      <c r="AX41" t="b">
        <f t="shared" ca="1" si="21"/>
        <v>0</v>
      </c>
      <c r="AY41" t="b">
        <f t="shared" ca="1" si="21"/>
        <v>0</v>
      </c>
      <c r="AZ41" t="b">
        <f t="shared" ca="1" si="21"/>
        <v>0</v>
      </c>
      <c r="BA41">
        <f t="shared" ca="1" si="16"/>
        <v>1</v>
      </c>
      <c r="BB41">
        <f t="shared" ca="1" si="17"/>
        <v>7</v>
      </c>
    </row>
    <row r="42" spans="1:54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25" t="str">
        <f t="shared" ca="1" si="10"/>
        <v>N/A</v>
      </c>
      <c r="G42" s="125"/>
      <c r="H42" s="125"/>
      <c r="I42" s="125"/>
      <c r="J42" s="125" t="str">
        <f t="shared" si="18"/>
        <v>N/A</v>
      </c>
      <c r="K42" s="125" t="str">
        <f t="shared" ca="1" si="20"/>
        <v>N/A</v>
      </c>
      <c r="L42" s="125" t="str">
        <f t="shared" ca="1" si="20"/>
        <v>N/A</v>
      </c>
      <c r="M42" s="125" t="str">
        <f t="shared" ca="1" si="20"/>
        <v>N/A</v>
      </c>
      <c r="N42" s="125" t="str">
        <f t="shared" ca="1" si="20"/>
        <v>N/A</v>
      </c>
      <c r="O42" s="125" t="str">
        <f t="shared" ca="1" si="20"/>
        <v>N/A</v>
      </c>
      <c r="P42" s="125" t="str">
        <f t="shared" ca="1" si="20"/>
        <v>N/A</v>
      </c>
      <c r="Q42" s="125" t="str">
        <f t="shared" ca="1" si="20"/>
        <v>N/A</v>
      </c>
      <c r="R42" s="125" t="str">
        <f t="shared" ca="1" si="20"/>
        <v>N/A</v>
      </c>
      <c r="S42" s="125" t="str">
        <f t="shared" ca="1" si="20"/>
        <v>N/A</v>
      </c>
      <c r="T42" s="125" t="str">
        <f t="shared" ca="1" si="20"/>
        <v>N/A</v>
      </c>
      <c r="U42" s="125" t="str">
        <f t="shared" ca="1" si="20"/>
        <v>N/A</v>
      </c>
      <c r="V42" s="125" t="str">
        <f t="shared" ca="1" si="20"/>
        <v>N/A</v>
      </c>
      <c r="W42" s="125" t="str">
        <f t="shared" ca="1" si="20"/>
        <v>N/A</v>
      </c>
      <c r="X42" s="77" t="str">
        <f t="shared" ca="1" si="11"/>
        <v>N/A</v>
      </c>
      <c r="Y42" s="77" t="str">
        <f t="shared" ca="1" si="12"/>
        <v>N/A</v>
      </c>
      <c r="Z42" s="125" t="e">
        <f t="shared" ca="1" si="13"/>
        <v>#VALUE!</v>
      </c>
      <c r="AA42" s="77" t="e">
        <f t="shared" ca="1" si="14"/>
        <v>#VALUE!</v>
      </c>
      <c r="AB42" s="77"/>
      <c r="AC42" s="184">
        <f t="shared" ca="1" si="23"/>
        <v>-1</v>
      </c>
      <c r="AD42" s="181" t="str">
        <f t="shared" si="5"/>
        <v>N/A</v>
      </c>
      <c r="AE42" s="190">
        <v>43100</v>
      </c>
      <c r="AF42" s="186" t="e">
        <f t="shared" si="6"/>
        <v>#VALUE!</v>
      </c>
      <c r="AG42" s="187" t="e">
        <f t="shared" si="15"/>
        <v>#VALUE!</v>
      </c>
      <c r="AH42" s="187" t="e">
        <f t="shared" ca="1" si="7"/>
        <v>#VALUE!</v>
      </c>
      <c r="AI42" s="188" t="e">
        <f t="shared" ca="1" si="8"/>
        <v>#VALUE!</v>
      </c>
      <c r="AN42" t="b">
        <f t="shared" ca="1" si="22"/>
        <v>0</v>
      </c>
      <c r="AO42" t="b">
        <f t="shared" ca="1" si="22"/>
        <v>0</v>
      </c>
      <c r="AP42" t="b">
        <f t="shared" ca="1" si="22"/>
        <v>0</v>
      </c>
      <c r="AQ42" t="b">
        <f t="shared" ca="1" si="22"/>
        <v>0</v>
      </c>
      <c r="AR42" t="b">
        <f t="shared" ca="1" si="22"/>
        <v>0</v>
      </c>
      <c r="AS42" t="b">
        <f t="shared" ca="1" si="22"/>
        <v>0</v>
      </c>
      <c r="AT42" t="b">
        <f t="shared" ca="1" si="22"/>
        <v>0</v>
      </c>
      <c r="AU42" t="b">
        <f t="shared" ca="1" si="22"/>
        <v>0</v>
      </c>
      <c r="AV42" t="b">
        <f t="shared" ca="1" si="21"/>
        <v>0</v>
      </c>
      <c r="AW42" t="b">
        <f t="shared" ca="1" si="21"/>
        <v>0</v>
      </c>
      <c r="AX42" t="b">
        <f t="shared" ca="1" si="21"/>
        <v>0</v>
      </c>
      <c r="AY42" t="b">
        <f t="shared" ca="1" si="21"/>
        <v>0</v>
      </c>
      <c r="AZ42" t="b">
        <f t="shared" ca="1" si="21"/>
        <v>0</v>
      </c>
      <c r="BA42">
        <f t="shared" ca="1" si="16"/>
        <v>1</v>
      </c>
      <c r="BB42">
        <f t="shared" ca="1" si="17"/>
        <v>7</v>
      </c>
    </row>
    <row r="43" spans="1:54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25" t="str">
        <f t="shared" ca="1" si="10"/>
        <v>N/A</v>
      </c>
      <c r="G43" s="125"/>
      <c r="H43" s="125"/>
      <c r="I43" s="125"/>
      <c r="J43" s="125" t="str">
        <f t="shared" si="18"/>
        <v>N/A</v>
      </c>
      <c r="K43" s="125" t="str">
        <f t="shared" ca="1" si="20"/>
        <v>N/A</v>
      </c>
      <c r="L43" s="125" t="str">
        <f t="shared" ca="1" si="20"/>
        <v>N/A</v>
      </c>
      <c r="M43" s="125" t="str">
        <f t="shared" ca="1" si="20"/>
        <v>N/A</v>
      </c>
      <c r="N43" s="125" t="str">
        <f t="shared" ca="1" si="20"/>
        <v>N/A</v>
      </c>
      <c r="O43" s="125" t="str">
        <f t="shared" ca="1" si="20"/>
        <v>N/A</v>
      </c>
      <c r="P43" s="125" t="str">
        <f t="shared" ca="1" si="20"/>
        <v>N/A</v>
      </c>
      <c r="Q43" s="125" t="str">
        <f t="shared" ca="1" si="20"/>
        <v>N/A</v>
      </c>
      <c r="R43" s="125" t="str">
        <f t="shared" ca="1" si="20"/>
        <v>N/A</v>
      </c>
      <c r="S43" s="125" t="str">
        <f t="shared" ca="1" si="20"/>
        <v>N/A</v>
      </c>
      <c r="T43" s="125" t="str">
        <f t="shared" ca="1" si="20"/>
        <v>N/A</v>
      </c>
      <c r="U43" s="125" t="str">
        <f t="shared" ca="1" si="20"/>
        <v>N/A</v>
      </c>
      <c r="V43" s="125" t="str">
        <f t="shared" ca="1" si="20"/>
        <v>N/A</v>
      </c>
      <c r="W43" s="125" t="str">
        <f t="shared" ca="1" si="20"/>
        <v>N/A</v>
      </c>
      <c r="X43" s="77" t="str">
        <f t="shared" ca="1" si="11"/>
        <v>N/A</v>
      </c>
      <c r="Y43" s="77" t="str">
        <f t="shared" ca="1" si="12"/>
        <v>N/A</v>
      </c>
      <c r="Z43" s="125" t="e">
        <f t="shared" ca="1" si="13"/>
        <v>#VALUE!</v>
      </c>
      <c r="AA43" s="77" t="e">
        <f t="shared" ca="1" si="14"/>
        <v>#VALUE!</v>
      </c>
      <c r="AB43" s="77"/>
      <c r="AC43" s="184">
        <f t="shared" ca="1" si="23"/>
        <v>-1</v>
      </c>
      <c r="AD43" s="181" t="str">
        <f t="shared" si="5"/>
        <v>N/A</v>
      </c>
      <c r="AE43" s="190">
        <v>43100</v>
      </c>
      <c r="AF43" s="186" t="e">
        <f t="shared" si="6"/>
        <v>#VALUE!</v>
      </c>
      <c r="AG43" s="187" t="e">
        <f t="shared" si="15"/>
        <v>#VALUE!</v>
      </c>
      <c r="AH43" s="187" t="e">
        <f t="shared" ca="1" si="7"/>
        <v>#VALUE!</v>
      </c>
      <c r="AI43" s="188" t="e">
        <f t="shared" ca="1" si="8"/>
        <v>#VALUE!</v>
      </c>
      <c r="AN43" t="b">
        <f t="shared" ca="1" si="22"/>
        <v>0</v>
      </c>
      <c r="AO43" t="b">
        <f t="shared" ca="1" si="22"/>
        <v>0</v>
      </c>
      <c r="AP43" t="b">
        <f t="shared" ca="1" si="22"/>
        <v>0</v>
      </c>
      <c r="AQ43" t="b">
        <f t="shared" ca="1" si="22"/>
        <v>0</v>
      </c>
      <c r="AR43" t="b">
        <f t="shared" ca="1" si="22"/>
        <v>0</v>
      </c>
      <c r="AS43" t="b">
        <f t="shared" ca="1" si="22"/>
        <v>0</v>
      </c>
      <c r="AT43" t="b">
        <f t="shared" ca="1" si="22"/>
        <v>0</v>
      </c>
      <c r="AU43" t="b">
        <f t="shared" ca="1" si="22"/>
        <v>0</v>
      </c>
      <c r="AV43" t="b">
        <f t="shared" ca="1" si="21"/>
        <v>0</v>
      </c>
      <c r="AW43" t="b">
        <f t="shared" ca="1" si="21"/>
        <v>0</v>
      </c>
      <c r="AX43" t="b">
        <f t="shared" ca="1" si="21"/>
        <v>0</v>
      </c>
      <c r="AY43" t="b">
        <f t="shared" ca="1" si="21"/>
        <v>0</v>
      </c>
      <c r="AZ43" t="b">
        <f t="shared" ca="1" si="21"/>
        <v>0</v>
      </c>
      <c r="BA43">
        <f t="shared" ca="1" si="16"/>
        <v>1</v>
      </c>
      <c r="BB43">
        <f t="shared" ca="1" si="17"/>
        <v>7</v>
      </c>
    </row>
    <row r="44" spans="1:54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25" t="str">
        <f t="shared" ca="1" si="10"/>
        <v>N/A</v>
      </c>
      <c r="G44" s="125"/>
      <c r="H44" s="125"/>
      <c r="I44" s="125"/>
      <c r="J44" s="125" t="str">
        <f t="shared" si="18"/>
        <v>N/A</v>
      </c>
      <c r="K44" s="125" t="str">
        <f t="shared" ca="1" si="20"/>
        <v>N/A</v>
      </c>
      <c r="L44" s="125" t="str">
        <f t="shared" ca="1" si="20"/>
        <v>N/A</v>
      </c>
      <c r="M44" s="125" t="str">
        <f t="shared" ca="1" si="20"/>
        <v>N/A</v>
      </c>
      <c r="N44" s="125" t="str">
        <f t="shared" ca="1" si="20"/>
        <v>N/A</v>
      </c>
      <c r="O44" s="125" t="str">
        <f t="shared" ca="1" si="20"/>
        <v>N/A</v>
      </c>
      <c r="P44" s="125" t="str">
        <f t="shared" ca="1" si="20"/>
        <v>N/A</v>
      </c>
      <c r="Q44" s="125" t="str">
        <f t="shared" ca="1" si="20"/>
        <v>N/A</v>
      </c>
      <c r="R44" s="125" t="str">
        <f t="shared" ca="1" si="20"/>
        <v>N/A</v>
      </c>
      <c r="S44" s="125" t="str">
        <f t="shared" ca="1" si="20"/>
        <v>N/A</v>
      </c>
      <c r="T44" s="125" t="str">
        <f t="shared" ca="1" si="20"/>
        <v>N/A</v>
      </c>
      <c r="U44" s="125" t="str">
        <f t="shared" ca="1" si="20"/>
        <v>N/A</v>
      </c>
      <c r="V44" s="125" t="str">
        <f t="shared" ca="1" si="20"/>
        <v>N/A</v>
      </c>
      <c r="W44" s="125" t="str">
        <f t="shared" ca="1" si="20"/>
        <v>N/A</v>
      </c>
      <c r="X44" s="77" t="str">
        <f t="shared" ca="1" si="11"/>
        <v>N/A</v>
      </c>
      <c r="Y44" s="77" t="str">
        <f t="shared" ca="1" si="12"/>
        <v>N/A</v>
      </c>
      <c r="Z44" s="125" t="e">
        <f t="shared" ca="1" si="13"/>
        <v>#VALUE!</v>
      </c>
      <c r="AA44" s="77" t="e">
        <f t="shared" ca="1" si="14"/>
        <v>#VALUE!</v>
      </c>
      <c r="AB44" s="77"/>
      <c r="AC44" s="184">
        <f t="shared" ca="1" si="23"/>
        <v>-1</v>
      </c>
      <c r="AD44" s="181" t="str">
        <f t="shared" si="5"/>
        <v>N/A</v>
      </c>
      <c r="AE44" s="190">
        <v>43100</v>
      </c>
      <c r="AF44" s="186" t="e">
        <f t="shared" si="6"/>
        <v>#VALUE!</v>
      </c>
      <c r="AG44" s="187" t="e">
        <f t="shared" si="15"/>
        <v>#VALUE!</v>
      </c>
      <c r="AH44" s="187" t="e">
        <f t="shared" ca="1" si="7"/>
        <v>#VALUE!</v>
      </c>
      <c r="AI44" s="188" t="e">
        <f t="shared" ca="1" si="8"/>
        <v>#VALUE!</v>
      </c>
      <c r="AN44" t="b">
        <f t="shared" ca="1" si="22"/>
        <v>0</v>
      </c>
      <c r="AO44" t="b">
        <f t="shared" ca="1" si="22"/>
        <v>0</v>
      </c>
      <c r="AP44" t="b">
        <f t="shared" ca="1" si="22"/>
        <v>0</v>
      </c>
      <c r="AQ44" t="b">
        <f t="shared" ca="1" si="22"/>
        <v>0</v>
      </c>
      <c r="AR44" t="b">
        <f t="shared" ca="1" si="22"/>
        <v>0</v>
      </c>
      <c r="AS44" t="b">
        <f t="shared" ca="1" si="22"/>
        <v>0</v>
      </c>
      <c r="AT44" t="b">
        <f t="shared" ca="1" si="22"/>
        <v>0</v>
      </c>
      <c r="AU44" t="b">
        <f t="shared" ca="1" si="22"/>
        <v>0</v>
      </c>
      <c r="AV44" t="b">
        <f t="shared" ca="1" si="21"/>
        <v>0</v>
      </c>
      <c r="AW44" t="b">
        <f t="shared" ca="1" si="21"/>
        <v>0</v>
      </c>
      <c r="AX44" t="b">
        <f t="shared" ca="1" si="21"/>
        <v>0</v>
      </c>
      <c r="AY44" t="b">
        <f t="shared" ca="1" si="21"/>
        <v>0</v>
      </c>
      <c r="AZ44" t="b">
        <f t="shared" ca="1" si="21"/>
        <v>0</v>
      </c>
      <c r="BA44">
        <f t="shared" ca="1" si="16"/>
        <v>1</v>
      </c>
      <c r="BB44">
        <f t="shared" ca="1" si="17"/>
        <v>7</v>
      </c>
    </row>
    <row r="45" spans="1:54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25" t="str">
        <f t="shared" ca="1" si="10"/>
        <v>N/A</v>
      </c>
      <c r="G45" s="125"/>
      <c r="H45" s="125"/>
      <c r="I45" s="125"/>
      <c r="J45" s="125" t="str">
        <f t="shared" si="18"/>
        <v>N/A</v>
      </c>
      <c r="K45" s="125" t="str">
        <f t="shared" ca="1" si="20"/>
        <v>N/A</v>
      </c>
      <c r="L45" s="125" t="str">
        <f t="shared" ca="1" si="20"/>
        <v>N/A</v>
      </c>
      <c r="M45" s="125" t="str">
        <f t="shared" ca="1" si="20"/>
        <v>N/A</v>
      </c>
      <c r="N45" s="125" t="str">
        <f t="shared" ca="1" si="20"/>
        <v>N/A</v>
      </c>
      <c r="O45" s="125" t="str">
        <f t="shared" ca="1" si="20"/>
        <v>N/A</v>
      </c>
      <c r="P45" s="125" t="str">
        <f t="shared" ca="1" si="20"/>
        <v>N/A</v>
      </c>
      <c r="Q45" s="125" t="str">
        <f t="shared" ca="1" si="20"/>
        <v>N/A</v>
      </c>
      <c r="R45" s="125" t="str">
        <f t="shared" ca="1" si="20"/>
        <v>N/A</v>
      </c>
      <c r="S45" s="125" t="str">
        <f t="shared" ca="1" si="20"/>
        <v>N/A</v>
      </c>
      <c r="T45" s="125" t="str">
        <f t="shared" ca="1" si="20"/>
        <v>N/A</v>
      </c>
      <c r="U45" s="125" t="str">
        <f t="shared" ca="1" si="20"/>
        <v>N/A</v>
      </c>
      <c r="V45" s="125" t="str">
        <f t="shared" ca="1" si="20"/>
        <v>N/A</v>
      </c>
      <c r="W45" s="125" t="str">
        <f t="shared" ca="1" si="20"/>
        <v>N/A</v>
      </c>
      <c r="X45" s="77" t="str">
        <f t="shared" ca="1" si="11"/>
        <v>N/A</v>
      </c>
      <c r="Y45" s="77" t="str">
        <f t="shared" ca="1" si="12"/>
        <v>N/A</v>
      </c>
      <c r="Z45" s="125" t="e">
        <f t="shared" ca="1" si="13"/>
        <v>#VALUE!</v>
      </c>
      <c r="AA45" s="77" t="e">
        <f t="shared" ca="1" si="14"/>
        <v>#VALUE!</v>
      </c>
      <c r="AB45" s="77"/>
      <c r="AC45" s="184">
        <f t="shared" ca="1" si="23"/>
        <v>-1</v>
      </c>
      <c r="AD45" s="181" t="str">
        <f t="shared" si="5"/>
        <v>N/A</v>
      </c>
      <c r="AE45" s="190">
        <v>43100</v>
      </c>
      <c r="AF45" s="186" t="e">
        <f t="shared" si="6"/>
        <v>#VALUE!</v>
      </c>
      <c r="AG45" s="187" t="e">
        <f t="shared" si="15"/>
        <v>#VALUE!</v>
      </c>
      <c r="AH45" s="187" t="e">
        <f t="shared" ca="1" si="7"/>
        <v>#VALUE!</v>
      </c>
      <c r="AI45" s="188" t="e">
        <f t="shared" ca="1" si="8"/>
        <v>#VALUE!</v>
      </c>
      <c r="AN45" t="b">
        <f t="shared" ca="1" si="22"/>
        <v>0</v>
      </c>
      <c r="AO45" t="b">
        <f t="shared" ca="1" si="22"/>
        <v>0</v>
      </c>
      <c r="AP45" t="b">
        <f t="shared" ca="1" si="22"/>
        <v>0</v>
      </c>
      <c r="AQ45" t="b">
        <f t="shared" ca="1" si="22"/>
        <v>0</v>
      </c>
      <c r="AR45" t="b">
        <f t="shared" ca="1" si="22"/>
        <v>0</v>
      </c>
      <c r="AS45" t="b">
        <f t="shared" ca="1" si="22"/>
        <v>0</v>
      </c>
      <c r="AT45" t="b">
        <f t="shared" ca="1" si="22"/>
        <v>0</v>
      </c>
      <c r="AU45" t="b">
        <f t="shared" ca="1" si="22"/>
        <v>0</v>
      </c>
      <c r="AV45" t="b">
        <f t="shared" ca="1" si="21"/>
        <v>0</v>
      </c>
      <c r="AW45" t="b">
        <f t="shared" ca="1" si="21"/>
        <v>0</v>
      </c>
      <c r="AX45" t="b">
        <f t="shared" ca="1" si="21"/>
        <v>0</v>
      </c>
      <c r="AY45" t="b">
        <f t="shared" ca="1" si="21"/>
        <v>0</v>
      </c>
      <c r="AZ45" t="b">
        <f t="shared" ca="1" si="21"/>
        <v>0</v>
      </c>
      <c r="BA45">
        <f t="shared" ca="1" si="16"/>
        <v>1</v>
      </c>
      <c r="BB45">
        <f t="shared" ca="1" si="17"/>
        <v>7</v>
      </c>
    </row>
    <row r="46" spans="1:54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25" t="str">
        <f t="shared" ca="1" si="10"/>
        <v>N/A</v>
      </c>
      <c r="G46" s="125"/>
      <c r="H46" s="125"/>
      <c r="I46" s="125"/>
      <c r="J46" s="125" t="str">
        <f t="shared" si="18"/>
        <v>N/A</v>
      </c>
      <c r="K46" s="125" t="str">
        <f t="shared" ca="1" si="20"/>
        <v>N/A</v>
      </c>
      <c r="L46" s="125" t="str">
        <f t="shared" ca="1" si="20"/>
        <v>N/A</v>
      </c>
      <c r="M46" s="125" t="str">
        <f t="shared" ca="1" si="20"/>
        <v>N/A</v>
      </c>
      <c r="N46" s="125" t="str">
        <f t="shared" ca="1" si="20"/>
        <v>N/A</v>
      </c>
      <c r="O46" s="125" t="str">
        <f t="shared" ca="1" si="20"/>
        <v>N/A</v>
      </c>
      <c r="P46" s="125" t="str">
        <f t="shared" ca="1" si="20"/>
        <v>N/A</v>
      </c>
      <c r="Q46" s="125" t="str">
        <f t="shared" ca="1" si="20"/>
        <v>N/A</v>
      </c>
      <c r="R46" s="125" t="str">
        <f t="shared" ca="1" si="20"/>
        <v>N/A</v>
      </c>
      <c r="S46" s="125" t="str">
        <f t="shared" ca="1" si="20"/>
        <v>N/A</v>
      </c>
      <c r="T46" s="125" t="str">
        <f t="shared" ca="1" si="20"/>
        <v>N/A</v>
      </c>
      <c r="U46" s="125" t="str">
        <f t="shared" ca="1" si="20"/>
        <v>N/A</v>
      </c>
      <c r="V46" s="125" t="str">
        <f t="shared" ca="1" si="20"/>
        <v>N/A</v>
      </c>
      <c r="W46" s="125" t="str">
        <f t="shared" ca="1" si="20"/>
        <v>N/A</v>
      </c>
      <c r="X46" s="77" t="str">
        <f t="shared" ca="1" si="11"/>
        <v>N/A</v>
      </c>
      <c r="Y46" s="77" t="str">
        <f t="shared" ca="1" si="12"/>
        <v>N/A</v>
      </c>
      <c r="Z46" s="125" t="e">
        <f t="shared" ca="1" si="13"/>
        <v>#VALUE!</v>
      </c>
      <c r="AA46" s="77" t="e">
        <f t="shared" ca="1" si="14"/>
        <v>#VALUE!</v>
      </c>
      <c r="AB46" s="77"/>
      <c r="AC46" s="184">
        <f t="shared" ca="1" si="23"/>
        <v>-1</v>
      </c>
      <c r="AD46" s="181" t="str">
        <f t="shared" si="5"/>
        <v>N/A</v>
      </c>
      <c r="AE46" s="190">
        <v>43100</v>
      </c>
      <c r="AF46" s="186" t="e">
        <f t="shared" si="6"/>
        <v>#VALUE!</v>
      </c>
      <c r="AG46" s="187" t="e">
        <f t="shared" si="15"/>
        <v>#VALUE!</v>
      </c>
      <c r="AH46" s="187" t="e">
        <f t="shared" ca="1" si="7"/>
        <v>#VALUE!</v>
      </c>
      <c r="AI46" s="188" t="e">
        <f t="shared" ca="1" si="8"/>
        <v>#VALUE!</v>
      </c>
      <c r="AN46" t="b">
        <f t="shared" ca="1" si="22"/>
        <v>0</v>
      </c>
      <c r="AO46" t="b">
        <f t="shared" ca="1" si="22"/>
        <v>0</v>
      </c>
      <c r="AP46" t="b">
        <f t="shared" ca="1" si="22"/>
        <v>0</v>
      </c>
      <c r="AQ46" t="b">
        <f t="shared" ca="1" si="22"/>
        <v>0</v>
      </c>
      <c r="AR46" t="b">
        <f t="shared" ca="1" si="22"/>
        <v>0</v>
      </c>
      <c r="AS46" t="b">
        <f t="shared" ca="1" si="22"/>
        <v>0</v>
      </c>
      <c r="AT46" t="b">
        <f t="shared" ca="1" si="22"/>
        <v>0</v>
      </c>
      <c r="AU46" t="b">
        <f t="shared" ca="1" si="22"/>
        <v>0</v>
      </c>
      <c r="AV46" t="b">
        <f t="shared" ca="1" si="21"/>
        <v>0</v>
      </c>
      <c r="AW46" t="b">
        <f t="shared" ca="1" si="21"/>
        <v>0</v>
      </c>
      <c r="AX46" t="b">
        <f t="shared" ca="1" si="21"/>
        <v>0</v>
      </c>
      <c r="AY46" t="b">
        <f t="shared" ca="1" si="21"/>
        <v>0</v>
      </c>
      <c r="AZ46" t="b">
        <f t="shared" ca="1" si="21"/>
        <v>0</v>
      </c>
      <c r="BA46">
        <f t="shared" ca="1" si="16"/>
        <v>1</v>
      </c>
      <c r="BB46">
        <f t="shared" ca="1" si="17"/>
        <v>7</v>
      </c>
    </row>
    <row r="47" spans="1:54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25" t="str">
        <f t="shared" ca="1" si="10"/>
        <v>N/A</v>
      </c>
      <c r="G47" s="125"/>
      <c r="H47" s="125"/>
      <c r="I47" s="125"/>
      <c r="J47" s="125" t="str">
        <f t="shared" si="18"/>
        <v>N/A</v>
      </c>
      <c r="K47" s="125" t="str">
        <f t="shared" ca="1" si="20"/>
        <v>N/A</v>
      </c>
      <c r="L47" s="125" t="str">
        <f t="shared" ca="1" si="20"/>
        <v>N/A</v>
      </c>
      <c r="M47" s="125" t="str">
        <f t="shared" ca="1" si="20"/>
        <v>N/A</v>
      </c>
      <c r="N47" s="125" t="str">
        <f t="shared" ca="1" si="20"/>
        <v>N/A</v>
      </c>
      <c r="O47" s="125" t="str">
        <f t="shared" ca="1" si="20"/>
        <v>N/A</v>
      </c>
      <c r="P47" s="125" t="str">
        <f t="shared" ca="1" si="20"/>
        <v>N/A</v>
      </c>
      <c r="Q47" s="125" t="str">
        <f t="shared" ca="1" si="20"/>
        <v>N/A</v>
      </c>
      <c r="R47" s="125" t="str">
        <f t="shared" ca="1" si="20"/>
        <v>N/A</v>
      </c>
      <c r="S47" s="125" t="str">
        <f t="shared" ca="1" si="20"/>
        <v>N/A</v>
      </c>
      <c r="T47" s="125" t="str">
        <f t="shared" ca="1" si="20"/>
        <v>N/A</v>
      </c>
      <c r="U47" s="125" t="str">
        <f t="shared" ca="1" si="20"/>
        <v>N/A</v>
      </c>
      <c r="V47" s="125" t="str">
        <f t="shared" ca="1" si="20"/>
        <v>N/A</v>
      </c>
      <c r="W47" s="125" t="str">
        <f t="shared" ca="1" si="20"/>
        <v>N/A</v>
      </c>
      <c r="X47" s="77" t="str">
        <f t="shared" ca="1" si="11"/>
        <v>N/A</v>
      </c>
      <c r="Y47" s="77" t="str">
        <f t="shared" ca="1" si="12"/>
        <v>N/A</v>
      </c>
      <c r="Z47" s="125" t="e">
        <f t="shared" ca="1" si="13"/>
        <v>#VALUE!</v>
      </c>
      <c r="AA47" s="77" t="e">
        <f t="shared" ca="1" si="14"/>
        <v>#VALUE!</v>
      </c>
      <c r="AB47" s="77"/>
      <c r="AC47" s="184">
        <f t="shared" ca="1" si="23"/>
        <v>-1</v>
      </c>
      <c r="AD47" s="181" t="str">
        <f t="shared" si="5"/>
        <v>N/A</v>
      </c>
      <c r="AE47" s="190">
        <v>43100</v>
      </c>
      <c r="AF47" s="186" t="e">
        <f t="shared" si="6"/>
        <v>#VALUE!</v>
      </c>
      <c r="AG47" s="187" t="e">
        <f t="shared" si="15"/>
        <v>#VALUE!</v>
      </c>
      <c r="AH47" s="187" t="e">
        <f t="shared" ca="1" si="7"/>
        <v>#VALUE!</v>
      </c>
      <c r="AI47" s="188" t="e">
        <f t="shared" ca="1" si="8"/>
        <v>#VALUE!</v>
      </c>
      <c r="AN47" t="b">
        <f t="shared" ca="1" si="22"/>
        <v>0</v>
      </c>
      <c r="AO47" t="b">
        <f t="shared" ca="1" si="22"/>
        <v>0</v>
      </c>
      <c r="AP47" t="b">
        <f t="shared" ca="1" si="22"/>
        <v>0</v>
      </c>
      <c r="AQ47" t="b">
        <f t="shared" ca="1" si="22"/>
        <v>0</v>
      </c>
      <c r="AR47" t="b">
        <f t="shared" ca="1" si="22"/>
        <v>0</v>
      </c>
      <c r="AS47" t="b">
        <f t="shared" ca="1" si="22"/>
        <v>0</v>
      </c>
      <c r="AT47" t="b">
        <f t="shared" ca="1" si="22"/>
        <v>0</v>
      </c>
      <c r="AU47" t="b">
        <f t="shared" ca="1" si="22"/>
        <v>0</v>
      </c>
      <c r="AV47" t="b">
        <f t="shared" ca="1" si="21"/>
        <v>0</v>
      </c>
      <c r="AW47" t="b">
        <f t="shared" ca="1" si="21"/>
        <v>0</v>
      </c>
      <c r="AX47" t="b">
        <f t="shared" ca="1" si="21"/>
        <v>0</v>
      </c>
      <c r="AY47" t="b">
        <f t="shared" ca="1" si="21"/>
        <v>0</v>
      </c>
      <c r="AZ47" t="b">
        <f t="shared" ca="1" si="21"/>
        <v>0</v>
      </c>
      <c r="BA47">
        <f t="shared" ca="1" si="16"/>
        <v>1</v>
      </c>
      <c r="BB47">
        <f t="shared" ca="1" si="17"/>
        <v>7</v>
      </c>
    </row>
    <row r="48" spans="1:54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25" t="str">
        <f t="shared" ca="1" si="10"/>
        <v>N/A</v>
      </c>
      <c r="G48" s="125"/>
      <c r="H48" s="125"/>
      <c r="I48" s="125"/>
      <c r="J48" s="125" t="str">
        <f t="shared" si="18"/>
        <v>N/A</v>
      </c>
      <c r="K48" s="125" t="str">
        <f t="shared" ca="1" si="20"/>
        <v>N/A</v>
      </c>
      <c r="L48" s="125" t="str">
        <f t="shared" ca="1" si="20"/>
        <v>N/A</v>
      </c>
      <c r="M48" s="125" t="str">
        <f t="shared" ca="1" si="20"/>
        <v>N/A</v>
      </c>
      <c r="N48" s="125" t="str">
        <f t="shared" ca="1" si="20"/>
        <v>N/A</v>
      </c>
      <c r="O48" s="125" t="str">
        <f t="shared" ca="1" si="20"/>
        <v>N/A</v>
      </c>
      <c r="P48" s="125" t="str">
        <f t="shared" ca="1" si="20"/>
        <v>N/A</v>
      </c>
      <c r="Q48" s="125" t="str">
        <f t="shared" ca="1" si="20"/>
        <v>N/A</v>
      </c>
      <c r="R48" s="125" t="str">
        <f t="shared" ca="1" si="20"/>
        <v>N/A</v>
      </c>
      <c r="S48" s="125" t="str">
        <f t="shared" ref="N48:W53" ca="1" si="24">IFERROR(IF(INDEX(Earnings,$B48,S$12)=0,"N/A",INDEX(Earnings,$B48,S$12)),"N/A")</f>
        <v>N/A</v>
      </c>
      <c r="T48" s="125" t="str">
        <f t="shared" ca="1" si="24"/>
        <v>N/A</v>
      </c>
      <c r="U48" s="125" t="str">
        <f t="shared" ca="1" si="24"/>
        <v>N/A</v>
      </c>
      <c r="V48" s="125" t="str">
        <f t="shared" ca="1" si="24"/>
        <v>N/A</v>
      </c>
      <c r="W48" s="125" t="str">
        <f t="shared" ca="1" si="24"/>
        <v>N/A</v>
      </c>
      <c r="X48" s="77" t="str">
        <f t="shared" ca="1" si="11"/>
        <v>N/A</v>
      </c>
      <c r="Y48" s="77" t="str">
        <f t="shared" ca="1" si="12"/>
        <v>N/A</v>
      </c>
      <c r="Z48" s="125" t="e">
        <f t="shared" ca="1" si="13"/>
        <v>#VALUE!</v>
      </c>
      <c r="AA48" s="77" t="e">
        <f t="shared" ca="1" si="14"/>
        <v>#VALUE!</v>
      </c>
      <c r="AB48" s="77"/>
      <c r="AC48" s="184">
        <f t="shared" ca="1" si="23"/>
        <v>-1</v>
      </c>
      <c r="AD48" s="181" t="str">
        <f t="shared" si="5"/>
        <v>N/A</v>
      </c>
      <c r="AE48" s="190">
        <v>43100</v>
      </c>
      <c r="AF48" s="186" t="e">
        <f t="shared" si="6"/>
        <v>#VALUE!</v>
      </c>
      <c r="AG48" s="187" t="e">
        <f t="shared" si="15"/>
        <v>#VALUE!</v>
      </c>
      <c r="AH48" s="187" t="e">
        <f t="shared" ca="1" si="7"/>
        <v>#VALUE!</v>
      </c>
      <c r="AI48" s="188" t="e">
        <f t="shared" ca="1" si="8"/>
        <v>#VALUE!</v>
      </c>
      <c r="AN48" t="b">
        <f t="shared" ca="1" si="22"/>
        <v>0</v>
      </c>
      <c r="AO48" t="b">
        <f t="shared" ca="1" si="22"/>
        <v>0</v>
      </c>
      <c r="AP48" t="b">
        <f t="shared" ca="1" si="22"/>
        <v>0</v>
      </c>
      <c r="AQ48" t="b">
        <f t="shared" ca="1" si="22"/>
        <v>0</v>
      </c>
      <c r="AR48" t="b">
        <f t="shared" ca="1" si="22"/>
        <v>0</v>
      </c>
      <c r="AS48" t="b">
        <f t="shared" ca="1" si="22"/>
        <v>0</v>
      </c>
      <c r="AT48" t="b">
        <f t="shared" ca="1" si="22"/>
        <v>0</v>
      </c>
      <c r="AU48" t="b">
        <f t="shared" ca="1" si="22"/>
        <v>0</v>
      </c>
      <c r="AV48" t="b">
        <f t="shared" ca="1" si="21"/>
        <v>0</v>
      </c>
      <c r="AW48" t="b">
        <f t="shared" ca="1" si="21"/>
        <v>0</v>
      </c>
      <c r="AX48" t="b">
        <f t="shared" ca="1" si="21"/>
        <v>0</v>
      </c>
      <c r="AY48" t="b">
        <f t="shared" ca="1" si="21"/>
        <v>0</v>
      </c>
      <c r="AZ48" t="b">
        <f t="shared" ca="1" si="21"/>
        <v>0</v>
      </c>
      <c r="BA48">
        <f t="shared" ca="1" si="16"/>
        <v>1</v>
      </c>
      <c r="BB48">
        <f t="shared" ca="1" si="17"/>
        <v>7</v>
      </c>
    </row>
    <row r="49" spans="1:54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25" t="str">
        <f t="shared" ca="1" si="10"/>
        <v>N/A</v>
      </c>
      <c r="G49" s="125"/>
      <c r="H49" s="125"/>
      <c r="I49" s="125"/>
      <c r="J49" s="125" t="str">
        <f t="shared" si="18"/>
        <v>N/A</v>
      </c>
      <c r="K49" s="125" t="str">
        <f t="shared" ref="K49:M57" ca="1" si="25">IFERROR(IF(INDEX(Earnings,$B49,K$12)=0,"N/A",INDEX(Earnings,$B49,K$12)),"N/A")</f>
        <v>N/A</v>
      </c>
      <c r="L49" s="125" t="str">
        <f t="shared" ca="1" si="25"/>
        <v>N/A</v>
      </c>
      <c r="M49" s="125" t="str">
        <f t="shared" ca="1" si="25"/>
        <v>N/A</v>
      </c>
      <c r="N49" s="125" t="str">
        <f t="shared" ca="1" si="24"/>
        <v>N/A</v>
      </c>
      <c r="O49" s="125" t="str">
        <f t="shared" ca="1" si="24"/>
        <v>N/A</v>
      </c>
      <c r="P49" s="125" t="str">
        <f t="shared" ca="1" si="24"/>
        <v>N/A</v>
      </c>
      <c r="Q49" s="125" t="str">
        <f t="shared" ca="1" si="24"/>
        <v>N/A</v>
      </c>
      <c r="R49" s="125" t="str">
        <f t="shared" ca="1" si="24"/>
        <v>N/A</v>
      </c>
      <c r="S49" s="125" t="str">
        <f t="shared" ca="1" si="24"/>
        <v>N/A</v>
      </c>
      <c r="T49" s="125" t="str">
        <f t="shared" ca="1" si="24"/>
        <v>N/A</v>
      </c>
      <c r="U49" s="125" t="str">
        <f t="shared" ca="1" si="24"/>
        <v>N/A</v>
      </c>
      <c r="V49" s="125" t="str">
        <f t="shared" ca="1" si="24"/>
        <v>N/A</v>
      </c>
      <c r="W49" s="125" t="str">
        <f t="shared" ca="1" si="24"/>
        <v>N/A</v>
      </c>
      <c r="X49" s="77" t="str">
        <f t="shared" ca="1" si="11"/>
        <v>N/A</v>
      </c>
      <c r="Y49" s="77" t="str">
        <f t="shared" ca="1" si="12"/>
        <v>N/A</v>
      </c>
      <c r="Z49" s="125" t="e">
        <f t="shared" ca="1" si="13"/>
        <v>#VALUE!</v>
      </c>
      <c r="AA49" s="77" t="e">
        <f t="shared" ca="1" si="14"/>
        <v>#VALUE!</v>
      </c>
      <c r="AB49" s="77"/>
      <c r="AC49" s="184">
        <f t="shared" ca="1" si="23"/>
        <v>-1</v>
      </c>
      <c r="AD49" s="181" t="str">
        <f t="shared" si="5"/>
        <v>N/A</v>
      </c>
      <c r="AE49" s="190">
        <v>43100</v>
      </c>
      <c r="AF49" s="186" t="e">
        <f t="shared" si="6"/>
        <v>#VALUE!</v>
      </c>
      <c r="AG49" s="187" t="e">
        <f t="shared" si="15"/>
        <v>#VALUE!</v>
      </c>
      <c r="AH49" s="187" t="e">
        <f t="shared" ca="1" si="7"/>
        <v>#VALUE!</v>
      </c>
      <c r="AI49" s="188" t="e">
        <f t="shared" ca="1" si="8"/>
        <v>#VALUE!</v>
      </c>
      <c r="AN49" t="b">
        <f t="shared" ca="1" si="22"/>
        <v>0</v>
      </c>
      <c r="AO49" t="b">
        <f t="shared" ca="1" si="22"/>
        <v>0</v>
      </c>
      <c r="AP49" t="b">
        <f t="shared" ca="1" si="22"/>
        <v>0</v>
      </c>
      <c r="AQ49" t="b">
        <f t="shared" ca="1" si="22"/>
        <v>0</v>
      </c>
      <c r="AR49" t="b">
        <f t="shared" ca="1" si="22"/>
        <v>0</v>
      </c>
      <c r="AS49" t="b">
        <f t="shared" ca="1" si="22"/>
        <v>0</v>
      </c>
      <c r="AT49" t="b">
        <f t="shared" ca="1" si="22"/>
        <v>0</v>
      </c>
      <c r="AU49" t="b">
        <f t="shared" ca="1" si="22"/>
        <v>0</v>
      </c>
      <c r="AV49" t="b">
        <f t="shared" ca="1" si="21"/>
        <v>0</v>
      </c>
      <c r="AW49" t="b">
        <f t="shared" ca="1" si="21"/>
        <v>0</v>
      </c>
      <c r="AX49" t="b">
        <f t="shared" ca="1" si="21"/>
        <v>0</v>
      </c>
      <c r="AY49" t="b">
        <f t="shared" ca="1" si="21"/>
        <v>0</v>
      </c>
      <c r="AZ49" t="b">
        <f t="shared" ca="1" si="21"/>
        <v>0</v>
      </c>
      <c r="BA49">
        <f t="shared" ca="1" si="16"/>
        <v>1</v>
      </c>
      <c r="BB49">
        <f t="shared" ca="1" si="17"/>
        <v>7</v>
      </c>
    </row>
    <row r="50" spans="1:54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25" t="str">
        <f t="shared" ca="1" si="10"/>
        <v>N/A</v>
      </c>
      <c r="G50" s="125"/>
      <c r="H50" s="125"/>
      <c r="I50" s="125"/>
      <c r="J50" s="125" t="str">
        <f t="shared" si="18"/>
        <v>N/A</v>
      </c>
      <c r="K50" s="125" t="str">
        <f t="shared" ca="1" si="25"/>
        <v>N/A</v>
      </c>
      <c r="L50" s="125" t="str">
        <f t="shared" ca="1" si="25"/>
        <v>N/A</v>
      </c>
      <c r="M50" s="125" t="str">
        <f t="shared" ca="1" si="25"/>
        <v>N/A</v>
      </c>
      <c r="N50" s="125" t="str">
        <f t="shared" ca="1" si="24"/>
        <v>N/A</v>
      </c>
      <c r="O50" s="125" t="str">
        <f t="shared" ca="1" si="24"/>
        <v>N/A</v>
      </c>
      <c r="P50" s="125" t="str">
        <f t="shared" ca="1" si="24"/>
        <v>N/A</v>
      </c>
      <c r="Q50" s="125" t="str">
        <f t="shared" ca="1" si="24"/>
        <v>N/A</v>
      </c>
      <c r="R50" s="125" t="str">
        <f t="shared" ca="1" si="24"/>
        <v>N/A</v>
      </c>
      <c r="S50" s="125" t="str">
        <f t="shared" ca="1" si="24"/>
        <v>N/A</v>
      </c>
      <c r="T50" s="125" t="str">
        <f t="shared" ca="1" si="24"/>
        <v>N/A</v>
      </c>
      <c r="U50" s="125" t="str">
        <f t="shared" ca="1" si="24"/>
        <v>N/A</v>
      </c>
      <c r="V50" s="125" t="str">
        <f t="shared" ca="1" si="24"/>
        <v>N/A</v>
      </c>
      <c r="W50" s="125" t="str">
        <f t="shared" ca="1" si="24"/>
        <v>N/A</v>
      </c>
      <c r="X50" s="77" t="str">
        <f t="shared" ca="1" si="11"/>
        <v>N/A</v>
      </c>
      <c r="Y50" s="77" t="str">
        <f t="shared" ca="1" si="12"/>
        <v>N/A</v>
      </c>
      <c r="Z50" s="125" t="e">
        <f t="shared" ca="1" si="13"/>
        <v>#VALUE!</v>
      </c>
      <c r="AA50" s="77" t="e">
        <f t="shared" ca="1" si="14"/>
        <v>#VALUE!</v>
      </c>
      <c r="AB50" s="77"/>
      <c r="AC50" s="184">
        <f t="shared" ca="1" si="23"/>
        <v>-1</v>
      </c>
      <c r="AD50" s="181" t="str">
        <f t="shared" si="5"/>
        <v>N/A</v>
      </c>
      <c r="AE50" s="190">
        <v>43100</v>
      </c>
      <c r="AF50" s="186" t="e">
        <f t="shared" si="6"/>
        <v>#VALUE!</v>
      </c>
      <c r="AG50" s="187" t="e">
        <f t="shared" si="15"/>
        <v>#VALUE!</v>
      </c>
      <c r="AH50" s="187" t="e">
        <f t="shared" ca="1" si="7"/>
        <v>#VALUE!</v>
      </c>
      <c r="AI50" s="188" t="e">
        <f t="shared" ca="1" si="8"/>
        <v>#VALUE!</v>
      </c>
      <c r="AN50" t="b">
        <f t="shared" ca="1" si="22"/>
        <v>0</v>
      </c>
      <c r="AO50" t="b">
        <f t="shared" ca="1" si="22"/>
        <v>0</v>
      </c>
      <c r="AP50" t="b">
        <f t="shared" ca="1" si="22"/>
        <v>0</v>
      </c>
      <c r="AQ50" t="b">
        <f t="shared" ca="1" si="22"/>
        <v>0</v>
      </c>
      <c r="AR50" t="b">
        <f t="shared" ca="1" si="22"/>
        <v>0</v>
      </c>
      <c r="AS50" t="b">
        <f t="shared" ca="1" si="22"/>
        <v>0</v>
      </c>
      <c r="AT50" t="b">
        <f t="shared" ca="1" si="22"/>
        <v>0</v>
      </c>
      <c r="AU50" t="b">
        <f t="shared" ca="1" si="22"/>
        <v>0</v>
      </c>
      <c r="AV50" t="b">
        <f t="shared" ca="1" si="21"/>
        <v>0</v>
      </c>
      <c r="AW50" t="b">
        <f t="shared" ca="1" si="21"/>
        <v>0</v>
      </c>
      <c r="AX50" t="b">
        <f t="shared" ca="1" si="21"/>
        <v>0</v>
      </c>
      <c r="AY50" t="b">
        <f t="shared" ca="1" si="21"/>
        <v>0</v>
      </c>
      <c r="AZ50" t="b">
        <f t="shared" ca="1" si="21"/>
        <v>0</v>
      </c>
      <c r="BA50">
        <f t="shared" ca="1" si="16"/>
        <v>1</v>
      </c>
      <c r="BB50">
        <f t="shared" ca="1" si="17"/>
        <v>7</v>
      </c>
    </row>
    <row r="51" spans="1:54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25" t="str">
        <f t="shared" ca="1" si="10"/>
        <v>N/A</v>
      </c>
      <c r="G51" s="125"/>
      <c r="H51" s="125"/>
      <c r="I51" s="125"/>
      <c r="J51" s="125" t="str">
        <f t="shared" si="18"/>
        <v>N/A</v>
      </c>
      <c r="K51" s="125" t="str">
        <f t="shared" ca="1" si="25"/>
        <v>N/A</v>
      </c>
      <c r="L51" s="125" t="str">
        <f t="shared" ca="1" si="25"/>
        <v>N/A</v>
      </c>
      <c r="M51" s="125" t="str">
        <f t="shared" ca="1" si="25"/>
        <v>N/A</v>
      </c>
      <c r="N51" s="125" t="str">
        <f t="shared" ca="1" si="24"/>
        <v>N/A</v>
      </c>
      <c r="O51" s="125" t="str">
        <f t="shared" ca="1" si="24"/>
        <v>N/A</v>
      </c>
      <c r="P51" s="125" t="str">
        <f t="shared" ca="1" si="24"/>
        <v>N/A</v>
      </c>
      <c r="Q51" s="125" t="str">
        <f t="shared" ca="1" si="24"/>
        <v>N/A</v>
      </c>
      <c r="R51" s="125" t="str">
        <f t="shared" ca="1" si="24"/>
        <v>N/A</v>
      </c>
      <c r="S51" s="125" t="str">
        <f t="shared" ca="1" si="24"/>
        <v>N/A</v>
      </c>
      <c r="T51" s="125" t="str">
        <f t="shared" ca="1" si="24"/>
        <v>N/A</v>
      </c>
      <c r="U51" s="125" t="str">
        <f t="shared" ca="1" si="24"/>
        <v>N/A</v>
      </c>
      <c r="V51" s="125" t="str">
        <f t="shared" ca="1" si="24"/>
        <v>N/A</v>
      </c>
      <c r="W51" s="125" t="str">
        <f t="shared" ca="1" si="24"/>
        <v>N/A</v>
      </c>
      <c r="X51" s="77" t="str">
        <f t="shared" ca="1" si="11"/>
        <v>N/A</v>
      </c>
      <c r="Y51" s="77" t="str">
        <f t="shared" ca="1" si="12"/>
        <v>N/A</v>
      </c>
      <c r="Z51" s="125" t="e">
        <f t="shared" ca="1" si="13"/>
        <v>#VALUE!</v>
      </c>
      <c r="AA51" s="77" t="e">
        <f t="shared" ca="1" si="14"/>
        <v>#VALUE!</v>
      </c>
      <c r="AB51" s="77"/>
      <c r="AC51" s="184">
        <f t="shared" ca="1" si="23"/>
        <v>-1</v>
      </c>
      <c r="AD51" s="181" t="str">
        <f t="shared" si="5"/>
        <v>N/A</v>
      </c>
      <c r="AE51" s="190">
        <v>43100</v>
      </c>
      <c r="AF51" s="186" t="e">
        <f t="shared" si="6"/>
        <v>#VALUE!</v>
      </c>
      <c r="AG51" s="187" t="e">
        <f t="shared" si="15"/>
        <v>#VALUE!</v>
      </c>
      <c r="AH51" s="187" t="e">
        <f t="shared" ca="1" si="7"/>
        <v>#VALUE!</v>
      </c>
      <c r="AI51" s="188" t="e">
        <f t="shared" ca="1" si="8"/>
        <v>#VALUE!</v>
      </c>
      <c r="AN51" t="b">
        <f t="shared" ca="1" si="22"/>
        <v>0</v>
      </c>
      <c r="AO51" t="b">
        <f t="shared" ca="1" si="22"/>
        <v>0</v>
      </c>
      <c r="AP51" t="b">
        <f t="shared" ca="1" si="22"/>
        <v>0</v>
      </c>
      <c r="AQ51" t="b">
        <f t="shared" ca="1" si="22"/>
        <v>0</v>
      </c>
      <c r="AR51" t="b">
        <f t="shared" ca="1" si="22"/>
        <v>0</v>
      </c>
      <c r="AS51" t="b">
        <f t="shared" ca="1" si="22"/>
        <v>0</v>
      </c>
      <c r="AT51" t="b">
        <f t="shared" ca="1" si="22"/>
        <v>0</v>
      </c>
      <c r="AU51" t="b">
        <f t="shared" ca="1" si="22"/>
        <v>0</v>
      </c>
      <c r="AV51" t="b">
        <f t="shared" ca="1" si="21"/>
        <v>0</v>
      </c>
      <c r="AW51" t="b">
        <f t="shared" ca="1" si="21"/>
        <v>0</v>
      </c>
      <c r="AX51" t="b">
        <f t="shared" ca="1" si="21"/>
        <v>0</v>
      </c>
      <c r="AY51" t="b">
        <f t="shared" ca="1" si="21"/>
        <v>0</v>
      </c>
      <c r="AZ51" t="b">
        <f t="shared" ca="1" si="21"/>
        <v>0</v>
      </c>
      <c r="BA51">
        <f t="shared" ca="1" si="16"/>
        <v>1</v>
      </c>
      <c r="BB51">
        <f t="shared" ca="1" si="17"/>
        <v>7</v>
      </c>
    </row>
    <row r="52" spans="1:54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25" t="str">
        <f t="shared" ca="1" si="10"/>
        <v>N/A</v>
      </c>
      <c r="G52" s="125"/>
      <c r="H52" s="125"/>
      <c r="I52" s="125"/>
      <c r="J52" s="125" t="str">
        <f t="shared" si="18"/>
        <v>N/A</v>
      </c>
      <c r="K52" s="125" t="str">
        <f t="shared" ca="1" si="25"/>
        <v>N/A</v>
      </c>
      <c r="L52" s="125" t="str">
        <f t="shared" ca="1" si="25"/>
        <v>N/A</v>
      </c>
      <c r="M52" s="125" t="str">
        <f t="shared" ca="1" si="25"/>
        <v>N/A</v>
      </c>
      <c r="N52" s="125" t="str">
        <f t="shared" ca="1" si="24"/>
        <v>N/A</v>
      </c>
      <c r="O52" s="125" t="str">
        <f t="shared" ca="1" si="24"/>
        <v>N/A</v>
      </c>
      <c r="P52" s="125" t="str">
        <f t="shared" ca="1" si="24"/>
        <v>N/A</v>
      </c>
      <c r="Q52" s="125" t="str">
        <f t="shared" ca="1" si="24"/>
        <v>N/A</v>
      </c>
      <c r="R52" s="125" t="str">
        <f t="shared" ca="1" si="24"/>
        <v>N/A</v>
      </c>
      <c r="S52" s="125" t="str">
        <f t="shared" ca="1" si="24"/>
        <v>N/A</v>
      </c>
      <c r="T52" s="125" t="str">
        <f t="shared" ca="1" si="24"/>
        <v>N/A</v>
      </c>
      <c r="U52" s="125" t="str">
        <f t="shared" ca="1" si="24"/>
        <v>N/A</v>
      </c>
      <c r="V52" s="125" t="str">
        <f t="shared" ca="1" si="24"/>
        <v>N/A</v>
      </c>
      <c r="W52" s="125" t="str">
        <f t="shared" ca="1" si="24"/>
        <v>N/A</v>
      </c>
      <c r="X52" s="77" t="str">
        <f t="shared" ca="1" si="11"/>
        <v>N/A</v>
      </c>
      <c r="Y52" s="77" t="str">
        <f t="shared" ca="1" si="12"/>
        <v>N/A</v>
      </c>
      <c r="Z52" s="125" t="e">
        <f t="shared" ca="1" si="13"/>
        <v>#VALUE!</v>
      </c>
      <c r="AA52" s="77" t="e">
        <f t="shared" ca="1" si="14"/>
        <v>#VALUE!</v>
      </c>
      <c r="AB52" s="77"/>
      <c r="AC52" s="184">
        <f t="shared" ca="1" si="23"/>
        <v>-1</v>
      </c>
      <c r="AD52" s="181" t="str">
        <f t="shared" si="5"/>
        <v>N/A</v>
      </c>
      <c r="AE52" s="190">
        <v>43100</v>
      </c>
      <c r="AF52" s="186" t="e">
        <f t="shared" si="6"/>
        <v>#VALUE!</v>
      </c>
      <c r="AG52" s="187" t="e">
        <f t="shared" si="15"/>
        <v>#VALUE!</v>
      </c>
      <c r="AH52" s="187" t="e">
        <f t="shared" ca="1" si="7"/>
        <v>#VALUE!</v>
      </c>
      <c r="AI52" s="188" t="e">
        <f t="shared" ca="1" si="8"/>
        <v>#VALUE!</v>
      </c>
      <c r="AN52" t="b">
        <f t="shared" ca="1" si="22"/>
        <v>0</v>
      </c>
      <c r="AO52" t="b">
        <f t="shared" ca="1" si="22"/>
        <v>0</v>
      </c>
      <c r="AP52" t="b">
        <f t="shared" ca="1" si="22"/>
        <v>0</v>
      </c>
      <c r="AQ52" t="b">
        <f t="shared" ca="1" si="22"/>
        <v>0</v>
      </c>
      <c r="AR52" t="b">
        <f t="shared" ca="1" si="22"/>
        <v>0</v>
      </c>
      <c r="AS52" t="b">
        <f t="shared" ca="1" si="22"/>
        <v>0</v>
      </c>
      <c r="AT52" t="b">
        <f t="shared" ca="1" si="22"/>
        <v>0</v>
      </c>
      <c r="AU52" t="b">
        <f t="shared" ca="1" si="22"/>
        <v>0</v>
      </c>
      <c r="AV52" t="b">
        <f t="shared" ca="1" si="21"/>
        <v>0</v>
      </c>
      <c r="AW52" t="b">
        <f t="shared" ca="1" si="21"/>
        <v>0</v>
      </c>
      <c r="AX52" t="b">
        <f t="shared" ca="1" si="21"/>
        <v>0</v>
      </c>
      <c r="AY52" t="b">
        <f t="shared" ca="1" si="21"/>
        <v>0</v>
      </c>
      <c r="AZ52" t="b">
        <f t="shared" ca="1" si="21"/>
        <v>0</v>
      </c>
      <c r="BA52">
        <f t="shared" ca="1" si="16"/>
        <v>1</v>
      </c>
      <c r="BB52">
        <f t="shared" ca="1" si="17"/>
        <v>7</v>
      </c>
    </row>
    <row r="53" spans="1:54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25" t="str">
        <f t="shared" ca="1" si="10"/>
        <v>N/A</v>
      </c>
      <c r="G53" s="125"/>
      <c r="H53" s="125"/>
      <c r="I53" s="125"/>
      <c r="J53" s="125" t="str">
        <f t="shared" si="18"/>
        <v>N/A</v>
      </c>
      <c r="K53" s="125" t="str">
        <f t="shared" ca="1" si="25"/>
        <v>N/A</v>
      </c>
      <c r="L53" s="125" t="str">
        <f t="shared" ca="1" si="25"/>
        <v>N/A</v>
      </c>
      <c r="M53" s="125" t="str">
        <f t="shared" ca="1" si="25"/>
        <v>N/A</v>
      </c>
      <c r="N53" s="125" t="str">
        <f t="shared" ca="1" si="24"/>
        <v>N/A</v>
      </c>
      <c r="O53" s="125" t="str">
        <f t="shared" ca="1" si="24"/>
        <v>N/A</v>
      </c>
      <c r="P53" s="125" t="str">
        <f t="shared" ca="1" si="24"/>
        <v>N/A</v>
      </c>
      <c r="Q53" s="125" t="str">
        <f t="shared" ca="1" si="24"/>
        <v>N/A</v>
      </c>
      <c r="R53" s="125" t="str">
        <f t="shared" ca="1" si="24"/>
        <v>N/A</v>
      </c>
      <c r="S53" s="125" t="str">
        <f t="shared" ca="1" si="24"/>
        <v>N/A</v>
      </c>
      <c r="T53" s="125" t="str">
        <f t="shared" ca="1" si="24"/>
        <v>N/A</v>
      </c>
      <c r="U53" s="125" t="str">
        <f t="shared" ca="1" si="24"/>
        <v>N/A</v>
      </c>
      <c r="V53" s="125" t="str">
        <f t="shared" ca="1" si="24"/>
        <v>N/A</v>
      </c>
      <c r="W53" s="125" t="str">
        <f t="shared" ca="1" si="24"/>
        <v>N/A</v>
      </c>
      <c r="X53" s="77" t="str">
        <f t="shared" ca="1" si="11"/>
        <v>N/A</v>
      </c>
      <c r="Y53" s="77" t="str">
        <f t="shared" ca="1" si="12"/>
        <v>N/A</v>
      </c>
      <c r="Z53" s="125" t="e">
        <f t="shared" ca="1" si="13"/>
        <v>#VALUE!</v>
      </c>
      <c r="AA53" s="77" t="e">
        <f t="shared" ca="1" si="14"/>
        <v>#VALUE!</v>
      </c>
      <c r="AB53" s="77"/>
      <c r="AC53" s="184">
        <f t="shared" ca="1" si="23"/>
        <v>-1</v>
      </c>
      <c r="AD53" s="181" t="str">
        <f t="shared" si="5"/>
        <v>N/A</v>
      </c>
      <c r="AE53" s="190">
        <v>43100</v>
      </c>
      <c r="AF53" s="186" t="e">
        <f t="shared" si="6"/>
        <v>#VALUE!</v>
      </c>
      <c r="AG53" s="187" t="e">
        <f t="shared" si="15"/>
        <v>#VALUE!</v>
      </c>
      <c r="AH53" s="187" t="e">
        <f t="shared" ca="1" si="7"/>
        <v>#VALUE!</v>
      </c>
      <c r="AI53" s="188" t="e">
        <f t="shared" ca="1" si="8"/>
        <v>#VALUE!</v>
      </c>
      <c r="AN53" t="b">
        <f t="shared" ca="1" si="22"/>
        <v>0</v>
      </c>
      <c r="AO53" t="b">
        <f t="shared" ca="1" si="22"/>
        <v>0</v>
      </c>
      <c r="AP53" t="b">
        <f t="shared" ca="1" si="22"/>
        <v>0</v>
      </c>
      <c r="AQ53" t="b">
        <f t="shared" ca="1" si="22"/>
        <v>0</v>
      </c>
      <c r="AR53" t="b">
        <f t="shared" ca="1" si="22"/>
        <v>0</v>
      </c>
      <c r="AS53" t="b">
        <f t="shared" ca="1" si="22"/>
        <v>0</v>
      </c>
      <c r="AT53" t="b">
        <f t="shared" ca="1" si="22"/>
        <v>0</v>
      </c>
      <c r="AU53" t="b">
        <f t="shared" ca="1" si="22"/>
        <v>0</v>
      </c>
      <c r="AV53" t="b">
        <f t="shared" ca="1" si="21"/>
        <v>0</v>
      </c>
      <c r="AW53" t="b">
        <f t="shared" ca="1" si="21"/>
        <v>0</v>
      </c>
      <c r="AX53" t="b">
        <f t="shared" ca="1" si="21"/>
        <v>0</v>
      </c>
      <c r="AY53" t="b">
        <f t="shared" ca="1" si="21"/>
        <v>0</v>
      </c>
      <c r="AZ53" t="b">
        <f t="shared" ca="1" si="21"/>
        <v>0</v>
      </c>
      <c r="BA53">
        <f t="shared" ca="1" si="16"/>
        <v>1</v>
      </c>
      <c r="BB53">
        <f t="shared" ca="1" si="17"/>
        <v>7</v>
      </c>
    </row>
    <row r="54" spans="1:54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10"/>
        <v>N/A</v>
      </c>
      <c r="G54" s="125"/>
      <c r="H54" s="125"/>
      <c r="I54" s="125"/>
      <c r="J54" s="125" t="str">
        <f t="shared" si="18"/>
        <v>N/A</v>
      </c>
      <c r="K54" s="125" t="str">
        <f t="shared" ca="1" si="25"/>
        <v>N/A</v>
      </c>
      <c r="L54" s="125" t="str">
        <f t="shared" ca="1" si="25"/>
        <v>N/A</v>
      </c>
      <c r="M54" s="125" t="str">
        <f t="shared" ca="1" si="25"/>
        <v>N/A</v>
      </c>
      <c r="N54" s="125" t="str">
        <f t="shared" ref="N54:W57" ca="1" si="26">IFERROR(IF(INDEX(Dividends,$B54,N$12)=0,"N/A",INDEX(Dividends,$B54,N$12)),"N/A")</f>
        <v>N/A</v>
      </c>
      <c r="O54" s="125" t="str">
        <f t="shared" ca="1" si="26"/>
        <v>N/A</v>
      </c>
      <c r="P54" s="125" t="str">
        <f t="shared" ca="1" si="26"/>
        <v>N/A</v>
      </c>
      <c r="Q54" s="125" t="str">
        <f t="shared" ca="1" si="26"/>
        <v>N/A</v>
      </c>
      <c r="R54" s="125" t="str">
        <f t="shared" ca="1" si="26"/>
        <v>N/A</v>
      </c>
      <c r="S54" s="125" t="str">
        <f t="shared" ca="1" si="26"/>
        <v>N/A</v>
      </c>
      <c r="T54" s="125" t="str">
        <f t="shared" ca="1" si="26"/>
        <v>N/A</v>
      </c>
      <c r="U54" s="125" t="str">
        <f t="shared" ca="1" si="26"/>
        <v>N/A</v>
      </c>
      <c r="V54" s="125" t="str">
        <f t="shared" ca="1" si="26"/>
        <v>N/A</v>
      </c>
      <c r="W54" s="125" t="str">
        <f t="shared" ca="1" si="26"/>
        <v>N/A</v>
      </c>
      <c r="X54" s="77" t="str">
        <f t="shared" ca="1" si="11"/>
        <v>N/A</v>
      </c>
      <c r="Y54" s="77" t="str">
        <f t="shared" ca="1" si="12"/>
        <v>N/A</v>
      </c>
      <c r="Z54" s="125" t="e">
        <f t="shared" ca="1" si="13"/>
        <v>#VALUE!</v>
      </c>
      <c r="AA54" s="77" t="e">
        <f t="shared" ca="1" si="14"/>
        <v>#VALUE!</v>
      </c>
      <c r="AB54" s="77"/>
      <c r="AC54" s="184">
        <f t="shared" si="23"/>
        <v>-2</v>
      </c>
      <c r="AD54" s="184">
        <v>43100</v>
      </c>
      <c r="AE54" s="182" t="str">
        <f>IFERROR(IF(VLOOKUP(A54,LUCurYr,16,FALSE)=0,"",VLOOKUP(A54,LUCurYr,16,FALSE)),"N/A")</f>
        <v>N/A</v>
      </c>
      <c r="AF54" s="186" t="e">
        <f t="shared" si="6"/>
        <v>#VALUE!</v>
      </c>
      <c r="AG54" s="187" t="e">
        <f t="shared" si="15"/>
        <v>#VALUE!</v>
      </c>
      <c r="AH54" s="187" t="e">
        <f t="shared" si="7"/>
        <v>#VALUE!</v>
      </c>
      <c r="AI54" s="188" t="e">
        <f t="shared" ca="1" si="8"/>
        <v>#VALUE!</v>
      </c>
      <c r="AJ54" s="62"/>
      <c r="AK54" s="62"/>
      <c r="AL54" s="62"/>
      <c r="AM54" s="62"/>
    </row>
    <row r="55" spans="1:54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10"/>
        <v>N/A</v>
      </c>
      <c r="G55" s="125"/>
      <c r="H55" s="125"/>
      <c r="I55" s="125"/>
      <c r="J55" s="125" t="str">
        <f t="shared" si="18"/>
        <v>N/A</v>
      </c>
      <c r="K55" s="125" t="str">
        <f t="shared" ca="1" si="25"/>
        <v>N/A</v>
      </c>
      <c r="L55" s="125" t="str">
        <f t="shared" ca="1" si="25"/>
        <v>N/A</v>
      </c>
      <c r="M55" s="125" t="str">
        <f t="shared" ca="1" si="25"/>
        <v>N/A</v>
      </c>
      <c r="N55" s="125" t="str">
        <f t="shared" ca="1" si="26"/>
        <v>N/A</v>
      </c>
      <c r="O55" s="125" t="str">
        <f t="shared" ca="1" si="26"/>
        <v>N/A</v>
      </c>
      <c r="P55" s="125" t="str">
        <f t="shared" ca="1" si="26"/>
        <v>N/A</v>
      </c>
      <c r="Q55" s="125" t="str">
        <f t="shared" ca="1" si="26"/>
        <v>N/A</v>
      </c>
      <c r="R55" s="125" t="str">
        <f t="shared" ca="1" si="26"/>
        <v>N/A</v>
      </c>
      <c r="S55" s="125" t="str">
        <f t="shared" ca="1" si="26"/>
        <v>N/A</v>
      </c>
      <c r="T55" s="125" t="str">
        <f t="shared" ca="1" si="26"/>
        <v>N/A</v>
      </c>
      <c r="U55" s="125" t="str">
        <f t="shared" ca="1" si="26"/>
        <v>N/A</v>
      </c>
      <c r="V55" s="125" t="str">
        <f t="shared" ca="1" si="26"/>
        <v>N/A</v>
      </c>
      <c r="W55" s="125" t="str">
        <f t="shared" ca="1" si="26"/>
        <v>N/A</v>
      </c>
      <c r="X55" s="77" t="str">
        <f t="shared" ca="1" si="11"/>
        <v>N/A</v>
      </c>
      <c r="Y55" s="77" t="str">
        <f t="shared" ca="1" si="12"/>
        <v>N/A</v>
      </c>
      <c r="Z55" s="125" t="e">
        <f t="shared" ca="1" si="13"/>
        <v>#VALUE!</v>
      </c>
      <c r="AA55" s="77" t="e">
        <f t="shared" ca="1" si="14"/>
        <v>#VALUE!</v>
      </c>
      <c r="AB55" s="77"/>
      <c r="AC55" s="184">
        <f t="shared" si="23"/>
        <v>-2</v>
      </c>
      <c r="AD55" s="184">
        <v>43100</v>
      </c>
      <c r="AE55" s="182" t="str">
        <f>IFERROR(IF(VLOOKUP(A55,LUCurYr,16,FALSE)=0,"",VLOOKUP(A55,LUCurYr,16,FALSE)),"N/A")</f>
        <v>N/A</v>
      </c>
      <c r="AF55" s="186" t="e">
        <f t="shared" si="6"/>
        <v>#VALUE!</v>
      </c>
      <c r="AG55" s="187" t="e">
        <f t="shared" si="15"/>
        <v>#VALUE!</v>
      </c>
      <c r="AH55" s="187" t="e">
        <f t="shared" si="7"/>
        <v>#VALUE!</v>
      </c>
      <c r="AI55" s="188" t="e">
        <f t="shared" ca="1" si="8"/>
        <v>#VALUE!</v>
      </c>
      <c r="AJ55" s="62"/>
      <c r="AK55" s="62"/>
      <c r="AL55" s="62"/>
      <c r="AM55" s="62"/>
    </row>
    <row r="56" spans="1:54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10"/>
        <v>N/A</v>
      </c>
      <c r="G56" s="125"/>
      <c r="H56" s="125"/>
      <c r="I56" s="125"/>
      <c r="J56" s="125" t="str">
        <f t="shared" si="18"/>
        <v>N/A</v>
      </c>
      <c r="K56" s="125" t="str">
        <f t="shared" ca="1" si="25"/>
        <v>N/A</v>
      </c>
      <c r="L56" s="125" t="str">
        <f t="shared" ca="1" si="25"/>
        <v>N/A</v>
      </c>
      <c r="M56" s="125" t="str">
        <f t="shared" ca="1" si="25"/>
        <v>N/A</v>
      </c>
      <c r="N56" s="125" t="str">
        <f t="shared" ca="1" si="26"/>
        <v>N/A</v>
      </c>
      <c r="O56" s="125" t="str">
        <f t="shared" ca="1" si="26"/>
        <v>N/A</v>
      </c>
      <c r="P56" s="125" t="str">
        <f t="shared" ca="1" si="26"/>
        <v>N/A</v>
      </c>
      <c r="Q56" s="125" t="str">
        <f t="shared" ca="1" si="26"/>
        <v>N/A</v>
      </c>
      <c r="R56" s="125" t="str">
        <f t="shared" ca="1" si="26"/>
        <v>N/A</v>
      </c>
      <c r="S56" s="125" t="str">
        <f t="shared" ca="1" si="26"/>
        <v>N/A</v>
      </c>
      <c r="T56" s="125" t="str">
        <f t="shared" ca="1" si="26"/>
        <v>N/A</v>
      </c>
      <c r="U56" s="125" t="str">
        <f t="shared" ca="1" si="26"/>
        <v>N/A</v>
      </c>
      <c r="V56" s="125" t="str">
        <f t="shared" ca="1" si="26"/>
        <v>N/A</v>
      </c>
      <c r="W56" s="125" t="str">
        <f t="shared" ca="1" si="26"/>
        <v>N/A</v>
      </c>
      <c r="X56" s="77" t="str">
        <f t="shared" ca="1" si="11"/>
        <v>N/A</v>
      </c>
      <c r="Y56" s="77" t="str">
        <f t="shared" ca="1" si="12"/>
        <v>N/A</v>
      </c>
      <c r="Z56" s="125" t="e">
        <f t="shared" ca="1" si="13"/>
        <v>#VALUE!</v>
      </c>
      <c r="AA56" s="77" t="e">
        <f t="shared" ca="1" si="14"/>
        <v>#VALUE!</v>
      </c>
      <c r="AB56" s="77"/>
      <c r="AC56" s="184">
        <f t="shared" si="23"/>
        <v>-2</v>
      </c>
      <c r="AD56" s="184">
        <v>43100</v>
      </c>
      <c r="AE56" s="182" t="str">
        <f>IFERROR(IF(VLOOKUP(A56,LUCurYr,16,FALSE)=0,"",VLOOKUP(A56,LUCurYr,16,FALSE)),"N/A")</f>
        <v>N/A</v>
      </c>
      <c r="AF56" s="186" t="e">
        <f t="shared" si="6"/>
        <v>#VALUE!</v>
      </c>
      <c r="AG56" s="187" t="e">
        <f t="shared" si="15"/>
        <v>#VALUE!</v>
      </c>
      <c r="AH56" s="187" t="e">
        <f t="shared" si="7"/>
        <v>#VALUE!</v>
      </c>
      <c r="AI56" s="188" t="e">
        <f t="shared" ca="1" si="8"/>
        <v>#VALUE!</v>
      </c>
      <c r="AJ56" s="62"/>
      <c r="AK56" s="62"/>
      <c r="AL56" s="62"/>
      <c r="AM56" s="62"/>
    </row>
    <row r="57" spans="1:54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10"/>
        <v>N/A</v>
      </c>
      <c r="G57" s="125"/>
      <c r="H57" s="125"/>
      <c r="I57" s="125"/>
      <c r="J57" s="125" t="str">
        <f t="shared" si="18"/>
        <v>N/A</v>
      </c>
      <c r="K57" s="125" t="str">
        <f t="shared" ca="1" si="25"/>
        <v>N/A</v>
      </c>
      <c r="L57" s="125" t="str">
        <f t="shared" ca="1" si="25"/>
        <v>N/A</v>
      </c>
      <c r="M57" s="125" t="str">
        <f t="shared" ca="1" si="25"/>
        <v>N/A</v>
      </c>
      <c r="N57" s="125" t="str">
        <f t="shared" ca="1" si="26"/>
        <v>N/A</v>
      </c>
      <c r="O57" s="125" t="str">
        <f t="shared" ca="1" si="26"/>
        <v>N/A</v>
      </c>
      <c r="P57" s="125" t="str">
        <f t="shared" ca="1" si="26"/>
        <v>N/A</v>
      </c>
      <c r="Q57" s="125" t="str">
        <f t="shared" ca="1" si="26"/>
        <v>N/A</v>
      </c>
      <c r="R57" s="125" t="str">
        <f t="shared" ca="1" si="26"/>
        <v>N/A</v>
      </c>
      <c r="S57" s="125" t="str">
        <f t="shared" ca="1" si="26"/>
        <v>N/A</v>
      </c>
      <c r="T57" s="125" t="str">
        <f t="shared" ca="1" si="26"/>
        <v>N/A</v>
      </c>
      <c r="U57" s="125" t="str">
        <f t="shared" ca="1" si="26"/>
        <v>N/A</v>
      </c>
      <c r="V57" s="125" t="str">
        <f t="shared" ca="1" si="26"/>
        <v>N/A</v>
      </c>
      <c r="W57" s="125" t="str">
        <f t="shared" ca="1" si="26"/>
        <v>N/A</v>
      </c>
      <c r="X57" s="77" t="str">
        <f t="shared" ca="1" si="11"/>
        <v>N/A</v>
      </c>
      <c r="Y57" s="77" t="str">
        <f t="shared" ca="1" si="12"/>
        <v>N/A</v>
      </c>
      <c r="Z57" s="125" t="e">
        <f t="shared" ca="1" si="13"/>
        <v>#VALUE!</v>
      </c>
      <c r="AA57" s="77" t="e">
        <f t="shared" ca="1" si="14"/>
        <v>#VALUE!</v>
      </c>
      <c r="AB57" s="77"/>
      <c r="AC57" s="184">
        <f t="shared" si="23"/>
        <v>-2</v>
      </c>
      <c r="AD57" s="184">
        <v>43100</v>
      </c>
      <c r="AE57" s="182" t="str">
        <f>IFERROR(IF(VLOOKUP(A57,LUCurYr,16,FALSE)=0,"",VLOOKUP(A57,LUCurYr,16,FALSE)),"N/A")</f>
        <v>N/A</v>
      </c>
      <c r="AF57" s="186" t="e">
        <f t="shared" si="6"/>
        <v>#VALUE!</v>
      </c>
      <c r="AG57" s="187" t="e">
        <f t="shared" si="15"/>
        <v>#VALUE!</v>
      </c>
      <c r="AH57" s="187" t="e">
        <f t="shared" si="7"/>
        <v>#VALUE!</v>
      </c>
      <c r="AI57" s="188" t="e">
        <f t="shared" ca="1" si="8"/>
        <v>#VALUE!</v>
      </c>
      <c r="AJ57" s="62"/>
      <c r="AK57" s="62"/>
      <c r="AL57" s="62"/>
      <c r="AM57" s="62"/>
    </row>
    <row r="58" spans="1:54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125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125"/>
      <c r="AA58" s="77"/>
      <c r="AB58" s="77"/>
      <c r="AC58" s="184"/>
      <c r="AD58" s="184"/>
      <c r="AE58" s="182"/>
      <c r="AF58" s="186"/>
      <c r="AG58" s="187"/>
      <c r="AH58" s="187"/>
      <c r="AI58" s="188" t="e">
        <f t="shared" si="8"/>
        <v>#DIV/0!</v>
      </c>
      <c r="AJ58" s="62"/>
      <c r="AK58" s="62"/>
      <c r="AL58" s="62"/>
      <c r="AM58" s="62"/>
    </row>
    <row r="59" spans="1:54" x14ac:dyDescent="0.25">
      <c r="A59" s="31"/>
      <c r="B59" s="31"/>
      <c r="C59" s="1">
        <f ca="1">IF(ISERROR(D59),"",IF(D59="","",MAX($C$12:C58)+1))</f>
        <v>7</v>
      </c>
      <c r="D59" s="104" t="s">
        <v>98</v>
      </c>
      <c r="E59" s="104"/>
      <c r="F59" s="127">
        <f ca="1">AVERAGE(G59:W59)</f>
        <v>1.5016274509803917</v>
      </c>
      <c r="G59" s="127">
        <f>AVERAGE(G13:G58)</f>
        <v>2.4966666666666666</v>
      </c>
      <c r="H59" s="127">
        <f>AVERAGE(H13:H58)</f>
        <v>2.8716666666666666</v>
      </c>
      <c r="I59" s="127">
        <f>AVERAGE(I13:I58)</f>
        <v>2.2749999999999999</v>
      </c>
      <c r="J59" s="127">
        <f t="shared" ref="J59:V59" si="27">AVERAGE(J13:J58)</f>
        <v>1.9333333333333329</v>
      </c>
      <c r="K59" s="127">
        <f t="shared" ca="1" si="27"/>
        <v>1.8483333333333334</v>
      </c>
      <c r="L59" s="127">
        <f t="shared" ca="1" si="27"/>
        <v>1.875</v>
      </c>
      <c r="M59" s="127">
        <f t="shared" ca="1" si="27"/>
        <v>1.7533333333333332</v>
      </c>
      <c r="N59" s="127">
        <f t="shared" ca="1" si="27"/>
        <v>1.5650000000000002</v>
      </c>
      <c r="O59" s="127">
        <f t="shared" ca="1" si="27"/>
        <v>1.67</v>
      </c>
      <c r="P59" s="127">
        <f t="shared" ca="1" si="27"/>
        <v>1.3333333333333333</v>
      </c>
      <c r="Q59" s="127">
        <f t="shared" ca="1" si="27"/>
        <v>1.2486666666666666</v>
      </c>
      <c r="R59" s="127">
        <f t="shared" ca="1" si="27"/>
        <v>1.0803333333333334</v>
      </c>
      <c r="S59" s="127">
        <f t="shared" ca="1" si="27"/>
        <v>1.0108333333333335</v>
      </c>
      <c r="T59" s="127">
        <f t="shared" ca="1" si="27"/>
        <v>0.86350000000000016</v>
      </c>
      <c r="U59" s="127">
        <f t="shared" ca="1" si="27"/>
        <v>0.89716666666666656</v>
      </c>
      <c r="V59" s="127">
        <f t="shared" ca="1" si="27"/>
        <v>0.3163333333333333</v>
      </c>
      <c r="W59" s="127">
        <f ca="1">AVERAGE(W13:W58)</f>
        <v>0.48916666666666669</v>
      </c>
      <c r="X59" s="108">
        <f ca="1">AVERAGE(X13:X58)</f>
        <v>4.8082519691457028E-2</v>
      </c>
      <c r="Y59" s="108">
        <f ca="1">AVERAGE(Y13:Y58)</f>
        <v>5.6780416427665625E-2</v>
      </c>
      <c r="Z59" s="128"/>
      <c r="AA59" s="128"/>
      <c r="AB59" s="128"/>
      <c r="AC59" s="128"/>
      <c r="AD59" s="128"/>
      <c r="AE59" s="62"/>
      <c r="AF59" s="62"/>
      <c r="AG59" s="62"/>
      <c r="AH59" s="62"/>
      <c r="AI59" s="62"/>
      <c r="AJ59" s="62"/>
      <c r="AK59" s="62"/>
      <c r="AL59" s="62"/>
      <c r="AM59" s="62"/>
    </row>
    <row r="60" spans="1:54" x14ac:dyDescent="0.25">
      <c r="A60" s="31"/>
      <c r="B60" s="31"/>
      <c r="C60" s="1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125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</row>
    <row r="61" spans="1:54" x14ac:dyDescent="0.25">
      <c r="A61" s="31"/>
      <c r="B61" s="31"/>
      <c r="C61" s="1">
        <f ca="1">C59+1</f>
        <v>8</v>
      </c>
      <c r="D61" s="104" t="s">
        <v>446</v>
      </c>
      <c r="E61" s="104"/>
      <c r="F61" s="108">
        <f ca="1">AVERAGE(G61:V61)</f>
        <v>0.164239279855039</v>
      </c>
      <c r="G61" s="108">
        <f>G59/H59-1</f>
        <v>-0.130586186883343</v>
      </c>
      <c r="H61" s="108">
        <f>H59/I59-1</f>
        <v>0.26227106227106223</v>
      </c>
      <c r="I61" s="108">
        <f>I59/J59-1</f>
        <v>0.1767241379310347</v>
      </c>
      <c r="J61" s="108">
        <f t="shared" ref="J61:U61" ca="1" si="28">J59/K59-1</f>
        <v>4.598737601442715E-2</v>
      </c>
      <c r="K61" s="108">
        <f t="shared" ca="1" si="28"/>
        <v>-1.4222222222222247E-2</v>
      </c>
      <c r="L61" s="108">
        <f t="shared" ca="1" si="28"/>
        <v>6.9391634980988659E-2</v>
      </c>
      <c r="M61" s="108">
        <f t="shared" ca="1" si="28"/>
        <v>0.12034078807241722</v>
      </c>
      <c r="N61" s="108">
        <f t="shared" ca="1" si="28"/>
        <v>-6.2874251497005873E-2</v>
      </c>
      <c r="O61" s="108">
        <f t="shared" ca="1" si="28"/>
        <v>0.25249999999999995</v>
      </c>
      <c r="P61" s="108">
        <f t="shared" ca="1" si="28"/>
        <v>6.780565936999472E-2</v>
      </c>
      <c r="Q61" s="108">
        <f t="shared" ca="1" si="28"/>
        <v>0.15581610614008001</v>
      </c>
      <c r="R61" s="108">
        <f t="shared" ca="1" si="28"/>
        <v>6.8755152514426987E-2</v>
      </c>
      <c r="S61" s="108">
        <f t="shared" ca="1" si="28"/>
        <v>0.17062343176992845</v>
      </c>
      <c r="T61" s="108">
        <f t="shared" ca="1" si="28"/>
        <v>-3.7525543377298631E-2</v>
      </c>
      <c r="U61" s="108">
        <f t="shared" ca="1" si="28"/>
        <v>1.8361433087460486</v>
      </c>
      <c r="V61" s="108">
        <f ca="1">V59/W59-1</f>
        <v>-0.3533219761499149</v>
      </c>
    </row>
    <row r="62" spans="1:54" s="97" customFormat="1" x14ac:dyDescent="0.25">
      <c r="C62" s="10"/>
      <c r="D62" s="10"/>
      <c r="E62" s="10"/>
      <c r="F62" s="12"/>
      <c r="G62" s="12"/>
      <c r="H62" s="12"/>
      <c r="I62" s="12"/>
      <c r="J62" s="12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"/>
      <c r="Y62" s="77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1:54" s="97" customFormat="1" x14ac:dyDescent="0.25">
      <c r="B63" s="100"/>
      <c r="C63" s="101"/>
      <c r="E63" s="20"/>
      <c r="F63" s="99"/>
      <c r="G63" s="99"/>
      <c r="H63" s="99"/>
      <c r="I63" s="99"/>
      <c r="J63" s="99"/>
      <c r="K63" s="99"/>
      <c r="L63" s="99"/>
      <c r="M63" s="99"/>
      <c r="N63" s="17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</row>
    <row r="64" spans="1:54" s="97" customFormat="1" x14ac:dyDescent="0.25">
      <c r="B64" s="100"/>
      <c r="C64" s="101"/>
      <c r="E64" s="20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</row>
    <row r="65" spans="1:39" s="97" customFormat="1" x14ac:dyDescent="0.25">
      <c r="B65" s="100"/>
      <c r="C65" s="101"/>
      <c r="D65" s="18"/>
      <c r="E65" s="88"/>
      <c r="F65"/>
      <c r="G65"/>
      <c r="H65"/>
      <c r="I65"/>
      <c r="J65"/>
      <c r="K65"/>
      <c r="L65"/>
      <c r="M65"/>
      <c r="N65" s="99"/>
      <c r="O65" s="99"/>
      <c r="P65" s="99"/>
      <c r="Q65" s="99"/>
      <c r="R65" s="99"/>
      <c r="S65" s="180"/>
      <c r="T65" s="99"/>
      <c r="U65" s="99"/>
      <c r="V65" s="99"/>
      <c r="W65" s="99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 s="97" customFormat="1" x14ac:dyDescent="0.25">
      <c r="B66" s="100"/>
      <c r="C66" s="1"/>
      <c r="D66" s="20" t="s">
        <v>107</v>
      </c>
      <c r="E66"/>
      <c r="F66"/>
      <c r="G66"/>
      <c r="H66"/>
      <c r="I66"/>
      <c r="J66"/>
      <c r="K66"/>
      <c r="L66"/>
      <c r="M66"/>
      <c r="N66" s="99"/>
      <c r="O66" s="99"/>
      <c r="P66" s="99"/>
      <c r="Q66" s="99"/>
      <c r="R66" s="99"/>
      <c r="S66" s="180"/>
      <c r="T66" s="99"/>
      <c r="U66" s="99"/>
      <c r="V66" s="99"/>
      <c r="W66" s="99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</row>
    <row r="67" spans="1:39" s="97" customFormat="1" ht="16.2" x14ac:dyDescent="0.25">
      <c r="B67" s="100"/>
      <c r="C67"/>
      <c r="D67" s="76">
        <v>1</v>
      </c>
      <c r="E67" s="21" t="str">
        <f>'CCW-1, Page 1W'!E174</f>
        <v>Data for years 2019 and prior were retreived from the Value Line Investment Survey Investment Analyzer Software, downloaded on June 18, 2021.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 s="2"/>
      <c r="T67"/>
      <c r="U67"/>
      <c r="V67"/>
      <c r="W67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</row>
    <row r="68" spans="1:39" s="97" customFormat="1" ht="16.2" x14ac:dyDescent="0.25">
      <c r="B68" s="100"/>
      <c r="C68"/>
      <c r="D68" s="76"/>
      <c r="E68" s="21" t="str">
        <f>'CCW-1, Page 1W'!E175</f>
        <v>Data for the year 2020 was retrieved from Value Line Investment Surveys, April 9, 2021.</v>
      </c>
      <c r="F68"/>
      <c r="G68"/>
      <c r="H68"/>
      <c r="I68"/>
      <c r="J68"/>
      <c r="K68"/>
      <c r="L68"/>
      <c r="M68"/>
      <c r="N68"/>
      <c r="O68"/>
      <c r="P68"/>
      <c r="Q68"/>
      <c r="R68"/>
      <c r="S68" s="2"/>
      <c r="T68"/>
      <c r="U68"/>
      <c r="V68"/>
      <c r="W6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</row>
    <row r="69" spans="1:39" s="97" customFormat="1" ht="16.2" x14ac:dyDescent="0.25">
      <c r="B69" s="100"/>
      <c r="C69"/>
      <c r="D69" s="76"/>
      <c r="E69" s="21" t="str">
        <f>'CCW-1, Page 1W'!E176</f>
        <v>Data for the year 2021 was retrieved from Value Line Investment Surveys, April 8, 2022.</v>
      </c>
      <c r="F69"/>
      <c r="G69"/>
      <c r="H69"/>
      <c r="I69"/>
      <c r="J69"/>
      <c r="K69"/>
      <c r="L69"/>
      <c r="M69"/>
      <c r="N69"/>
      <c r="O69"/>
      <c r="P69"/>
      <c r="Q69"/>
      <c r="R69"/>
      <c r="S69" s="2"/>
      <c r="T69"/>
      <c r="U69"/>
      <c r="V69"/>
      <c r="W69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</row>
    <row r="70" spans="1:39" ht="16.2" x14ac:dyDescent="0.25">
      <c r="A70" s="31"/>
      <c r="B70" s="31"/>
      <c r="D70" s="76">
        <v>2</v>
      </c>
      <c r="E70" s="21" t="str">
        <f>'CCW-1, Page 1W'!E177</f>
        <v>The Value Line Investment Survey, April 7, 2023.</v>
      </c>
    </row>
    <row r="71" spans="1:39" x14ac:dyDescent="0.25">
      <c r="A71" s="31"/>
      <c r="B71" s="31"/>
      <c r="D71" s="20"/>
    </row>
  </sheetData>
  <mergeCells count="5">
    <mergeCell ref="C1:W1"/>
    <mergeCell ref="C4:W4"/>
    <mergeCell ref="C5:W5"/>
    <mergeCell ref="F8:W8"/>
    <mergeCell ref="D10:E10"/>
  </mergeCells>
  <printOptions horizontalCentered="1"/>
  <pageMargins left="0.7" right="0.7" top="1" bottom="0.75" header="0.55000000000000004" footer="0.51"/>
  <pageSetup scale="54" orientation="landscape" useFirstPageNumber="1" r:id="rId1"/>
  <headerFooter>
    <oddHeader>&amp;R&amp;"Arial,Bold"Direct Exhibit CCW-1
Page 4 of 12</oddHeader>
  </headerFooter>
  <ignoredErrors>
    <ignoredError sqref="J15" formula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Z73"/>
  <sheetViews>
    <sheetView topLeftCell="C1" zoomScale="80" zoomScaleNormal="80" workbookViewId="0">
      <selection activeCell="E177" sqref="E177"/>
    </sheetView>
  </sheetViews>
  <sheetFormatPr defaultRowHeight="13.8" x14ac:dyDescent="0.25"/>
  <cols>
    <col min="1" max="2" width="8" hidden="1" customWidth="1"/>
    <col min="3" max="3" width="11" customWidth="1"/>
    <col min="4" max="4" width="4.69921875" bestFit="1" customWidth="1"/>
    <col min="5" max="5" width="2.09765625" customWidth="1"/>
    <col min="6" max="6" width="18.69921875" customWidth="1"/>
    <col min="7" max="11" width="9" customWidth="1"/>
    <col min="12" max="12" width="3.59765625" customWidth="1"/>
    <col min="13" max="13" width="10.09765625" bestFit="1" customWidth="1"/>
    <col min="14" max="14" width="11" customWidth="1"/>
    <col min="15" max="22" width="9" customWidth="1"/>
    <col min="23" max="23" width="9" hidden="1" customWidth="1"/>
    <col min="24" max="26" width="0" hidden="1" customWidth="1"/>
  </cols>
  <sheetData>
    <row r="1" spans="1:26" ht="28.2" x14ac:dyDescent="0.5">
      <c r="C1" s="277" t="str">
        <f>'CCW-1, Page 4W'!C1:W1</f>
        <v>Ameren Illinois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x14ac:dyDescent="0.25">
      <c r="D2" s="4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7"/>
      <c r="T2" s="7"/>
      <c r="U2" s="7"/>
      <c r="V2" s="7"/>
      <c r="W2" s="7"/>
      <c r="X2" s="7"/>
      <c r="Y2" s="7"/>
    </row>
    <row r="3" spans="1:26" x14ac:dyDescent="0.25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7"/>
      <c r="S3" s="7"/>
      <c r="T3" s="7"/>
      <c r="U3" s="7"/>
      <c r="V3" s="7"/>
      <c r="W3" s="7"/>
      <c r="X3" s="7"/>
      <c r="Y3" s="7"/>
    </row>
    <row r="4" spans="1:26" ht="21" x14ac:dyDescent="0.4">
      <c r="D4" s="278" t="s">
        <v>499</v>
      </c>
      <c r="E4" s="278"/>
      <c r="F4" s="278"/>
      <c r="G4" s="278"/>
      <c r="H4" s="278"/>
      <c r="I4" s="278"/>
      <c r="J4" s="278"/>
      <c r="K4" s="278"/>
      <c r="L4" s="278"/>
      <c r="M4" s="278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7.399999999999999" x14ac:dyDescent="0.3">
      <c r="D5" s="279" t="s">
        <v>273</v>
      </c>
      <c r="E5" s="279"/>
      <c r="F5" s="279"/>
      <c r="G5" s="279"/>
      <c r="H5" s="279"/>
      <c r="I5" s="279"/>
      <c r="J5" s="279"/>
      <c r="K5" s="279"/>
      <c r="L5" s="279"/>
      <c r="M5" s="279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</row>
    <row r="6" spans="1:26" x14ac:dyDescent="0.25"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6" x14ac:dyDescent="0.25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 spans="1:26" x14ac:dyDescent="0.25">
      <c r="A8" s="31"/>
      <c r="B8" s="31"/>
      <c r="C8" s="31"/>
      <c r="E8" s="119"/>
      <c r="F8" s="119"/>
      <c r="G8" s="119"/>
      <c r="H8" s="119"/>
      <c r="I8" s="119"/>
      <c r="J8" s="119"/>
      <c r="K8" s="119"/>
      <c r="L8" s="119"/>
      <c r="M8" s="119"/>
    </row>
    <row r="9" spans="1:26" x14ac:dyDescent="0.25">
      <c r="A9" s="31"/>
      <c r="B9" s="31"/>
      <c r="C9" s="31"/>
      <c r="D9" s="6"/>
      <c r="E9" s="6"/>
      <c r="F9" s="19"/>
      <c r="G9" s="281" t="s">
        <v>374</v>
      </c>
      <c r="H9" s="281"/>
      <c r="I9" s="281"/>
      <c r="J9" s="281"/>
      <c r="K9" s="281"/>
      <c r="L9" s="281"/>
      <c r="M9" s="28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 spans="1:26" ht="16.2" x14ac:dyDescent="0.25">
      <c r="A10" s="31"/>
      <c r="B10" s="31"/>
      <c r="C10" s="31"/>
      <c r="D10" s="6"/>
      <c r="E10" s="7"/>
      <c r="F10" s="7"/>
      <c r="G10" s="8"/>
      <c r="H10" s="8"/>
      <c r="I10" s="8"/>
      <c r="J10" s="8"/>
      <c r="K10" s="8"/>
      <c r="L10" s="8"/>
      <c r="M10" s="8" t="s">
        <v>545</v>
      </c>
      <c r="N10" s="8"/>
      <c r="O10" s="8"/>
      <c r="P10" s="8"/>
      <c r="Q10" s="8"/>
      <c r="R10" s="8"/>
      <c r="S10" s="7"/>
      <c r="T10" s="7"/>
      <c r="U10" s="7"/>
      <c r="V10" s="7"/>
      <c r="W10" s="7"/>
      <c r="X10" s="7"/>
      <c r="Y10" s="7"/>
    </row>
    <row r="11" spans="1:26" ht="16.2" x14ac:dyDescent="0.25">
      <c r="A11" s="31"/>
      <c r="B11" s="31"/>
      <c r="C11" s="31"/>
      <c r="D11" s="9" t="s">
        <v>96</v>
      </c>
      <c r="E11" s="275" t="s">
        <v>97</v>
      </c>
      <c r="F11" s="275"/>
      <c r="G11" s="10" t="s">
        <v>538</v>
      </c>
      <c r="H11" s="10" t="s">
        <v>552</v>
      </c>
      <c r="I11" s="10" t="s">
        <v>553</v>
      </c>
      <c r="J11" s="10" t="s">
        <v>551</v>
      </c>
      <c r="K11" s="10" t="s">
        <v>544</v>
      </c>
      <c r="L11" s="40"/>
      <c r="M11" s="40" t="s">
        <v>370</v>
      </c>
      <c r="N11" s="40"/>
      <c r="O11" s="40"/>
      <c r="P11" s="40"/>
      <c r="Q11" s="40"/>
      <c r="R11" s="40"/>
      <c r="S11" s="40"/>
      <c r="T11" s="40"/>
      <c r="U11" s="40"/>
      <c r="V11" s="40"/>
      <c r="W11" s="40">
        <v>2005</v>
      </c>
      <c r="X11" s="40"/>
      <c r="Y11" s="40"/>
      <c r="Z11" s="40"/>
    </row>
    <row r="12" spans="1:26" x14ac:dyDescent="0.25">
      <c r="A12" s="41"/>
      <c r="B12" s="41"/>
      <c r="C12" s="41"/>
      <c r="D12" s="9"/>
      <c r="E12" s="11"/>
      <c r="F12" s="11"/>
      <c r="G12" s="12">
        <f>0-1</f>
        <v>-1</v>
      </c>
      <c r="H12" s="12">
        <f>+G12-1</f>
        <v>-2</v>
      </c>
      <c r="I12" s="12">
        <f>+H12-1</f>
        <v>-3</v>
      </c>
      <c r="J12" s="12">
        <f>+I12-1</f>
        <v>-4</v>
      </c>
      <c r="K12" s="12">
        <f>+J12-1</f>
        <v>-5</v>
      </c>
      <c r="L12" s="12"/>
      <c r="M12" s="12">
        <f>K12-1</f>
        <v>-6</v>
      </c>
      <c r="N12" s="12"/>
      <c r="O12" s="12"/>
      <c r="P12" s="12"/>
      <c r="Q12" s="12"/>
      <c r="R12" s="12"/>
      <c r="S12" s="12"/>
      <c r="T12" s="12"/>
      <c r="U12" s="12"/>
      <c r="V12" s="12"/>
      <c r="W12" s="12">
        <f>+V12-1</f>
        <v>-1</v>
      </c>
      <c r="X12" s="12"/>
      <c r="Y12" s="12"/>
      <c r="Z12" s="12"/>
    </row>
    <row r="13" spans="1:26" x14ac:dyDescent="0.25">
      <c r="A13" s="42"/>
      <c r="B13" s="43"/>
      <c r="C13" s="43"/>
      <c r="D13" s="6"/>
      <c r="F13" s="22"/>
      <c r="G13" s="3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 t="e">
        <f ca="1">MATCH(VALUE(LEFT(W11,4)),OFFSET(CF_CAP_WP,-1,0,1,),0)</f>
        <v>#N/A</v>
      </c>
      <c r="X13" s="16" t="e">
        <f ca="1">MATCH(VALUE(LEFT(X11,4)),OFFSET(CF_CAP_WP,-1,0,1,),0)</f>
        <v>#VALUE!</v>
      </c>
      <c r="Y13" s="16" t="e">
        <f ca="1">MATCH(VALUE(LEFT(Y11,4)),OFFSET(CF_CAP_WP,-1,0,1,),0)</f>
        <v>#VALUE!</v>
      </c>
      <c r="Z13" s="16" t="e">
        <f ca="1">MATCH(VALUE(LEFT(Z11,4)),OFFSET(CF_CAP_WP,-1,0,1,),0)</f>
        <v>#VALUE!</v>
      </c>
    </row>
    <row r="14" spans="1:26" x14ac:dyDescent="0.25">
      <c r="A14" s="44" t="s">
        <v>165</v>
      </c>
      <c r="B14" s="45">
        <f t="shared" ref="B14:B58" si="0">MATCH(A14,CapCashTic,0)</f>
        <v>8</v>
      </c>
      <c r="C14" s="45"/>
      <c r="D14" s="1">
        <f ca="1">IF(ISERROR(E14),"",IF(E14="","",MAX($D$12:D13)+1))</f>
        <v>1</v>
      </c>
      <c r="E14" t="str">
        <f t="shared" ref="E14:E58" ca="1" si="1">VLOOKUP(A14,LUCurYr,2,FALSE)</f>
        <v>Amer. States Water</v>
      </c>
      <c r="F14" s="22"/>
      <c r="G14" s="117">
        <f t="shared" ref="G14:G58" si="2">IFERROR(INDEX(CapCash,$B14,7)/INDEX(CapCash,$B14,3),"N/A")</f>
        <v>0.95817120622568097</v>
      </c>
      <c r="H14" s="117">
        <f t="shared" ref="H14:H58" si="3">IFERROR(INDEX(CapCash,$B14,8)/INDEX(CapCash,$B14,4),"N/A")</f>
        <v>0.82399070577984324</v>
      </c>
      <c r="I14" s="117">
        <f t="shared" ref="I14:I58" si="4">IFERROR(INDEX(CapCash,$B14,9)/INDEX(CapCash,$B14,5),"N/A")</f>
        <v>0.88405797101449268</v>
      </c>
      <c r="J14" s="117">
        <f>IFERROR(VLOOKUP($A14,'2022 Data (WP)'!$D$9:$AA$70,21,0),"N/A")</f>
        <v>0.72222222222222221</v>
      </c>
      <c r="K14" s="117">
        <f>IFERROR(VLOOKUP($A14,'2022 Data (WP)'!$D$9:$AA$70,23,0),"N/A")</f>
        <v>0.84210526315789469</v>
      </c>
      <c r="L14" s="117"/>
      <c r="M14" s="117">
        <f>IFERROR(VLOOKUP($A14,'2022 Data (WP)'!$D$9:$AA$70,24,0),"N/A")</f>
        <v>1.1882352941176471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17"/>
      <c r="Y14" s="17"/>
      <c r="Z14" s="17"/>
    </row>
    <row r="15" spans="1:26" x14ac:dyDescent="0.25">
      <c r="A15" s="44" t="s">
        <v>167</v>
      </c>
      <c r="B15" s="45">
        <f t="shared" si="0"/>
        <v>9</v>
      </c>
      <c r="C15" s="45"/>
      <c r="D15" s="1">
        <f ca="1">IF(ISERROR(E15),"",IF(E15="","",MAX($D$12:D14)+1))</f>
        <v>2</v>
      </c>
      <c r="E15" t="str">
        <f t="shared" ca="1" si="1"/>
        <v>Amer. Water Works</v>
      </c>
      <c r="F15" s="22"/>
      <c r="G15" s="117">
        <f t="shared" si="2"/>
        <v>0.63962170233947235</v>
      </c>
      <c r="H15" s="117">
        <f t="shared" si="3"/>
        <v>0.7006151742993848</v>
      </c>
      <c r="I15" s="117">
        <f t="shared" si="4"/>
        <v>0.73770491803278682</v>
      </c>
      <c r="J15" s="117">
        <f>IFERROR(VLOOKUP($A15,'2022 Data (WP)'!$D$9:$AA$70,21,0),"N/A")</f>
        <v>0.63974663499604112</v>
      </c>
      <c r="K15" s="117">
        <f>IFERROR(VLOOKUP($A15,'2022 Data (WP)'!$D$9:$AA$70,23,0),"N/A")</f>
        <v>0.68333333333333324</v>
      </c>
      <c r="L15" s="117"/>
      <c r="M15" s="117">
        <f>IFERROR(VLOOKUP($A15,'2022 Data (WP)'!$D$9:$AA$70,24,0),"N/A")</f>
        <v>0.88695652173913042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17"/>
      <c r="Y15" s="17"/>
      <c r="Z15" s="17"/>
    </row>
    <row r="16" spans="1:26" x14ac:dyDescent="0.25">
      <c r="A16" s="44" t="s">
        <v>533</v>
      </c>
      <c r="B16" s="45">
        <v>12</v>
      </c>
      <c r="C16" s="45"/>
      <c r="D16" s="1">
        <f ca="1">IF(ISERROR(E16),"",IF(E16="","",MAX($D$12:D15)+1))</f>
        <v>3</v>
      </c>
      <c r="E16" t="s">
        <v>548</v>
      </c>
      <c r="F16" s="22"/>
      <c r="G16" s="117">
        <f t="shared" si="2"/>
        <v>0.78736059479553899</v>
      </c>
      <c r="H16" s="117">
        <f t="shared" si="3"/>
        <v>0.68318965517241381</v>
      </c>
      <c r="I16" s="117">
        <f t="shared" si="4"/>
        <v>0.83928571428571441</v>
      </c>
      <c r="J16" s="117">
        <f>IFERROR(VLOOKUP($A16,'2022 Data (WP)'!$D$9:$AA$70,21,0),"N/A")</f>
        <v>0.73945409429280395</v>
      </c>
      <c r="K16" s="117">
        <f>IFERROR(VLOOKUP($A16,'2022 Data (WP)'!$D$9:$AA$70,23,0),"N/A")</f>
        <v>0.73809523809523814</v>
      </c>
      <c r="L16" s="117"/>
      <c r="M16" s="117">
        <f>IFERROR(VLOOKUP($A16,'2022 Data (WP)'!$D$9:$AA$70,24,0),"N/A")</f>
        <v>1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17"/>
      <c r="Y16" s="17"/>
      <c r="Z16" s="17"/>
    </row>
    <row r="17" spans="1:26" x14ac:dyDescent="0.25">
      <c r="A17" s="44" t="s">
        <v>177</v>
      </c>
      <c r="B17" s="45">
        <f t="shared" si="0"/>
        <v>18</v>
      </c>
      <c r="C17" s="45"/>
      <c r="D17" s="1">
        <f ca="1">IF(ISERROR(E17),"",IF(E17="","",MAX($D$12:D16)+1))</f>
        <v>4</v>
      </c>
      <c r="E17" t="str">
        <f t="shared" ca="1" si="1"/>
        <v>California Water</v>
      </c>
      <c r="F17" s="22"/>
      <c r="G17" s="117">
        <f t="shared" si="2"/>
        <v>0.55547323578440455</v>
      </c>
      <c r="H17" s="117">
        <f t="shared" si="3"/>
        <v>0.54979656819387945</v>
      </c>
      <c r="I17" s="117">
        <f t="shared" si="4"/>
        <v>0.83544303797468344</v>
      </c>
      <c r="J17" s="117">
        <f>IFERROR(VLOOKUP($A17,'2022 Data (WP)'!$D$9:$AA$70,21,0),"N/A")</f>
        <v>0.64237288135593218</v>
      </c>
      <c r="K17" s="117">
        <f>IFERROR(VLOOKUP($A17,'2022 Data (WP)'!$D$9:$AA$70,23,0),"N/A")</f>
        <v>0.625</v>
      </c>
      <c r="L17" s="117"/>
      <c r="M17" s="117">
        <f>IFERROR(VLOOKUP($A17,'2022 Data (WP)'!$D$9:$AA$70,24,0),"N/A")</f>
        <v>0.67441860465116277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17"/>
      <c r="Y17" s="17"/>
      <c r="Z17" s="17"/>
    </row>
    <row r="18" spans="1:26" x14ac:dyDescent="0.25">
      <c r="A18" s="44" t="s">
        <v>188</v>
      </c>
      <c r="B18" s="45">
        <f t="shared" si="0"/>
        <v>39</v>
      </c>
      <c r="C18" s="45"/>
      <c r="D18" s="1">
        <f ca="1">IF(ISERROR(E18),"",IF(E18="","",MAX($D$12:D17)+1))</f>
        <v>5</v>
      </c>
      <c r="E18" t="str">
        <f t="shared" ca="1" si="1"/>
        <v>Middlesex Water</v>
      </c>
      <c r="F18" s="22"/>
      <c r="G18" s="117">
        <f t="shared" si="2"/>
        <v>0.72724317295188556</v>
      </c>
      <c r="H18" s="117">
        <f t="shared" si="3"/>
        <v>0.65665529010238921</v>
      </c>
      <c r="I18" s="117">
        <f t="shared" si="4"/>
        <v>0.84285714285714286</v>
      </c>
      <c r="J18" s="117">
        <f>IFERROR(VLOOKUP($A18,'2022 Data (WP)'!$D$9:$AA$70,21,0),"N/A")</f>
        <v>0.71428571428571441</v>
      </c>
      <c r="K18" s="117">
        <f>IFERROR(VLOOKUP($A18,'2022 Data (WP)'!$D$9:$AA$70,23,0),"N/A")</f>
        <v>0.70476190476190481</v>
      </c>
      <c r="L18" s="117"/>
      <c r="M18" s="117">
        <f>IFERROR(VLOOKUP($A18,'2022 Data (WP)'!$D$9:$AA$70,24,0),"N/A")</f>
        <v>0.68333333333333324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17"/>
      <c r="Y18" s="17"/>
      <c r="Z18" s="17"/>
    </row>
    <row r="19" spans="1:26" x14ac:dyDescent="0.25">
      <c r="A19" s="44" t="s">
        <v>196</v>
      </c>
      <c r="B19" s="45">
        <f t="shared" si="0"/>
        <v>56</v>
      </c>
      <c r="C19" s="45"/>
      <c r="D19" s="1">
        <f ca="1">IF(ISERROR(E19),"",IF(E19="","",MAX($D$12:D18)+1))</f>
        <v>6</v>
      </c>
      <c r="E19" t="str">
        <f t="shared" ca="1" si="1"/>
        <v>SJW Corp.</v>
      </c>
      <c r="F19" s="22"/>
      <c r="G19" s="117">
        <f t="shared" si="2"/>
        <v>0.72109030837004406</v>
      </c>
      <c r="H19" s="117">
        <f t="shared" si="3"/>
        <v>0.64641101278269419</v>
      </c>
      <c r="I19" s="117">
        <f t="shared" si="4"/>
        <v>0.78</v>
      </c>
      <c r="J19" s="117">
        <f>IFERROR(VLOOKUP($A19,'2022 Data (WP)'!$D$9:$AA$70,21,0),"N/A")</f>
        <v>0.73757961783439496</v>
      </c>
      <c r="K19" s="117">
        <f>IFERROR(VLOOKUP($A19,'2022 Data (WP)'!$D$9:$AA$70,23,0),"N/A")</f>
        <v>0.53125</v>
      </c>
      <c r="L19" s="117"/>
      <c r="M19" s="117">
        <f>IFERROR(VLOOKUP($A19,'2022 Data (WP)'!$D$9:$AA$70,24,0),"N/A")</f>
        <v>0.56000000000000005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17"/>
      <c r="Y19" s="17"/>
      <c r="Z19" s="17"/>
    </row>
    <row r="20" spans="1:26" hidden="1" x14ac:dyDescent="0.25">
      <c r="A20" s="44"/>
      <c r="B20" s="45" t="e">
        <f t="shared" si="0"/>
        <v>#N/A</v>
      </c>
      <c r="C20" s="45"/>
      <c r="D20" s="1" t="str">
        <f>IF(ISERROR(E20),"",IF(E20="","",MAX($D$12:D19)+1))</f>
        <v/>
      </c>
      <c r="E20" t="e">
        <f t="shared" si="1"/>
        <v>#N/A</v>
      </c>
      <c r="F20" s="22"/>
      <c r="G20" s="117" t="str">
        <f t="shared" si="2"/>
        <v>N/A</v>
      </c>
      <c r="H20" s="117" t="str">
        <f t="shared" si="3"/>
        <v>N/A</v>
      </c>
      <c r="I20" s="117" t="str">
        <f t="shared" si="4"/>
        <v>N/A</v>
      </c>
      <c r="J20" s="117" t="str">
        <f>IFERROR(VLOOKUP($A20,'2022 Data (WP)'!$D$9:$AA$70,21,0),"N/A")</f>
        <v>N/A</v>
      </c>
      <c r="K20" s="117" t="str">
        <f>IFERROR(VLOOKUP($A20,'2022 Data (WP)'!$D$9:$AA$70,23,0),"N/A")</f>
        <v>N/A</v>
      </c>
      <c r="L20" s="117"/>
      <c r="M20" s="117" t="str">
        <f>IFERROR(VLOOKUP($A20,'2022 Data (WP)'!$D$9:$AA$70,24,0),"N/A")</f>
        <v>N/A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17"/>
      <c r="Y20" s="17"/>
      <c r="Z20" s="17"/>
    </row>
    <row r="21" spans="1:26" hidden="1" x14ac:dyDescent="0.25">
      <c r="A21" s="44"/>
      <c r="B21" s="45" t="e">
        <f t="shared" si="0"/>
        <v>#N/A</v>
      </c>
      <c r="C21" s="45"/>
      <c r="D21" s="1" t="str">
        <f>IF(ISERROR(E21),"",IF(E21="","",MAX($D$12:D20)+1))</f>
        <v/>
      </c>
      <c r="E21" t="e">
        <f t="shared" si="1"/>
        <v>#N/A</v>
      </c>
      <c r="F21" s="22"/>
      <c r="G21" s="117" t="str">
        <f t="shared" si="2"/>
        <v>N/A</v>
      </c>
      <c r="H21" s="117" t="str">
        <f t="shared" si="3"/>
        <v>N/A</v>
      </c>
      <c r="I21" s="117" t="str">
        <f t="shared" si="4"/>
        <v>N/A</v>
      </c>
      <c r="J21" s="117" t="str">
        <f>IFERROR(VLOOKUP($A21,'2022 Data (WP)'!$D$9:$AA$70,21,0),"N/A")</f>
        <v>N/A</v>
      </c>
      <c r="K21" s="117" t="str">
        <f>IFERROR(VLOOKUP($A21,'2022 Data (WP)'!$D$9:$AA$70,23,0),"N/A")</f>
        <v>N/A</v>
      </c>
      <c r="L21" s="117"/>
      <c r="M21" s="117" t="str">
        <f>IFERROR(VLOOKUP($A21,'2022 Data (WP)'!$D$9:$AA$70,24,0),"N/A")</f>
        <v>N/A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17"/>
      <c r="Y21" s="17"/>
      <c r="Z21" s="17"/>
    </row>
    <row r="22" spans="1:26" hidden="1" x14ac:dyDescent="0.25">
      <c r="A22" s="44"/>
      <c r="B22" s="45" t="e">
        <f t="shared" si="0"/>
        <v>#N/A</v>
      </c>
      <c r="C22" s="45"/>
      <c r="D22" s="1"/>
      <c r="E22" t="e">
        <f t="shared" si="1"/>
        <v>#N/A</v>
      </c>
      <c r="F22" s="22"/>
      <c r="G22" s="117" t="str">
        <f t="shared" si="2"/>
        <v>N/A</v>
      </c>
      <c r="H22" s="117" t="str">
        <f t="shared" si="3"/>
        <v>N/A</v>
      </c>
      <c r="I22" s="117" t="str">
        <f t="shared" si="4"/>
        <v>N/A</v>
      </c>
      <c r="J22" s="117" t="str">
        <f>IFERROR(VLOOKUP($A22,'2022 Data (WP)'!$D$9:$AA$70,21,0),"N/A")</f>
        <v>N/A</v>
      </c>
      <c r="K22" s="117" t="str">
        <f>IFERROR(VLOOKUP($A22,'2022 Data (WP)'!$D$9:$AA$70,23,0),"N/A")</f>
        <v>N/A</v>
      </c>
      <c r="L22" s="117"/>
      <c r="M22" s="117" t="str">
        <f>IFERROR(VLOOKUP($A22,'2022 Data (WP)'!$D$9:$AA$70,24,0),"N/A")</f>
        <v>N/A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17"/>
      <c r="Y22" s="17"/>
      <c r="Z22" s="17"/>
    </row>
    <row r="23" spans="1:26" hidden="1" x14ac:dyDescent="0.25">
      <c r="A23" s="44"/>
      <c r="B23" s="45" t="e">
        <f t="shared" si="0"/>
        <v>#N/A</v>
      </c>
      <c r="C23" s="45"/>
      <c r="D23" s="1"/>
      <c r="E23" t="e">
        <f t="shared" si="1"/>
        <v>#N/A</v>
      </c>
      <c r="F23" s="22"/>
      <c r="G23" s="117" t="str">
        <f t="shared" si="2"/>
        <v>N/A</v>
      </c>
      <c r="H23" s="117" t="str">
        <f t="shared" si="3"/>
        <v>N/A</v>
      </c>
      <c r="I23" s="117" t="str">
        <f t="shared" si="4"/>
        <v>N/A</v>
      </c>
      <c r="J23" s="117" t="str">
        <f>IFERROR(VLOOKUP($A23,'2022 Data (WP)'!$D$9:$AA$70,21,0),"N/A")</f>
        <v>N/A</v>
      </c>
      <c r="K23" s="117" t="str">
        <f>IFERROR(VLOOKUP($A23,'2022 Data (WP)'!$D$9:$AA$70,23,0),"N/A")</f>
        <v>N/A</v>
      </c>
      <c r="L23" s="117"/>
      <c r="M23" s="117" t="str">
        <f>IFERROR(VLOOKUP($A23,'2022 Data (WP)'!$D$9:$AA$70,24,0),"N/A")</f>
        <v>N/A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17"/>
      <c r="Y23" s="17"/>
      <c r="Z23" s="17"/>
    </row>
    <row r="24" spans="1:26" hidden="1" x14ac:dyDescent="0.25">
      <c r="A24" s="44"/>
      <c r="B24" s="45" t="e">
        <f t="shared" si="0"/>
        <v>#N/A</v>
      </c>
      <c r="C24" s="45"/>
      <c r="D24" s="1" t="str">
        <f>IF(ISERROR(E24),"",IF(E24="","",MAX($D$12:D23)+1))</f>
        <v/>
      </c>
      <c r="E24" t="e">
        <f t="shared" si="1"/>
        <v>#N/A</v>
      </c>
      <c r="F24" s="22"/>
      <c r="G24" s="117" t="str">
        <f t="shared" si="2"/>
        <v>N/A</v>
      </c>
      <c r="H24" s="117" t="str">
        <f t="shared" si="3"/>
        <v>N/A</v>
      </c>
      <c r="I24" s="117" t="str">
        <f t="shared" si="4"/>
        <v>N/A</v>
      </c>
      <c r="J24" s="117" t="str">
        <f>IFERROR(VLOOKUP($A24,'2022 Data (WP)'!$D$9:$AA$70,21,0),"N/A")</f>
        <v>N/A</v>
      </c>
      <c r="K24" s="117" t="str">
        <f>IFERROR(VLOOKUP($A24,'2022 Data (WP)'!$D$9:$AA$70,23,0),"N/A")</f>
        <v>N/A</v>
      </c>
      <c r="L24" s="117"/>
      <c r="M24" s="117" t="str">
        <f>IFERROR(VLOOKUP($A24,'2022 Data (WP)'!$D$9:$AA$70,24,0),"N/A")</f>
        <v>N/A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17"/>
      <c r="Y24" s="17"/>
      <c r="Z24" s="17"/>
    </row>
    <row r="25" spans="1:26" hidden="1" x14ac:dyDescent="0.25">
      <c r="A25" s="50"/>
      <c r="B25" s="45" t="e">
        <f t="shared" si="0"/>
        <v>#N/A</v>
      </c>
      <c r="C25" s="45"/>
      <c r="D25" s="1" t="str">
        <f>IF(ISERROR(E25),"",IF(E25="","",MAX($D$12:D24)+1))</f>
        <v/>
      </c>
      <c r="E25" t="e">
        <f t="shared" si="1"/>
        <v>#N/A</v>
      </c>
      <c r="F25" s="22"/>
      <c r="G25" s="117" t="str">
        <f t="shared" si="2"/>
        <v>N/A</v>
      </c>
      <c r="H25" s="117" t="str">
        <f t="shared" si="3"/>
        <v>N/A</v>
      </c>
      <c r="I25" s="117" t="str">
        <f t="shared" si="4"/>
        <v>N/A</v>
      </c>
      <c r="J25" s="117" t="str">
        <f>IFERROR(VLOOKUP($A25,'2022 Data (WP)'!$D$9:$AA$70,21,0),"N/A")</f>
        <v>N/A</v>
      </c>
      <c r="K25" s="117" t="str">
        <f>IFERROR(VLOOKUP($A25,'2022 Data (WP)'!$D$9:$AA$70,23,0),"N/A")</f>
        <v>N/A</v>
      </c>
      <c r="L25" s="117"/>
      <c r="M25" s="117" t="str">
        <f>IFERROR(VLOOKUP($A25,'2022 Data (WP)'!$D$9:$AA$70,24,0),"N/A")</f>
        <v>N/A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17"/>
      <c r="Y25" s="17"/>
      <c r="Z25" s="17"/>
    </row>
    <row r="26" spans="1:26" hidden="1" x14ac:dyDescent="0.25">
      <c r="A26" s="50"/>
      <c r="B26" s="45" t="e">
        <f t="shared" si="0"/>
        <v>#N/A</v>
      </c>
      <c r="C26" s="45"/>
      <c r="D26" s="1" t="str">
        <f>IF(ISERROR(E26),"",IF(E26="","",MAX($D$12:D25)+1))</f>
        <v/>
      </c>
      <c r="E26" t="e">
        <f t="shared" si="1"/>
        <v>#N/A</v>
      </c>
      <c r="F26" s="22"/>
      <c r="G26" s="117" t="str">
        <f t="shared" si="2"/>
        <v>N/A</v>
      </c>
      <c r="H26" s="117" t="str">
        <f t="shared" si="3"/>
        <v>N/A</v>
      </c>
      <c r="I26" s="117" t="str">
        <f t="shared" si="4"/>
        <v>N/A</v>
      </c>
      <c r="J26" s="117" t="str">
        <f>IFERROR(VLOOKUP($A26,'2022 Data (WP)'!$D$9:$AA$70,21,0),"N/A")</f>
        <v>N/A</v>
      </c>
      <c r="K26" s="117" t="str">
        <f>IFERROR(VLOOKUP($A26,'2022 Data (WP)'!$D$9:$AA$70,23,0),"N/A")</f>
        <v>N/A</v>
      </c>
      <c r="L26" s="117"/>
      <c r="M26" s="117" t="str">
        <f>IFERROR(VLOOKUP($A26,'2022 Data (WP)'!$D$9:$AA$70,24,0),"N/A")</f>
        <v>N/A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17"/>
      <c r="Y26" s="17"/>
      <c r="Z26" s="17"/>
    </row>
    <row r="27" spans="1:26" hidden="1" x14ac:dyDescent="0.25">
      <c r="A27" s="50"/>
      <c r="B27" s="45" t="e">
        <f t="shared" si="0"/>
        <v>#N/A</v>
      </c>
      <c r="C27" s="45"/>
      <c r="D27" s="1" t="str">
        <f>IF(ISERROR(E27),"",IF(E27="","",MAX($D$12:D26)+1))</f>
        <v/>
      </c>
      <c r="E27" t="e">
        <f t="shared" si="1"/>
        <v>#N/A</v>
      </c>
      <c r="F27" s="22"/>
      <c r="G27" s="117" t="str">
        <f t="shared" si="2"/>
        <v>N/A</v>
      </c>
      <c r="H27" s="117" t="str">
        <f t="shared" si="3"/>
        <v>N/A</v>
      </c>
      <c r="I27" s="117" t="str">
        <f t="shared" si="4"/>
        <v>N/A</v>
      </c>
      <c r="J27" s="117" t="str">
        <f>IFERROR(VLOOKUP($A27,'2022 Data (WP)'!$D$9:$AA$70,21,0),"N/A")</f>
        <v>N/A</v>
      </c>
      <c r="K27" s="117" t="str">
        <f>IFERROR(VLOOKUP($A27,'2022 Data (WP)'!$D$9:$AA$70,23,0),"N/A")</f>
        <v>N/A</v>
      </c>
      <c r="L27" s="117"/>
      <c r="M27" s="117" t="str">
        <f>IFERROR(VLOOKUP($A27,'2022 Data (WP)'!$D$9:$AA$70,24,0),"N/A")</f>
        <v>N/A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17"/>
      <c r="Y27" s="17"/>
      <c r="Z27" s="17"/>
    </row>
    <row r="28" spans="1:26" hidden="1" x14ac:dyDescent="0.25">
      <c r="A28" s="50"/>
      <c r="B28" s="45" t="e">
        <f t="shared" si="0"/>
        <v>#N/A</v>
      </c>
      <c r="C28" s="45"/>
      <c r="D28" s="1" t="str">
        <f>IF(ISERROR(E28),"",IF(E28="","",MAX($D$12:D27)+1))</f>
        <v/>
      </c>
      <c r="E28" t="e">
        <f t="shared" si="1"/>
        <v>#N/A</v>
      </c>
      <c r="F28" s="22"/>
      <c r="G28" s="117" t="str">
        <f t="shared" si="2"/>
        <v>N/A</v>
      </c>
      <c r="H28" s="117" t="str">
        <f t="shared" si="3"/>
        <v>N/A</v>
      </c>
      <c r="I28" s="117" t="str">
        <f t="shared" si="4"/>
        <v>N/A</v>
      </c>
      <c r="J28" s="117" t="str">
        <f>IFERROR(VLOOKUP($A28,'2022 Data (WP)'!$D$9:$AA$70,21,0),"N/A")</f>
        <v>N/A</v>
      </c>
      <c r="K28" s="117" t="str">
        <f>IFERROR(VLOOKUP($A28,'2022 Data (WP)'!$D$9:$AA$70,23,0),"N/A")</f>
        <v>N/A</v>
      </c>
      <c r="L28" s="117"/>
      <c r="M28" s="117" t="str">
        <f>IFERROR(VLOOKUP($A28,'2022 Data (WP)'!$D$9:$AA$70,24,0),"N/A")</f>
        <v>N/A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17"/>
      <c r="Y28" s="17"/>
      <c r="Z28" s="17"/>
    </row>
    <row r="29" spans="1:26" hidden="1" x14ac:dyDescent="0.25">
      <c r="A29" s="50"/>
      <c r="B29" s="45" t="e">
        <f t="shared" si="0"/>
        <v>#N/A</v>
      </c>
      <c r="C29" s="45"/>
      <c r="D29" s="1" t="str">
        <f>IF(ISERROR(E29),"",IF(E29="","",MAX($D$12:D28)+1))</f>
        <v/>
      </c>
      <c r="E29" t="e">
        <f t="shared" si="1"/>
        <v>#N/A</v>
      </c>
      <c r="F29" s="22"/>
      <c r="G29" s="117" t="str">
        <f t="shared" si="2"/>
        <v>N/A</v>
      </c>
      <c r="H29" s="117" t="str">
        <f t="shared" si="3"/>
        <v>N/A</v>
      </c>
      <c r="I29" s="117" t="str">
        <f t="shared" si="4"/>
        <v>N/A</v>
      </c>
      <c r="J29" s="117" t="str">
        <f>IFERROR(VLOOKUP($A29,'2022 Data (WP)'!$D$9:$AA$70,21,0),"N/A")</f>
        <v>N/A</v>
      </c>
      <c r="K29" s="117" t="str">
        <f>IFERROR(VLOOKUP($A29,'2022 Data (WP)'!$D$9:$AA$70,23,0),"N/A")</f>
        <v>N/A</v>
      </c>
      <c r="L29" s="117"/>
      <c r="M29" s="117" t="str">
        <f>IFERROR(VLOOKUP($A29,'2022 Data (WP)'!$D$9:$AA$70,24,0),"N/A")</f>
        <v>N/A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17"/>
      <c r="Y29" s="17"/>
      <c r="Z29" s="17"/>
    </row>
    <row r="30" spans="1:26" hidden="1" x14ac:dyDescent="0.25">
      <c r="A30" s="50"/>
      <c r="B30" s="45" t="e">
        <f t="shared" si="0"/>
        <v>#N/A</v>
      </c>
      <c r="C30" s="45"/>
      <c r="D30" s="1" t="str">
        <f>IF(ISERROR(E30),"",IF(E30="","",MAX($D$12:D29)+1))</f>
        <v/>
      </c>
      <c r="E30" t="e">
        <f t="shared" si="1"/>
        <v>#N/A</v>
      </c>
      <c r="F30" s="22"/>
      <c r="G30" s="117" t="str">
        <f t="shared" si="2"/>
        <v>N/A</v>
      </c>
      <c r="H30" s="117" t="str">
        <f t="shared" si="3"/>
        <v>N/A</v>
      </c>
      <c r="I30" s="117" t="str">
        <f t="shared" si="4"/>
        <v>N/A</v>
      </c>
      <c r="J30" s="117" t="str">
        <f>IFERROR(VLOOKUP($A30,'2022 Data (WP)'!$D$9:$AA$70,21,0),"N/A")</f>
        <v>N/A</v>
      </c>
      <c r="K30" s="117" t="str">
        <f>IFERROR(VLOOKUP($A30,'2022 Data (WP)'!$D$9:$AA$70,23,0),"N/A")</f>
        <v>N/A</v>
      </c>
      <c r="L30" s="117"/>
      <c r="M30" s="117" t="str">
        <f>IFERROR(VLOOKUP($A30,'2022 Data (WP)'!$D$9:$AA$70,24,0),"N/A")</f>
        <v>N/A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17"/>
      <c r="Y30" s="17"/>
      <c r="Z30" s="17"/>
    </row>
    <row r="31" spans="1:26" hidden="1" x14ac:dyDescent="0.25">
      <c r="A31" s="50"/>
      <c r="B31" s="45" t="e">
        <f t="shared" si="0"/>
        <v>#N/A</v>
      </c>
      <c r="C31" s="45"/>
      <c r="D31" s="1" t="str">
        <f>IF(ISERROR(E31),"",IF(E31="","",MAX($D$12:D30)+1))</f>
        <v/>
      </c>
      <c r="E31" t="e">
        <f t="shared" si="1"/>
        <v>#N/A</v>
      </c>
      <c r="F31" s="22"/>
      <c r="G31" s="117" t="str">
        <f t="shared" si="2"/>
        <v>N/A</v>
      </c>
      <c r="H31" s="117" t="str">
        <f t="shared" si="3"/>
        <v>N/A</v>
      </c>
      <c r="I31" s="117" t="str">
        <f t="shared" si="4"/>
        <v>N/A</v>
      </c>
      <c r="J31" s="117" t="str">
        <f>IFERROR(VLOOKUP($A31,'2022 Data (WP)'!$D$9:$AA$70,21,0),"N/A")</f>
        <v>N/A</v>
      </c>
      <c r="K31" s="117" t="str">
        <f>IFERROR(VLOOKUP($A31,'2022 Data (WP)'!$D$9:$AA$70,23,0),"N/A")</f>
        <v>N/A</v>
      </c>
      <c r="L31" s="117"/>
      <c r="M31" s="117" t="str">
        <f>IFERROR(VLOOKUP($A31,'2022 Data (WP)'!$D$9:$AA$70,24,0),"N/A")</f>
        <v>N/A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17"/>
      <c r="Y31" s="17"/>
      <c r="Z31" s="17"/>
    </row>
    <row r="32" spans="1:26" hidden="1" x14ac:dyDescent="0.25">
      <c r="A32" s="50"/>
      <c r="B32" s="45" t="e">
        <f t="shared" si="0"/>
        <v>#N/A</v>
      </c>
      <c r="C32" s="45"/>
      <c r="D32" s="1" t="str">
        <f>IF(ISERROR(E32),"",IF(E32="","",MAX($D$12:D31)+1))</f>
        <v/>
      </c>
      <c r="E32" t="e">
        <f t="shared" si="1"/>
        <v>#N/A</v>
      </c>
      <c r="F32" s="22"/>
      <c r="G32" s="117" t="str">
        <f t="shared" si="2"/>
        <v>N/A</v>
      </c>
      <c r="H32" s="117" t="str">
        <f t="shared" si="3"/>
        <v>N/A</v>
      </c>
      <c r="I32" s="117" t="str">
        <f t="shared" si="4"/>
        <v>N/A</v>
      </c>
      <c r="J32" s="117" t="str">
        <f>IFERROR(VLOOKUP($A32,'2022 Data (WP)'!$D$9:$AA$70,21,0),"N/A")</f>
        <v>N/A</v>
      </c>
      <c r="K32" s="117" t="str">
        <f>IFERROR(VLOOKUP($A32,'2022 Data (WP)'!$D$9:$AA$70,23,0),"N/A")</f>
        <v>N/A</v>
      </c>
      <c r="L32" s="117"/>
      <c r="M32" s="117" t="str">
        <f>IFERROR(VLOOKUP($A32,'2022 Data (WP)'!$D$9:$AA$70,24,0),"N/A")</f>
        <v>N/A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17"/>
      <c r="Y32" s="17"/>
      <c r="Z32" s="17"/>
    </row>
    <row r="33" spans="1:26" hidden="1" x14ac:dyDescent="0.25">
      <c r="A33" s="50"/>
      <c r="B33" s="45" t="e">
        <f t="shared" si="0"/>
        <v>#N/A</v>
      </c>
      <c r="C33" s="45"/>
      <c r="D33" s="1" t="str">
        <f>IF(ISERROR(E33),"",IF(E33="","",MAX($D$12:D32)+1))</f>
        <v/>
      </c>
      <c r="E33" t="e">
        <f t="shared" si="1"/>
        <v>#N/A</v>
      </c>
      <c r="F33" s="22"/>
      <c r="G33" s="117" t="str">
        <f t="shared" si="2"/>
        <v>N/A</v>
      </c>
      <c r="H33" s="117" t="str">
        <f t="shared" si="3"/>
        <v>N/A</v>
      </c>
      <c r="I33" s="117" t="str">
        <f t="shared" si="4"/>
        <v>N/A</v>
      </c>
      <c r="J33" s="117" t="str">
        <f>IFERROR(VLOOKUP($A33,'2022 Data (WP)'!$D$9:$AA$70,21,0),"N/A")</f>
        <v>N/A</v>
      </c>
      <c r="K33" s="117" t="str">
        <f>IFERROR(VLOOKUP($A33,'2022 Data (WP)'!$D$9:$AA$70,23,0),"N/A")</f>
        <v>N/A</v>
      </c>
      <c r="L33" s="117"/>
      <c r="M33" s="117" t="str">
        <f>IFERROR(VLOOKUP($A33,'2022 Data (WP)'!$D$9:$AA$70,24,0),"N/A")</f>
        <v>N/A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17"/>
      <c r="Y33" s="17"/>
      <c r="Z33" s="17"/>
    </row>
    <row r="34" spans="1:26" hidden="1" x14ac:dyDescent="0.25">
      <c r="A34" s="50"/>
      <c r="B34" s="45" t="e">
        <f t="shared" si="0"/>
        <v>#N/A</v>
      </c>
      <c r="C34" s="45"/>
      <c r="D34" s="1" t="str">
        <f>IF(ISERROR(E34),"",IF(E34="","",MAX($D$12:D33)+1))</f>
        <v/>
      </c>
      <c r="E34" t="e">
        <f t="shared" si="1"/>
        <v>#N/A</v>
      </c>
      <c r="F34" s="22"/>
      <c r="G34" s="117" t="str">
        <f t="shared" si="2"/>
        <v>N/A</v>
      </c>
      <c r="H34" s="117" t="str">
        <f t="shared" si="3"/>
        <v>N/A</v>
      </c>
      <c r="I34" s="117" t="str">
        <f t="shared" si="4"/>
        <v>N/A</v>
      </c>
      <c r="J34" s="117" t="str">
        <f>IFERROR(VLOOKUP($A34,'2022 Data (WP)'!$D$9:$AA$70,21,0),"N/A")</f>
        <v>N/A</v>
      </c>
      <c r="K34" s="117" t="str">
        <f>IFERROR(VLOOKUP($A34,'2022 Data (WP)'!$D$9:$AA$70,23,0),"N/A")</f>
        <v>N/A</v>
      </c>
      <c r="L34" s="117"/>
      <c r="M34" s="117" t="str">
        <f>IFERROR(VLOOKUP($A34,'2022 Data (WP)'!$D$9:$AA$70,24,0),"N/A")</f>
        <v>N/A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17"/>
      <c r="Y34" s="17"/>
      <c r="Z34" s="17"/>
    </row>
    <row r="35" spans="1:26" hidden="1" x14ac:dyDescent="0.25">
      <c r="A35" s="50"/>
      <c r="B35" s="45" t="e">
        <f t="shared" si="0"/>
        <v>#N/A</v>
      </c>
      <c r="C35" s="45"/>
      <c r="D35" s="1" t="str">
        <f>IF(ISERROR(E35),"",IF(E35="","",MAX($D$12:D34)+1))</f>
        <v/>
      </c>
      <c r="E35" t="e">
        <f t="shared" si="1"/>
        <v>#N/A</v>
      </c>
      <c r="F35" s="22"/>
      <c r="G35" s="117" t="str">
        <f t="shared" si="2"/>
        <v>N/A</v>
      </c>
      <c r="H35" s="117" t="str">
        <f t="shared" si="3"/>
        <v>N/A</v>
      </c>
      <c r="I35" s="117" t="str">
        <f t="shared" si="4"/>
        <v>N/A</v>
      </c>
      <c r="J35" s="117" t="str">
        <f>IFERROR(VLOOKUP($A35,'2022 Data (WP)'!$D$9:$AA$70,21,0),"N/A")</f>
        <v>N/A</v>
      </c>
      <c r="K35" s="117" t="str">
        <f>IFERROR(VLOOKUP($A35,'2022 Data (WP)'!$D$9:$AA$70,23,0),"N/A")</f>
        <v>N/A</v>
      </c>
      <c r="L35" s="117"/>
      <c r="M35" s="117" t="str">
        <f>IFERROR(VLOOKUP($A35,'2022 Data (WP)'!$D$9:$AA$70,24,0),"N/A")</f>
        <v>N/A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17"/>
      <c r="Y35" s="17"/>
      <c r="Z35" s="17"/>
    </row>
    <row r="36" spans="1:26" hidden="1" x14ac:dyDescent="0.25">
      <c r="A36" s="50"/>
      <c r="B36" s="45" t="e">
        <f t="shared" si="0"/>
        <v>#N/A</v>
      </c>
      <c r="C36" s="45"/>
      <c r="D36" s="1" t="str">
        <f>IF(ISERROR(E36),"",IF(E36="","",MAX($D$12:D35)+1))</f>
        <v/>
      </c>
      <c r="E36" t="e">
        <f t="shared" si="1"/>
        <v>#N/A</v>
      </c>
      <c r="F36" s="22"/>
      <c r="G36" s="117" t="str">
        <f t="shared" si="2"/>
        <v>N/A</v>
      </c>
      <c r="H36" s="117" t="str">
        <f t="shared" si="3"/>
        <v>N/A</v>
      </c>
      <c r="I36" s="117" t="str">
        <f t="shared" si="4"/>
        <v>N/A</v>
      </c>
      <c r="J36" s="117" t="str">
        <f>IFERROR(VLOOKUP($A36,'2022 Data (WP)'!$D$9:$AA$70,21,0),"N/A")</f>
        <v>N/A</v>
      </c>
      <c r="K36" s="117" t="str">
        <f>IFERROR(VLOOKUP($A36,'2022 Data (WP)'!$D$9:$AA$70,23,0),"N/A")</f>
        <v>N/A</v>
      </c>
      <c r="L36" s="117"/>
      <c r="M36" s="117" t="str">
        <f>IFERROR(VLOOKUP($A36,'2022 Data (WP)'!$D$9:$AA$70,24,0),"N/A")</f>
        <v>N/A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17"/>
      <c r="Y36" s="17"/>
      <c r="Z36" s="17"/>
    </row>
    <row r="37" spans="1:26" hidden="1" x14ac:dyDescent="0.25">
      <c r="A37" s="50"/>
      <c r="B37" s="45" t="e">
        <f t="shared" si="0"/>
        <v>#N/A</v>
      </c>
      <c r="C37" s="45"/>
      <c r="D37" s="1" t="str">
        <f>IF(ISERROR(E37),"",IF(E37="","",MAX($D$12:D36)+1))</f>
        <v/>
      </c>
      <c r="E37" t="e">
        <f t="shared" si="1"/>
        <v>#N/A</v>
      </c>
      <c r="F37" s="22"/>
      <c r="G37" s="117" t="str">
        <f t="shared" si="2"/>
        <v>N/A</v>
      </c>
      <c r="H37" s="117" t="str">
        <f t="shared" si="3"/>
        <v>N/A</v>
      </c>
      <c r="I37" s="117" t="str">
        <f t="shared" si="4"/>
        <v>N/A</v>
      </c>
      <c r="J37" s="117" t="str">
        <f>IFERROR(VLOOKUP($A37,'2022 Data (WP)'!$D$9:$AA$70,21,0),"N/A")</f>
        <v>N/A</v>
      </c>
      <c r="K37" s="117" t="str">
        <f>IFERROR(VLOOKUP($A37,'2022 Data (WP)'!$D$9:$AA$70,23,0),"N/A")</f>
        <v>N/A</v>
      </c>
      <c r="L37" s="117"/>
      <c r="M37" s="117" t="str">
        <f>IFERROR(VLOOKUP($A37,'2022 Data (WP)'!$D$9:$AA$70,24,0),"N/A")</f>
        <v>N/A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17"/>
      <c r="Y37" s="17"/>
      <c r="Z37" s="17"/>
    </row>
    <row r="38" spans="1:26" hidden="1" x14ac:dyDescent="0.25">
      <c r="A38" s="50"/>
      <c r="B38" s="45" t="e">
        <f t="shared" si="0"/>
        <v>#N/A</v>
      </c>
      <c r="C38" s="45"/>
      <c r="D38" s="1" t="str">
        <f>IF(ISERROR(E38),"",IF(E38="","",MAX($D$12:D37)+1))</f>
        <v/>
      </c>
      <c r="E38" t="e">
        <f t="shared" si="1"/>
        <v>#N/A</v>
      </c>
      <c r="F38" s="22"/>
      <c r="G38" s="117" t="str">
        <f t="shared" si="2"/>
        <v>N/A</v>
      </c>
      <c r="H38" s="117" t="str">
        <f t="shared" si="3"/>
        <v>N/A</v>
      </c>
      <c r="I38" s="117" t="str">
        <f t="shared" si="4"/>
        <v>N/A</v>
      </c>
      <c r="J38" s="117" t="str">
        <f>IFERROR(VLOOKUP($A38,'2022 Data (WP)'!$D$9:$AA$70,21,0),"N/A")</f>
        <v>N/A</v>
      </c>
      <c r="K38" s="117" t="str">
        <f>IFERROR(VLOOKUP($A38,'2022 Data (WP)'!$D$9:$AA$70,23,0),"N/A")</f>
        <v>N/A</v>
      </c>
      <c r="L38" s="117"/>
      <c r="M38" s="117" t="str">
        <f>IFERROR(VLOOKUP($A38,'2022 Data (WP)'!$D$9:$AA$70,24,0),"N/A")</f>
        <v>N/A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17"/>
      <c r="Y38" s="17"/>
      <c r="Z38" s="17"/>
    </row>
    <row r="39" spans="1:26" hidden="1" x14ac:dyDescent="0.25">
      <c r="A39" s="50"/>
      <c r="B39" s="45" t="e">
        <f t="shared" si="0"/>
        <v>#N/A</v>
      </c>
      <c r="C39" s="45"/>
      <c r="D39" s="1" t="str">
        <f>IF(ISERROR(E39),"",IF(E39="","",MAX($D$12:D38)+1))</f>
        <v/>
      </c>
      <c r="E39" t="e">
        <f t="shared" si="1"/>
        <v>#N/A</v>
      </c>
      <c r="F39" s="22"/>
      <c r="G39" s="117" t="str">
        <f t="shared" si="2"/>
        <v>N/A</v>
      </c>
      <c r="H39" s="117" t="str">
        <f t="shared" si="3"/>
        <v>N/A</v>
      </c>
      <c r="I39" s="117" t="str">
        <f t="shared" si="4"/>
        <v>N/A</v>
      </c>
      <c r="J39" s="117" t="str">
        <f>IFERROR(VLOOKUP($A39,'2022 Data (WP)'!$D$9:$AA$70,21,0),"N/A")</f>
        <v>N/A</v>
      </c>
      <c r="K39" s="117" t="str">
        <f>IFERROR(VLOOKUP($A39,'2022 Data (WP)'!$D$9:$AA$70,23,0),"N/A")</f>
        <v>N/A</v>
      </c>
      <c r="L39" s="117"/>
      <c r="M39" s="117" t="str">
        <f>IFERROR(VLOOKUP($A39,'2022 Data (WP)'!$D$9:$AA$70,24,0),"N/A")</f>
        <v>N/A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17"/>
      <c r="Y39" s="17"/>
      <c r="Z39" s="17"/>
    </row>
    <row r="40" spans="1:26" hidden="1" x14ac:dyDescent="0.25">
      <c r="A40" s="50"/>
      <c r="B40" s="45" t="e">
        <f t="shared" si="0"/>
        <v>#N/A</v>
      </c>
      <c r="C40" s="45"/>
      <c r="D40" s="1" t="str">
        <f>IF(ISERROR(E40),"",IF(E40="","",MAX($D$12:D39)+1))</f>
        <v/>
      </c>
      <c r="E40" t="e">
        <f t="shared" si="1"/>
        <v>#N/A</v>
      </c>
      <c r="F40" s="22"/>
      <c r="G40" s="117" t="str">
        <f t="shared" si="2"/>
        <v>N/A</v>
      </c>
      <c r="H40" s="117" t="str">
        <f t="shared" si="3"/>
        <v>N/A</v>
      </c>
      <c r="I40" s="117" t="str">
        <f t="shared" si="4"/>
        <v>N/A</v>
      </c>
      <c r="J40" s="117" t="str">
        <f>IFERROR(VLOOKUP($A40,'2022 Data (WP)'!$D$9:$AA$70,21,0),"N/A")</f>
        <v>N/A</v>
      </c>
      <c r="K40" s="117" t="str">
        <f>IFERROR(VLOOKUP($A40,'2022 Data (WP)'!$D$9:$AA$70,23,0),"N/A")</f>
        <v>N/A</v>
      </c>
      <c r="L40" s="117"/>
      <c r="M40" s="117" t="str">
        <f>IFERROR(VLOOKUP($A40,'2022 Data (WP)'!$D$9:$AA$70,24,0),"N/A")</f>
        <v>N/A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17"/>
      <c r="Y40" s="17"/>
      <c r="Z40" s="17"/>
    </row>
    <row r="41" spans="1:26" hidden="1" x14ac:dyDescent="0.25">
      <c r="A41" s="50"/>
      <c r="B41" s="45" t="e">
        <f t="shared" si="0"/>
        <v>#N/A</v>
      </c>
      <c r="C41" s="45"/>
      <c r="D41" s="1" t="str">
        <f>IF(ISERROR(E41),"",IF(E41="","",MAX($D$12:D40)+1))</f>
        <v/>
      </c>
      <c r="E41" t="e">
        <f t="shared" si="1"/>
        <v>#N/A</v>
      </c>
      <c r="F41" s="22"/>
      <c r="G41" s="117" t="str">
        <f t="shared" si="2"/>
        <v>N/A</v>
      </c>
      <c r="H41" s="117" t="str">
        <f t="shared" si="3"/>
        <v>N/A</v>
      </c>
      <c r="I41" s="117" t="str">
        <f t="shared" si="4"/>
        <v>N/A</v>
      </c>
      <c r="J41" s="117" t="str">
        <f>IFERROR(VLOOKUP($A41,'2022 Data (WP)'!$D$9:$AA$70,21,0),"N/A")</f>
        <v>N/A</v>
      </c>
      <c r="K41" s="117" t="str">
        <f>IFERROR(VLOOKUP($A41,'2022 Data (WP)'!$D$9:$AA$70,23,0),"N/A")</f>
        <v>N/A</v>
      </c>
      <c r="L41" s="117"/>
      <c r="M41" s="117" t="str">
        <f>IFERROR(VLOOKUP($A41,'2022 Data (WP)'!$D$9:$AA$70,24,0),"N/A")</f>
        <v>N/A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17"/>
      <c r="Y41" s="17"/>
      <c r="Z41" s="17"/>
    </row>
    <row r="42" spans="1:26" hidden="1" x14ac:dyDescent="0.25">
      <c r="A42" s="50"/>
      <c r="B42" s="45" t="e">
        <f t="shared" si="0"/>
        <v>#N/A</v>
      </c>
      <c r="C42" s="45"/>
      <c r="D42" s="1" t="str">
        <f>IF(ISERROR(E42),"",IF(E42="","",MAX($D$12:D41)+1))</f>
        <v/>
      </c>
      <c r="E42" t="e">
        <f t="shared" si="1"/>
        <v>#N/A</v>
      </c>
      <c r="F42" s="22"/>
      <c r="G42" s="117" t="str">
        <f t="shared" si="2"/>
        <v>N/A</v>
      </c>
      <c r="H42" s="117" t="str">
        <f t="shared" si="3"/>
        <v>N/A</v>
      </c>
      <c r="I42" s="117" t="str">
        <f t="shared" si="4"/>
        <v>N/A</v>
      </c>
      <c r="J42" s="117" t="str">
        <f>IFERROR(VLOOKUP($A42,'2022 Data (WP)'!$D$9:$AA$70,21,0),"N/A")</f>
        <v>N/A</v>
      </c>
      <c r="K42" s="117" t="str">
        <f>IFERROR(VLOOKUP($A42,'2022 Data (WP)'!$D$9:$AA$70,23,0),"N/A")</f>
        <v>N/A</v>
      </c>
      <c r="L42" s="117"/>
      <c r="M42" s="117" t="str">
        <f>IFERROR(VLOOKUP($A42,'2022 Data (WP)'!$D$9:$AA$70,24,0),"N/A")</f>
        <v>N/A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17"/>
      <c r="Y42" s="17"/>
      <c r="Z42" s="17"/>
    </row>
    <row r="43" spans="1:26" hidden="1" x14ac:dyDescent="0.25">
      <c r="A43" s="50"/>
      <c r="B43" s="45" t="e">
        <f t="shared" si="0"/>
        <v>#N/A</v>
      </c>
      <c r="C43" s="45"/>
      <c r="D43" s="1" t="str">
        <f>IF(ISERROR(E43),"",IF(E43="","",MAX($D$12:D42)+1))</f>
        <v/>
      </c>
      <c r="E43" t="e">
        <f t="shared" si="1"/>
        <v>#N/A</v>
      </c>
      <c r="F43" s="22"/>
      <c r="G43" s="117" t="str">
        <f t="shared" si="2"/>
        <v>N/A</v>
      </c>
      <c r="H43" s="117" t="str">
        <f t="shared" si="3"/>
        <v>N/A</v>
      </c>
      <c r="I43" s="117" t="str">
        <f t="shared" si="4"/>
        <v>N/A</v>
      </c>
      <c r="J43" s="117" t="str">
        <f>IFERROR(VLOOKUP($A43,'2022 Data (WP)'!$D$9:$AA$70,21,0),"N/A")</f>
        <v>N/A</v>
      </c>
      <c r="K43" s="117" t="str">
        <f>IFERROR(VLOOKUP($A43,'2022 Data (WP)'!$D$9:$AA$70,23,0),"N/A")</f>
        <v>N/A</v>
      </c>
      <c r="L43" s="117"/>
      <c r="M43" s="117" t="str">
        <f>IFERROR(VLOOKUP($A43,'2022 Data (WP)'!$D$9:$AA$70,24,0),"N/A")</f>
        <v>N/A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17"/>
      <c r="Y43" s="17"/>
      <c r="Z43" s="17"/>
    </row>
    <row r="44" spans="1:26" hidden="1" x14ac:dyDescent="0.25">
      <c r="A44" s="50"/>
      <c r="B44" s="45" t="e">
        <f t="shared" si="0"/>
        <v>#N/A</v>
      </c>
      <c r="C44" s="45"/>
      <c r="D44" s="1" t="str">
        <f>IF(ISERROR(E44),"",IF(E44="","",MAX($D$12:D43)+1))</f>
        <v/>
      </c>
      <c r="E44" t="e">
        <f t="shared" si="1"/>
        <v>#N/A</v>
      </c>
      <c r="F44" s="22"/>
      <c r="G44" s="117" t="str">
        <f t="shared" si="2"/>
        <v>N/A</v>
      </c>
      <c r="H44" s="117" t="str">
        <f t="shared" si="3"/>
        <v>N/A</v>
      </c>
      <c r="I44" s="117" t="str">
        <f t="shared" si="4"/>
        <v>N/A</v>
      </c>
      <c r="J44" s="117" t="str">
        <f>IFERROR(VLOOKUP($A44,'2022 Data (WP)'!$D$9:$AA$70,21,0),"N/A")</f>
        <v>N/A</v>
      </c>
      <c r="K44" s="117" t="str">
        <f>IFERROR(VLOOKUP($A44,'2022 Data (WP)'!$D$9:$AA$70,23,0),"N/A")</f>
        <v>N/A</v>
      </c>
      <c r="L44" s="117"/>
      <c r="M44" s="117" t="str">
        <f>IFERROR(VLOOKUP($A44,'2022 Data (WP)'!$D$9:$AA$70,24,0),"N/A")</f>
        <v>N/A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17"/>
      <c r="Y44" s="17"/>
      <c r="Z44" s="17"/>
    </row>
    <row r="45" spans="1:26" hidden="1" x14ac:dyDescent="0.25">
      <c r="A45" s="50"/>
      <c r="B45" s="45" t="e">
        <f t="shared" si="0"/>
        <v>#N/A</v>
      </c>
      <c r="C45" s="45"/>
      <c r="D45" s="1" t="str">
        <f>IF(ISERROR(E45),"",IF(E45="","",MAX($D$12:D44)+1))</f>
        <v/>
      </c>
      <c r="E45" t="e">
        <f t="shared" si="1"/>
        <v>#N/A</v>
      </c>
      <c r="F45" s="22"/>
      <c r="G45" s="117" t="str">
        <f t="shared" si="2"/>
        <v>N/A</v>
      </c>
      <c r="H45" s="117" t="str">
        <f t="shared" si="3"/>
        <v>N/A</v>
      </c>
      <c r="I45" s="117" t="str">
        <f t="shared" si="4"/>
        <v>N/A</v>
      </c>
      <c r="J45" s="117" t="str">
        <f>IFERROR(VLOOKUP($A45,'2022 Data (WP)'!$D$9:$AA$70,21,0),"N/A")</f>
        <v>N/A</v>
      </c>
      <c r="K45" s="117" t="str">
        <f>IFERROR(VLOOKUP($A45,'2022 Data (WP)'!$D$9:$AA$70,23,0),"N/A")</f>
        <v>N/A</v>
      </c>
      <c r="L45" s="117"/>
      <c r="M45" s="117" t="str">
        <f>IFERROR(VLOOKUP($A45,'2022 Data (WP)'!$D$9:$AA$70,24,0),"N/A")</f>
        <v>N/A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17"/>
      <c r="Y45" s="17"/>
      <c r="Z45" s="17"/>
    </row>
    <row r="46" spans="1:26" hidden="1" x14ac:dyDescent="0.25">
      <c r="A46" s="50"/>
      <c r="B46" s="45" t="e">
        <f t="shared" si="0"/>
        <v>#N/A</v>
      </c>
      <c r="C46" s="45"/>
      <c r="D46" s="1" t="str">
        <f>IF(ISERROR(E46),"",IF(E46="","",MAX($D$12:D45)+1))</f>
        <v/>
      </c>
      <c r="E46" t="e">
        <f t="shared" si="1"/>
        <v>#N/A</v>
      </c>
      <c r="F46" s="22"/>
      <c r="G46" s="117" t="str">
        <f t="shared" si="2"/>
        <v>N/A</v>
      </c>
      <c r="H46" s="117" t="str">
        <f t="shared" si="3"/>
        <v>N/A</v>
      </c>
      <c r="I46" s="117" t="str">
        <f t="shared" si="4"/>
        <v>N/A</v>
      </c>
      <c r="J46" s="117" t="str">
        <f>IFERROR(VLOOKUP($A46,'2022 Data (WP)'!$D$9:$AA$70,21,0),"N/A")</f>
        <v>N/A</v>
      </c>
      <c r="K46" s="117" t="str">
        <f>IFERROR(VLOOKUP($A46,'2022 Data (WP)'!$D$9:$AA$70,23,0),"N/A")</f>
        <v>N/A</v>
      </c>
      <c r="L46" s="117"/>
      <c r="M46" s="117" t="str">
        <f>IFERROR(VLOOKUP($A46,'2022 Data (WP)'!$D$9:$AA$70,24,0),"N/A")</f>
        <v>N/A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17"/>
      <c r="Y46" s="17"/>
      <c r="Z46" s="17"/>
    </row>
    <row r="47" spans="1:26" hidden="1" x14ac:dyDescent="0.25">
      <c r="A47" s="50"/>
      <c r="B47" s="45" t="e">
        <f t="shared" si="0"/>
        <v>#N/A</v>
      </c>
      <c r="C47" s="45"/>
      <c r="D47" s="1" t="str">
        <f>IF(ISERROR(E47),"",IF(E47="","",MAX($D$12:D46)+1))</f>
        <v/>
      </c>
      <c r="E47" t="e">
        <f t="shared" si="1"/>
        <v>#N/A</v>
      </c>
      <c r="F47" s="22"/>
      <c r="G47" s="117" t="str">
        <f t="shared" si="2"/>
        <v>N/A</v>
      </c>
      <c r="H47" s="117" t="str">
        <f t="shared" si="3"/>
        <v>N/A</v>
      </c>
      <c r="I47" s="117" t="str">
        <f t="shared" si="4"/>
        <v>N/A</v>
      </c>
      <c r="J47" s="117" t="str">
        <f>IFERROR(VLOOKUP($A47,'2022 Data (WP)'!$D$9:$AA$70,21,0),"N/A")</f>
        <v>N/A</v>
      </c>
      <c r="K47" s="117" t="str">
        <f>IFERROR(VLOOKUP($A47,'2022 Data (WP)'!$D$9:$AA$70,23,0),"N/A")</f>
        <v>N/A</v>
      </c>
      <c r="L47" s="117"/>
      <c r="M47" s="117" t="str">
        <f>IFERROR(VLOOKUP($A47,'2022 Data (WP)'!$D$9:$AA$70,24,0),"N/A")</f>
        <v>N/A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17"/>
      <c r="Y47" s="17"/>
      <c r="Z47" s="17"/>
    </row>
    <row r="48" spans="1:26" hidden="1" x14ac:dyDescent="0.25">
      <c r="A48" s="50"/>
      <c r="B48" s="45" t="e">
        <f t="shared" si="0"/>
        <v>#N/A</v>
      </c>
      <c r="C48" s="45"/>
      <c r="D48" s="1" t="str">
        <f>IF(ISERROR(E48),"",IF(E48="","",MAX($D$12:D47)+1))</f>
        <v/>
      </c>
      <c r="E48" t="e">
        <f t="shared" si="1"/>
        <v>#N/A</v>
      </c>
      <c r="F48" s="22"/>
      <c r="G48" s="117" t="str">
        <f t="shared" si="2"/>
        <v>N/A</v>
      </c>
      <c r="H48" s="117" t="str">
        <f t="shared" si="3"/>
        <v>N/A</v>
      </c>
      <c r="I48" s="117" t="str">
        <f t="shared" si="4"/>
        <v>N/A</v>
      </c>
      <c r="J48" s="117" t="str">
        <f>IFERROR(VLOOKUP($A48,'2022 Data (WP)'!$D$9:$AA$70,21,0),"N/A")</f>
        <v>N/A</v>
      </c>
      <c r="K48" s="117" t="str">
        <f>IFERROR(VLOOKUP($A48,'2022 Data (WP)'!$D$9:$AA$70,23,0),"N/A")</f>
        <v>N/A</v>
      </c>
      <c r="L48" s="117"/>
      <c r="M48" s="117" t="str">
        <f>IFERROR(VLOOKUP($A48,'2022 Data (WP)'!$D$9:$AA$70,24,0),"N/A")</f>
        <v>N/A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17"/>
      <c r="Y48" s="17"/>
      <c r="Z48" s="17"/>
    </row>
    <row r="49" spans="1:26" hidden="1" x14ac:dyDescent="0.25">
      <c r="A49" s="50"/>
      <c r="B49" s="45" t="e">
        <f t="shared" si="0"/>
        <v>#N/A</v>
      </c>
      <c r="C49" s="45"/>
      <c r="D49" s="1" t="str">
        <f>IF(ISERROR(E49),"",IF(E49="","",MAX($D$12:D48)+1))</f>
        <v/>
      </c>
      <c r="E49" t="e">
        <f t="shared" si="1"/>
        <v>#N/A</v>
      </c>
      <c r="F49" s="22"/>
      <c r="G49" s="117" t="str">
        <f t="shared" si="2"/>
        <v>N/A</v>
      </c>
      <c r="H49" s="117" t="str">
        <f t="shared" si="3"/>
        <v>N/A</v>
      </c>
      <c r="I49" s="117" t="str">
        <f t="shared" si="4"/>
        <v>N/A</v>
      </c>
      <c r="J49" s="117" t="str">
        <f>IFERROR(VLOOKUP($A49,'2022 Data (WP)'!$D$9:$AA$70,21,0),"N/A")</f>
        <v>N/A</v>
      </c>
      <c r="K49" s="117" t="str">
        <f>IFERROR(VLOOKUP($A49,'2022 Data (WP)'!$D$9:$AA$70,23,0),"N/A")</f>
        <v>N/A</v>
      </c>
      <c r="L49" s="117"/>
      <c r="M49" s="117" t="str">
        <f>IFERROR(VLOOKUP($A49,'2022 Data (WP)'!$D$9:$AA$70,24,0),"N/A")</f>
        <v>N/A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17"/>
      <c r="Y49" s="17"/>
      <c r="Z49" s="17"/>
    </row>
    <row r="50" spans="1:26" hidden="1" x14ac:dyDescent="0.25">
      <c r="A50" s="50"/>
      <c r="B50" s="45" t="e">
        <f t="shared" si="0"/>
        <v>#N/A</v>
      </c>
      <c r="C50" s="45"/>
      <c r="D50" s="1" t="str">
        <f>IF(ISERROR(E50),"",IF(E50="","",MAX($D$12:D49)+1))</f>
        <v/>
      </c>
      <c r="E50" t="e">
        <f t="shared" si="1"/>
        <v>#N/A</v>
      </c>
      <c r="F50" s="22"/>
      <c r="G50" s="117" t="str">
        <f t="shared" si="2"/>
        <v>N/A</v>
      </c>
      <c r="H50" s="117" t="str">
        <f t="shared" si="3"/>
        <v>N/A</v>
      </c>
      <c r="I50" s="117" t="str">
        <f t="shared" si="4"/>
        <v>N/A</v>
      </c>
      <c r="J50" s="117" t="str">
        <f>IFERROR(VLOOKUP($A50,'2022 Data (WP)'!$D$9:$AA$70,21,0),"N/A")</f>
        <v>N/A</v>
      </c>
      <c r="K50" s="117" t="str">
        <f>IFERROR(VLOOKUP($A50,'2022 Data (WP)'!$D$9:$AA$70,23,0),"N/A")</f>
        <v>N/A</v>
      </c>
      <c r="L50" s="117"/>
      <c r="M50" s="117" t="str">
        <f>IFERROR(VLOOKUP($A50,'2022 Data (WP)'!$D$9:$AA$70,24,0),"N/A")</f>
        <v>N/A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17"/>
      <c r="Y50" s="17"/>
      <c r="Z50" s="17"/>
    </row>
    <row r="51" spans="1:26" hidden="1" x14ac:dyDescent="0.25">
      <c r="A51" s="50"/>
      <c r="B51" s="45" t="e">
        <f t="shared" si="0"/>
        <v>#N/A</v>
      </c>
      <c r="C51" s="45"/>
      <c r="D51" s="1" t="str">
        <f>IF(ISERROR(E51),"",IF(E51="","",MAX($D$12:D50)+1))</f>
        <v/>
      </c>
      <c r="E51" t="e">
        <f t="shared" si="1"/>
        <v>#N/A</v>
      </c>
      <c r="F51" s="22"/>
      <c r="G51" s="117" t="str">
        <f t="shared" si="2"/>
        <v>N/A</v>
      </c>
      <c r="H51" s="117" t="str">
        <f t="shared" si="3"/>
        <v>N/A</v>
      </c>
      <c r="I51" s="117" t="str">
        <f t="shared" si="4"/>
        <v>N/A</v>
      </c>
      <c r="J51" s="117" t="str">
        <f>IFERROR(VLOOKUP($A51,'2022 Data (WP)'!$D$9:$AA$70,21,0),"N/A")</f>
        <v>N/A</v>
      </c>
      <c r="K51" s="117" t="str">
        <f>IFERROR(VLOOKUP($A51,'2022 Data (WP)'!$D$9:$AA$70,23,0),"N/A")</f>
        <v>N/A</v>
      </c>
      <c r="L51" s="117"/>
      <c r="M51" s="117" t="str">
        <f>IFERROR(VLOOKUP($A51,'2022 Data (WP)'!$D$9:$AA$70,24,0),"N/A")</f>
        <v>N/A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17"/>
      <c r="Y51" s="17"/>
      <c r="Z51" s="17"/>
    </row>
    <row r="52" spans="1:26" hidden="1" x14ac:dyDescent="0.25">
      <c r="A52" s="50"/>
      <c r="B52" s="45" t="e">
        <f t="shared" si="0"/>
        <v>#N/A</v>
      </c>
      <c r="C52" s="45"/>
      <c r="D52" s="1" t="str">
        <f>IF(ISERROR(E52),"",IF(E52="","",MAX($D$12:D51)+1))</f>
        <v/>
      </c>
      <c r="E52" t="e">
        <f t="shared" si="1"/>
        <v>#N/A</v>
      </c>
      <c r="F52" s="22"/>
      <c r="G52" s="117" t="str">
        <f t="shared" si="2"/>
        <v>N/A</v>
      </c>
      <c r="H52" s="117" t="str">
        <f t="shared" si="3"/>
        <v>N/A</v>
      </c>
      <c r="I52" s="117" t="str">
        <f t="shared" si="4"/>
        <v>N/A</v>
      </c>
      <c r="J52" s="117" t="str">
        <f>IFERROR(VLOOKUP($A52,'2022 Data (WP)'!$D$9:$AA$70,21,0),"N/A")</f>
        <v>N/A</v>
      </c>
      <c r="K52" s="117" t="str">
        <f>IFERROR(VLOOKUP($A52,'2022 Data (WP)'!$D$9:$AA$70,23,0),"N/A")</f>
        <v>N/A</v>
      </c>
      <c r="L52" s="117"/>
      <c r="M52" s="117" t="str">
        <f>IFERROR(VLOOKUP($A52,'2022 Data (WP)'!$D$9:$AA$70,24,0),"N/A")</f>
        <v>N/A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17"/>
      <c r="Y52" s="17"/>
      <c r="Z52" s="17"/>
    </row>
    <row r="53" spans="1:26" hidden="1" x14ac:dyDescent="0.25">
      <c r="A53" s="50"/>
      <c r="B53" s="45" t="e">
        <f t="shared" si="0"/>
        <v>#N/A</v>
      </c>
      <c r="C53" s="45"/>
      <c r="D53" s="1" t="str">
        <f>IF(ISERROR(E53),"",IF(E53="","",MAX($D$12:D52)+1))</f>
        <v/>
      </c>
      <c r="E53" t="e">
        <f t="shared" si="1"/>
        <v>#N/A</v>
      </c>
      <c r="F53" s="22"/>
      <c r="G53" s="117" t="str">
        <f t="shared" si="2"/>
        <v>N/A</v>
      </c>
      <c r="H53" s="117" t="str">
        <f t="shared" si="3"/>
        <v>N/A</v>
      </c>
      <c r="I53" s="117" t="str">
        <f t="shared" si="4"/>
        <v>N/A</v>
      </c>
      <c r="J53" s="117" t="str">
        <f>IFERROR(VLOOKUP($A53,'2022 Data (WP)'!$D$9:$AA$70,21,0),"N/A")</f>
        <v>N/A</v>
      </c>
      <c r="K53" s="117" t="str">
        <f>IFERROR(VLOOKUP($A53,'2022 Data (WP)'!$D$9:$AA$70,23,0),"N/A")</f>
        <v>N/A</v>
      </c>
      <c r="L53" s="117"/>
      <c r="M53" s="117" t="str">
        <f>IFERROR(VLOOKUP($A53,'2022 Data (WP)'!$D$9:$AA$70,24,0),"N/A")</f>
        <v>N/A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17"/>
      <c r="Y53" s="17"/>
      <c r="Z53" s="17"/>
    </row>
    <row r="54" spans="1:26" hidden="1" x14ac:dyDescent="0.25">
      <c r="A54" s="50"/>
      <c r="B54" s="45" t="e">
        <f t="shared" si="0"/>
        <v>#N/A</v>
      </c>
      <c r="C54" s="45"/>
      <c r="D54" s="1" t="str">
        <f>IF(ISERROR(E54),"",IF(E54="","",MAX($D$12:D53)+1))</f>
        <v/>
      </c>
      <c r="E54" t="e">
        <f t="shared" si="1"/>
        <v>#N/A</v>
      </c>
      <c r="F54" s="22"/>
      <c r="G54" s="117" t="str">
        <f t="shared" si="2"/>
        <v>N/A</v>
      </c>
      <c r="H54" s="117" t="str">
        <f t="shared" si="3"/>
        <v>N/A</v>
      </c>
      <c r="I54" s="117" t="str">
        <f t="shared" si="4"/>
        <v>N/A</v>
      </c>
      <c r="J54" s="117" t="str">
        <f>IFERROR(VLOOKUP($A54,'2022 Data (WP)'!$D$9:$AA$70,21,0),"N/A")</f>
        <v>N/A</v>
      </c>
      <c r="K54" s="117" t="str">
        <f>IFERROR(VLOOKUP($A54,'2022 Data (WP)'!$D$9:$AA$70,23,0),"N/A")</f>
        <v>N/A</v>
      </c>
      <c r="L54" s="117"/>
      <c r="M54" s="117" t="str">
        <f>IFERROR(VLOOKUP($A54,'2022 Data (WP)'!$D$9:$AA$70,24,0),"N/A")</f>
        <v>N/A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17"/>
      <c r="Y54" s="17"/>
      <c r="Z54" s="17"/>
    </row>
    <row r="55" spans="1:26" hidden="1" x14ac:dyDescent="0.25">
      <c r="A55" s="50" t="e">
        <f>#REF!</f>
        <v>#REF!</v>
      </c>
      <c r="B55" s="45" t="e">
        <f t="shared" si="0"/>
        <v>#REF!</v>
      </c>
      <c r="C55" s="45"/>
      <c r="D55" s="1" t="str">
        <f>IF(ISERROR(E55),"",IF(E55="","",MAX($D$12:D54)+1))</f>
        <v/>
      </c>
      <c r="E55" t="e">
        <f t="shared" si="1"/>
        <v>#REF!</v>
      </c>
      <c r="F55" s="22"/>
      <c r="G55" s="117" t="str">
        <f t="shared" si="2"/>
        <v>N/A</v>
      </c>
      <c r="H55" s="117" t="str">
        <f t="shared" si="3"/>
        <v>N/A</v>
      </c>
      <c r="I55" s="117" t="str">
        <f t="shared" si="4"/>
        <v>N/A</v>
      </c>
      <c r="J55" s="117" t="str">
        <f>IFERROR(VLOOKUP($A55,'2022 Data (WP)'!$D$9:$AA$70,21,0),"N/A")</f>
        <v>N/A</v>
      </c>
      <c r="K55" s="117" t="str">
        <f>IFERROR(VLOOKUP($A55,'2022 Data (WP)'!$D$9:$AA$70,23,0),"N/A")</f>
        <v>N/A</v>
      </c>
      <c r="L55" s="94"/>
      <c r="M55" s="117" t="str">
        <f>IFERROR(VLOOKUP($A55,'2022 Data (WP)'!$D$9:$AA$70,24,0),"N/A")</f>
        <v>N/A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17"/>
      <c r="Y55" s="17"/>
      <c r="Z55" s="17"/>
    </row>
    <row r="56" spans="1:26" hidden="1" x14ac:dyDescent="0.25">
      <c r="A56" s="50" t="e">
        <f>#REF!</f>
        <v>#REF!</v>
      </c>
      <c r="B56" s="45" t="e">
        <f t="shared" si="0"/>
        <v>#REF!</v>
      </c>
      <c r="C56" s="45"/>
      <c r="D56" s="1" t="str">
        <f>IF(ISERROR(E56),"",IF(E56="","",MAX($D$12:D55)+1))</f>
        <v/>
      </c>
      <c r="E56" t="e">
        <f t="shared" si="1"/>
        <v>#REF!</v>
      </c>
      <c r="G56" s="117" t="str">
        <f t="shared" si="2"/>
        <v>N/A</v>
      </c>
      <c r="H56" s="117" t="str">
        <f t="shared" si="3"/>
        <v>N/A</v>
      </c>
      <c r="I56" s="117" t="str">
        <f t="shared" si="4"/>
        <v>N/A</v>
      </c>
      <c r="J56" s="117" t="str">
        <f>IFERROR(VLOOKUP($A56,'2022 Data (WP)'!$D$9:$AA$70,21,0),"N/A")</f>
        <v>N/A</v>
      </c>
      <c r="K56" s="117" t="str">
        <f>IFERROR(VLOOKUP($A56,'2022 Data (WP)'!$D$9:$AA$70,23,0),"N/A")</f>
        <v>N/A</v>
      </c>
      <c r="L56" s="94"/>
      <c r="M56" s="117" t="str">
        <f>IFERROR(VLOOKUP($A56,'2022 Data (WP)'!$D$9:$AA$70,24,0),"N/A")</f>
        <v>N/A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17"/>
      <c r="Y56" s="17"/>
      <c r="Z56" s="17"/>
    </row>
    <row r="57" spans="1:26" hidden="1" x14ac:dyDescent="0.25">
      <c r="A57" s="50" t="e">
        <f>#REF!</f>
        <v>#REF!</v>
      </c>
      <c r="B57" s="45" t="e">
        <f t="shared" si="0"/>
        <v>#REF!</v>
      </c>
      <c r="C57" s="45"/>
      <c r="D57" s="1" t="str">
        <f>IF(ISERROR(E57),"",IF(E57="","",MAX($D$12:D56)+1))</f>
        <v/>
      </c>
      <c r="E57" t="e">
        <f t="shared" si="1"/>
        <v>#REF!</v>
      </c>
      <c r="G57" s="117" t="str">
        <f t="shared" si="2"/>
        <v>N/A</v>
      </c>
      <c r="H57" s="117" t="str">
        <f t="shared" si="3"/>
        <v>N/A</v>
      </c>
      <c r="I57" s="117" t="str">
        <f t="shared" si="4"/>
        <v>N/A</v>
      </c>
      <c r="J57" s="117" t="str">
        <f>IFERROR(VLOOKUP($A57,'2022 Data (WP)'!$D$9:$AA$70,21,0),"N/A")</f>
        <v>N/A</v>
      </c>
      <c r="K57" s="117" t="str">
        <f>IFERROR(VLOOKUP($A57,'2022 Data (WP)'!$D$9:$AA$70,23,0),"N/A")</f>
        <v>N/A</v>
      </c>
      <c r="L57" s="94"/>
      <c r="M57" s="117" t="str">
        <f>IFERROR(VLOOKUP($A57,'2022 Data (WP)'!$D$9:$AA$70,24,0),"N/A")</f>
        <v>N/A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17"/>
      <c r="Y57" s="17"/>
      <c r="Z57" s="17"/>
    </row>
    <row r="58" spans="1:26" hidden="1" x14ac:dyDescent="0.25">
      <c r="A58" s="50" t="e">
        <f>#REF!</f>
        <v>#REF!</v>
      </c>
      <c r="B58" s="45" t="e">
        <f t="shared" si="0"/>
        <v>#REF!</v>
      </c>
      <c r="C58" s="45"/>
      <c r="D58" s="1" t="str">
        <f>IF(ISERROR(E58),"",IF(E58="","",MAX($D$12:D57)+1))</f>
        <v/>
      </c>
      <c r="E58" t="e">
        <f t="shared" si="1"/>
        <v>#REF!</v>
      </c>
      <c r="G58" s="117" t="str">
        <f t="shared" si="2"/>
        <v>N/A</v>
      </c>
      <c r="H58" s="117" t="str">
        <f t="shared" si="3"/>
        <v>N/A</v>
      </c>
      <c r="I58" s="117" t="str">
        <f t="shared" si="4"/>
        <v>N/A</v>
      </c>
      <c r="J58" s="117" t="str">
        <f>IFERROR(VLOOKUP($A58,'2022 Data (WP)'!$D$9:$AA$70,21,0),"N/A")</f>
        <v>N/A</v>
      </c>
      <c r="K58" s="117" t="str">
        <f>IFERROR(VLOOKUP($A58,'2022 Data (WP)'!$D$9:$AA$70,23,0),"N/A")</f>
        <v>N/A</v>
      </c>
      <c r="L58" s="94"/>
      <c r="M58" s="117" t="str">
        <f>IFERROR(VLOOKUP($A58,'2022 Data (WP)'!$D$9:$AA$70,24,0),"N/A")</f>
        <v>N/A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17"/>
      <c r="Y58" s="17"/>
      <c r="Z58" s="17"/>
    </row>
    <row r="59" spans="1:26" x14ac:dyDescent="0.25">
      <c r="A59" s="31"/>
      <c r="B59" s="31"/>
      <c r="C59" s="31"/>
      <c r="D59" s="1" t="str">
        <f>IF(ISERROR(E59),"",IF(E59="","",MAX($D$12:D58)+1))</f>
        <v/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17"/>
      <c r="Y59" s="17"/>
    </row>
    <row r="60" spans="1:26" x14ac:dyDescent="0.25">
      <c r="A60" s="31"/>
      <c r="B60" s="31"/>
      <c r="C60" s="31"/>
      <c r="D60" s="1">
        <f ca="1">IF(ISERROR(E60),"",IF(E60="","",MAX($D$12:D59)+1))</f>
        <v>7</v>
      </c>
      <c r="E60" t="s">
        <v>98</v>
      </c>
      <c r="G60" s="117">
        <f>AVERAGE(G14:G59)</f>
        <v>0.73149337007783777</v>
      </c>
      <c r="H60" s="117">
        <f>AVERAGE(H14:H59)</f>
        <v>0.67677640105510084</v>
      </c>
      <c r="I60" s="117">
        <f>AVERAGE(I14:I59)</f>
        <v>0.81989146402747004</v>
      </c>
      <c r="J60" s="117">
        <f>AVERAGE(J14:J59)</f>
        <v>0.69927686083118479</v>
      </c>
      <c r="K60" s="117">
        <f>AVERAGE(K14:K59)</f>
        <v>0.68742428989139504</v>
      </c>
      <c r="L60" s="117"/>
      <c r="M60" s="117">
        <f>AVERAGE(M14:M59)</f>
        <v>0.83215729230687907</v>
      </c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17"/>
      <c r="Y60" s="17"/>
      <c r="Z60" s="17"/>
    </row>
    <row r="61" spans="1:26" x14ac:dyDescent="0.25">
      <c r="A61" s="31"/>
      <c r="B61" s="31"/>
      <c r="C61" s="31"/>
      <c r="D61" s="1">
        <f ca="1">IF(ISERROR(E61),"",IF(E61="","",MAX($D$12:D60)+1))</f>
        <v>8</v>
      </c>
      <c r="E61" t="s">
        <v>257</v>
      </c>
      <c r="G61" s="117">
        <f>MEDIAN(G14:G59)</f>
        <v>0.72416674066096487</v>
      </c>
      <c r="H61" s="117">
        <f>MEDIAN(H14:H59)</f>
        <v>0.66992247263740157</v>
      </c>
      <c r="I61" s="117">
        <f>MEDIAN(I14:I59)</f>
        <v>0.83736437613019898</v>
      </c>
      <c r="J61" s="117">
        <f>MEDIAN(J14:J59)</f>
        <v>0.71825396825396837</v>
      </c>
      <c r="K61" s="117">
        <f>MEDIAN(K14:K59)</f>
        <v>0.69404761904761902</v>
      </c>
      <c r="L61" s="117"/>
      <c r="M61" s="117">
        <f>MEDIAN(M14:M59)</f>
        <v>0.78514492753623188</v>
      </c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17"/>
      <c r="Y61" s="17"/>
      <c r="Z61" s="17"/>
    </row>
    <row r="62" spans="1:26" x14ac:dyDescent="0.25">
      <c r="A62" s="31"/>
      <c r="B62" s="31"/>
      <c r="C62" s="31"/>
      <c r="D62" s="1"/>
    </row>
    <row r="63" spans="1:26" x14ac:dyDescent="0.25">
      <c r="A63" s="31"/>
      <c r="B63" s="31"/>
      <c r="C63" s="31"/>
      <c r="E63" s="18"/>
      <c r="F63" s="88"/>
    </row>
    <row r="64" spans="1:26" x14ac:dyDescent="0.25">
      <c r="A64" s="31"/>
      <c r="B64" s="31"/>
      <c r="C64" s="31"/>
      <c r="E64" s="20" t="s">
        <v>107</v>
      </c>
    </row>
    <row r="65" spans="1:6" ht="16.2" x14ac:dyDescent="0.25">
      <c r="A65" s="31"/>
      <c r="B65" s="31"/>
      <c r="C65" s="31"/>
      <c r="E65" s="76">
        <v>1</v>
      </c>
      <c r="F65" s="21" t="str">
        <f>"The Value Line Investment Survey, "&amp;'2019 Data (WP)'!$D$3</f>
        <v>The Value Line Investment Survey, January 10, 2020.</v>
      </c>
    </row>
    <row r="66" spans="1:6" ht="16.2" x14ac:dyDescent="0.25">
      <c r="A66" s="31"/>
      <c r="B66" s="31"/>
      <c r="C66" s="31"/>
      <c r="E66" s="76">
        <v>2</v>
      </c>
      <c r="F66" s="21" t="str">
        <f>"The Value Line Investment Survey, "&amp;'2020 Data (WP)'!$D$3</f>
        <v>The Value Line Investment Survey, April 9, 2021.</v>
      </c>
    </row>
    <row r="67" spans="1:6" ht="16.2" x14ac:dyDescent="0.25">
      <c r="A67" s="31"/>
      <c r="B67" s="31"/>
      <c r="C67" s="31"/>
      <c r="E67" s="76">
        <v>3</v>
      </c>
      <c r="F67" s="21" t="str">
        <f>"The Value Line Investment Survey, "&amp;'2021 Data (WP)'!$D$3</f>
        <v>The Value Line Investment Survey, April 8, 2022.</v>
      </c>
    </row>
    <row r="68" spans="1:6" ht="16.2" x14ac:dyDescent="0.25">
      <c r="A68" s="31"/>
      <c r="B68" s="31"/>
      <c r="C68" s="31"/>
      <c r="E68" s="76">
        <v>4</v>
      </c>
      <c r="F68" s="21" t="str">
        <f>"The Value Line Investment Survey, "&amp;'2022 Data (WP)'!$D$3</f>
        <v>The Value Line Investment Survey, April 7, 2023.</v>
      </c>
    </row>
    <row r="69" spans="1:6" x14ac:dyDescent="0.25">
      <c r="A69" s="31"/>
      <c r="B69" s="31"/>
      <c r="C69" s="31"/>
      <c r="E69" s="20" t="s">
        <v>328</v>
      </c>
    </row>
    <row r="70" spans="1:6" ht="16.2" x14ac:dyDescent="0.25">
      <c r="A70" s="31"/>
      <c r="B70" s="31"/>
      <c r="C70" s="31"/>
      <c r="E70" s="89"/>
      <c r="F70" s="21" t="s">
        <v>372</v>
      </c>
    </row>
    <row r="71" spans="1:6" x14ac:dyDescent="0.25">
      <c r="A71" s="31"/>
      <c r="B71" s="31"/>
      <c r="C71" s="31"/>
      <c r="F71" s="23"/>
    </row>
    <row r="72" spans="1:6" x14ac:dyDescent="0.25">
      <c r="A72" s="31"/>
      <c r="B72" s="31"/>
      <c r="C72" s="31"/>
      <c r="E72" s="21"/>
    </row>
    <row r="73" spans="1:6" x14ac:dyDescent="0.25">
      <c r="E73" s="23"/>
    </row>
  </sheetData>
  <mergeCells count="5">
    <mergeCell ref="C1:N1"/>
    <mergeCell ref="D4:M4"/>
    <mergeCell ref="D5:M5"/>
    <mergeCell ref="G9:M9"/>
    <mergeCell ref="E11:F11"/>
  </mergeCells>
  <printOptions horizontalCentered="1"/>
  <pageMargins left="0.7" right="0.7" top="1" bottom="0.75" header="0.55000000000000004" footer="0.51"/>
  <pageSetup scale="78" orientation="portrait" useFirstPageNumber="1" r:id="rId1"/>
  <headerFooter>
    <oddHeader>&amp;R&amp;"Arial,Bold"&amp;10Direct Exhibit CCW-1
Page 5 of 12</oddHeader>
  </headerFooter>
  <rowBreaks count="1" manualBreakCount="1">
    <brk id="7" min="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A182"/>
  <sheetViews>
    <sheetView topLeftCell="C1" zoomScale="80" zoomScaleNormal="80" workbookViewId="0">
      <selection activeCell="E177" sqref="E177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19.8984375" customWidth="1"/>
    <col min="6" max="23" width="9" customWidth="1"/>
    <col min="24" max="24" width="9" hidden="1" customWidth="1"/>
    <col min="25" max="27" width="0" hidden="1" customWidth="1"/>
  </cols>
  <sheetData>
    <row r="1" spans="1:27" ht="28.2" x14ac:dyDescent="0.5">
      <c r="C1" s="277" t="str">
        <f>'CCW-1, Page 5W'!C1:N1</f>
        <v>Ameren Illinois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</row>
    <row r="2" spans="1:27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</row>
    <row r="3" spans="1:27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7"/>
      <c r="T3" s="7"/>
      <c r="U3" s="7"/>
      <c r="V3" s="7"/>
      <c r="W3" s="7"/>
      <c r="X3" s="7"/>
      <c r="Y3" s="7"/>
      <c r="Z3" s="7"/>
    </row>
    <row r="4" spans="1:27" ht="21" x14ac:dyDescent="0.4">
      <c r="C4" s="278" t="s">
        <v>499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</row>
    <row r="5" spans="1:27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</row>
    <row r="6" spans="1:27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7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7" ht="16.2" x14ac:dyDescent="0.25">
      <c r="C8" s="6"/>
      <c r="D8" s="7"/>
      <c r="E8" s="7"/>
      <c r="F8" s="280" t="s">
        <v>329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</row>
    <row r="9" spans="1:27" x14ac:dyDescent="0.25">
      <c r="A9" s="41" t="s">
        <v>99</v>
      </c>
      <c r="B9" s="41" t="s">
        <v>241</v>
      </c>
      <c r="C9" s="6"/>
      <c r="D9" s="7"/>
      <c r="E9" s="7"/>
      <c r="F9" s="8" t="s">
        <v>535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</row>
    <row r="10" spans="1:27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540</v>
      </c>
      <c r="H10" s="40">
        <v>2021</v>
      </c>
      <c r="I10" s="40">
        <v>2020</v>
      </c>
      <c r="J10" s="40">
        <v>2019</v>
      </c>
      <c r="K10" s="40">
        <v>2018</v>
      </c>
      <c r="L10" s="40">
        <v>2017</v>
      </c>
      <c r="M10" s="40">
        <v>2016</v>
      </c>
      <c r="N10" s="40">
        <v>2015</v>
      </c>
      <c r="O10" s="40">
        <v>2014</v>
      </c>
      <c r="P10" s="40">
        <v>2013</v>
      </c>
      <c r="Q10" s="40">
        <v>2012</v>
      </c>
      <c r="R10" s="40">
        <v>2011</v>
      </c>
      <c r="S10" s="40">
        <v>2010</v>
      </c>
      <c r="T10" s="40">
        <v>2009</v>
      </c>
      <c r="U10" s="40">
        <v>2008</v>
      </c>
      <c r="V10" s="40">
        <v>2007</v>
      </c>
      <c r="W10" s="40">
        <v>2006</v>
      </c>
      <c r="X10" s="40">
        <v>2005</v>
      </c>
      <c r="Y10" s="40">
        <v>2004</v>
      </c>
      <c r="Z10" s="40">
        <v>2003</v>
      </c>
      <c r="AA10" s="40">
        <v>2002</v>
      </c>
    </row>
    <row r="11" spans="1:27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AA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>
        <f t="shared" si="0"/>
        <v>-20</v>
      </c>
      <c r="Z11" s="12">
        <f t="shared" si="0"/>
        <v>-21</v>
      </c>
      <c r="AA11" s="12">
        <f t="shared" si="0"/>
        <v>-22</v>
      </c>
    </row>
    <row r="12" spans="1:27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36"/>
      <c r="K12" s="16">
        <f t="shared" ref="K12:AA12" ca="1" si="1">MATCH(K10,OFFSET(DIV_BV_WP,-1,0,1,),0)</f>
        <v>8</v>
      </c>
      <c r="L12" s="16">
        <f t="shared" ca="1" si="1"/>
        <v>9</v>
      </c>
      <c r="M12" s="16">
        <f t="shared" ca="1" si="1"/>
        <v>10</v>
      </c>
      <c r="N12" s="16">
        <f t="shared" ca="1" si="1"/>
        <v>11</v>
      </c>
      <c r="O12" s="16">
        <f t="shared" ca="1" si="1"/>
        <v>12</v>
      </c>
      <c r="P12" s="16">
        <f t="shared" ca="1" si="1"/>
        <v>13</v>
      </c>
      <c r="Q12" s="16">
        <f t="shared" ca="1" si="1"/>
        <v>14</v>
      </c>
      <c r="R12" s="16">
        <f t="shared" ca="1" si="1"/>
        <v>15</v>
      </c>
      <c r="S12" s="16">
        <f t="shared" ca="1" si="1"/>
        <v>16</v>
      </c>
      <c r="T12" s="16">
        <f t="shared" ca="1" si="1"/>
        <v>17</v>
      </c>
      <c r="U12" s="16">
        <f t="shared" ca="1" si="1"/>
        <v>18</v>
      </c>
      <c r="V12" s="16">
        <f t="shared" ca="1" si="1"/>
        <v>19</v>
      </c>
      <c r="W12" s="16">
        <f t="shared" ca="1" si="1"/>
        <v>20</v>
      </c>
      <c r="X12" s="16" t="e">
        <f t="shared" ca="1" si="1"/>
        <v>#N/A</v>
      </c>
      <c r="Y12" s="16" t="e">
        <f t="shared" ca="1" si="1"/>
        <v>#N/A</v>
      </c>
      <c r="Z12" s="16" t="e">
        <f t="shared" ca="1" si="1"/>
        <v>#N/A</v>
      </c>
      <c r="AA12" s="16" t="e">
        <f t="shared" ca="1" si="1"/>
        <v>#N/A</v>
      </c>
    </row>
    <row r="13" spans="1:27" x14ac:dyDescent="0.25">
      <c r="A13" s="44" t="s">
        <v>165</v>
      </c>
      <c r="B13" s="45">
        <f t="shared" ref="B13:B57" ca="1" si="2">IFERROR(MATCH(A13,OFFSET(DIV_BV_WP,0,0,,1),0),"")</f>
        <v>4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77">
        <f ca="1">IFERROR(AVERAGE(G13:W13),"N/A")</f>
        <v>6.2974456132472434E-2</v>
      </c>
      <c r="G13" s="77">
        <f>IFERROR(IF(VLOOKUP($A13,'2022 Data (WP)'!$D$9:$AA$70,19,FALSE)=0,"",VLOOKUP($A13,'2022 Data (WP)'!$D$9:$AA$70,19,FALSE)),"N/A")</f>
        <v>7.9687500000000008E-2</v>
      </c>
      <c r="H13" s="77">
        <f>IFERROR(IF(VLOOKUP($A13,'2021 Data (WP)'!$D$9:$AA$70,19,FALSE)=0,"",VLOOKUP($A13,'2021 Data (WP)'!$D$9:$AA$70,19,FALSE)),"N/A")</f>
        <v>7.5390414647280551E-2</v>
      </c>
      <c r="I13" s="77">
        <f>IFERROR(IF(VLOOKUP($A13,'2020 Data (WP)'!$D$9:$AA$70,19,FALSE)=0,"",VLOOKUP($A13,'2020 Data (WP)'!$D$9:$AA$70,19,FALSE)),"N/A")</f>
        <v>7.3605520414031053E-2</v>
      </c>
      <c r="J13" s="77">
        <f>IFERROR(IF(VLOOKUP($A13,LUCurYr,19,FALSE)=0,"",VLOOKUP($A13,LUCurYr,19,FALSE)),"N/A")</f>
        <v>7.2049689440993783E-2</v>
      </c>
      <c r="K13" s="77">
        <f t="shared" ref="K13:W28" ca="1" si="4">IFERROR(INDEX(DIV_BV_WP,$B13,K$12),"N/A")</f>
        <v>6.9801132622151985E-2</v>
      </c>
      <c r="L13" s="77">
        <f t="shared" ca="1" si="4"/>
        <v>6.8526337647954599E-2</v>
      </c>
      <c r="M13" s="77">
        <f t="shared" ca="1" si="4"/>
        <v>6.7623557265463152E-2</v>
      </c>
      <c r="N13" s="77">
        <f t="shared" ca="1" si="4"/>
        <v>6.8468468468468463E-2</v>
      </c>
      <c r="O13" s="77">
        <f t="shared" ca="1" si="4"/>
        <v>6.2778575205862358E-2</v>
      </c>
      <c r="P13" s="77">
        <f t="shared" ca="1" si="4"/>
        <v>5.9762522607533224E-2</v>
      </c>
      <c r="Q13" s="77">
        <f t="shared" ca="1" si="4"/>
        <v>5.381812017967625E-2</v>
      </c>
      <c r="R13" s="77">
        <f t="shared" ca="1" si="4"/>
        <v>5.073332718383914E-2</v>
      </c>
      <c r="S13" s="77">
        <f t="shared" ca="1" si="4"/>
        <v>5.1322542439794713E-2</v>
      </c>
      <c r="T13" s="77">
        <f t="shared" ca="1" si="4"/>
        <v>5.2077962256367953E-2</v>
      </c>
      <c r="U13" s="77">
        <f t="shared" ca="1" si="4"/>
        <v>5.5716514374860707E-2</v>
      </c>
      <c r="V13" s="77">
        <f t="shared" ca="1" si="4"/>
        <v>5.4522641724649254E-2</v>
      </c>
      <c r="W13" s="77">
        <f t="shared" ca="1" si="4"/>
        <v>5.4680927773104196E-2</v>
      </c>
      <c r="X13" s="62"/>
      <c r="Y13" s="62"/>
      <c r="Z13" s="62"/>
      <c r="AA13" s="62"/>
    </row>
    <row r="14" spans="1:27" x14ac:dyDescent="0.25">
      <c r="A14" s="44" t="s">
        <v>167</v>
      </c>
      <c r="B14" s="45">
        <f t="shared" ca="1" si="2"/>
        <v>5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77">
        <f ca="1">IFERROR(AVERAGE(G14:W14),"N/A")</f>
        <v>4.0813129733976009E-2</v>
      </c>
      <c r="G14" s="77">
        <f>IFERROR(IF(VLOOKUP($A14,'2022 Data (WP)'!$D$9:$AA$70,19,FALSE)=0,"",VLOOKUP($A14,'2022 Data (WP)'!$D$9:$AA$70,19,FALSE)),"N/A")</f>
        <v>6.0756501182033094E-2</v>
      </c>
      <c r="H14" s="77">
        <f>IFERROR(IF(VLOOKUP($A14,'2020 Data (WP)'!$D$9:$AA$70,19,FALSE)=0,"",VLOOKUP($A14,'2020 Data (WP)'!$D$9:$AA$70,19,FALSE)),"N/A")</f>
        <v>6.0427206295671727E-2</v>
      </c>
      <c r="I14" s="77">
        <f>IFERROR(IF(VLOOKUP($A14,'2020 Data (WP)'!$D$9:$AA$70,19,FALSE)=0,"",VLOOKUP($A14,'2020 Data (WP)'!$D$9:$AA$70,19,FALSE)),"N/A")</f>
        <v>6.0427206295671727E-2</v>
      </c>
      <c r="J14" s="77">
        <f>IFERROR(IF(VLOOKUP($A14,LUCurYr,19,FALSE)=0,"",VLOOKUP($A14,LUCurYr,19,FALSE)),"N/A")</f>
        <v>5.6976744186046514E-2</v>
      </c>
      <c r="K14" s="77">
        <f t="shared" ca="1" si="4"/>
        <v>5.4911154985192501E-2</v>
      </c>
      <c r="L14" s="77">
        <f t="shared" ca="1" si="4"/>
        <v>5.3761656655493983E-2</v>
      </c>
      <c r="M14" s="77">
        <f t="shared" ca="1" si="4"/>
        <v>5.0268440310501657E-2</v>
      </c>
      <c r="N14" s="77">
        <f t="shared" ca="1" si="4"/>
        <v>4.707464694014795E-2</v>
      </c>
      <c r="O14" s="77">
        <f t="shared" ca="1" si="4"/>
        <v>4.4175094008981057E-2</v>
      </c>
      <c r="P14" s="77">
        <f t="shared" ca="1" si="4"/>
        <v>3.1669431458301915E-2</v>
      </c>
      <c r="Q14" s="77">
        <f t="shared" ca="1" si="4"/>
        <v>4.8197570205138415E-2</v>
      </c>
      <c r="R14" s="77">
        <f t="shared" ca="1" si="4"/>
        <v>3.7324264919338115E-2</v>
      </c>
      <c r="S14" s="77">
        <f t="shared" ca="1" si="4"/>
        <v>3.6459216550788535E-2</v>
      </c>
      <c r="T14" s="77">
        <f t="shared" ca="1" si="4"/>
        <v>3.579223046704496E-2</v>
      </c>
      <c r="U14" s="77">
        <f t="shared" ca="1" si="4"/>
        <v>1.5601841017240034E-2</v>
      </c>
      <c r="V14" s="77">
        <f t="shared" ca="1" si="4"/>
        <v>0</v>
      </c>
      <c r="W14" s="77">
        <f t="shared" ca="1" si="4"/>
        <v>0</v>
      </c>
      <c r="X14" s="62"/>
      <c r="Y14" s="62"/>
      <c r="Z14" s="62"/>
      <c r="AA14" s="62"/>
    </row>
    <row r="15" spans="1:27" x14ac:dyDescent="0.25">
      <c r="A15" s="44" t="s">
        <v>533</v>
      </c>
      <c r="B15" s="45">
        <v>8</v>
      </c>
      <c r="C15" s="1">
        <f ca="1">IF(ISERROR(D15),"",IF(D15="","",MAX($C$12:C14)+1))</f>
        <v>3</v>
      </c>
      <c r="D15" t="s">
        <v>548</v>
      </c>
      <c r="E15" s="15"/>
      <c r="F15" s="77">
        <f t="shared" ref="F15:F57" ca="1" si="5">IFERROR(AVERAGE(G15:W15),"N/A")</f>
        <v>6.4657632051786207E-2</v>
      </c>
      <c r="G15" s="77">
        <f>IFERROR(IF(VLOOKUP($A15,'2022 Data (WP)'!$D$9:$AA$70,19,FALSE)=0,"",VLOOKUP($A15,'2022 Data (WP)'!$D$9:$AA$70,19,FALSE)),"N/A")</f>
        <v>5.4438450220696426E-2</v>
      </c>
      <c r="H15" s="77">
        <f>IFERROR(IF(VLOOKUP($A15,'2020 Data (WP)'!$D$9:$AA$70,19,FALSE)=0,"",VLOOKUP($A15,'2020 Data (WP)'!$D$9:$AA$70,19,FALSE)),"N/A")</f>
        <v>5.0811943425877422E-2</v>
      </c>
      <c r="I15" s="77">
        <f>IFERROR(IF(VLOOKUP($A15,'2020 Data (WP)'!$D$9:$AA$70,19,FALSE)=0,"",VLOOKUP($A15,'2020 Data (WP)'!$D$9:$AA$70,19,FALSE)),"N/A")</f>
        <v>5.0811943425877422E-2</v>
      </c>
      <c r="J15" s="77">
        <f>IFERROR(IF(VLOOKUP("WTR",LUCurYr,19,FALSE)=0,"",VLOOKUP("WTR",LUCurYr,19,FALSE)),"N/A")</f>
        <v>5.0555555555555555E-2</v>
      </c>
      <c r="K15" s="77">
        <f t="shared" ca="1" si="4"/>
        <v>7.5334574138083851E-2</v>
      </c>
      <c r="L15" s="77">
        <f t="shared" ca="1" si="4"/>
        <v>7.1713870733478582E-2</v>
      </c>
      <c r="M15" s="77">
        <f t="shared" ca="1" si="4"/>
        <v>7.0955988110077667E-2</v>
      </c>
      <c r="N15" s="77">
        <f t="shared" ca="1" si="4"/>
        <v>7.0581014729950903E-2</v>
      </c>
      <c r="O15" s="77">
        <f t="shared" ca="1" si="4"/>
        <v>6.7968497141007653E-2</v>
      </c>
      <c r="P15" s="77">
        <f t="shared" ca="1" si="4"/>
        <v>6.7230787063869243E-2</v>
      </c>
      <c r="Q15" s="77">
        <f t="shared" ca="1" si="4"/>
        <v>6.7856690720344351E-2</v>
      </c>
      <c r="R15" s="77">
        <f t="shared" ca="1" si="4"/>
        <v>6.9922308546059936E-2</v>
      </c>
      <c r="S15" s="77">
        <f t="shared" ca="1" si="4"/>
        <v>6.9320017623733285E-2</v>
      </c>
      <c r="T15" s="77">
        <f t="shared" ca="1" si="4"/>
        <v>6.7692307692307691E-2</v>
      </c>
      <c r="U15" s="77">
        <f t="shared" ca="1" si="4"/>
        <v>6.5227817745803357E-2</v>
      </c>
      <c r="V15" s="77">
        <f t="shared" ca="1" si="4"/>
        <v>6.5584970111016216E-2</v>
      </c>
      <c r="W15" s="77">
        <f t="shared" ca="1" si="4"/>
        <v>6.3173007896625985E-2</v>
      </c>
      <c r="X15" s="62"/>
      <c r="Y15" s="62"/>
      <c r="Z15" s="62"/>
      <c r="AA15" s="62"/>
    </row>
    <row r="16" spans="1:27" x14ac:dyDescent="0.25">
      <c r="A16" s="44" t="s">
        <v>177</v>
      </c>
      <c r="B16" s="45">
        <f t="shared" ca="1" si="2"/>
        <v>13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77">
        <f t="shared" ca="1" si="5"/>
        <v>5.2902835979081041E-2</v>
      </c>
      <c r="G16" s="77">
        <f>IFERROR(IF(VLOOKUP($A16,'2022 Data (WP)'!$D$9:$AA$70,19,FALSE)=0,"",VLOOKUP($A16,'2022 Data (WP)'!$D$9:$AA$70,19,FALSE)),"N/A")</f>
        <v>4.2194092827004218E-2</v>
      </c>
      <c r="H16" s="77">
        <f>IFERROR(IF(VLOOKUP($A16,'2020 Data (WP)'!$D$9:$AA$70,19,FALSE)=0,"",VLOOKUP($A16,'2020 Data (WP)'!$D$9:$AA$70,19,FALSE)),"N/A")</f>
        <v>4.6448087431693985E-2</v>
      </c>
      <c r="I16" s="77">
        <f>IFERROR(IF(VLOOKUP($A16,'2020 Data (WP)'!$D$9:$AA$70,19,FALSE)=0,"",VLOOKUP($A16,'2020 Data (WP)'!$D$9:$AA$70,19,FALSE)),"N/A")</f>
        <v>4.6448087431693985E-2</v>
      </c>
      <c r="J16" s="77">
        <f t="shared" ref="J16:J57" si="6">IFERROR(IF(VLOOKUP($A16,LUCurYr,19,FALSE)=0,"",VLOOKUP($A16,LUCurYr,19,FALSE)),"N/A")</f>
        <v>4.9842271293375401E-2</v>
      </c>
      <c r="K16" s="77">
        <f t="shared" ca="1" si="4"/>
        <v>4.9371338292409979E-2</v>
      </c>
      <c r="L16" s="77">
        <f t="shared" ca="1" si="4"/>
        <v>4.9847687621157571E-2</v>
      </c>
      <c r="M16" s="77">
        <f t="shared" ca="1" si="4"/>
        <v>5.0185468034038831E-2</v>
      </c>
      <c r="N16" s="77">
        <f t="shared" ca="1" si="4"/>
        <v>4.9951539551181694E-2</v>
      </c>
      <c r="O16" s="77">
        <f t="shared" ca="1" si="4"/>
        <v>4.9588037839487335E-2</v>
      </c>
      <c r="P16" s="77">
        <f t="shared" ca="1" si="4"/>
        <v>5.1028544091851383E-2</v>
      </c>
      <c r="Q16" s="77">
        <f t="shared" ca="1" si="4"/>
        <v>5.5831265508684863E-2</v>
      </c>
      <c r="R16" s="77">
        <f t="shared" ca="1" si="4"/>
        <v>5.7172073998326675E-2</v>
      </c>
      <c r="S16" s="77">
        <f t="shared" ca="1" si="4"/>
        <v>5.692145795465417E-2</v>
      </c>
      <c r="T16" s="77">
        <f t="shared" ca="1" si="4"/>
        <v>5.8254344391785146E-2</v>
      </c>
      <c r="U16" s="77">
        <f t="shared" ca="1" si="4"/>
        <v>6.0172803949804565E-2</v>
      </c>
      <c r="V16" s="77">
        <f t="shared" ca="1" si="4"/>
        <v>6.271626297577855E-2</v>
      </c>
      <c r="W16" s="77">
        <f t="shared" ca="1" si="4"/>
        <v>6.3374848451449348E-2</v>
      </c>
      <c r="X16" s="62"/>
      <c r="Y16" s="62"/>
      <c r="Z16" s="62"/>
      <c r="AA16" s="62"/>
    </row>
    <row r="17" spans="1:27" x14ac:dyDescent="0.25">
      <c r="A17" s="44" t="s">
        <v>188</v>
      </c>
      <c r="B17" s="45">
        <f t="shared" ca="1" si="2"/>
        <v>42</v>
      </c>
      <c r="C17" s="1">
        <f ca="1">IF(ISERROR(D17),"",IF(D17="","",MAX($C$12:C16)+1))</f>
        <v>5</v>
      </c>
      <c r="D17" t="str">
        <f t="shared" ca="1" si="3"/>
        <v>Middlesex Water</v>
      </c>
      <c r="E17" s="15"/>
      <c r="F17" s="77">
        <f t="shared" ca="1" si="5"/>
        <v>6.2500304238620144E-2</v>
      </c>
      <c r="G17" s="77">
        <f>IFERROR(IF(VLOOKUP($A17,'2022 Data (WP)'!$D$9:$AA$70,19,FALSE)=0,"",VLOOKUP($A17,'2022 Data (WP)'!$D$9:$AA$70,19,FALSE)),"N/A")</f>
        <v>5.2097130242825605E-2</v>
      </c>
      <c r="H17" s="77">
        <f>IFERROR(IF(VLOOKUP($A17,'2020 Data (WP)'!$D$9:$AA$70,19,FALSE)=0,"",VLOOKUP($A17,'2020 Data (WP)'!$D$9:$AA$70,19,FALSE)),"N/A")</f>
        <v>5.2498738011105509E-2</v>
      </c>
      <c r="I17" s="77">
        <f>IFERROR(IF(VLOOKUP($A17,'2020 Data (WP)'!$D$9:$AA$70,19,FALSE)=0,"",VLOOKUP($A17,'2020 Data (WP)'!$D$9:$AA$70,19,FALSE)),"N/A")</f>
        <v>5.2498738011105509E-2</v>
      </c>
      <c r="J17" s="77">
        <f t="shared" si="6"/>
        <v>6.2420382165605096E-2</v>
      </c>
      <c r="K17" s="77">
        <f t="shared" ca="1" si="4"/>
        <v>6.0064613964528252E-2</v>
      </c>
      <c r="L17" s="77">
        <f t="shared" ca="1" si="4"/>
        <v>6.1220121298608633E-2</v>
      </c>
      <c r="M17" s="77">
        <f t="shared" ca="1" si="4"/>
        <v>6.0280513279618031E-2</v>
      </c>
      <c r="N17" s="77">
        <f t="shared" ca="1" si="4"/>
        <v>6.0915299474056044E-2</v>
      </c>
      <c r="O17" s="77">
        <f t="shared" ca="1" si="4"/>
        <v>6.2356979405034325E-2</v>
      </c>
      <c r="P17" s="77">
        <f t="shared" ca="1" si="4"/>
        <v>6.3684032476319347E-2</v>
      </c>
      <c r="Q17" s="77">
        <f t="shared" ca="1" si="4"/>
        <v>6.4698711250435387E-2</v>
      </c>
      <c r="R17" s="77">
        <f t="shared" ca="1" si="4"/>
        <v>6.5039929015084291E-2</v>
      </c>
      <c r="S17" s="77">
        <f t="shared" ca="1" si="4"/>
        <v>6.494789795185052E-2</v>
      </c>
      <c r="T17" s="77">
        <f t="shared" ca="1" si="4"/>
        <v>6.9028947623196821E-2</v>
      </c>
      <c r="U17" s="77">
        <f t="shared" ca="1" si="4"/>
        <v>7.0096719513411107E-2</v>
      </c>
      <c r="V17" s="77">
        <f t="shared" ca="1" si="4"/>
        <v>6.8927789934354472E-2</v>
      </c>
      <c r="W17" s="77">
        <f t="shared" ca="1" si="4"/>
        <v>7.1728628439403488E-2</v>
      </c>
      <c r="X17" s="62"/>
      <c r="Y17" s="62"/>
      <c r="Z17" s="62"/>
      <c r="AA17" s="62"/>
    </row>
    <row r="18" spans="1:27" x14ac:dyDescent="0.25">
      <c r="A18" s="44" t="s">
        <v>196</v>
      </c>
      <c r="B18" s="45">
        <f t="shared" ca="1" si="2"/>
        <v>61</v>
      </c>
      <c r="C18" s="1">
        <f ca="1">IF(ISERROR(D18),"",IF(D18="","",MAX($C$12:C17)+1))</f>
        <v>6</v>
      </c>
      <c r="D18" t="str">
        <f t="shared" ca="1" si="3"/>
        <v>SJW Corp.</v>
      </c>
      <c r="E18" s="15"/>
      <c r="F18" s="77">
        <f t="shared" ca="1" si="5"/>
        <v>4.3626102792172577E-2</v>
      </c>
      <c r="G18" s="77">
        <f>IFERROR(IF(VLOOKUP($A18,'2022 Data (WP)'!$D$9:$AA$70,19,FALSE)=0,"",VLOOKUP($A18,'2022 Data (WP)'!$D$9:$AA$70,19,FALSE)),"N/A")</f>
        <v>3.9933444259567387E-2</v>
      </c>
      <c r="H18" s="77">
        <f>IFERROR(IF(VLOOKUP($A18,'2020 Data (WP)'!$D$9:$AA$70,19,FALSE)=0,"",VLOOKUP($A18,'2020 Data (WP)'!$D$9:$AA$70,19,FALSE)),"N/A")</f>
        <v>3.9850560398505611E-2</v>
      </c>
      <c r="I18" s="77">
        <f>IFERROR(IF(VLOOKUP($A18,'2020 Data (WP)'!$D$9:$AA$70,19,FALSE)=0,"",VLOOKUP($A18,'2020 Data (WP)'!$D$9:$AA$70,19,FALSE)),"N/A")</f>
        <v>3.9850560398505611E-2</v>
      </c>
      <c r="J18" s="77">
        <f t="shared" si="6"/>
        <v>3.8461538461538464E-2</v>
      </c>
      <c r="K18" s="77">
        <f t="shared" ca="1" si="4"/>
        <v>3.5772461592513335E-2</v>
      </c>
      <c r="L18" s="77">
        <f t="shared" ca="1" si="4"/>
        <v>4.6074782916888185E-2</v>
      </c>
      <c r="M18" s="77">
        <f t="shared" ca="1" si="4"/>
        <v>3.9297496603920054E-2</v>
      </c>
      <c r="N18" s="77">
        <f t="shared" ca="1" si="4"/>
        <v>4.142326075411578E-2</v>
      </c>
      <c r="O18" s="77">
        <f t="shared" ca="1" si="4"/>
        <v>4.2246380893370135E-2</v>
      </c>
      <c r="P18" s="77">
        <f t="shared" ca="1" si="4"/>
        <v>4.5842753077116299E-2</v>
      </c>
      <c r="Q18" s="77">
        <f t="shared" ca="1" si="4"/>
        <v>4.8273048680989937E-2</v>
      </c>
      <c r="R18" s="77">
        <f t="shared" ca="1" si="4"/>
        <v>4.8594971476864562E-2</v>
      </c>
      <c r="S18" s="77">
        <f t="shared" ca="1" si="4"/>
        <v>4.9465337891903695E-2</v>
      </c>
      <c r="T18" s="77">
        <f t="shared" ca="1" si="4"/>
        <v>4.8309178743961352E-2</v>
      </c>
      <c r="U18" s="77">
        <f t="shared" ca="1" si="4"/>
        <v>4.6094475809333235E-2</v>
      </c>
      <c r="V18" s="77">
        <f t="shared" ca="1" si="4"/>
        <v>4.6884686918784869E-2</v>
      </c>
      <c r="W18" s="77">
        <f t="shared" ca="1" si="4"/>
        <v>4.5268808589055361E-2</v>
      </c>
      <c r="X18" s="62"/>
      <c r="Y18" s="62"/>
      <c r="Z18" s="62"/>
      <c r="AA18" s="62"/>
    </row>
    <row r="19" spans="1:27" hidden="1" x14ac:dyDescent="0.25">
      <c r="A19" s="44"/>
      <c r="B19" s="45" t="str">
        <f t="shared" ca="1" si="2"/>
        <v/>
      </c>
      <c r="C19" s="1" t="str">
        <f>IF(ISERROR(D19),"",IF(D19="","",MAX($C$12:C18)+1))</f>
        <v/>
      </c>
      <c r="D19" t="e">
        <f t="shared" si="3"/>
        <v>#N/A</v>
      </c>
      <c r="E19" s="15"/>
      <c r="F19" s="77" t="str">
        <f t="shared" ca="1" si="5"/>
        <v>N/A</v>
      </c>
      <c r="G19" s="77" t="str">
        <f>IFERROR(IF(VLOOKUP($A19,'2022 Data (WP)'!$D$9:$AA$70,19,FALSE)=0,"",VLOOKUP($A19,'2022 Data (WP)'!$D$9:$AA$70,19,FALSE)),"N/A")</f>
        <v>N/A</v>
      </c>
      <c r="H19" s="77" t="str">
        <f>IFERROR(IF(VLOOKUP($A19,'2020 Data (WP)'!$D$9:$AA$70,19,FALSE)=0,"",VLOOKUP($A19,'2020 Data (WP)'!$D$9:$AA$70,19,FALSE)),"N/A")</f>
        <v>N/A</v>
      </c>
      <c r="I19" s="77" t="str">
        <f>IFERROR(IF(VLOOKUP($A19,'2020 Data (WP)'!$D$9:$AA$70,19,FALSE)=0,"",VLOOKUP($A19,'2020 Data (WP)'!$D$9:$AA$70,19,FALSE)),"N/A")</f>
        <v>N/A</v>
      </c>
      <c r="J19" s="77" t="str">
        <f t="shared" si="6"/>
        <v>N/A</v>
      </c>
      <c r="K19" s="77" t="str">
        <f t="shared" ca="1" si="4"/>
        <v>N/A</v>
      </c>
      <c r="L19" s="77" t="str">
        <f t="shared" ca="1" si="4"/>
        <v>N/A</v>
      </c>
      <c r="M19" s="77" t="str">
        <f t="shared" ca="1" si="4"/>
        <v>N/A</v>
      </c>
      <c r="N19" s="77" t="str">
        <f t="shared" ca="1" si="4"/>
        <v>N/A</v>
      </c>
      <c r="O19" s="77" t="str">
        <f t="shared" ca="1" si="4"/>
        <v>N/A</v>
      </c>
      <c r="P19" s="77" t="str">
        <f t="shared" ca="1" si="4"/>
        <v>N/A</v>
      </c>
      <c r="Q19" s="77" t="str">
        <f t="shared" ca="1" si="4"/>
        <v>N/A</v>
      </c>
      <c r="R19" s="77" t="str">
        <f t="shared" ca="1" si="4"/>
        <v>N/A</v>
      </c>
      <c r="S19" s="77" t="str">
        <f t="shared" ca="1" si="4"/>
        <v>N/A</v>
      </c>
      <c r="T19" s="77" t="str">
        <f t="shared" ca="1" si="4"/>
        <v>N/A</v>
      </c>
      <c r="U19" s="77" t="str">
        <f t="shared" ca="1" si="4"/>
        <v>N/A</v>
      </c>
      <c r="V19" s="77" t="str">
        <f t="shared" ca="1" si="4"/>
        <v>N/A</v>
      </c>
      <c r="W19" s="77" t="str">
        <f t="shared" ca="1" si="4"/>
        <v>N/A</v>
      </c>
      <c r="X19" s="62"/>
      <c r="Y19" s="62"/>
      <c r="Z19" s="62"/>
      <c r="AA19" s="62"/>
    </row>
    <row r="20" spans="1:27" hidden="1" x14ac:dyDescent="0.25">
      <c r="A20" s="44"/>
      <c r="B20" s="45" t="str">
        <f t="shared" ca="1" si="2"/>
        <v/>
      </c>
      <c r="C20" s="1" t="str">
        <f>IF(ISERROR(D20),"",IF(D20="","",MAX($C$12:C19)+1))</f>
        <v/>
      </c>
      <c r="D20" t="e">
        <f t="shared" si="3"/>
        <v>#N/A</v>
      </c>
      <c r="E20" s="15"/>
      <c r="F20" s="77" t="str">
        <f t="shared" ca="1" si="5"/>
        <v>N/A</v>
      </c>
      <c r="G20" s="77" t="str">
        <f>IFERROR(IF(VLOOKUP($A20,'2022 Data (WP)'!$D$9:$AA$70,19,FALSE)=0,"",VLOOKUP($A20,'2022 Data (WP)'!$D$9:$AA$70,19,FALSE)),"N/A")</f>
        <v>N/A</v>
      </c>
      <c r="H20" s="77" t="str">
        <f>IFERROR(IF(VLOOKUP($A20,'2020 Data (WP)'!$D$9:$AA$70,19,FALSE)=0,"",VLOOKUP($A20,'2020 Data (WP)'!$D$9:$AA$70,19,FALSE)),"N/A")</f>
        <v>N/A</v>
      </c>
      <c r="I20" s="77" t="str">
        <f>IFERROR(IF(VLOOKUP($A20,'2020 Data (WP)'!$D$9:$AA$70,19,FALSE)=0,"",VLOOKUP($A20,'2020 Data (WP)'!$D$9:$AA$70,19,FALSE)),"N/A")</f>
        <v>N/A</v>
      </c>
      <c r="J20" s="77" t="str">
        <f t="shared" si="6"/>
        <v>N/A</v>
      </c>
      <c r="K20" s="77" t="str">
        <f t="shared" ca="1" si="4"/>
        <v>N/A</v>
      </c>
      <c r="L20" s="77" t="str">
        <f t="shared" ca="1" si="4"/>
        <v>N/A</v>
      </c>
      <c r="M20" s="77" t="str">
        <f t="shared" ca="1" si="4"/>
        <v>N/A</v>
      </c>
      <c r="N20" s="77" t="str">
        <f t="shared" ca="1" si="4"/>
        <v>N/A</v>
      </c>
      <c r="O20" s="77" t="str">
        <f t="shared" ca="1" si="4"/>
        <v>N/A</v>
      </c>
      <c r="P20" s="77" t="str">
        <f t="shared" ca="1" si="4"/>
        <v>N/A</v>
      </c>
      <c r="Q20" s="77" t="str">
        <f t="shared" ca="1" si="4"/>
        <v>N/A</v>
      </c>
      <c r="R20" s="77" t="str">
        <f t="shared" ca="1" si="4"/>
        <v>N/A</v>
      </c>
      <c r="S20" s="77" t="str">
        <f t="shared" ca="1" si="4"/>
        <v>N/A</v>
      </c>
      <c r="T20" s="77" t="str">
        <f t="shared" ca="1" si="4"/>
        <v>N/A</v>
      </c>
      <c r="U20" s="77" t="str">
        <f t="shared" ca="1" si="4"/>
        <v>N/A</v>
      </c>
      <c r="V20" s="77" t="str">
        <f t="shared" ca="1" si="4"/>
        <v>N/A</v>
      </c>
      <c r="W20" s="77" t="str">
        <f t="shared" ca="1" si="4"/>
        <v>N/A</v>
      </c>
      <c r="X20" s="62"/>
      <c r="Y20" s="62"/>
      <c r="Z20" s="62"/>
      <c r="AA20" s="62"/>
    </row>
    <row r="21" spans="1:27" hidden="1" x14ac:dyDescent="0.25">
      <c r="A21" s="44"/>
      <c r="B21" s="45" t="str">
        <f t="shared" ca="1" si="2"/>
        <v/>
      </c>
      <c r="C21" s="1" t="str">
        <f>IF(ISERROR(D21),"",IF(D21="","",MAX($C$12:C20)+1))</f>
        <v/>
      </c>
      <c r="D21" t="e">
        <f t="shared" si="3"/>
        <v>#N/A</v>
      </c>
      <c r="E21" s="15"/>
      <c r="F21" s="77" t="str">
        <f t="shared" ca="1" si="5"/>
        <v>N/A</v>
      </c>
      <c r="G21" s="77"/>
      <c r="H21" s="77"/>
      <c r="I21" s="77"/>
      <c r="J21" s="77" t="str">
        <f t="shared" si="6"/>
        <v>N/A</v>
      </c>
      <c r="K21" s="77" t="str">
        <f t="shared" ca="1" si="4"/>
        <v>N/A</v>
      </c>
      <c r="L21" s="77" t="str">
        <f t="shared" ca="1" si="4"/>
        <v>N/A</v>
      </c>
      <c r="M21" s="77" t="str">
        <f t="shared" ca="1" si="4"/>
        <v>N/A</v>
      </c>
      <c r="N21" s="77" t="str">
        <f t="shared" ca="1" si="4"/>
        <v>N/A</v>
      </c>
      <c r="O21" s="77" t="str">
        <f t="shared" ca="1" si="4"/>
        <v>N/A</v>
      </c>
      <c r="P21" s="77" t="str">
        <f t="shared" ca="1" si="4"/>
        <v>N/A</v>
      </c>
      <c r="Q21" s="77" t="str">
        <f t="shared" ca="1" si="4"/>
        <v>N/A</v>
      </c>
      <c r="R21" s="77" t="str">
        <f t="shared" ca="1" si="4"/>
        <v>N/A</v>
      </c>
      <c r="S21" s="77" t="str">
        <f t="shared" ca="1" si="4"/>
        <v>N/A</v>
      </c>
      <c r="T21" s="77" t="str">
        <f t="shared" ca="1" si="4"/>
        <v>N/A</v>
      </c>
      <c r="U21" s="77" t="str">
        <f t="shared" ca="1" si="4"/>
        <v>N/A</v>
      </c>
      <c r="V21" s="77" t="str">
        <f t="shared" ca="1" si="4"/>
        <v>N/A</v>
      </c>
      <c r="W21" s="77" t="str">
        <f t="shared" ca="1" si="4"/>
        <v>N/A</v>
      </c>
      <c r="X21" s="62"/>
      <c r="Y21" s="62"/>
      <c r="Z21" s="62"/>
      <c r="AA21" s="62"/>
    </row>
    <row r="22" spans="1:27" hidden="1" x14ac:dyDescent="0.25">
      <c r="A22" s="44"/>
      <c r="B22" s="45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77" t="str">
        <f t="shared" ca="1" si="5"/>
        <v>N/A</v>
      </c>
      <c r="G22" s="77"/>
      <c r="H22" s="77"/>
      <c r="I22" s="77"/>
      <c r="J22" s="77" t="str">
        <f t="shared" si="6"/>
        <v>N/A</v>
      </c>
      <c r="K22" s="77" t="str">
        <f t="shared" ca="1" si="4"/>
        <v>N/A</v>
      </c>
      <c r="L22" s="77" t="str">
        <f t="shared" ca="1" si="4"/>
        <v>N/A</v>
      </c>
      <c r="M22" s="77" t="str">
        <f t="shared" ca="1" si="4"/>
        <v>N/A</v>
      </c>
      <c r="N22" s="77" t="str">
        <f t="shared" ca="1" si="4"/>
        <v>N/A</v>
      </c>
      <c r="O22" s="77" t="str">
        <f t="shared" ca="1" si="4"/>
        <v>N/A</v>
      </c>
      <c r="P22" s="77" t="str">
        <f t="shared" ca="1" si="4"/>
        <v>N/A</v>
      </c>
      <c r="Q22" s="77" t="str">
        <f t="shared" ca="1" si="4"/>
        <v>N/A</v>
      </c>
      <c r="R22" s="77" t="str">
        <f t="shared" ca="1" si="4"/>
        <v>N/A</v>
      </c>
      <c r="S22" s="77" t="str">
        <f t="shared" ca="1" si="4"/>
        <v>N/A</v>
      </c>
      <c r="T22" s="77" t="str">
        <f t="shared" ca="1" si="4"/>
        <v>N/A</v>
      </c>
      <c r="U22" s="77" t="str">
        <f t="shared" ca="1" si="4"/>
        <v>N/A</v>
      </c>
      <c r="V22" s="77" t="str">
        <f t="shared" ca="1" si="4"/>
        <v>N/A</v>
      </c>
      <c r="W22" s="77" t="str">
        <f t="shared" ca="1" si="4"/>
        <v>N/A</v>
      </c>
      <c r="X22" s="62"/>
      <c r="Y22" s="62"/>
      <c r="Z22" s="62"/>
      <c r="AA22" s="62"/>
    </row>
    <row r="23" spans="1:27" hidden="1" x14ac:dyDescent="0.25">
      <c r="A23" s="44"/>
      <c r="B23" s="45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77" t="str">
        <f t="shared" ca="1" si="5"/>
        <v>N/A</v>
      </c>
      <c r="G23" s="77"/>
      <c r="H23" s="77"/>
      <c r="I23" s="77"/>
      <c r="J23" s="77" t="str">
        <f t="shared" si="6"/>
        <v>N/A</v>
      </c>
      <c r="K23" s="77" t="str">
        <f t="shared" ca="1" si="4"/>
        <v>N/A</v>
      </c>
      <c r="L23" s="77" t="str">
        <f t="shared" ca="1" si="4"/>
        <v>N/A</v>
      </c>
      <c r="M23" s="77" t="str">
        <f t="shared" ca="1" si="4"/>
        <v>N/A</v>
      </c>
      <c r="N23" s="77" t="str">
        <f t="shared" ca="1" si="4"/>
        <v>N/A</v>
      </c>
      <c r="O23" s="77" t="str">
        <f t="shared" ca="1" si="4"/>
        <v>N/A</v>
      </c>
      <c r="P23" s="77" t="str">
        <f t="shared" ca="1" si="4"/>
        <v>N/A</v>
      </c>
      <c r="Q23" s="77" t="str">
        <f t="shared" ca="1" si="4"/>
        <v>N/A</v>
      </c>
      <c r="R23" s="77" t="str">
        <f t="shared" ca="1" si="4"/>
        <v>N/A</v>
      </c>
      <c r="S23" s="77" t="str">
        <f t="shared" ca="1" si="4"/>
        <v>N/A</v>
      </c>
      <c r="T23" s="77" t="str">
        <f t="shared" ca="1" si="4"/>
        <v>N/A</v>
      </c>
      <c r="U23" s="77" t="str">
        <f t="shared" ca="1" si="4"/>
        <v>N/A</v>
      </c>
      <c r="V23" s="77" t="str">
        <f t="shared" ca="1" si="4"/>
        <v>N/A</v>
      </c>
      <c r="W23" s="77" t="str">
        <f t="shared" ca="1" si="4"/>
        <v>N/A</v>
      </c>
      <c r="X23" s="62"/>
      <c r="Y23" s="62"/>
      <c r="Z23" s="62"/>
      <c r="AA23" s="62"/>
    </row>
    <row r="24" spans="1:27" hidden="1" x14ac:dyDescent="0.25">
      <c r="A24" s="44"/>
      <c r="B24" s="45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77" t="str">
        <f t="shared" ca="1" si="5"/>
        <v>N/A</v>
      </c>
      <c r="G24" s="77"/>
      <c r="H24" s="77"/>
      <c r="I24" s="77"/>
      <c r="J24" s="77" t="str">
        <f t="shared" si="6"/>
        <v>N/A</v>
      </c>
      <c r="K24" s="77" t="str">
        <f t="shared" ca="1" si="4"/>
        <v>N/A</v>
      </c>
      <c r="L24" s="77" t="str">
        <f ca="1">IFERROR(VLOOKUP($A24,LASTYR,'[3]2017'!$N$3,FALSE),"N/A")</f>
        <v>N/A</v>
      </c>
      <c r="M24" s="77" t="str">
        <f t="shared" ca="1" si="4"/>
        <v>N/A</v>
      </c>
      <c r="N24" s="77" t="str">
        <f t="shared" ca="1" si="4"/>
        <v>N/A</v>
      </c>
      <c r="O24" s="77" t="str">
        <f t="shared" ca="1" si="4"/>
        <v>N/A</v>
      </c>
      <c r="P24" s="77" t="str">
        <f t="shared" ca="1" si="4"/>
        <v>N/A</v>
      </c>
      <c r="Q24" s="77" t="str">
        <f t="shared" ca="1" si="4"/>
        <v>N/A</v>
      </c>
      <c r="R24" s="77" t="str">
        <f t="shared" ca="1" si="4"/>
        <v>N/A</v>
      </c>
      <c r="S24" s="77" t="str">
        <f t="shared" ca="1" si="4"/>
        <v>N/A</v>
      </c>
      <c r="T24" s="77" t="str">
        <f t="shared" ca="1" si="4"/>
        <v>N/A</v>
      </c>
      <c r="U24" s="77" t="str">
        <f t="shared" ca="1" si="4"/>
        <v>N/A</v>
      </c>
      <c r="V24" s="77" t="str">
        <f t="shared" ca="1" si="4"/>
        <v>N/A</v>
      </c>
      <c r="W24" s="77" t="str">
        <f t="shared" ca="1" si="4"/>
        <v>N/A</v>
      </c>
      <c r="X24" s="62"/>
      <c r="Y24" s="62"/>
      <c r="Z24" s="62"/>
      <c r="AA24" s="62"/>
    </row>
    <row r="25" spans="1:27" hidden="1" x14ac:dyDescent="0.25">
      <c r="A25" s="44"/>
      <c r="B25" s="45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77" t="str">
        <f t="shared" ca="1" si="5"/>
        <v>N/A</v>
      </c>
      <c r="G25" s="77"/>
      <c r="H25" s="77"/>
      <c r="I25" s="77"/>
      <c r="J25" s="77" t="str">
        <f t="shared" si="6"/>
        <v>N/A</v>
      </c>
      <c r="K25" s="77" t="str">
        <f t="shared" ca="1" si="4"/>
        <v>N/A</v>
      </c>
      <c r="L25" s="77" t="str">
        <f ca="1">IFERROR(VLOOKUP($A25,LASTYR,'[3]2017'!$N$3,FALSE),"N/A")</f>
        <v>N/A</v>
      </c>
      <c r="M25" s="77" t="str">
        <f t="shared" ca="1" si="4"/>
        <v>N/A</v>
      </c>
      <c r="N25" s="77" t="str">
        <f t="shared" ca="1" si="4"/>
        <v>N/A</v>
      </c>
      <c r="O25" s="77" t="str">
        <f t="shared" ca="1" si="4"/>
        <v>N/A</v>
      </c>
      <c r="P25" s="77" t="str">
        <f t="shared" ca="1" si="4"/>
        <v>N/A</v>
      </c>
      <c r="Q25" s="77" t="str">
        <f t="shared" ca="1" si="4"/>
        <v>N/A</v>
      </c>
      <c r="R25" s="77" t="str">
        <f t="shared" ca="1" si="4"/>
        <v>N/A</v>
      </c>
      <c r="S25" s="77" t="str">
        <f t="shared" ca="1" si="4"/>
        <v>N/A</v>
      </c>
      <c r="T25" s="77" t="str">
        <f t="shared" ca="1" si="4"/>
        <v>N/A</v>
      </c>
      <c r="U25" s="77" t="str">
        <f t="shared" ca="1" si="4"/>
        <v>N/A</v>
      </c>
      <c r="V25" s="77" t="str">
        <f t="shared" ca="1" si="4"/>
        <v>N/A</v>
      </c>
      <c r="W25" s="77" t="str">
        <f t="shared" ca="1" si="4"/>
        <v>N/A</v>
      </c>
      <c r="X25" s="62"/>
      <c r="Y25" s="62"/>
      <c r="Z25" s="62"/>
      <c r="AA25" s="62"/>
    </row>
    <row r="26" spans="1:27" hidden="1" x14ac:dyDescent="0.25">
      <c r="A26" s="44"/>
      <c r="B26" s="45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77" t="str">
        <f t="shared" ca="1" si="5"/>
        <v>N/A</v>
      </c>
      <c r="G26" s="77"/>
      <c r="H26" s="77"/>
      <c r="I26" s="77"/>
      <c r="J26" s="77" t="str">
        <f t="shared" si="6"/>
        <v>N/A</v>
      </c>
      <c r="K26" s="77" t="str">
        <f t="shared" ca="1" si="4"/>
        <v>N/A</v>
      </c>
      <c r="L26" s="77" t="str">
        <f ca="1">IFERROR(VLOOKUP($A26,LASTYR,'[3]2017'!$N$3,FALSE),"N/A")</f>
        <v>N/A</v>
      </c>
      <c r="M26" s="77" t="str">
        <f t="shared" ca="1" si="4"/>
        <v>N/A</v>
      </c>
      <c r="N26" s="77" t="str">
        <f t="shared" ca="1" si="4"/>
        <v>N/A</v>
      </c>
      <c r="O26" s="77" t="str">
        <f t="shared" ca="1" si="4"/>
        <v>N/A</v>
      </c>
      <c r="P26" s="77" t="str">
        <f t="shared" ca="1" si="4"/>
        <v>N/A</v>
      </c>
      <c r="Q26" s="77" t="str">
        <f t="shared" ca="1" si="4"/>
        <v>N/A</v>
      </c>
      <c r="R26" s="77" t="str">
        <f t="shared" ca="1" si="4"/>
        <v>N/A</v>
      </c>
      <c r="S26" s="77" t="str">
        <f t="shared" ca="1" si="4"/>
        <v>N/A</v>
      </c>
      <c r="T26" s="77" t="str">
        <f t="shared" ca="1" si="4"/>
        <v>N/A</v>
      </c>
      <c r="U26" s="77" t="str">
        <f t="shared" ca="1" si="4"/>
        <v>N/A</v>
      </c>
      <c r="V26" s="77" t="str">
        <f t="shared" ca="1" si="4"/>
        <v>N/A</v>
      </c>
      <c r="W26" s="77" t="str">
        <f t="shared" ca="1" si="4"/>
        <v>N/A</v>
      </c>
      <c r="X26" s="62"/>
      <c r="Y26" s="62"/>
      <c r="Z26" s="62"/>
      <c r="AA26" s="62"/>
    </row>
    <row r="27" spans="1:27" hidden="1" x14ac:dyDescent="0.25">
      <c r="A27" s="44"/>
      <c r="B27" s="45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77" t="str">
        <f t="shared" ca="1" si="5"/>
        <v>N/A</v>
      </c>
      <c r="G27" s="77"/>
      <c r="H27" s="77"/>
      <c r="I27" s="77"/>
      <c r="J27" s="77" t="str">
        <f t="shared" si="6"/>
        <v>N/A</v>
      </c>
      <c r="K27" s="77" t="str">
        <f t="shared" ca="1" si="4"/>
        <v>N/A</v>
      </c>
      <c r="L27" s="77" t="str">
        <f ca="1">IFERROR(VLOOKUP($A27,LASTYR,'[3]2017'!$N$3,FALSE),"N/A")</f>
        <v>N/A</v>
      </c>
      <c r="M27" s="77" t="str">
        <f t="shared" ca="1" si="4"/>
        <v>N/A</v>
      </c>
      <c r="N27" s="77" t="str">
        <f t="shared" ca="1" si="4"/>
        <v>N/A</v>
      </c>
      <c r="O27" s="77" t="str">
        <f t="shared" ca="1" si="4"/>
        <v>N/A</v>
      </c>
      <c r="P27" s="77" t="str">
        <f t="shared" ca="1" si="4"/>
        <v>N/A</v>
      </c>
      <c r="Q27" s="77" t="str">
        <f t="shared" ca="1" si="4"/>
        <v>N/A</v>
      </c>
      <c r="R27" s="77" t="str">
        <f t="shared" ca="1" si="4"/>
        <v>N/A</v>
      </c>
      <c r="S27" s="77" t="str">
        <f t="shared" ca="1" si="4"/>
        <v>N/A</v>
      </c>
      <c r="T27" s="77" t="str">
        <f t="shared" ca="1" si="4"/>
        <v>N/A</v>
      </c>
      <c r="U27" s="77" t="str">
        <f t="shared" ca="1" si="4"/>
        <v>N/A</v>
      </c>
      <c r="V27" s="77" t="str">
        <f t="shared" ca="1" si="4"/>
        <v>N/A</v>
      </c>
      <c r="W27" s="77" t="str">
        <f t="shared" ca="1" si="4"/>
        <v>N/A</v>
      </c>
      <c r="X27" s="62"/>
      <c r="Y27" s="62"/>
      <c r="Z27" s="62"/>
      <c r="AA27" s="62"/>
    </row>
    <row r="28" spans="1:27" hidden="1" x14ac:dyDescent="0.25">
      <c r="A28" s="44"/>
      <c r="B28" s="45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77" t="str">
        <f t="shared" ca="1" si="5"/>
        <v>N/A</v>
      </c>
      <c r="G28" s="77"/>
      <c r="H28" s="77"/>
      <c r="I28" s="77"/>
      <c r="J28" s="77" t="str">
        <f t="shared" si="6"/>
        <v>N/A</v>
      </c>
      <c r="K28" s="77" t="str">
        <f t="shared" ca="1" si="4"/>
        <v>N/A</v>
      </c>
      <c r="L28" s="77" t="str">
        <f ca="1">IFERROR(VLOOKUP($A28,LASTYR,'[3]2017'!$N$3,FALSE),"N/A")</f>
        <v>N/A</v>
      </c>
      <c r="M28" s="77" t="str">
        <f t="shared" ca="1" si="4"/>
        <v>N/A</v>
      </c>
      <c r="N28" s="77" t="str">
        <f t="shared" ca="1" si="4"/>
        <v>N/A</v>
      </c>
      <c r="O28" s="77" t="str">
        <f t="shared" ca="1" si="4"/>
        <v>N/A</v>
      </c>
      <c r="P28" s="77" t="str">
        <f t="shared" ca="1" si="4"/>
        <v>N/A</v>
      </c>
      <c r="Q28" s="77" t="str">
        <f t="shared" ca="1" si="4"/>
        <v>N/A</v>
      </c>
      <c r="R28" s="77" t="str">
        <f t="shared" ca="1" si="4"/>
        <v>N/A</v>
      </c>
      <c r="S28" s="77" t="str">
        <f t="shared" ca="1" si="4"/>
        <v>N/A</v>
      </c>
      <c r="T28" s="77" t="str">
        <f t="shared" ca="1" si="4"/>
        <v>N/A</v>
      </c>
      <c r="U28" s="77" t="str">
        <f t="shared" ca="1" si="4"/>
        <v>N/A</v>
      </c>
      <c r="V28" s="77" t="str">
        <f t="shared" ca="1" si="4"/>
        <v>N/A</v>
      </c>
      <c r="W28" s="77" t="str">
        <f t="shared" ca="1" si="4"/>
        <v>N/A</v>
      </c>
      <c r="X28" s="62"/>
      <c r="Y28" s="62"/>
      <c r="Z28" s="62"/>
      <c r="AA28" s="62"/>
    </row>
    <row r="29" spans="1:27" hidden="1" x14ac:dyDescent="0.25">
      <c r="A29" s="44"/>
      <c r="B29" s="45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77" t="str">
        <f t="shared" ca="1" si="5"/>
        <v>N/A</v>
      </c>
      <c r="G29" s="77"/>
      <c r="H29" s="77"/>
      <c r="I29" s="77"/>
      <c r="J29" s="77" t="str">
        <f t="shared" si="6"/>
        <v>N/A</v>
      </c>
      <c r="K29" s="77" t="str">
        <f t="shared" ref="K29:K57" ca="1" si="7">IFERROR(INDEX(DIV_BV_WP,$B29,K$12),"N/A")</f>
        <v>N/A</v>
      </c>
      <c r="L29" s="77" t="str">
        <f ca="1">IFERROR(VLOOKUP($A29,LASTYR,'[3]2017'!$N$3,FALSE),"N/A")</f>
        <v>N/A</v>
      </c>
      <c r="M29" s="77" t="str">
        <f t="shared" ref="M29:W52" ca="1" si="8">IFERROR(INDEX(DIV_BV_WP,$B29,M$12),"N/A")</f>
        <v>N/A</v>
      </c>
      <c r="N29" s="77" t="str">
        <f t="shared" ca="1" si="8"/>
        <v>N/A</v>
      </c>
      <c r="O29" s="77" t="str">
        <f t="shared" ca="1" si="8"/>
        <v>N/A</v>
      </c>
      <c r="P29" s="77" t="str">
        <f t="shared" ca="1" si="8"/>
        <v>N/A</v>
      </c>
      <c r="Q29" s="77" t="str">
        <f t="shared" ca="1" si="8"/>
        <v>N/A</v>
      </c>
      <c r="R29" s="77" t="str">
        <f t="shared" ca="1" si="8"/>
        <v>N/A</v>
      </c>
      <c r="S29" s="77" t="str">
        <f t="shared" ca="1" si="8"/>
        <v>N/A</v>
      </c>
      <c r="T29" s="77" t="str">
        <f t="shared" ca="1" si="8"/>
        <v>N/A</v>
      </c>
      <c r="U29" s="77" t="str">
        <f t="shared" ca="1" si="8"/>
        <v>N/A</v>
      </c>
      <c r="V29" s="77" t="str">
        <f t="shared" ca="1" si="8"/>
        <v>N/A</v>
      </c>
      <c r="W29" s="77" t="str">
        <f t="shared" ca="1" si="8"/>
        <v>N/A</v>
      </c>
      <c r="X29" s="62"/>
      <c r="Y29" s="62"/>
      <c r="Z29" s="62"/>
      <c r="AA29" s="62"/>
    </row>
    <row r="30" spans="1:27" hidden="1" x14ac:dyDescent="0.25">
      <c r="A30" s="44"/>
      <c r="B30" s="45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77" t="str">
        <f t="shared" ca="1" si="5"/>
        <v>N/A</v>
      </c>
      <c r="G30" s="77"/>
      <c r="H30" s="77"/>
      <c r="I30" s="77"/>
      <c r="J30" s="77" t="str">
        <f t="shared" si="6"/>
        <v>N/A</v>
      </c>
      <c r="K30" s="77" t="str">
        <f t="shared" ca="1" si="7"/>
        <v>N/A</v>
      </c>
      <c r="L30" s="77" t="str">
        <f ca="1">IFERROR(VLOOKUP($A30,LASTYR,'[3]2017'!$N$3,FALSE),"N/A")</f>
        <v>N/A</v>
      </c>
      <c r="M30" s="77" t="str">
        <f t="shared" ca="1" si="8"/>
        <v>N/A</v>
      </c>
      <c r="N30" s="77" t="str">
        <f t="shared" ca="1" si="8"/>
        <v>N/A</v>
      </c>
      <c r="O30" s="77" t="str">
        <f t="shared" ca="1" si="8"/>
        <v>N/A</v>
      </c>
      <c r="P30" s="77" t="str">
        <f t="shared" ca="1" si="8"/>
        <v>N/A</v>
      </c>
      <c r="Q30" s="77" t="str">
        <f t="shared" ca="1" si="8"/>
        <v>N/A</v>
      </c>
      <c r="R30" s="77" t="str">
        <f t="shared" ca="1" si="8"/>
        <v>N/A</v>
      </c>
      <c r="S30" s="77" t="str">
        <f t="shared" ca="1" si="8"/>
        <v>N/A</v>
      </c>
      <c r="T30" s="77" t="str">
        <f t="shared" ca="1" si="8"/>
        <v>N/A</v>
      </c>
      <c r="U30" s="77" t="str">
        <f t="shared" ca="1" si="8"/>
        <v>N/A</v>
      </c>
      <c r="V30" s="77" t="str">
        <f t="shared" ca="1" si="8"/>
        <v>N/A</v>
      </c>
      <c r="W30" s="77" t="str">
        <f t="shared" ca="1" si="8"/>
        <v>N/A</v>
      </c>
      <c r="X30" s="62"/>
      <c r="Y30" s="62"/>
      <c r="Z30" s="62"/>
      <c r="AA30" s="62"/>
    </row>
    <row r="31" spans="1:27" hidden="1" x14ac:dyDescent="0.25">
      <c r="A31" s="44"/>
      <c r="B31" s="45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77" t="str">
        <f t="shared" ca="1" si="5"/>
        <v>N/A</v>
      </c>
      <c r="G31" s="77"/>
      <c r="H31" s="77"/>
      <c r="I31" s="77"/>
      <c r="J31" s="77" t="str">
        <f t="shared" si="6"/>
        <v>N/A</v>
      </c>
      <c r="K31" s="77" t="str">
        <f t="shared" ca="1" si="7"/>
        <v>N/A</v>
      </c>
      <c r="L31" s="77" t="str">
        <f ca="1">IFERROR(VLOOKUP($A31,LASTYR,'[3]2017'!$N$3,FALSE),"N/A")</f>
        <v>N/A</v>
      </c>
      <c r="M31" s="77" t="str">
        <f t="shared" ca="1" si="8"/>
        <v>N/A</v>
      </c>
      <c r="N31" s="77" t="str">
        <f t="shared" ca="1" si="8"/>
        <v>N/A</v>
      </c>
      <c r="O31" s="77" t="str">
        <f t="shared" ca="1" si="8"/>
        <v>N/A</v>
      </c>
      <c r="P31" s="77" t="str">
        <f t="shared" ca="1" si="8"/>
        <v>N/A</v>
      </c>
      <c r="Q31" s="77" t="str">
        <f t="shared" ca="1" si="8"/>
        <v>N/A</v>
      </c>
      <c r="R31" s="77" t="str">
        <f t="shared" ca="1" si="8"/>
        <v>N/A</v>
      </c>
      <c r="S31" s="77" t="str">
        <f t="shared" ca="1" si="8"/>
        <v>N/A</v>
      </c>
      <c r="T31" s="77" t="str">
        <f t="shared" ca="1" si="8"/>
        <v>N/A</v>
      </c>
      <c r="U31" s="77" t="str">
        <f t="shared" ca="1" si="8"/>
        <v>N/A</v>
      </c>
      <c r="V31" s="77" t="str">
        <f t="shared" ca="1" si="8"/>
        <v>N/A</v>
      </c>
      <c r="W31" s="77" t="str">
        <f t="shared" ca="1" si="8"/>
        <v>N/A</v>
      </c>
      <c r="X31" s="62"/>
      <c r="Y31" s="62"/>
      <c r="Z31" s="62"/>
      <c r="AA31" s="62"/>
    </row>
    <row r="32" spans="1:27" hidden="1" x14ac:dyDescent="0.25">
      <c r="A32" s="44"/>
      <c r="B32" s="45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77" t="str">
        <f t="shared" ca="1" si="5"/>
        <v>N/A</v>
      </c>
      <c r="G32" s="77"/>
      <c r="H32" s="77"/>
      <c r="I32" s="77"/>
      <c r="J32" s="77" t="str">
        <f t="shared" si="6"/>
        <v>N/A</v>
      </c>
      <c r="K32" s="77" t="str">
        <f t="shared" ca="1" si="7"/>
        <v>N/A</v>
      </c>
      <c r="L32" s="77" t="str">
        <f ca="1">IFERROR(VLOOKUP($A32,LASTYR,'[3]2017'!$N$3,FALSE),"N/A")</f>
        <v>N/A</v>
      </c>
      <c r="M32" s="77" t="str">
        <f t="shared" ca="1" si="8"/>
        <v>N/A</v>
      </c>
      <c r="N32" s="77" t="str">
        <f t="shared" ca="1" si="8"/>
        <v>N/A</v>
      </c>
      <c r="O32" s="77" t="str">
        <f t="shared" ca="1" si="8"/>
        <v>N/A</v>
      </c>
      <c r="P32" s="77" t="str">
        <f t="shared" ca="1" si="8"/>
        <v>N/A</v>
      </c>
      <c r="Q32" s="77" t="str">
        <f t="shared" ca="1" si="8"/>
        <v>N/A</v>
      </c>
      <c r="R32" s="77" t="str">
        <f t="shared" ca="1" si="8"/>
        <v>N/A</v>
      </c>
      <c r="S32" s="77" t="str">
        <f t="shared" ca="1" si="8"/>
        <v>N/A</v>
      </c>
      <c r="T32" s="77" t="str">
        <f t="shared" ca="1" si="8"/>
        <v>N/A</v>
      </c>
      <c r="U32" s="77" t="str">
        <f t="shared" ca="1" si="8"/>
        <v>N/A</v>
      </c>
      <c r="V32" s="77" t="str">
        <f t="shared" ca="1" si="8"/>
        <v>N/A</v>
      </c>
      <c r="W32" s="77" t="str">
        <f t="shared" ca="1" si="8"/>
        <v>N/A</v>
      </c>
      <c r="X32" s="62"/>
      <c r="Y32" s="62"/>
      <c r="Z32" s="62"/>
      <c r="AA32" s="62"/>
    </row>
    <row r="33" spans="1:27" hidden="1" x14ac:dyDescent="0.25">
      <c r="A33" s="44"/>
      <c r="B33" s="45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77" t="str">
        <f t="shared" ca="1" si="5"/>
        <v>N/A</v>
      </c>
      <c r="G33" s="77"/>
      <c r="H33" s="77"/>
      <c r="I33" s="77"/>
      <c r="J33" s="77" t="str">
        <f t="shared" si="6"/>
        <v>N/A</v>
      </c>
      <c r="K33" s="77" t="str">
        <f t="shared" ca="1" si="7"/>
        <v>N/A</v>
      </c>
      <c r="L33" s="77" t="str">
        <f ca="1">IFERROR(VLOOKUP($A33,LASTYR,'[3]2017'!$N$3,FALSE),"N/A")</f>
        <v>N/A</v>
      </c>
      <c r="M33" s="77" t="str">
        <f t="shared" ca="1" si="8"/>
        <v>N/A</v>
      </c>
      <c r="N33" s="77" t="str">
        <f t="shared" ca="1" si="8"/>
        <v>N/A</v>
      </c>
      <c r="O33" s="77" t="str">
        <f t="shared" ca="1" si="8"/>
        <v>N/A</v>
      </c>
      <c r="P33" s="77" t="str">
        <f t="shared" ca="1" si="8"/>
        <v>N/A</v>
      </c>
      <c r="Q33" s="77" t="str">
        <f t="shared" ca="1" si="8"/>
        <v>N/A</v>
      </c>
      <c r="R33" s="77" t="str">
        <f t="shared" ca="1" si="8"/>
        <v>N/A</v>
      </c>
      <c r="S33" s="77" t="str">
        <f t="shared" ca="1" si="8"/>
        <v>N/A</v>
      </c>
      <c r="T33" s="77" t="str">
        <f t="shared" ca="1" si="8"/>
        <v>N/A</v>
      </c>
      <c r="U33" s="77" t="str">
        <f t="shared" ca="1" si="8"/>
        <v>N/A</v>
      </c>
      <c r="V33" s="77" t="str">
        <f t="shared" ca="1" si="8"/>
        <v>N/A</v>
      </c>
      <c r="W33" s="77" t="str">
        <f t="shared" ca="1" si="8"/>
        <v>N/A</v>
      </c>
      <c r="X33" s="62"/>
      <c r="Y33" s="62"/>
      <c r="Z33" s="62"/>
      <c r="AA33" s="62"/>
    </row>
    <row r="34" spans="1:27" hidden="1" x14ac:dyDescent="0.25">
      <c r="A34" s="44"/>
      <c r="B34" s="45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77" t="str">
        <f t="shared" ca="1" si="5"/>
        <v>N/A</v>
      </c>
      <c r="G34" s="77"/>
      <c r="H34" s="77"/>
      <c r="I34" s="77"/>
      <c r="J34" s="77" t="str">
        <f t="shared" si="6"/>
        <v>N/A</v>
      </c>
      <c r="K34" s="77" t="str">
        <f t="shared" ca="1" si="7"/>
        <v>N/A</v>
      </c>
      <c r="L34" s="77" t="str">
        <f ca="1">IFERROR(VLOOKUP($A34,LASTYR,'[3]2017'!$N$3,FALSE),"N/A")</f>
        <v>N/A</v>
      </c>
      <c r="M34" s="77" t="str">
        <f t="shared" ca="1" si="8"/>
        <v>N/A</v>
      </c>
      <c r="N34" s="77" t="str">
        <f t="shared" ca="1" si="8"/>
        <v>N/A</v>
      </c>
      <c r="O34" s="77" t="str">
        <f t="shared" ca="1" si="8"/>
        <v>N/A</v>
      </c>
      <c r="P34" s="77" t="str">
        <f t="shared" ca="1" si="8"/>
        <v>N/A</v>
      </c>
      <c r="Q34" s="77" t="str">
        <f t="shared" ca="1" si="8"/>
        <v>N/A</v>
      </c>
      <c r="R34" s="77" t="str">
        <f t="shared" ca="1" si="8"/>
        <v>N/A</v>
      </c>
      <c r="S34" s="77" t="str">
        <f t="shared" ca="1" si="8"/>
        <v>N/A</v>
      </c>
      <c r="T34" s="77" t="str">
        <f t="shared" ca="1" si="8"/>
        <v>N/A</v>
      </c>
      <c r="U34" s="77" t="str">
        <f t="shared" ca="1" si="8"/>
        <v>N/A</v>
      </c>
      <c r="V34" s="77" t="str">
        <f t="shared" ca="1" si="8"/>
        <v>N/A</v>
      </c>
      <c r="W34" s="77" t="str">
        <f t="shared" ca="1" si="8"/>
        <v>N/A</v>
      </c>
      <c r="X34" s="62"/>
      <c r="Y34" s="62"/>
      <c r="Z34" s="62"/>
      <c r="AA34" s="62"/>
    </row>
    <row r="35" spans="1:27" hidden="1" x14ac:dyDescent="0.25">
      <c r="A35" s="44"/>
      <c r="B35" s="45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77" t="str">
        <f t="shared" ca="1" si="5"/>
        <v>N/A</v>
      </c>
      <c r="G35" s="77"/>
      <c r="H35" s="77"/>
      <c r="I35" s="77"/>
      <c r="J35" s="77" t="str">
        <f t="shared" si="6"/>
        <v>N/A</v>
      </c>
      <c r="K35" s="77" t="str">
        <f t="shared" ca="1" si="7"/>
        <v>N/A</v>
      </c>
      <c r="L35" s="77" t="str">
        <f ca="1">IFERROR(VLOOKUP($A35,LASTYR,'[3]2017'!$N$3,FALSE),"N/A")</f>
        <v>N/A</v>
      </c>
      <c r="M35" s="77" t="str">
        <f t="shared" ca="1" si="8"/>
        <v>N/A</v>
      </c>
      <c r="N35" s="77" t="str">
        <f t="shared" ca="1" si="8"/>
        <v>N/A</v>
      </c>
      <c r="O35" s="77" t="str">
        <f t="shared" ca="1" si="8"/>
        <v>N/A</v>
      </c>
      <c r="P35" s="77" t="str">
        <f t="shared" ca="1" si="8"/>
        <v>N/A</v>
      </c>
      <c r="Q35" s="77" t="str">
        <f t="shared" ca="1" si="8"/>
        <v>N/A</v>
      </c>
      <c r="R35" s="77" t="str">
        <f t="shared" ca="1" si="8"/>
        <v>N/A</v>
      </c>
      <c r="S35" s="77" t="str">
        <f t="shared" ca="1" si="8"/>
        <v>N/A</v>
      </c>
      <c r="T35" s="77" t="str">
        <f t="shared" ca="1" si="8"/>
        <v>N/A</v>
      </c>
      <c r="U35" s="77" t="str">
        <f t="shared" ca="1" si="8"/>
        <v>N/A</v>
      </c>
      <c r="V35" s="77" t="str">
        <f t="shared" ca="1" si="8"/>
        <v>N/A</v>
      </c>
      <c r="W35" s="77" t="str">
        <f t="shared" ca="1" si="8"/>
        <v>N/A</v>
      </c>
      <c r="X35" s="62"/>
      <c r="Y35" s="62"/>
      <c r="Z35" s="62"/>
      <c r="AA35" s="62"/>
    </row>
    <row r="36" spans="1:27" hidden="1" x14ac:dyDescent="0.25">
      <c r="A36" s="44"/>
      <c r="B36" s="45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77" t="str">
        <f t="shared" ca="1" si="5"/>
        <v>N/A</v>
      </c>
      <c r="G36" s="77"/>
      <c r="H36" s="77"/>
      <c r="I36" s="77"/>
      <c r="J36" s="77" t="str">
        <f t="shared" si="6"/>
        <v>N/A</v>
      </c>
      <c r="K36" s="77" t="str">
        <f t="shared" ca="1" si="7"/>
        <v>N/A</v>
      </c>
      <c r="L36" s="77" t="str">
        <f ca="1">IFERROR(VLOOKUP($A36,LASTYR,'[3]2017'!$N$3,FALSE),"N/A")</f>
        <v>N/A</v>
      </c>
      <c r="M36" s="77" t="str">
        <f t="shared" ca="1" si="8"/>
        <v>N/A</v>
      </c>
      <c r="N36" s="77" t="str">
        <f t="shared" ca="1" si="8"/>
        <v>N/A</v>
      </c>
      <c r="O36" s="77" t="str">
        <f t="shared" ca="1" si="8"/>
        <v>N/A</v>
      </c>
      <c r="P36" s="77" t="str">
        <f t="shared" ca="1" si="8"/>
        <v>N/A</v>
      </c>
      <c r="Q36" s="77" t="str">
        <f t="shared" ca="1" si="8"/>
        <v>N/A</v>
      </c>
      <c r="R36" s="77" t="str">
        <f t="shared" ca="1" si="8"/>
        <v>N/A</v>
      </c>
      <c r="S36" s="77" t="str">
        <f t="shared" ca="1" si="8"/>
        <v>N/A</v>
      </c>
      <c r="T36" s="77" t="str">
        <f t="shared" ca="1" si="8"/>
        <v>N/A</v>
      </c>
      <c r="U36" s="77" t="str">
        <f t="shared" ca="1" si="8"/>
        <v>N/A</v>
      </c>
      <c r="V36" s="77" t="str">
        <f t="shared" ca="1" si="8"/>
        <v>N/A</v>
      </c>
      <c r="W36" s="77" t="str">
        <f t="shared" ca="1" si="8"/>
        <v>N/A</v>
      </c>
      <c r="X36" s="62"/>
      <c r="Y36" s="62"/>
      <c r="Z36" s="62"/>
      <c r="AA36" s="62"/>
    </row>
    <row r="37" spans="1:27" hidden="1" x14ac:dyDescent="0.25">
      <c r="A37" s="44"/>
      <c r="B37" s="45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77" t="str">
        <f t="shared" ca="1" si="5"/>
        <v>N/A</v>
      </c>
      <c r="G37" s="77"/>
      <c r="H37" s="77"/>
      <c r="I37" s="77"/>
      <c r="J37" s="77" t="str">
        <f t="shared" si="6"/>
        <v>N/A</v>
      </c>
      <c r="K37" s="77" t="str">
        <f t="shared" ca="1" si="7"/>
        <v>N/A</v>
      </c>
      <c r="L37" s="77" t="str">
        <f ca="1">IFERROR(VLOOKUP($A37,LASTYR,'[3]2017'!$N$3,FALSE),"N/A")</f>
        <v>N/A</v>
      </c>
      <c r="M37" s="77" t="str">
        <f t="shared" ca="1" si="8"/>
        <v>N/A</v>
      </c>
      <c r="N37" s="77" t="str">
        <f t="shared" ca="1" si="8"/>
        <v>N/A</v>
      </c>
      <c r="O37" s="77" t="str">
        <f t="shared" ca="1" si="8"/>
        <v>N/A</v>
      </c>
      <c r="P37" s="77" t="str">
        <f t="shared" ca="1" si="8"/>
        <v>N/A</v>
      </c>
      <c r="Q37" s="77" t="str">
        <f t="shared" ca="1" si="8"/>
        <v>N/A</v>
      </c>
      <c r="R37" s="77" t="str">
        <f t="shared" ca="1" si="8"/>
        <v>N/A</v>
      </c>
      <c r="S37" s="77" t="str">
        <f t="shared" ca="1" si="8"/>
        <v>N/A</v>
      </c>
      <c r="T37" s="77" t="str">
        <f t="shared" ca="1" si="8"/>
        <v>N/A</v>
      </c>
      <c r="U37" s="77" t="str">
        <f t="shared" ca="1" si="8"/>
        <v>N/A</v>
      </c>
      <c r="V37" s="77" t="str">
        <f t="shared" ca="1" si="8"/>
        <v>N/A</v>
      </c>
      <c r="W37" s="77" t="str">
        <f t="shared" ca="1" si="8"/>
        <v>N/A</v>
      </c>
      <c r="X37" s="62"/>
      <c r="Y37" s="62"/>
      <c r="Z37" s="62"/>
      <c r="AA37" s="62"/>
    </row>
    <row r="38" spans="1:27" hidden="1" x14ac:dyDescent="0.25">
      <c r="A38" s="44"/>
      <c r="B38" s="45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77" t="str">
        <f t="shared" ca="1" si="5"/>
        <v>N/A</v>
      </c>
      <c r="G38" s="77"/>
      <c r="H38" s="77"/>
      <c r="I38" s="77"/>
      <c r="J38" s="77" t="str">
        <f t="shared" si="6"/>
        <v>N/A</v>
      </c>
      <c r="K38" s="77" t="str">
        <f t="shared" ca="1" si="7"/>
        <v>N/A</v>
      </c>
      <c r="L38" s="77" t="str">
        <f ca="1">IFERROR(VLOOKUP($A38,LASTYR,'[3]2017'!$N$3,FALSE),"N/A")</f>
        <v>N/A</v>
      </c>
      <c r="M38" s="77" t="str">
        <f t="shared" ca="1" si="8"/>
        <v>N/A</v>
      </c>
      <c r="N38" s="77" t="str">
        <f t="shared" ca="1" si="8"/>
        <v>N/A</v>
      </c>
      <c r="O38" s="77" t="str">
        <f t="shared" ca="1" si="8"/>
        <v>N/A</v>
      </c>
      <c r="P38" s="77" t="str">
        <f t="shared" ca="1" si="8"/>
        <v>N/A</v>
      </c>
      <c r="Q38" s="77" t="str">
        <f t="shared" ca="1" si="8"/>
        <v>N/A</v>
      </c>
      <c r="R38" s="77" t="str">
        <f t="shared" ca="1" si="8"/>
        <v>N/A</v>
      </c>
      <c r="S38" s="77" t="str">
        <f t="shared" ca="1" si="8"/>
        <v>N/A</v>
      </c>
      <c r="T38" s="77" t="str">
        <f t="shared" ca="1" si="8"/>
        <v>N/A</v>
      </c>
      <c r="U38" s="77" t="str">
        <f t="shared" ca="1" si="8"/>
        <v>N/A</v>
      </c>
      <c r="V38" s="77" t="str">
        <f t="shared" ca="1" si="8"/>
        <v>N/A</v>
      </c>
      <c r="W38" s="77" t="str">
        <f t="shared" ca="1" si="8"/>
        <v>N/A</v>
      </c>
      <c r="X38" s="62"/>
      <c r="Y38" s="62"/>
      <c r="Z38" s="62"/>
      <c r="AA38" s="62"/>
    </row>
    <row r="39" spans="1:27" hidden="1" x14ac:dyDescent="0.25">
      <c r="A39" s="44"/>
      <c r="B39" s="45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77" t="str">
        <f t="shared" ca="1" si="5"/>
        <v>N/A</v>
      </c>
      <c r="G39" s="77"/>
      <c r="H39" s="77"/>
      <c r="I39" s="77"/>
      <c r="J39" s="77" t="str">
        <f t="shared" si="6"/>
        <v>N/A</v>
      </c>
      <c r="K39" s="77" t="str">
        <f t="shared" ca="1" si="7"/>
        <v>N/A</v>
      </c>
      <c r="L39" s="77" t="str">
        <f ca="1">IFERROR(VLOOKUP($A39,LASTYR,'[3]2017'!$N$3,FALSE),"N/A")</f>
        <v>N/A</v>
      </c>
      <c r="M39" s="77" t="str">
        <f t="shared" ca="1" si="8"/>
        <v>N/A</v>
      </c>
      <c r="N39" s="77" t="str">
        <f t="shared" ca="1" si="8"/>
        <v>N/A</v>
      </c>
      <c r="O39" s="77" t="str">
        <f t="shared" ca="1" si="8"/>
        <v>N/A</v>
      </c>
      <c r="P39" s="77" t="str">
        <f t="shared" ca="1" si="8"/>
        <v>N/A</v>
      </c>
      <c r="Q39" s="77" t="str">
        <f t="shared" ca="1" si="8"/>
        <v>N/A</v>
      </c>
      <c r="R39" s="77" t="str">
        <f t="shared" ca="1" si="8"/>
        <v>N/A</v>
      </c>
      <c r="S39" s="77" t="str">
        <f t="shared" ca="1" si="8"/>
        <v>N/A</v>
      </c>
      <c r="T39" s="77" t="str">
        <f t="shared" ca="1" si="8"/>
        <v>N/A</v>
      </c>
      <c r="U39" s="77" t="str">
        <f t="shared" ca="1" si="8"/>
        <v>N/A</v>
      </c>
      <c r="V39" s="77" t="str">
        <f t="shared" ca="1" si="8"/>
        <v>N/A</v>
      </c>
      <c r="W39" s="77" t="str">
        <f t="shared" ca="1" si="8"/>
        <v>N/A</v>
      </c>
      <c r="X39" s="62"/>
      <c r="Y39" s="62"/>
      <c r="Z39" s="62"/>
      <c r="AA39" s="62"/>
    </row>
    <row r="40" spans="1:27" hidden="1" x14ac:dyDescent="0.25">
      <c r="A40" s="44"/>
      <c r="B40" s="45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77" t="str">
        <f t="shared" ca="1" si="5"/>
        <v>N/A</v>
      </c>
      <c r="G40" s="77"/>
      <c r="H40" s="77"/>
      <c r="I40" s="77"/>
      <c r="J40" s="77" t="str">
        <f t="shared" si="6"/>
        <v>N/A</v>
      </c>
      <c r="K40" s="77" t="str">
        <f t="shared" ca="1" si="7"/>
        <v>N/A</v>
      </c>
      <c r="L40" s="77" t="str">
        <f ca="1">IFERROR(VLOOKUP($A40,LASTYR,'[3]2017'!$N$3,FALSE),"N/A")</f>
        <v>N/A</v>
      </c>
      <c r="M40" s="77" t="str">
        <f t="shared" ca="1" si="8"/>
        <v>N/A</v>
      </c>
      <c r="N40" s="77" t="str">
        <f t="shared" ca="1" si="8"/>
        <v>N/A</v>
      </c>
      <c r="O40" s="77" t="str">
        <f t="shared" ca="1" si="8"/>
        <v>N/A</v>
      </c>
      <c r="P40" s="77" t="str">
        <f t="shared" ca="1" si="8"/>
        <v>N/A</v>
      </c>
      <c r="Q40" s="77" t="str">
        <f t="shared" ca="1" si="8"/>
        <v>N/A</v>
      </c>
      <c r="R40" s="77" t="str">
        <f t="shared" ca="1" si="8"/>
        <v>N/A</v>
      </c>
      <c r="S40" s="77" t="str">
        <f t="shared" ca="1" si="8"/>
        <v>N/A</v>
      </c>
      <c r="T40" s="77" t="str">
        <f t="shared" ca="1" si="8"/>
        <v>N/A</v>
      </c>
      <c r="U40" s="77" t="str">
        <f t="shared" ca="1" si="8"/>
        <v>N/A</v>
      </c>
      <c r="V40" s="77" t="str">
        <f t="shared" ca="1" si="8"/>
        <v>N/A</v>
      </c>
      <c r="W40" s="77" t="str">
        <f t="shared" ca="1" si="8"/>
        <v>N/A</v>
      </c>
      <c r="X40" s="62"/>
      <c r="Y40" s="62"/>
      <c r="Z40" s="62"/>
      <c r="AA40" s="62"/>
    </row>
    <row r="41" spans="1:27" hidden="1" x14ac:dyDescent="0.25">
      <c r="A41" s="44"/>
      <c r="B41" s="45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77" t="str">
        <f t="shared" ca="1" si="5"/>
        <v>N/A</v>
      </c>
      <c r="G41" s="77"/>
      <c r="H41" s="77"/>
      <c r="I41" s="77"/>
      <c r="J41" s="77" t="str">
        <f t="shared" si="6"/>
        <v>N/A</v>
      </c>
      <c r="K41" s="77" t="str">
        <f t="shared" ca="1" si="7"/>
        <v>N/A</v>
      </c>
      <c r="L41" s="77" t="str">
        <f ca="1">IFERROR(VLOOKUP($A41,LASTYR,'[3]2017'!$N$3,FALSE),"N/A")</f>
        <v>N/A</v>
      </c>
      <c r="M41" s="77" t="str">
        <f t="shared" ca="1" si="8"/>
        <v>N/A</v>
      </c>
      <c r="N41" s="77" t="str">
        <f t="shared" ca="1" si="8"/>
        <v>N/A</v>
      </c>
      <c r="O41" s="77" t="str">
        <f t="shared" ca="1" si="8"/>
        <v>N/A</v>
      </c>
      <c r="P41" s="77" t="str">
        <f t="shared" ca="1" si="8"/>
        <v>N/A</v>
      </c>
      <c r="Q41" s="77" t="str">
        <f t="shared" ca="1" si="8"/>
        <v>N/A</v>
      </c>
      <c r="R41" s="77" t="str">
        <f t="shared" ca="1" si="8"/>
        <v>N/A</v>
      </c>
      <c r="S41" s="77" t="str">
        <f t="shared" ca="1" si="8"/>
        <v>N/A</v>
      </c>
      <c r="T41" s="77" t="str">
        <f t="shared" ca="1" si="8"/>
        <v>N/A</v>
      </c>
      <c r="U41" s="77" t="str">
        <f t="shared" ca="1" si="8"/>
        <v>N/A</v>
      </c>
      <c r="V41" s="77" t="str">
        <f t="shared" ca="1" si="8"/>
        <v>N/A</v>
      </c>
      <c r="W41" s="77" t="str">
        <f t="shared" ca="1" si="8"/>
        <v>N/A</v>
      </c>
      <c r="X41" s="62"/>
      <c r="Y41" s="62"/>
      <c r="Z41" s="62"/>
      <c r="AA41" s="62"/>
    </row>
    <row r="42" spans="1:27" hidden="1" x14ac:dyDescent="0.25">
      <c r="A42" s="44"/>
      <c r="B42" s="45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77" t="str">
        <f t="shared" ca="1" si="5"/>
        <v>N/A</v>
      </c>
      <c r="G42" s="77"/>
      <c r="H42" s="77"/>
      <c r="I42" s="77"/>
      <c r="J42" s="77" t="str">
        <f t="shared" si="6"/>
        <v>N/A</v>
      </c>
      <c r="K42" s="77" t="str">
        <f t="shared" ca="1" si="7"/>
        <v>N/A</v>
      </c>
      <c r="L42" s="77" t="str">
        <f ca="1">IFERROR(VLOOKUP($A42,LASTYR,'[3]2017'!$N$3,FALSE),"N/A")</f>
        <v>N/A</v>
      </c>
      <c r="M42" s="77" t="str">
        <f t="shared" ca="1" si="8"/>
        <v>N/A</v>
      </c>
      <c r="N42" s="77" t="str">
        <f t="shared" ca="1" si="8"/>
        <v>N/A</v>
      </c>
      <c r="O42" s="77" t="str">
        <f t="shared" ca="1" si="8"/>
        <v>N/A</v>
      </c>
      <c r="P42" s="77" t="str">
        <f t="shared" ca="1" si="8"/>
        <v>N/A</v>
      </c>
      <c r="Q42" s="77" t="str">
        <f t="shared" ca="1" si="8"/>
        <v>N/A</v>
      </c>
      <c r="R42" s="77" t="str">
        <f t="shared" ca="1" si="8"/>
        <v>N/A</v>
      </c>
      <c r="S42" s="77" t="str">
        <f t="shared" ca="1" si="8"/>
        <v>N/A</v>
      </c>
      <c r="T42" s="77" t="str">
        <f t="shared" ca="1" si="8"/>
        <v>N/A</v>
      </c>
      <c r="U42" s="77" t="str">
        <f t="shared" ca="1" si="8"/>
        <v>N/A</v>
      </c>
      <c r="V42" s="77" t="str">
        <f t="shared" ca="1" si="8"/>
        <v>N/A</v>
      </c>
      <c r="W42" s="77" t="str">
        <f t="shared" ca="1" si="8"/>
        <v>N/A</v>
      </c>
      <c r="X42" s="62"/>
      <c r="Y42" s="62"/>
      <c r="Z42" s="62"/>
      <c r="AA42" s="62"/>
    </row>
    <row r="43" spans="1:27" hidden="1" x14ac:dyDescent="0.25">
      <c r="A43" s="44"/>
      <c r="B43" s="45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77" t="str">
        <f t="shared" ca="1" si="5"/>
        <v>N/A</v>
      </c>
      <c r="G43" s="77"/>
      <c r="H43" s="77"/>
      <c r="I43" s="77"/>
      <c r="J43" s="77" t="str">
        <f t="shared" si="6"/>
        <v>N/A</v>
      </c>
      <c r="K43" s="77" t="str">
        <f t="shared" ca="1" si="7"/>
        <v>N/A</v>
      </c>
      <c r="L43" s="77" t="str">
        <f ca="1">IFERROR(VLOOKUP($A43,LASTYR,'[3]2017'!$N$3,FALSE),"N/A")</f>
        <v>N/A</v>
      </c>
      <c r="M43" s="77" t="str">
        <f t="shared" ca="1" si="8"/>
        <v>N/A</v>
      </c>
      <c r="N43" s="77" t="str">
        <f t="shared" ca="1" si="8"/>
        <v>N/A</v>
      </c>
      <c r="O43" s="77" t="str">
        <f t="shared" ca="1" si="8"/>
        <v>N/A</v>
      </c>
      <c r="P43" s="77" t="str">
        <f t="shared" ca="1" si="8"/>
        <v>N/A</v>
      </c>
      <c r="Q43" s="77" t="str">
        <f t="shared" ca="1" si="8"/>
        <v>N/A</v>
      </c>
      <c r="R43" s="77" t="str">
        <f t="shared" ca="1" si="8"/>
        <v>N/A</v>
      </c>
      <c r="S43" s="77" t="str">
        <f t="shared" ca="1" si="8"/>
        <v>N/A</v>
      </c>
      <c r="T43" s="77" t="str">
        <f t="shared" ca="1" si="8"/>
        <v>N/A</v>
      </c>
      <c r="U43" s="77" t="str">
        <f t="shared" ca="1" si="8"/>
        <v>N/A</v>
      </c>
      <c r="V43" s="77" t="str">
        <f t="shared" ca="1" si="8"/>
        <v>N/A</v>
      </c>
      <c r="W43" s="77" t="str">
        <f t="shared" ca="1" si="8"/>
        <v>N/A</v>
      </c>
      <c r="X43" s="62"/>
      <c r="Y43" s="62"/>
      <c r="Z43" s="62"/>
      <c r="AA43" s="62"/>
    </row>
    <row r="44" spans="1:27" hidden="1" x14ac:dyDescent="0.25">
      <c r="A44" s="44"/>
      <c r="B44" s="45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77" t="str">
        <f t="shared" ca="1" si="5"/>
        <v>N/A</v>
      </c>
      <c r="G44" s="77"/>
      <c r="H44" s="77"/>
      <c r="I44" s="77"/>
      <c r="J44" s="77" t="str">
        <f t="shared" si="6"/>
        <v>N/A</v>
      </c>
      <c r="K44" s="77" t="str">
        <f t="shared" ca="1" si="7"/>
        <v>N/A</v>
      </c>
      <c r="L44" s="77" t="str">
        <f ca="1">IFERROR(VLOOKUP($A44,LASTYR,'[3]2017'!$N$3,FALSE),"N/A")</f>
        <v>N/A</v>
      </c>
      <c r="M44" s="77" t="str">
        <f t="shared" ca="1" si="8"/>
        <v>N/A</v>
      </c>
      <c r="N44" s="77" t="str">
        <f t="shared" ca="1" si="8"/>
        <v>N/A</v>
      </c>
      <c r="O44" s="77" t="str">
        <f t="shared" ca="1" si="8"/>
        <v>N/A</v>
      </c>
      <c r="P44" s="77" t="str">
        <f t="shared" ca="1" si="8"/>
        <v>N/A</v>
      </c>
      <c r="Q44" s="77" t="str">
        <f t="shared" ca="1" si="8"/>
        <v>N/A</v>
      </c>
      <c r="R44" s="77" t="str">
        <f t="shared" ca="1" si="8"/>
        <v>N/A</v>
      </c>
      <c r="S44" s="77" t="str">
        <f t="shared" ca="1" si="8"/>
        <v>N/A</v>
      </c>
      <c r="T44" s="77" t="str">
        <f t="shared" ca="1" si="8"/>
        <v>N/A</v>
      </c>
      <c r="U44" s="77" t="str">
        <f t="shared" ca="1" si="8"/>
        <v>N/A</v>
      </c>
      <c r="V44" s="77" t="str">
        <f t="shared" ca="1" si="8"/>
        <v>N/A</v>
      </c>
      <c r="W44" s="77" t="str">
        <f t="shared" ca="1" si="8"/>
        <v>N/A</v>
      </c>
      <c r="X44" s="62"/>
      <c r="Y44" s="62"/>
      <c r="Z44" s="62"/>
      <c r="AA44" s="62"/>
    </row>
    <row r="45" spans="1:27" hidden="1" x14ac:dyDescent="0.25">
      <c r="A45" s="44"/>
      <c r="B45" s="45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77" t="str">
        <f t="shared" ca="1" si="5"/>
        <v>N/A</v>
      </c>
      <c r="G45" s="77"/>
      <c r="H45" s="77"/>
      <c r="I45" s="77"/>
      <c r="J45" s="77" t="str">
        <f t="shared" si="6"/>
        <v>N/A</v>
      </c>
      <c r="K45" s="77" t="str">
        <f t="shared" ca="1" si="7"/>
        <v>N/A</v>
      </c>
      <c r="L45" s="77" t="str">
        <f ca="1">IFERROR(VLOOKUP($A45,LASTYR,'[3]2017'!$N$3,FALSE),"N/A")</f>
        <v>N/A</v>
      </c>
      <c r="M45" s="77" t="str">
        <f t="shared" ca="1" si="8"/>
        <v>N/A</v>
      </c>
      <c r="N45" s="77" t="str">
        <f t="shared" ca="1" si="8"/>
        <v>N/A</v>
      </c>
      <c r="O45" s="77" t="str">
        <f t="shared" ca="1" si="8"/>
        <v>N/A</v>
      </c>
      <c r="P45" s="77" t="str">
        <f t="shared" ca="1" si="8"/>
        <v>N/A</v>
      </c>
      <c r="Q45" s="77" t="str">
        <f t="shared" ca="1" si="8"/>
        <v>N/A</v>
      </c>
      <c r="R45" s="77" t="str">
        <f t="shared" ca="1" si="8"/>
        <v>N/A</v>
      </c>
      <c r="S45" s="77" t="str">
        <f t="shared" ca="1" si="8"/>
        <v>N/A</v>
      </c>
      <c r="T45" s="77" t="str">
        <f t="shared" ca="1" si="8"/>
        <v>N/A</v>
      </c>
      <c r="U45" s="77" t="str">
        <f t="shared" ca="1" si="8"/>
        <v>N/A</v>
      </c>
      <c r="V45" s="77" t="str">
        <f t="shared" ca="1" si="8"/>
        <v>N/A</v>
      </c>
      <c r="W45" s="77" t="str">
        <f t="shared" ca="1" si="8"/>
        <v>N/A</v>
      </c>
      <c r="X45" s="62"/>
      <c r="Y45" s="62"/>
      <c r="Z45" s="62"/>
      <c r="AA45" s="62"/>
    </row>
    <row r="46" spans="1:27" hidden="1" x14ac:dyDescent="0.25">
      <c r="A46" s="44"/>
      <c r="B46" s="45" t="str">
        <f t="shared" ca="1" si="2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77" t="str">
        <f t="shared" ca="1" si="5"/>
        <v>N/A</v>
      </c>
      <c r="G46" s="77"/>
      <c r="H46" s="77"/>
      <c r="I46" s="77"/>
      <c r="J46" s="77" t="str">
        <f t="shared" si="6"/>
        <v>N/A</v>
      </c>
      <c r="K46" s="77" t="str">
        <f t="shared" ca="1" si="7"/>
        <v>N/A</v>
      </c>
      <c r="L46" s="77" t="str">
        <f ca="1">IFERROR(VLOOKUP($A46,LASTYR,'[3]2017'!$N$3,FALSE),"N/A")</f>
        <v>N/A</v>
      </c>
      <c r="M46" s="77" t="str">
        <f t="shared" ca="1" si="8"/>
        <v>N/A</v>
      </c>
      <c r="N46" s="77" t="str">
        <f t="shared" ca="1" si="8"/>
        <v>N/A</v>
      </c>
      <c r="O46" s="77" t="str">
        <f t="shared" ca="1" si="8"/>
        <v>N/A</v>
      </c>
      <c r="P46" s="77" t="str">
        <f t="shared" ca="1" si="8"/>
        <v>N/A</v>
      </c>
      <c r="Q46" s="77" t="str">
        <f t="shared" ca="1" si="8"/>
        <v>N/A</v>
      </c>
      <c r="R46" s="77" t="str">
        <f t="shared" ca="1" si="8"/>
        <v>N/A</v>
      </c>
      <c r="S46" s="77" t="str">
        <f t="shared" ca="1" si="8"/>
        <v>N/A</v>
      </c>
      <c r="T46" s="77" t="str">
        <f t="shared" ca="1" si="8"/>
        <v>N/A</v>
      </c>
      <c r="U46" s="77" t="str">
        <f t="shared" ca="1" si="8"/>
        <v>N/A</v>
      </c>
      <c r="V46" s="77" t="str">
        <f t="shared" ca="1" si="8"/>
        <v>N/A</v>
      </c>
      <c r="W46" s="77" t="str">
        <f t="shared" ca="1" si="8"/>
        <v>N/A</v>
      </c>
      <c r="X46" s="62"/>
      <c r="Y46" s="62"/>
      <c r="Z46" s="62"/>
      <c r="AA46" s="62"/>
    </row>
    <row r="47" spans="1:27" hidden="1" x14ac:dyDescent="0.25">
      <c r="A47" s="44"/>
      <c r="B47" s="45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77" t="str">
        <f t="shared" ca="1" si="5"/>
        <v>N/A</v>
      </c>
      <c r="G47" s="77"/>
      <c r="H47" s="77"/>
      <c r="I47" s="77"/>
      <c r="J47" s="77" t="str">
        <f t="shared" si="6"/>
        <v>N/A</v>
      </c>
      <c r="K47" s="77" t="str">
        <f t="shared" ca="1" si="7"/>
        <v>N/A</v>
      </c>
      <c r="L47" s="77" t="str">
        <f ca="1">IFERROR(VLOOKUP($A47,LASTYR,'[3]2017'!$N$3,FALSE),"N/A")</f>
        <v>N/A</v>
      </c>
      <c r="M47" s="77" t="str">
        <f t="shared" ca="1" si="8"/>
        <v>N/A</v>
      </c>
      <c r="N47" s="77" t="str">
        <f t="shared" ca="1" si="8"/>
        <v>N/A</v>
      </c>
      <c r="O47" s="77" t="str">
        <f t="shared" ca="1" si="8"/>
        <v>N/A</v>
      </c>
      <c r="P47" s="77" t="str">
        <f t="shared" ca="1" si="8"/>
        <v>N/A</v>
      </c>
      <c r="Q47" s="77" t="str">
        <f t="shared" ca="1" si="8"/>
        <v>N/A</v>
      </c>
      <c r="R47" s="77" t="str">
        <f t="shared" ca="1" si="8"/>
        <v>N/A</v>
      </c>
      <c r="S47" s="77" t="str">
        <f t="shared" ca="1" si="8"/>
        <v>N/A</v>
      </c>
      <c r="T47" s="77" t="str">
        <f t="shared" ca="1" si="8"/>
        <v>N/A</v>
      </c>
      <c r="U47" s="77" t="str">
        <f t="shared" ca="1" si="8"/>
        <v>N/A</v>
      </c>
      <c r="V47" s="77" t="str">
        <f t="shared" ca="1" si="8"/>
        <v>N/A</v>
      </c>
      <c r="W47" s="77" t="str">
        <f t="shared" ca="1" si="8"/>
        <v>N/A</v>
      </c>
      <c r="X47" s="62"/>
      <c r="Y47" s="62"/>
      <c r="Z47" s="62"/>
      <c r="AA47" s="62"/>
    </row>
    <row r="48" spans="1:27" hidden="1" x14ac:dyDescent="0.25">
      <c r="A48" s="44"/>
      <c r="B48" s="45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77" t="str">
        <f t="shared" ca="1" si="5"/>
        <v>N/A</v>
      </c>
      <c r="G48" s="77"/>
      <c r="H48" s="77"/>
      <c r="I48" s="77"/>
      <c r="J48" s="77" t="str">
        <f t="shared" si="6"/>
        <v>N/A</v>
      </c>
      <c r="K48" s="77" t="str">
        <f t="shared" ca="1" si="7"/>
        <v>N/A</v>
      </c>
      <c r="L48" s="77" t="str">
        <f ca="1">IFERROR(VLOOKUP($A48,LASTYR,'[3]2017'!$N$3,FALSE),"N/A")</f>
        <v>N/A</v>
      </c>
      <c r="M48" s="77" t="str">
        <f t="shared" ca="1" si="8"/>
        <v>N/A</v>
      </c>
      <c r="N48" s="77" t="str">
        <f t="shared" ca="1" si="8"/>
        <v>N/A</v>
      </c>
      <c r="O48" s="77" t="str">
        <f t="shared" ca="1" si="8"/>
        <v>N/A</v>
      </c>
      <c r="P48" s="77" t="str">
        <f t="shared" ca="1" si="8"/>
        <v>N/A</v>
      </c>
      <c r="Q48" s="77" t="str">
        <f t="shared" ca="1" si="8"/>
        <v>N/A</v>
      </c>
      <c r="R48" s="77" t="str">
        <f t="shared" ca="1" si="8"/>
        <v>N/A</v>
      </c>
      <c r="S48" s="77" t="str">
        <f t="shared" ca="1" si="8"/>
        <v>N/A</v>
      </c>
      <c r="T48" s="77" t="str">
        <f t="shared" ca="1" si="8"/>
        <v>N/A</v>
      </c>
      <c r="U48" s="77" t="str">
        <f t="shared" ca="1" si="8"/>
        <v>N/A</v>
      </c>
      <c r="V48" s="77" t="str">
        <f t="shared" ca="1" si="8"/>
        <v>N/A</v>
      </c>
      <c r="W48" s="77" t="str">
        <f t="shared" ca="1" si="8"/>
        <v>N/A</v>
      </c>
      <c r="X48" s="62"/>
      <c r="Y48" s="62"/>
      <c r="Z48" s="62"/>
      <c r="AA48" s="62"/>
    </row>
    <row r="49" spans="1:27" hidden="1" x14ac:dyDescent="0.25">
      <c r="A49" s="44"/>
      <c r="B49" s="45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77" t="str">
        <f t="shared" ca="1" si="5"/>
        <v>N/A</v>
      </c>
      <c r="G49" s="77"/>
      <c r="H49" s="77"/>
      <c r="I49" s="77"/>
      <c r="J49" s="77" t="str">
        <f t="shared" si="6"/>
        <v>N/A</v>
      </c>
      <c r="K49" s="77" t="str">
        <f t="shared" ca="1" si="7"/>
        <v>N/A</v>
      </c>
      <c r="L49" s="77" t="str">
        <f ca="1">IFERROR(VLOOKUP($A49,LASTYR,'[3]2017'!$N$3,FALSE),"N/A")</f>
        <v>N/A</v>
      </c>
      <c r="M49" s="77" t="str">
        <f t="shared" ca="1" si="8"/>
        <v>N/A</v>
      </c>
      <c r="N49" s="77" t="str">
        <f t="shared" ca="1" si="8"/>
        <v>N/A</v>
      </c>
      <c r="O49" s="77" t="str">
        <f t="shared" ca="1" si="8"/>
        <v>N/A</v>
      </c>
      <c r="P49" s="77" t="str">
        <f t="shared" ca="1" si="8"/>
        <v>N/A</v>
      </c>
      <c r="Q49" s="77" t="str">
        <f t="shared" ca="1" si="8"/>
        <v>N/A</v>
      </c>
      <c r="R49" s="77" t="str">
        <f t="shared" ca="1" si="8"/>
        <v>N/A</v>
      </c>
      <c r="S49" s="77" t="str">
        <f t="shared" ca="1" si="8"/>
        <v>N/A</v>
      </c>
      <c r="T49" s="77" t="str">
        <f t="shared" ca="1" si="8"/>
        <v>N/A</v>
      </c>
      <c r="U49" s="77" t="str">
        <f t="shared" ca="1" si="8"/>
        <v>N/A</v>
      </c>
      <c r="V49" s="77" t="str">
        <f t="shared" ca="1" si="8"/>
        <v>N/A</v>
      </c>
      <c r="W49" s="77" t="str">
        <f t="shared" ca="1" si="8"/>
        <v>N/A</v>
      </c>
      <c r="X49" s="62"/>
      <c r="Y49" s="62"/>
      <c r="Z49" s="62"/>
      <c r="AA49" s="62"/>
    </row>
    <row r="50" spans="1:27" hidden="1" x14ac:dyDescent="0.25">
      <c r="A50" s="44"/>
      <c r="B50" s="45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77" t="str">
        <f t="shared" ca="1" si="5"/>
        <v>N/A</v>
      </c>
      <c r="G50" s="77"/>
      <c r="H50" s="77"/>
      <c r="I50" s="77"/>
      <c r="J50" s="77" t="str">
        <f t="shared" si="6"/>
        <v>N/A</v>
      </c>
      <c r="K50" s="77" t="str">
        <f t="shared" ca="1" si="7"/>
        <v>N/A</v>
      </c>
      <c r="L50" s="77" t="str">
        <f ca="1">IFERROR(VLOOKUP($A50,LASTYR,'[3]2017'!$N$3,FALSE),"N/A")</f>
        <v>N/A</v>
      </c>
      <c r="M50" s="77" t="str">
        <f t="shared" ca="1" si="8"/>
        <v>N/A</v>
      </c>
      <c r="N50" s="77" t="str">
        <f t="shared" ca="1" si="8"/>
        <v>N/A</v>
      </c>
      <c r="O50" s="77" t="str">
        <f t="shared" ca="1" si="8"/>
        <v>N/A</v>
      </c>
      <c r="P50" s="77" t="str">
        <f t="shared" ca="1" si="8"/>
        <v>N/A</v>
      </c>
      <c r="Q50" s="77" t="str">
        <f t="shared" ca="1" si="8"/>
        <v>N/A</v>
      </c>
      <c r="R50" s="77" t="str">
        <f t="shared" ca="1" si="8"/>
        <v>N/A</v>
      </c>
      <c r="S50" s="77" t="str">
        <f t="shared" ca="1" si="8"/>
        <v>N/A</v>
      </c>
      <c r="T50" s="77" t="str">
        <f t="shared" ca="1" si="8"/>
        <v>N/A</v>
      </c>
      <c r="U50" s="77" t="str">
        <f t="shared" ca="1" si="8"/>
        <v>N/A</v>
      </c>
      <c r="V50" s="77" t="str">
        <f t="shared" ca="1" si="8"/>
        <v>N/A</v>
      </c>
      <c r="W50" s="77" t="str">
        <f t="shared" ca="1" si="8"/>
        <v>N/A</v>
      </c>
      <c r="X50" s="62"/>
      <c r="Y50" s="62"/>
      <c r="Z50" s="62"/>
      <c r="AA50" s="62"/>
    </row>
    <row r="51" spans="1:27" hidden="1" x14ac:dyDescent="0.25">
      <c r="A51" s="44"/>
      <c r="B51" s="45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77" t="str">
        <f t="shared" ca="1" si="5"/>
        <v>N/A</v>
      </c>
      <c r="G51" s="77"/>
      <c r="H51" s="77"/>
      <c r="I51" s="77"/>
      <c r="J51" s="77" t="str">
        <f t="shared" si="6"/>
        <v>N/A</v>
      </c>
      <c r="K51" s="77" t="str">
        <f t="shared" ca="1" si="7"/>
        <v>N/A</v>
      </c>
      <c r="L51" s="77" t="str">
        <f ca="1">IFERROR(VLOOKUP($A51,LASTYR,'[3]2017'!$N$3,FALSE),"N/A")</f>
        <v>N/A</v>
      </c>
      <c r="M51" s="77" t="str">
        <f t="shared" ca="1" si="8"/>
        <v>N/A</v>
      </c>
      <c r="N51" s="77" t="str">
        <f t="shared" ca="1" si="8"/>
        <v>N/A</v>
      </c>
      <c r="O51" s="77" t="str">
        <f t="shared" ca="1" si="8"/>
        <v>N/A</v>
      </c>
      <c r="P51" s="77" t="str">
        <f t="shared" ca="1" si="8"/>
        <v>N/A</v>
      </c>
      <c r="Q51" s="77" t="str">
        <f t="shared" ca="1" si="8"/>
        <v>N/A</v>
      </c>
      <c r="R51" s="77" t="str">
        <f t="shared" ca="1" si="8"/>
        <v>N/A</v>
      </c>
      <c r="S51" s="77" t="str">
        <f t="shared" ca="1" si="8"/>
        <v>N/A</v>
      </c>
      <c r="T51" s="77" t="str">
        <f t="shared" ca="1" si="8"/>
        <v>N/A</v>
      </c>
      <c r="U51" s="77" t="str">
        <f t="shared" ca="1" si="8"/>
        <v>N/A</v>
      </c>
      <c r="V51" s="77" t="str">
        <f t="shared" ca="1" si="8"/>
        <v>N/A</v>
      </c>
      <c r="W51" s="77" t="str">
        <f t="shared" ca="1" si="8"/>
        <v>N/A</v>
      </c>
      <c r="X51" s="62"/>
      <c r="Y51" s="62"/>
      <c r="Z51" s="62"/>
      <c r="AA51" s="62"/>
    </row>
    <row r="52" spans="1:27" hidden="1" x14ac:dyDescent="0.25">
      <c r="A52" s="44"/>
      <c r="B52" s="45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77" t="str">
        <f t="shared" ca="1" si="5"/>
        <v>N/A</v>
      </c>
      <c r="G52" s="77"/>
      <c r="H52" s="77"/>
      <c r="I52" s="77"/>
      <c r="J52" s="77" t="str">
        <f t="shared" si="6"/>
        <v>N/A</v>
      </c>
      <c r="K52" s="77" t="str">
        <f t="shared" ca="1" si="7"/>
        <v>N/A</v>
      </c>
      <c r="L52" s="77" t="str">
        <f ca="1">IFERROR(VLOOKUP($A52,LASTYR,'[3]2017'!$N$3,FALSE),"N/A")</f>
        <v>N/A</v>
      </c>
      <c r="M52" s="77" t="str">
        <f t="shared" ca="1" si="8"/>
        <v>N/A</v>
      </c>
      <c r="N52" s="77" t="str">
        <f t="shared" ca="1" si="8"/>
        <v>N/A</v>
      </c>
      <c r="O52" s="77" t="str">
        <f t="shared" ref="N52:W57" ca="1" si="9">IFERROR(INDEX(DIV_BV_WP,$B52,O$12),"N/A")</f>
        <v>N/A</v>
      </c>
      <c r="P52" s="77" t="str">
        <f t="shared" ca="1" si="9"/>
        <v>N/A</v>
      </c>
      <c r="Q52" s="77" t="str">
        <f t="shared" ca="1" si="9"/>
        <v>N/A</v>
      </c>
      <c r="R52" s="77" t="str">
        <f t="shared" ca="1" si="9"/>
        <v>N/A</v>
      </c>
      <c r="S52" s="77" t="str">
        <f t="shared" ca="1" si="9"/>
        <v>N/A</v>
      </c>
      <c r="T52" s="77" t="str">
        <f t="shared" ca="1" si="9"/>
        <v>N/A</v>
      </c>
      <c r="U52" s="77" t="str">
        <f t="shared" ca="1" si="9"/>
        <v>N/A</v>
      </c>
      <c r="V52" s="77" t="str">
        <f t="shared" ca="1" si="9"/>
        <v>N/A</v>
      </c>
      <c r="W52" s="77" t="str">
        <f t="shared" ca="1" si="9"/>
        <v>N/A</v>
      </c>
      <c r="X52" s="62"/>
      <c r="Y52" s="62"/>
      <c r="Z52" s="62"/>
      <c r="AA52" s="62"/>
    </row>
    <row r="53" spans="1:27" hidden="1" x14ac:dyDescent="0.25">
      <c r="A53" s="44"/>
      <c r="B53" s="45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77" t="str">
        <f t="shared" ca="1" si="5"/>
        <v>N/A</v>
      </c>
      <c r="G53" s="77"/>
      <c r="H53" s="77"/>
      <c r="I53" s="77"/>
      <c r="J53" s="77" t="str">
        <f t="shared" si="6"/>
        <v>N/A</v>
      </c>
      <c r="K53" s="77" t="str">
        <f t="shared" ca="1" si="7"/>
        <v>N/A</v>
      </c>
      <c r="L53" s="77" t="str">
        <f ca="1">IFERROR(VLOOKUP($A53,LASTYR,'[3]2017'!$N$3,FALSE),"N/A")</f>
        <v>N/A</v>
      </c>
      <c r="M53" s="77" t="str">
        <f ca="1">IFERROR(INDEX(DIV_BV_WP,$B53,M$12),"N/A")</f>
        <v>N/A</v>
      </c>
      <c r="N53" s="77" t="str">
        <f t="shared" ca="1" si="9"/>
        <v>N/A</v>
      </c>
      <c r="O53" s="77" t="str">
        <f t="shared" ca="1" si="9"/>
        <v>N/A</v>
      </c>
      <c r="P53" s="77" t="str">
        <f t="shared" ca="1" si="9"/>
        <v>N/A</v>
      </c>
      <c r="Q53" s="77" t="str">
        <f t="shared" ca="1" si="9"/>
        <v>N/A</v>
      </c>
      <c r="R53" s="77" t="str">
        <f t="shared" ca="1" si="9"/>
        <v>N/A</v>
      </c>
      <c r="S53" s="77" t="str">
        <f t="shared" ca="1" si="9"/>
        <v>N/A</v>
      </c>
      <c r="T53" s="77" t="str">
        <f t="shared" ca="1" si="9"/>
        <v>N/A</v>
      </c>
      <c r="U53" s="77" t="str">
        <f t="shared" ca="1" si="9"/>
        <v>N/A</v>
      </c>
      <c r="V53" s="77" t="str">
        <f t="shared" ca="1" si="9"/>
        <v>N/A</v>
      </c>
      <c r="W53" s="77" t="str">
        <f t="shared" ca="1" si="9"/>
        <v>N/A</v>
      </c>
      <c r="X53" s="62"/>
      <c r="Y53" s="62"/>
      <c r="Z53" s="62"/>
      <c r="AA53" s="62"/>
    </row>
    <row r="54" spans="1:27" hidden="1" x14ac:dyDescent="0.25">
      <c r="A54" s="44"/>
      <c r="B54" s="45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77" t="str">
        <f t="shared" ca="1" si="5"/>
        <v>N/A</v>
      </c>
      <c r="G54" s="77"/>
      <c r="H54" s="77"/>
      <c r="I54" s="77"/>
      <c r="J54" s="77" t="str">
        <f t="shared" si="6"/>
        <v>N/A</v>
      </c>
      <c r="K54" s="77" t="str">
        <f t="shared" ca="1" si="7"/>
        <v>N/A</v>
      </c>
      <c r="L54" s="77" t="str">
        <f ca="1">IFERROR(VLOOKUP($A54,LASTYR,'[3]2017'!$N$3,FALSE),"N/A")</f>
        <v>N/A</v>
      </c>
      <c r="M54" s="77" t="str">
        <f ca="1">IFERROR(INDEX(DIV_BV_WP,$B54,M$12),"N/A")</f>
        <v>N/A</v>
      </c>
      <c r="N54" s="77" t="str">
        <f t="shared" ca="1" si="9"/>
        <v>N/A</v>
      </c>
      <c r="O54" s="77" t="str">
        <f t="shared" ca="1" si="9"/>
        <v>N/A</v>
      </c>
      <c r="P54" s="77" t="str">
        <f t="shared" ca="1" si="9"/>
        <v>N/A</v>
      </c>
      <c r="Q54" s="77" t="str">
        <f t="shared" ca="1" si="9"/>
        <v>N/A</v>
      </c>
      <c r="R54" s="77" t="str">
        <f t="shared" ca="1" si="9"/>
        <v>N/A</v>
      </c>
      <c r="S54" s="77" t="str">
        <f t="shared" ca="1" si="9"/>
        <v>N/A</v>
      </c>
      <c r="T54" s="77" t="str">
        <f t="shared" ca="1" si="9"/>
        <v>N/A</v>
      </c>
      <c r="U54" s="77" t="str">
        <f t="shared" ca="1" si="9"/>
        <v>N/A</v>
      </c>
      <c r="V54" s="77" t="str">
        <f t="shared" ca="1" si="9"/>
        <v>N/A</v>
      </c>
      <c r="W54" s="77" t="str">
        <f t="shared" ca="1" si="9"/>
        <v>N/A</v>
      </c>
      <c r="X54" s="62"/>
      <c r="Y54" s="62"/>
      <c r="Z54" s="62"/>
      <c r="AA54" s="62"/>
    </row>
    <row r="55" spans="1:27" hidden="1" x14ac:dyDescent="0.25">
      <c r="A55" s="50"/>
      <c r="B55" s="45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77" t="str">
        <f t="shared" ca="1" si="5"/>
        <v>N/A</v>
      </c>
      <c r="G55" s="77"/>
      <c r="H55" s="77"/>
      <c r="I55" s="77"/>
      <c r="J55" s="77" t="str">
        <f t="shared" si="6"/>
        <v>N/A</v>
      </c>
      <c r="K55" s="77" t="str">
        <f t="shared" ca="1" si="7"/>
        <v>N/A</v>
      </c>
      <c r="L55" s="77" t="str">
        <f ca="1">IFERROR(VLOOKUP($A55,LASTYR,'[3]2017'!$N$3,FALSE),"N/A")</f>
        <v>N/A</v>
      </c>
      <c r="M55" s="77" t="str">
        <f ca="1">IFERROR(INDEX(DIV_BV_WP,$B55,M$12),"N/A")</f>
        <v>N/A</v>
      </c>
      <c r="N55" s="77" t="str">
        <f t="shared" ca="1" si="9"/>
        <v>N/A</v>
      </c>
      <c r="O55" s="77" t="str">
        <f t="shared" ca="1" si="9"/>
        <v>N/A</v>
      </c>
      <c r="P55" s="77" t="str">
        <f t="shared" ca="1" si="9"/>
        <v>N/A</v>
      </c>
      <c r="Q55" s="77" t="str">
        <f t="shared" ca="1" si="9"/>
        <v>N/A</v>
      </c>
      <c r="R55" s="77" t="str">
        <f t="shared" ca="1" si="9"/>
        <v>N/A</v>
      </c>
      <c r="S55" s="77" t="str">
        <f t="shared" ca="1" si="9"/>
        <v>N/A</v>
      </c>
      <c r="T55" s="77" t="str">
        <f t="shared" ca="1" si="9"/>
        <v>N/A</v>
      </c>
      <c r="U55" s="77" t="str">
        <f t="shared" ca="1" si="9"/>
        <v>N/A</v>
      </c>
      <c r="V55" s="77" t="str">
        <f t="shared" ca="1" si="9"/>
        <v>N/A</v>
      </c>
      <c r="W55" s="77" t="str">
        <f t="shared" ca="1" si="9"/>
        <v>N/A</v>
      </c>
      <c r="X55" s="62"/>
      <c r="Y55" s="62"/>
      <c r="Z55" s="62"/>
      <c r="AA55" s="62"/>
    </row>
    <row r="56" spans="1:27" hidden="1" x14ac:dyDescent="0.25">
      <c r="A56" s="50"/>
      <c r="B56" s="45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77" t="str">
        <f t="shared" ca="1" si="5"/>
        <v>N/A</v>
      </c>
      <c r="G56" s="77"/>
      <c r="H56" s="77"/>
      <c r="I56" s="77"/>
      <c r="J56" s="77" t="str">
        <f t="shared" si="6"/>
        <v>N/A</v>
      </c>
      <c r="K56" s="77" t="str">
        <f t="shared" ca="1" si="7"/>
        <v>N/A</v>
      </c>
      <c r="L56" s="77" t="str">
        <f ca="1">IFERROR(VLOOKUP($A56,LASTYR,'[3]2017'!$N$3,FALSE),"N/A")</f>
        <v>N/A</v>
      </c>
      <c r="M56" s="77" t="str">
        <f ca="1">IFERROR(INDEX(DIV_BV_WP,$B56,M$12),"N/A")</f>
        <v>N/A</v>
      </c>
      <c r="N56" s="77" t="str">
        <f t="shared" ca="1" si="9"/>
        <v>N/A</v>
      </c>
      <c r="O56" s="77" t="str">
        <f t="shared" ca="1" si="9"/>
        <v>N/A</v>
      </c>
      <c r="P56" s="77" t="str">
        <f t="shared" ca="1" si="9"/>
        <v>N/A</v>
      </c>
      <c r="Q56" s="77" t="str">
        <f t="shared" ca="1" si="9"/>
        <v>N/A</v>
      </c>
      <c r="R56" s="77" t="str">
        <f t="shared" ca="1" si="9"/>
        <v>N/A</v>
      </c>
      <c r="S56" s="77" t="str">
        <f t="shared" ca="1" si="9"/>
        <v>N/A</v>
      </c>
      <c r="T56" s="77" t="str">
        <f t="shared" ca="1" si="9"/>
        <v>N/A</v>
      </c>
      <c r="U56" s="77" t="str">
        <f t="shared" ca="1" si="9"/>
        <v>N/A</v>
      </c>
      <c r="V56" s="77" t="str">
        <f t="shared" ca="1" si="9"/>
        <v>N/A</v>
      </c>
      <c r="W56" s="77" t="str">
        <f t="shared" ca="1" si="9"/>
        <v>N/A</v>
      </c>
      <c r="X56" s="62"/>
      <c r="Y56" s="62"/>
      <c r="Z56" s="62"/>
      <c r="AA56" s="62"/>
    </row>
    <row r="57" spans="1:27" hidden="1" x14ac:dyDescent="0.25">
      <c r="A57" s="50"/>
      <c r="B57" s="45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77" t="str">
        <f t="shared" ca="1" si="5"/>
        <v>N/A</v>
      </c>
      <c r="G57" s="77"/>
      <c r="H57" s="77"/>
      <c r="I57" s="77"/>
      <c r="J57" s="77" t="str">
        <f t="shared" si="6"/>
        <v>N/A</v>
      </c>
      <c r="K57" s="77" t="str">
        <f t="shared" ca="1" si="7"/>
        <v>N/A</v>
      </c>
      <c r="L57" s="77" t="str">
        <f ca="1">IFERROR(VLOOKUP($A57,LASTYR,'[3]2017'!$N$3,FALSE),"N/A")</f>
        <v>N/A</v>
      </c>
      <c r="M57" s="77" t="str">
        <f ca="1">IFERROR(INDEX(DIV_BV_WP,$B57,M$12),"N/A")</f>
        <v>N/A</v>
      </c>
      <c r="N57" s="77" t="str">
        <f t="shared" ca="1" si="9"/>
        <v>N/A</v>
      </c>
      <c r="O57" s="77" t="str">
        <f t="shared" ca="1" si="9"/>
        <v>N/A</v>
      </c>
      <c r="P57" s="77" t="str">
        <f t="shared" ca="1" si="9"/>
        <v>N/A</v>
      </c>
      <c r="Q57" s="77" t="str">
        <f t="shared" ca="1" si="9"/>
        <v>N/A</v>
      </c>
      <c r="R57" s="77" t="str">
        <f t="shared" ca="1" si="9"/>
        <v>N/A</v>
      </c>
      <c r="S57" s="77" t="str">
        <f t="shared" ca="1" si="9"/>
        <v>N/A</v>
      </c>
      <c r="T57" s="77" t="str">
        <f t="shared" ca="1" si="9"/>
        <v>N/A</v>
      </c>
      <c r="U57" s="77" t="str">
        <f t="shared" ca="1" si="9"/>
        <v>N/A</v>
      </c>
      <c r="V57" s="77" t="str">
        <f t="shared" ca="1" si="9"/>
        <v>N/A</v>
      </c>
      <c r="W57" s="77" t="str">
        <f t="shared" ca="1" si="9"/>
        <v>N/A</v>
      </c>
      <c r="X57" s="62"/>
      <c r="Y57" s="62"/>
      <c r="Z57" s="62"/>
      <c r="AA57" s="62"/>
    </row>
    <row r="58" spans="1:27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62"/>
      <c r="Y58" s="62"/>
      <c r="Z58" s="62"/>
      <c r="AA58" s="62"/>
    </row>
    <row r="59" spans="1:27" x14ac:dyDescent="0.25">
      <c r="A59" s="31"/>
      <c r="B59" s="31"/>
      <c r="C59" s="1">
        <f ca="1">IF(ISERROR(D59),"",IF(D59="","",MAX($C$12:C58)+1))</f>
        <v>7</v>
      </c>
      <c r="D59" t="s">
        <v>98</v>
      </c>
      <c r="F59" s="77">
        <f ca="1">AVERAGE(G59:W59)</f>
        <v>5.4579076821351394E-2</v>
      </c>
      <c r="G59" s="77">
        <f>AVERAGE(G13:G58)</f>
        <v>5.4851186455354452E-2</v>
      </c>
      <c r="H59" s="77">
        <f>AVERAGE(H13:H58)</f>
        <v>5.4237825035022467E-2</v>
      </c>
      <c r="I59" s="77">
        <f>AVERAGE(I13:I58)</f>
        <v>5.3940342662814215E-2</v>
      </c>
      <c r="J59" s="77">
        <f t="shared" ref="J59:W59" si="10">AVERAGE(J13:J58)</f>
        <v>5.5051030183852469E-2</v>
      </c>
      <c r="K59" s="77">
        <f t="shared" ca="1" si="10"/>
        <v>5.7542545932479983E-2</v>
      </c>
      <c r="L59" s="77">
        <f t="shared" ca="1" si="10"/>
        <v>5.8524076145596925E-2</v>
      </c>
      <c r="M59" s="77">
        <f t="shared" ca="1" si="10"/>
        <v>5.643524393393657E-2</v>
      </c>
      <c r="N59" s="77">
        <f t="shared" ca="1" si="10"/>
        <v>5.640237165298681E-2</v>
      </c>
      <c r="O59" s="77">
        <f t="shared" ca="1" si="10"/>
        <v>5.4852260748957139E-2</v>
      </c>
      <c r="P59" s="77">
        <f t="shared" ca="1" si="10"/>
        <v>5.3203011795831902E-2</v>
      </c>
      <c r="Q59" s="77">
        <f t="shared" ca="1" si="10"/>
        <v>5.6445901090878194E-2</v>
      </c>
      <c r="R59" s="77">
        <f t="shared" ca="1" si="10"/>
        <v>5.479781252325211E-2</v>
      </c>
      <c r="S59" s="77">
        <f t="shared" ca="1" si="10"/>
        <v>5.4739411735454151E-2</v>
      </c>
      <c r="T59" s="77">
        <f t="shared" ca="1" si="10"/>
        <v>5.5192495195777319E-2</v>
      </c>
      <c r="U59" s="77">
        <f t="shared" ca="1" si="10"/>
        <v>5.2151695401742165E-2</v>
      </c>
      <c r="V59" s="77">
        <f t="shared" ca="1" si="10"/>
        <v>4.9772725277430561E-2</v>
      </c>
      <c r="W59" s="77">
        <f t="shared" ca="1" si="10"/>
        <v>4.9704370191606395E-2</v>
      </c>
      <c r="X59" s="62"/>
      <c r="Y59" s="62"/>
      <c r="Z59" s="62"/>
      <c r="AA59" s="62"/>
    </row>
    <row r="60" spans="1:27" x14ac:dyDescent="0.25">
      <c r="A60" s="31"/>
      <c r="B60" s="31"/>
      <c r="C60" s="1">
        <f ca="1">IF(ISERROR(D60),"",IF(D60="","",MAX($C$12:C59)+1))</f>
        <v>8</v>
      </c>
      <c r="D60" t="s">
        <v>257</v>
      </c>
      <c r="F60" s="77">
        <f ca="1">AVERAGE(G60:W60)</f>
        <v>5.5350350563239094E-2</v>
      </c>
      <c r="G60" s="77">
        <f>MEDIAN(G13:G58)</f>
        <v>5.3267790231761016E-2</v>
      </c>
      <c r="H60" s="77">
        <f>MEDIAN(H13:H58)</f>
        <v>5.1655340718491469E-2</v>
      </c>
      <c r="I60" s="77">
        <f>MEDIAN(I13:I58)</f>
        <v>5.1655340718491469E-2</v>
      </c>
      <c r="J60" s="77">
        <f>MEDIAN(J13:J58)</f>
        <v>5.3766149870801035E-2</v>
      </c>
      <c r="K60" s="77">
        <f ca="1">MEDIAN(K13:K58)</f>
        <v>5.7487884474860376E-2</v>
      </c>
      <c r="L60" s="77">
        <f t="shared" ref="L60:W60" ca="1" si="11">MEDIAN(L13:L58)</f>
        <v>5.7490888977051305E-2</v>
      </c>
      <c r="M60" s="77">
        <f t="shared" ca="1" si="11"/>
        <v>5.527447679505984E-2</v>
      </c>
      <c r="N60" s="77">
        <f t="shared" ca="1" si="11"/>
        <v>5.5433419512618869E-2</v>
      </c>
      <c r="O60" s="77">
        <f t="shared" ca="1" si="11"/>
        <v>5.597250862226083E-2</v>
      </c>
      <c r="P60" s="77">
        <f t="shared" ca="1" si="11"/>
        <v>5.53955333496923E-2</v>
      </c>
      <c r="Q60" s="77">
        <f t="shared" ca="1" si="11"/>
        <v>5.4824692844180553E-2</v>
      </c>
      <c r="R60" s="77">
        <f t="shared" ca="1" si="11"/>
        <v>5.3952700591082911E-2</v>
      </c>
      <c r="S60" s="77">
        <f t="shared" ca="1" si="11"/>
        <v>5.4122000197224442E-2</v>
      </c>
      <c r="T60" s="77">
        <f t="shared" ca="1" si="11"/>
        <v>5.5166153324076553E-2</v>
      </c>
      <c r="U60" s="77">
        <f t="shared" ca="1" si="11"/>
        <v>5.7944659162332636E-2</v>
      </c>
      <c r="V60" s="77">
        <f t="shared" ca="1" si="11"/>
        <v>5.8619452350213902E-2</v>
      </c>
      <c r="W60" s="77">
        <f t="shared" ca="1" si="11"/>
        <v>5.892696783486509E-2</v>
      </c>
      <c r="X60" s="62"/>
      <c r="Y60" s="62"/>
      <c r="Z60" s="62"/>
      <c r="AA60" s="62"/>
    </row>
    <row r="61" spans="1:27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</row>
    <row r="62" spans="1:27" x14ac:dyDescent="0.25">
      <c r="A62" s="31"/>
      <c r="B62" s="31"/>
      <c r="C62" s="1"/>
    </row>
    <row r="63" spans="1:27" ht="16.2" x14ac:dyDescent="0.25">
      <c r="A63" s="31"/>
      <c r="B63" s="31"/>
      <c r="C63" s="6"/>
      <c r="D63" s="6"/>
      <c r="E63" s="19"/>
      <c r="F63" s="276" t="s">
        <v>326</v>
      </c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</row>
    <row r="64" spans="1:27" x14ac:dyDescent="0.25">
      <c r="A64" s="31"/>
      <c r="B64" s="31"/>
      <c r="C64" s="6"/>
      <c r="D64" s="7"/>
      <c r="E64" s="7"/>
      <c r="F64" s="8" t="str">
        <f>F9</f>
        <v>17-Year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7"/>
      <c r="U64" s="7"/>
      <c r="V64" s="7"/>
      <c r="W64" s="7"/>
      <c r="X64" s="7"/>
      <c r="Y64" s="7"/>
      <c r="Z64" s="7"/>
    </row>
    <row r="65" spans="1:27" ht="16.2" x14ac:dyDescent="0.25">
      <c r="A65" s="31"/>
      <c r="B65" s="31"/>
      <c r="C65" s="9" t="s">
        <v>96</v>
      </c>
      <c r="D65" s="275" t="s">
        <v>97</v>
      </c>
      <c r="E65" s="275"/>
      <c r="F65" s="10" t="s">
        <v>98</v>
      </c>
      <c r="G65" s="40" t="s">
        <v>540</v>
      </c>
      <c r="H65" s="40">
        <v>2021</v>
      </c>
      <c r="I65" s="40">
        <v>2020</v>
      </c>
      <c r="J65" s="40">
        <v>2019</v>
      </c>
      <c r="K65" s="10" t="s">
        <v>476</v>
      </c>
      <c r="L65" s="40">
        <v>2017</v>
      </c>
      <c r="M65" s="40">
        <v>2016</v>
      </c>
      <c r="N65" s="40">
        <v>2015</v>
      </c>
      <c r="O65" s="40">
        <v>2014</v>
      </c>
      <c r="P65" s="40">
        <v>2013</v>
      </c>
      <c r="Q65" s="40">
        <v>2012</v>
      </c>
      <c r="R65" s="40">
        <v>2011</v>
      </c>
      <c r="S65" s="40">
        <v>2010</v>
      </c>
      <c r="T65" s="40">
        <v>2009</v>
      </c>
      <c r="U65" s="40">
        <v>2008</v>
      </c>
      <c r="V65" s="40">
        <v>2007</v>
      </c>
      <c r="W65" s="40">
        <v>2006</v>
      </c>
      <c r="X65" s="40">
        <v>2005</v>
      </c>
      <c r="Y65" s="40">
        <v>2004</v>
      </c>
      <c r="Z65" s="40">
        <v>2003</v>
      </c>
      <c r="AA65" s="40">
        <v>2002</v>
      </c>
    </row>
    <row r="66" spans="1:27" x14ac:dyDescent="0.25">
      <c r="A66" s="41"/>
      <c r="B66" s="41"/>
      <c r="C66" s="9"/>
      <c r="D66" s="11"/>
      <c r="E66" s="11"/>
      <c r="F66" s="12">
        <v>-1</v>
      </c>
      <c r="G66" s="12">
        <f>+F66-1</f>
        <v>-2</v>
      </c>
      <c r="H66" s="12">
        <f>+G66-1</f>
        <v>-3</v>
      </c>
      <c r="I66" s="12">
        <f>+H66-1</f>
        <v>-4</v>
      </c>
      <c r="J66" s="12">
        <f>+I66-1</f>
        <v>-5</v>
      </c>
      <c r="K66" s="12">
        <f t="shared" ref="K66:AA66" si="12">+J66-1</f>
        <v>-6</v>
      </c>
      <c r="L66" s="12">
        <f t="shared" si="12"/>
        <v>-7</v>
      </c>
      <c r="M66" s="12">
        <f t="shared" si="12"/>
        <v>-8</v>
      </c>
      <c r="N66" s="12">
        <f t="shared" si="12"/>
        <v>-9</v>
      </c>
      <c r="O66" s="12">
        <f t="shared" si="12"/>
        <v>-10</v>
      </c>
      <c r="P66" s="12">
        <f t="shared" si="12"/>
        <v>-11</v>
      </c>
      <c r="Q66" s="12">
        <f t="shared" si="12"/>
        <v>-12</v>
      </c>
      <c r="R66" s="12">
        <f t="shared" si="12"/>
        <v>-13</v>
      </c>
      <c r="S66" s="12">
        <f t="shared" si="12"/>
        <v>-14</v>
      </c>
      <c r="T66" s="12">
        <f t="shared" si="12"/>
        <v>-15</v>
      </c>
      <c r="U66" s="12">
        <f t="shared" si="12"/>
        <v>-16</v>
      </c>
      <c r="V66" s="12">
        <f t="shared" si="12"/>
        <v>-17</v>
      </c>
      <c r="W66" s="12">
        <f t="shared" si="12"/>
        <v>-18</v>
      </c>
      <c r="X66" s="12">
        <f t="shared" si="12"/>
        <v>-19</v>
      </c>
      <c r="Y66" s="12">
        <f t="shared" si="12"/>
        <v>-20</v>
      </c>
      <c r="Z66" s="12">
        <f t="shared" si="12"/>
        <v>-21</v>
      </c>
      <c r="AA66" s="12">
        <f t="shared" si="12"/>
        <v>-22</v>
      </c>
    </row>
    <row r="67" spans="1:27" x14ac:dyDescent="0.25">
      <c r="A67" s="42"/>
      <c r="B67" s="43"/>
      <c r="C67" s="6"/>
      <c r="E67" s="22"/>
      <c r="F67" s="36"/>
      <c r="G67" s="36"/>
      <c r="H67" s="36"/>
      <c r="I67" s="36"/>
      <c r="J67" s="36"/>
      <c r="K67" s="16">
        <f t="shared" ref="K67:W67" ca="1" si="13">MATCH(VALUE(LEFT(K65,4)),OFFSET(DIV_EARN_WP,-1,0,1,),0)</f>
        <v>8</v>
      </c>
      <c r="L67" s="16">
        <f t="shared" ca="1" si="13"/>
        <v>9</v>
      </c>
      <c r="M67" s="16">
        <f t="shared" ca="1" si="13"/>
        <v>10</v>
      </c>
      <c r="N67" s="16">
        <f t="shared" ca="1" si="13"/>
        <v>11</v>
      </c>
      <c r="O67" s="16">
        <f t="shared" ca="1" si="13"/>
        <v>12</v>
      </c>
      <c r="P67" s="16">
        <f t="shared" ca="1" si="13"/>
        <v>13</v>
      </c>
      <c r="Q67" s="16">
        <f t="shared" ca="1" si="13"/>
        <v>14</v>
      </c>
      <c r="R67" s="16">
        <f t="shared" ca="1" si="13"/>
        <v>15</v>
      </c>
      <c r="S67" s="16">
        <f t="shared" ca="1" si="13"/>
        <v>16</v>
      </c>
      <c r="T67" s="16">
        <f t="shared" ca="1" si="13"/>
        <v>17</v>
      </c>
      <c r="U67" s="16">
        <f t="shared" ca="1" si="13"/>
        <v>18</v>
      </c>
      <c r="V67" s="16">
        <f t="shared" ca="1" si="13"/>
        <v>19</v>
      </c>
      <c r="W67" s="16">
        <f t="shared" ca="1" si="13"/>
        <v>20</v>
      </c>
      <c r="X67" s="16">
        <f ca="1">MATCH(VALUE(LEFT(X65,4)),OFFSET(MP_CF_WP,-1,0,1,),0)</f>
        <v>22</v>
      </c>
      <c r="Y67" s="16">
        <f ca="1">MATCH(VALUE(LEFT(Y65,4)),OFFSET(MP_CF_WP,-1,0,1,),0)</f>
        <v>23</v>
      </c>
      <c r="Z67" s="16">
        <f ca="1">MATCH(VALUE(LEFT(Z65,4)),OFFSET(MP_CF_WP,-1,0,1,),0)</f>
        <v>24</v>
      </c>
      <c r="AA67" s="16">
        <f ca="1">MATCH(VALUE(LEFT(AA65,4)),OFFSET(MP_CF_WP,-1,0,1,),0)</f>
        <v>25</v>
      </c>
    </row>
    <row r="68" spans="1:27" x14ac:dyDescent="0.25">
      <c r="A68" s="50" t="str">
        <f t="shared" ref="A68:A112" si="14">A13</f>
        <v>AWR</v>
      </c>
      <c r="B68" s="45">
        <f t="shared" ref="B68:B112" ca="1" si="15">IFERROR(MATCH(A68,OFFSET(DIV_EARN_WP,0,0,,1),0),"")</f>
        <v>4</v>
      </c>
      <c r="C68" s="1">
        <f ca="1">IF(ISERROR(D68),"",IF(D68="","",MAX($C$66:C67,C13:C60)+1))</f>
        <v>9</v>
      </c>
      <c r="D68" t="str">
        <f t="shared" ref="D68:D112" ca="1" si="16">D13</f>
        <v>Amer. States Water</v>
      </c>
      <c r="E68" s="22"/>
      <c r="F68" s="62">
        <f ca="1">IFERROR(AVERAGE(G68:W68),"N/A")</f>
        <v>0.56297336273435827</v>
      </c>
      <c r="G68" s="62">
        <f>IFERROR(IF(VLOOKUP($A68,'2022 Data (WP)'!$D$9:$AA$70,20,FALSE)=0,"",VLOOKUP($A68,'2022 Data (WP)'!$D$9:$AA$70,20,FALSE)),"N/A")</f>
        <v>0.72511848341232232</v>
      </c>
      <c r="H68" s="62">
        <f>IFERROR(IF(VLOOKUP($A68,'2021 Data (WP)'!$D$9:$AA$70,20,FALSE)=0,"",VLOOKUP($A68,'2021 Data (WP)'!$D$9:$AA$70,20,FALSE)),"N/A")</f>
        <v>0.5490196078431373</v>
      </c>
      <c r="I68" s="62">
        <f>IFERROR(IF(VLOOKUP($A68,'2020 Data (WP)'!$D$9:$AA$70,20,FALSE)=0,"",VLOOKUP($A68,'2020 Data (WP)'!$D$9:$AA$70,20,FALSE)),"N/A")</f>
        <v>0.54935622317596566</v>
      </c>
      <c r="J68" s="62">
        <f>IFERROR(IF(VLOOKUP($A68,LUCurYr,20,FALSE)=0,"",VLOOKUP($A68,LUCurYr,20,FALSE)),"N/A")</f>
        <v>0.53953488372093017</v>
      </c>
      <c r="K68" s="62">
        <f t="shared" ref="K68:W83" ca="1" si="17">IFERROR(IF(INDEX(DIV_EARN_WP,$B68,K$67)=0,"N/A",INDEX(DIV_EARN_WP,$B68,K$67)),"N/A")</f>
        <v>0.61627906976744196</v>
      </c>
      <c r="L68" s="62">
        <f t="shared" ca="1" si="17"/>
        <v>0.52659574468085113</v>
      </c>
      <c r="M68" s="62">
        <f t="shared" ca="1" si="17"/>
        <v>0.56419753086419755</v>
      </c>
      <c r="N68" s="62">
        <f t="shared" ca="1" si="17"/>
        <v>0.54625000000000001</v>
      </c>
      <c r="O68" s="62">
        <f t="shared" ca="1" si="17"/>
        <v>0.52929936305732483</v>
      </c>
      <c r="P68" s="62">
        <f t="shared" ca="1" si="17"/>
        <v>0.47204968944099379</v>
      </c>
      <c r="Q68" s="62">
        <f t="shared" ca="1" si="17"/>
        <v>0.45035460992907805</v>
      </c>
      <c r="R68" s="62">
        <f t="shared" ca="1" si="17"/>
        <v>0.49107142857142855</v>
      </c>
      <c r="S68" s="62">
        <f t="shared" ca="1" si="17"/>
        <v>0.46846846846846846</v>
      </c>
      <c r="T68" s="62">
        <f t="shared" ca="1" si="17"/>
        <v>0.62345679012345678</v>
      </c>
      <c r="U68" s="62">
        <f t="shared" ca="1" si="17"/>
        <v>0.64516129032258063</v>
      </c>
      <c r="V68" s="62">
        <f t="shared" ca="1" si="17"/>
        <v>0.59012345679012335</v>
      </c>
      <c r="W68" s="62">
        <f t="shared" ca="1" si="17"/>
        <v>0.68421052631578949</v>
      </c>
      <c r="X68" s="62"/>
      <c r="Y68" s="62"/>
      <c r="Z68" s="62"/>
      <c r="AA68" s="62"/>
    </row>
    <row r="69" spans="1:27" x14ac:dyDescent="0.25">
      <c r="A69" s="50" t="str">
        <f t="shared" si="14"/>
        <v>AWK</v>
      </c>
      <c r="B69" s="45">
        <f t="shared" ca="1" si="15"/>
        <v>5</v>
      </c>
      <c r="C69" s="1">
        <f ca="1">IF(ISERROR(D69),"",IF(D69="","",MAX($C$66:C68)+1))</f>
        <v>10</v>
      </c>
      <c r="D69" t="str">
        <f t="shared" ca="1" si="16"/>
        <v>Amer. Water Works</v>
      </c>
      <c r="E69" s="22"/>
      <c r="F69" s="62">
        <f t="shared" ref="F69:F112" ca="1" si="18">IFERROR(AVERAGE(G69:W69),"N/A")</f>
        <v>0.52712163029124759</v>
      </c>
      <c r="G69" s="62">
        <f>IFERROR(IF(VLOOKUP($A69,'2022 Data (WP)'!$D$9:$AA$70,20,FALSE)=0,"",VLOOKUP($A69,'2022 Data (WP)'!$D$9:$AA$70,20,FALSE)),"N/A")</f>
        <v>0.56984478935698446</v>
      </c>
      <c r="H69" s="62">
        <f>IFERROR(IF(VLOOKUP($A69,'2021 Data (WP)'!$D$9:$AA$70,20,FALSE)=0,"",VLOOKUP($A69,'2021 Data (WP)'!$D$9:$AA$70,20,FALSE)),"N/A")</f>
        <v>0.33956834532374097</v>
      </c>
      <c r="I69" s="62">
        <f>IFERROR(IF(VLOOKUP($A69,'2020 Data (WP)'!$D$9:$AA$70,20,FALSE)=0,"",VLOOKUP($A69,'2020 Data (WP)'!$D$9:$AA$70,20,FALSE)),"N/A")</f>
        <v>0.54987212276214825</v>
      </c>
      <c r="J69" s="62">
        <f>IFERROR(IF(VLOOKUP($A69,LUCurYr,20,FALSE)=0,"",VLOOKUP($A69,LUCurYr,20,FALSE)),"N/A")</f>
        <v>0.5444444444444444</v>
      </c>
      <c r="K69" s="62">
        <f t="shared" ca="1" si="17"/>
        <v>0.56507936507936507</v>
      </c>
      <c r="L69" s="62">
        <f t="shared" ca="1" si="17"/>
        <v>0.68067226890756305</v>
      </c>
      <c r="M69" s="62">
        <f t="shared" ca="1" si="17"/>
        <v>0.56106870229007633</v>
      </c>
      <c r="N69" s="62">
        <f t="shared" ca="1" si="17"/>
        <v>0.50378787878787878</v>
      </c>
      <c r="O69" s="62">
        <f t="shared" ca="1" si="17"/>
        <v>0.506276150627615</v>
      </c>
      <c r="P69" s="62">
        <f t="shared" ca="1" si="17"/>
        <v>0.40776699029126212</v>
      </c>
      <c r="Q69" s="62">
        <f t="shared" ca="1" si="17"/>
        <v>0.57345971563981046</v>
      </c>
      <c r="R69" s="62">
        <f t="shared" ca="1" si="17"/>
        <v>0.52325581395348841</v>
      </c>
      <c r="S69" s="62">
        <f t="shared" ca="1" si="17"/>
        <v>0.56209150326797386</v>
      </c>
      <c r="T69" s="62">
        <f t="shared" ca="1" si="17"/>
        <v>0.65599999999999992</v>
      </c>
      <c r="U69" s="62">
        <f t="shared" ca="1" si="17"/>
        <v>0.36363636363636365</v>
      </c>
      <c r="V69" s="62" t="str">
        <f t="shared" ca="1" si="17"/>
        <v>N/A</v>
      </c>
      <c r="W69" s="62" t="str">
        <f t="shared" ca="1" si="17"/>
        <v>N/A</v>
      </c>
      <c r="X69" s="62"/>
      <c r="Y69" s="62"/>
      <c r="Z69" s="62"/>
      <c r="AA69" s="62"/>
    </row>
    <row r="70" spans="1:27" x14ac:dyDescent="0.25">
      <c r="A70" s="50" t="str">
        <f t="shared" si="14"/>
        <v>WTRG</v>
      </c>
      <c r="B70" s="45">
        <f>B15</f>
        <v>8</v>
      </c>
      <c r="C70" s="1">
        <f ca="1">IF(ISERROR(D70),"",IF(D70="","",MAX($C$66:C69)+1))</f>
        <v>11</v>
      </c>
      <c r="D70" t="str">
        <f t="shared" si="16"/>
        <v>Essential Utilities</v>
      </c>
      <c r="E70" s="22"/>
      <c r="F70" s="62">
        <f t="shared" ca="1" si="18"/>
        <v>0.65524999848975551</v>
      </c>
      <c r="G70" s="62">
        <f>IFERROR(IF(VLOOKUP($A70,'2022 Data (WP)'!$D$9:$AA$70,20,FALSE)=0,"",VLOOKUP($A70,'2022 Data (WP)'!$D$9:$AA$70,20,FALSE)),"N/A")</f>
        <v>0.6271186440677966</v>
      </c>
      <c r="H70" s="62">
        <f>IFERROR(IF(VLOOKUP($A70,'2021 Data (WP)'!$D$9:$AA$70,20,FALSE)=0,"",VLOOKUP($A70,'2021 Data (WP)'!$D$9:$AA$70,20,FALSE)),"N/A")</f>
        <v>0.6227544910179641</v>
      </c>
      <c r="I70" s="62">
        <f>IFERROR(IF(VLOOKUP($A70,'2020 Data (WP)'!$D$9:$AA$70,20,FALSE)=0,"",VLOOKUP($A70,'2020 Data (WP)'!$D$9:$AA$70,20,FALSE)),"N/A")</f>
        <v>0.86607142857142849</v>
      </c>
      <c r="J70" s="62">
        <f>IFERROR(IF(VLOOKUP("WTR",LUCurYr,20,FALSE)=0,"",VLOOKUP("WTR",LUCurYr,20,FALSE)),"N/A")</f>
        <v>0.8666666666666667</v>
      </c>
      <c r="K70" s="62">
        <f t="shared" ca="1" si="17"/>
        <v>0.78703703703703698</v>
      </c>
      <c r="L70" s="62">
        <f t="shared" ca="1" si="17"/>
        <v>0.58518518518518514</v>
      </c>
      <c r="M70" s="62">
        <f t="shared" ca="1" si="17"/>
        <v>0.56060606060606055</v>
      </c>
      <c r="N70" s="62">
        <f t="shared" ca="1" si="17"/>
        <v>0.60526315789473684</v>
      </c>
      <c r="O70" s="62">
        <f t="shared" ca="1" si="17"/>
        <v>0.52500000000000002</v>
      </c>
      <c r="P70" s="62">
        <f t="shared" ca="1" si="17"/>
        <v>0.5</v>
      </c>
      <c r="Q70" s="62">
        <f t="shared" ca="1" si="17"/>
        <v>0.6146788990825689</v>
      </c>
      <c r="R70" s="62">
        <f t="shared" ca="1" si="17"/>
        <v>0.60576923076923084</v>
      </c>
      <c r="S70" s="62">
        <f t="shared" ca="1" si="17"/>
        <v>0.65555555555555556</v>
      </c>
      <c r="T70" s="62">
        <f t="shared" ca="1" si="17"/>
        <v>0.7142857142857143</v>
      </c>
      <c r="U70" s="62">
        <f t="shared" ca="1" si="17"/>
        <v>0.69863013698630139</v>
      </c>
      <c r="V70" s="62">
        <f t="shared" ca="1" si="17"/>
        <v>0.67605633802816911</v>
      </c>
      <c r="W70" s="62">
        <f t="shared" ca="1" si="17"/>
        <v>0.62857142857142845</v>
      </c>
      <c r="X70" s="62"/>
      <c r="Y70" s="62"/>
      <c r="Z70" s="62"/>
      <c r="AA70" s="62"/>
    </row>
    <row r="71" spans="1:27" x14ac:dyDescent="0.25">
      <c r="A71" s="50" t="str">
        <f t="shared" si="14"/>
        <v>CWT</v>
      </c>
      <c r="B71" s="45">
        <f t="shared" ca="1" si="15"/>
        <v>13</v>
      </c>
      <c r="C71" s="1">
        <f ca="1">IF(ISERROR(D71),"",IF(D71="","",MAX($C$66:C70)+1))</f>
        <v>12</v>
      </c>
      <c r="D71" t="str">
        <f t="shared" ca="1" si="16"/>
        <v>California Water</v>
      </c>
      <c r="E71" s="22"/>
      <c r="F71" s="62">
        <f t="shared" ca="1" si="18"/>
        <v>0.61812701267081827</v>
      </c>
      <c r="G71" s="62">
        <f>IFERROR(IF(VLOOKUP($A71,'2022 Data (WP)'!$D$9:$AA$70,20,FALSE)=0,"",VLOOKUP($A71,'2022 Data (WP)'!$D$9:$AA$70,20,FALSE)),"N/A")</f>
        <v>0.56497175141242939</v>
      </c>
      <c r="H71" s="62">
        <f>IFERROR(IF(VLOOKUP($A71,'2021 Data (WP)'!$D$9:$AA$70,20,FALSE)=0,"",VLOOKUP($A71,'2021 Data (WP)'!$D$9:$AA$70,20,FALSE)),"N/A")</f>
        <v>0.46938775510204084</v>
      </c>
      <c r="I71" s="62">
        <f>IFERROR(IF(VLOOKUP($A71,'2020 Data (WP)'!$D$9:$AA$70,20,FALSE)=0,"",VLOOKUP($A71,'2020 Data (WP)'!$D$9:$AA$70,20,FALSE)),"N/A")</f>
        <v>0.43147208121827413</v>
      </c>
      <c r="J71" s="62">
        <f t="shared" ref="J71:J112" si="19">IFERROR(IF(VLOOKUP($A71,LUCurYr,20,FALSE)=0,"",VLOOKUP($A71,LUCurYr,20,FALSE)),"N/A")</f>
        <v>0.56428571428571439</v>
      </c>
      <c r="K71" s="62">
        <f t="shared" ca="1" si="17"/>
        <v>0.55147058823529405</v>
      </c>
      <c r="L71" s="62">
        <f t="shared" ca="1" si="17"/>
        <v>0.51428571428571435</v>
      </c>
      <c r="M71" s="62">
        <f t="shared" ca="1" si="17"/>
        <v>0.68316831683168311</v>
      </c>
      <c r="N71" s="62">
        <f t="shared" ca="1" si="17"/>
        <v>0.7127659574468086</v>
      </c>
      <c r="O71" s="62">
        <f t="shared" ca="1" si="17"/>
        <v>0.54621848739495804</v>
      </c>
      <c r="P71" s="62">
        <f t="shared" ca="1" si="17"/>
        <v>0.62745098039215685</v>
      </c>
      <c r="Q71" s="62">
        <f t="shared" ca="1" si="17"/>
        <v>0.61764705882352944</v>
      </c>
      <c r="R71" s="62">
        <f t="shared" ca="1" si="17"/>
        <v>0.71511627906976749</v>
      </c>
      <c r="S71" s="62">
        <f t="shared" ca="1" si="17"/>
        <v>0.65745856353591159</v>
      </c>
      <c r="T71" s="62">
        <f t="shared" ca="1" si="17"/>
        <v>0.60512820512820509</v>
      </c>
      <c r="U71" s="62">
        <f t="shared" ca="1" si="17"/>
        <v>0.61578947368421055</v>
      </c>
      <c r="V71" s="62">
        <f t="shared" ca="1" si="17"/>
        <v>0.77333333333333332</v>
      </c>
      <c r="W71" s="62">
        <f t="shared" ca="1" si="17"/>
        <v>0.85820895522388052</v>
      </c>
      <c r="X71" s="62"/>
      <c r="Y71" s="62"/>
      <c r="Z71" s="62"/>
      <c r="AA71" s="62"/>
    </row>
    <row r="72" spans="1:27" x14ac:dyDescent="0.25">
      <c r="A72" s="50" t="str">
        <f t="shared" si="14"/>
        <v>MSEX</v>
      </c>
      <c r="B72" s="45">
        <f t="shared" ca="1" si="15"/>
        <v>41</v>
      </c>
      <c r="C72" s="1">
        <f ca="1">IF(ISERROR(D72),"",IF(D72="","",MAX($C$66:C71)+1))</f>
        <v>13</v>
      </c>
      <c r="D72" t="str">
        <f t="shared" ca="1" si="16"/>
        <v>Middlesex Water</v>
      </c>
      <c r="E72" s="22"/>
      <c r="F72" s="62">
        <f t="shared" ca="1" si="18"/>
        <v>0.68146615882579531</v>
      </c>
      <c r="G72" s="62">
        <f>IFERROR(IF(VLOOKUP($A72,'2022 Data (WP)'!$D$9:$AA$70,20,FALSE)=0,"",VLOOKUP($A72,'2022 Data (WP)'!$D$9:$AA$70,20,FALSE)),"N/A")</f>
        <v>0.49372384937238489</v>
      </c>
      <c r="H72" s="62">
        <f>IFERROR(IF(VLOOKUP($A72,'2021 Data (WP)'!$D$9:$AA$70,20,FALSE)=0,"",VLOOKUP($A72,'2021 Data (WP)'!$D$9:$AA$70,20,FALSE)),"N/A")</f>
        <v>0.53623188405797106</v>
      </c>
      <c r="I72" s="62">
        <f>IFERROR(IF(VLOOKUP($A72,'2020 Data (WP)'!$D$9:$AA$70,20,FALSE)=0,"",VLOOKUP($A72,'2020 Data (WP)'!$D$9:$AA$70,20,FALSE)),"N/A")</f>
        <v>0.47706422018348621</v>
      </c>
      <c r="J72" s="62">
        <f t="shared" si="19"/>
        <v>0.50256410256410255</v>
      </c>
      <c r="K72" s="62">
        <f t="shared" ca="1" si="17"/>
        <v>0.46479591836734696</v>
      </c>
      <c r="L72" s="62">
        <f t="shared" ca="1" si="17"/>
        <v>0.62173913043478268</v>
      </c>
      <c r="M72" s="62">
        <f t="shared" ca="1" si="17"/>
        <v>0.58550724637681173</v>
      </c>
      <c r="N72" s="62">
        <f t="shared" ca="1" si="17"/>
        <v>0.63606557377049189</v>
      </c>
      <c r="O72" s="62">
        <f t="shared" ca="1" si="17"/>
        <v>0.67522123893805319</v>
      </c>
      <c r="P72" s="62">
        <f t="shared" ca="1" si="17"/>
        <v>0.73106796116504857</v>
      </c>
      <c r="Q72" s="62">
        <f t="shared" ca="1" si="17"/>
        <v>0.82555555555555549</v>
      </c>
      <c r="R72" s="62">
        <f t="shared" ca="1" si="17"/>
        <v>0.87261904761904763</v>
      </c>
      <c r="S72" s="62">
        <f t="shared" ca="1" si="17"/>
        <v>0.75312500000000004</v>
      </c>
      <c r="T72" s="62">
        <f t="shared" ca="1" si="17"/>
        <v>0.99027777777777781</v>
      </c>
      <c r="U72" s="62">
        <f t="shared" ca="1" si="17"/>
        <v>0.78988764044943816</v>
      </c>
      <c r="V72" s="62">
        <f t="shared" ca="1" si="17"/>
        <v>0.79655172413793096</v>
      </c>
      <c r="W72" s="62">
        <f t="shared" ca="1" si="17"/>
        <v>0.83292682926829276</v>
      </c>
      <c r="X72" s="62"/>
      <c r="Y72" s="62"/>
      <c r="Z72" s="62"/>
      <c r="AA72" s="62"/>
    </row>
    <row r="73" spans="1:27" x14ac:dyDescent="0.25">
      <c r="A73" s="50" t="str">
        <f t="shared" si="14"/>
        <v>SJW</v>
      </c>
      <c r="B73" s="45">
        <f t="shared" ca="1" si="15"/>
        <v>60</v>
      </c>
      <c r="C73" s="1">
        <f ca="1">IF(ISERROR(D73),"",IF(D73="","",MAX($C$66:C72)+1))</f>
        <v>14</v>
      </c>
      <c r="D73" t="str">
        <f t="shared" ca="1" si="16"/>
        <v>SJW Corp.</v>
      </c>
      <c r="E73" s="22"/>
      <c r="F73" s="62">
        <f t="shared" ca="1" si="18"/>
        <v>0.57943139287522338</v>
      </c>
      <c r="G73" s="62">
        <f>IFERROR(IF(VLOOKUP($A73,'2022 Data (WP)'!$D$9:$AA$70,20,FALSE)=0,"",VLOOKUP($A73,'2022 Data (WP)'!$D$9:$AA$70,20,FALSE)),"N/A")</f>
        <v>0.59259259259259256</v>
      </c>
      <c r="H73" s="62">
        <f>IFERROR(IF(VLOOKUP($A73,'2021 Data (WP)'!$D$9:$AA$70,20,FALSE)=0,"",VLOOKUP($A73,'2021 Data (WP)'!$D$9:$AA$70,20,FALSE)),"N/A")</f>
        <v>0.66995073891625623</v>
      </c>
      <c r="I73" s="62">
        <f>IFERROR(IF(VLOOKUP($A73,'2020 Data (WP)'!$D$9:$AA$70,20,FALSE)=0,"",VLOOKUP($A73,'2020 Data (WP)'!$D$9:$AA$70,20,FALSE)),"N/A")</f>
        <v>0.59813084112149528</v>
      </c>
      <c r="J73" s="62">
        <f t="shared" si="19"/>
        <v>0.82758620689655171</v>
      </c>
      <c r="K73" s="62">
        <f t="shared" ca="1" si="17"/>
        <v>0.61538461538461542</v>
      </c>
      <c r="L73" s="62">
        <f t="shared" ca="1" si="17"/>
        <v>0.36363636363636365</v>
      </c>
      <c r="M73" s="62">
        <f t="shared" ca="1" si="17"/>
        <v>0.31517509727626464</v>
      </c>
      <c r="N73" s="62">
        <f t="shared" ca="1" si="17"/>
        <v>0.42162162162162159</v>
      </c>
      <c r="O73" s="62">
        <f t="shared" ca="1" si="17"/>
        <v>0.29527559055118108</v>
      </c>
      <c r="P73" s="62">
        <f t="shared" ca="1" si="17"/>
        <v>0.65178571428571419</v>
      </c>
      <c r="Q73" s="62">
        <f t="shared" ca="1" si="17"/>
        <v>0.60169491525423724</v>
      </c>
      <c r="R73" s="62">
        <f t="shared" ca="1" si="17"/>
        <v>0.62162162162162149</v>
      </c>
      <c r="S73" s="62">
        <f t="shared" ca="1" si="17"/>
        <v>0.80952380952380965</v>
      </c>
      <c r="T73" s="62">
        <f t="shared" ca="1" si="17"/>
        <v>0.81481481481481477</v>
      </c>
      <c r="U73" s="62">
        <f t="shared" ca="1" si="17"/>
        <v>0.59501845018450183</v>
      </c>
      <c r="V73" s="62">
        <f t="shared" ca="1" si="17"/>
        <v>0.58173076923076916</v>
      </c>
      <c r="W73" s="62">
        <f t="shared" ca="1" si="17"/>
        <v>0.47478991596638653</v>
      </c>
      <c r="X73" s="62"/>
      <c r="Y73" s="62"/>
      <c r="Z73" s="62"/>
      <c r="AA73" s="62"/>
    </row>
    <row r="74" spans="1:27" hidden="1" x14ac:dyDescent="0.25">
      <c r="A74" s="50">
        <f t="shared" si="14"/>
        <v>0</v>
      </c>
      <c r="B74" s="45" t="str">
        <f t="shared" ca="1" si="15"/>
        <v/>
      </c>
      <c r="C74" s="1" t="str">
        <f>IF(ISERROR(D74),"",IF(D74="","",MAX($C$66:C73)+1))</f>
        <v/>
      </c>
      <c r="D74" t="e">
        <f t="shared" si="16"/>
        <v>#N/A</v>
      </c>
      <c r="E74" s="22"/>
      <c r="F74" s="62" t="str">
        <f t="shared" ca="1" si="18"/>
        <v>N/A</v>
      </c>
      <c r="G74" s="62" t="str">
        <f>IFERROR(IF(VLOOKUP($A74,'2022 Data (WP)'!$D$9:$AA$70,20,FALSE)=0,"",VLOOKUP($A74,'2022 Data (WP)'!$D$9:$AA$70,20,FALSE)),"N/A")</f>
        <v>N/A</v>
      </c>
      <c r="H74" s="62" t="str">
        <f>IFERROR(IF(VLOOKUP($A74,'2021 Data (WP)'!$D$9:$AA$70,20,FALSE)=0,"",VLOOKUP($A74,'2021 Data (WP)'!$D$9:$AA$70,20,FALSE)),"N/A")</f>
        <v>N/A</v>
      </c>
      <c r="I74" s="62" t="str">
        <f>IFERROR(IF(VLOOKUP($A74,'2020 Data (WP)'!$D$9:$AA$70,20,FALSE)=0,"",VLOOKUP($A74,'2020 Data (WP)'!$D$9:$AA$70,20,FALSE)),"N/A")</f>
        <v>N/A</v>
      </c>
      <c r="J74" s="62" t="str">
        <f t="shared" si="19"/>
        <v>N/A</v>
      </c>
      <c r="K74" s="62" t="str">
        <f t="shared" ca="1" si="17"/>
        <v>N/A</v>
      </c>
      <c r="L74" s="62" t="str">
        <f t="shared" ca="1" si="17"/>
        <v>N/A</v>
      </c>
      <c r="M74" s="62" t="str">
        <f t="shared" ca="1" si="17"/>
        <v>N/A</v>
      </c>
      <c r="N74" s="62" t="str">
        <f t="shared" ca="1" si="17"/>
        <v>N/A</v>
      </c>
      <c r="O74" s="62" t="str">
        <f t="shared" ca="1" si="17"/>
        <v>N/A</v>
      </c>
      <c r="P74" s="62" t="str">
        <f t="shared" ca="1" si="17"/>
        <v>N/A</v>
      </c>
      <c r="Q74" s="62" t="str">
        <f t="shared" ca="1" si="17"/>
        <v>N/A</v>
      </c>
      <c r="R74" s="62" t="str">
        <f t="shared" ca="1" si="17"/>
        <v>N/A</v>
      </c>
      <c r="S74" s="62" t="str">
        <f t="shared" ca="1" si="17"/>
        <v>N/A</v>
      </c>
      <c r="T74" s="62" t="str">
        <f t="shared" ca="1" si="17"/>
        <v>N/A</v>
      </c>
      <c r="U74" s="62" t="str">
        <f t="shared" ca="1" si="17"/>
        <v>N/A</v>
      </c>
      <c r="V74" s="62" t="str">
        <f t="shared" ca="1" si="17"/>
        <v>N/A</v>
      </c>
      <c r="W74" s="62" t="str">
        <f t="shared" ca="1" si="17"/>
        <v>N/A</v>
      </c>
      <c r="X74" s="62"/>
      <c r="Y74" s="62"/>
      <c r="Z74" s="62"/>
      <c r="AA74" s="62"/>
    </row>
    <row r="75" spans="1:27" hidden="1" x14ac:dyDescent="0.25">
      <c r="A75" s="50">
        <f t="shared" si="14"/>
        <v>0</v>
      </c>
      <c r="B75" s="45" t="str">
        <f t="shared" ca="1" si="15"/>
        <v/>
      </c>
      <c r="C75" s="1" t="str">
        <f>IF(ISERROR(D75),"",IF(D75="","",MAX($C$66:C74)+1))</f>
        <v/>
      </c>
      <c r="D75" t="e">
        <f t="shared" si="16"/>
        <v>#N/A</v>
      </c>
      <c r="E75" s="22"/>
      <c r="F75" s="62" t="str">
        <f t="shared" ca="1" si="18"/>
        <v>N/A</v>
      </c>
      <c r="G75" s="62" t="str">
        <f>IFERROR(IF(VLOOKUP($A75,'2022 Data (WP)'!$D$9:$AA$70,20,FALSE)=0,"",VLOOKUP($A75,'2022 Data (WP)'!$D$9:$AA$70,20,FALSE)),"N/A")</f>
        <v>N/A</v>
      </c>
      <c r="H75" s="62" t="str">
        <f>IFERROR(IF(VLOOKUP($A75,'2021 Data (WP)'!$D$9:$AA$70,20,FALSE)=0,"",VLOOKUP($A75,'2021 Data (WP)'!$D$9:$AA$70,20,FALSE)),"N/A")</f>
        <v>N/A</v>
      </c>
      <c r="I75" s="62" t="str">
        <f>IFERROR(IF(VLOOKUP($A75,'2020 Data (WP)'!$D$9:$AA$70,20,FALSE)=0,"",VLOOKUP($A75,'2020 Data (WP)'!$D$9:$AA$70,20,FALSE)),"N/A")</f>
        <v>N/A</v>
      </c>
      <c r="J75" s="62" t="str">
        <f t="shared" si="19"/>
        <v>N/A</v>
      </c>
      <c r="K75" s="62" t="str">
        <f t="shared" ca="1" si="17"/>
        <v>N/A</v>
      </c>
      <c r="L75" s="62" t="str">
        <f t="shared" ca="1" si="17"/>
        <v>N/A</v>
      </c>
      <c r="M75" s="62" t="str">
        <f t="shared" ca="1" si="17"/>
        <v>N/A</v>
      </c>
      <c r="N75" s="62" t="str">
        <f t="shared" ca="1" si="17"/>
        <v>N/A</v>
      </c>
      <c r="O75" s="62" t="str">
        <f t="shared" ca="1" si="17"/>
        <v>N/A</v>
      </c>
      <c r="P75" s="62" t="str">
        <f t="shared" ca="1" si="17"/>
        <v>N/A</v>
      </c>
      <c r="Q75" s="62" t="str">
        <f t="shared" ca="1" si="17"/>
        <v>N/A</v>
      </c>
      <c r="R75" s="62" t="str">
        <f t="shared" ca="1" si="17"/>
        <v>N/A</v>
      </c>
      <c r="S75" s="62" t="str">
        <f t="shared" ca="1" si="17"/>
        <v>N/A</v>
      </c>
      <c r="T75" s="62" t="str">
        <f t="shared" ca="1" si="17"/>
        <v>N/A</v>
      </c>
      <c r="U75" s="62" t="str">
        <f t="shared" ca="1" si="17"/>
        <v>N/A</v>
      </c>
      <c r="V75" s="62" t="str">
        <f t="shared" ca="1" si="17"/>
        <v>N/A</v>
      </c>
      <c r="W75" s="62" t="str">
        <f t="shared" ca="1" si="17"/>
        <v>N/A</v>
      </c>
      <c r="X75" s="62"/>
      <c r="Y75" s="62"/>
      <c r="Z75" s="62"/>
      <c r="AA75" s="62"/>
    </row>
    <row r="76" spans="1:27" hidden="1" x14ac:dyDescent="0.25">
      <c r="A76" s="50">
        <f t="shared" si="14"/>
        <v>0</v>
      </c>
      <c r="B76" s="45" t="str">
        <f t="shared" ca="1" si="15"/>
        <v/>
      </c>
      <c r="C76" s="1" t="str">
        <f>IF(ISERROR(D76),"",IF(D76="","",MAX($C$66:C75)+1))</f>
        <v/>
      </c>
      <c r="D76" t="e">
        <f t="shared" si="16"/>
        <v>#N/A</v>
      </c>
      <c r="E76" s="22"/>
      <c r="F76" s="62" t="str">
        <f t="shared" ca="1" si="18"/>
        <v>N/A</v>
      </c>
      <c r="G76" s="62"/>
      <c r="H76" s="62"/>
      <c r="I76" s="62"/>
      <c r="J76" s="62" t="str">
        <f t="shared" si="19"/>
        <v>N/A</v>
      </c>
      <c r="K76" s="62" t="str">
        <f t="shared" ca="1" si="17"/>
        <v>N/A</v>
      </c>
      <c r="L76" s="62" t="str">
        <f t="shared" ca="1" si="17"/>
        <v>N/A</v>
      </c>
      <c r="M76" s="62" t="str">
        <f t="shared" ca="1" si="17"/>
        <v>N/A</v>
      </c>
      <c r="N76" s="62" t="str">
        <f t="shared" ca="1" si="17"/>
        <v>N/A</v>
      </c>
      <c r="O76" s="62" t="str">
        <f t="shared" ca="1" si="17"/>
        <v>N/A</v>
      </c>
      <c r="P76" s="62" t="str">
        <f t="shared" ca="1" si="17"/>
        <v>N/A</v>
      </c>
      <c r="Q76" s="62" t="str">
        <f t="shared" ca="1" si="17"/>
        <v>N/A</v>
      </c>
      <c r="R76" s="62" t="str">
        <f t="shared" ca="1" si="17"/>
        <v>N/A</v>
      </c>
      <c r="S76" s="62" t="str">
        <f t="shared" ca="1" si="17"/>
        <v>N/A</v>
      </c>
      <c r="T76" s="62" t="str">
        <f t="shared" ca="1" si="17"/>
        <v>N/A</v>
      </c>
      <c r="U76" s="62" t="str">
        <f t="shared" ca="1" si="17"/>
        <v>N/A</v>
      </c>
      <c r="V76" s="62" t="str">
        <f t="shared" ca="1" si="17"/>
        <v>N/A</v>
      </c>
      <c r="W76" s="62" t="str">
        <f t="shared" ca="1" si="17"/>
        <v>N/A</v>
      </c>
      <c r="X76" s="62"/>
      <c r="Y76" s="62"/>
      <c r="Z76" s="62"/>
      <c r="AA76" s="62"/>
    </row>
    <row r="77" spans="1:27" hidden="1" x14ac:dyDescent="0.25">
      <c r="A77" s="50">
        <f t="shared" si="14"/>
        <v>0</v>
      </c>
      <c r="B77" s="45" t="str">
        <f t="shared" ca="1" si="15"/>
        <v/>
      </c>
      <c r="C77" s="1" t="str">
        <f>IF(ISERROR(D77),"",IF(D77="","",MAX($C$66:C76)+1))</f>
        <v/>
      </c>
      <c r="D77" t="e">
        <f t="shared" si="16"/>
        <v>#N/A</v>
      </c>
      <c r="E77" s="22"/>
      <c r="F77" s="62" t="str">
        <f t="shared" ca="1" si="18"/>
        <v>N/A</v>
      </c>
      <c r="G77" s="62"/>
      <c r="H77" s="62"/>
      <c r="I77" s="62"/>
      <c r="J77" s="62" t="str">
        <f t="shared" si="19"/>
        <v>N/A</v>
      </c>
      <c r="K77" s="62" t="str">
        <f t="shared" ca="1" si="17"/>
        <v>N/A</v>
      </c>
      <c r="L77" s="62" t="str">
        <f t="shared" ca="1" si="17"/>
        <v>N/A</v>
      </c>
      <c r="M77" s="62" t="str">
        <f t="shared" ca="1" si="17"/>
        <v>N/A</v>
      </c>
      <c r="N77" s="62" t="str">
        <f t="shared" ca="1" si="17"/>
        <v>N/A</v>
      </c>
      <c r="O77" s="62" t="str">
        <f t="shared" ca="1" si="17"/>
        <v>N/A</v>
      </c>
      <c r="P77" s="62" t="str">
        <f t="shared" ca="1" si="17"/>
        <v>N/A</v>
      </c>
      <c r="Q77" s="62" t="str">
        <f t="shared" ca="1" si="17"/>
        <v>N/A</v>
      </c>
      <c r="R77" s="62" t="str">
        <f t="shared" ca="1" si="17"/>
        <v>N/A</v>
      </c>
      <c r="S77" s="62" t="str">
        <f t="shared" ca="1" si="17"/>
        <v>N/A</v>
      </c>
      <c r="T77" s="62" t="str">
        <f t="shared" ca="1" si="17"/>
        <v>N/A</v>
      </c>
      <c r="U77" s="62" t="str">
        <f t="shared" ca="1" si="17"/>
        <v>N/A</v>
      </c>
      <c r="V77" s="62" t="str">
        <f t="shared" ca="1" si="17"/>
        <v>N/A</v>
      </c>
      <c r="W77" s="62" t="str">
        <f t="shared" ca="1" si="17"/>
        <v>N/A</v>
      </c>
      <c r="X77" s="62"/>
      <c r="Y77" s="62"/>
      <c r="Z77" s="62"/>
      <c r="AA77" s="62"/>
    </row>
    <row r="78" spans="1:27" hidden="1" x14ac:dyDescent="0.25">
      <c r="A78" s="50">
        <f t="shared" si="14"/>
        <v>0</v>
      </c>
      <c r="B78" s="45" t="str">
        <f t="shared" ca="1" si="15"/>
        <v/>
      </c>
      <c r="C78" s="1" t="str">
        <f>IF(ISERROR(D78),"",IF(D78="","",MAX($C$66:C77)+1))</f>
        <v/>
      </c>
      <c r="D78" t="e">
        <f t="shared" si="16"/>
        <v>#N/A</v>
      </c>
      <c r="E78" s="22"/>
      <c r="F78" s="62" t="str">
        <f t="shared" ca="1" si="18"/>
        <v>N/A</v>
      </c>
      <c r="G78" s="62"/>
      <c r="H78" s="62"/>
      <c r="I78" s="62"/>
      <c r="J78" s="62" t="str">
        <f t="shared" si="19"/>
        <v>N/A</v>
      </c>
      <c r="K78" s="62" t="str">
        <f t="shared" ca="1" si="17"/>
        <v>N/A</v>
      </c>
      <c r="L78" s="62" t="str">
        <f t="shared" ca="1" si="17"/>
        <v>N/A</v>
      </c>
      <c r="M78" s="62" t="str">
        <f t="shared" ca="1" si="17"/>
        <v>N/A</v>
      </c>
      <c r="N78" s="62" t="str">
        <f t="shared" ca="1" si="17"/>
        <v>N/A</v>
      </c>
      <c r="O78" s="62" t="str">
        <f t="shared" ca="1" si="17"/>
        <v>N/A</v>
      </c>
      <c r="P78" s="62" t="str">
        <f t="shared" ca="1" si="17"/>
        <v>N/A</v>
      </c>
      <c r="Q78" s="62" t="str">
        <f t="shared" ca="1" si="17"/>
        <v>N/A</v>
      </c>
      <c r="R78" s="62" t="str">
        <f t="shared" ca="1" si="17"/>
        <v>N/A</v>
      </c>
      <c r="S78" s="62" t="str">
        <f t="shared" ca="1" si="17"/>
        <v>N/A</v>
      </c>
      <c r="T78" s="62" t="str">
        <f t="shared" ca="1" si="17"/>
        <v>N/A</v>
      </c>
      <c r="U78" s="62" t="str">
        <f t="shared" ca="1" si="17"/>
        <v>N/A</v>
      </c>
      <c r="V78" s="62" t="str">
        <f t="shared" ca="1" si="17"/>
        <v>N/A</v>
      </c>
      <c r="W78" s="62" t="str">
        <f t="shared" ca="1" si="17"/>
        <v>N/A</v>
      </c>
      <c r="X78" s="62" t="str">
        <f t="shared" ref="X78:AA93" ca="1" si="20">IFERROR(IF(INDEX(MP_CF_WP,$B78,X$67)=0,"N/A",INDEX(MP_CF_WP,$B78,X$67)),"N/A")</f>
        <v>N/A</v>
      </c>
      <c r="Y78" s="62" t="str">
        <f t="shared" ca="1" si="20"/>
        <v>N/A</v>
      </c>
      <c r="Z78" s="62" t="str">
        <f t="shared" ca="1" si="20"/>
        <v>N/A</v>
      </c>
      <c r="AA78" s="62" t="str">
        <f t="shared" ca="1" si="20"/>
        <v>N/A</v>
      </c>
    </row>
    <row r="79" spans="1:27" hidden="1" x14ac:dyDescent="0.25">
      <c r="A79" s="50">
        <f t="shared" si="14"/>
        <v>0</v>
      </c>
      <c r="B79" s="45" t="str">
        <f t="shared" ca="1" si="15"/>
        <v/>
      </c>
      <c r="C79" s="1" t="str">
        <f>IF(ISERROR(D79),"",IF(D79="","",MAX($C$66:C78)+1))</f>
        <v/>
      </c>
      <c r="D79" t="e">
        <f t="shared" si="16"/>
        <v>#N/A</v>
      </c>
      <c r="E79" s="22"/>
      <c r="F79" s="62" t="str">
        <f t="shared" ca="1" si="18"/>
        <v>N/A</v>
      </c>
      <c r="G79" s="62"/>
      <c r="H79" s="62"/>
      <c r="I79" s="62"/>
      <c r="J79" s="62" t="str">
        <f t="shared" si="19"/>
        <v>N/A</v>
      </c>
      <c r="K79" s="62" t="str">
        <f t="shared" ref="K79:K112" si="21">IFERROR(IF(VLOOKUP(A79,LUCurYr,20,FALSE)=0,"",VLOOKUP(A79,LUCurYr,20,FALSE)),"N/A")</f>
        <v>N/A</v>
      </c>
      <c r="L79" s="62" t="str">
        <f ca="1">IFERROR(VLOOKUP($A79,LASTYR,'[3]2017'!$O$3,FALSE),"N/A")</f>
        <v>N/A</v>
      </c>
      <c r="M79" s="62" t="str">
        <f t="shared" ca="1" si="17"/>
        <v>N/A</v>
      </c>
      <c r="N79" s="62" t="str">
        <f t="shared" ca="1" si="17"/>
        <v>N/A</v>
      </c>
      <c r="O79" s="62" t="str">
        <f t="shared" ca="1" si="17"/>
        <v>N/A</v>
      </c>
      <c r="P79" s="62" t="str">
        <f t="shared" ca="1" si="17"/>
        <v>N/A</v>
      </c>
      <c r="Q79" s="62" t="str">
        <f t="shared" ca="1" si="17"/>
        <v>N/A</v>
      </c>
      <c r="R79" s="62" t="str">
        <f t="shared" ca="1" si="17"/>
        <v>N/A</v>
      </c>
      <c r="S79" s="62" t="str">
        <f t="shared" ca="1" si="17"/>
        <v>N/A</v>
      </c>
      <c r="T79" s="62" t="str">
        <f t="shared" ca="1" si="17"/>
        <v>N/A</v>
      </c>
      <c r="U79" s="62" t="str">
        <f t="shared" ca="1" si="17"/>
        <v>N/A</v>
      </c>
      <c r="V79" s="62" t="str">
        <f t="shared" ca="1" si="17"/>
        <v>N/A</v>
      </c>
      <c r="W79" s="62" t="str">
        <f t="shared" ca="1" si="17"/>
        <v>N/A</v>
      </c>
      <c r="X79" s="62" t="str">
        <f t="shared" ca="1" si="20"/>
        <v>N/A</v>
      </c>
      <c r="Y79" s="62" t="str">
        <f t="shared" ca="1" si="20"/>
        <v>N/A</v>
      </c>
      <c r="Z79" s="62" t="str">
        <f t="shared" ca="1" si="20"/>
        <v>N/A</v>
      </c>
      <c r="AA79" s="62" t="str">
        <f t="shared" ca="1" si="20"/>
        <v>N/A</v>
      </c>
    </row>
    <row r="80" spans="1:27" hidden="1" x14ac:dyDescent="0.25">
      <c r="A80" s="50">
        <f t="shared" si="14"/>
        <v>0</v>
      </c>
      <c r="B80" s="45" t="str">
        <f t="shared" ca="1" si="15"/>
        <v/>
      </c>
      <c r="C80" s="1" t="str">
        <f>IF(ISERROR(D80),"",IF(D80="","",MAX($C$66:C79)+1))</f>
        <v/>
      </c>
      <c r="D80" t="e">
        <f t="shared" si="16"/>
        <v>#N/A</v>
      </c>
      <c r="E80" s="22"/>
      <c r="F80" s="62" t="str">
        <f t="shared" ca="1" si="18"/>
        <v>N/A</v>
      </c>
      <c r="G80" s="62"/>
      <c r="H80" s="62"/>
      <c r="I80" s="62"/>
      <c r="J80" s="62" t="str">
        <f t="shared" si="19"/>
        <v>N/A</v>
      </c>
      <c r="K80" s="62" t="str">
        <f t="shared" si="21"/>
        <v>N/A</v>
      </c>
      <c r="L80" s="62" t="str">
        <f ca="1">IFERROR(VLOOKUP($A80,LASTYR,'[3]2017'!$O$3,FALSE),"N/A")</f>
        <v>N/A</v>
      </c>
      <c r="M80" s="62" t="str">
        <f t="shared" ca="1" si="17"/>
        <v>N/A</v>
      </c>
      <c r="N80" s="62" t="str">
        <f t="shared" ca="1" si="17"/>
        <v>N/A</v>
      </c>
      <c r="O80" s="62" t="str">
        <f t="shared" ca="1" si="17"/>
        <v>N/A</v>
      </c>
      <c r="P80" s="62" t="str">
        <f t="shared" ca="1" si="17"/>
        <v>N/A</v>
      </c>
      <c r="Q80" s="62" t="str">
        <f t="shared" ca="1" si="17"/>
        <v>N/A</v>
      </c>
      <c r="R80" s="62" t="str">
        <f t="shared" ca="1" si="17"/>
        <v>N/A</v>
      </c>
      <c r="S80" s="62" t="str">
        <f t="shared" ca="1" si="17"/>
        <v>N/A</v>
      </c>
      <c r="T80" s="62" t="str">
        <f t="shared" ca="1" si="17"/>
        <v>N/A</v>
      </c>
      <c r="U80" s="62" t="str">
        <f t="shared" ca="1" si="17"/>
        <v>N/A</v>
      </c>
      <c r="V80" s="62" t="str">
        <f t="shared" ca="1" si="17"/>
        <v>N/A</v>
      </c>
      <c r="W80" s="62" t="str">
        <f t="shared" ca="1" si="17"/>
        <v>N/A</v>
      </c>
      <c r="X80" s="62" t="str">
        <f t="shared" ca="1" si="20"/>
        <v>N/A</v>
      </c>
      <c r="Y80" s="62" t="str">
        <f t="shared" ca="1" si="20"/>
        <v>N/A</v>
      </c>
      <c r="Z80" s="62" t="str">
        <f t="shared" ca="1" si="20"/>
        <v>N/A</v>
      </c>
      <c r="AA80" s="62" t="str">
        <f t="shared" ca="1" si="20"/>
        <v>N/A</v>
      </c>
    </row>
    <row r="81" spans="1:27" hidden="1" x14ac:dyDescent="0.25">
      <c r="A81" s="50">
        <f t="shared" si="14"/>
        <v>0</v>
      </c>
      <c r="B81" s="45" t="str">
        <f t="shared" ca="1" si="15"/>
        <v/>
      </c>
      <c r="C81" s="1" t="str">
        <f>IF(ISERROR(D81),"",IF(D81="","",MAX($C$66:C80)+1))</f>
        <v/>
      </c>
      <c r="D81" t="e">
        <f t="shared" si="16"/>
        <v>#N/A</v>
      </c>
      <c r="E81" s="22"/>
      <c r="F81" s="62" t="str">
        <f t="shared" ca="1" si="18"/>
        <v>N/A</v>
      </c>
      <c r="G81" s="62"/>
      <c r="H81" s="62"/>
      <c r="I81" s="62"/>
      <c r="J81" s="62" t="str">
        <f t="shared" si="19"/>
        <v>N/A</v>
      </c>
      <c r="K81" s="62" t="str">
        <f t="shared" si="21"/>
        <v>N/A</v>
      </c>
      <c r="L81" s="62" t="str">
        <f ca="1">IFERROR(VLOOKUP($A81,LASTYR,'[3]2017'!$O$3,FALSE),"N/A")</f>
        <v>N/A</v>
      </c>
      <c r="M81" s="62" t="str">
        <f t="shared" ca="1" si="17"/>
        <v>N/A</v>
      </c>
      <c r="N81" s="62" t="str">
        <f t="shared" ca="1" si="17"/>
        <v>N/A</v>
      </c>
      <c r="O81" s="62" t="str">
        <f t="shared" ca="1" si="17"/>
        <v>N/A</v>
      </c>
      <c r="P81" s="62" t="str">
        <f t="shared" ca="1" si="17"/>
        <v>N/A</v>
      </c>
      <c r="Q81" s="62" t="str">
        <f t="shared" ca="1" si="17"/>
        <v>N/A</v>
      </c>
      <c r="R81" s="62" t="str">
        <f t="shared" ca="1" si="17"/>
        <v>N/A</v>
      </c>
      <c r="S81" s="62" t="str">
        <f t="shared" ca="1" si="17"/>
        <v>N/A</v>
      </c>
      <c r="T81" s="62" t="str">
        <f t="shared" ca="1" si="17"/>
        <v>N/A</v>
      </c>
      <c r="U81" s="62" t="str">
        <f t="shared" ca="1" si="17"/>
        <v>N/A</v>
      </c>
      <c r="V81" s="62" t="str">
        <f t="shared" ca="1" si="17"/>
        <v>N/A</v>
      </c>
      <c r="W81" s="62" t="str">
        <f t="shared" ca="1" si="17"/>
        <v>N/A</v>
      </c>
      <c r="X81" s="62" t="str">
        <f t="shared" ca="1" si="20"/>
        <v>N/A</v>
      </c>
      <c r="Y81" s="62" t="str">
        <f t="shared" ca="1" si="20"/>
        <v>N/A</v>
      </c>
      <c r="Z81" s="62" t="str">
        <f t="shared" ca="1" si="20"/>
        <v>N/A</v>
      </c>
      <c r="AA81" s="62" t="str">
        <f t="shared" ca="1" si="20"/>
        <v>N/A</v>
      </c>
    </row>
    <row r="82" spans="1:27" hidden="1" x14ac:dyDescent="0.25">
      <c r="A82" s="50">
        <f t="shared" si="14"/>
        <v>0</v>
      </c>
      <c r="B82" s="45" t="str">
        <f t="shared" ca="1" si="15"/>
        <v/>
      </c>
      <c r="C82" s="1" t="str">
        <f>IF(ISERROR(D82),"",IF(D82="","",MAX($C$66:C81)+1))</f>
        <v/>
      </c>
      <c r="D82" t="e">
        <f t="shared" si="16"/>
        <v>#N/A</v>
      </c>
      <c r="E82" s="22"/>
      <c r="F82" s="62" t="str">
        <f t="shared" ca="1" si="18"/>
        <v>N/A</v>
      </c>
      <c r="G82" s="62"/>
      <c r="H82" s="62"/>
      <c r="I82" s="62"/>
      <c r="J82" s="62" t="str">
        <f t="shared" si="19"/>
        <v>N/A</v>
      </c>
      <c r="K82" s="62" t="str">
        <f t="shared" si="21"/>
        <v>N/A</v>
      </c>
      <c r="L82" s="62" t="str">
        <f ca="1">IFERROR(VLOOKUP($A82,LASTYR,'[3]2017'!$O$3,FALSE),"N/A")</f>
        <v>N/A</v>
      </c>
      <c r="M82" s="62" t="str">
        <f t="shared" ca="1" si="17"/>
        <v>N/A</v>
      </c>
      <c r="N82" s="62" t="str">
        <f t="shared" ca="1" si="17"/>
        <v>N/A</v>
      </c>
      <c r="O82" s="62" t="str">
        <f t="shared" ca="1" si="17"/>
        <v>N/A</v>
      </c>
      <c r="P82" s="62" t="str">
        <f t="shared" ca="1" si="17"/>
        <v>N/A</v>
      </c>
      <c r="Q82" s="62" t="str">
        <f t="shared" ca="1" si="17"/>
        <v>N/A</v>
      </c>
      <c r="R82" s="62" t="str">
        <f t="shared" ca="1" si="17"/>
        <v>N/A</v>
      </c>
      <c r="S82" s="62" t="str">
        <f t="shared" ca="1" si="17"/>
        <v>N/A</v>
      </c>
      <c r="T82" s="62" t="str">
        <f t="shared" ca="1" si="17"/>
        <v>N/A</v>
      </c>
      <c r="U82" s="62" t="str">
        <f t="shared" ca="1" si="17"/>
        <v>N/A</v>
      </c>
      <c r="V82" s="62" t="str">
        <f t="shared" ca="1" si="17"/>
        <v>N/A</v>
      </c>
      <c r="W82" s="62" t="str">
        <f t="shared" ca="1" si="17"/>
        <v>N/A</v>
      </c>
      <c r="X82" s="62" t="str">
        <f t="shared" ca="1" si="20"/>
        <v>N/A</v>
      </c>
      <c r="Y82" s="62" t="str">
        <f t="shared" ca="1" si="20"/>
        <v>N/A</v>
      </c>
      <c r="Z82" s="62" t="str">
        <f t="shared" ca="1" si="20"/>
        <v>N/A</v>
      </c>
      <c r="AA82" s="62" t="str">
        <f t="shared" ca="1" si="20"/>
        <v>N/A</v>
      </c>
    </row>
    <row r="83" spans="1:27" hidden="1" x14ac:dyDescent="0.25">
      <c r="A83" s="50">
        <f t="shared" si="14"/>
        <v>0</v>
      </c>
      <c r="B83" s="45" t="str">
        <f t="shared" ca="1" si="15"/>
        <v/>
      </c>
      <c r="C83" s="1" t="str">
        <f>IF(ISERROR(D83),"",IF(D83="","",MAX($C$66:C82)+1))</f>
        <v/>
      </c>
      <c r="D83" t="e">
        <f t="shared" si="16"/>
        <v>#N/A</v>
      </c>
      <c r="E83" s="22"/>
      <c r="F83" s="62" t="str">
        <f t="shared" ca="1" si="18"/>
        <v>N/A</v>
      </c>
      <c r="G83" s="62"/>
      <c r="H83" s="62"/>
      <c r="I83" s="62"/>
      <c r="J83" s="62" t="str">
        <f t="shared" si="19"/>
        <v>N/A</v>
      </c>
      <c r="K83" s="62" t="str">
        <f t="shared" si="21"/>
        <v>N/A</v>
      </c>
      <c r="L83" s="62" t="str">
        <f ca="1">IFERROR(VLOOKUP($A83,LASTYR,'[3]2017'!$O$3,FALSE),"N/A")</f>
        <v>N/A</v>
      </c>
      <c r="M83" s="62" t="str">
        <f t="shared" ca="1" si="17"/>
        <v>N/A</v>
      </c>
      <c r="N83" s="62" t="str">
        <f t="shared" ca="1" si="17"/>
        <v>N/A</v>
      </c>
      <c r="O83" s="62" t="str">
        <f t="shared" ca="1" si="17"/>
        <v>N/A</v>
      </c>
      <c r="P83" s="62" t="str">
        <f t="shared" ca="1" si="17"/>
        <v>N/A</v>
      </c>
      <c r="Q83" s="62" t="str">
        <f t="shared" ca="1" si="17"/>
        <v>N/A</v>
      </c>
      <c r="R83" s="62" t="str">
        <f t="shared" ca="1" si="17"/>
        <v>N/A</v>
      </c>
      <c r="S83" s="62" t="str">
        <f t="shared" ca="1" si="17"/>
        <v>N/A</v>
      </c>
      <c r="T83" s="62" t="str">
        <f t="shared" ca="1" si="17"/>
        <v>N/A</v>
      </c>
      <c r="U83" s="62" t="str">
        <f t="shared" ca="1" si="17"/>
        <v>N/A</v>
      </c>
      <c r="V83" s="62" t="str">
        <f t="shared" ca="1" si="17"/>
        <v>N/A</v>
      </c>
      <c r="W83" s="62" t="str">
        <f t="shared" ca="1" si="17"/>
        <v>N/A</v>
      </c>
      <c r="X83" s="62" t="str">
        <f t="shared" ca="1" si="20"/>
        <v>N/A</v>
      </c>
      <c r="Y83" s="62" t="str">
        <f t="shared" ca="1" si="20"/>
        <v>N/A</v>
      </c>
      <c r="Z83" s="62" t="str">
        <f t="shared" ca="1" si="20"/>
        <v>N/A</v>
      </c>
      <c r="AA83" s="62" t="str">
        <f t="shared" ca="1" si="20"/>
        <v>N/A</v>
      </c>
    </row>
    <row r="84" spans="1:27" hidden="1" x14ac:dyDescent="0.25">
      <c r="A84" s="50">
        <f t="shared" si="14"/>
        <v>0</v>
      </c>
      <c r="B84" s="45" t="str">
        <f t="shared" ca="1" si="15"/>
        <v/>
      </c>
      <c r="C84" s="1" t="str">
        <f>IF(ISERROR(D84),"",IF(D84="","",MAX($C$66:C83)+1))</f>
        <v/>
      </c>
      <c r="D84" t="e">
        <f t="shared" si="16"/>
        <v>#N/A</v>
      </c>
      <c r="E84" s="22"/>
      <c r="F84" s="62" t="str">
        <f t="shared" ca="1" si="18"/>
        <v>N/A</v>
      </c>
      <c r="G84" s="62"/>
      <c r="H84" s="62"/>
      <c r="I84" s="62"/>
      <c r="J84" s="62" t="str">
        <f t="shared" si="19"/>
        <v>N/A</v>
      </c>
      <c r="K84" s="62" t="str">
        <f t="shared" si="21"/>
        <v>N/A</v>
      </c>
      <c r="L84" s="62" t="str">
        <f ca="1">IFERROR(VLOOKUP($A84,LASTYR,'[3]2017'!$O$3,FALSE),"N/A")</f>
        <v>N/A</v>
      </c>
      <c r="M84" s="62" t="str">
        <f t="shared" ref="M84:W107" ca="1" si="22">IFERROR(IF(INDEX(DIV_EARN_WP,$B84,M$67)=0,"N/A",INDEX(DIV_EARN_WP,$B84,M$67)),"N/A")</f>
        <v>N/A</v>
      </c>
      <c r="N84" s="62" t="str">
        <f t="shared" ca="1" si="22"/>
        <v>N/A</v>
      </c>
      <c r="O84" s="62" t="str">
        <f t="shared" ca="1" si="22"/>
        <v>N/A</v>
      </c>
      <c r="P84" s="62" t="str">
        <f t="shared" ca="1" si="22"/>
        <v>N/A</v>
      </c>
      <c r="Q84" s="62" t="str">
        <f t="shared" ca="1" si="22"/>
        <v>N/A</v>
      </c>
      <c r="R84" s="62" t="str">
        <f t="shared" ca="1" si="22"/>
        <v>N/A</v>
      </c>
      <c r="S84" s="62" t="str">
        <f t="shared" ca="1" si="22"/>
        <v>N/A</v>
      </c>
      <c r="T84" s="62" t="str">
        <f t="shared" ca="1" si="22"/>
        <v>N/A</v>
      </c>
      <c r="U84" s="62" t="str">
        <f t="shared" ca="1" si="22"/>
        <v>N/A</v>
      </c>
      <c r="V84" s="62" t="str">
        <f t="shared" ca="1" si="22"/>
        <v>N/A</v>
      </c>
      <c r="W84" s="62" t="str">
        <f t="shared" ca="1" si="22"/>
        <v>N/A</v>
      </c>
      <c r="X84" s="62" t="str">
        <f t="shared" ca="1" si="20"/>
        <v>N/A</v>
      </c>
      <c r="Y84" s="62" t="str">
        <f t="shared" ca="1" si="20"/>
        <v>N/A</v>
      </c>
      <c r="Z84" s="62" t="str">
        <f t="shared" ca="1" si="20"/>
        <v>N/A</v>
      </c>
      <c r="AA84" s="62" t="str">
        <f t="shared" ca="1" si="20"/>
        <v>N/A</v>
      </c>
    </row>
    <row r="85" spans="1:27" hidden="1" x14ac:dyDescent="0.25">
      <c r="A85" s="50">
        <f t="shared" si="14"/>
        <v>0</v>
      </c>
      <c r="B85" s="45" t="str">
        <f t="shared" ca="1" si="15"/>
        <v/>
      </c>
      <c r="C85" s="1" t="str">
        <f>IF(ISERROR(D85),"",IF(D85="","",MAX($C$66:C84)+1))</f>
        <v/>
      </c>
      <c r="D85" t="e">
        <f t="shared" si="16"/>
        <v>#N/A</v>
      </c>
      <c r="E85" s="22"/>
      <c r="F85" s="62" t="str">
        <f t="shared" ca="1" si="18"/>
        <v>N/A</v>
      </c>
      <c r="G85" s="62"/>
      <c r="H85" s="62"/>
      <c r="I85" s="62"/>
      <c r="J85" s="62" t="str">
        <f t="shared" si="19"/>
        <v>N/A</v>
      </c>
      <c r="K85" s="62" t="str">
        <f t="shared" si="21"/>
        <v>N/A</v>
      </c>
      <c r="L85" s="62" t="str">
        <f ca="1">IFERROR(VLOOKUP($A85,LASTYR,'[3]2017'!$O$3,FALSE),"N/A")</f>
        <v>N/A</v>
      </c>
      <c r="M85" s="62" t="str">
        <f t="shared" ca="1" si="22"/>
        <v>N/A</v>
      </c>
      <c r="N85" s="62" t="str">
        <f t="shared" ca="1" si="22"/>
        <v>N/A</v>
      </c>
      <c r="O85" s="62" t="str">
        <f t="shared" ca="1" si="22"/>
        <v>N/A</v>
      </c>
      <c r="P85" s="62" t="str">
        <f t="shared" ca="1" si="22"/>
        <v>N/A</v>
      </c>
      <c r="Q85" s="62" t="str">
        <f t="shared" ca="1" si="22"/>
        <v>N/A</v>
      </c>
      <c r="R85" s="62" t="str">
        <f t="shared" ca="1" si="22"/>
        <v>N/A</v>
      </c>
      <c r="S85" s="62" t="str">
        <f t="shared" ca="1" si="22"/>
        <v>N/A</v>
      </c>
      <c r="T85" s="62" t="str">
        <f t="shared" ca="1" si="22"/>
        <v>N/A</v>
      </c>
      <c r="U85" s="62" t="str">
        <f t="shared" ca="1" si="22"/>
        <v>N/A</v>
      </c>
      <c r="V85" s="62" t="str">
        <f t="shared" ca="1" si="22"/>
        <v>N/A</v>
      </c>
      <c r="W85" s="62" t="str">
        <f t="shared" ca="1" si="22"/>
        <v>N/A</v>
      </c>
      <c r="X85" s="62" t="str">
        <f t="shared" ca="1" si="20"/>
        <v>N/A</v>
      </c>
      <c r="Y85" s="62" t="str">
        <f t="shared" ca="1" si="20"/>
        <v>N/A</v>
      </c>
      <c r="Z85" s="62" t="str">
        <f t="shared" ca="1" si="20"/>
        <v>N/A</v>
      </c>
      <c r="AA85" s="62" t="str">
        <f t="shared" ca="1" si="20"/>
        <v>N/A</v>
      </c>
    </row>
    <row r="86" spans="1:27" hidden="1" x14ac:dyDescent="0.25">
      <c r="A86" s="50">
        <f t="shared" si="14"/>
        <v>0</v>
      </c>
      <c r="B86" s="45" t="str">
        <f t="shared" ca="1" si="15"/>
        <v/>
      </c>
      <c r="C86" s="1" t="str">
        <f>IF(ISERROR(D86),"",IF(D86="","",MAX($C$66:C85)+1))</f>
        <v/>
      </c>
      <c r="D86" t="e">
        <f t="shared" si="16"/>
        <v>#N/A</v>
      </c>
      <c r="E86" s="22"/>
      <c r="F86" s="62" t="str">
        <f t="shared" ca="1" si="18"/>
        <v>N/A</v>
      </c>
      <c r="G86" s="62"/>
      <c r="H86" s="62"/>
      <c r="I86" s="62"/>
      <c r="J86" s="62" t="str">
        <f t="shared" si="19"/>
        <v>N/A</v>
      </c>
      <c r="K86" s="62" t="str">
        <f t="shared" si="21"/>
        <v>N/A</v>
      </c>
      <c r="L86" s="62" t="str">
        <f ca="1">IFERROR(VLOOKUP($A86,LASTYR,'[3]2017'!$O$3,FALSE),"N/A")</f>
        <v>N/A</v>
      </c>
      <c r="M86" s="62" t="str">
        <f t="shared" ca="1" si="22"/>
        <v>N/A</v>
      </c>
      <c r="N86" s="62" t="str">
        <f t="shared" ca="1" si="22"/>
        <v>N/A</v>
      </c>
      <c r="O86" s="62" t="str">
        <f t="shared" ca="1" si="22"/>
        <v>N/A</v>
      </c>
      <c r="P86" s="62" t="str">
        <f t="shared" ca="1" si="22"/>
        <v>N/A</v>
      </c>
      <c r="Q86" s="62" t="str">
        <f t="shared" ca="1" si="22"/>
        <v>N/A</v>
      </c>
      <c r="R86" s="62" t="str">
        <f t="shared" ca="1" si="22"/>
        <v>N/A</v>
      </c>
      <c r="S86" s="62" t="str">
        <f t="shared" ca="1" si="22"/>
        <v>N/A</v>
      </c>
      <c r="T86" s="62" t="str">
        <f t="shared" ca="1" si="22"/>
        <v>N/A</v>
      </c>
      <c r="U86" s="62" t="str">
        <f t="shared" ca="1" si="22"/>
        <v>N/A</v>
      </c>
      <c r="V86" s="62" t="str">
        <f t="shared" ca="1" si="22"/>
        <v>N/A</v>
      </c>
      <c r="W86" s="62" t="str">
        <f t="shared" ca="1" si="22"/>
        <v>N/A</v>
      </c>
      <c r="X86" s="62" t="str">
        <f t="shared" ca="1" si="20"/>
        <v>N/A</v>
      </c>
      <c r="Y86" s="62" t="str">
        <f t="shared" ca="1" si="20"/>
        <v>N/A</v>
      </c>
      <c r="Z86" s="62" t="str">
        <f t="shared" ca="1" si="20"/>
        <v>N/A</v>
      </c>
      <c r="AA86" s="62" t="str">
        <f t="shared" ca="1" si="20"/>
        <v>N/A</v>
      </c>
    </row>
    <row r="87" spans="1:27" hidden="1" x14ac:dyDescent="0.25">
      <c r="A87" s="50">
        <f t="shared" si="14"/>
        <v>0</v>
      </c>
      <c r="B87" s="45" t="str">
        <f t="shared" ca="1" si="15"/>
        <v/>
      </c>
      <c r="C87" s="1" t="str">
        <f>IF(ISERROR(D87),"",IF(D87="","",MAX($C$66:C86)+1))</f>
        <v/>
      </c>
      <c r="D87" t="e">
        <f t="shared" si="16"/>
        <v>#N/A</v>
      </c>
      <c r="E87" s="22"/>
      <c r="F87" s="62" t="str">
        <f t="shared" ca="1" si="18"/>
        <v>N/A</v>
      </c>
      <c r="G87" s="62"/>
      <c r="H87" s="62"/>
      <c r="I87" s="62"/>
      <c r="J87" s="62" t="str">
        <f t="shared" si="19"/>
        <v>N/A</v>
      </c>
      <c r="K87" s="62" t="str">
        <f t="shared" si="21"/>
        <v>N/A</v>
      </c>
      <c r="L87" s="62" t="str">
        <f ca="1">IFERROR(VLOOKUP($A87,LASTYR,'[3]2017'!$O$3,FALSE),"N/A")</f>
        <v>N/A</v>
      </c>
      <c r="M87" s="62" t="str">
        <f t="shared" ca="1" si="22"/>
        <v>N/A</v>
      </c>
      <c r="N87" s="62" t="str">
        <f t="shared" ca="1" si="22"/>
        <v>N/A</v>
      </c>
      <c r="O87" s="62" t="str">
        <f t="shared" ca="1" si="22"/>
        <v>N/A</v>
      </c>
      <c r="P87" s="62" t="str">
        <f t="shared" ca="1" si="22"/>
        <v>N/A</v>
      </c>
      <c r="Q87" s="62" t="str">
        <f t="shared" ca="1" si="22"/>
        <v>N/A</v>
      </c>
      <c r="R87" s="62" t="str">
        <f t="shared" ca="1" si="22"/>
        <v>N/A</v>
      </c>
      <c r="S87" s="62" t="str">
        <f t="shared" ca="1" si="22"/>
        <v>N/A</v>
      </c>
      <c r="T87" s="62" t="str">
        <f t="shared" ca="1" si="22"/>
        <v>N/A</v>
      </c>
      <c r="U87" s="62" t="str">
        <f t="shared" ca="1" si="22"/>
        <v>N/A</v>
      </c>
      <c r="V87" s="62" t="str">
        <f t="shared" ca="1" si="22"/>
        <v>N/A</v>
      </c>
      <c r="W87" s="62" t="str">
        <f t="shared" ca="1" si="22"/>
        <v>N/A</v>
      </c>
      <c r="X87" s="62" t="str">
        <f t="shared" ca="1" si="20"/>
        <v>N/A</v>
      </c>
      <c r="Y87" s="62" t="str">
        <f t="shared" ca="1" si="20"/>
        <v>N/A</v>
      </c>
      <c r="Z87" s="62" t="str">
        <f t="shared" ca="1" si="20"/>
        <v>N/A</v>
      </c>
      <c r="AA87" s="62" t="str">
        <f t="shared" ca="1" si="20"/>
        <v>N/A</v>
      </c>
    </row>
    <row r="88" spans="1:27" hidden="1" x14ac:dyDescent="0.25">
      <c r="A88" s="50">
        <f t="shared" si="14"/>
        <v>0</v>
      </c>
      <c r="B88" s="45" t="str">
        <f t="shared" ca="1" si="15"/>
        <v/>
      </c>
      <c r="C88" s="1" t="str">
        <f>IF(ISERROR(D88),"",IF(D88="","",MAX($C$66:C87)+1))</f>
        <v/>
      </c>
      <c r="D88" t="e">
        <f t="shared" si="16"/>
        <v>#N/A</v>
      </c>
      <c r="E88" s="22"/>
      <c r="F88" s="62" t="str">
        <f t="shared" ca="1" si="18"/>
        <v>N/A</v>
      </c>
      <c r="G88" s="62"/>
      <c r="H88" s="62"/>
      <c r="I88" s="62"/>
      <c r="J88" s="62" t="str">
        <f t="shared" si="19"/>
        <v>N/A</v>
      </c>
      <c r="K88" s="62" t="str">
        <f t="shared" si="21"/>
        <v>N/A</v>
      </c>
      <c r="L88" s="62" t="str">
        <f ca="1">IFERROR(VLOOKUP($A88,LASTYR,'[3]2017'!$O$3,FALSE),"N/A")</f>
        <v>N/A</v>
      </c>
      <c r="M88" s="62" t="str">
        <f t="shared" ca="1" si="22"/>
        <v>N/A</v>
      </c>
      <c r="N88" s="62" t="str">
        <f t="shared" ca="1" si="22"/>
        <v>N/A</v>
      </c>
      <c r="O88" s="62" t="str">
        <f t="shared" ca="1" si="22"/>
        <v>N/A</v>
      </c>
      <c r="P88" s="62" t="str">
        <f t="shared" ca="1" si="22"/>
        <v>N/A</v>
      </c>
      <c r="Q88" s="62" t="str">
        <f t="shared" ca="1" si="22"/>
        <v>N/A</v>
      </c>
      <c r="R88" s="62" t="str">
        <f t="shared" ca="1" si="22"/>
        <v>N/A</v>
      </c>
      <c r="S88" s="62" t="str">
        <f t="shared" ca="1" si="22"/>
        <v>N/A</v>
      </c>
      <c r="T88" s="62" t="str">
        <f t="shared" ca="1" si="22"/>
        <v>N/A</v>
      </c>
      <c r="U88" s="62" t="str">
        <f t="shared" ca="1" si="22"/>
        <v>N/A</v>
      </c>
      <c r="V88" s="62" t="str">
        <f t="shared" ca="1" si="22"/>
        <v>N/A</v>
      </c>
      <c r="W88" s="62" t="str">
        <f t="shared" ca="1" si="22"/>
        <v>N/A</v>
      </c>
      <c r="X88" s="62" t="str">
        <f t="shared" ca="1" si="20"/>
        <v>N/A</v>
      </c>
      <c r="Y88" s="62" t="str">
        <f t="shared" ca="1" si="20"/>
        <v>N/A</v>
      </c>
      <c r="Z88" s="62" t="str">
        <f t="shared" ca="1" si="20"/>
        <v>N/A</v>
      </c>
      <c r="AA88" s="62" t="str">
        <f t="shared" ca="1" si="20"/>
        <v>N/A</v>
      </c>
    </row>
    <row r="89" spans="1:27" hidden="1" x14ac:dyDescent="0.25">
      <c r="A89" s="50">
        <f t="shared" si="14"/>
        <v>0</v>
      </c>
      <c r="B89" s="45" t="str">
        <f t="shared" ca="1" si="15"/>
        <v/>
      </c>
      <c r="C89" s="1" t="str">
        <f>IF(ISERROR(D89),"",IF(D89="","",MAX($C$66:C88)+1))</f>
        <v/>
      </c>
      <c r="D89" t="e">
        <f t="shared" si="16"/>
        <v>#N/A</v>
      </c>
      <c r="E89" s="22"/>
      <c r="F89" s="62" t="str">
        <f t="shared" ca="1" si="18"/>
        <v>N/A</v>
      </c>
      <c r="G89" s="62"/>
      <c r="H89" s="62"/>
      <c r="I89" s="62"/>
      <c r="J89" s="62" t="str">
        <f t="shared" si="19"/>
        <v>N/A</v>
      </c>
      <c r="K89" s="62" t="str">
        <f t="shared" si="21"/>
        <v>N/A</v>
      </c>
      <c r="L89" s="62" t="str">
        <f ca="1">IFERROR(VLOOKUP($A89,LASTYR,'[3]2017'!$O$3,FALSE),"N/A")</f>
        <v>N/A</v>
      </c>
      <c r="M89" s="62" t="str">
        <f t="shared" ca="1" si="22"/>
        <v>N/A</v>
      </c>
      <c r="N89" s="62" t="str">
        <f t="shared" ca="1" si="22"/>
        <v>N/A</v>
      </c>
      <c r="O89" s="62" t="str">
        <f t="shared" ca="1" si="22"/>
        <v>N/A</v>
      </c>
      <c r="P89" s="62" t="str">
        <f t="shared" ca="1" si="22"/>
        <v>N/A</v>
      </c>
      <c r="Q89" s="62" t="str">
        <f t="shared" ca="1" si="22"/>
        <v>N/A</v>
      </c>
      <c r="R89" s="62" t="str">
        <f t="shared" ca="1" si="22"/>
        <v>N/A</v>
      </c>
      <c r="S89" s="62" t="str">
        <f t="shared" ca="1" si="22"/>
        <v>N/A</v>
      </c>
      <c r="T89" s="62" t="str">
        <f t="shared" ca="1" si="22"/>
        <v>N/A</v>
      </c>
      <c r="U89" s="62" t="str">
        <f t="shared" ca="1" si="22"/>
        <v>N/A</v>
      </c>
      <c r="V89" s="62" t="str">
        <f t="shared" ca="1" si="22"/>
        <v>N/A</v>
      </c>
      <c r="W89" s="62" t="str">
        <f t="shared" ca="1" si="22"/>
        <v>N/A</v>
      </c>
      <c r="X89" s="62" t="str">
        <f t="shared" ca="1" si="20"/>
        <v>N/A</v>
      </c>
      <c r="Y89" s="62" t="str">
        <f t="shared" ca="1" si="20"/>
        <v>N/A</v>
      </c>
      <c r="Z89" s="62" t="str">
        <f t="shared" ca="1" si="20"/>
        <v>N/A</v>
      </c>
      <c r="AA89" s="62" t="str">
        <f t="shared" ca="1" si="20"/>
        <v>N/A</v>
      </c>
    </row>
    <row r="90" spans="1:27" hidden="1" x14ac:dyDescent="0.25">
      <c r="A90" s="50">
        <f t="shared" si="14"/>
        <v>0</v>
      </c>
      <c r="B90" s="45" t="str">
        <f t="shared" ca="1" si="15"/>
        <v/>
      </c>
      <c r="C90" s="1" t="str">
        <f>IF(ISERROR(D90),"",IF(D90="","",MAX($C$66:C89)+1))</f>
        <v/>
      </c>
      <c r="D90" t="e">
        <f t="shared" si="16"/>
        <v>#N/A</v>
      </c>
      <c r="E90" s="22"/>
      <c r="F90" s="62" t="str">
        <f t="shared" ca="1" si="18"/>
        <v>N/A</v>
      </c>
      <c r="G90" s="62"/>
      <c r="H90" s="62"/>
      <c r="I90" s="62"/>
      <c r="J90" s="62" t="str">
        <f t="shared" si="19"/>
        <v>N/A</v>
      </c>
      <c r="K90" s="62" t="str">
        <f t="shared" si="21"/>
        <v>N/A</v>
      </c>
      <c r="L90" s="62" t="str">
        <f ca="1">IFERROR(VLOOKUP($A90,LASTYR,'[3]2017'!$O$3,FALSE),"N/A")</f>
        <v>N/A</v>
      </c>
      <c r="M90" s="62" t="str">
        <f t="shared" ca="1" si="22"/>
        <v>N/A</v>
      </c>
      <c r="N90" s="62" t="str">
        <f t="shared" ca="1" si="22"/>
        <v>N/A</v>
      </c>
      <c r="O90" s="62" t="str">
        <f t="shared" ca="1" si="22"/>
        <v>N/A</v>
      </c>
      <c r="P90" s="62" t="str">
        <f t="shared" ca="1" si="22"/>
        <v>N/A</v>
      </c>
      <c r="Q90" s="62" t="str">
        <f t="shared" ca="1" si="22"/>
        <v>N/A</v>
      </c>
      <c r="R90" s="62" t="str">
        <f t="shared" ca="1" si="22"/>
        <v>N/A</v>
      </c>
      <c r="S90" s="62" t="str">
        <f t="shared" ca="1" si="22"/>
        <v>N/A</v>
      </c>
      <c r="T90" s="62" t="str">
        <f t="shared" ca="1" si="22"/>
        <v>N/A</v>
      </c>
      <c r="U90" s="62" t="str">
        <f t="shared" ca="1" si="22"/>
        <v>N/A</v>
      </c>
      <c r="V90" s="62" t="str">
        <f t="shared" ca="1" si="22"/>
        <v>N/A</v>
      </c>
      <c r="W90" s="62" t="str">
        <f t="shared" ca="1" si="22"/>
        <v>N/A</v>
      </c>
      <c r="X90" s="62" t="str">
        <f t="shared" ca="1" si="20"/>
        <v>N/A</v>
      </c>
      <c r="Y90" s="62" t="str">
        <f t="shared" ca="1" si="20"/>
        <v>N/A</v>
      </c>
      <c r="Z90" s="62" t="str">
        <f t="shared" ca="1" si="20"/>
        <v>N/A</v>
      </c>
      <c r="AA90" s="62" t="str">
        <f t="shared" ca="1" si="20"/>
        <v>N/A</v>
      </c>
    </row>
    <row r="91" spans="1:27" hidden="1" x14ac:dyDescent="0.25">
      <c r="A91" s="50">
        <f t="shared" si="14"/>
        <v>0</v>
      </c>
      <c r="B91" s="45" t="str">
        <f t="shared" ca="1" si="15"/>
        <v/>
      </c>
      <c r="C91" s="1" t="str">
        <f>IF(ISERROR(D91),"",IF(D91="","",MAX($C$66:C90)+1))</f>
        <v/>
      </c>
      <c r="D91" t="e">
        <f t="shared" si="16"/>
        <v>#N/A</v>
      </c>
      <c r="E91" s="22"/>
      <c r="F91" s="62" t="str">
        <f t="shared" ca="1" si="18"/>
        <v>N/A</v>
      </c>
      <c r="G91" s="62"/>
      <c r="H91" s="62"/>
      <c r="I91" s="62"/>
      <c r="J91" s="62" t="str">
        <f t="shared" si="19"/>
        <v>N/A</v>
      </c>
      <c r="K91" s="62" t="str">
        <f t="shared" si="21"/>
        <v>N/A</v>
      </c>
      <c r="L91" s="62" t="str">
        <f ca="1">IFERROR(VLOOKUP($A91,LASTYR,'[3]2017'!$O$3,FALSE),"N/A")</f>
        <v>N/A</v>
      </c>
      <c r="M91" s="62" t="str">
        <f t="shared" ca="1" si="22"/>
        <v>N/A</v>
      </c>
      <c r="N91" s="62" t="str">
        <f t="shared" ca="1" si="22"/>
        <v>N/A</v>
      </c>
      <c r="O91" s="62" t="str">
        <f t="shared" ca="1" si="22"/>
        <v>N/A</v>
      </c>
      <c r="P91" s="62" t="str">
        <f t="shared" ca="1" si="22"/>
        <v>N/A</v>
      </c>
      <c r="Q91" s="62" t="str">
        <f t="shared" ca="1" si="22"/>
        <v>N/A</v>
      </c>
      <c r="R91" s="62" t="str">
        <f t="shared" ca="1" si="22"/>
        <v>N/A</v>
      </c>
      <c r="S91" s="62" t="str">
        <f t="shared" ca="1" si="22"/>
        <v>N/A</v>
      </c>
      <c r="T91" s="62" t="str">
        <f t="shared" ca="1" si="22"/>
        <v>N/A</v>
      </c>
      <c r="U91" s="62" t="str">
        <f t="shared" ca="1" si="22"/>
        <v>N/A</v>
      </c>
      <c r="V91" s="62" t="str">
        <f t="shared" ca="1" si="22"/>
        <v>N/A</v>
      </c>
      <c r="W91" s="62" t="str">
        <f t="shared" ca="1" si="22"/>
        <v>N/A</v>
      </c>
      <c r="X91" s="62" t="str">
        <f t="shared" ca="1" si="20"/>
        <v>N/A</v>
      </c>
      <c r="Y91" s="62" t="str">
        <f t="shared" ca="1" si="20"/>
        <v>N/A</v>
      </c>
      <c r="Z91" s="62" t="str">
        <f t="shared" ca="1" si="20"/>
        <v>N/A</v>
      </c>
      <c r="AA91" s="62" t="str">
        <f t="shared" ca="1" si="20"/>
        <v>N/A</v>
      </c>
    </row>
    <row r="92" spans="1:27" hidden="1" x14ac:dyDescent="0.25">
      <c r="A92" s="50">
        <f t="shared" si="14"/>
        <v>0</v>
      </c>
      <c r="B92" s="45" t="str">
        <f t="shared" ca="1" si="15"/>
        <v/>
      </c>
      <c r="C92" s="1" t="str">
        <f>IF(ISERROR(D92),"",IF(D92="","",MAX($C$66:C91)+1))</f>
        <v/>
      </c>
      <c r="D92" t="e">
        <f t="shared" si="16"/>
        <v>#N/A</v>
      </c>
      <c r="E92" s="22"/>
      <c r="F92" s="62" t="str">
        <f t="shared" ca="1" si="18"/>
        <v>N/A</v>
      </c>
      <c r="G92" s="62"/>
      <c r="H92" s="62"/>
      <c r="I92" s="62"/>
      <c r="J92" s="62" t="str">
        <f t="shared" si="19"/>
        <v>N/A</v>
      </c>
      <c r="K92" s="62" t="str">
        <f t="shared" si="21"/>
        <v>N/A</v>
      </c>
      <c r="L92" s="62" t="str">
        <f ca="1">IFERROR(VLOOKUP($A92,LASTYR,'[3]2017'!$O$3,FALSE),"N/A")</f>
        <v>N/A</v>
      </c>
      <c r="M92" s="62" t="str">
        <f t="shared" ca="1" si="22"/>
        <v>N/A</v>
      </c>
      <c r="N92" s="62" t="str">
        <f t="shared" ca="1" si="22"/>
        <v>N/A</v>
      </c>
      <c r="O92" s="62" t="str">
        <f t="shared" ca="1" si="22"/>
        <v>N/A</v>
      </c>
      <c r="P92" s="62" t="str">
        <f t="shared" ca="1" si="22"/>
        <v>N/A</v>
      </c>
      <c r="Q92" s="62" t="str">
        <f t="shared" ca="1" si="22"/>
        <v>N/A</v>
      </c>
      <c r="R92" s="62" t="str">
        <f t="shared" ca="1" si="22"/>
        <v>N/A</v>
      </c>
      <c r="S92" s="62" t="str">
        <f t="shared" ca="1" si="22"/>
        <v>N/A</v>
      </c>
      <c r="T92" s="62" t="str">
        <f t="shared" ca="1" si="22"/>
        <v>N/A</v>
      </c>
      <c r="U92" s="62" t="str">
        <f t="shared" ca="1" si="22"/>
        <v>N/A</v>
      </c>
      <c r="V92" s="62" t="str">
        <f t="shared" ca="1" si="22"/>
        <v>N/A</v>
      </c>
      <c r="W92" s="62" t="str">
        <f t="shared" ca="1" si="22"/>
        <v>N/A</v>
      </c>
      <c r="X92" s="62" t="str">
        <f t="shared" ca="1" si="20"/>
        <v>N/A</v>
      </c>
      <c r="Y92" s="62" t="str">
        <f t="shared" ca="1" si="20"/>
        <v>N/A</v>
      </c>
      <c r="Z92" s="62" t="str">
        <f t="shared" ca="1" si="20"/>
        <v>N/A</v>
      </c>
      <c r="AA92" s="62" t="str">
        <f t="shared" ca="1" si="20"/>
        <v>N/A</v>
      </c>
    </row>
    <row r="93" spans="1:27" hidden="1" x14ac:dyDescent="0.25">
      <c r="A93" s="50">
        <f t="shared" si="14"/>
        <v>0</v>
      </c>
      <c r="B93" s="45" t="str">
        <f t="shared" ca="1" si="15"/>
        <v/>
      </c>
      <c r="C93" s="1" t="str">
        <f>IF(ISERROR(D93),"",IF(D93="","",MAX($C$66:C92)+1))</f>
        <v/>
      </c>
      <c r="D93" t="e">
        <f t="shared" si="16"/>
        <v>#N/A</v>
      </c>
      <c r="E93" s="22"/>
      <c r="F93" s="62" t="str">
        <f t="shared" ca="1" si="18"/>
        <v>N/A</v>
      </c>
      <c r="G93" s="62"/>
      <c r="H93" s="62"/>
      <c r="I93" s="62"/>
      <c r="J93" s="62" t="str">
        <f t="shared" si="19"/>
        <v>N/A</v>
      </c>
      <c r="K93" s="62" t="str">
        <f t="shared" si="21"/>
        <v>N/A</v>
      </c>
      <c r="L93" s="62" t="str">
        <f ca="1">IFERROR(VLOOKUP($A93,LASTYR,'[3]2017'!$O$3,FALSE),"N/A")</f>
        <v>N/A</v>
      </c>
      <c r="M93" s="62" t="str">
        <f t="shared" ca="1" si="22"/>
        <v>N/A</v>
      </c>
      <c r="N93" s="62" t="str">
        <f t="shared" ca="1" si="22"/>
        <v>N/A</v>
      </c>
      <c r="O93" s="62" t="str">
        <f t="shared" ca="1" si="22"/>
        <v>N/A</v>
      </c>
      <c r="P93" s="62" t="str">
        <f t="shared" ca="1" si="22"/>
        <v>N/A</v>
      </c>
      <c r="Q93" s="62" t="str">
        <f t="shared" ca="1" si="22"/>
        <v>N/A</v>
      </c>
      <c r="R93" s="62" t="str">
        <f t="shared" ca="1" si="22"/>
        <v>N/A</v>
      </c>
      <c r="S93" s="62" t="str">
        <f t="shared" ca="1" si="22"/>
        <v>N/A</v>
      </c>
      <c r="T93" s="62" t="str">
        <f t="shared" ca="1" si="22"/>
        <v>N/A</v>
      </c>
      <c r="U93" s="62" t="str">
        <f t="shared" ca="1" si="22"/>
        <v>N/A</v>
      </c>
      <c r="V93" s="62" t="str">
        <f t="shared" ca="1" si="22"/>
        <v>N/A</v>
      </c>
      <c r="W93" s="62" t="str">
        <f t="shared" ca="1" si="22"/>
        <v>N/A</v>
      </c>
      <c r="X93" s="62" t="str">
        <f t="shared" ca="1" si="20"/>
        <v>N/A</v>
      </c>
      <c r="Y93" s="62" t="str">
        <f t="shared" ca="1" si="20"/>
        <v>N/A</v>
      </c>
      <c r="Z93" s="62" t="str">
        <f t="shared" ca="1" si="20"/>
        <v>N/A</v>
      </c>
      <c r="AA93" s="62" t="str">
        <f t="shared" ca="1" si="20"/>
        <v>N/A</v>
      </c>
    </row>
    <row r="94" spans="1:27" hidden="1" x14ac:dyDescent="0.25">
      <c r="A94" s="50">
        <f t="shared" si="14"/>
        <v>0</v>
      </c>
      <c r="B94" s="45" t="str">
        <f t="shared" ca="1" si="15"/>
        <v/>
      </c>
      <c r="C94" s="1" t="str">
        <f>IF(ISERROR(D94),"",IF(D94="","",MAX($C$66:C93)+1))</f>
        <v/>
      </c>
      <c r="D94" t="e">
        <f t="shared" si="16"/>
        <v>#N/A</v>
      </c>
      <c r="E94" s="22"/>
      <c r="F94" s="62" t="str">
        <f t="shared" ca="1" si="18"/>
        <v>N/A</v>
      </c>
      <c r="G94" s="62"/>
      <c r="H94" s="62"/>
      <c r="I94" s="62"/>
      <c r="J94" s="62" t="str">
        <f t="shared" si="19"/>
        <v>N/A</v>
      </c>
      <c r="K94" s="62" t="str">
        <f t="shared" si="21"/>
        <v>N/A</v>
      </c>
      <c r="L94" s="62" t="str">
        <f ca="1">IFERROR(VLOOKUP($A94,LASTYR,'[3]2017'!$O$3,FALSE),"N/A")</f>
        <v>N/A</v>
      </c>
      <c r="M94" s="62" t="str">
        <f t="shared" ca="1" si="22"/>
        <v>N/A</v>
      </c>
      <c r="N94" s="62" t="str">
        <f t="shared" ca="1" si="22"/>
        <v>N/A</v>
      </c>
      <c r="O94" s="62" t="str">
        <f t="shared" ca="1" si="22"/>
        <v>N/A</v>
      </c>
      <c r="P94" s="62" t="str">
        <f t="shared" ca="1" si="22"/>
        <v>N/A</v>
      </c>
      <c r="Q94" s="62" t="str">
        <f t="shared" ca="1" si="22"/>
        <v>N/A</v>
      </c>
      <c r="R94" s="62" t="str">
        <f t="shared" ca="1" si="22"/>
        <v>N/A</v>
      </c>
      <c r="S94" s="62" t="str">
        <f t="shared" ca="1" si="22"/>
        <v>N/A</v>
      </c>
      <c r="T94" s="62" t="str">
        <f t="shared" ca="1" si="22"/>
        <v>N/A</v>
      </c>
      <c r="U94" s="62" t="str">
        <f t="shared" ca="1" si="22"/>
        <v>N/A</v>
      </c>
      <c r="V94" s="62" t="str">
        <f t="shared" ca="1" si="22"/>
        <v>N/A</v>
      </c>
      <c r="W94" s="62" t="str">
        <f t="shared" ca="1" si="22"/>
        <v>N/A</v>
      </c>
      <c r="X94" s="62" t="str">
        <f t="shared" ref="X94:AA111" ca="1" si="23">IFERROR(IF(INDEX(MP_CF_WP,$B94,X$67)=0,"N/A",INDEX(MP_CF_WP,$B94,X$67)),"N/A")</f>
        <v>N/A</v>
      </c>
      <c r="Y94" s="62" t="str">
        <f t="shared" ca="1" si="23"/>
        <v>N/A</v>
      </c>
      <c r="Z94" s="62" t="str">
        <f t="shared" ca="1" si="23"/>
        <v>N/A</v>
      </c>
      <c r="AA94" s="62" t="str">
        <f t="shared" ca="1" si="23"/>
        <v>N/A</v>
      </c>
    </row>
    <row r="95" spans="1:27" hidden="1" x14ac:dyDescent="0.25">
      <c r="A95" s="50">
        <f t="shared" si="14"/>
        <v>0</v>
      </c>
      <c r="B95" s="45" t="str">
        <f t="shared" ca="1" si="15"/>
        <v/>
      </c>
      <c r="C95" s="1" t="str">
        <f>IF(ISERROR(D95),"",IF(D95="","",MAX($C$66:C94)+1))</f>
        <v/>
      </c>
      <c r="D95" t="e">
        <f t="shared" si="16"/>
        <v>#N/A</v>
      </c>
      <c r="E95" s="22"/>
      <c r="F95" s="62" t="str">
        <f t="shared" ca="1" si="18"/>
        <v>N/A</v>
      </c>
      <c r="G95" s="62"/>
      <c r="H95" s="62"/>
      <c r="I95" s="62"/>
      <c r="J95" s="62" t="str">
        <f t="shared" si="19"/>
        <v>N/A</v>
      </c>
      <c r="K95" s="62" t="str">
        <f t="shared" si="21"/>
        <v>N/A</v>
      </c>
      <c r="L95" s="62" t="str">
        <f ca="1">IFERROR(VLOOKUP($A95,LASTYR,'[3]2017'!$O$3,FALSE),"N/A")</f>
        <v>N/A</v>
      </c>
      <c r="M95" s="62" t="str">
        <f t="shared" ca="1" si="22"/>
        <v>N/A</v>
      </c>
      <c r="N95" s="62" t="str">
        <f t="shared" ca="1" si="22"/>
        <v>N/A</v>
      </c>
      <c r="O95" s="62" t="str">
        <f t="shared" ca="1" si="22"/>
        <v>N/A</v>
      </c>
      <c r="P95" s="62" t="str">
        <f t="shared" ca="1" si="22"/>
        <v>N/A</v>
      </c>
      <c r="Q95" s="62" t="str">
        <f t="shared" ca="1" si="22"/>
        <v>N/A</v>
      </c>
      <c r="R95" s="62" t="str">
        <f t="shared" ca="1" si="22"/>
        <v>N/A</v>
      </c>
      <c r="S95" s="62" t="str">
        <f t="shared" ca="1" si="22"/>
        <v>N/A</v>
      </c>
      <c r="T95" s="62" t="str">
        <f t="shared" ca="1" si="22"/>
        <v>N/A</v>
      </c>
      <c r="U95" s="62" t="str">
        <f t="shared" ca="1" si="22"/>
        <v>N/A</v>
      </c>
      <c r="V95" s="62" t="str">
        <f t="shared" ca="1" si="22"/>
        <v>N/A</v>
      </c>
      <c r="W95" s="62" t="str">
        <f t="shared" ca="1" si="22"/>
        <v>N/A</v>
      </c>
      <c r="X95" s="62" t="str">
        <f t="shared" ca="1" si="23"/>
        <v>N/A</v>
      </c>
      <c r="Y95" s="62" t="str">
        <f t="shared" ca="1" si="23"/>
        <v>N/A</v>
      </c>
      <c r="Z95" s="62" t="str">
        <f t="shared" ca="1" si="23"/>
        <v>N/A</v>
      </c>
      <c r="AA95" s="62" t="str">
        <f t="shared" ca="1" si="23"/>
        <v>N/A</v>
      </c>
    </row>
    <row r="96" spans="1:27" hidden="1" x14ac:dyDescent="0.25">
      <c r="A96" s="50">
        <f t="shared" si="14"/>
        <v>0</v>
      </c>
      <c r="B96" s="45" t="str">
        <f t="shared" ca="1" si="15"/>
        <v/>
      </c>
      <c r="C96" s="1" t="str">
        <f>IF(ISERROR(D96),"",IF(D96="","",MAX($C$66:C95)+1))</f>
        <v/>
      </c>
      <c r="D96" t="e">
        <f t="shared" si="16"/>
        <v>#N/A</v>
      </c>
      <c r="E96" s="22"/>
      <c r="F96" s="62" t="str">
        <f t="shared" ca="1" si="18"/>
        <v>N/A</v>
      </c>
      <c r="G96" s="62"/>
      <c r="H96" s="62"/>
      <c r="I96" s="62"/>
      <c r="J96" s="62" t="str">
        <f t="shared" si="19"/>
        <v>N/A</v>
      </c>
      <c r="K96" s="62" t="str">
        <f t="shared" si="21"/>
        <v>N/A</v>
      </c>
      <c r="L96" s="62" t="str">
        <f ca="1">IFERROR(VLOOKUP($A96,LASTYR,'[3]2017'!$O$3,FALSE),"N/A")</f>
        <v>N/A</v>
      </c>
      <c r="M96" s="62" t="str">
        <f t="shared" ca="1" si="22"/>
        <v>N/A</v>
      </c>
      <c r="N96" s="62" t="str">
        <f t="shared" ca="1" si="22"/>
        <v>N/A</v>
      </c>
      <c r="O96" s="62" t="str">
        <f t="shared" ca="1" si="22"/>
        <v>N/A</v>
      </c>
      <c r="P96" s="62" t="str">
        <f t="shared" ca="1" si="22"/>
        <v>N/A</v>
      </c>
      <c r="Q96" s="62" t="str">
        <f t="shared" ca="1" si="22"/>
        <v>N/A</v>
      </c>
      <c r="R96" s="62" t="str">
        <f t="shared" ca="1" si="22"/>
        <v>N/A</v>
      </c>
      <c r="S96" s="62" t="str">
        <f t="shared" ca="1" si="22"/>
        <v>N/A</v>
      </c>
      <c r="T96" s="62" t="str">
        <f t="shared" ca="1" si="22"/>
        <v>N/A</v>
      </c>
      <c r="U96" s="62" t="str">
        <f t="shared" ca="1" si="22"/>
        <v>N/A</v>
      </c>
      <c r="V96" s="62" t="str">
        <f t="shared" ca="1" si="22"/>
        <v>N/A</v>
      </c>
      <c r="W96" s="62" t="str">
        <f t="shared" ca="1" si="22"/>
        <v>N/A</v>
      </c>
      <c r="X96" s="62" t="str">
        <f t="shared" ca="1" si="23"/>
        <v>N/A</v>
      </c>
      <c r="Y96" s="62" t="str">
        <f t="shared" ca="1" si="23"/>
        <v>N/A</v>
      </c>
      <c r="Z96" s="62" t="str">
        <f t="shared" ca="1" si="23"/>
        <v>N/A</v>
      </c>
      <c r="AA96" s="62" t="str">
        <f t="shared" ca="1" si="23"/>
        <v>N/A</v>
      </c>
    </row>
    <row r="97" spans="1:27" hidden="1" x14ac:dyDescent="0.25">
      <c r="A97" s="50">
        <f t="shared" si="14"/>
        <v>0</v>
      </c>
      <c r="B97" s="45" t="str">
        <f t="shared" ca="1" si="15"/>
        <v/>
      </c>
      <c r="C97" s="1" t="str">
        <f>IF(ISERROR(D97),"",IF(D97="","",MAX($C$66:C96)+1))</f>
        <v/>
      </c>
      <c r="D97" t="e">
        <f t="shared" si="16"/>
        <v>#N/A</v>
      </c>
      <c r="E97" s="22"/>
      <c r="F97" s="62" t="str">
        <f t="shared" ca="1" si="18"/>
        <v>N/A</v>
      </c>
      <c r="G97" s="62"/>
      <c r="H97" s="62"/>
      <c r="I97" s="62"/>
      <c r="J97" s="62" t="str">
        <f t="shared" si="19"/>
        <v>N/A</v>
      </c>
      <c r="K97" s="62" t="str">
        <f t="shared" si="21"/>
        <v>N/A</v>
      </c>
      <c r="L97" s="62" t="str">
        <f ca="1">IFERROR(VLOOKUP($A97,LASTYR,'[3]2017'!$O$3,FALSE),"N/A")</f>
        <v>N/A</v>
      </c>
      <c r="M97" s="62" t="str">
        <f t="shared" ca="1" si="22"/>
        <v>N/A</v>
      </c>
      <c r="N97" s="62" t="str">
        <f t="shared" ca="1" si="22"/>
        <v>N/A</v>
      </c>
      <c r="O97" s="62" t="str">
        <f t="shared" ca="1" si="22"/>
        <v>N/A</v>
      </c>
      <c r="P97" s="62" t="str">
        <f t="shared" ca="1" si="22"/>
        <v>N/A</v>
      </c>
      <c r="Q97" s="62" t="str">
        <f t="shared" ca="1" si="22"/>
        <v>N/A</v>
      </c>
      <c r="R97" s="62" t="str">
        <f t="shared" ca="1" si="22"/>
        <v>N/A</v>
      </c>
      <c r="S97" s="62" t="str">
        <f t="shared" ca="1" si="22"/>
        <v>N/A</v>
      </c>
      <c r="T97" s="62" t="str">
        <f t="shared" ca="1" si="22"/>
        <v>N/A</v>
      </c>
      <c r="U97" s="62" t="str">
        <f t="shared" ca="1" si="22"/>
        <v>N/A</v>
      </c>
      <c r="V97" s="62" t="str">
        <f t="shared" ca="1" si="22"/>
        <v>N/A</v>
      </c>
      <c r="W97" s="62" t="str">
        <f t="shared" ca="1" si="22"/>
        <v>N/A</v>
      </c>
      <c r="X97" s="62" t="str">
        <f t="shared" ca="1" si="23"/>
        <v>N/A</v>
      </c>
      <c r="Y97" s="62" t="str">
        <f t="shared" ca="1" si="23"/>
        <v>N/A</v>
      </c>
      <c r="Z97" s="62" t="str">
        <f t="shared" ca="1" si="23"/>
        <v>N/A</v>
      </c>
      <c r="AA97" s="62" t="str">
        <f t="shared" ca="1" si="23"/>
        <v>N/A</v>
      </c>
    </row>
    <row r="98" spans="1:27" hidden="1" x14ac:dyDescent="0.25">
      <c r="A98" s="50">
        <f t="shared" si="14"/>
        <v>0</v>
      </c>
      <c r="B98" s="45" t="str">
        <f t="shared" ca="1" si="15"/>
        <v/>
      </c>
      <c r="C98" s="1" t="str">
        <f>IF(ISERROR(D98),"",IF(D98="","",MAX($C$66:C97)+1))</f>
        <v/>
      </c>
      <c r="D98" t="e">
        <f t="shared" si="16"/>
        <v>#N/A</v>
      </c>
      <c r="E98" s="22"/>
      <c r="F98" s="62" t="str">
        <f t="shared" ca="1" si="18"/>
        <v>N/A</v>
      </c>
      <c r="G98" s="62"/>
      <c r="H98" s="62"/>
      <c r="I98" s="62"/>
      <c r="J98" s="62" t="str">
        <f t="shared" si="19"/>
        <v>N/A</v>
      </c>
      <c r="K98" s="62" t="str">
        <f t="shared" si="21"/>
        <v>N/A</v>
      </c>
      <c r="L98" s="62" t="str">
        <f ca="1">IFERROR(VLOOKUP($A98,LASTYR,'[3]2017'!$O$3,FALSE),"N/A")</f>
        <v>N/A</v>
      </c>
      <c r="M98" s="62" t="str">
        <f t="shared" ca="1" si="22"/>
        <v>N/A</v>
      </c>
      <c r="N98" s="62" t="str">
        <f t="shared" ca="1" si="22"/>
        <v>N/A</v>
      </c>
      <c r="O98" s="62" t="str">
        <f t="shared" ca="1" si="22"/>
        <v>N/A</v>
      </c>
      <c r="P98" s="62" t="str">
        <f t="shared" ca="1" si="22"/>
        <v>N/A</v>
      </c>
      <c r="Q98" s="62" t="str">
        <f t="shared" ca="1" si="22"/>
        <v>N/A</v>
      </c>
      <c r="R98" s="62" t="str">
        <f t="shared" ca="1" si="22"/>
        <v>N/A</v>
      </c>
      <c r="S98" s="62" t="str">
        <f t="shared" ca="1" si="22"/>
        <v>N/A</v>
      </c>
      <c r="T98" s="62" t="str">
        <f t="shared" ca="1" si="22"/>
        <v>N/A</v>
      </c>
      <c r="U98" s="62" t="str">
        <f t="shared" ca="1" si="22"/>
        <v>N/A</v>
      </c>
      <c r="V98" s="62" t="str">
        <f t="shared" ca="1" si="22"/>
        <v>N/A</v>
      </c>
      <c r="W98" s="62" t="str">
        <f t="shared" ca="1" si="22"/>
        <v>N/A</v>
      </c>
      <c r="X98" s="62" t="str">
        <f t="shared" ca="1" si="23"/>
        <v>N/A</v>
      </c>
      <c r="Y98" s="62" t="str">
        <f t="shared" ca="1" si="23"/>
        <v>N/A</v>
      </c>
      <c r="Z98" s="62" t="str">
        <f t="shared" ca="1" si="23"/>
        <v>N/A</v>
      </c>
      <c r="AA98" s="62" t="str">
        <f t="shared" ca="1" si="23"/>
        <v>N/A</v>
      </c>
    </row>
    <row r="99" spans="1:27" hidden="1" x14ac:dyDescent="0.25">
      <c r="A99" s="50">
        <f t="shared" si="14"/>
        <v>0</v>
      </c>
      <c r="B99" s="45" t="str">
        <f t="shared" ca="1" si="15"/>
        <v/>
      </c>
      <c r="C99" s="1" t="str">
        <f>IF(ISERROR(D99),"",IF(D99="","",MAX($C$66:C98)+1))</f>
        <v/>
      </c>
      <c r="D99" t="e">
        <f t="shared" si="16"/>
        <v>#N/A</v>
      </c>
      <c r="E99" s="22"/>
      <c r="F99" s="62" t="str">
        <f t="shared" ca="1" si="18"/>
        <v>N/A</v>
      </c>
      <c r="G99" s="62"/>
      <c r="H99" s="62"/>
      <c r="I99" s="62"/>
      <c r="J99" s="62" t="str">
        <f t="shared" si="19"/>
        <v>N/A</v>
      </c>
      <c r="K99" s="62" t="str">
        <f t="shared" si="21"/>
        <v>N/A</v>
      </c>
      <c r="L99" s="62" t="str">
        <f ca="1">IFERROR(VLOOKUP($A99,LASTYR,'[3]2017'!$O$3,FALSE),"N/A")</f>
        <v>N/A</v>
      </c>
      <c r="M99" s="62" t="str">
        <f t="shared" ca="1" si="22"/>
        <v>N/A</v>
      </c>
      <c r="N99" s="62" t="str">
        <f t="shared" ca="1" si="22"/>
        <v>N/A</v>
      </c>
      <c r="O99" s="62" t="str">
        <f t="shared" ca="1" si="22"/>
        <v>N/A</v>
      </c>
      <c r="P99" s="62" t="str">
        <f t="shared" ca="1" si="22"/>
        <v>N/A</v>
      </c>
      <c r="Q99" s="62" t="str">
        <f t="shared" ca="1" si="22"/>
        <v>N/A</v>
      </c>
      <c r="R99" s="62" t="str">
        <f t="shared" ca="1" si="22"/>
        <v>N/A</v>
      </c>
      <c r="S99" s="62" t="str">
        <f t="shared" ca="1" si="22"/>
        <v>N/A</v>
      </c>
      <c r="T99" s="62" t="str">
        <f t="shared" ca="1" si="22"/>
        <v>N/A</v>
      </c>
      <c r="U99" s="62" t="str">
        <f t="shared" ca="1" si="22"/>
        <v>N/A</v>
      </c>
      <c r="V99" s="62" t="str">
        <f t="shared" ca="1" si="22"/>
        <v>N/A</v>
      </c>
      <c r="W99" s="62" t="str">
        <f t="shared" ca="1" si="22"/>
        <v>N/A</v>
      </c>
      <c r="X99" s="62" t="str">
        <f t="shared" ca="1" si="23"/>
        <v>N/A</v>
      </c>
      <c r="Y99" s="62" t="str">
        <f t="shared" ca="1" si="23"/>
        <v>N/A</v>
      </c>
      <c r="Z99" s="62" t="str">
        <f t="shared" ca="1" si="23"/>
        <v>N/A</v>
      </c>
      <c r="AA99" s="62" t="str">
        <f t="shared" ca="1" si="23"/>
        <v>N/A</v>
      </c>
    </row>
    <row r="100" spans="1:27" hidden="1" x14ac:dyDescent="0.25">
      <c r="A100" s="50">
        <f t="shared" si="14"/>
        <v>0</v>
      </c>
      <c r="B100" s="45" t="str">
        <f t="shared" ca="1" si="15"/>
        <v/>
      </c>
      <c r="C100" s="1" t="str">
        <f>IF(ISERROR(D100),"",IF(D100="","",MAX($C$66:C99)+1))</f>
        <v/>
      </c>
      <c r="D100" t="e">
        <f t="shared" si="16"/>
        <v>#N/A</v>
      </c>
      <c r="E100" s="22"/>
      <c r="F100" s="62" t="str">
        <f t="shared" ca="1" si="18"/>
        <v>N/A</v>
      </c>
      <c r="G100" s="62"/>
      <c r="H100" s="62"/>
      <c r="I100" s="62"/>
      <c r="J100" s="62" t="str">
        <f t="shared" si="19"/>
        <v>N/A</v>
      </c>
      <c r="K100" s="62" t="str">
        <f t="shared" si="21"/>
        <v>N/A</v>
      </c>
      <c r="L100" s="62" t="str">
        <f ca="1">IFERROR(VLOOKUP($A100,LASTYR,'[3]2017'!$O$3,FALSE),"N/A")</f>
        <v>N/A</v>
      </c>
      <c r="M100" s="62" t="str">
        <f t="shared" ca="1" si="22"/>
        <v>N/A</v>
      </c>
      <c r="N100" s="62" t="str">
        <f t="shared" ca="1" si="22"/>
        <v>N/A</v>
      </c>
      <c r="O100" s="62" t="str">
        <f t="shared" ca="1" si="22"/>
        <v>N/A</v>
      </c>
      <c r="P100" s="62" t="str">
        <f t="shared" ca="1" si="22"/>
        <v>N/A</v>
      </c>
      <c r="Q100" s="62" t="str">
        <f t="shared" ca="1" si="22"/>
        <v>N/A</v>
      </c>
      <c r="R100" s="62" t="str">
        <f t="shared" ca="1" si="22"/>
        <v>N/A</v>
      </c>
      <c r="S100" s="62" t="str">
        <f t="shared" ca="1" si="22"/>
        <v>N/A</v>
      </c>
      <c r="T100" s="62" t="str">
        <f t="shared" ca="1" si="22"/>
        <v>N/A</v>
      </c>
      <c r="U100" s="62" t="str">
        <f t="shared" ca="1" si="22"/>
        <v>N/A</v>
      </c>
      <c r="V100" s="62" t="str">
        <f t="shared" ca="1" si="22"/>
        <v>N/A</v>
      </c>
      <c r="W100" s="62" t="str">
        <f t="shared" ca="1" si="22"/>
        <v>N/A</v>
      </c>
      <c r="X100" s="62" t="str">
        <f t="shared" ca="1" si="23"/>
        <v>N/A</v>
      </c>
      <c r="Y100" s="62" t="str">
        <f t="shared" ca="1" si="23"/>
        <v>N/A</v>
      </c>
      <c r="Z100" s="62" t="str">
        <f t="shared" ca="1" si="23"/>
        <v>N/A</v>
      </c>
      <c r="AA100" s="62" t="str">
        <f t="shared" ca="1" si="23"/>
        <v>N/A</v>
      </c>
    </row>
    <row r="101" spans="1:27" hidden="1" x14ac:dyDescent="0.25">
      <c r="A101" s="50">
        <f t="shared" si="14"/>
        <v>0</v>
      </c>
      <c r="B101" s="45" t="str">
        <f t="shared" ca="1" si="15"/>
        <v/>
      </c>
      <c r="C101" s="1" t="str">
        <f>IF(ISERROR(D101),"",IF(D101="","",MAX($C$66:C100)+1))</f>
        <v/>
      </c>
      <c r="D101" t="e">
        <f t="shared" si="16"/>
        <v>#N/A</v>
      </c>
      <c r="E101" s="22"/>
      <c r="F101" s="62" t="str">
        <f t="shared" ca="1" si="18"/>
        <v>N/A</v>
      </c>
      <c r="G101" s="62"/>
      <c r="H101" s="62"/>
      <c r="I101" s="62"/>
      <c r="J101" s="62" t="str">
        <f t="shared" si="19"/>
        <v>N/A</v>
      </c>
      <c r="K101" s="62" t="str">
        <f t="shared" si="21"/>
        <v>N/A</v>
      </c>
      <c r="L101" s="62" t="str">
        <f ca="1">IFERROR(VLOOKUP($A101,LASTYR,'[3]2017'!$O$3,FALSE),"N/A")</f>
        <v>N/A</v>
      </c>
      <c r="M101" s="62" t="str">
        <f t="shared" ca="1" si="22"/>
        <v>N/A</v>
      </c>
      <c r="N101" s="62" t="str">
        <f t="shared" ca="1" si="22"/>
        <v>N/A</v>
      </c>
      <c r="O101" s="62" t="str">
        <f t="shared" ca="1" si="22"/>
        <v>N/A</v>
      </c>
      <c r="P101" s="62" t="str">
        <f t="shared" ca="1" si="22"/>
        <v>N/A</v>
      </c>
      <c r="Q101" s="62" t="str">
        <f t="shared" ca="1" si="22"/>
        <v>N/A</v>
      </c>
      <c r="R101" s="62" t="str">
        <f t="shared" ca="1" si="22"/>
        <v>N/A</v>
      </c>
      <c r="S101" s="62" t="str">
        <f t="shared" ca="1" si="22"/>
        <v>N/A</v>
      </c>
      <c r="T101" s="62" t="str">
        <f t="shared" ca="1" si="22"/>
        <v>N/A</v>
      </c>
      <c r="U101" s="62" t="str">
        <f t="shared" ca="1" si="22"/>
        <v>N/A</v>
      </c>
      <c r="V101" s="62" t="str">
        <f t="shared" ca="1" si="22"/>
        <v>N/A</v>
      </c>
      <c r="W101" s="62" t="str">
        <f t="shared" ca="1" si="22"/>
        <v>N/A</v>
      </c>
      <c r="X101" s="62" t="str">
        <f t="shared" ca="1" si="23"/>
        <v>N/A</v>
      </c>
      <c r="Y101" s="62" t="str">
        <f t="shared" ca="1" si="23"/>
        <v>N/A</v>
      </c>
      <c r="Z101" s="62" t="str">
        <f t="shared" ca="1" si="23"/>
        <v>N/A</v>
      </c>
      <c r="AA101" s="62" t="str">
        <f t="shared" ca="1" si="23"/>
        <v>N/A</v>
      </c>
    </row>
    <row r="102" spans="1:27" hidden="1" x14ac:dyDescent="0.25">
      <c r="A102" s="50">
        <f t="shared" si="14"/>
        <v>0</v>
      </c>
      <c r="B102" s="45" t="str">
        <f t="shared" ca="1" si="15"/>
        <v/>
      </c>
      <c r="C102" s="1" t="str">
        <f>IF(ISERROR(D102),"",IF(D102="","",MAX($C$66:C101)+1))</f>
        <v/>
      </c>
      <c r="D102" t="e">
        <f t="shared" si="16"/>
        <v>#N/A</v>
      </c>
      <c r="E102" s="22"/>
      <c r="F102" s="62" t="str">
        <f t="shared" ca="1" si="18"/>
        <v>N/A</v>
      </c>
      <c r="G102" s="62"/>
      <c r="H102" s="62"/>
      <c r="I102" s="62"/>
      <c r="J102" s="62" t="str">
        <f t="shared" si="19"/>
        <v>N/A</v>
      </c>
      <c r="K102" s="62" t="str">
        <f t="shared" si="21"/>
        <v>N/A</v>
      </c>
      <c r="L102" s="62" t="str">
        <f ca="1">IFERROR(VLOOKUP($A102,LASTYR,'[3]2017'!$O$3,FALSE),"N/A")</f>
        <v>N/A</v>
      </c>
      <c r="M102" s="62" t="str">
        <f t="shared" ca="1" si="22"/>
        <v>N/A</v>
      </c>
      <c r="N102" s="62" t="str">
        <f t="shared" ca="1" si="22"/>
        <v>N/A</v>
      </c>
      <c r="O102" s="62" t="str">
        <f t="shared" ca="1" si="22"/>
        <v>N/A</v>
      </c>
      <c r="P102" s="62" t="str">
        <f t="shared" ca="1" si="22"/>
        <v>N/A</v>
      </c>
      <c r="Q102" s="62" t="str">
        <f t="shared" ca="1" si="22"/>
        <v>N/A</v>
      </c>
      <c r="R102" s="62" t="str">
        <f t="shared" ca="1" si="22"/>
        <v>N/A</v>
      </c>
      <c r="S102" s="62" t="str">
        <f t="shared" ca="1" si="22"/>
        <v>N/A</v>
      </c>
      <c r="T102" s="62" t="str">
        <f t="shared" ca="1" si="22"/>
        <v>N/A</v>
      </c>
      <c r="U102" s="62" t="str">
        <f t="shared" ca="1" si="22"/>
        <v>N/A</v>
      </c>
      <c r="V102" s="62" t="str">
        <f t="shared" ca="1" si="22"/>
        <v>N/A</v>
      </c>
      <c r="W102" s="62" t="str">
        <f t="shared" ca="1" si="22"/>
        <v>N/A</v>
      </c>
      <c r="X102" s="62" t="str">
        <f t="shared" ca="1" si="23"/>
        <v>N/A</v>
      </c>
      <c r="Y102" s="62" t="str">
        <f t="shared" ca="1" si="23"/>
        <v>N/A</v>
      </c>
      <c r="Z102" s="62" t="str">
        <f t="shared" ca="1" si="23"/>
        <v>N/A</v>
      </c>
      <c r="AA102" s="62" t="str">
        <f t="shared" ca="1" si="23"/>
        <v>N/A</v>
      </c>
    </row>
    <row r="103" spans="1:27" hidden="1" x14ac:dyDescent="0.25">
      <c r="A103" s="50">
        <f t="shared" si="14"/>
        <v>0</v>
      </c>
      <c r="B103" s="45" t="str">
        <f t="shared" ca="1" si="15"/>
        <v/>
      </c>
      <c r="C103" s="1" t="str">
        <f>IF(ISERROR(D103),"",IF(D103="","",MAX($C$66:C102)+1))</f>
        <v/>
      </c>
      <c r="D103" t="e">
        <f t="shared" si="16"/>
        <v>#N/A</v>
      </c>
      <c r="E103" s="22"/>
      <c r="F103" s="62" t="str">
        <f t="shared" ca="1" si="18"/>
        <v>N/A</v>
      </c>
      <c r="G103" s="62"/>
      <c r="H103" s="62"/>
      <c r="I103" s="62"/>
      <c r="J103" s="62" t="str">
        <f t="shared" si="19"/>
        <v>N/A</v>
      </c>
      <c r="K103" s="62" t="str">
        <f t="shared" si="21"/>
        <v>N/A</v>
      </c>
      <c r="L103" s="62" t="str">
        <f ca="1">IFERROR(VLOOKUP($A103,LASTYR,'[3]2017'!$O$3,FALSE),"N/A")</f>
        <v>N/A</v>
      </c>
      <c r="M103" s="62" t="str">
        <f t="shared" ca="1" si="22"/>
        <v>N/A</v>
      </c>
      <c r="N103" s="62" t="str">
        <f t="shared" ca="1" si="22"/>
        <v>N/A</v>
      </c>
      <c r="O103" s="62" t="str">
        <f t="shared" ca="1" si="22"/>
        <v>N/A</v>
      </c>
      <c r="P103" s="62" t="str">
        <f t="shared" ca="1" si="22"/>
        <v>N/A</v>
      </c>
      <c r="Q103" s="62" t="str">
        <f t="shared" ca="1" si="22"/>
        <v>N/A</v>
      </c>
      <c r="R103" s="62" t="str">
        <f t="shared" ca="1" si="22"/>
        <v>N/A</v>
      </c>
      <c r="S103" s="62" t="str">
        <f t="shared" ca="1" si="22"/>
        <v>N/A</v>
      </c>
      <c r="T103" s="62" t="str">
        <f t="shared" ca="1" si="22"/>
        <v>N/A</v>
      </c>
      <c r="U103" s="62" t="str">
        <f t="shared" ca="1" si="22"/>
        <v>N/A</v>
      </c>
      <c r="V103" s="62" t="str">
        <f t="shared" ca="1" si="22"/>
        <v>N/A</v>
      </c>
      <c r="W103" s="62" t="str">
        <f t="shared" ca="1" si="22"/>
        <v>N/A</v>
      </c>
      <c r="X103" s="62" t="str">
        <f t="shared" ca="1" si="23"/>
        <v>N/A</v>
      </c>
      <c r="Y103" s="62" t="str">
        <f t="shared" ca="1" si="23"/>
        <v>N/A</v>
      </c>
      <c r="Z103" s="62" t="str">
        <f t="shared" ca="1" si="23"/>
        <v>N/A</v>
      </c>
      <c r="AA103" s="62" t="str">
        <f t="shared" ca="1" si="23"/>
        <v>N/A</v>
      </c>
    </row>
    <row r="104" spans="1:27" hidden="1" x14ac:dyDescent="0.25">
      <c r="A104" s="50">
        <f t="shared" si="14"/>
        <v>0</v>
      </c>
      <c r="B104" s="45" t="str">
        <f t="shared" ca="1" si="15"/>
        <v/>
      </c>
      <c r="C104" s="1" t="str">
        <f>IF(ISERROR(D104),"",IF(D104="","",MAX($C$66:C103)+1))</f>
        <v/>
      </c>
      <c r="D104" t="e">
        <f t="shared" si="16"/>
        <v>#N/A</v>
      </c>
      <c r="E104" s="22"/>
      <c r="F104" s="62" t="str">
        <f t="shared" ca="1" si="18"/>
        <v>N/A</v>
      </c>
      <c r="G104" s="62"/>
      <c r="H104" s="62"/>
      <c r="I104" s="62"/>
      <c r="J104" s="62" t="str">
        <f t="shared" si="19"/>
        <v>N/A</v>
      </c>
      <c r="K104" s="62" t="str">
        <f t="shared" si="21"/>
        <v>N/A</v>
      </c>
      <c r="L104" s="62" t="str">
        <f ca="1">IFERROR(VLOOKUP($A104,LASTYR,'[3]2017'!$O$3,FALSE),"N/A")</f>
        <v>N/A</v>
      </c>
      <c r="M104" s="62" t="str">
        <f t="shared" ca="1" si="22"/>
        <v>N/A</v>
      </c>
      <c r="N104" s="62" t="str">
        <f t="shared" ca="1" si="22"/>
        <v>N/A</v>
      </c>
      <c r="O104" s="62" t="str">
        <f t="shared" ca="1" si="22"/>
        <v>N/A</v>
      </c>
      <c r="P104" s="62" t="str">
        <f t="shared" ca="1" si="22"/>
        <v>N/A</v>
      </c>
      <c r="Q104" s="62" t="str">
        <f t="shared" ca="1" si="22"/>
        <v>N/A</v>
      </c>
      <c r="R104" s="62" t="str">
        <f t="shared" ca="1" si="22"/>
        <v>N/A</v>
      </c>
      <c r="S104" s="62" t="str">
        <f t="shared" ca="1" si="22"/>
        <v>N/A</v>
      </c>
      <c r="T104" s="62" t="str">
        <f t="shared" ca="1" si="22"/>
        <v>N/A</v>
      </c>
      <c r="U104" s="62" t="str">
        <f t="shared" ca="1" si="22"/>
        <v>N/A</v>
      </c>
      <c r="V104" s="62" t="str">
        <f t="shared" ca="1" si="22"/>
        <v>N/A</v>
      </c>
      <c r="W104" s="62" t="str">
        <f t="shared" ca="1" si="22"/>
        <v>N/A</v>
      </c>
      <c r="X104" s="62" t="str">
        <f t="shared" ca="1" si="23"/>
        <v>N/A</v>
      </c>
      <c r="Y104" s="62" t="str">
        <f t="shared" ca="1" si="23"/>
        <v>N/A</v>
      </c>
      <c r="Z104" s="62" t="str">
        <f t="shared" ca="1" si="23"/>
        <v>N/A</v>
      </c>
      <c r="AA104" s="62" t="str">
        <f t="shared" ca="1" si="23"/>
        <v>N/A</v>
      </c>
    </row>
    <row r="105" spans="1:27" hidden="1" x14ac:dyDescent="0.25">
      <c r="A105" s="50">
        <f t="shared" si="14"/>
        <v>0</v>
      </c>
      <c r="B105" s="45" t="str">
        <f t="shared" ca="1" si="15"/>
        <v/>
      </c>
      <c r="C105" s="1" t="str">
        <f>IF(ISERROR(D105),"",IF(D105="","",MAX($C$66:C104)+1))</f>
        <v/>
      </c>
      <c r="D105" t="e">
        <f t="shared" si="16"/>
        <v>#N/A</v>
      </c>
      <c r="E105" s="22"/>
      <c r="F105" s="62" t="str">
        <f t="shared" ca="1" si="18"/>
        <v>N/A</v>
      </c>
      <c r="G105" s="62"/>
      <c r="H105" s="62"/>
      <c r="I105" s="62"/>
      <c r="J105" s="62" t="str">
        <f t="shared" si="19"/>
        <v>N/A</v>
      </c>
      <c r="K105" s="62" t="str">
        <f t="shared" si="21"/>
        <v>N/A</v>
      </c>
      <c r="L105" s="62" t="str">
        <f ca="1">IFERROR(VLOOKUP($A105,LASTYR,'[3]2017'!$O$3,FALSE),"N/A")</f>
        <v>N/A</v>
      </c>
      <c r="M105" s="62" t="str">
        <f t="shared" ca="1" si="22"/>
        <v>N/A</v>
      </c>
      <c r="N105" s="62" t="str">
        <f t="shared" ca="1" si="22"/>
        <v>N/A</v>
      </c>
      <c r="O105" s="62" t="str">
        <f t="shared" ca="1" si="22"/>
        <v>N/A</v>
      </c>
      <c r="P105" s="62" t="str">
        <f t="shared" ca="1" si="22"/>
        <v>N/A</v>
      </c>
      <c r="Q105" s="62" t="str">
        <f t="shared" ca="1" si="22"/>
        <v>N/A</v>
      </c>
      <c r="R105" s="62" t="str">
        <f t="shared" ca="1" si="22"/>
        <v>N/A</v>
      </c>
      <c r="S105" s="62" t="str">
        <f t="shared" ca="1" si="22"/>
        <v>N/A</v>
      </c>
      <c r="T105" s="62" t="str">
        <f t="shared" ca="1" si="22"/>
        <v>N/A</v>
      </c>
      <c r="U105" s="62" t="str">
        <f t="shared" ca="1" si="22"/>
        <v>N/A</v>
      </c>
      <c r="V105" s="62" t="str">
        <f t="shared" ca="1" si="22"/>
        <v>N/A</v>
      </c>
      <c r="W105" s="62" t="str">
        <f t="shared" ca="1" si="22"/>
        <v>N/A</v>
      </c>
      <c r="X105" s="62" t="str">
        <f t="shared" ca="1" si="23"/>
        <v>N/A</v>
      </c>
      <c r="Y105" s="62" t="str">
        <f t="shared" ca="1" si="23"/>
        <v>N/A</v>
      </c>
      <c r="Z105" s="62" t="str">
        <f t="shared" ca="1" si="23"/>
        <v>N/A</v>
      </c>
      <c r="AA105" s="62" t="str">
        <f t="shared" ca="1" si="23"/>
        <v>N/A</v>
      </c>
    </row>
    <row r="106" spans="1:27" hidden="1" x14ac:dyDescent="0.25">
      <c r="A106" s="50">
        <f t="shared" si="14"/>
        <v>0</v>
      </c>
      <c r="B106" s="45" t="str">
        <f t="shared" ca="1" si="15"/>
        <v/>
      </c>
      <c r="C106" s="1" t="str">
        <f>IF(ISERROR(D106),"",IF(D106="","",MAX($C$66:C105)+1))</f>
        <v/>
      </c>
      <c r="D106" t="e">
        <f t="shared" si="16"/>
        <v>#N/A</v>
      </c>
      <c r="E106" s="22"/>
      <c r="F106" s="62" t="str">
        <f t="shared" ca="1" si="18"/>
        <v>N/A</v>
      </c>
      <c r="G106" s="62"/>
      <c r="H106" s="62"/>
      <c r="I106" s="62"/>
      <c r="J106" s="62" t="str">
        <f t="shared" si="19"/>
        <v>N/A</v>
      </c>
      <c r="K106" s="62" t="str">
        <f t="shared" si="21"/>
        <v>N/A</v>
      </c>
      <c r="L106" s="62" t="str">
        <f ca="1">IFERROR(VLOOKUP($A106,LASTYR,'[3]2017'!$O$3,FALSE),"N/A")</f>
        <v>N/A</v>
      </c>
      <c r="M106" s="62" t="str">
        <f t="shared" ca="1" si="22"/>
        <v>N/A</v>
      </c>
      <c r="N106" s="62" t="str">
        <f t="shared" ca="1" si="22"/>
        <v>N/A</v>
      </c>
      <c r="O106" s="62" t="str">
        <f t="shared" ca="1" si="22"/>
        <v>N/A</v>
      </c>
      <c r="P106" s="62" t="str">
        <f t="shared" ca="1" si="22"/>
        <v>N/A</v>
      </c>
      <c r="Q106" s="62" t="str">
        <f t="shared" ca="1" si="22"/>
        <v>N/A</v>
      </c>
      <c r="R106" s="62" t="str">
        <f t="shared" ca="1" si="22"/>
        <v>N/A</v>
      </c>
      <c r="S106" s="62" t="str">
        <f t="shared" ca="1" si="22"/>
        <v>N/A</v>
      </c>
      <c r="T106" s="62" t="str">
        <f t="shared" ca="1" si="22"/>
        <v>N/A</v>
      </c>
      <c r="U106" s="62" t="str">
        <f t="shared" ca="1" si="22"/>
        <v>N/A</v>
      </c>
      <c r="V106" s="62" t="str">
        <f t="shared" ca="1" si="22"/>
        <v>N/A</v>
      </c>
      <c r="W106" s="62" t="str">
        <f t="shared" ca="1" si="22"/>
        <v>N/A</v>
      </c>
      <c r="X106" s="62" t="str">
        <f t="shared" ca="1" si="23"/>
        <v>N/A</v>
      </c>
      <c r="Y106" s="62" t="str">
        <f t="shared" ca="1" si="23"/>
        <v>N/A</v>
      </c>
      <c r="Z106" s="62" t="str">
        <f t="shared" ca="1" si="23"/>
        <v>N/A</v>
      </c>
      <c r="AA106" s="62" t="str">
        <f t="shared" ca="1" si="23"/>
        <v>N/A</v>
      </c>
    </row>
    <row r="107" spans="1:27" hidden="1" x14ac:dyDescent="0.25">
      <c r="A107" s="50">
        <f t="shared" si="14"/>
        <v>0</v>
      </c>
      <c r="B107" s="45" t="str">
        <f t="shared" ca="1" si="15"/>
        <v/>
      </c>
      <c r="C107" s="1" t="str">
        <f>IF(ISERROR(D107),"",IF(D107="","",MAX($C$66:C106)+1))</f>
        <v/>
      </c>
      <c r="D107" t="e">
        <f t="shared" si="16"/>
        <v>#N/A</v>
      </c>
      <c r="E107" s="22"/>
      <c r="F107" s="62" t="str">
        <f t="shared" ca="1" si="18"/>
        <v>N/A</v>
      </c>
      <c r="G107" s="62"/>
      <c r="H107" s="62"/>
      <c r="I107" s="62"/>
      <c r="J107" s="62" t="str">
        <f t="shared" si="19"/>
        <v>N/A</v>
      </c>
      <c r="K107" s="62" t="str">
        <f t="shared" si="21"/>
        <v>N/A</v>
      </c>
      <c r="L107" s="62" t="str">
        <f ca="1">IFERROR(VLOOKUP($A107,LASTYR,'[3]2017'!$O$3,FALSE),"N/A")</f>
        <v>N/A</v>
      </c>
      <c r="M107" s="62" t="str">
        <f t="shared" ca="1" si="22"/>
        <v>N/A</v>
      </c>
      <c r="N107" s="62" t="str">
        <f t="shared" ca="1" si="22"/>
        <v>N/A</v>
      </c>
      <c r="O107" s="62" t="str">
        <f t="shared" ref="N107:W112" ca="1" si="24">IFERROR(IF(INDEX(DIV_EARN_WP,$B107,O$67)=0,"N/A",INDEX(DIV_EARN_WP,$B107,O$67)),"N/A")</f>
        <v>N/A</v>
      </c>
      <c r="P107" s="62" t="str">
        <f t="shared" ca="1" si="24"/>
        <v>N/A</v>
      </c>
      <c r="Q107" s="62" t="str">
        <f t="shared" ca="1" si="24"/>
        <v>N/A</v>
      </c>
      <c r="R107" s="62" t="str">
        <f t="shared" ca="1" si="24"/>
        <v>N/A</v>
      </c>
      <c r="S107" s="62" t="str">
        <f t="shared" ca="1" si="24"/>
        <v>N/A</v>
      </c>
      <c r="T107" s="62" t="str">
        <f t="shared" ca="1" si="24"/>
        <v>N/A</v>
      </c>
      <c r="U107" s="62" t="str">
        <f t="shared" ca="1" si="24"/>
        <v>N/A</v>
      </c>
      <c r="V107" s="62" t="str">
        <f t="shared" ca="1" si="24"/>
        <v>N/A</v>
      </c>
      <c r="W107" s="62" t="str">
        <f t="shared" ca="1" si="24"/>
        <v>N/A</v>
      </c>
      <c r="X107" s="62" t="str">
        <f t="shared" ca="1" si="23"/>
        <v>N/A</v>
      </c>
      <c r="Y107" s="62" t="str">
        <f t="shared" ca="1" si="23"/>
        <v>N/A</v>
      </c>
      <c r="Z107" s="62" t="str">
        <f t="shared" ca="1" si="23"/>
        <v>N/A</v>
      </c>
      <c r="AA107" s="62" t="str">
        <f t="shared" ca="1" si="23"/>
        <v>N/A</v>
      </c>
    </row>
    <row r="108" spans="1:27" hidden="1" x14ac:dyDescent="0.25">
      <c r="A108" s="50">
        <f t="shared" si="14"/>
        <v>0</v>
      </c>
      <c r="B108" s="45" t="str">
        <f t="shared" ca="1" si="15"/>
        <v/>
      </c>
      <c r="C108" s="1" t="str">
        <f>IF(ISERROR(D108),"",IF(D108="","",MAX($C$66:C107)+1))</f>
        <v/>
      </c>
      <c r="D108" t="e">
        <f t="shared" si="16"/>
        <v>#N/A</v>
      </c>
      <c r="E108" s="22"/>
      <c r="F108" s="62" t="str">
        <f t="shared" ca="1" si="18"/>
        <v>N/A</v>
      </c>
      <c r="G108" s="62"/>
      <c r="H108" s="62"/>
      <c r="I108" s="62"/>
      <c r="J108" s="62" t="str">
        <f t="shared" si="19"/>
        <v>N/A</v>
      </c>
      <c r="K108" s="62" t="str">
        <f t="shared" si="21"/>
        <v>N/A</v>
      </c>
      <c r="L108" s="62" t="str">
        <f ca="1">IFERROR(VLOOKUP($A108,LASTYR,'[3]2017'!$O$3,FALSE),"N/A")</f>
        <v>N/A</v>
      </c>
      <c r="M108" s="62" t="str">
        <f ca="1">IFERROR(IF(INDEX(DIV_EARN_WP,$B108,M$67)=0,"N/A",INDEX(DIV_EARN_WP,$B108,M$67)),"N/A")</f>
        <v>N/A</v>
      </c>
      <c r="N108" s="62" t="str">
        <f t="shared" ca="1" si="24"/>
        <v>N/A</v>
      </c>
      <c r="O108" s="62" t="str">
        <f t="shared" ca="1" si="24"/>
        <v>N/A</v>
      </c>
      <c r="P108" s="62" t="str">
        <f t="shared" ca="1" si="24"/>
        <v>N/A</v>
      </c>
      <c r="Q108" s="62" t="str">
        <f t="shared" ca="1" si="24"/>
        <v>N/A</v>
      </c>
      <c r="R108" s="62" t="str">
        <f t="shared" ca="1" si="24"/>
        <v>N/A</v>
      </c>
      <c r="S108" s="62" t="str">
        <f t="shared" ca="1" si="24"/>
        <v>N/A</v>
      </c>
      <c r="T108" s="62" t="str">
        <f t="shared" ca="1" si="24"/>
        <v>N/A</v>
      </c>
      <c r="U108" s="62" t="str">
        <f t="shared" ca="1" si="24"/>
        <v>N/A</v>
      </c>
      <c r="V108" s="62" t="str">
        <f t="shared" ca="1" si="24"/>
        <v>N/A</v>
      </c>
      <c r="W108" s="62" t="str">
        <f t="shared" ca="1" si="24"/>
        <v>N/A</v>
      </c>
      <c r="X108" s="62" t="str">
        <f t="shared" ca="1" si="23"/>
        <v>N/A</v>
      </c>
      <c r="Y108" s="62" t="str">
        <f t="shared" ca="1" si="23"/>
        <v>N/A</v>
      </c>
      <c r="Z108" s="62" t="str">
        <f t="shared" ca="1" si="23"/>
        <v>N/A</v>
      </c>
      <c r="AA108" s="62" t="str">
        <f t="shared" ca="1" si="23"/>
        <v>N/A</v>
      </c>
    </row>
    <row r="109" spans="1:27" hidden="1" x14ac:dyDescent="0.25">
      <c r="A109" s="50">
        <f t="shared" si="14"/>
        <v>0</v>
      </c>
      <c r="B109" s="45" t="str">
        <f t="shared" ca="1" si="15"/>
        <v/>
      </c>
      <c r="C109" s="1" t="str">
        <f>IF(ISERROR(D109),"",IF(D109="","",MAX($C$66:C108)+1))</f>
        <v/>
      </c>
      <c r="D109" t="e">
        <f t="shared" si="16"/>
        <v>#N/A</v>
      </c>
      <c r="E109" s="22"/>
      <c r="F109" s="62" t="str">
        <f t="shared" ca="1" si="18"/>
        <v>N/A</v>
      </c>
      <c r="G109" s="62"/>
      <c r="H109" s="62"/>
      <c r="I109" s="62"/>
      <c r="J109" s="62" t="str">
        <f t="shared" si="19"/>
        <v>N/A</v>
      </c>
      <c r="K109" s="62" t="str">
        <f t="shared" si="21"/>
        <v>N/A</v>
      </c>
      <c r="L109" s="62" t="str">
        <f ca="1">IFERROR(VLOOKUP($A109,LASTYR,'[3]2017'!$O$3,FALSE),"N/A")</f>
        <v>N/A</v>
      </c>
      <c r="M109" s="62" t="str">
        <f ca="1">IFERROR(IF(INDEX(DIV_EARN_WP,$B109,M$67)=0,"N/A",INDEX(DIV_EARN_WP,$B109,M$67)),"N/A")</f>
        <v>N/A</v>
      </c>
      <c r="N109" s="62" t="str">
        <f t="shared" ca="1" si="24"/>
        <v>N/A</v>
      </c>
      <c r="O109" s="62" t="str">
        <f t="shared" ca="1" si="24"/>
        <v>N/A</v>
      </c>
      <c r="P109" s="62" t="str">
        <f t="shared" ca="1" si="24"/>
        <v>N/A</v>
      </c>
      <c r="Q109" s="62" t="str">
        <f t="shared" ca="1" si="24"/>
        <v>N/A</v>
      </c>
      <c r="R109" s="62" t="str">
        <f t="shared" ca="1" si="24"/>
        <v>N/A</v>
      </c>
      <c r="S109" s="62" t="str">
        <f t="shared" ca="1" si="24"/>
        <v>N/A</v>
      </c>
      <c r="T109" s="62" t="str">
        <f t="shared" ca="1" si="24"/>
        <v>N/A</v>
      </c>
      <c r="U109" s="62" t="str">
        <f t="shared" ca="1" si="24"/>
        <v>N/A</v>
      </c>
      <c r="V109" s="62" t="str">
        <f t="shared" ca="1" si="24"/>
        <v>N/A</v>
      </c>
      <c r="W109" s="62" t="str">
        <f t="shared" ca="1" si="24"/>
        <v>N/A</v>
      </c>
      <c r="X109" s="62" t="str">
        <f t="shared" ca="1" si="23"/>
        <v>N/A</v>
      </c>
      <c r="Y109" s="62" t="str">
        <f t="shared" ca="1" si="23"/>
        <v>N/A</v>
      </c>
      <c r="Z109" s="62" t="str">
        <f t="shared" ca="1" si="23"/>
        <v>N/A</v>
      </c>
      <c r="AA109" s="62" t="str">
        <f t="shared" ca="1" si="23"/>
        <v>N/A</v>
      </c>
    </row>
    <row r="110" spans="1:27" hidden="1" x14ac:dyDescent="0.25">
      <c r="A110" s="50">
        <f t="shared" si="14"/>
        <v>0</v>
      </c>
      <c r="B110" s="45" t="str">
        <f t="shared" ca="1" si="15"/>
        <v/>
      </c>
      <c r="C110" s="1" t="str">
        <f>IF(ISERROR(D110),"",IF(D110="","",MAX($C$66:C109)+1))</f>
        <v/>
      </c>
      <c r="D110" t="e">
        <f t="shared" si="16"/>
        <v>#N/A</v>
      </c>
      <c r="F110" s="62" t="str">
        <f t="shared" ca="1" si="18"/>
        <v>N/A</v>
      </c>
      <c r="G110" s="62"/>
      <c r="H110" s="62"/>
      <c r="I110" s="62"/>
      <c r="J110" s="62" t="str">
        <f t="shared" si="19"/>
        <v>N/A</v>
      </c>
      <c r="K110" s="62" t="str">
        <f t="shared" si="21"/>
        <v>N/A</v>
      </c>
      <c r="L110" s="62" t="str">
        <f ca="1">IFERROR(VLOOKUP($A110,LASTYR,'[3]2017'!$O$3,FALSE),"N/A")</f>
        <v>N/A</v>
      </c>
      <c r="M110" s="62" t="str">
        <f ca="1">IFERROR(IF(INDEX(DIV_EARN_WP,$B110,M$67)=0,"N/A",INDEX(DIV_EARN_WP,$B110,M$67)),"N/A")</f>
        <v>N/A</v>
      </c>
      <c r="N110" s="62" t="str">
        <f t="shared" ca="1" si="24"/>
        <v>N/A</v>
      </c>
      <c r="O110" s="62" t="str">
        <f t="shared" ca="1" si="24"/>
        <v>N/A</v>
      </c>
      <c r="P110" s="62" t="str">
        <f t="shared" ca="1" si="24"/>
        <v>N/A</v>
      </c>
      <c r="Q110" s="62" t="str">
        <f t="shared" ca="1" si="24"/>
        <v>N/A</v>
      </c>
      <c r="R110" s="62" t="str">
        <f t="shared" ca="1" si="24"/>
        <v>N/A</v>
      </c>
      <c r="S110" s="62" t="str">
        <f t="shared" ca="1" si="24"/>
        <v>N/A</v>
      </c>
      <c r="T110" s="62" t="str">
        <f t="shared" ca="1" si="24"/>
        <v>N/A</v>
      </c>
      <c r="U110" s="62" t="str">
        <f t="shared" ca="1" si="24"/>
        <v>N/A</v>
      </c>
      <c r="V110" s="62" t="str">
        <f t="shared" ca="1" si="24"/>
        <v>N/A</v>
      </c>
      <c r="W110" s="62" t="str">
        <f t="shared" ca="1" si="24"/>
        <v>N/A</v>
      </c>
      <c r="X110" s="62" t="str">
        <f t="shared" ca="1" si="23"/>
        <v>N/A</v>
      </c>
      <c r="Y110" s="62" t="str">
        <f t="shared" ca="1" si="23"/>
        <v>N/A</v>
      </c>
      <c r="Z110" s="62" t="str">
        <f t="shared" ca="1" si="23"/>
        <v>N/A</v>
      </c>
      <c r="AA110" s="62" t="str">
        <f t="shared" ca="1" si="23"/>
        <v>N/A</v>
      </c>
    </row>
    <row r="111" spans="1:27" hidden="1" x14ac:dyDescent="0.25">
      <c r="A111" s="50">
        <f t="shared" si="14"/>
        <v>0</v>
      </c>
      <c r="B111" s="45" t="str">
        <f t="shared" ca="1" si="15"/>
        <v/>
      </c>
      <c r="C111" s="1" t="str">
        <f>IF(ISERROR(D111),"",IF(D111="","",MAX($C$66:C110)+1))</f>
        <v/>
      </c>
      <c r="D111" t="e">
        <f t="shared" si="16"/>
        <v>#N/A</v>
      </c>
      <c r="F111" s="62" t="str">
        <f t="shared" ca="1" si="18"/>
        <v>N/A</v>
      </c>
      <c r="G111" s="62"/>
      <c r="H111" s="62"/>
      <c r="I111" s="62"/>
      <c r="J111" s="62" t="str">
        <f t="shared" si="19"/>
        <v>N/A</v>
      </c>
      <c r="K111" s="62" t="str">
        <f t="shared" si="21"/>
        <v>N/A</v>
      </c>
      <c r="L111" s="62" t="str">
        <f ca="1">IFERROR(VLOOKUP($A111,LASTYR,'[3]2017'!$O$3,FALSE),"N/A")</f>
        <v>N/A</v>
      </c>
      <c r="M111" s="62" t="str">
        <f ca="1">IFERROR(IF(INDEX(DIV_EARN_WP,$B111,M$67)=0,"N/A",INDEX(DIV_EARN_WP,$B111,M$67)),"N/A")</f>
        <v>N/A</v>
      </c>
      <c r="N111" s="62" t="str">
        <f t="shared" ca="1" si="24"/>
        <v>N/A</v>
      </c>
      <c r="O111" s="62" t="str">
        <f t="shared" ca="1" si="24"/>
        <v>N/A</v>
      </c>
      <c r="P111" s="62" t="str">
        <f t="shared" ca="1" si="24"/>
        <v>N/A</v>
      </c>
      <c r="Q111" s="62" t="str">
        <f t="shared" ca="1" si="24"/>
        <v>N/A</v>
      </c>
      <c r="R111" s="62" t="str">
        <f t="shared" ca="1" si="24"/>
        <v>N/A</v>
      </c>
      <c r="S111" s="62" t="str">
        <f t="shared" ca="1" si="24"/>
        <v>N/A</v>
      </c>
      <c r="T111" s="62" t="str">
        <f t="shared" ca="1" si="24"/>
        <v>N/A</v>
      </c>
      <c r="U111" s="62" t="str">
        <f t="shared" ca="1" si="24"/>
        <v>N/A</v>
      </c>
      <c r="V111" s="62" t="str">
        <f t="shared" ca="1" si="24"/>
        <v>N/A</v>
      </c>
      <c r="W111" s="62" t="str">
        <f t="shared" ca="1" si="24"/>
        <v>N/A</v>
      </c>
      <c r="X111" s="62" t="str">
        <f t="shared" ca="1" si="23"/>
        <v>N/A</v>
      </c>
      <c r="Y111" s="62" t="str">
        <f t="shared" ca="1" si="23"/>
        <v>N/A</v>
      </c>
      <c r="Z111" s="62" t="str">
        <f t="shared" ca="1" si="23"/>
        <v>N/A</v>
      </c>
      <c r="AA111" s="62" t="str">
        <f t="shared" ca="1" si="23"/>
        <v>N/A</v>
      </c>
    </row>
    <row r="112" spans="1:27" hidden="1" x14ac:dyDescent="0.25">
      <c r="A112" s="50">
        <f t="shared" si="14"/>
        <v>0</v>
      </c>
      <c r="B112" s="45" t="str">
        <f t="shared" ca="1" si="15"/>
        <v/>
      </c>
      <c r="C112" s="1" t="str">
        <f>IF(ISERROR(D112),"",IF(D112="","",MAX($C$66:C111)+1))</f>
        <v/>
      </c>
      <c r="D112" t="e">
        <f t="shared" si="16"/>
        <v>#N/A</v>
      </c>
      <c r="F112" s="62" t="str">
        <f t="shared" ca="1" si="18"/>
        <v>N/A</v>
      </c>
      <c r="G112" s="62"/>
      <c r="H112" s="62"/>
      <c r="I112" s="62"/>
      <c r="J112" s="62" t="str">
        <f t="shared" si="19"/>
        <v>N/A</v>
      </c>
      <c r="K112" s="62" t="str">
        <f t="shared" si="21"/>
        <v>N/A</v>
      </c>
      <c r="L112" s="62" t="str">
        <f ca="1">IFERROR(VLOOKUP($A112,LASTYR,'[3]2017'!$O$3,FALSE),"N/A")</f>
        <v>N/A</v>
      </c>
      <c r="M112" s="62" t="str">
        <f ca="1">IFERROR(IF(INDEX(DIV_EARN_WP,$B112,M$67)=0,"N/A",INDEX(DIV_EARN_WP,$B112,M$67)),"N/A")</f>
        <v>N/A</v>
      </c>
      <c r="N112" s="62" t="str">
        <f t="shared" ca="1" si="24"/>
        <v>N/A</v>
      </c>
      <c r="O112" s="62" t="str">
        <f t="shared" ca="1" si="24"/>
        <v>N/A</v>
      </c>
      <c r="P112" s="62" t="str">
        <f t="shared" ca="1" si="24"/>
        <v>N/A</v>
      </c>
      <c r="Q112" s="62" t="str">
        <f t="shared" ca="1" si="24"/>
        <v>N/A</v>
      </c>
      <c r="R112" s="62" t="str">
        <f t="shared" ca="1" si="24"/>
        <v>N/A</v>
      </c>
      <c r="S112" s="62" t="str">
        <f t="shared" ca="1" si="24"/>
        <v>N/A</v>
      </c>
      <c r="T112" s="62" t="str">
        <f t="shared" ca="1" si="24"/>
        <v>N/A</v>
      </c>
      <c r="U112" s="62" t="str">
        <f t="shared" ca="1" si="24"/>
        <v>N/A</v>
      </c>
      <c r="V112" s="62" t="str">
        <f t="shared" ca="1" si="24"/>
        <v>N/A</v>
      </c>
      <c r="W112" s="62" t="str">
        <f t="shared" ca="1" si="24"/>
        <v>N/A</v>
      </c>
      <c r="X112" s="62" t="str">
        <f ca="1">IFERROR(IF(INDEX(MP_CF_WP,$B112,X$67)=0,"N/A",INDEX(MP_CF_WP,$B112,X$67)),"N/A")</f>
        <v>N/A</v>
      </c>
      <c r="Y112" s="62" t="str">
        <f ca="1">IFERROR(IF(INDEX(MP_CF_WP,$B112,Y$67)=0,"N/A",INDEX(MP_CF_WP,$B112,Y$67)),"N/A")</f>
        <v>N/A</v>
      </c>
      <c r="Z112" s="62" t="str">
        <f ca="1">IFERROR(IF(INDEX(MP_CF_WP,$B112,Z$67)=0,"N/A",INDEX(MP_CF_WP,$B112,Z$67)),"N/A")</f>
        <v>N/A</v>
      </c>
      <c r="AA112" s="62" t="str">
        <f ca="1">IFERROR(IF(INDEX(MP_CF_WP,$B112,AA$67)=0,"N/A",INDEX(MP_CF_WP,$B112,AA$67)),"N/A")</f>
        <v>N/A</v>
      </c>
    </row>
    <row r="113" spans="1:27" x14ac:dyDescent="0.25">
      <c r="A113" s="31"/>
      <c r="B113" s="31"/>
      <c r="C113" s="1" t="str">
        <f>IF(ISERROR(D113),"",IF(D113="","",MAX($C$66:C112)+1))</f>
        <v/>
      </c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</row>
    <row r="114" spans="1:27" x14ac:dyDescent="0.25">
      <c r="A114" s="31"/>
      <c r="B114" s="31"/>
      <c r="C114" s="1">
        <f ca="1">IF(ISERROR(D114),"",IF(D114="","",MAX($C$66:C113)+1))</f>
        <v>15</v>
      </c>
      <c r="D114" t="s">
        <v>98</v>
      </c>
      <c r="F114" s="62">
        <f ca="1">AVERAGE(G114:W114)</f>
        <v>0.6072484298516968</v>
      </c>
      <c r="G114" s="62">
        <f>AVERAGE(G68:G113)</f>
        <v>0.5955616850357518</v>
      </c>
      <c r="H114" s="62">
        <f>AVERAGE(H68:H113)</f>
        <v>0.53115213704351849</v>
      </c>
      <c r="I114" s="62">
        <f>AVERAGE(I68:I113)</f>
        <v>0.5786611528387996</v>
      </c>
      <c r="J114" s="62">
        <f t="shared" ref="J114:W114" si="25">AVERAGE(J68:J113)</f>
        <v>0.64084700309640164</v>
      </c>
      <c r="K114" s="62">
        <f t="shared" ca="1" si="25"/>
        <v>0.60000776564518343</v>
      </c>
      <c r="L114" s="62">
        <f t="shared" ca="1" si="25"/>
        <v>0.54868573452174341</v>
      </c>
      <c r="M114" s="62">
        <f t="shared" ca="1" si="25"/>
        <v>0.54495382570751572</v>
      </c>
      <c r="N114" s="62">
        <f t="shared" ca="1" si="25"/>
        <v>0.57095903158692296</v>
      </c>
      <c r="O114" s="62">
        <f t="shared" ca="1" si="25"/>
        <v>0.51288180509485526</v>
      </c>
      <c r="P114" s="62">
        <f t="shared" ca="1" si="25"/>
        <v>0.5650202225958626</v>
      </c>
      <c r="Q114" s="62">
        <f t="shared" ca="1" si="25"/>
        <v>0.61389845904746332</v>
      </c>
      <c r="R114" s="62">
        <f t="shared" ca="1" si="25"/>
        <v>0.63824223693409743</v>
      </c>
      <c r="S114" s="62">
        <f t="shared" ca="1" si="25"/>
        <v>0.65103715005861973</v>
      </c>
      <c r="T114" s="62">
        <f t="shared" ca="1" si="25"/>
        <v>0.73399388368832819</v>
      </c>
      <c r="U114" s="62">
        <f t="shared" ca="1" si="25"/>
        <v>0.61802055921056598</v>
      </c>
      <c r="V114" s="62">
        <f t="shared" ca="1" si="25"/>
        <v>0.68355912430406518</v>
      </c>
      <c r="W114" s="62">
        <f t="shared" ca="1" si="25"/>
        <v>0.69574153106915548</v>
      </c>
      <c r="X114" s="62"/>
      <c r="Y114" s="62"/>
      <c r="Z114" s="62"/>
      <c r="AA114" s="62"/>
    </row>
    <row r="115" spans="1:27" x14ac:dyDescent="0.25">
      <c r="A115" s="31"/>
      <c r="B115" s="31"/>
      <c r="C115" s="1">
        <f ca="1">IF(ISERROR(D115),"",IF(D115="","",MAX($C$66:C114)+1))</f>
        <v>16</v>
      </c>
      <c r="D115" t="s">
        <v>257</v>
      </c>
      <c r="F115" s="62">
        <f ca="1">AVERAGE(G115:W115)</f>
        <v>0.59749914753373579</v>
      </c>
      <c r="G115" s="62">
        <f>MEDIAN(G68:G113)</f>
        <v>0.58121869097478851</v>
      </c>
      <c r="H115" s="62">
        <f>MEDIAN(H68:H113)</f>
        <v>0.54262574595055413</v>
      </c>
      <c r="I115" s="62">
        <f>MEDIAN(I68:I113)</f>
        <v>0.5496141729690569</v>
      </c>
      <c r="J115" s="62">
        <f>MEDIAN(J68:J113)</f>
        <v>0.55436507936507939</v>
      </c>
      <c r="K115" s="62">
        <f ca="1">MEDIAN(K68:K113)</f>
        <v>0.59023199023199024</v>
      </c>
      <c r="L115" s="62">
        <f t="shared" ref="L115:W115" ca="1" si="26">MEDIAN(L68:L113)</f>
        <v>0.55589046493301808</v>
      </c>
      <c r="M115" s="62">
        <f t="shared" ca="1" si="26"/>
        <v>0.56263311657713699</v>
      </c>
      <c r="N115" s="62">
        <f t="shared" ca="1" si="26"/>
        <v>0.57575657894736842</v>
      </c>
      <c r="O115" s="62">
        <f t="shared" ca="1" si="26"/>
        <v>0.52714968152866248</v>
      </c>
      <c r="P115" s="62">
        <f t="shared" ca="1" si="26"/>
        <v>0.56372549019607843</v>
      </c>
      <c r="Q115" s="62">
        <f t="shared" ca="1" si="26"/>
        <v>0.60818690716840307</v>
      </c>
      <c r="R115" s="62">
        <f t="shared" ca="1" si="26"/>
        <v>0.61369542619542616</v>
      </c>
      <c r="S115" s="62">
        <f t="shared" ca="1" si="26"/>
        <v>0.65650705954573363</v>
      </c>
      <c r="T115" s="62">
        <f t="shared" ca="1" si="26"/>
        <v>0.68514285714285705</v>
      </c>
      <c r="U115" s="62">
        <f t="shared" ca="1" si="26"/>
        <v>0.63047538200339559</v>
      </c>
      <c r="V115" s="62">
        <f t="shared" ca="1" si="26"/>
        <v>0.67605633802816911</v>
      </c>
      <c r="W115" s="62">
        <f t="shared" ca="1" si="26"/>
        <v>0.68421052631578949</v>
      </c>
      <c r="X115" s="62"/>
      <c r="Y115" s="62"/>
      <c r="Z115" s="62"/>
      <c r="AA115" s="62"/>
    </row>
    <row r="116" spans="1:27" x14ac:dyDescent="0.25">
      <c r="A116" s="31"/>
      <c r="B116" s="31"/>
      <c r="C116" s="1"/>
    </row>
    <row r="117" spans="1:27" x14ac:dyDescent="0.25">
      <c r="A117" s="31"/>
      <c r="B117" s="31"/>
      <c r="C117" s="1"/>
    </row>
    <row r="118" spans="1:27" ht="16.2" x14ac:dyDescent="0.25">
      <c r="A118" s="31"/>
      <c r="B118" s="31"/>
      <c r="C118" s="6"/>
      <c r="D118" s="6"/>
      <c r="E118" s="19"/>
      <c r="F118" s="276" t="s">
        <v>327</v>
      </c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</row>
    <row r="119" spans="1:27" x14ac:dyDescent="0.25">
      <c r="A119" s="31"/>
      <c r="B119" s="31"/>
      <c r="C119" s="6"/>
      <c r="D119" s="7"/>
      <c r="E119" s="7"/>
      <c r="F119" s="8" t="str">
        <f>F64</f>
        <v>17-Year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7"/>
      <c r="U119" s="7"/>
      <c r="V119" s="7"/>
      <c r="W119" s="7"/>
      <c r="X119" s="7"/>
      <c r="Y119" s="7"/>
      <c r="Z119" s="7"/>
    </row>
    <row r="120" spans="1:27" ht="16.2" x14ac:dyDescent="0.25">
      <c r="A120" s="31"/>
      <c r="B120" s="31"/>
      <c r="C120" s="9" t="s">
        <v>96</v>
      </c>
      <c r="D120" s="275" t="s">
        <v>97</v>
      </c>
      <c r="E120" s="275"/>
      <c r="F120" s="10" t="s">
        <v>98</v>
      </c>
      <c r="G120" s="40" t="s">
        <v>540</v>
      </c>
      <c r="H120" s="40">
        <v>2021</v>
      </c>
      <c r="I120" s="40">
        <v>2020</v>
      </c>
      <c r="J120" s="40">
        <v>2019</v>
      </c>
      <c r="K120" s="10" t="s">
        <v>476</v>
      </c>
      <c r="L120" s="40">
        <v>2017</v>
      </c>
      <c r="M120" s="40">
        <v>2016</v>
      </c>
      <c r="N120" s="40">
        <v>2015</v>
      </c>
      <c r="O120" s="40">
        <v>2014</v>
      </c>
      <c r="P120" s="40">
        <v>2013</v>
      </c>
      <c r="Q120" s="40">
        <v>2012</v>
      </c>
      <c r="R120" s="40">
        <v>2011</v>
      </c>
      <c r="S120" s="40">
        <v>2010</v>
      </c>
      <c r="T120" s="40">
        <v>2009</v>
      </c>
      <c r="U120" s="40">
        <v>2008</v>
      </c>
      <c r="V120" s="40">
        <v>2007</v>
      </c>
      <c r="W120" s="40">
        <v>2006</v>
      </c>
      <c r="X120" s="40">
        <v>2005</v>
      </c>
      <c r="Y120" s="40"/>
      <c r="Z120" s="40"/>
      <c r="AA120" s="40"/>
    </row>
    <row r="121" spans="1:27" x14ac:dyDescent="0.25">
      <c r="A121" s="41"/>
      <c r="B121" s="41"/>
      <c r="C121" s="9"/>
      <c r="D121" s="11"/>
      <c r="E121" s="11"/>
      <c r="F121" s="12">
        <v>-1</v>
      </c>
      <c r="G121" s="12">
        <f>+F121-1</f>
        <v>-2</v>
      </c>
      <c r="H121" s="12">
        <f>+G121-1</f>
        <v>-3</v>
      </c>
      <c r="I121" s="12">
        <f>+H121-1</f>
        <v>-4</v>
      </c>
      <c r="J121" s="12">
        <f>+I121-1</f>
        <v>-5</v>
      </c>
      <c r="K121" s="12">
        <f t="shared" ref="K121:X121" si="27">+J121-1</f>
        <v>-6</v>
      </c>
      <c r="L121" s="12">
        <f t="shared" si="27"/>
        <v>-7</v>
      </c>
      <c r="M121" s="12">
        <f t="shared" si="27"/>
        <v>-8</v>
      </c>
      <c r="N121" s="12">
        <f t="shared" si="27"/>
        <v>-9</v>
      </c>
      <c r="O121" s="12">
        <f t="shared" si="27"/>
        <v>-10</v>
      </c>
      <c r="P121" s="12">
        <f t="shared" si="27"/>
        <v>-11</v>
      </c>
      <c r="Q121" s="12">
        <f t="shared" si="27"/>
        <v>-12</v>
      </c>
      <c r="R121" s="12">
        <f t="shared" si="27"/>
        <v>-13</v>
      </c>
      <c r="S121" s="12">
        <f t="shared" si="27"/>
        <v>-14</v>
      </c>
      <c r="T121" s="12">
        <f t="shared" si="27"/>
        <v>-15</v>
      </c>
      <c r="U121" s="12">
        <f t="shared" si="27"/>
        <v>-16</v>
      </c>
      <c r="V121" s="12">
        <f t="shared" si="27"/>
        <v>-17</v>
      </c>
      <c r="W121" s="12">
        <f t="shared" si="27"/>
        <v>-18</v>
      </c>
      <c r="X121" s="12">
        <f t="shared" si="27"/>
        <v>-19</v>
      </c>
      <c r="Y121" s="12"/>
      <c r="Z121" s="12"/>
      <c r="AA121" s="12"/>
    </row>
    <row r="122" spans="1:27" x14ac:dyDescent="0.25">
      <c r="A122" s="42"/>
      <c r="B122" s="43"/>
      <c r="C122" s="6"/>
      <c r="E122" s="22"/>
      <c r="F122" s="36"/>
      <c r="G122" s="36"/>
      <c r="H122" s="36"/>
      <c r="I122" s="36"/>
      <c r="J122" s="36"/>
      <c r="K122" s="16">
        <f t="shared" ref="K122:AA122" ca="1" si="28">MATCH(VALUE(LEFT(K120,4)),OFFSET(CF_CAP_WP,-1,0,1,),0)</f>
        <v>8</v>
      </c>
      <c r="L122" s="16">
        <f t="shared" ca="1" si="28"/>
        <v>9</v>
      </c>
      <c r="M122" s="16">
        <f t="shared" ca="1" si="28"/>
        <v>10</v>
      </c>
      <c r="N122" s="16">
        <f t="shared" ca="1" si="28"/>
        <v>11</v>
      </c>
      <c r="O122" s="16">
        <f t="shared" ca="1" si="28"/>
        <v>12</v>
      </c>
      <c r="P122" s="16">
        <f t="shared" ca="1" si="28"/>
        <v>13</v>
      </c>
      <c r="Q122" s="16">
        <f t="shared" ca="1" si="28"/>
        <v>14</v>
      </c>
      <c r="R122" s="16">
        <f t="shared" ca="1" si="28"/>
        <v>15</v>
      </c>
      <c r="S122" s="16">
        <f t="shared" ca="1" si="28"/>
        <v>16</v>
      </c>
      <c r="T122" s="16">
        <f t="shared" ca="1" si="28"/>
        <v>17</v>
      </c>
      <c r="U122" s="16">
        <f t="shared" ca="1" si="28"/>
        <v>18</v>
      </c>
      <c r="V122" s="16">
        <f t="shared" ca="1" si="28"/>
        <v>19</v>
      </c>
      <c r="W122" s="16">
        <f t="shared" ca="1" si="28"/>
        <v>20</v>
      </c>
      <c r="X122" s="16" t="e">
        <f t="shared" ca="1" si="28"/>
        <v>#N/A</v>
      </c>
      <c r="Y122" s="16" t="e">
        <f t="shared" ca="1" si="28"/>
        <v>#VALUE!</v>
      </c>
      <c r="Z122" s="16" t="e">
        <f t="shared" ca="1" si="28"/>
        <v>#VALUE!</v>
      </c>
      <c r="AA122" s="16" t="e">
        <f t="shared" ca="1" si="28"/>
        <v>#VALUE!</v>
      </c>
    </row>
    <row r="123" spans="1:27" x14ac:dyDescent="0.25">
      <c r="A123" s="50" t="str">
        <f t="shared" ref="A123:A167" si="29">A13</f>
        <v>AWR</v>
      </c>
      <c r="B123" s="45">
        <f t="shared" ref="B123:B167" ca="1" si="30">MATCH(A123,OFFSET(CF_CAP_WP,0,0,,1),0)</f>
        <v>4</v>
      </c>
      <c r="C123" s="1">
        <f ca="1">IF(ISERROR(D123),"",IF(D123="","",MAX($C$121:C122,C68:C115)+1))</f>
        <v>17</v>
      </c>
      <c r="D123" t="str">
        <f t="shared" ref="D123:D167" ca="1" si="31">D13</f>
        <v>Amer. States Water</v>
      </c>
      <c r="E123" s="22"/>
      <c r="F123" s="62">
        <f ca="1">AVERAGE(G123:W123)</f>
        <v>0.96582130960199819</v>
      </c>
      <c r="G123" s="62">
        <f>IFERROR(IF(VLOOKUP($A123,'2022 Data (WP)'!$D$9:$AA$70,21,FALSE)=0,"",VLOOKUP($A123,'2022 Data (WP)'!$D$9:$AA$70,21,FALSE)),"N/A")</f>
        <v>0.72222222222222221</v>
      </c>
      <c r="H123" s="62">
        <f>IFERROR(IF(VLOOKUP($A123,'2021 Data (WP)'!$D$9:$AA$70,21,FALSE)=0,"",VLOOKUP($A123,'2021 Data (WP)'!$D$9:$AA$70,21,FALSE)),"N/A")</f>
        <v>0.93094629156010233</v>
      </c>
      <c r="I123" s="62">
        <f>IFERROR(IF(VLOOKUP($A123,'2020 Data (WP)'!$D$9:$AA$70,21,FALSE)=0,"",VLOOKUP($A123,'2020 Data (WP)'!$D$9:$AA$70,21,FALSE)),"N/A")</f>
        <v>0.94350282485875703</v>
      </c>
      <c r="J123" s="62">
        <f>IFERROR(IF(VLOOKUP($A123,LUCurYr,21,FALSE)=0,"",VLOOKUP($A123,LUCurYr,21,FALSE)),"N/A")</f>
        <v>0.78481012658227844</v>
      </c>
      <c r="K123" s="62">
        <f t="shared" ref="K123:W138" ca="1" si="32">IFERROR(IF(INDEX(CF_CAP_WP,$B123,K$122)=0,"N/A",INDEX(CF_CAP_WP,$B123,K$122)),"N/A")</f>
        <v>0.82399070577984324</v>
      </c>
      <c r="L123" s="62">
        <f t="shared" ca="1" si="32"/>
        <v>0.95817120622568097</v>
      </c>
      <c r="M123" s="62">
        <f t="shared" ca="1" si="32"/>
        <v>0.76119402985074625</v>
      </c>
      <c r="N123" s="62">
        <f t="shared" ca="1" si="32"/>
        <v>1.1743311036789299</v>
      </c>
      <c r="O123" s="62">
        <f t="shared" ca="1" si="32"/>
        <v>1.4086589229144668</v>
      </c>
      <c r="P123" s="62">
        <f t="shared" ca="1" si="32"/>
        <v>1.0552683896620279</v>
      </c>
      <c r="Q123" s="62">
        <f t="shared" ca="1" si="32"/>
        <v>1.4027149321266967</v>
      </c>
      <c r="R123" s="62">
        <f t="shared" ca="1" si="32"/>
        <v>1.0009389671361504</v>
      </c>
      <c r="S123" s="62">
        <f t="shared" ca="1" si="32"/>
        <v>0.9971711456859973</v>
      </c>
      <c r="T123" s="62">
        <f t="shared" ca="1" si="32"/>
        <v>0.81435406698564594</v>
      </c>
      <c r="U123" s="62">
        <f t="shared" ca="1" si="32"/>
        <v>0.75741239892183287</v>
      </c>
      <c r="V123" s="62">
        <f t="shared" ca="1" si="32"/>
        <v>1.1423635107118175</v>
      </c>
      <c r="W123" s="62">
        <f t="shared" ca="1" si="32"/>
        <v>0.74091141833077323</v>
      </c>
      <c r="X123" s="62"/>
      <c r="Y123" s="17"/>
      <c r="Z123" s="17"/>
      <c r="AA123" s="17"/>
    </row>
    <row r="124" spans="1:27" x14ac:dyDescent="0.25">
      <c r="A124" s="50" t="str">
        <f t="shared" si="29"/>
        <v>AWK</v>
      </c>
      <c r="B124" s="45">
        <f t="shared" ca="1" si="30"/>
        <v>5</v>
      </c>
      <c r="C124" s="1">
        <f ca="1">IF(ISERROR(D124),"",IF(D124="","",MAX($C$121:C123)+1))</f>
        <v>18</v>
      </c>
      <c r="D124" t="str">
        <f t="shared" ca="1" si="31"/>
        <v>Amer. Water Works</v>
      </c>
      <c r="E124" s="22"/>
      <c r="F124" s="62">
        <f t="shared" ref="F124:F167" ca="1" si="33">AVERAGE(G124:W124)</f>
        <v>0.66033484072038418</v>
      </c>
      <c r="G124" s="62">
        <f>IFERROR(IF(VLOOKUP($A124,'2022 Data (WP)'!$D$9:$AA$70,21,FALSE)=0,"",VLOOKUP($A124,'2022 Data (WP)'!$D$9:$AA$70,21,FALSE)),"N/A")</f>
        <v>0.63974663499604112</v>
      </c>
      <c r="H124" s="62">
        <f>IFERROR(IF(VLOOKUP($A124,'2021 Data (WP)'!$D$9:$AA$70,21,FALSE)=0,"",VLOOKUP($A124,'2021 Data (WP)'!$D$9:$AA$70,21,FALSE)),"N/A")</f>
        <v>1.0773195876288659</v>
      </c>
      <c r="I124" s="62">
        <f>IFERROR(IF(VLOOKUP($A124,'2020 Data (WP)'!$D$9:$AA$70,21,FALSE)=0,"",VLOOKUP($A124,'2020 Data (WP)'!$D$9:$AA$70,21,FALSE)),"N/A")</f>
        <v>0.72039800995024872</v>
      </c>
      <c r="J124" s="62">
        <f>IFERROR(IF(VLOOKUP($A124,LUCurYr,21,FALSE)=0,"",VLOOKUP($A124,LUCurYr,21,FALSE)),"N/A")</f>
        <v>0.77586206896551735</v>
      </c>
      <c r="K124" s="62">
        <f t="shared" ca="1" si="32"/>
        <v>0.7006151742993848</v>
      </c>
      <c r="L124" s="62">
        <f t="shared" ca="1" si="32"/>
        <v>0.63962170233947235</v>
      </c>
      <c r="M124" s="62">
        <f t="shared" ca="1" si="32"/>
        <v>0.71471267490830059</v>
      </c>
      <c r="N124" s="62">
        <f t="shared" ca="1" si="32"/>
        <v>0.78868910404180115</v>
      </c>
      <c r="O124" s="62">
        <f t="shared" ca="1" si="32"/>
        <v>0.89207957957957951</v>
      </c>
      <c r="P124" s="62">
        <f t="shared" ca="1" si="32"/>
        <v>0.79268957992362254</v>
      </c>
      <c r="Q124" s="62">
        <f t="shared" ca="1" si="32"/>
        <v>0.81379836096817226</v>
      </c>
      <c r="R124" s="62">
        <f t="shared" ca="1" si="32"/>
        <v>0.70940170940170943</v>
      </c>
      <c r="S124" s="62">
        <f t="shared" ca="1" si="32"/>
        <v>0.81302857142857143</v>
      </c>
      <c r="T124" s="62">
        <f t="shared" ca="1" si="32"/>
        <v>0.64198354458527906</v>
      </c>
      <c r="U124" s="62">
        <f t="shared" ca="1" si="32"/>
        <v>0.45440126883425858</v>
      </c>
      <c r="V124" s="62">
        <f t="shared" ca="1" si="32"/>
        <v>-9.8713351613583647E-2</v>
      </c>
      <c r="W124" s="62">
        <f t="shared" ca="1" si="32"/>
        <v>0.15005807200929153</v>
      </c>
      <c r="X124" s="62"/>
      <c r="Y124" s="17"/>
      <c r="Z124" s="17"/>
      <c r="AA124" s="17"/>
    </row>
    <row r="125" spans="1:27" x14ac:dyDescent="0.25">
      <c r="A125" s="50" t="str">
        <f t="shared" si="29"/>
        <v>WTRG</v>
      </c>
      <c r="B125" s="45">
        <f>B70</f>
        <v>8</v>
      </c>
      <c r="C125" s="1">
        <f ca="1">IF(ISERROR(D125),"",IF(D125="","",MAX($C$121:C124)+1))</f>
        <v>19</v>
      </c>
      <c r="D125" t="str">
        <f t="shared" si="31"/>
        <v>Essential Utilities</v>
      </c>
      <c r="E125" s="22"/>
      <c r="F125" s="62">
        <f t="shared" ca="1" si="33"/>
        <v>0.78902782493085954</v>
      </c>
      <c r="G125" s="62">
        <f>IFERROR(IF(VLOOKUP($A125,'2022 Data (WP)'!$D$9:$AA$70,21,FALSE)=0,"",VLOOKUP($A125,'2022 Data (WP)'!$D$9:$AA$70,21,FALSE)),"N/A")</f>
        <v>0.73945409429280395</v>
      </c>
      <c r="H125" s="62">
        <f>IFERROR(IF(VLOOKUP($A125,'2021 Data (WP)'!$D$9:$AA$70,21,FALSE)=0,"",VLOOKUP($A125,'2021 Data (WP)'!$D$9:$AA$70,21,FALSE)),"N/A")</f>
        <v>0.71534653465346532</v>
      </c>
      <c r="I125" s="62">
        <f>IFERROR(IF(VLOOKUP($A125,'2020 Data (WP)'!$D$9:$AA$70,21,FALSE)=0,"",VLOOKUP($A125,'2020 Data (WP)'!$D$9:$AA$70,21,FALSE)),"N/A")</f>
        <v>0.64809384164222872</v>
      </c>
      <c r="J125" s="62">
        <f>IFERROR(IF(VLOOKUP("WTR",LUCurYr,21,FALSE)=0,"",VLOOKUP("WTR",LUCurYr,21,FALSE)),"N/A")</f>
        <v>0.75</v>
      </c>
      <c r="K125" s="62">
        <f t="shared" ca="1" si="32"/>
        <v>0.68318965517241381</v>
      </c>
      <c r="L125" s="62">
        <f t="shared" ca="1" si="32"/>
        <v>0.78736059479553899</v>
      </c>
      <c r="M125" s="62">
        <f t="shared" ca="1" si="32"/>
        <v>0.95877721167207042</v>
      </c>
      <c r="N125" s="62">
        <f t="shared" ca="1" si="32"/>
        <v>0.90609874152952574</v>
      </c>
      <c r="O125" s="62">
        <f t="shared" ca="1" si="32"/>
        <v>1.0255434782608694</v>
      </c>
      <c r="P125" s="62">
        <f t="shared" ca="1" si="32"/>
        <v>1.0519630484988454</v>
      </c>
      <c r="Q125" s="62">
        <f t="shared" ca="1" si="32"/>
        <v>0.76108870967741937</v>
      </c>
      <c r="R125" s="62">
        <f t="shared" ca="1" si="32"/>
        <v>0.76050420168067223</v>
      </c>
      <c r="S125" s="62">
        <f t="shared" ca="1" si="32"/>
        <v>0.75026399155227042</v>
      </c>
      <c r="T125" s="62">
        <f t="shared" ca="1" si="32"/>
        <v>0.77316486161251508</v>
      </c>
      <c r="U125" s="62">
        <f t="shared" ca="1" si="32"/>
        <v>0.71898734177215184</v>
      </c>
      <c r="V125" s="62">
        <f t="shared" ca="1" si="32"/>
        <v>0.76890756302521013</v>
      </c>
      <c r="W125" s="62">
        <f t="shared" ca="1" si="32"/>
        <v>0.61472915398660988</v>
      </c>
      <c r="X125" s="62"/>
      <c r="Y125" s="17"/>
      <c r="Z125" s="17"/>
      <c r="AA125" s="17"/>
    </row>
    <row r="126" spans="1:27" x14ac:dyDescent="0.25">
      <c r="A126" s="50" t="str">
        <f t="shared" si="29"/>
        <v>CWT</v>
      </c>
      <c r="B126" s="45">
        <f t="shared" ca="1" si="30"/>
        <v>13</v>
      </c>
      <c r="C126" s="1">
        <f ca="1">IF(ISERROR(D126),"",IF(D126="","",MAX($C$121:C125)+1))</f>
        <v>20</v>
      </c>
      <c r="D126" t="str">
        <f t="shared" ca="1" si="31"/>
        <v>California Water</v>
      </c>
      <c r="E126" s="22"/>
      <c r="F126" s="62">
        <f t="shared" ca="1" si="33"/>
        <v>0.6974844935684239</v>
      </c>
      <c r="G126" s="62">
        <f>IFERROR(IF(VLOOKUP($A126,'2022 Data (WP)'!$D$9:$AA$70,21,FALSE)=0,"",VLOOKUP($A126,'2022 Data (WP)'!$D$9:$AA$70,21,FALSE)),"N/A")</f>
        <v>0.64237288135593218</v>
      </c>
      <c r="H126" s="62">
        <f>IFERROR(IF(VLOOKUP($A126,'2021 Data (WP)'!$D$9:$AA$70,21,FALSE)=0,"",VLOOKUP($A126,'2021 Data (WP)'!$D$9:$AA$70,21,FALSE)),"N/A")</f>
        <v>0.71611721611721613</v>
      </c>
      <c r="I126" s="62">
        <f>IFERROR(IF(VLOOKUP($A126,'2020 Data (WP)'!$D$9:$AA$70,21,FALSE)=0,"",VLOOKUP($A126,'2020 Data (WP)'!$D$9:$AA$70,21,FALSE)),"N/A")</f>
        <v>0.65430016863406415</v>
      </c>
      <c r="J126" s="62">
        <f t="shared" ref="J126:J167" si="34">IFERROR(IF(VLOOKUP($A126,LUCurYr,21,FALSE)=0,"",VLOOKUP($A126,LUCurYr,21,FALSE)),"N/A")</f>
        <v>0.77215189873417711</v>
      </c>
      <c r="K126" s="62">
        <f t="shared" ca="1" si="32"/>
        <v>0.54979656819387945</v>
      </c>
      <c r="L126" s="62">
        <f t="shared" ca="1" si="32"/>
        <v>0.55547323578440455</v>
      </c>
      <c r="M126" s="62">
        <f t="shared" ca="1" si="32"/>
        <v>0.49046721139744404</v>
      </c>
      <c r="N126" s="62">
        <f t="shared" ca="1" si="32"/>
        <v>0.60097455332972394</v>
      </c>
      <c r="O126" s="62">
        <f t="shared" ca="1" si="32"/>
        <v>0.89351684172401302</v>
      </c>
      <c r="P126" s="62">
        <f t="shared" ca="1" si="32"/>
        <v>0.858307453416149</v>
      </c>
      <c r="Q126" s="62">
        <f t="shared" ca="1" si="32"/>
        <v>0.76224926011180538</v>
      </c>
      <c r="R126" s="62">
        <f t="shared" ca="1" si="32"/>
        <v>0.72996823155665369</v>
      </c>
      <c r="S126" s="62">
        <f t="shared" ca="1" si="32"/>
        <v>0.64963012777404161</v>
      </c>
      <c r="T126" s="62">
        <f t="shared" ca="1" si="32"/>
        <v>0.7262485918137439</v>
      </c>
      <c r="U126" s="62">
        <f t="shared" ca="1" si="32"/>
        <v>0.77187888842803809</v>
      </c>
      <c r="V126" s="62">
        <f t="shared" ca="1" si="32"/>
        <v>0.84937466014138119</v>
      </c>
      <c r="W126" s="62">
        <f t="shared" ca="1" si="32"/>
        <v>0.63440860215053774</v>
      </c>
      <c r="X126" s="62"/>
      <c r="Y126" s="17"/>
      <c r="Z126" s="17"/>
      <c r="AA126" s="17"/>
    </row>
    <row r="127" spans="1:27" x14ac:dyDescent="0.25">
      <c r="A127" s="50" t="str">
        <f t="shared" si="29"/>
        <v>MSEX</v>
      </c>
      <c r="B127" s="45">
        <f t="shared" ca="1" si="30"/>
        <v>41</v>
      </c>
      <c r="C127" s="1">
        <f ca="1">IF(ISERROR(D127),"",IF(D127="","",MAX($C$121:C126)+1))</f>
        <v>21</v>
      </c>
      <c r="D127" t="str">
        <f t="shared" ca="1" si="31"/>
        <v>Middlesex Water</v>
      </c>
      <c r="E127" s="22"/>
      <c r="F127" s="62">
        <f t="shared" ca="1" si="33"/>
        <v>0.87661174669247</v>
      </c>
      <c r="G127" s="62">
        <f>IFERROR(IF(VLOOKUP($A127,'2022 Data (WP)'!$D$9:$AA$70,21,FALSE)=0,"",VLOOKUP($A127,'2022 Data (WP)'!$D$9:$AA$70,21,FALSE)),"N/A")</f>
        <v>0.71428571428571441</v>
      </c>
      <c r="H127" s="62">
        <f>IFERROR(IF(VLOOKUP($A127,'2021 Data (WP)'!$D$9:$AA$70,21,FALSE)=0,"",VLOOKUP($A127,'2021 Data (WP)'!$D$9:$AA$70,21,FALSE)),"N/A")</f>
        <v>0.72406181015452531</v>
      </c>
      <c r="I127" s="62">
        <f>IFERROR(IF(VLOOKUP($A127,'2020 Data (WP)'!$D$9:$AA$70,21,FALSE)=0,"",VLOOKUP($A127,'2020 Data (WP)'!$D$9:$AA$70,21,FALSE)),"N/A")</f>
        <v>0.53807947019867552</v>
      </c>
      <c r="J127" s="62">
        <f t="shared" si="34"/>
        <v>0.79999999999999993</v>
      </c>
      <c r="K127" s="62">
        <f t="shared" ca="1" si="32"/>
        <v>0.65665529010238921</v>
      </c>
      <c r="L127" s="62">
        <f t="shared" ca="1" si="32"/>
        <v>0.72724317295188556</v>
      </c>
      <c r="M127" s="62">
        <f t="shared" ca="1" si="32"/>
        <v>0.74716202270381837</v>
      </c>
      <c r="N127" s="62">
        <f t="shared" ca="1" si="32"/>
        <v>1.2392947103274559</v>
      </c>
      <c r="O127" s="62">
        <f t="shared" ca="1" si="32"/>
        <v>1.3162027123483226</v>
      </c>
      <c r="P127" s="62">
        <f t="shared" ca="1" si="32"/>
        <v>1.3656597774244832</v>
      </c>
      <c r="Q127" s="62">
        <f t="shared" ca="1" si="32"/>
        <v>1.1400293255131964</v>
      </c>
      <c r="R127" s="62">
        <f t="shared" ca="1" si="32"/>
        <v>0.97599999999999998</v>
      </c>
      <c r="S127" s="62">
        <f t="shared" ca="1" si="32"/>
        <v>0.81335436382755</v>
      </c>
      <c r="T127" s="62">
        <f t="shared" ca="1" si="32"/>
        <v>0.94291470785762244</v>
      </c>
      <c r="U127" s="62">
        <f t="shared" ca="1" si="32"/>
        <v>0.72182932578972181</v>
      </c>
      <c r="V127" s="62">
        <f t="shared" ca="1" si="32"/>
        <v>0.90157004830917886</v>
      </c>
      <c r="W127" s="62">
        <f t="shared" ca="1" si="32"/>
        <v>0.57805724197745012</v>
      </c>
      <c r="X127" s="62"/>
      <c r="Y127" s="17"/>
      <c r="Z127" s="17"/>
      <c r="AA127" s="17"/>
    </row>
    <row r="128" spans="1:27" x14ac:dyDescent="0.25">
      <c r="A128" s="50" t="str">
        <f t="shared" si="29"/>
        <v>SJW</v>
      </c>
      <c r="B128" s="45">
        <f t="shared" ca="1" si="30"/>
        <v>60</v>
      </c>
      <c r="C128" s="1">
        <f ca="1">IF(ISERROR(D128),"",IF(D128="","",MAX($C$121:C127)+1))</f>
        <v>22</v>
      </c>
      <c r="D128" t="str">
        <f t="shared" ca="1" si="31"/>
        <v>SJW Corp.</v>
      </c>
      <c r="E128" s="22"/>
      <c r="F128" s="62">
        <f t="shared" ca="1" si="33"/>
        <v>0.64564302905048854</v>
      </c>
      <c r="G128" s="62">
        <f>IFERROR(IF(VLOOKUP($A128,'2022 Data (WP)'!$D$9:$AA$70,21,FALSE)=0,"",VLOOKUP($A128,'2022 Data (WP)'!$D$9:$AA$70,21,FALSE)),"N/A")</f>
        <v>0.73757961783439496</v>
      </c>
      <c r="H128" s="62">
        <f>IFERROR(IF(VLOOKUP($A128,'2021 Data (WP)'!$D$9:$AA$70,21,FALSE)=0,"",VLOOKUP($A128,'2021 Data (WP)'!$D$9:$AA$70,21,FALSE)),"N/A")</f>
        <v>0.61658653846153844</v>
      </c>
      <c r="I128" s="62">
        <f>IFERROR(IF(VLOOKUP($A128,'2020 Data (WP)'!$D$9:$AA$70,21,FALSE)=0,"",VLOOKUP($A128,'2020 Data (WP)'!$D$9:$AA$70,21,FALSE)),"N/A")</f>
        <v>0.70967741935483875</v>
      </c>
      <c r="J128" s="62">
        <f t="shared" si="34"/>
        <v>0.63</v>
      </c>
      <c r="K128" s="62">
        <f t="shared" ca="1" si="32"/>
        <v>0.64641101278269419</v>
      </c>
      <c r="L128" s="62">
        <f t="shared" ca="1" si="32"/>
        <v>0.72109030837004406</v>
      </c>
      <c r="M128" s="62">
        <f t="shared" ca="1" si="32"/>
        <v>0.68541426927502869</v>
      </c>
      <c r="N128" s="62">
        <f t="shared" ca="1" si="32"/>
        <v>0.73620920022905145</v>
      </c>
      <c r="O128" s="62">
        <f t="shared" ca="1" si="32"/>
        <v>0.88087649402390444</v>
      </c>
      <c r="P128" s="62">
        <f t="shared" ca="1" si="32"/>
        <v>0.62005559119093434</v>
      </c>
      <c r="Q128" s="62">
        <f t="shared" ca="1" si="32"/>
        <v>0.52364149611856037</v>
      </c>
      <c r="R128" s="62">
        <f t="shared" ca="1" si="32"/>
        <v>0.74673420421221015</v>
      </c>
      <c r="S128" s="62">
        <f t="shared" ca="1" si="32"/>
        <v>0.42103399433427768</v>
      </c>
      <c r="T128" s="62">
        <f t="shared" ca="1" si="32"/>
        <v>0.69589905362776028</v>
      </c>
      <c r="U128" s="62">
        <f t="shared" ca="1" si="32"/>
        <v>0.6422356973372001</v>
      </c>
      <c r="V128" s="62">
        <f t="shared" ca="1" si="32"/>
        <v>0.3472411186696901</v>
      </c>
      <c r="W128" s="62">
        <f t="shared" ca="1" si="32"/>
        <v>0.61524547803617569</v>
      </c>
      <c r="X128" s="62"/>
      <c r="Y128" s="17"/>
      <c r="Z128" s="17"/>
      <c r="AA128" s="17"/>
    </row>
    <row r="129" spans="1:27" hidden="1" x14ac:dyDescent="0.25">
      <c r="A129" s="50">
        <f t="shared" si="29"/>
        <v>0</v>
      </c>
      <c r="B129" s="45" t="e">
        <f t="shared" ca="1" si="30"/>
        <v>#N/A</v>
      </c>
      <c r="C129" s="1" t="str">
        <f>IF(ISERROR(D129),"",IF(D129="","",MAX($C$121:C128)+1))</f>
        <v/>
      </c>
      <c r="D129" t="e">
        <f t="shared" si="31"/>
        <v>#N/A</v>
      </c>
      <c r="E129" s="22"/>
      <c r="F129" s="62" t="e">
        <f t="shared" ca="1" si="33"/>
        <v>#DIV/0!</v>
      </c>
      <c r="G129" s="62" t="str">
        <f>IFERROR(IF(VLOOKUP($A129,'2022 Data (WP)'!$D$9:$AA$70,21,FALSE)=0,"",VLOOKUP($A129,'2022 Data (WP)'!$D$9:$AA$70,21,FALSE)),"N/A")</f>
        <v>N/A</v>
      </c>
      <c r="H129" s="62" t="str">
        <f>IFERROR(IF(VLOOKUP($A129,'2021 Data (WP)'!$D$9:$AA$70,21,FALSE)=0,"",VLOOKUP($A129,'2021 Data (WP)'!$D$9:$AA$70,21,FALSE)),"N/A")</f>
        <v>N/A</v>
      </c>
      <c r="I129" s="62" t="str">
        <f>IFERROR(IF(VLOOKUP($A129,'2020 Data (WP)'!$D$9:$AA$70,21,FALSE)=0,"",VLOOKUP($A129,'2020 Data (WP)'!$D$9:$AA$70,21,FALSE)),"N/A")</f>
        <v>N/A</v>
      </c>
      <c r="J129" s="62" t="str">
        <f t="shared" si="34"/>
        <v>N/A</v>
      </c>
      <c r="K129" s="62" t="str">
        <f t="shared" ca="1" si="32"/>
        <v>N/A</v>
      </c>
      <c r="L129" s="62" t="str">
        <f t="shared" ca="1" si="32"/>
        <v>N/A</v>
      </c>
      <c r="M129" s="62" t="str">
        <f t="shared" ca="1" si="32"/>
        <v>N/A</v>
      </c>
      <c r="N129" s="62" t="str">
        <f t="shared" ca="1" si="32"/>
        <v>N/A</v>
      </c>
      <c r="O129" s="62" t="str">
        <f t="shared" ca="1" si="32"/>
        <v>N/A</v>
      </c>
      <c r="P129" s="62" t="str">
        <f t="shared" ca="1" si="32"/>
        <v>N/A</v>
      </c>
      <c r="Q129" s="62" t="str">
        <f t="shared" ca="1" si="32"/>
        <v>N/A</v>
      </c>
      <c r="R129" s="62" t="str">
        <f t="shared" ca="1" si="32"/>
        <v>N/A</v>
      </c>
      <c r="S129" s="62" t="str">
        <f t="shared" ca="1" si="32"/>
        <v>N/A</v>
      </c>
      <c r="T129" s="62" t="str">
        <f t="shared" ca="1" si="32"/>
        <v>N/A</v>
      </c>
      <c r="U129" s="62" t="str">
        <f t="shared" ca="1" si="32"/>
        <v>N/A</v>
      </c>
      <c r="V129" s="62" t="str">
        <f t="shared" ca="1" si="32"/>
        <v>N/A</v>
      </c>
      <c r="W129" s="62" t="str">
        <f t="shared" ca="1" si="32"/>
        <v>N/A</v>
      </c>
      <c r="X129" s="62"/>
      <c r="Y129" s="17"/>
      <c r="Z129" s="17"/>
      <c r="AA129" s="17"/>
    </row>
    <row r="130" spans="1:27" hidden="1" x14ac:dyDescent="0.25">
      <c r="A130" s="50">
        <f t="shared" si="29"/>
        <v>0</v>
      </c>
      <c r="B130" s="45" t="e">
        <f t="shared" ca="1" si="30"/>
        <v>#N/A</v>
      </c>
      <c r="C130" s="1" t="str">
        <f>IF(ISERROR(D130),"",IF(D130="","",MAX($C$121:C129)+1))</f>
        <v/>
      </c>
      <c r="D130" t="e">
        <f t="shared" si="31"/>
        <v>#N/A</v>
      </c>
      <c r="E130" s="22"/>
      <c r="F130" s="62" t="e">
        <f t="shared" ca="1" si="33"/>
        <v>#DIV/0!</v>
      </c>
      <c r="G130" s="62" t="str">
        <f>IFERROR(IF(VLOOKUP($A130,'2022 Data (WP)'!$D$9:$AA$70,21,FALSE)=0,"",VLOOKUP($A130,'2022 Data (WP)'!$D$9:$AA$70,21,FALSE)),"N/A")</f>
        <v>N/A</v>
      </c>
      <c r="H130" s="62" t="str">
        <f>IFERROR(IF(VLOOKUP($A130,'2021 Data (WP)'!$D$9:$AA$70,21,FALSE)=0,"",VLOOKUP($A130,'2021 Data (WP)'!$D$9:$AA$70,21,FALSE)),"N/A")</f>
        <v>N/A</v>
      </c>
      <c r="I130" s="62" t="str">
        <f>IFERROR(IF(VLOOKUP($A130,'2020 Data (WP)'!$D$9:$AA$70,21,FALSE)=0,"",VLOOKUP($A130,'2020 Data (WP)'!$D$9:$AA$70,21,FALSE)),"N/A")</f>
        <v>N/A</v>
      </c>
      <c r="J130" s="62" t="str">
        <f t="shared" si="34"/>
        <v>N/A</v>
      </c>
      <c r="K130" s="62" t="str">
        <f t="shared" ca="1" si="32"/>
        <v>N/A</v>
      </c>
      <c r="L130" s="62" t="str">
        <f t="shared" ca="1" si="32"/>
        <v>N/A</v>
      </c>
      <c r="M130" s="62" t="str">
        <f t="shared" ca="1" si="32"/>
        <v>N/A</v>
      </c>
      <c r="N130" s="62" t="str">
        <f t="shared" ca="1" si="32"/>
        <v>N/A</v>
      </c>
      <c r="O130" s="62" t="str">
        <f t="shared" ca="1" si="32"/>
        <v>N/A</v>
      </c>
      <c r="P130" s="62" t="str">
        <f t="shared" ca="1" si="32"/>
        <v>N/A</v>
      </c>
      <c r="Q130" s="62" t="str">
        <f t="shared" ca="1" si="32"/>
        <v>N/A</v>
      </c>
      <c r="R130" s="62" t="str">
        <f t="shared" ca="1" si="32"/>
        <v>N/A</v>
      </c>
      <c r="S130" s="62" t="str">
        <f t="shared" ca="1" si="32"/>
        <v>N/A</v>
      </c>
      <c r="T130" s="62" t="str">
        <f t="shared" ca="1" si="32"/>
        <v>N/A</v>
      </c>
      <c r="U130" s="62" t="str">
        <f t="shared" ca="1" si="32"/>
        <v>N/A</v>
      </c>
      <c r="V130" s="62" t="str">
        <f t="shared" ca="1" si="32"/>
        <v>N/A</v>
      </c>
      <c r="W130" s="62" t="str">
        <f t="shared" ca="1" si="32"/>
        <v>N/A</v>
      </c>
      <c r="X130" s="62"/>
      <c r="Y130" s="17"/>
      <c r="Z130" s="17"/>
      <c r="AA130" s="17"/>
    </row>
    <row r="131" spans="1:27" hidden="1" x14ac:dyDescent="0.25">
      <c r="A131" s="50">
        <f t="shared" si="29"/>
        <v>0</v>
      </c>
      <c r="B131" s="45" t="e">
        <f t="shared" ca="1" si="30"/>
        <v>#N/A</v>
      </c>
      <c r="C131" s="1" t="str">
        <f>IF(ISERROR(D131),"",IF(D131="","",MAX($C$121:C130)+1))</f>
        <v/>
      </c>
      <c r="D131" t="e">
        <f t="shared" si="31"/>
        <v>#N/A</v>
      </c>
      <c r="E131" s="22"/>
      <c r="F131" s="62" t="e">
        <f t="shared" ca="1" si="33"/>
        <v>#DIV/0!</v>
      </c>
      <c r="G131" s="62"/>
      <c r="H131" s="62"/>
      <c r="I131" s="62"/>
      <c r="J131" s="62" t="str">
        <f t="shared" si="34"/>
        <v>N/A</v>
      </c>
      <c r="K131" s="62" t="str">
        <f t="shared" ca="1" si="32"/>
        <v>N/A</v>
      </c>
      <c r="L131" s="62" t="str">
        <f t="shared" ca="1" si="32"/>
        <v>N/A</v>
      </c>
      <c r="M131" s="62" t="str">
        <f t="shared" ca="1" si="32"/>
        <v>N/A</v>
      </c>
      <c r="N131" s="62" t="str">
        <f t="shared" ca="1" si="32"/>
        <v>N/A</v>
      </c>
      <c r="O131" s="62" t="str">
        <f t="shared" ca="1" si="32"/>
        <v>N/A</v>
      </c>
      <c r="P131" s="62" t="str">
        <f t="shared" ca="1" si="32"/>
        <v>N/A</v>
      </c>
      <c r="Q131" s="62" t="str">
        <f t="shared" ca="1" si="32"/>
        <v>N/A</v>
      </c>
      <c r="R131" s="62" t="str">
        <f t="shared" ca="1" si="32"/>
        <v>N/A</v>
      </c>
      <c r="S131" s="62" t="str">
        <f t="shared" ca="1" si="32"/>
        <v>N/A</v>
      </c>
      <c r="T131" s="62" t="str">
        <f t="shared" ca="1" si="32"/>
        <v>N/A</v>
      </c>
      <c r="U131" s="62" t="str">
        <f t="shared" ca="1" si="32"/>
        <v>N/A</v>
      </c>
      <c r="V131" s="62" t="str">
        <f t="shared" ca="1" si="32"/>
        <v>N/A</v>
      </c>
      <c r="W131" s="62" t="str">
        <f t="shared" ca="1" si="32"/>
        <v>N/A</v>
      </c>
      <c r="X131" s="62"/>
      <c r="Y131" s="17"/>
      <c r="Z131" s="17"/>
      <c r="AA131" s="17"/>
    </row>
    <row r="132" spans="1:27" hidden="1" x14ac:dyDescent="0.25">
      <c r="A132" s="50">
        <f t="shared" si="29"/>
        <v>0</v>
      </c>
      <c r="B132" s="45" t="e">
        <f t="shared" ca="1" si="30"/>
        <v>#N/A</v>
      </c>
      <c r="C132" s="1" t="str">
        <f>IF(ISERROR(D132),"",IF(D132="","",MAX($C$121:C131)+1))</f>
        <v/>
      </c>
      <c r="D132" t="e">
        <f t="shared" si="31"/>
        <v>#N/A</v>
      </c>
      <c r="E132" s="22"/>
      <c r="F132" s="62" t="e">
        <f t="shared" ca="1" si="33"/>
        <v>#DIV/0!</v>
      </c>
      <c r="G132" s="62"/>
      <c r="H132" s="62"/>
      <c r="I132" s="62"/>
      <c r="J132" s="62" t="str">
        <f t="shared" si="34"/>
        <v>N/A</v>
      </c>
      <c r="K132" s="62" t="str">
        <f t="shared" ca="1" si="32"/>
        <v>N/A</v>
      </c>
      <c r="L132" s="62" t="str">
        <f t="shared" ca="1" si="32"/>
        <v>N/A</v>
      </c>
      <c r="M132" s="62" t="str">
        <f t="shared" ca="1" si="32"/>
        <v>N/A</v>
      </c>
      <c r="N132" s="62" t="str">
        <f t="shared" ca="1" si="32"/>
        <v>N/A</v>
      </c>
      <c r="O132" s="62" t="str">
        <f t="shared" ca="1" si="32"/>
        <v>N/A</v>
      </c>
      <c r="P132" s="62" t="str">
        <f t="shared" ca="1" si="32"/>
        <v>N/A</v>
      </c>
      <c r="Q132" s="62" t="str">
        <f t="shared" ca="1" si="32"/>
        <v>N/A</v>
      </c>
      <c r="R132" s="62" t="str">
        <f t="shared" ca="1" si="32"/>
        <v>N/A</v>
      </c>
      <c r="S132" s="62" t="str">
        <f t="shared" ca="1" si="32"/>
        <v>N/A</v>
      </c>
      <c r="T132" s="62" t="str">
        <f t="shared" ca="1" si="32"/>
        <v>N/A</v>
      </c>
      <c r="U132" s="62" t="str">
        <f t="shared" ca="1" si="32"/>
        <v>N/A</v>
      </c>
      <c r="V132" s="62" t="str">
        <f t="shared" ca="1" si="32"/>
        <v>N/A</v>
      </c>
      <c r="W132" s="62" t="str">
        <f t="shared" ca="1" si="32"/>
        <v>N/A</v>
      </c>
      <c r="X132" s="62"/>
      <c r="Y132" s="17"/>
      <c r="Z132" s="17"/>
      <c r="AA132" s="17"/>
    </row>
    <row r="133" spans="1:27" hidden="1" x14ac:dyDescent="0.25">
      <c r="A133" s="50">
        <f t="shared" si="29"/>
        <v>0</v>
      </c>
      <c r="B133" s="45" t="e">
        <f t="shared" ca="1" si="30"/>
        <v>#N/A</v>
      </c>
      <c r="C133" s="1" t="str">
        <f>IF(ISERROR(D133),"",IF(D133="","",MAX($C$121:C132)+1))</f>
        <v/>
      </c>
      <c r="D133" t="e">
        <f t="shared" si="31"/>
        <v>#N/A</v>
      </c>
      <c r="E133" s="22"/>
      <c r="F133" s="62" t="e">
        <f t="shared" ca="1" si="33"/>
        <v>#DIV/0!</v>
      </c>
      <c r="G133" s="62"/>
      <c r="H133" s="62"/>
      <c r="I133" s="62"/>
      <c r="J133" s="62" t="str">
        <f t="shared" si="34"/>
        <v>N/A</v>
      </c>
      <c r="K133" s="62" t="str">
        <f t="shared" ca="1" si="32"/>
        <v>N/A</v>
      </c>
      <c r="L133" s="62" t="str">
        <f t="shared" ca="1" si="32"/>
        <v>N/A</v>
      </c>
      <c r="M133" s="62" t="str">
        <f t="shared" ca="1" si="32"/>
        <v>N/A</v>
      </c>
      <c r="N133" s="62" t="str">
        <f t="shared" ca="1" si="32"/>
        <v>N/A</v>
      </c>
      <c r="O133" s="62" t="str">
        <f t="shared" ca="1" si="32"/>
        <v>N/A</v>
      </c>
      <c r="P133" s="62" t="str">
        <f t="shared" ca="1" si="32"/>
        <v>N/A</v>
      </c>
      <c r="Q133" s="62" t="str">
        <f t="shared" ca="1" si="32"/>
        <v>N/A</v>
      </c>
      <c r="R133" s="62" t="str">
        <f t="shared" ca="1" si="32"/>
        <v>N/A</v>
      </c>
      <c r="S133" s="62" t="str">
        <f t="shared" ca="1" si="32"/>
        <v>N/A</v>
      </c>
      <c r="T133" s="62" t="str">
        <f t="shared" ca="1" si="32"/>
        <v>N/A</v>
      </c>
      <c r="U133" s="62" t="str">
        <f t="shared" ca="1" si="32"/>
        <v>N/A</v>
      </c>
      <c r="V133" s="62" t="str">
        <f t="shared" ca="1" si="32"/>
        <v>N/A</v>
      </c>
      <c r="W133" s="62" t="str">
        <f t="shared" ca="1" si="32"/>
        <v>N/A</v>
      </c>
      <c r="X133" s="62"/>
      <c r="Y133" s="17"/>
      <c r="Z133" s="17"/>
      <c r="AA133" s="17"/>
    </row>
    <row r="134" spans="1:27" hidden="1" x14ac:dyDescent="0.25">
      <c r="A134" s="50">
        <f t="shared" si="29"/>
        <v>0</v>
      </c>
      <c r="B134" s="45" t="e">
        <f t="shared" ca="1" si="30"/>
        <v>#N/A</v>
      </c>
      <c r="C134" s="1" t="str">
        <f>IF(ISERROR(D134),"",IF(D134="","",MAX($C$121:C133)+1))</f>
        <v/>
      </c>
      <c r="D134" t="e">
        <f t="shared" si="31"/>
        <v>#N/A</v>
      </c>
      <c r="E134" s="22"/>
      <c r="F134" s="62" t="e">
        <f t="shared" ca="1" si="33"/>
        <v>#DIV/0!</v>
      </c>
      <c r="G134" s="62"/>
      <c r="H134" s="62"/>
      <c r="I134" s="62"/>
      <c r="J134" s="62" t="str">
        <f t="shared" si="34"/>
        <v>N/A</v>
      </c>
      <c r="K134" s="62" t="str">
        <f t="shared" ref="K134:K167" si="35">IFERROR(IF(VLOOKUP(A134,LUCurYr,21,FALSE)=0,"",VLOOKUP(A134,LUCurYr,21,FALSE)),"N/A")</f>
        <v>N/A</v>
      </c>
      <c r="L134" s="62"/>
      <c r="M134" s="62" t="str">
        <f t="shared" ca="1" si="32"/>
        <v>N/A</v>
      </c>
      <c r="N134" s="62" t="str">
        <f t="shared" ca="1" si="32"/>
        <v>N/A</v>
      </c>
      <c r="O134" s="62" t="str">
        <f t="shared" ca="1" si="32"/>
        <v>N/A</v>
      </c>
      <c r="P134" s="62" t="str">
        <f t="shared" ca="1" si="32"/>
        <v>N/A</v>
      </c>
      <c r="Q134" s="62" t="str">
        <f t="shared" ca="1" si="32"/>
        <v>N/A</v>
      </c>
      <c r="R134" s="62" t="str">
        <f t="shared" ca="1" si="32"/>
        <v>N/A</v>
      </c>
      <c r="S134" s="62" t="str">
        <f t="shared" ca="1" si="32"/>
        <v>N/A</v>
      </c>
      <c r="T134" s="62" t="str">
        <f t="shared" ca="1" si="32"/>
        <v>N/A</v>
      </c>
      <c r="U134" s="62" t="str">
        <f t="shared" ca="1" si="32"/>
        <v>N/A</v>
      </c>
      <c r="V134" s="62" t="str">
        <f t="shared" ca="1" si="32"/>
        <v>N/A</v>
      </c>
      <c r="W134" s="62" t="str">
        <f t="shared" ca="1" si="32"/>
        <v>N/A</v>
      </c>
      <c r="X134" s="62"/>
      <c r="Y134" s="17"/>
      <c r="Z134" s="17"/>
      <c r="AA134" s="17"/>
    </row>
    <row r="135" spans="1:27" hidden="1" x14ac:dyDescent="0.25">
      <c r="A135" s="50">
        <f t="shared" si="29"/>
        <v>0</v>
      </c>
      <c r="B135" s="45" t="e">
        <f t="shared" ca="1" si="30"/>
        <v>#N/A</v>
      </c>
      <c r="C135" s="1" t="str">
        <f>IF(ISERROR(D135),"",IF(D135="","",MAX($C$121:C134)+1))</f>
        <v/>
      </c>
      <c r="D135" t="e">
        <f t="shared" si="31"/>
        <v>#N/A</v>
      </c>
      <c r="E135" s="22"/>
      <c r="F135" s="62" t="e">
        <f t="shared" ca="1" si="33"/>
        <v>#DIV/0!</v>
      </c>
      <c r="G135" s="62"/>
      <c r="H135" s="62"/>
      <c r="I135" s="62"/>
      <c r="J135" s="62" t="str">
        <f t="shared" si="34"/>
        <v>N/A</v>
      </c>
      <c r="K135" s="62" t="str">
        <f t="shared" si="35"/>
        <v>N/A</v>
      </c>
      <c r="L135" s="62"/>
      <c r="M135" s="62" t="str">
        <f t="shared" ca="1" si="32"/>
        <v>N/A</v>
      </c>
      <c r="N135" s="62" t="str">
        <f t="shared" ca="1" si="32"/>
        <v>N/A</v>
      </c>
      <c r="O135" s="62" t="str">
        <f t="shared" ca="1" si="32"/>
        <v>N/A</v>
      </c>
      <c r="P135" s="62" t="str">
        <f t="shared" ca="1" si="32"/>
        <v>N/A</v>
      </c>
      <c r="Q135" s="62" t="str">
        <f t="shared" ca="1" si="32"/>
        <v>N/A</v>
      </c>
      <c r="R135" s="62" t="str">
        <f t="shared" ca="1" si="32"/>
        <v>N/A</v>
      </c>
      <c r="S135" s="62" t="str">
        <f t="shared" ca="1" si="32"/>
        <v>N/A</v>
      </c>
      <c r="T135" s="62" t="str">
        <f t="shared" ca="1" si="32"/>
        <v>N/A</v>
      </c>
      <c r="U135" s="62" t="str">
        <f t="shared" ca="1" si="32"/>
        <v>N/A</v>
      </c>
      <c r="V135" s="62" t="str">
        <f t="shared" ca="1" si="32"/>
        <v>N/A</v>
      </c>
      <c r="W135" s="62" t="str">
        <f t="shared" ca="1" si="32"/>
        <v>N/A</v>
      </c>
      <c r="X135" s="62"/>
      <c r="Y135" s="17"/>
      <c r="Z135" s="17"/>
      <c r="AA135" s="17"/>
    </row>
    <row r="136" spans="1:27" hidden="1" x14ac:dyDescent="0.25">
      <c r="A136" s="50">
        <f t="shared" si="29"/>
        <v>0</v>
      </c>
      <c r="B136" s="45" t="e">
        <f t="shared" ca="1" si="30"/>
        <v>#N/A</v>
      </c>
      <c r="C136" s="1" t="str">
        <f>IF(ISERROR(D136),"",IF(D136="","",MAX($C$121:C135)+1))</f>
        <v/>
      </c>
      <c r="D136" t="e">
        <f t="shared" si="31"/>
        <v>#N/A</v>
      </c>
      <c r="E136" s="22"/>
      <c r="F136" s="62" t="e">
        <f t="shared" ca="1" si="33"/>
        <v>#DIV/0!</v>
      </c>
      <c r="G136" s="62"/>
      <c r="H136" s="62"/>
      <c r="I136" s="62"/>
      <c r="J136" s="62" t="str">
        <f t="shared" si="34"/>
        <v>N/A</v>
      </c>
      <c r="K136" s="62" t="str">
        <f t="shared" si="35"/>
        <v>N/A</v>
      </c>
      <c r="L136" s="62"/>
      <c r="M136" s="62" t="str">
        <f t="shared" ca="1" si="32"/>
        <v>N/A</v>
      </c>
      <c r="N136" s="62" t="str">
        <f t="shared" ca="1" si="32"/>
        <v>N/A</v>
      </c>
      <c r="O136" s="62" t="str">
        <f t="shared" ca="1" si="32"/>
        <v>N/A</v>
      </c>
      <c r="P136" s="62" t="str">
        <f t="shared" ca="1" si="32"/>
        <v>N/A</v>
      </c>
      <c r="Q136" s="62" t="str">
        <f t="shared" ca="1" si="32"/>
        <v>N/A</v>
      </c>
      <c r="R136" s="62" t="str">
        <f t="shared" ca="1" si="32"/>
        <v>N/A</v>
      </c>
      <c r="S136" s="62" t="str">
        <f t="shared" ca="1" si="32"/>
        <v>N/A</v>
      </c>
      <c r="T136" s="62" t="str">
        <f t="shared" ca="1" si="32"/>
        <v>N/A</v>
      </c>
      <c r="U136" s="62" t="str">
        <f t="shared" ca="1" si="32"/>
        <v>N/A</v>
      </c>
      <c r="V136" s="62" t="str">
        <f t="shared" ca="1" si="32"/>
        <v>N/A</v>
      </c>
      <c r="W136" s="62" t="str">
        <f t="shared" ca="1" si="32"/>
        <v>N/A</v>
      </c>
      <c r="X136" s="62"/>
      <c r="Y136" s="17"/>
      <c r="Z136" s="17"/>
      <c r="AA136" s="17"/>
    </row>
    <row r="137" spans="1:27" hidden="1" x14ac:dyDescent="0.25">
      <c r="A137" s="50">
        <f t="shared" si="29"/>
        <v>0</v>
      </c>
      <c r="B137" s="45" t="e">
        <f t="shared" ca="1" si="30"/>
        <v>#N/A</v>
      </c>
      <c r="C137" s="1" t="str">
        <f>IF(ISERROR(D137),"",IF(D137="","",MAX($C$121:C136)+1))</f>
        <v/>
      </c>
      <c r="D137" t="e">
        <f t="shared" si="31"/>
        <v>#N/A</v>
      </c>
      <c r="E137" s="22"/>
      <c r="F137" s="62" t="e">
        <f t="shared" ca="1" si="33"/>
        <v>#DIV/0!</v>
      </c>
      <c r="G137" s="62"/>
      <c r="H137" s="62"/>
      <c r="I137" s="62"/>
      <c r="J137" s="62" t="str">
        <f t="shared" si="34"/>
        <v>N/A</v>
      </c>
      <c r="K137" s="62" t="str">
        <f t="shared" si="35"/>
        <v>N/A</v>
      </c>
      <c r="L137" s="62"/>
      <c r="M137" s="62" t="str">
        <f t="shared" ca="1" si="32"/>
        <v>N/A</v>
      </c>
      <c r="N137" s="62" t="str">
        <f t="shared" ca="1" si="32"/>
        <v>N/A</v>
      </c>
      <c r="O137" s="62" t="str">
        <f t="shared" ca="1" si="32"/>
        <v>N/A</v>
      </c>
      <c r="P137" s="62" t="str">
        <f t="shared" ca="1" si="32"/>
        <v>N/A</v>
      </c>
      <c r="Q137" s="62" t="str">
        <f t="shared" ca="1" si="32"/>
        <v>N/A</v>
      </c>
      <c r="R137" s="62" t="str">
        <f t="shared" ca="1" si="32"/>
        <v>N/A</v>
      </c>
      <c r="S137" s="62" t="str">
        <f t="shared" ca="1" si="32"/>
        <v>N/A</v>
      </c>
      <c r="T137" s="62" t="str">
        <f t="shared" ca="1" si="32"/>
        <v>N/A</v>
      </c>
      <c r="U137" s="62" t="str">
        <f t="shared" ca="1" si="32"/>
        <v>N/A</v>
      </c>
      <c r="V137" s="62" t="str">
        <f t="shared" ca="1" si="32"/>
        <v>N/A</v>
      </c>
      <c r="W137" s="62" t="str">
        <f t="shared" ca="1" si="32"/>
        <v>N/A</v>
      </c>
      <c r="X137" s="62"/>
      <c r="Y137" s="17"/>
      <c r="Z137" s="17"/>
      <c r="AA137" s="17"/>
    </row>
    <row r="138" spans="1:27" hidden="1" x14ac:dyDescent="0.25">
      <c r="A138" s="50">
        <f t="shared" si="29"/>
        <v>0</v>
      </c>
      <c r="B138" s="45" t="e">
        <f t="shared" ca="1" si="30"/>
        <v>#N/A</v>
      </c>
      <c r="C138" s="1" t="str">
        <f>IF(ISERROR(D138),"",IF(D138="","",MAX($C$121:C137)+1))</f>
        <v/>
      </c>
      <c r="D138" t="e">
        <f t="shared" si="31"/>
        <v>#N/A</v>
      </c>
      <c r="E138" s="22"/>
      <c r="F138" s="62" t="e">
        <f t="shared" ca="1" si="33"/>
        <v>#DIV/0!</v>
      </c>
      <c r="G138" s="62"/>
      <c r="H138" s="62"/>
      <c r="I138" s="62"/>
      <c r="J138" s="62" t="str">
        <f t="shared" si="34"/>
        <v>N/A</v>
      </c>
      <c r="K138" s="62" t="str">
        <f t="shared" si="35"/>
        <v>N/A</v>
      </c>
      <c r="L138" s="62"/>
      <c r="M138" s="62" t="str">
        <f t="shared" ca="1" si="32"/>
        <v>N/A</v>
      </c>
      <c r="N138" s="62" t="str">
        <f t="shared" ca="1" si="32"/>
        <v>N/A</v>
      </c>
      <c r="O138" s="62" t="str">
        <f t="shared" ca="1" si="32"/>
        <v>N/A</v>
      </c>
      <c r="P138" s="62" t="str">
        <f t="shared" ca="1" si="32"/>
        <v>N/A</v>
      </c>
      <c r="Q138" s="62" t="str">
        <f t="shared" ca="1" si="32"/>
        <v>N/A</v>
      </c>
      <c r="R138" s="62" t="str">
        <f t="shared" ca="1" si="32"/>
        <v>N/A</v>
      </c>
      <c r="S138" s="62" t="str">
        <f t="shared" ca="1" si="32"/>
        <v>N/A</v>
      </c>
      <c r="T138" s="62" t="str">
        <f t="shared" ca="1" si="32"/>
        <v>N/A</v>
      </c>
      <c r="U138" s="62" t="str">
        <f t="shared" ca="1" si="32"/>
        <v>N/A</v>
      </c>
      <c r="V138" s="62" t="str">
        <f t="shared" ca="1" si="32"/>
        <v>N/A</v>
      </c>
      <c r="W138" s="62" t="str">
        <f t="shared" ca="1" si="32"/>
        <v>N/A</v>
      </c>
      <c r="X138" s="62"/>
      <c r="Y138" s="17"/>
      <c r="Z138" s="17"/>
      <c r="AA138" s="17"/>
    </row>
    <row r="139" spans="1:27" hidden="1" x14ac:dyDescent="0.25">
      <c r="A139" s="50">
        <f t="shared" si="29"/>
        <v>0</v>
      </c>
      <c r="B139" s="45" t="e">
        <f t="shared" ca="1" si="30"/>
        <v>#N/A</v>
      </c>
      <c r="C139" s="1" t="str">
        <f>IF(ISERROR(D139),"",IF(D139="","",MAX($C$121:C138)+1))</f>
        <v/>
      </c>
      <c r="D139" t="e">
        <f t="shared" si="31"/>
        <v>#N/A</v>
      </c>
      <c r="E139" s="22"/>
      <c r="F139" s="62" t="e">
        <f t="shared" ca="1" si="33"/>
        <v>#DIV/0!</v>
      </c>
      <c r="G139" s="62"/>
      <c r="H139" s="62"/>
      <c r="I139" s="62"/>
      <c r="J139" s="62" t="str">
        <f t="shared" si="34"/>
        <v>N/A</v>
      </c>
      <c r="K139" s="62" t="str">
        <f t="shared" si="35"/>
        <v>N/A</v>
      </c>
      <c r="L139" s="62"/>
      <c r="M139" s="62" t="str">
        <f t="shared" ref="M139:W162" ca="1" si="36">IFERROR(IF(INDEX(CF_CAP_WP,$B139,M$122)=0,"N/A",INDEX(CF_CAP_WP,$B139,M$122)),"N/A")</f>
        <v>N/A</v>
      </c>
      <c r="N139" s="62" t="str">
        <f t="shared" ca="1" si="36"/>
        <v>N/A</v>
      </c>
      <c r="O139" s="62" t="str">
        <f t="shared" ca="1" si="36"/>
        <v>N/A</v>
      </c>
      <c r="P139" s="62" t="str">
        <f t="shared" ca="1" si="36"/>
        <v>N/A</v>
      </c>
      <c r="Q139" s="62" t="str">
        <f t="shared" ca="1" si="36"/>
        <v>N/A</v>
      </c>
      <c r="R139" s="62" t="str">
        <f t="shared" ca="1" si="36"/>
        <v>N/A</v>
      </c>
      <c r="S139" s="62" t="str">
        <f t="shared" ca="1" si="36"/>
        <v>N/A</v>
      </c>
      <c r="T139" s="62" t="str">
        <f t="shared" ca="1" si="36"/>
        <v>N/A</v>
      </c>
      <c r="U139" s="62" t="str">
        <f t="shared" ca="1" si="36"/>
        <v>N/A</v>
      </c>
      <c r="V139" s="62" t="str">
        <f t="shared" ca="1" si="36"/>
        <v>N/A</v>
      </c>
      <c r="W139" s="62" t="str">
        <f t="shared" ca="1" si="36"/>
        <v>N/A</v>
      </c>
      <c r="X139" s="62"/>
      <c r="Y139" s="17"/>
      <c r="Z139" s="17"/>
      <c r="AA139" s="17"/>
    </row>
    <row r="140" spans="1:27" hidden="1" x14ac:dyDescent="0.25">
      <c r="A140" s="50">
        <f t="shared" si="29"/>
        <v>0</v>
      </c>
      <c r="B140" s="45" t="e">
        <f t="shared" ca="1" si="30"/>
        <v>#N/A</v>
      </c>
      <c r="C140" s="1" t="str">
        <f>IF(ISERROR(D140),"",IF(D140="","",MAX($C$121:C139)+1))</f>
        <v/>
      </c>
      <c r="D140" t="e">
        <f t="shared" si="31"/>
        <v>#N/A</v>
      </c>
      <c r="E140" s="22"/>
      <c r="F140" s="62" t="e">
        <f t="shared" ca="1" si="33"/>
        <v>#DIV/0!</v>
      </c>
      <c r="G140" s="62"/>
      <c r="H140" s="62"/>
      <c r="I140" s="62"/>
      <c r="J140" s="62" t="str">
        <f t="shared" si="34"/>
        <v>N/A</v>
      </c>
      <c r="K140" s="62" t="str">
        <f t="shared" si="35"/>
        <v>N/A</v>
      </c>
      <c r="L140" s="62"/>
      <c r="M140" s="62" t="str">
        <f t="shared" ca="1" si="36"/>
        <v>N/A</v>
      </c>
      <c r="N140" s="62" t="str">
        <f t="shared" ca="1" si="36"/>
        <v>N/A</v>
      </c>
      <c r="O140" s="62" t="str">
        <f t="shared" ca="1" si="36"/>
        <v>N/A</v>
      </c>
      <c r="P140" s="62" t="str">
        <f t="shared" ca="1" si="36"/>
        <v>N/A</v>
      </c>
      <c r="Q140" s="62" t="str">
        <f t="shared" ca="1" si="36"/>
        <v>N/A</v>
      </c>
      <c r="R140" s="62" t="str">
        <f t="shared" ca="1" si="36"/>
        <v>N/A</v>
      </c>
      <c r="S140" s="62" t="str">
        <f t="shared" ca="1" si="36"/>
        <v>N/A</v>
      </c>
      <c r="T140" s="62" t="str">
        <f t="shared" ca="1" si="36"/>
        <v>N/A</v>
      </c>
      <c r="U140" s="62" t="str">
        <f t="shared" ca="1" si="36"/>
        <v>N/A</v>
      </c>
      <c r="V140" s="62" t="str">
        <f t="shared" ca="1" si="36"/>
        <v>N/A</v>
      </c>
      <c r="W140" s="62" t="str">
        <f t="shared" ca="1" si="36"/>
        <v>N/A</v>
      </c>
      <c r="X140" s="62"/>
      <c r="Y140" s="17"/>
      <c r="Z140" s="17"/>
      <c r="AA140" s="17"/>
    </row>
    <row r="141" spans="1:27" hidden="1" x14ac:dyDescent="0.25">
      <c r="A141" s="50">
        <f t="shared" si="29"/>
        <v>0</v>
      </c>
      <c r="B141" s="45" t="e">
        <f t="shared" ca="1" si="30"/>
        <v>#N/A</v>
      </c>
      <c r="C141" s="1" t="str">
        <f>IF(ISERROR(D141),"",IF(D141="","",MAX($C$121:C140)+1))</f>
        <v/>
      </c>
      <c r="D141" t="e">
        <f t="shared" si="31"/>
        <v>#N/A</v>
      </c>
      <c r="E141" s="22"/>
      <c r="F141" s="62" t="e">
        <f t="shared" ca="1" si="33"/>
        <v>#DIV/0!</v>
      </c>
      <c r="G141" s="62"/>
      <c r="H141" s="62"/>
      <c r="I141" s="62"/>
      <c r="J141" s="62" t="str">
        <f t="shared" si="34"/>
        <v>N/A</v>
      </c>
      <c r="K141" s="62" t="str">
        <f t="shared" si="35"/>
        <v>N/A</v>
      </c>
      <c r="L141" s="62"/>
      <c r="M141" s="62" t="str">
        <f t="shared" ca="1" si="36"/>
        <v>N/A</v>
      </c>
      <c r="N141" s="62" t="str">
        <f t="shared" ca="1" si="36"/>
        <v>N/A</v>
      </c>
      <c r="O141" s="62" t="str">
        <f t="shared" ca="1" si="36"/>
        <v>N/A</v>
      </c>
      <c r="P141" s="62" t="str">
        <f t="shared" ca="1" si="36"/>
        <v>N/A</v>
      </c>
      <c r="Q141" s="62" t="str">
        <f t="shared" ca="1" si="36"/>
        <v>N/A</v>
      </c>
      <c r="R141" s="62" t="str">
        <f t="shared" ca="1" si="36"/>
        <v>N/A</v>
      </c>
      <c r="S141" s="62" t="str">
        <f t="shared" ca="1" si="36"/>
        <v>N/A</v>
      </c>
      <c r="T141" s="62" t="str">
        <f t="shared" ca="1" si="36"/>
        <v>N/A</v>
      </c>
      <c r="U141" s="62" t="str">
        <f t="shared" ca="1" si="36"/>
        <v>N/A</v>
      </c>
      <c r="V141" s="62" t="str">
        <f t="shared" ca="1" si="36"/>
        <v>N/A</v>
      </c>
      <c r="W141" s="62" t="str">
        <f t="shared" ca="1" si="36"/>
        <v>N/A</v>
      </c>
      <c r="X141" s="62"/>
      <c r="Y141" s="17"/>
      <c r="Z141" s="17"/>
      <c r="AA141" s="17"/>
    </row>
    <row r="142" spans="1:27" hidden="1" x14ac:dyDescent="0.25">
      <c r="A142" s="50">
        <f t="shared" si="29"/>
        <v>0</v>
      </c>
      <c r="B142" s="45" t="e">
        <f t="shared" ca="1" si="30"/>
        <v>#N/A</v>
      </c>
      <c r="C142" s="1" t="str">
        <f>IF(ISERROR(D142),"",IF(D142="","",MAX($C$121:C141)+1))</f>
        <v/>
      </c>
      <c r="D142" t="e">
        <f t="shared" si="31"/>
        <v>#N/A</v>
      </c>
      <c r="E142" s="22"/>
      <c r="F142" s="62" t="e">
        <f t="shared" ca="1" si="33"/>
        <v>#DIV/0!</v>
      </c>
      <c r="G142" s="62"/>
      <c r="H142" s="62"/>
      <c r="I142" s="62"/>
      <c r="J142" s="62" t="str">
        <f t="shared" si="34"/>
        <v>N/A</v>
      </c>
      <c r="K142" s="62" t="str">
        <f t="shared" si="35"/>
        <v>N/A</v>
      </c>
      <c r="L142" s="62"/>
      <c r="M142" s="62" t="str">
        <f t="shared" ca="1" si="36"/>
        <v>N/A</v>
      </c>
      <c r="N142" s="62" t="str">
        <f t="shared" ca="1" si="36"/>
        <v>N/A</v>
      </c>
      <c r="O142" s="62" t="str">
        <f t="shared" ca="1" si="36"/>
        <v>N/A</v>
      </c>
      <c r="P142" s="62" t="str">
        <f t="shared" ca="1" si="36"/>
        <v>N/A</v>
      </c>
      <c r="Q142" s="62" t="str">
        <f t="shared" ca="1" si="36"/>
        <v>N/A</v>
      </c>
      <c r="R142" s="62" t="str">
        <f t="shared" ca="1" si="36"/>
        <v>N/A</v>
      </c>
      <c r="S142" s="62" t="str">
        <f t="shared" ca="1" si="36"/>
        <v>N/A</v>
      </c>
      <c r="T142" s="62" t="str">
        <f t="shared" ca="1" si="36"/>
        <v>N/A</v>
      </c>
      <c r="U142" s="62" t="str">
        <f t="shared" ca="1" si="36"/>
        <v>N/A</v>
      </c>
      <c r="V142" s="62" t="str">
        <f t="shared" ca="1" si="36"/>
        <v>N/A</v>
      </c>
      <c r="W142" s="62" t="str">
        <f t="shared" ca="1" si="36"/>
        <v>N/A</v>
      </c>
      <c r="X142" s="62"/>
      <c r="Y142" s="17"/>
      <c r="Z142" s="17"/>
      <c r="AA142" s="17"/>
    </row>
    <row r="143" spans="1:27" hidden="1" x14ac:dyDescent="0.25">
      <c r="A143" s="50">
        <f t="shared" si="29"/>
        <v>0</v>
      </c>
      <c r="B143" s="45" t="e">
        <f t="shared" ca="1" si="30"/>
        <v>#N/A</v>
      </c>
      <c r="C143" s="1" t="str">
        <f>IF(ISERROR(D143),"",IF(D143="","",MAX($C$121:C142)+1))</f>
        <v/>
      </c>
      <c r="D143" t="e">
        <f t="shared" si="31"/>
        <v>#N/A</v>
      </c>
      <c r="E143" s="22"/>
      <c r="F143" s="62" t="e">
        <f t="shared" ca="1" si="33"/>
        <v>#DIV/0!</v>
      </c>
      <c r="G143" s="62"/>
      <c r="H143" s="62"/>
      <c r="I143" s="62"/>
      <c r="J143" s="62" t="str">
        <f t="shared" si="34"/>
        <v>N/A</v>
      </c>
      <c r="K143" s="62" t="str">
        <f t="shared" si="35"/>
        <v>N/A</v>
      </c>
      <c r="L143" s="62"/>
      <c r="M143" s="62" t="str">
        <f t="shared" ca="1" si="36"/>
        <v>N/A</v>
      </c>
      <c r="N143" s="62" t="str">
        <f t="shared" ca="1" si="36"/>
        <v>N/A</v>
      </c>
      <c r="O143" s="62" t="str">
        <f t="shared" ca="1" si="36"/>
        <v>N/A</v>
      </c>
      <c r="P143" s="62" t="str">
        <f t="shared" ca="1" si="36"/>
        <v>N/A</v>
      </c>
      <c r="Q143" s="62" t="str">
        <f t="shared" ca="1" si="36"/>
        <v>N/A</v>
      </c>
      <c r="R143" s="62" t="str">
        <f t="shared" ca="1" si="36"/>
        <v>N/A</v>
      </c>
      <c r="S143" s="62" t="str">
        <f t="shared" ca="1" si="36"/>
        <v>N/A</v>
      </c>
      <c r="T143" s="62" t="str">
        <f t="shared" ca="1" si="36"/>
        <v>N/A</v>
      </c>
      <c r="U143" s="62" t="str">
        <f t="shared" ca="1" si="36"/>
        <v>N/A</v>
      </c>
      <c r="V143" s="62" t="str">
        <f t="shared" ca="1" si="36"/>
        <v>N/A</v>
      </c>
      <c r="W143" s="62" t="str">
        <f t="shared" ca="1" si="36"/>
        <v>N/A</v>
      </c>
      <c r="X143" s="62"/>
      <c r="Y143" s="17"/>
      <c r="Z143" s="17"/>
      <c r="AA143" s="17"/>
    </row>
    <row r="144" spans="1:27" hidden="1" x14ac:dyDescent="0.25">
      <c r="A144" s="50">
        <f t="shared" si="29"/>
        <v>0</v>
      </c>
      <c r="B144" s="45" t="e">
        <f t="shared" ca="1" si="30"/>
        <v>#N/A</v>
      </c>
      <c r="C144" s="1" t="str">
        <f>IF(ISERROR(D144),"",IF(D144="","",MAX($C$121:C143)+1))</f>
        <v/>
      </c>
      <c r="D144" t="e">
        <f t="shared" si="31"/>
        <v>#N/A</v>
      </c>
      <c r="E144" s="22"/>
      <c r="F144" s="62" t="e">
        <f t="shared" ca="1" si="33"/>
        <v>#DIV/0!</v>
      </c>
      <c r="G144" s="62"/>
      <c r="H144" s="62"/>
      <c r="I144" s="62"/>
      <c r="J144" s="62" t="str">
        <f t="shared" si="34"/>
        <v>N/A</v>
      </c>
      <c r="K144" s="62" t="str">
        <f t="shared" si="35"/>
        <v>N/A</v>
      </c>
      <c r="L144" s="62"/>
      <c r="M144" s="62" t="str">
        <f t="shared" ca="1" si="36"/>
        <v>N/A</v>
      </c>
      <c r="N144" s="62" t="str">
        <f t="shared" ca="1" si="36"/>
        <v>N/A</v>
      </c>
      <c r="O144" s="62" t="str">
        <f t="shared" ca="1" si="36"/>
        <v>N/A</v>
      </c>
      <c r="P144" s="62" t="str">
        <f t="shared" ca="1" si="36"/>
        <v>N/A</v>
      </c>
      <c r="Q144" s="62" t="str">
        <f t="shared" ca="1" si="36"/>
        <v>N/A</v>
      </c>
      <c r="R144" s="62" t="str">
        <f t="shared" ca="1" si="36"/>
        <v>N/A</v>
      </c>
      <c r="S144" s="62" t="str">
        <f t="shared" ca="1" si="36"/>
        <v>N/A</v>
      </c>
      <c r="T144" s="62" t="str">
        <f t="shared" ca="1" si="36"/>
        <v>N/A</v>
      </c>
      <c r="U144" s="62" t="str">
        <f t="shared" ca="1" si="36"/>
        <v>N/A</v>
      </c>
      <c r="V144" s="62" t="str">
        <f t="shared" ca="1" si="36"/>
        <v>N/A</v>
      </c>
      <c r="W144" s="62" t="str">
        <f t="shared" ca="1" si="36"/>
        <v>N/A</v>
      </c>
      <c r="X144" s="62"/>
      <c r="Y144" s="17"/>
      <c r="Z144" s="17"/>
      <c r="AA144" s="17"/>
    </row>
    <row r="145" spans="1:27" hidden="1" x14ac:dyDescent="0.25">
      <c r="A145" s="50">
        <f t="shared" si="29"/>
        <v>0</v>
      </c>
      <c r="B145" s="45" t="e">
        <f t="shared" ca="1" si="30"/>
        <v>#N/A</v>
      </c>
      <c r="C145" s="1" t="str">
        <f>IF(ISERROR(D145),"",IF(D145="","",MAX($C$121:C144)+1))</f>
        <v/>
      </c>
      <c r="D145" t="e">
        <f t="shared" si="31"/>
        <v>#N/A</v>
      </c>
      <c r="E145" s="22"/>
      <c r="F145" s="62" t="e">
        <f t="shared" ca="1" si="33"/>
        <v>#DIV/0!</v>
      </c>
      <c r="G145" s="62"/>
      <c r="H145" s="62"/>
      <c r="I145" s="62"/>
      <c r="J145" s="62" t="str">
        <f t="shared" si="34"/>
        <v>N/A</v>
      </c>
      <c r="K145" s="62" t="str">
        <f t="shared" si="35"/>
        <v>N/A</v>
      </c>
      <c r="L145" s="62"/>
      <c r="M145" s="62" t="str">
        <f t="shared" ca="1" si="36"/>
        <v>N/A</v>
      </c>
      <c r="N145" s="62" t="str">
        <f t="shared" ca="1" si="36"/>
        <v>N/A</v>
      </c>
      <c r="O145" s="62" t="str">
        <f t="shared" ca="1" si="36"/>
        <v>N/A</v>
      </c>
      <c r="P145" s="62" t="str">
        <f t="shared" ca="1" si="36"/>
        <v>N/A</v>
      </c>
      <c r="Q145" s="62" t="str">
        <f t="shared" ca="1" si="36"/>
        <v>N/A</v>
      </c>
      <c r="R145" s="62" t="str">
        <f t="shared" ca="1" si="36"/>
        <v>N/A</v>
      </c>
      <c r="S145" s="62" t="str">
        <f t="shared" ca="1" si="36"/>
        <v>N/A</v>
      </c>
      <c r="T145" s="62" t="str">
        <f t="shared" ca="1" si="36"/>
        <v>N/A</v>
      </c>
      <c r="U145" s="62" t="str">
        <f t="shared" ca="1" si="36"/>
        <v>N/A</v>
      </c>
      <c r="V145" s="62" t="str">
        <f t="shared" ca="1" si="36"/>
        <v>N/A</v>
      </c>
      <c r="W145" s="62" t="str">
        <f t="shared" ca="1" si="36"/>
        <v>N/A</v>
      </c>
      <c r="X145" s="62"/>
      <c r="Y145" s="17"/>
      <c r="Z145" s="17"/>
      <c r="AA145" s="17"/>
    </row>
    <row r="146" spans="1:27" hidden="1" x14ac:dyDescent="0.25">
      <c r="A146" s="50">
        <f t="shared" si="29"/>
        <v>0</v>
      </c>
      <c r="B146" s="45" t="e">
        <f t="shared" ca="1" si="30"/>
        <v>#N/A</v>
      </c>
      <c r="C146" s="1" t="str">
        <f>IF(ISERROR(D146),"",IF(D146="","",MAX($C$121:C145)+1))</f>
        <v/>
      </c>
      <c r="D146" t="e">
        <f t="shared" si="31"/>
        <v>#N/A</v>
      </c>
      <c r="E146" s="22"/>
      <c r="F146" s="62" t="e">
        <f t="shared" ca="1" si="33"/>
        <v>#DIV/0!</v>
      </c>
      <c r="G146" s="62"/>
      <c r="H146" s="62"/>
      <c r="I146" s="62"/>
      <c r="J146" s="62" t="str">
        <f t="shared" si="34"/>
        <v>N/A</v>
      </c>
      <c r="K146" s="62" t="str">
        <f t="shared" si="35"/>
        <v>N/A</v>
      </c>
      <c r="L146" s="62"/>
      <c r="M146" s="62" t="str">
        <f t="shared" ca="1" si="36"/>
        <v>N/A</v>
      </c>
      <c r="N146" s="62" t="str">
        <f t="shared" ca="1" si="36"/>
        <v>N/A</v>
      </c>
      <c r="O146" s="62" t="str">
        <f t="shared" ca="1" si="36"/>
        <v>N/A</v>
      </c>
      <c r="P146" s="62" t="str">
        <f t="shared" ca="1" si="36"/>
        <v>N/A</v>
      </c>
      <c r="Q146" s="62" t="str">
        <f t="shared" ca="1" si="36"/>
        <v>N/A</v>
      </c>
      <c r="R146" s="62" t="str">
        <f t="shared" ca="1" si="36"/>
        <v>N/A</v>
      </c>
      <c r="S146" s="62" t="str">
        <f t="shared" ca="1" si="36"/>
        <v>N/A</v>
      </c>
      <c r="T146" s="62" t="str">
        <f t="shared" ca="1" si="36"/>
        <v>N/A</v>
      </c>
      <c r="U146" s="62" t="str">
        <f t="shared" ca="1" si="36"/>
        <v>N/A</v>
      </c>
      <c r="V146" s="62" t="str">
        <f t="shared" ca="1" si="36"/>
        <v>N/A</v>
      </c>
      <c r="W146" s="62" t="str">
        <f t="shared" ca="1" si="36"/>
        <v>N/A</v>
      </c>
      <c r="X146" s="62"/>
      <c r="Y146" s="17"/>
      <c r="Z146" s="17"/>
      <c r="AA146" s="17"/>
    </row>
    <row r="147" spans="1:27" hidden="1" x14ac:dyDescent="0.25">
      <c r="A147" s="50">
        <f t="shared" si="29"/>
        <v>0</v>
      </c>
      <c r="B147" s="45" t="e">
        <f t="shared" ca="1" si="30"/>
        <v>#N/A</v>
      </c>
      <c r="C147" s="1" t="str">
        <f>IF(ISERROR(D147),"",IF(D147="","",MAX($C$121:C146)+1))</f>
        <v/>
      </c>
      <c r="D147" t="e">
        <f t="shared" si="31"/>
        <v>#N/A</v>
      </c>
      <c r="E147" s="22"/>
      <c r="F147" s="62" t="e">
        <f t="shared" ca="1" si="33"/>
        <v>#DIV/0!</v>
      </c>
      <c r="G147" s="62"/>
      <c r="H147" s="62"/>
      <c r="I147" s="62"/>
      <c r="J147" s="62" t="str">
        <f t="shared" si="34"/>
        <v>N/A</v>
      </c>
      <c r="K147" s="62" t="str">
        <f t="shared" si="35"/>
        <v>N/A</v>
      </c>
      <c r="L147" s="62"/>
      <c r="M147" s="62" t="str">
        <f t="shared" ca="1" si="36"/>
        <v>N/A</v>
      </c>
      <c r="N147" s="62" t="str">
        <f t="shared" ca="1" si="36"/>
        <v>N/A</v>
      </c>
      <c r="O147" s="62" t="str">
        <f t="shared" ca="1" si="36"/>
        <v>N/A</v>
      </c>
      <c r="P147" s="62" t="str">
        <f t="shared" ca="1" si="36"/>
        <v>N/A</v>
      </c>
      <c r="Q147" s="62" t="str">
        <f t="shared" ca="1" si="36"/>
        <v>N/A</v>
      </c>
      <c r="R147" s="62" t="str">
        <f t="shared" ca="1" si="36"/>
        <v>N/A</v>
      </c>
      <c r="S147" s="62" t="str">
        <f t="shared" ca="1" si="36"/>
        <v>N/A</v>
      </c>
      <c r="T147" s="62" t="str">
        <f t="shared" ca="1" si="36"/>
        <v>N/A</v>
      </c>
      <c r="U147" s="62" t="str">
        <f t="shared" ca="1" si="36"/>
        <v>N/A</v>
      </c>
      <c r="V147" s="62" t="str">
        <f t="shared" ca="1" si="36"/>
        <v>N/A</v>
      </c>
      <c r="W147" s="62" t="str">
        <f t="shared" ca="1" si="36"/>
        <v>N/A</v>
      </c>
      <c r="X147" s="62"/>
      <c r="Y147" s="17"/>
      <c r="Z147" s="17"/>
      <c r="AA147" s="17"/>
    </row>
    <row r="148" spans="1:27" hidden="1" x14ac:dyDescent="0.25">
      <c r="A148" s="50">
        <f t="shared" si="29"/>
        <v>0</v>
      </c>
      <c r="B148" s="45" t="e">
        <f t="shared" ca="1" si="30"/>
        <v>#N/A</v>
      </c>
      <c r="C148" s="1" t="str">
        <f>IF(ISERROR(D148),"",IF(D148="","",MAX($C$121:C147)+1))</f>
        <v/>
      </c>
      <c r="D148" t="e">
        <f t="shared" si="31"/>
        <v>#N/A</v>
      </c>
      <c r="E148" s="22"/>
      <c r="F148" s="62" t="e">
        <f t="shared" ca="1" si="33"/>
        <v>#DIV/0!</v>
      </c>
      <c r="G148" s="62"/>
      <c r="H148" s="62"/>
      <c r="I148" s="62"/>
      <c r="J148" s="62" t="str">
        <f t="shared" si="34"/>
        <v>N/A</v>
      </c>
      <c r="K148" s="62" t="str">
        <f t="shared" si="35"/>
        <v>N/A</v>
      </c>
      <c r="L148" s="62"/>
      <c r="M148" s="62" t="str">
        <f t="shared" ca="1" si="36"/>
        <v>N/A</v>
      </c>
      <c r="N148" s="62" t="str">
        <f t="shared" ca="1" si="36"/>
        <v>N/A</v>
      </c>
      <c r="O148" s="62" t="str">
        <f t="shared" ca="1" si="36"/>
        <v>N/A</v>
      </c>
      <c r="P148" s="62" t="str">
        <f t="shared" ca="1" si="36"/>
        <v>N/A</v>
      </c>
      <c r="Q148" s="62" t="str">
        <f t="shared" ca="1" si="36"/>
        <v>N/A</v>
      </c>
      <c r="R148" s="62" t="str">
        <f t="shared" ca="1" si="36"/>
        <v>N/A</v>
      </c>
      <c r="S148" s="62" t="str">
        <f t="shared" ca="1" si="36"/>
        <v>N/A</v>
      </c>
      <c r="T148" s="62" t="str">
        <f t="shared" ca="1" si="36"/>
        <v>N/A</v>
      </c>
      <c r="U148" s="62" t="str">
        <f t="shared" ca="1" si="36"/>
        <v>N/A</v>
      </c>
      <c r="V148" s="62" t="str">
        <f t="shared" ca="1" si="36"/>
        <v>N/A</v>
      </c>
      <c r="W148" s="62" t="str">
        <f t="shared" ca="1" si="36"/>
        <v>N/A</v>
      </c>
      <c r="X148" s="62"/>
      <c r="Y148" s="17"/>
      <c r="Z148" s="17"/>
      <c r="AA148" s="17"/>
    </row>
    <row r="149" spans="1:27" hidden="1" x14ac:dyDescent="0.25">
      <c r="A149" s="50">
        <f t="shared" si="29"/>
        <v>0</v>
      </c>
      <c r="B149" s="45" t="e">
        <f t="shared" ca="1" si="30"/>
        <v>#N/A</v>
      </c>
      <c r="C149" s="1" t="str">
        <f>IF(ISERROR(D149),"",IF(D149="","",MAX($C$121:C148)+1))</f>
        <v/>
      </c>
      <c r="D149" t="e">
        <f t="shared" si="31"/>
        <v>#N/A</v>
      </c>
      <c r="E149" s="22"/>
      <c r="F149" s="62" t="e">
        <f t="shared" ca="1" si="33"/>
        <v>#DIV/0!</v>
      </c>
      <c r="G149" s="62"/>
      <c r="H149" s="62"/>
      <c r="I149" s="62"/>
      <c r="J149" s="62" t="str">
        <f t="shared" si="34"/>
        <v>N/A</v>
      </c>
      <c r="K149" s="62" t="str">
        <f t="shared" si="35"/>
        <v>N/A</v>
      </c>
      <c r="L149" s="62"/>
      <c r="M149" s="62" t="str">
        <f t="shared" ca="1" si="36"/>
        <v>N/A</v>
      </c>
      <c r="N149" s="62" t="str">
        <f t="shared" ca="1" si="36"/>
        <v>N/A</v>
      </c>
      <c r="O149" s="62" t="str">
        <f t="shared" ca="1" si="36"/>
        <v>N/A</v>
      </c>
      <c r="P149" s="62" t="str">
        <f t="shared" ca="1" si="36"/>
        <v>N/A</v>
      </c>
      <c r="Q149" s="62" t="str">
        <f t="shared" ca="1" si="36"/>
        <v>N/A</v>
      </c>
      <c r="R149" s="62" t="str">
        <f t="shared" ca="1" si="36"/>
        <v>N/A</v>
      </c>
      <c r="S149" s="62" t="str">
        <f t="shared" ca="1" si="36"/>
        <v>N/A</v>
      </c>
      <c r="T149" s="62" t="str">
        <f t="shared" ca="1" si="36"/>
        <v>N/A</v>
      </c>
      <c r="U149" s="62" t="str">
        <f t="shared" ca="1" si="36"/>
        <v>N/A</v>
      </c>
      <c r="V149" s="62" t="str">
        <f t="shared" ca="1" si="36"/>
        <v>N/A</v>
      </c>
      <c r="W149" s="62" t="str">
        <f t="shared" ca="1" si="36"/>
        <v>N/A</v>
      </c>
      <c r="X149" s="62"/>
      <c r="Y149" s="17"/>
      <c r="Z149" s="17"/>
      <c r="AA149" s="17"/>
    </row>
    <row r="150" spans="1:27" hidden="1" x14ac:dyDescent="0.25">
      <c r="A150" s="50">
        <f t="shared" si="29"/>
        <v>0</v>
      </c>
      <c r="B150" s="45" t="e">
        <f t="shared" ca="1" si="30"/>
        <v>#N/A</v>
      </c>
      <c r="C150" s="1" t="str">
        <f>IF(ISERROR(D150),"",IF(D150="","",MAX($C$121:C149)+1))</f>
        <v/>
      </c>
      <c r="D150" t="e">
        <f t="shared" si="31"/>
        <v>#N/A</v>
      </c>
      <c r="E150" s="22"/>
      <c r="F150" s="62" t="e">
        <f t="shared" ca="1" si="33"/>
        <v>#DIV/0!</v>
      </c>
      <c r="G150" s="62"/>
      <c r="H150" s="62"/>
      <c r="I150" s="62"/>
      <c r="J150" s="62" t="str">
        <f t="shared" si="34"/>
        <v>N/A</v>
      </c>
      <c r="K150" s="62" t="str">
        <f t="shared" si="35"/>
        <v>N/A</v>
      </c>
      <c r="L150" s="62"/>
      <c r="M150" s="62" t="str">
        <f t="shared" ca="1" si="36"/>
        <v>N/A</v>
      </c>
      <c r="N150" s="62" t="str">
        <f t="shared" ca="1" si="36"/>
        <v>N/A</v>
      </c>
      <c r="O150" s="62" t="str">
        <f t="shared" ca="1" si="36"/>
        <v>N/A</v>
      </c>
      <c r="P150" s="62" t="str">
        <f t="shared" ca="1" si="36"/>
        <v>N/A</v>
      </c>
      <c r="Q150" s="62" t="str">
        <f t="shared" ca="1" si="36"/>
        <v>N/A</v>
      </c>
      <c r="R150" s="62" t="str">
        <f t="shared" ca="1" si="36"/>
        <v>N/A</v>
      </c>
      <c r="S150" s="62" t="str">
        <f t="shared" ca="1" si="36"/>
        <v>N/A</v>
      </c>
      <c r="T150" s="62" t="str">
        <f t="shared" ca="1" si="36"/>
        <v>N/A</v>
      </c>
      <c r="U150" s="62" t="str">
        <f t="shared" ca="1" si="36"/>
        <v>N/A</v>
      </c>
      <c r="V150" s="62" t="str">
        <f t="shared" ca="1" si="36"/>
        <v>N/A</v>
      </c>
      <c r="W150" s="62" t="str">
        <f t="shared" ca="1" si="36"/>
        <v>N/A</v>
      </c>
      <c r="X150" s="62"/>
      <c r="Y150" s="17"/>
      <c r="Z150" s="17"/>
      <c r="AA150" s="17"/>
    </row>
    <row r="151" spans="1:27" hidden="1" x14ac:dyDescent="0.25">
      <c r="A151" s="50">
        <f t="shared" si="29"/>
        <v>0</v>
      </c>
      <c r="B151" s="45" t="e">
        <f t="shared" ca="1" si="30"/>
        <v>#N/A</v>
      </c>
      <c r="C151" s="1" t="str">
        <f>IF(ISERROR(D151),"",IF(D151="","",MAX($C$121:C150)+1))</f>
        <v/>
      </c>
      <c r="D151" t="e">
        <f t="shared" si="31"/>
        <v>#N/A</v>
      </c>
      <c r="E151" s="22"/>
      <c r="F151" s="62" t="e">
        <f t="shared" ca="1" si="33"/>
        <v>#DIV/0!</v>
      </c>
      <c r="G151" s="62"/>
      <c r="H151" s="62"/>
      <c r="I151" s="62"/>
      <c r="J151" s="62" t="str">
        <f t="shared" si="34"/>
        <v>N/A</v>
      </c>
      <c r="K151" s="62" t="str">
        <f t="shared" si="35"/>
        <v>N/A</v>
      </c>
      <c r="L151" s="62"/>
      <c r="M151" s="62" t="str">
        <f t="shared" ca="1" si="36"/>
        <v>N/A</v>
      </c>
      <c r="N151" s="62" t="str">
        <f t="shared" ca="1" si="36"/>
        <v>N/A</v>
      </c>
      <c r="O151" s="62" t="str">
        <f t="shared" ca="1" si="36"/>
        <v>N/A</v>
      </c>
      <c r="P151" s="62" t="str">
        <f t="shared" ca="1" si="36"/>
        <v>N/A</v>
      </c>
      <c r="Q151" s="62" t="str">
        <f t="shared" ca="1" si="36"/>
        <v>N/A</v>
      </c>
      <c r="R151" s="62" t="str">
        <f t="shared" ca="1" si="36"/>
        <v>N/A</v>
      </c>
      <c r="S151" s="62" t="str">
        <f t="shared" ca="1" si="36"/>
        <v>N/A</v>
      </c>
      <c r="T151" s="62" t="str">
        <f t="shared" ca="1" si="36"/>
        <v>N/A</v>
      </c>
      <c r="U151" s="62" t="str">
        <f t="shared" ca="1" si="36"/>
        <v>N/A</v>
      </c>
      <c r="V151" s="62" t="str">
        <f t="shared" ca="1" si="36"/>
        <v>N/A</v>
      </c>
      <c r="W151" s="62" t="str">
        <f t="shared" ca="1" si="36"/>
        <v>N/A</v>
      </c>
      <c r="X151" s="62"/>
      <c r="Y151" s="17"/>
      <c r="Z151" s="17"/>
      <c r="AA151" s="17"/>
    </row>
    <row r="152" spans="1:27" hidden="1" x14ac:dyDescent="0.25">
      <c r="A152" s="50">
        <f t="shared" si="29"/>
        <v>0</v>
      </c>
      <c r="B152" s="45" t="e">
        <f t="shared" ca="1" si="30"/>
        <v>#N/A</v>
      </c>
      <c r="C152" s="1" t="str">
        <f>IF(ISERROR(D152),"",IF(D152="","",MAX($C$121:C151)+1))</f>
        <v/>
      </c>
      <c r="D152" t="e">
        <f t="shared" si="31"/>
        <v>#N/A</v>
      </c>
      <c r="E152" s="22"/>
      <c r="F152" s="62" t="e">
        <f t="shared" ca="1" si="33"/>
        <v>#DIV/0!</v>
      </c>
      <c r="G152" s="62"/>
      <c r="H152" s="62"/>
      <c r="I152" s="62"/>
      <c r="J152" s="62" t="str">
        <f t="shared" si="34"/>
        <v>N/A</v>
      </c>
      <c r="K152" s="62" t="str">
        <f t="shared" si="35"/>
        <v>N/A</v>
      </c>
      <c r="L152" s="62"/>
      <c r="M152" s="62" t="str">
        <f t="shared" ca="1" si="36"/>
        <v>N/A</v>
      </c>
      <c r="N152" s="62" t="str">
        <f t="shared" ca="1" si="36"/>
        <v>N/A</v>
      </c>
      <c r="O152" s="62" t="str">
        <f t="shared" ca="1" si="36"/>
        <v>N/A</v>
      </c>
      <c r="P152" s="62" t="str">
        <f t="shared" ca="1" si="36"/>
        <v>N/A</v>
      </c>
      <c r="Q152" s="62" t="str">
        <f t="shared" ca="1" si="36"/>
        <v>N/A</v>
      </c>
      <c r="R152" s="62" t="str">
        <f t="shared" ca="1" si="36"/>
        <v>N/A</v>
      </c>
      <c r="S152" s="62" t="str">
        <f t="shared" ca="1" si="36"/>
        <v>N/A</v>
      </c>
      <c r="T152" s="62" t="str">
        <f t="shared" ca="1" si="36"/>
        <v>N/A</v>
      </c>
      <c r="U152" s="62" t="str">
        <f t="shared" ca="1" si="36"/>
        <v>N/A</v>
      </c>
      <c r="V152" s="62" t="str">
        <f t="shared" ca="1" si="36"/>
        <v>N/A</v>
      </c>
      <c r="W152" s="62" t="str">
        <f t="shared" ca="1" si="36"/>
        <v>N/A</v>
      </c>
      <c r="X152" s="62"/>
      <c r="Y152" s="17"/>
      <c r="Z152" s="17"/>
      <c r="AA152" s="17"/>
    </row>
    <row r="153" spans="1:27" hidden="1" x14ac:dyDescent="0.25">
      <c r="A153" s="50">
        <f t="shared" si="29"/>
        <v>0</v>
      </c>
      <c r="B153" s="45" t="e">
        <f t="shared" ca="1" si="30"/>
        <v>#N/A</v>
      </c>
      <c r="C153" s="1" t="str">
        <f>IF(ISERROR(D153),"",IF(D153="","",MAX($C$121:C152)+1))</f>
        <v/>
      </c>
      <c r="D153" t="e">
        <f t="shared" si="31"/>
        <v>#N/A</v>
      </c>
      <c r="E153" s="22"/>
      <c r="F153" s="62" t="e">
        <f t="shared" ca="1" si="33"/>
        <v>#DIV/0!</v>
      </c>
      <c r="G153" s="62"/>
      <c r="H153" s="62"/>
      <c r="I153" s="62"/>
      <c r="J153" s="62" t="str">
        <f t="shared" si="34"/>
        <v>N/A</v>
      </c>
      <c r="K153" s="62" t="str">
        <f t="shared" si="35"/>
        <v>N/A</v>
      </c>
      <c r="L153" s="62"/>
      <c r="M153" s="62" t="str">
        <f t="shared" ca="1" si="36"/>
        <v>N/A</v>
      </c>
      <c r="N153" s="62" t="str">
        <f t="shared" ca="1" si="36"/>
        <v>N/A</v>
      </c>
      <c r="O153" s="62" t="str">
        <f t="shared" ca="1" si="36"/>
        <v>N/A</v>
      </c>
      <c r="P153" s="62" t="str">
        <f t="shared" ca="1" si="36"/>
        <v>N/A</v>
      </c>
      <c r="Q153" s="62" t="str">
        <f t="shared" ca="1" si="36"/>
        <v>N/A</v>
      </c>
      <c r="R153" s="62" t="str">
        <f t="shared" ca="1" si="36"/>
        <v>N/A</v>
      </c>
      <c r="S153" s="62" t="str">
        <f t="shared" ca="1" si="36"/>
        <v>N/A</v>
      </c>
      <c r="T153" s="62" t="str">
        <f t="shared" ca="1" si="36"/>
        <v>N/A</v>
      </c>
      <c r="U153" s="62" t="str">
        <f t="shared" ca="1" si="36"/>
        <v>N/A</v>
      </c>
      <c r="V153" s="62" t="str">
        <f t="shared" ca="1" si="36"/>
        <v>N/A</v>
      </c>
      <c r="W153" s="62" t="str">
        <f t="shared" ca="1" si="36"/>
        <v>N/A</v>
      </c>
      <c r="X153" s="62"/>
      <c r="Y153" s="17"/>
      <c r="Z153" s="17"/>
      <c r="AA153" s="17"/>
    </row>
    <row r="154" spans="1:27" hidden="1" x14ac:dyDescent="0.25">
      <c r="A154" s="50">
        <f t="shared" si="29"/>
        <v>0</v>
      </c>
      <c r="B154" s="45" t="e">
        <f t="shared" ca="1" si="30"/>
        <v>#N/A</v>
      </c>
      <c r="C154" s="1" t="str">
        <f>IF(ISERROR(D154),"",IF(D154="","",MAX($C$121:C153)+1))</f>
        <v/>
      </c>
      <c r="D154" t="e">
        <f t="shared" si="31"/>
        <v>#N/A</v>
      </c>
      <c r="E154" s="22"/>
      <c r="F154" s="62" t="e">
        <f t="shared" ca="1" si="33"/>
        <v>#DIV/0!</v>
      </c>
      <c r="G154" s="62"/>
      <c r="H154" s="62"/>
      <c r="I154" s="62"/>
      <c r="J154" s="62" t="str">
        <f t="shared" si="34"/>
        <v>N/A</v>
      </c>
      <c r="K154" s="62" t="str">
        <f t="shared" si="35"/>
        <v>N/A</v>
      </c>
      <c r="L154" s="62"/>
      <c r="M154" s="62" t="str">
        <f t="shared" ca="1" si="36"/>
        <v>N/A</v>
      </c>
      <c r="N154" s="62" t="str">
        <f t="shared" ca="1" si="36"/>
        <v>N/A</v>
      </c>
      <c r="O154" s="62" t="str">
        <f t="shared" ca="1" si="36"/>
        <v>N/A</v>
      </c>
      <c r="P154" s="62" t="str">
        <f t="shared" ca="1" si="36"/>
        <v>N/A</v>
      </c>
      <c r="Q154" s="62" t="str">
        <f t="shared" ca="1" si="36"/>
        <v>N/A</v>
      </c>
      <c r="R154" s="62" t="str">
        <f t="shared" ca="1" si="36"/>
        <v>N/A</v>
      </c>
      <c r="S154" s="62" t="str">
        <f t="shared" ca="1" si="36"/>
        <v>N/A</v>
      </c>
      <c r="T154" s="62" t="str">
        <f t="shared" ca="1" si="36"/>
        <v>N/A</v>
      </c>
      <c r="U154" s="62" t="str">
        <f t="shared" ca="1" si="36"/>
        <v>N/A</v>
      </c>
      <c r="V154" s="62" t="str">
        <f t="shared" ca="1" si="36"/>
        <v>N/A</v>
      </c>
      <c r="W154" s="62" t="str">
        <f t="shared" ca="1" si="36"/>
        <v>N/A</v>
      </c>
      <c r="X154" s="62"/>
      <c r="Y154" s="17"/>
      <c r="Z154" s="17"/>
      <c r="AA154" s="17"/>
    </row>
    <row r="155" spans="1:27" hidden="1" x14ac:dyDescent="0.25">
      <c r="A155" s="50">
        <f t="shared" si="29"/>
        <v>0</v>
      </c>
      <c r="B155" s="45" t="e">
        <f t="shared" ca="1" si="30"/>
        <v>#N/A</v>
      </c>
      <c r="C155" s="1" t="str">
        <f>IF(ISERROR(D155),"",IF(D155="","",MAX($C$121:C154)+1))</f>
        <v/>
      </c>
      <c r="D155" t="e">
        <f t="shared" si="31"/>
        <v>#N/A</v>
      </c>
      <c r="E155" s="22"/>
      <c r="F155" s="62" t="e">
        <f t="shared" ca="1" si="33"/>
        <v>#DIV/0!</v>
      </c>
      <c r="G155" s="62"/>
      <c r="H155" s="62"/>
      <c r="I155" s="62"/>
      <c r="J155" s="62" t="str">
        <f t="shared" si="34"/>
        <v>N/A</v>
      </c>
      <c r="K155" s="62" t="str">
        <f t="shared" si="35"/>
        <v>N/A</v>
      </c>
      <c r="L155" s="62"/>
      <c r="M155" s="62" t="str">
        <f t="shared" ca="1" si="36"/>
        <v>N/A</v>
      </c>
      <c r="N155" s="62" t="str">
        <f t="shared" ca="1" si="36"/>
        <v>N/A</v>
      </c>
      <c r="O155" s="62" t="str">
        <f t="shared" ca="1" si="36"/>
        <v>N/A</v>
      </c>
      <c r="P155" s="62" t="str">
        <f t="shared" ca="1" si="36"/>
        <v>N/A</v>
      </c>
      <c r="Q155" s="62" t="str">
        <f t="shared" ca="1" si="36"/>
        <v>N/A</v>
      </c>
      <c r="R155" s="62" t="str">
        <f t="shared" ca="1" si="36"/>
        <v>N/A</v>
      </c>
      <c r="S155" s="62" t="str">
        <f t="shared" ca="1" si="36"/>
        <v>N/A</v>
      </c>
      <c r="T155" s="62" t="str">
        <f t="shared" ca="1" si="36"/>
        <v>N/A</v>
      </c>
      <c r="U155" s="62" t="str">
        <f t="shared" ca="1" si="36"/>
        <v>N/A</v>
      </c>
      <c r="V155" s="62" t="str">
        <f t="shared" ca="1" si="36"/>
        <v>N/A</v>
      </c>
      <c r="W155" s="62" t="str">
        <f t="shared" ca="1" si="36"/>
        <v>N/A</v>
      </c>
      <c r="X155" s="62"/>
      <c r="Y155" s="17"/>
      <c r="Z155" s="17"/>
      <c r="AA155" s="17"/>
    </row>
    <row r="156" spans="1:27" hidden="1" x14ac:dyDescent="0.25">
      <c r="A156" s="50">
        <f t="shared" si="29"/>
        <v>0</v>
      </c>
      <c r="B156" s="45" t="e">
        <f t="shared" ca="1" si="30"/>
        <v>#N/A</v>
      </c>
      <c r="C156" s="1" t="str">
        <f>IF(ISERROR(D156),"",IF(D156="","",MAX($C$121:C155)+1))</f>
        <v/>
      </c>
      <c r="D156" t="e">
        <f t="shared" si="31"/>
        <v>#N/A</v>
      </c>
      <c r="E156" s="22"/>
      <c r="F156" s="62" t="e">
        <f t="shared" ca="1" si="33"/>
        <v>#DIV/0!</v>
      </c>
      <c r="G156" s="62"/>
      <c r="H156" s="62"/>
      <c r="I156" s="62"/>
      <c r="J156" s="62" t="str">
        <f t="shared" si="34"/>
        <v>N/A</v>
      </c>
      <c r="K156" s="62" t="str">
        <f t="shared" si="35"/>
        <v>N/A</v>
      </c>
      <c r="L156" s="62"/>
      <c r="M156" s="62" t="str">
        <f t="shared" ca="1" si="36"/>
        <v>N/A</v>
      </c>
      <c r="N156" s="62" t="str">
        <f t="shared" ca="1" si="36"/>
        <v>N/A</v>
      </c>
      <c r="O156" s="62" t="str">
        <f t="shared" ca="1" si="36"/>
        <v>N/A</v>
      </c>
      <c r="P156" s="62" t="str">
        <f t="shared" ca="1" si="36"/>
        <v>N/A</v>
      </c>
      <c r="Q156" s="62" t="str">
        <f t="shared" ca="1" si="36"/>
        <v>N/A</v>
      </c>
      <c r="R156" s="62" t="str">
        <f t="shared" ca="1" si="36"/>
        <v>N/A</v>
      </c>
      <c r="S156" s="62" t="str">
        <f t="shared" ca="1" si="36"/>
        <v>N/A</v>
      </c>
      <c r="T156" s="62" t="str">
        <f t="shared" ca="1" si="36"/>
        <v>N/A</v>
      </c>
      <c r="U156" s="62" t="str">
        <f t="shared" ca="1" si="36"/>
        <v>N/A</v>
      </c>
      <c r="V156" s="62" t="str">
        <f t="shared" ca="1" si="36"/>
        <v>N/A</v>
      </c>
      <c r="W156" s="62" t="str">
        <f t="shared" ca="1" si="36"/>
        <v>N/A</v>
      </c>
      <c r="X156" s="62"/>
      <c r="Y156" s="17"/>
      <c r="Z156" s="17"/>
      <c r="AA156" s="17"/>
    </row>
    <row r="157" spans="1:27" hidden="1" x14ac:dyDescent="0.25">
      <c r="A157" s="50">
        <f t="shared" si="29"/>
        <v>0</v>
      </c>
      <c r="B157" s="45" t="e">
        <f t="shared" ca="1" si="30"/>
        <v>#N/A</v>
      </c>
      <c r="C157" s="1" t="str">
        <f>IF(ISERROR(D157),"",IF(D157="","",MAX($C$121:C156)+1))</f>
        <v/>
      </c>
      <c r="D157" t="e">
        <f t="shared" si="31"/>
        <v>#N/A</v>
      </c>
      <c r="E157" s="22"/>
      <c r="F157" s="62" t="e">
        <f t="shared" ca="1" si="33"/>
        <v>#DIV/0!</v>
      </c>
      <c r="G157" s="62"/>
      <c r="H157" s="62"/>
      <c r="I157" s="62"/>
      <c r="J157" s="62" t="str">
        <f t="shared" si="34"/>
        <v>N/A</v>
      </c>
      <c r="K157" s="62" t="str">
        <f t="shared" si="35"/>
        <v>N/A</v>
      </c>
      <c r="L157" s="62"/>
      <c r="M157" s="62" t="str">
        <f t="shared" ca="1" si="36"/>
        <v>N/A</v>
      </c>
      <c r="N157" s="62" t="str">
        <f t="shared" ca="1" si="36"/>
        <v>N/A</v>
      </c>
      <c r="O157" s="62" t="str">
        <f t="shared" ca="1" si="36"/>
        <v>N/A</v>
      </c>
      <c r="P157" s="62" t="str">
        <f t="shared" ca="1" si="36"/>
        <v>N/A</v>
      </c>
      <c r="Q157" s="62" t="str">
        <f t="shared" ca="1" si="36"/>
        <v>N/A</v>
      </c>
      <c r="R157" s="62" t="str">
        <f t="shared" ca="1" si="36"/>
        <v>N/A</v>
      </c>
      <c r="S157" s="62" t="str">
        <f t="shared" ca="1" si="36"/>
        <v>N/A</v>
      </c>
      <c r="T157" s="62" t="str">
        <f t="shared" ca="1" si="36"/>
        <v>N/A</v>
      </c>
      <c r="U157" s="62" t="str">
        <f t="shared" ca="1" si="36"/>
        <v>N/A</v>
      </c>
      <c r="V157" s="62" t="str">
        <f t="shared" ca="1" si="36"/>
        <v>N/A</v>
      </c>
      <c r="W157" s="62" t="str">
        <f t="shared" ca="1" si="36"/>
        <v>N/A</v>
      </c>
      <c r="X157" s="62"/>
      <c r="Y157" s="17"/>
      <c r="Z157" s="17"/>
      <c r="AA157" s="17"/>
    </row>
    <row r="158" spans="1:27" hidden="1" x14ac:dyDescent="0.25">
      <c r="A158" s="50">
        <f t="shared" si="29"/>
        <v>0</v>
      </c>
      <c r="B158" s="45" t="e">
        <f t="shared" ca="1" si="30"/>
        <v>#N/A</v>
      </c>
      <c r="C158" s="1" t="str">
        <f>IF(ISERROR(D158),"",IF(D158="","",MAX($C$121:C157)+1))</f>
        <v/>
      </c>
      <c r="D158" t="e">
        <f t="shared" si="31"/>
        <v>#N/A</v>
      </c>
      <c r="E158" s="22"/>
      <c r="F158" s="62" t="e">
        <f t="shared" ca="1" si="33"/>
        <v>#DIV/0!</v>
      </c>
      <c r="G158" s="62"/>
      <c r="H158" s="62"/>
      <c r="I158" s="62"/>
      <c r="J158" s="62" t="str">
        <f t="shared" si="34"/>
        <v>N/A</v>
      </c>
      <c r="K158" s="62" t="str">
        <f t="shared" si="35"/>
        <v>N/A</v>
      </c>
      <c r="L158" s="62"/>
      <c r="M158" s="62" t="str">
        <f t="shared" ca="1" si="36"/>
        <v>N/A</v>
      </c>
      <c r="N158" s="62" t="str">
        <f t="shared" ca="1" si="36"/>
        <v>N/A</v>
      </c>
      <c r="O158" s="62" t="str">
        <f t="shared" ca="1" si="36"/>
        <v>N/A</v>
      </c>
      <c r="P158" s="62" t="str">
        <f t="shared" ca="1" si="36"/>
        <v>N/A</v>
      </c>
      <c r="Q158" s="62" t="str">
        <f t="shared" ca="1" si="36"/>
        <v>N/A</v>
      </c>
      <c r="R158" s="62" t="str">
        <f t="shared" ca="1" si="36"/>
        <v>N/A</v>
      </c>
      <c r="S158" s="62" t="str">
        <f t="shared" ca="1" si="36"/>
        <v>N/A</v>
      </c>
      <c r="T158" s="62" t="str">
        <f t="shared" ca="1" si="36"/>
        <v>N/A</v>
      </c>
      <c r="U158" s="62" t="str">
        <f t="shared" ca="1" si="36"/>
        <v>N/A</v>
      </c>
      <c r="V158" s="62" t="str">
        <f t="shared" ca="1" si="36"/>
        <v>N/A</v>
      </c>
      <c r="W158" s="62" t="str">
        <f t="shared" ca="1" si="36"/>
        <v>N/A</v>
      </c>
      <c r="X158" s="62"/>
      <c r="Y158" s="17"/>
      <c r="Z158" s="17"/>
      <c r="AA158" s="17"/>
    </row>
    <row r="159" spans="1:27" hidden="1" x14ac:dyDescent="0.25">
      <c r="A159" s="50">
        <f t="shared" si="29"/>
        <v>0</v>
      </c>
      <c r="B159" s="45" t="e">
        <f t="shared" ca="1" si="30"/>
        <v>#N/A</v>
      </c>
      <c r="C159" s="1" t="str">
        <f>IF(ISERROR(D159),"",IF(D159="","",MAX($C$121:C158)+1))</f>
        <v/>
      </c>
      <c r="D159" t="e">
        <f t="shared" si="31"/>
        <v>#N/A</v>
      </c>
      <c r="E159" s="22"/>
      <c r="F159" s="62" t="e">
        <f t="shared" ca="1" si="33"/>
        <v>#DIV/0!</v>
      </c>
      <c r="G159" s="62"/>
      <c r="H159" s="62"/>
      <c r="I159" s="62"/>
      <c r="J159" s="62" t="str">
        <f t="shared" si="34"/>
        <v>N/A</v>
      </c>
      <c r="K159" s="62" t="str">
        <f t="shared" si="35"/>
        <v>N/A</v>
      </c>
      <c r="L159" s="62"/>
      <c r="M159" s="62" t="str">
        <f t="shared" ca="1" si="36"/>
        <v>N/A</v>
      </c>
      <c r="N159" s="62" t="str">
        <f t="shared" ca="1" si="36"/>
        <v>N/A</v>
      </c>
      <c r="O159" s="62" t="str">
        <f t="shared" ca="1" si="36"/>
        <v>N/A</v>
      </c>
      <c r="P159" s="62" t="str">
        <f t="shared" ca="1" si="36"/>
        <v>N/A</v>
      </c>
      <c r="Q159" s="62" t="str">
        <f t="shared" ca="1" si="36"/>
        <v>N/A</v>
      </c>
      <c r="R159" s="62" t="str">
        <f t="shared" ca="1" si="36"/>
        <v>N/A</v>
      </c>
      <c r="S159" s="62" t="str">
        <f t="shared" ca="1" si="36"/>
        <v>N/A</v>
      </c>
      <c r="T159" s="62" t="str">
        <f t="shared" ca="1" si="36"/>
        <v>N/A</v>
      </c>
      <c r="U159" s="62" t="str">
        <f t="shared" ca="1" si="36"/>
        <v>N/A</v>
      </c>
      <c r="V159" s="62" t="str">
        <f t="shared" ca="1" si="36"/>
        <v>N/A</v>
      </c>
      <c r="W159" s="62" t="str">
        <f t="shared" ca="1" si="36"/>
        <v>N/A</v>
      </c>
      <c r="X159" s="62"/>
      <c r="Y159" s="17"/>
      <c r="Z159" s="17"/>
      <c r="AA159" s="17"/>
    </row>
    <row r="160" spans="1:27" hidden="1" x14ac:dyDescent="0.25">
      <c r="A160" s="50">
        <f t="shared" si="29"/>
        <v>0</v>
      </c>
      <c r="B160" s="45" t="e">
        <f t="shared" ca="1" si="30"/>
        <v>#N/A</v>
      </c>
      <c r="C160" s="1" t="str">
        <f>IF(ISERROR(D160),"",IF(D160="","",MAX($C$121:C159)+1))</f>
        <v/>
      </c>
      <c r="D160" t="e">
        <f t="shared" si="31"/>
        <v>#N/A</v>
      </c>
      <c r="E160" s="22"/>
      <c r="F160" s="62" t="e">
        <f t="shared" ca="1" si="33"/>
        <v>#DIV/0!</v>
      </c>
      <c r="G160" s="62"/>
      <c r="H160" s="62"/>
      <c r="I160" s="62"/>
      <c r="J160" s="62" t="str">
        <f t="shared" si="34"/>
        <v>N/A</v>
      </c>
      <c r="K160" s="62" t="str">
        <f t="shared" si="35"/>
        <v>N/A</v>
      </c>
      <c r="L160" s="62"/>
      <c r="M160" s="62" t="str">
        <f t="shared" ca="1" si="36"/>
        <v>N/A</v>
      </c>
      <c r="N160" s="62" t="str">
        <f t="shared" ca="1" si="36"/>
        <v>N/A</v>
      </c>
      <c r="O160" s="62" t="str">
        <f t="shared" ca="1" si="36"/>
        <v>N/A</v>
      </c>
      <c r="P160" s="62" t="str">
        <f t="shared" ca="1" si="36"/>
        <v>N/A</v>
      </c>
      <c r="Q160" s="62" t="str">
        <f t="shared" ca="1" si="36"/>
        <v>N/A</v>
      </c>
      <c r="R160" s="62" t="str">
        <f t="shared" ca="1" si="36"/>
        <v>N/A</v>
      </c>
      <c r="S160" s="62" t="str">
        <f t="shared" ca="1" si="36"/>
        <v>N/A</v>
      </c>
      <c r="T160" s="62" t="str">
        <f t="shared" ca="1" si="36"/>
        <v>N/A</v>
      </c>
      <c r="U160" s="62" t="str">
        <f t="shared" ca="1" si="36"/>
        <v>N/A</v>
      </c>
      <c r="V160" s="62" t="str">
        <f t="shared" ca="1" si="36"/>
        <v>N/A</v>
      </c>
      <c r="W160" s="62" t="str">
        <f t="shared" ca="1" si="36"/>
        <v>N/A</v>
      </c>
      <c r="X160" s="62"/>
      <c r="Y160" s="17"/>
      <c r="Z160" s="17"/>
      <c r="AA160" s="17"/>
    </row>
    <row r="161" spans="1:27" hidden="1" x14ac:dyDescent="0.25">
      <c r="A161" s="50">
        <f t="shared" si="29"/>
        <v>0</v>
      </c>
      <c r="B161" s="45" t="e">
        <f t="shared" ca="1" si="30"/>
        <v>#N/A</v>
      </c>
      <c r="C161" s="1" t="str">
        <f>IF(ISERROR(D161),"",IF(D161="","",MAX($C$121:C160)+1))</f>
        <v/>
      </c>
      <c r="D161" t="e">
        <f t="shared" si="31"/>
        <v>#N/A</v>
      </c>
      <c r="E161" s="22"/>
      <c r="F161" s="62" t="e">
        <f t="shared" ca="1" si="33"/>
        <v>#DIV/0!</v>
      </c>
      <c r="G161" s="62"/>
      <c r="H161" s="62"/>
      <c r="I161" s="62"/>
      <c r="J161" s="62" t="str">
        <f t="shared" si="34"/>
        <v>N/A</v>
      </c>
      <c r="K161" s="62" t="str">
        <f t="shared" si="35"/>
        <v>N/A</v>
      </c>
      <c r="L161" s="62"/>
      <c r="M161" s="62" t="str">
        <f t="shared" ca="1" si="36"/>
        <v>N/A</v>
      </c>
      <c r="N161" s="62" t="str">
        <f t="shared" ca="1" si="36"/>
        <v>N/A</v>
      </c>
      <c r="O161" s="62" t="str">
        <f t="shared" ca="1" si="36"/>
        <v>N/A</v>
      </c>
      <c r="P161" s="62" t="str">
        <f t="shared" ca="1" si="36"/>
        <v>N/A</v>
      </c>
      <c r="Q161" s="62" t="str">
        <f t="shared" ca="1" si="36"/>
        <v>N/A</v>
      </c>
      <c r="R161" s="62" t="str">
        <f t="shared" ca="1" si="36"/>
        <v>N/A</v>
      </c>
      <c r="S161" s="62" t="str">
        <f t="shared" ca="1" si="36"/>
        <v>N/A</v>
      </c>
      <c r="T161" s="62" t="str">
        <f t="shared" ca="1" si="36"/>
        <v>N/A</v>
      </c>
      <c r="U161" s="62" t="str">
        <f t="shared" ca="1" si="36"/>
        <v>N/A</v>
      </c>
      <c r="V161" s="62" t="str">
        <f t="shared" ca="1" si="36"/>
        <v>N/A</v>
      </c>
      <c r="W161" s="62" t="str">
        <f t="shared" ca="1" si="36"/>
        <v>N/A</v>
      </c>
      <c r="X161" s="62"/>
      <c r="Y161" s="17"/>
      <c r="Z161" s="17"/>
      <c r="AA161" s="17"/>
    </row>
    <row r="162" spans="1:27" hidden="1" x14ac:dyDescent="0.25">
      <c r="A162" s="50">
        <f t="shared" si="29"/>
        <v>0</v>
      </c>
      <c r="B162" s="45" t="e">
        <f t="shared" ca="1" si="30"/>
        <v>#N/A</v>
      </c>
      <c r="C162" s="1" t="str">
        <f>IF(ISERROR(D162),"",IF(D162="","",MAX($C$121:C161)+1))</f>
        <v/>
      </c>
      <c r="D162" t="e">
        <f t="shared" si="31"/>
        <v>#N/A</v>
      </c>
      <c r="E162" s="22"/>
      <c r="F162" s="62" t="e">
        <f t="shared" ca="1" si="33"/>
        <v>#DIV/0!</v>
      </c>
      <c r="G162" s="62"/>
      <c r="H162" s="62"/>
      <c r="I162" s="62"/>
      <c r="J162" s="62" t="str">
        <f t="shared" si="34"/>
        <v>N/A</v>
      </c>
      <c r="K162" s="62" t="str">
        <f t="shared" si="35"/>
        <v>N/A</v>
      </c>
      <c r="L162" s="62"/>
      <c r="M162" s="62" t="str">
        <f t="shared" ca="1" si="36"/>
        <v>N/A</v>
      </c>
      <c r="N162" s="62" t="str">
        <f t="shared" ca="1" si="36"/>
        <v>N/A</v>
      </c>
      <c r="O162" s="62" t="str">
        <f t="shared" ref="N162:W167" ca="1" si="37">IFERROR(IF(INDEX(CF_CAP_WP,$B162,O$122)=0,"N/A",INDEX(CF_CAP_WP,$B162,O$122)),"N/A")</f>
        <v>N/A</v>
      </c>
      <c r="P162" s="62" t="str">
        <f t="shared" ca="1" si="37"/>
        <v>N/A</v>
      </c>
      <c r="Q162" s="62" t="str">
        <f t="shared" ca="1" si="37"/>
        <v>N/A</v>
      </c>
      <c r="R162" s="62" t="str">
        <f t="shared" ca="1" si="37"/>
        <v>N/A</v>
      </c>
      <c r="S162" s="62" t="str">
        <f t="shared" ca="1" si="37"/>
        <v>N/A</v>
      </c>
      <c r="T162" s="62" t="str">
        <f t="shared" ca="1" si="37"/>
        <v>N/A</v>
      </c>
      <c r="U162" s="62" t="str">
        <f t="shared" ca="1" si="37"/>
        <v>N/A</v>
      </c>
      <c r="V162" s="62" t="str">
        <f t="shared" ca="1" si="37"/>
        <v>N/A</v>
      </c>
      <c r="W162" s="62" t="str">
        <f t="shared" ca="1" si="37"/>
        <v>N/A</v>
      </c>
      <c r="X162" s="62"/>
      <c r="Y162" s="17"/>
      <c r="Z162" s="17"/>
      <c r="AA162" s="17"/>
    </row>
    <row r="163" spans="1:27" hidden="1" x14ac:dyDescent="0.25">
      <c r="A163" s="50">
        <f t="shared" si="29"/>
        <v>0</v>
      </c>
      <c r="B163" s="45" t="e">
        <f t="shared" ca="1" si="30"/>
        <v>#N/A</v>
      </c>
      <c r="C163" s="1" t="str">
        <f>IF(ISERROR(D163),"",IF(D163="","",MAX($C$121:C162)+1))</f>
        <v/>
      </c>
      <c r="D163" t="e">
        <f t="shared" si="31"/>
        <v>#N/A</v>
      </c>
      <c r="E163" s="22"/>
      <c r="F163" s="62" t="e">
        <f t="shared" ca="1" si="33"/>
        <v>#DIV/0!</v>
      </c>
      <c r="G163" s="62"/>
      <c r="H163" s="62"/>
      <c r="I163" s="62"/>
      <c r="J163" s="62" t="str">
        <f t="shared" si="34"/>
        <v>N/A</v>
      </c>
      <c r="K163" s="62" t="str">
        <f t="shared" si="35"/>
        <v>N/A</v>
      </c>
      <c r="L163" s="62"/>
      <c r="M163" s="62" t="str">
        <f ca="1">IFERROR(IF(INDEX(CF_CAP_WP,$B163,M$122)=0,"N/A",INDEX(CF_CAP_WP,$B163,M$122)),"N/A")</f>
        <v>N/A</v>
      </c>
      <c r="N163" s="62" t="str">
        <f t="shared" ca="1" si="37"/>
        <v>N/A</v>
      </c>
      <c r="O163" s="62" t="str">
        <f t="shared" ca="1" si="37"/>
        <v>N/A</v>
      </c>
      <c r="P163" s="62" t="str">
        <f t="shared" ca="1" si="37"/>
        <v>N/A</v>
      </c>
      <c r="Q163" s="62" t="str">
        <f t="shared" ca="1" si="37"/>
        <v>N/A</v>
      </c>
      <c r="R163" s="62" t="str">
        <f t="shared" ca="1" si="37"/>
        <v>N/A</v>
      </c>
      <c r="S163" s="62" t="str">
        <f t="shared" ca="1" si="37"/>
        <v>N/A</v>
      </c>
      <c r="T163" s="62" t="str">
        <f t="shared" ca="1" si="37"/>
        <v>N/A</v>
      </c>
      <c r="U163" s="62" t="str">
        <f t="shared" ca="1" si="37"/>
        <v>N/A</v>
      </c>
      <c r="V163" s="62" t="str">
        <f t="shared" ca="1" si="37"/>
        <v>N/A</v>
      </c>
      <c r="W163" s="62" t="str">
        <f t="shared" ca="1" si="37"/>
        <v>N/A</v>
      </c>
      <c r="X163" s="62"/>
      <c r="Y163" s="17"/>
      <c r="Z163" s="17"/>
      <c r="AA163" s="17"/>
    </row>
    <row r="164" spans="1:27" hidden="1" x14ac:dyDescent="0.25">
      <c r="A164" s="50">
        <f t="shared" si="29"/>
        <v>0</v>
      </c>
      <c r="B164" s="45" t="e">
        <f t="shared" ca="1" si="30"/>
        <v>#N/A</v>
      </c>
      <c r="C164" s="1" t="str">
        <f>IF(ISERROR(D164),"",IF(D164="","",MAX($C$121:C163)+1))</f>
        <v/>
      </c>
      <c r="D164" t="e">
        <f t="shared" si="31"/>
        <v>#N/A</v>
      </c>
      <c r="E164" s="22"/>
      <c r="F164" s="62" t="e">
        <f t="shared" ca="1" si="33"/>
        <v>#DIV/0!</v>
      </c>
      <c r="G164" s="62"/>
      <c r="H164" s="62"/>
      <c r="I164" s="62"/>
      <c r="J164" s="62" t="str">
        <f t="shared" si="34"/>
        <v>N/A</v>
      </c>
      <c r="K164" s="62" t="str">
        <f t="shared" si="35"/>
        <v>N/A</v>
      </c>
      <c r="L164" s="62"/>
      <c r="M164" s="62" t="str">
        <f ca="1">IFERROR(IF(INDEX(CF_CAP_WP,$B164,M$122)=0,"N/A",INDEX(CF_CAP_WP,$B164,M$122)),"N/A")</f>
        <v>N/A</v>
      </c>
      <c r="N164" s="62" t="str">
        <f t="shared" ca="1" si="37"/>
        <v>N/A</v>
      </c>
      <c r="O164" s="62" t="str">
        <f t="shared" ca="1" si="37"/>
        <v>N/A</v>
      </c>
      <c r="P164" s="62" t="str">
        <f t="shared" ca="1" si="37"/>
        <v>N/A</v>
      </c>
      <c r="Q164" s="62" t="str">
        <f t="shared" ca="1" si="37"/>
        <v>N/A</v>
      </c>
      <c r="R164" s="62" t="str">
        <f t="shared" ca="1" si="37"/>
        <v>N/A</v>
      </c>
      <c r="S164" s="62" t="str">
        <f t="shared" ca="1" si="37"/>
        <v>N/A</v>
      </c>
      <c r="T164" s="62" t="str">
        <f t="shared" ca="1" si="37"/>
        <v>N/A</v>
      </c>
      <c r="U164" s="62" t="str">
        <f t="shared" ca="1" si="37"/>
        <v>N/A</v>
      </c>
      <c r="V164" s="62" t="str">
        <f t="shared" ca="1" si="37"/>
        <v>N/A</v>
      </c>
      <c r="W164" s="62" t="str">
        <f t="shared" ca="1" si="37"/>
        <v>N/A</v>
      </c>
      <c r="X164" s="62"/>
      <c r="Y164" s="17"/>
      <c r="Z164" s="17"/>
      <c r="AA164" s="17"/>
    </row>
    <row r="165" spans="1:27" hidden="1" x14ac:dyDescent="0.25">
      <c r="A165" s="50">
        <f t="shared" si="29"/>
        <v>0</v>
      </c>
      <c r="B165" s="45" t="e">
        <f t="shared" ca="1" si="30"/>
        <v>#N/A</v>
      </c>
      <c r="C165" s="1" t="str">
        <f>IF(ISERROR(D165),"",IF(D165="","",MAX($C$121:C164)+1))</f>
        <v/>
      </c>
      <c r="D165" t="e">
        <f t="shared" si="31"/>
        <v>#N/A</v>
      </c>
      <c r="F165" s="62" t="e">
        <f t="shared" ca="1" si="33"/>
        <v>#DIV/0!</v>
      </c>
      <c r="G165" s="62"/>
      <c r="H165" s="62"/>
      <c r="I165" s="62"/>
      <c r="J165" s="62" t="str">
        <f t="shared" si="34"/>
        <v>N/A</v>
      </c>
      <c r="K165" s="62" t="str">
        <f t="shared" si="35"/>
        <v>N/A</v>
      </c>
      <c r="L165" s="62"/>
      <c r="M165" s="62" t="str">
        <f ca="1">IFERROR(IF(INDEX(CF_CAP_WP,$B165,M$122)=0,"N/A",INDEX(CF_CAP_WP,$B165,M$122)),"N/A")</f>
        <v>N/A</v>
      </c>
      <c r="N165" s="62" t="str">
        <f t="shared" ca="1" si="37"/>
        <v>N/A</v>
      </c>
      <c r="O165" s="62" t="str">
        <f t="shared" ca="1" si="37"/>
        <v>N/A</v>
      </c>
      <c r="P165" s="62" t="str">
        <f t="shared" ca="1" si="37"/>
        <v>N/A</v>
      </c>
      <c r="Q165" s="62" t="str">
        <f t="shared" ca="1" si="37"/>
        <v>N/A</v>
      </c>
      <c r="R165" s="62" t="str">
        <f t="shared" ca="1" si="37"/>
        <v>N/A</v>
      </c>
      <c r="S165" s="62" t="str">
        <f t="shared" ca="1" si="37"/>
        <v>N/A</v>
      </c>
      <c r="T165" s="62" t="str">
        <f t="shared" ca="1" si="37"/>
        <v>N/A</v>
      </c>
      <c r="U165" s="62" t="str">
        <f t="shared" ca="1" si="37"/>
        <v>N/A</v>
      </c>
      <c r="V165" s="62" t="str">
        <f t="shared" ca="1" si="37"/>
        <v>N/A</v>
      </c>
      <c r="W165" s="62" t="str">
        <f t="shared" ca="1" si="37"/>
        <v>N/A</v>
      </c>
      <c r="X165" s="62"/>
      <c r="Y165" s="17"/>
      <c r="Z165" s="17"/>
      <c r="AA165" s="17"/>
    </row>
    <row r="166" spans="1:27" hidden="1" x14ac:dyDescent="0.25">
      <c r="A166" s="50">
        <f t="shared" si="29"/>
        <v>0</v>
      </c>
      <c r="B166" s="45" t="e">
        <f t="shared" ca="1" si="30"/>
        <v>#N/A</v>
      </c>
      <c r="C166" s="1" t="str">
        <f>IF(ISERROR(D166),"",IF(D166="","",MAX($C$121:C165)+1))</f>
        <v/>
      </c>
      <c r="D166" t="e">
        <f t="shared" si="31"/>
        <v>#N/A</v>
      </c>
      <c r="F166" s="62" t="e">
        <f t="shared" ca="1" si="33"/>
        <v>#DIV/0!</v>
      </c>
      <c r="G166" s="62"/>
      <c r="H166" s="62"/>
      <c r="I166" s="62"/>
      <c r="J166" s="62" t="str">
        <f t="shared" si="34"/>
        <v>N/A</v>
      </c>
      <c r="K166" s="62" t="str">
        <f t="shared" si="35"/>
        <v>N/A</v>
      </c>
      <c r="L166" s="62"/>
      <c r="M166" s="62" t="str">
        <f ca="1">IFERROR(IF(INDEX(CF_CAP_WP,$B166,M$122)=0,"N/A",INDEX(CF_CAP_WP,$B166,M$122)),"N/A")</f>
        <v>N/A</v>
      </c>
      <c r="N166" s="62" t="str">
        <f t="shared" ca="1" si="37"/>
        <v>N/A</v>
      </c>
      <c r="O166" s="62" t="str">
        <f t="shared" ca="1" si="37"/>
        <v>N/A</v>
      </c>
      <c r="P166" s="62" t="str">
        <f t="shared" ca="1" si="37"/>
        <v>N/A</v>
      </c>
      <c r="Q166" s="62" t="str">
        <f t="shared" ca="1" si="37"/>
        <v>N/A</v>
      </c>
      <c r="R166" s="62" t="str">
        <f t="shared" ca="1" si="37"/>
        <v>N/A</v>
      </c>
      <c r="S166" s="62" t="str">
        <f t="shared" ca="1" si="37"/>
        <v>N/A</v>
      </c>
      <c r="T166" s="62" t="str">
        <f t="shared" ca="1" si="37"/>
        <v>N/A</v>
      </c>
      <c r="U166" s="62" t="str">
        <f t="shared" ca="1" si="37"/>
        <v>N/A</v>
      </c>
      <c r="V166" s="62" t="str">
        <f t="shared" ca="1" si="37"/>
        <v>N/A</v>
      </c>
      <c r="W166" s="62" t="str">
        <f t="shared" ca="1" si="37"/>
        <v>N/A</v>
      </c>
      <c r="X166" s="62"/>
      <c r="Y166" s="17"/>
      <c r="Z166" s="17"/>
      <c r="AA166" s="17"/>
    </row>
    <row r="167" spans="1:27" hidden="1" x14ac:dyDescent="0.25">
      <c r="A167" s="50">
        <f t="shared" si="29"/>
        <v>0</v>
      </c>
      <c r="B167" s="45" t="e">
        <f t="shared" ca="1" si="30"/>
        <v>#N/A</v>
      </c>
      <c r="C167" s="1" t="str">
        <f>IF(ISERROR(D167),"",IF(D167="","",MAX($C$121:C166)+1))</f>
        <v/>
      </c>
      <c r="D167" t="e">
        <f t="shared" si="31"/>
        <v>#N/A</v>
      </c>
      <c r="F167" s="62" t="e">
        <f t="shared" ca="1" si="33"/>
        <v>#DIV/0!</v>
      </c>
      <c r="G167" s="62"/>
      <c r="H167" s="62"/>
      <c r="I167" s="62"/>
      <c r="J167" s="62" t="str">
        <f t="shared" si="34"/>
        <v>N/A</v>
      </c>
      <c r="K167" s="62" t="str">
        <f t="shared" si="35"/>
        <v>N/A</v>
      </c>
      <c r="L167" s="62"/>
      <c r="M167" s="62" t="str">
        <f ca="1">IFERROR(IF(INDEX(CF_CAP_WP,$B167,M$122)=0,"N/A",INDEX(CF_CAP_WP,$B167,M$122)),"N/A")</f>
        <v>N/A</v>
      </c>
      <c r="N167" s="62" t="str">
        <f t="shared" ca="1" si="37"/>
        <v>N/A</v>
      </c>
      <c r="O167" s="62" t="str">
        <f t="shared" ca="1" si="37"/>
        <v>N/A</v>
      </c>
      <c r="P167" s="62" t="str">
        <f t="shared" ca="1" si="37"/>
        <v>N/A</v>
      </c>
      <c r="Q167" s="62" t="str">
        <f t="shared" ca="1" si="37"/>
        <v>N/A</v>
      </c>
      <c r="R167" s="62" t="str">
        <f t="shared" ca="1" si="37"/>
        <v>N/A</v>
      </c>
      <c r="S167" s="62" t="str">
        <f t="shared" ca="1" si="37"/>
        <v>N/A</v>
      </c>
      <c r="T167" s="62" t="str">
        <f t="shared" ca="1" si="37"/>
        <v>N/A</v>
      </c>
      <c r="U167" s="62" t="str">
        <f t="shared" ca="1" si="37"/>
        <v>N/A</v>
      </c>
      <c r="V167" s="62" t="str">
        <f t="shared" ca="1" si="37"/>
        <v>N/A</v>
      </c>
      <c r="W167" s="62" t="str">
        <f t="shared" ca="1" si="37"/>
        <v>N/A</v>
      </c>
      <c r="X167" s="62"/>
      <c r="Y167" s="17"/>
      <c r="Z167" s="17"/>
      <c r="AA167" s="17"/>
    </row>
    <row r="168" spans="1:27" x14ac:dyDescent="0.25">
      <c r="A168" s="31"/>
      <c r="B168" s="31"/>
      <c r="C168" s="1" t="str">
        <f>IF(ISERROR(D168),"",IF(D168="","",MAX($C$121:C167)+1))</f>
        <v/>
      </c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17"/>
      <c r="Z168" s="17"/>
    </row>
    <row r="169" spans="1:27" x14ac:dyDescent="0.25">
      <c r="A169" s="31"/>
      <c r="B169" s="31"/>
      <c r="C169" s="1">
        <f ca="1">IF(ISERROR(D169),"",IF(D169="","",MAX($C$121:C168)+1))</f>
        <v>23</v>
      </c>
      <c r="D169" t="s">
        <v>98</v>
      </c>
      <c r="F169" s="62">
        <f ca="1">AVERAGE(G169:W169)</f>
        <v>0.77248720742743737</v>
      </c>
      <c r="G169" s="62">
        <f>AVERAGE(G123:G168)</f>
        <v>0.69927686083118479</v>
      </c>
      <c r="H169" s="62">
        <f>AVERAGE(H123:H168)</f>
        <v>0.79672966309595228</v>
      </c>
      <c r="I169" s="62">
        <f>AVERAGE(I123:I168)</f>
        <v>0.70234195577313552</v>
      </c>
      <c r="J169" s="62">
        <f t="shared" ref="J169:W169" si="38">AVERAGE(J123:J168)</f>
        <v>0.75213734904699547</v>
      </c>
      <c r="K169" s="62">
        <f t="shared" ca="1" si="38"/>
        <v>0.67677640105510084</v>
      </c>
      <c r="L169" s="62">
        <f t="shared" ca="1" si="38"/>
        <v>0.73149337007783777</v>
      </c>
      <c r="M169" s="62">
        <f t="shared" ca="1" si="38"/>
        <v>0.72628790330123483</v>
      </c>
      <c r="N169" s="62">
        <f t="shared" ca="1" si="38"/>
        <v>0.90759956885608128</v>
      </c>
      <c r="O169" s="62">
        <f t="shared" ca="1" si="38"/>
        <v>1.0694796714751926</v>
      </c>
      <c r="P169" s="62">
        <f t="shared" ca="1" si="38"/>
        <v>0.95732397335267694</v>
      </c>
      <c r="Q169" s="62">
        <f t="shared" ca="1" si="38"/>
        <v>0.90058701408597497</v>
      </c>
      <c r="R169" s="62">
        <f t="shared" ca="1" si="38"/>
        <v>0.82059121899789922</v>
      </c>
      <c r="S169" s="62">
        <f t="shared" ca="1" si="38"/>
        <v>0.74074703243378481</v>
      </c>
      <c r="T169" s="62">
        <f t="shared" ca="1" si="38"/>
        <v>0.76576080441376104</v>
      </c>
      <c r="U169" s="62">
        <f t="shared" ca="1" si="38"/>
        <v>0.67779082018053394</v>
      </c>
      <c r="V169" s="62">
        <f t="shared" ca="1" si="38"/>
        <v>0.65179059154061569</v>
      </c>
      <c r="W169" s="62">
        <f t="shared" ca="1" si="38"/>
        <v>0.55556832774847298</v>
      </c>
      <c r="X169" s="62"/>
      <c r="Y169" s="17"/>
      <c r="Z169" s="17"/>
      <c r="AA169" s="17"/>
    </row>
    <row r="170" spans="1:27" x14ac:dyDescent="0.25">
      <c r="A170" s="31"/>
      <c r="B170" s="31"/>
      <c r="C170" s="1">
        <f ca="1">IF(ISERROR(D170),"",IF(D170="","",MAX($C$121:C169)+1))</f>
        <v>24</v>
      </c>
      <c r="D170" t="s">
        <v>257</v>
      </c>
      <c r="F170" s="62">
        <f ca="1">AVERAGE(G170:W170)</f>
        <v>0.76464458459645701</v>
      </c>
      <c r="G170" s="62">
        <f>MEDIAN(G123:G168)</f>
        <v>0.71825396825396837</v>
      </c>
      <c r="H170" s="62">
        <f>MEDIAN(H123:H168)</f>
        <v>0.72008951313587066</v>
      </c>
      <c r="I170" s="62">
        <f>MEDIAN(I123:I168)</f>
        <v>0.68198879399445145</v>
      </c>
      <c r="J170" s="62">
        <f>MEDIAN(J123:J168)</f>
        <v>0.77400698384984723</v>
      </c>
      <c r="K170" s="62">
        <f ca="1">MEDIAN(K123:K168)</f>
        <v>0.66992247263740157</v>
      </c>
      <c r="L170" s="62">
        <f t="shared" ref="L170:W170" ca="1" si="39">MEDIAN(L123:L168)</f>
        <v>0.72416674066096487</v>
      </c>
      <c r="M170" s="62">
        <f t="shared" ca="1" si="39"/>
        <v>0.73093734880605954</v>
      </c>
      <c r="N170" s="62">
        <f t="shared" ca="1" si="39"/>
        <v>0.8473939227856635</v>
      </c>
      <c r="O170" s="62">
        <f t="shared" ca="1" si="39"/>
        <v>0.95953015999244129</v>
      </c>
      <c r="P170" s="62">
        <f t="shared" ca="1" si="39"/>
        <v>0.95513525095749718</v>
      </c>
      <c r="Q170" s="62">
        <f t="shared" ca="1" si="39"/>
        <v>0.78802381053998882</v>
      </c>
      <c r="R170" s="62">
        <f t="shared" ca="1" si="39"/>
        <v>0.75361920294644125</v>
      </c>
      <c r="S170" s="62">
        <f t="shared" ca="1" si="39"/>
        <v>0.78164628149042092</v>
      </c>
      <c r="T170" s="62">
        <f t="shared" ca="1" si="39"/>
        <v>0.74970672671312943</v>
      </c>
      <c r="U170" s="62">
        <f t="shared" ca="1" si="39"/>
        <v>0.72040833378093683</v>
      </c>
      <c r="V170" s="62">
        <f t="shared" ca="1" si="39"/>
        <v>0.8091411115832956</v>
      </c>
      <c r="W170" s="62">
        <f t="shared" ca="1" si="39"/>
        <v>0.61498731601139278</v>
      </c>
      <c r="X170" s="62"/>
      <c r="Y170" s="17"/>
      <c r="Z170" s="17"/>
      <c r="AA170" s="17"/>
    </row>
    <row r="171" spans="1:27" x14ac:dyDescent="0.25">
      <c r="A171" s="31"/>
      <c r="B171" s="31"/>
      <c r="C171" s="1"/>
    </row>
    <row r="172" spans="1:27" x14ac:dyDescent="0.25">
      <c r="A172" s="31"/>
      <c r="B172" s="31"/>
      <c r="D172" s="18"/>
      <c r="E172" s="88"/>
      <c r="F172" s="88"/>
      <c r="G172" s="212"/>
      <c r="H172" s="212"/>
      <c r="I172" s="212"/>
    </row>
    <row r="173" spans="1:27" x14ac:dyDescent="0.25">
      <c r="A173" s="31"/>
      <c r="B173" s="31"/>
      <c r="D173" s="20" t="s">
        <v>107</v>
      </c>
    </row>
    <row r="174" spans="1:27" ht="16.2" x14ac:dyDescent="0.25">
      <c r="A174" s="31"/>
      <c r="B174" s="31"/>
      <c r="D174" s="76">
        <v>1</v>
      </c>
      <c r="E174" s="21" t="str">
        <f>'CCW-1, Page 1W'!E174</f>
        <v>Data for years 2019 and prior were retreived from the Value Line Investment Survey Investment Analyzer Software, downloaded on June 18, 2021.</v>
      </c>
    </row>
    <row r="175" spans="1:27" ht="16.2" x14ac:dyDescent="0.25">
      <c r="A175" s="31"/>
      <c r="B175" s="31"/>
      <c r="D175" s="76"/>
      <c r="E175" s="21" t="str">
        <f>'CCW-1, Page 1W'!E175</f>
        <v>Data for the year 2020 was retrieved from Value Line Investment Surveys, April 9, 2021.</v>
      </c>
    </row>
    <row r="176" spans="1:27" ht="16.2" x14ac:dyDescent="0.25">
      <c r="A176" s="31"/>
      <c r="B176" s="31"/>
      <c r="D176" s="76"/>
      <c r="E176" s="21" t="str">
        <f>'CCW-1, Page 1W'!E176</f>
        <v>Data for the year 2021 was retrieved from Value Line Investment Surveys, April 8, 2022.</v>
      </c>
    </row>
    <row r="177" spans="1:5" ht="16.2" x14ac:dyDescent="0.25">
      <c r="A177" s="31"/>
      <c r="B177" s="31"/>
      <c r="D177" s="76">
        <v>2</v>
      </c>
      <c r="E177" s="21" t="str">
        <f>'CCW-1, Page 1W'!E177</f>
        <v>The Value Line Investment Survey, April 7, 2023.</v>
      </c>
    </row>
    <row r="178" spans="1:5" x14ac:dyDescent="0.25">
      <c r="A178" s="31"/>
      <c r="B178" s="31"/>
      <c r="D178" s="20" t="s">
        <v>328</v>
      </c>
    </row>
    <row r="179" spans="1:5" ht="16.2" x14ac:dyDescent="0.25">
      <c r="A179" s="31"/>
      <c r="B179" s="31"/>
      <c r="D179" s="76" t="s">
        <v>354</v>
      </c>
      <c r="E179" s="21" t="str">
        <f>"Based on the projected 2022 Dividends Declared per share and Book Value per share, published in The Value Line Investment Survey, "&amp;'2022 Data (WP)'!$D$3</f>
        <v>Based on the projected 2022 Dividends Declared per share and Book Value per share, published in The Value Line Investment Survey, April 7, 2023.</v>
      </c>
    </row>
    <row r="180" spans="1:5" ht="16.2" x14ac:dyDescent="0.25">
      <c r="A180" s="31"/>
      <c r="B180" s="31"/>
      <c r="D180" s="76" t="s">
        <v>355</v>
      </c>
      <c r="E180" s="21" t="str">
        <f>"Based on the projected 2022 Dividends Declared per share and Earnings per share, published in The Value Line Investment Survey, "&amp;'2022 Data (WP)'!$D$3</f>
        <v>Based on the projected 2022 Dividends Declared per share and Earnings per share, published in The Value Line Investment Survey, April 7, 2023.</v>
      </c>
    </row>
    <row r="181" spans="1:5" ht="16.2" x14ac:dyDescent="0.25">
      <c r="A181" s="31"/>
      <c r="B181" s="31"/>
      <c r="D181" s="76" t="s">
        <v>356</v>
      </c>
      <c r="E181" s="21" t="str">
        <f>"Based on the projected 2022 Cash Flow per share and Capital Spending per share, published in The Value Line Investment Survey, "&amp;'2022 Data (WP)'!$D$3</f>
        <v>Based on the projected 2022 Cash Flow per share and Capital Spending per share, published in The Value Line Investment Survey, April 7, 2023.</v>
      </c>
    </row>
    <row r="182" spans="1:5" x14ac:dyDescent="0.25">
      <c r="D182" s="23"/>
    </row>
  </sheetData>
  <mergeCells count="9">
    <mergeCell ref="D65:E65"/>
    <mergeCell ref="F118:AA118"/>
    <mergeCell ref="D120:E120"/>
    <mergeCell ref="C1:AA1"/>
    <mergeCell ref="C4:AA4"/>
    <mergeCell ref="C5:AA5"/>
    <mergeCell ref="F8:AA8"/>
    <mergeCell ref="D10:E10"/>
    <mergeCell ref="F63:AA63"/>
  </mergeCells>
  <printOptions horizontalCentered="1"/>
  <pageMargins left="0.7" right="0.7" top="1" bottom="0.75" header="0.55000000000000004" footer="0.51"/>
  <pageSetup scale="44" orientation="portrait" useFirstPageNumber="1" r:id="rId1"/>
  <headerFooter>
    <oddHeader>&amp;R&amp;"Arial,Bold"&amp;20Direct Exhibit CCW-1
Page 6 of 12</oddHeader>
  </headerFooter>
  <ignoredErrors>
    <ignoredError sqref="B70:C70 B125 J125 J70 J15" formula="1"/>
    <ignoredError sqref="D12:E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B181"/>
  <sheetViews>
    <sheetView view="pageLayout" topLeftCell="C1" zoomScaleNormal="70" workbookViewId="0">
      <selection activeCell="U3" sqref="U3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20.5" customWidth="1"/>
    <col min="6" max="24" width="9" customWidth="1"/>
    <col min="25" max="25" width="9" hidden="1" customWidth="1"/>
    <col min="26" max="28" width="0" hidden="1" customWidth="1"/>
  </cols>
  <sheetData>
    <row r="1" spans="1:28" ht="28.2" x14ac:dyDescent="0.5">
      <c r="C1" s="277" t="str">
        <f>'CCW-1, pgs 1-3'!C1:AB1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8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28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28" ht="21" x14ac:dyDescent="0.4">
      <c r="C4" s="278" t="s">
        <v>520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</row>
    <row r="5" spans="1:28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</row>
    <row r="6" spans="1:28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 ht="16.2" x14ac:dyDescent="0.25">
      <c r="C8" s="6"/>
      <c r="D8" s="7"/>
      <c r="E8" s="7"/>
      <c r="F8" s="280" t="s">
        <v>95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</row>
    <row r="9" spans="1:28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28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558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>
        <v>2005</v>
      </c>
      <c r="Z10" s="40">
        <v>2004</v>
      </c>
      <c r="AA10" s="40">
        <v>2003</v>
      </c>
      <c r="AB10" s="40">
        <v>2002</v>
      </c>
    </row>
    <row r="11" spans="1:28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X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>
        <f>+W11-1</f>
        <v>-19</v>
      </c>
      <c r="Z11" s="12">
        <f>+Y11-1</f>
        <v>-20</v>
      </c>
      <c r="AA11" s="12">
        <f>+Z11-1</f>
        <v>-21</v>
      </c>
      <c r="AB11" s="12">
        <f>+AA11-1</f>
        <v>-22</v>
      </c>
    </row>
    <row r="12" spans="1:28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16">
        <f t="shared" ref="J12:P12" ca="1" si="1">MATCH(J10,OFFSET(PE_WP,-1,0,1,),0)</f>
        <v>4</v>
      </c>
      <c r="K12" s="16">
        <f t="shared" ca="1" si="1"/>
        <v>5</v>
      </c>
      <c r="L12" s="16">
        <f t="shared" ca="1" si="1"/>
        <v>6</v>
      </c>
      <c r="M12" s="16">
        <f t="shared" ca="1" si="1"/>
        <v>7</v>
      </c>
      <c r="N12" s="16">
        <f t="shared" ca="1" si="1"/>
        <v>8</v>
      </c>
      <c r="O12" s="16">
        <f t="shared" ca="1" si="1"/>
        <v>9</v>
      </c>
      <c r="P12" s="16">
        <f t="shared" ca="1" si="1"/>
        <v>10</v>
      </c>
      <c r="Q12" s="16">
        <f t="shared" ref="Q12:AB12" ca="1" si="2">MATCH(Q10,OFFSET(PE_WP,-1,0,1,),0)</f>
        <v>11</v>
      </c>
      <c r="R12" s="16">
        <f t="shared" ca="1" si="2"/>
        <v>12</v>
      </c>
      <c r="S12" s="16">
        <f t="shared" ca="1" si="2"/>
        <v>13</v>
      </c>
      <c r="T12" s="16">
        <f t="shared" ca="1" si="2"/>
        <v>14</v>
      </c>
      <c r="U12" s="16">
        <f t="shared" ca="1" si="2"/>
        <v>15</v>
      </c>
      <c r="V12" s="16">
        <f t="shared" ca="1" si="2"/>
        <v>16</v>
      </c>
      <c r="W12" s="16">
        <f t="shared" ca="1" si="2"/>
        <v>17</v>
      </c>
      <c r="X12" s="16">
        <f t="shared" ca="1" si="2"/>
        <v>18</v>
      </c>
      <c r="Y12" s="16">
        <f ca="1">MATCH(Y10,OFFSET(PE_WP,-1,0,1,),0)</f>
        <v>19</v>
      </c>
      <c r="Z12" s="16">
        <f t="shared" ca="1" si="2"/>
        <v>20</v>
      </c>
      <c r="AA12" s="16">
        <f t="shared" ca="1" si="2"/>
        <v>21</v>
      </c>
      <c r="AB12" s="16">
        <f t="shared" ca="1" si="2"/>
        <v>22</v>
      </c>
    </row>
    <row r="13" spans="1:28" x14ac:dyDescent="0.25">
      <c r="A13" s="44" t="s">
        <v>175</v>
      </c>
      <c r="B13" s="45">
        <f t="shared" ref="B13:B57" ca="1" si="3">IFERROR(MATCH(A13,OFFSET(PE_WP,0,0,,1),0),"")</f>
        <v>8</v>
      </c>
      <c r="C13" s="1">
        <f ca="1">IF(ISERROR(D13),"",IF(D13="","",MAX($C$12:C12)+1))</f>
        <v>1</v>
      </c>
      <c r="D13" t="str">
        <f t="shared" ref="D13:D57" ca="1" si="4">VLOOKUP(A13,LUCurYr,2,FALSE)</f>
        <v>Atmos Energy</v>
      </c>
      <c r="E13" s="15"/>
      <c r="F13" s="62">
        <f ca="1">IFERROR(AVERAGE(G13:X13),"N/A")</f>
        <v>17.445777777777778</v>
      </c>
      <c r="G13" s="62">
        <f t="shared" ref="G13:G22" si="5">IFERROR(IF(VLOOKUP($A13,Data2023,4,FALSE)=0,"",VLOOKUP($A13,Data2023,4,FALSE)),"N/A")</f>
        <v>17.399999999999999</v>
      </c>
      <c r="H13" s="62">
        <f t="shared" ref="H13:H22" si="6">IFERROR(IF(VLOOKUP($A13,Data2022,3,FALSE)=0,"",VLOOKUP($A13,Data2022,3,FALSE)),"N/A")</f>
        <v>19.3</v>
      </c>
      <c r="I13" s="62">
        <f t="shared" ref="I13:I22" si="7">IFERROR(IF(VLOOKUP(A13,lucyyr,3,FALSE)=0,"",VLOOKUP(A13,lucyyr,3,FALSE)),"N/A")</f>
        <v>18.8</v>
      </c>
      <c r="J13" s="62">
        <f t="shared" ref="J13:X31" ca="1" si="8">IFERROR(INDEX(PE_WP,$B13,J$12),"N/A")</f>
        <v>22.3</v>
      </c>
      <c r="K13" s="62">
        <f t="shared" ca="1" si="8"/>
        <v>23.2</v>
      </c>
      <c r="L13" s="62">
        <f t="shared" ca="1" si="8"/>
        <v>21.7</v>
      </c>
      <c r="M13" s="62">
        <f t="shared" ca="1" si="8"/>
        <v>22</v>
      </c>
      <c r="N13" s="62">
        <f t="shared" ca="1" si="8"/>
        <v>20.8</v>
      </c>
      <c r="O13" s="62">
        <f t="shared" ca="1" si="8"/>
        <v>17.5</v>
      </c>
      <c r="P13" s="62">
        <f t="shared" ca="1" si="8"/>
        <v>16.100000000000001</v>
      </c>
      <c r="Q13" s="62">
        <f t="shared" ca="1" si="8"/>
        <v>15.9</v>
      </c>
      <c r="R13" s="62">
        <f t="shared" ca="1" si="8"/>
        <v>15.9</v>
      </c>
      <c r="S13" s="62">
        <f t="shared" ca="1" si="8"/>
        <v>14.4</v>
      </c>
      <c r="T13" s="62">
        <f t="shared" ca="1" si="8"/>
        <v>13.2</v>
      </c>
      <c r="U13" s="62">
        <f t="shared" ca="1" si="8"/>
        <v>12.5</v>
      </c>
      <c r="V13" s="62">
        <f t="shared" ca="1" si="8"/>
        <v>13.6</v>
      </c>
      <c r="W13" s="62">
        <f t="shared" ca="1" si="8"/>
        <v>15.9</v>
      </c>
      <c r="X13" s="62">
        <f t="shared" ca="1" si="8"/>
        <v>13.523999999999999</v>
      </c>
      <c r="Y13" s="62"/>
      <c r="Z13" s="62"/>
      <c r="AA13" s="62"/>
      <c r="AB13" s="62"/>
    </row>
    <row r="14" spans="1:28" x14ac:dyDescent="0.25">
      <c r="A14" s="44" t="s">
        <v>178</v>
      </c>
      <c r="B14" s="45">
        <f t="shared" ca="1" si="3"/>
        <v>15</v>
      </c>
      <c r="C14" s="1">
        <f ca="1">IF(ISERROR(D14),"",IF(D14="","",MAX($C$12:C13)+1))</f>
        <v>2</v>
      </c>
      <c r="D14" t="str">
        <f t="shared" ca="1" si="4"/>
        <v>Chesapeake Utilities</v>
      </c>
      <c r="E14" s="15"/>
      <c r="F14" s="62">
        <f t="shared" ref="F14:F57" ca="1" si="9">IFERROR(AVERAGE(G14:X14),"N/A")</f>
        <v>19.336333333333329</v>
      </c>
      <c r="G14" s="62">
        <f t="shared" si="5"/>
        <v>20.8</v>
      </c>
      <c r="H14" s="62">
        <f t="shared" si="6"/>
        <v>25.8</v>
      </c>
      <c r="I14" s="62">
        <f t="shared" si="7"/>
        <v>25.6</v>
      </c>
      <c r="J14" s="62">
        <f t="shared" ca="1" si="8"/>
        <v>21.6</v>
      </c>
      <c r="K14" s="62">
        <f t="shared" ca="1" si="8"/>
        <v>24.7</v>
      </c>
      <c r="L14" s="62">
        <f t="shared" ca="1" si="8"/>
        <v>22.9</v>
      </c>
      <c r="M14" s="62">
        <f t="shared" ca="1" si="8"/>
        <v>27.8</v>
      </c>
      <c r="N14" s="62">
        <f t="shared" ca="1" si="8"/>
        <v>22.3</v>
      </c>
      <c r="O14" s="62">
        <f t="shared" ca="1" si="8"/>
        <v>19.100000000000001</v>
      </c>
      <c r="P14" s="62">
        <f t="shared" ca="1" si="8"/>
        <v>17.7</v>
      </c>
      <c r="Q14" s="62">
        <f t="shared" ca="1" si="8"/>
        <v>15.6</v>
      </c>
      <c r="R14" s="62">
        <f t="shared" ca="1" si="8"/>
        <v>14.8</v>
      </c>
      <c r="S14" s="62">
        <f t="shared" ca="1" si="8"/>
        <v>14.2</v>
      </c>
      <c r="T14" s="62">
        <f t="shared" ca="1" si="8"/>
        <v>12.2</v>
      </c>
      <c r="U14" s="62">
        <f t="shared" ca="1" si="8"/>
        <v>14.2</v>
      </c>
      <c r="V14" s="62">
        <f t="shared" ca="1" si="8"/>
        <v>14.2</v>
      </c>
      <c r="W14" s="62">
        <f t="shared" ca="1" si="8"/>
        <v>16.7</v>
      </c>
      <c r="X14" s="62">
        <f t="shared" ca="1" si="8"/>
        <v>17.853999999999999</v>
      </c>
      <c r="Y14" s="62"/>
      <c r="Z14" s="62"/>
      <c r="AA14" s="62"/>
      <c r="AB14" s="62"/>
    </row>
    <row r="15" spans="1:28" x14ac:dyDescent="0.25">
      <c r="A15" s="44" t="s">
        <v>190</v>
      </c>
      <c r="B15" s="45">
        <f t="shared" ca="1" si="3"/>
        <v>42</v>
      </c>
      <c r="C15" s="1">
        <f ca="1">IF(ISERROR(D15),"",IF(D15="","",MAX($C$12:C14)+1))</f>
        <v>3</v>
      </c>
      <c r="D15" t="str">
        <f t="shared" ca="1" si="4"/>
        <v>New Jersey Resources</v>
      </c>
      <c r="E15" s="15"/>
      <c r="F15" s="62">
        <f t="shared" ca="1" si="9"/>
        <v>17.145833333333336</v>
      </c>
      <c r="G15" s="62">
        <f t="shared" si="5"/>
        <v>15</v>
      </c>
      <c r="H15" s="62">
        <f t="shared" si="6"/>
        <v>17</v>
      </c>
      <c r="I15" s="62">
        <f t="shared" si="7"/>
        <v>17.5</v>
      </c>
      <c r="J15" s="62">
        <f t="shared" ca="1" si="8"/>
        <v>17.7</v>
      </c>
      <c r="K15" s="62">
        <f t="shared" ca="1" si="8"/>
        <v>24.3</v>
      </c>
      <c r="L15" s="62">
        <f t="shared" ca="1" si="8"/>
        <v>15.6</v>
      </c>
      <c r="M15" s="62">
        <f t="shared" ca="1" si="8"/>
        <v>22.4</v>
      </c>
      <c r="N15" s="62">
        <f t="shared" ca="1" si="8"/>
        <v>21.3</v>
      </c>
      <c r="O15" s="62">
        <f t="shared" ca="1" si="8"/>
        <v>16.600000000000001</v>
      </c>
      <c r="P15" s="62">
        <f t="shared" ca="1" si="8"/>
        <v>11.7</v>
      </c>
      <c r="Q15" s="62">
        <f t="shared" ca="1" si="8"/>
        <v>16</v>
      </c>
      <c r="R15" s="62">
        <f t="shared" ca="1" si="8"/>
        <v>16.8</v>
      </c>
      <c r="S15" s="62">
        <f t="shared" ca="1" si="8"/>
        <v>16.8</v>
      </c>
      <c r="T15" s="62">
        <f t="shared" ca="1" si="8"/>
        <v>15</v>
      </c>
      <c r="U15" s="62">
        <f t="shared" ca="1" si="8"/>
        <v>14.9</v>
      </c>
      <c r="V15" s="62">
        <f t="shared" ca="1" si="8"/>
        <v>12.3</v>
      </c>
      <c r="W15" s="62">
        <f t="shared" ca="1" si="8"/>
        <v>21.6</v>
      </c>
      <c r="X15" s="62">
        <f t="shared" ca="1" si="8"/>
        <v>16.125</v>
      </c>
      <c r="Y15" s="62"/>
      <c r="Z15" s="62"/>
      <c r="AA15" s="62"/>
      <c r="AB15" s="62"/>
    </row>
    <row r="16" spans="1:28" x14ac:dyDescent="0.25">
      <c r="A16" s="44" t="s">
        <v>26</v>
      </c>
      <c r="B16" s="45">
        <f t="shared" ca="1" si="3"/>
        <v>44</v>
      </c>
      <c r="C16" s="1">
        <f ca="1">IF(ISERROR(D16),"",IF(D16="","",MAX($C$12:C15)+1))</f>
        <v>4</v>
      </c>
      <c r="D16" t="str">
        <f t="shared" ca="1" si="4"/>
        <v>NiSource Inc.</v>
      </c>
      <c r="E16" s="15"/>
      <c r="F16" s="62">
        <f t="shared" ca="1" si="9"/>
        <v>21.986666666666665</v>
      </c>
      <c r="G16" s="62">
        <f t="shared" si="5"/>
        <v>15.4</v>
      </c>
      <c r="H16" s="62">
        <f t="shared" si="6"/>
        <v>19.600000000000001</v>
      </c>
      <c r="I16" s="62">
        <f t="shared" si="7"/>
        <v>18</v>
      </c>
      <c r="J16" s="62">
        <f t="shared" ca="1" si="8"/>
        <v>18.7</v>
      </c>
      <c r="K16" s="62">
        <f t="shared" ca="1" si="8"/>
        <v>21.3</v>
      </c>
      <c r="L16" s="62">
        <f t="shared" ca="1" si="8"/>
        <v>19.3</v>
      </c>
      <c r="M16" s="62">
        <f t="shared" ca="1" si="8"/>
        <v>64.400000000000006</v>
      </c>
      <c r="N16" s="62">
        <f t="shared" ca="1" si="8"/>
        <v>23.2</v>
      </c>
      <c r="O16" s="62">
        <f t="shared" ca="1" si="8"/>
        <v>37.299999999999997</v>
      </c>
      <c r="P16" s="62">
        <f t="shared" ca="1" si="8"/>
        <v>22.7</v>
      </c>
      <c r="Q16" s="62">
        <f t="shared" ca="1" si="8"/>
        <v>18.899999999999999</v>
      </c>
      <c r="R16" s="62">
        <f t="shared" ca="1" si="8"/>
        <v>17.899999999999999</v>
      </c>
      <c r="S16" s="62">
        <f t="shared" ca="1" si="8"/>
        <v>19.399999999999999</v>
      </c>
      <c r="T16" s="62">
        <f t="shared" ca="1" si="8"/>
        <v>15.3</v>
      </c>
      <c r="U16" s="62">
        <f t="shared" ca="1" si="8"/>
        <v>14.3</v>
      </c>
      <c r="V16" s="62">
        <f t="shared" ca="1" si="8"/>
        <v>12.1</v>
      </c>
      <c r="W16" s="62">
        <f t="shared" ca="1" si="8"/>
        <v>18.8</v>
      </c>
      <c r="X16" s="62">
        <f t="shared" ca="1" si="8"/>
        <v>19.16</v>
      </c>
      <c r="Y16" s="62"/>
      <c r="Z16" s="62"/>
      <c r="AA16" s="62"/>
      <c r="AB16" s="62"/>
    </row>
    <row r="17" spans="1:28" x14ac:dyDescent="0.25">
      <c r="A17" s="44" t="s">
        <v>192</v>
      </c>
      <c r="B17" s="45">
        <f t="shared" ca="1" si="3"/>
        <v>45</v>
      </c>
      <c r="C17" s="1">
        <f ca="1">IF(ISERROR(D17),"",IF(D17="","",MAX($C$12:C16)+1))</f>
        <v>5</v>
      </c>
      <c r="D17" t="str">
        <f t="shared" ca="1" si="4"/>
        <v>Northwest Nat. Gas</v>
      </c>
      <c r="E17" s="15"/>
      <c r="F17" s="62">
        <f t="shared" ca="1" si="9"/>
        <v>20.53235294117647</v>
      </c>
      <c r="G17" s="62">
        <f t="shared" si="5"/>
        <v>13.8</v>
      </c>
      <c r="H17" s="62">
        <f t="shared" si="6"/>
        <v>19.600000000000001</v>
      </c>
      <c r="I17" s="62">
        <f t="shared" si="7"/>
        <v>19.5</v>
      </c>
      <c r="J17" s="62">
        <f t="shared" ca="1" si="8"/>
        <v>25</v>
      </c>
      <c r="K17" s="62">
        <f t="shared" ca="1" si="8"/>
        <v>30.9</v>
      </c>
      <c r="L17" s="62">
        <f t="shared" ca="1" si="8"/>
        <v>26.6</v>
      </c>
      <c r="M17" s="62" t="str">
        <f t="shared" ca="1" si="8"/>
        <v>NMF</v>
      </c>
      <c r="N17" s="62">
        <f t="shared" ca="1" si="8"/>
        <v>26.9</v>
      </c>
      <c r="O17" s="62">
        <f t="shared" ca="1" si="8"/>
        <v>23.7</v>
      </c>
      <c r="P17" s="62">
        <f t="shared" ca="1" si="8"/>
        <v>20.7</v>
      </c>
      <c r="Q17" s="62">
        <f t="shared" ca="1" si="8"/>
        <v>19.399999999999999</v>
      </c>
      <c r="R17" s="62">
        <f t="shared" ca="1" si="8"/>
        <v>21.1</v>
      </c>
      <c r="S17" s="62">
        <f t="shared" ca="1" si="8"/>
        <v>19</v>
      </c>
      <c r="T17" s="62">
        <f t="shared" ca="1" si="8"/>
        <v>17</v>
      </c>
      <c r="U17" s="62">
        <f t="shared" ca="1" si="8"/>
        <v>15.2</v>
      </c>
      <c r="V17" s="62">
        <f t="shared" ca="1" si="8"/>
        <v>18.100000000000001</v>
      </c>
      <c r="W17" s="62">
        <f t="shared" ca="1" si="8"/>
        <v>16.7</v>
      </c>
      <c r="X17" s="62">
        <f t="shared" ca="1" si="8"/>
        <v>15.85</v>
      </c>
      <c r="Y17" s="62"/>
      <c r="Z17" s="62"/>
      <c r="AA17" s="62"/>
      <c r="AB17" s="62"/>
    </row>
    <row r="18" spans="1:28" x14ac:dyDescent="0.25">
      <c r="A18" s="44" t="s">
        <v>345</v>
      </c>
      <c r="B18" s="45">
        <f t="shared" ca="1" si="3"/>
        <v>48</v>
      </c>
      <c r="C18" s="1">
        <f ca="1">IF(ISERROR(D18),"",IF(D18="","",MAX($C$12:C17)+1))</f>
        <v>6</v>
      </c>
      <c r="D18" t="str">
        <f t="shared" ca="1" si="4"/>
        <v>ONE Gas Inc.</v>
      </c>
      <c r="E18" s="15"/>
      <c r="F18" s="62">
        <f t="shared" ca="1" si="9"/>
        <v>20.79</v>
      </c>
      <c r="G18" s="62">
        <f t="shared" si="5"/>
        <v>15.2</v>
      </c>
      <c r="H18" s="62">
        <f t="shared" si="6"/>
        <v>19.899999999999999</v>
      </c>
      <c r="I18" s="62">
        <f t="shared" si="7"/>
        <v>18.899999999999999</v>
      </c>
      <c r="J18" s="62">
        <f t="shared" ca="1" si="8"/>
        <v>21.7</v>
      </c>
      <c r="K18" s="62">
        <f t="shared" ca="1" si="8"/>
        <v>25.3</v>
      </c>
      <c r="L18" s="62">
        <f t="shared" ca="1" si="8"/>
        <v>23.1</v>
      </c>
      <c r="M18" s="62">
        <f t="shared" ca="1" si="8"/>
        <v>23.5</v>
      </c>
      <c r="N18" s="62">
        <f t="shared" ca="1" si="8"/>
        <v>22.7</v>
      </c>
      <c r="O18" s="62">
        <f t="shared" ca="1" si="8"/>
        <v>19.8</v>
      </c>
      <c r="P18" s="62">
        <f t="shared" ca="1" si="8"/>
        <v>17.8</v>
      </c>
      <c r="Q18" s="62" t="str">
        <f t="shared" ca="1" si="8"/>
        <v>N/A</v>
      </c>
      <c r="R18" s="62" t="str">
        <f t="shared" ca="1" si="8"/>
        <v>N/A</v>
      </c>
      <c r="S18" s="62" t="str">
        <f t="shared" ca="1" si="8"/>
        <v>N/A</v>
      </c>
      <c r="T18" s="62" t="str">
        <f t="shared" ca="1" si="8"/>
        <v>N/A</v>
      </c>
      <c r="U18" s="62" t="str">
        <f t="shared" ca="1" si="8"/>
        <v>N/A</v>
      </c>
      <c r="V18" s="62" t="str">
        <f t="shared" ca="1" si="8"/>
        <v>N/A</v>
      </c>
      <c r="W18" s="62" t="str">
        <f t="shared" ca="1" si="8"/>
        <v>N/A</v>
      </c>
      <c r="X18" s="62" t="str">
        <f t="shared" ca="1" si="8"/>
        <v>N/A</v>
      </c>
      <c r="Y18" s="62"/>
      <c r="Z18" s="62"/>
      <c r="AA18" s="62"/>
      <c r="AB18" s="62"/>
    </row>
    <row r="19" spans="1:28" hidden="1" x14ac:dyDescent="0.25">
      <c r="A19" s="44" t="s">
        <v>198</v>
      </c>
      <c r="B19" s="45">
        <f t="shared" ca="1" si="3"/>
        <v>61</v>
      </c>
      <c r="C19" s="1" t="str">
        <f>IF(ISERROR(D19),"",IF(D19="","",MAX($C$12:C18)+1))</f>
        <v/>
      </c>
      <c r="E19" s="15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x14ac:dyDescent="0.25">
      <c r="A20" s="44" t="s">
        <v>200</v>
      </c>
      <c r="B20" s="45">
        <f t="shared" ca="1" si="3"/>
        <v>63</v>
      </c>
      <c r="C20" s="1">
        <f ca="1">IF(ISERROR(D20),"",IF(D20="","",MAX($C$12:C19)+1))</f>
        <v>7</v>
      </c>
      <c r="D20" t="str">
        <f t="shared" ca="1" si="4"/>
        <v>Southwest Gas</v>
      </c>
      <c r="E20" s="15"/>
      <c r="F20" s="62">
        <f t="shared" ca="1" si="9"/>
        <v>17.396294117647059</v>
      </c>
      <c r="G20" s="62">
        <f t="shared" si="5"/>
        <v>15.4</v>
      </c>
      <c r="H20" s="62" t="str">
        <f t="shared" si="6"/>
        <v>NMF</v>
      </c>
      <c r="I20" s="62">
        <f t="shared" si="7"/>
        <v>14.3</v>
      </c>
      <c r="J20" s="62">
        <f t="shared" ca="1" si="8"/>
        <v>16.8</v>
      </c>
      <c r="K20" s="62">
        <f t="shared" ca="1" si="8"/>
        <v>21.3</v>
      </c>
      <c r="L20" s="62">
        <f t="shared" ca="1" si="8"/>
        <v>20.6</v>
      </c>
      <c r="M20" s="62">
        <f t="shared" ca="1" si="8"/>
        <v>22.2</v>
      </c>
      <c r="N20" s="62">
        <f t="shared" ca="1" si="8"/>
        <v>21.6</v>
      </c>
      <c r="O20" s="62">
        <f t="shared" ca="1" si="8"/>
        <v>19.399999999999999</v>
      </c>
      <c r="P20" s="62">
        <f t="shared" ca="1" si="8"/>
        <v>17.899999999999999</v>
      </c>
      <c r="Q20" s="62">
        <f t="shared" ca="1" si="8"/>
        <v>15.8</v>
      </c>
      <c r="R20" s="62">
        <f t="shared" ca="1" si="8"/>
        <v>15</v>
      </c>
      <c r="S20" s="62">
        <f t="shared" ca="1" si="8"/>
        <v>15.7</v>
      </c>
      <c r="T20" s="62">
        <f t="shared" ca="1" si="8"/>
        <v>14</v>
      </c>
      <c r="U20" s="62">
        <f t="shared" ca="1" si="8"/>
        <v>12.2</v>
      </c>
      <c r="V20" s="62">
        <f t="shared" ca="1" si="8"/>
        <v>20.3</v>
      </c>
      <c r="W20" s="62">
        <f t="shared" ca="1" si="8"/>
        <v>17.3</v>
      </c>
      <c r="X20" s="62">
        <f t="shared" ca="1" si="8"/>
        <v>15.936999999999999</v>
      </c>
      <c r="Y20" s="62"/>
      <c r="Z20" s="62"/>
      <c r="AA20" s="62"/>
      <c r="AB20" s="62"/>
    </row>
    <row r="21" spans="1:28" x14ac:dyDescent="0.25">
      <c r="A21" s="44" t="s">
        <v>244</v>
      </c>
      <c r="B21" s="45">
        <f t="shared" ca="1" si="3"/>
        <v>64</v>
      </c>
      <c r="C21" s="1">
        <f ca="1">IF(ISERROR(D21),"",IF(D21="","",MAX($C$12:C20)+1))</f>
        <v>8</v>
      </c>
      <c r="D21" t="str">
        <f t="shared" ca="1" si="4"/>
        <v>Spire Inc.</v>
      </c>
      <c r="E21" s="15"/>
      <c r="F21" s="62">
        <f t="shared" ca="1" si="9"/>
        <v>18.327777777777779</v>
      </c>
      <c r="G21" s="62">
        <f t="shared" si="5"/>
        <v>14.5</v>
      </c>
      <c r="H21" s="62">
        <f t="shared" si="6"/>
        <v>17.5</v>
      </c>
      <c r="I21" s="62">
        <f t="shared" si="7"/>
        <v>13.6</v>
      </c>
      <c r="J21" s="62">
        <f t="shared" ca="1" si="8"/>
        <v>51.1</v>
      </c>
      <c r="K21" s="62">
        <f t="shared" ca="1" si="8"/>
        <v>22.8</v>
      </c>
      <c r="L21" s="62">
        <f t="shared" ca="1" si="8"/>
        <v>16.7</v>
      </c>
      <c r="M21" s="62">
        <f t="shared" ca="1" si="8"/>
        <v>19.8</v>
      </c>
      <c r="N21" s="62">
        <f t="shared" ca="1" si="8"/>
        <v>19.600000000000001</v>
      </c>
      <c r="O21" s="62">
        <f t="shared" ca="1" si="8"/>
        <v>16.5</v>
      </c>
      <c r="P21" s="62">
        <f t="shared" ca="1" si="8"/>
        <v>19.8</v>
      </c>
      <c r="Q21" s="62">
        <f t="shared" ca="1" si="8"/>
        <v>21.3</v>
      </c>
      <c r="R21" s="62">
        <f t="shared" ca="1" si="8"/>
        <v>14.5</v>
      </c>
      <c r="S21" s="62">
        <f t="shared" ca="1" si="8"/>
        <v>13</v>
      </c>
      <c r="T21" s="62">
        <f t="shared" ca="1" si="8"/>
        <v>13.7</v>
      </c>
      <c r="U21" s="62">
        <f t="shared" ca="1" si="8"/>
        <v>13.4</v>
      </c>
      <c r="V21" s="62">
        <f t="shared" ca="1" si="8"/>
        <v>14.3</v>
      </c>
      <c r="W21" s="62">
        <f t="shared" ca="1" si="8"/>
        <v>14.2</v>
      </c>
      <c r="X21" s="62">
        <f t="shared" ca="1" si="8"/>
        <v>13.6</v>
      </c>
      <c r="Y21" s="62"/>
      <c r="Z21" s="62"/>
      <c r="AA21" s="62"/>
      <c r="AB21" s="62"/>
    </row>
    <row r="22" spans="1:28" x14ac:dyDescent="0.25">
      <c r="A22" s="44" t="s">
        <v>204</v>
      </c>
      <c r="B22" s="45">
        <f t="shared" ca="1" si="3"/>
        <v>66</v>
      </c>
      <c r="C22" s="1">
        <f ca="1">IF(ISERROR(D22),"",IF(D22="","",MAX($C$12:C21)+1))</f>
        <v>9</v>
      </c>
      <c r="D22" t="str">
        <f t="shared" ca="1" si="4"/>
        <v>UGI Corp.</v>
      </c>
      <c r="E22" s="15"/>
      <c r="F22" s="62">
        <f t="shared" ca="1" si="9"/>
        <v>15.292500000000002</v>
      </c>
      <c r="G22" s="62">
        <f t="shared" si="5"/>
        <v>8.3000000000000007</v>
      </c>
      <c r="H22" s="62">
        <f t="shared" si="6"/>
        <v>14.1</v>
      </c>
      <c r="I22" s="62">
        <f t="shared" si="7"/>
        <v>13.9</v>
      </c>
      <c r="J22" s="62">
        <f t="shared" ca="1" si="8"/>
        <v>13.8</v>
      </c>
      <c r="K22" s="62">
        <f t="shared" ca="1" si="8"/>
        <v>23.4</v>
      </c>
      <c r="L22" s="62">
        <f t="shared" ca="1" si="8"/>
        <v>17.8</v>
      </c>
      <c r="M22" s="62">
        <f t="shared" ca="1" si="8"/>
        <v>20.8</v>
      </c>
      <c r="N22" s="62">
        <f t="shared" ca="1" si="8"/>
        <v>19.3</v>
      </c>
      <c r="O22" s="62">
        <f t="shared" ca="1" si="8"/>
        <v>17.7</v>
      </c>
      <c r="P22" s="62">
        <f t="shared" ca="1" si="8"/>
        <v>15.8</v>
      </c>
      <c r="Q22" s="62">
        <f t="shared" ca="1" si="8"/>
        <v>15.4</v>
      </c>
      <c r="R22" s="62">
        <f t="shared" ca="1" si="8"/>
        <v>16.399999999999999</v>
      </c>
      <c r="S22" s="62">
        <f t="shared" ca="1" si="8"/>
        <v>15</v>
      </c>
      <c r="T22" s="62">
        <f t="shared" ca="1" si="8"/>
        <v>10.9</v>
      </c>
      <c r="U22" s="62">
        <f t="shared" ca="1" si="8"/>
        <v>10.3</v>
      </c>
      <c r="V22" s="62">
        <f t="shared" ca="1" si="8"/>
        <v>13.3</v>
      </c>
      <c r="W22" s="62">
        <f t="shared" ca="1" si="8"/>
        <v>15.1</v>
      </c>
      <c r="X22" s="62">
        <f t="shared" ca="1" si="8"/>
        <v>13.965</v>
      </c>
      <c r="Y22" s="62"/>
      <c r="Z22" s="62"/>
      <c r="AA22" s="62"/>
      <c r="AB22" s="62"/>
    </row>
    <row r="23" spans="1:28" hidden="1" x14ac:dyDescent="0.25">
      <c r="A23" s="44" t="s">
        <v>206</v>
      </c>
      <c r="B23" s="45">
        <f t="shared" ca="1" si="3"/>
        <v>73</v>
      </c>
      <c r="C23" s="1"/>
      <c r="E23" s="15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idden="1" x14ac:dyDescent="0.25">
      <c r="A24" s="44"/>
      <c r="B24" s="45" t="str">
        <f t="shared" ca="1" si="3"/>
        <v/>
      </c>
      <c r="C24" s="1" t="str">
        <f>IF(ISERROR(D24),"",IF(D24="","",MAX($C$12:C23)+1))</f>
        <v/>
      </c>
      <c r="D24" t="e">
        <f t="shared" si="4"/>
        <v>#N/A</v>
      </c>
      <c r="E24" s="15"/>
      <c r="F24" s="62" t="str">
        <f t="shared" ca="1" si="9"/>
        <v>N/A</v>
      </c>
      <c r="G24" s="62"/>
      <c r="H24" s="62"/>
      <c r="I24" s="62"/>
      <c r="J24" s="62" t="str">
        <f t="shared" ref="J24:J57" si="10">IFERROR(IF(VLOOKUP(A24,lucyr,3,FALSE)=0,"",VLOOKUP(A24,lucyr,3,FALSE)),"N/A")</f>
        <v>N/A</v>
      </c>
      <c r="K24" s="62" t="str">
        <f t="shared" ref="K24:K57" si="11">IFERROR(IF(VLOOKUP(A24,LUCurYr,3,FALSE)=0,"",VLOOKUP(A24,LUCurYr,3,FALSE)),"N/A")</f>
        <v>N/A</v>
      </c>
      <c r="L24" s="62" t="str">
        <f t="shared" ref="L24:L57" si="12">IFERROR(IF(VLOOKUP(A24,LUCurYr,3,FALSE)=0,"",VLOOKUP(A24,LUCurYr,3,FALSE)),"N/A")</f>
        <v>N/A</v>
      </c>
      <c r="M24" s="62" t="str">
        <f ca="1">IFERROR(VLOOKUP($A24,LASTYR,'[3]2017'!$C$3,FALSE),"N/A")</f>
        <v>N/A</v>
      </c>
      <c r="N24" s="62" t="str">
        <f t="shared" ca="1" si="8"/>
        <v>N/A</v>
      </c>
      <c r="O24" s="62" t="str">
        <f t="shared" ca="1" si="8"/>
        <v>N/A</v>
      </c>
      <c r="P24" s="62" t="str">
        <f t="shared" ca="1" si="8"/>
        <v>N/A</v>
      </c>
      <c r="Q24" s="62" t="str">
        <f t="shared" ca="1" si="8"/>
        <v>N/A</v>
      </c>
      <c r="R24" s="62" t="str">
        <f t="shared" ca="1" si="8"/>
        <v>N/A</v>
      </c>
      <c r="S24" s="62" t="str">
        <f t="shared" ca="1" si="8"/>
        <v>N/A</v>
      </c>
      <c r="T24" s="62" t="str">
        <f t="shared" ca="1" si="8"/>
        <v>N/A</v>
      </c>
      <c r="U24" s="62" t="str">
        <f t="shared" ca="1" si="8"/>
        <v>N/A</v>
      </c>
      <c r="V24" s="62" t="str">
        <f t="shared" ca="1" si="8"/>
        <v>N/A</v>
      </c>
      <c r="W24" s="62" t="str">
        <f t="shared" ca="1" si="8"/>
        <v>N/A</v>
      </c>
      <c r="X24" s="62" t="str">
        <f t="shared" ca="1" si="8"/>
        <v>N/A</v>
      </c>
      <c r="Y24" s="62"/>
      <c r="Z24" s="62"/>
      <c r="AA24" s="62"/>
      <c r="AB24" s="62"/>
    </row>
    <row r="25" spans="1:28" hidden="1" x14ac:dyDescent="0.25">
      <c r="A25" s="44"/>
      <c r="B25" s="45" t="str">
        <f t="shared" ca="1" si="3"/>
        <v/>
      </c>
      <c r="C25" s="1" t="str">
        <f>IF(ISERROR(D25),"",IF(D25="","",MAX($C$12:C24)+1))</f>
        <v/>
      </c>
      <c r="D25" t="e">
        <f t="shared" si="4"/>
        <v>#N/A</v>
      </c>
      <c r="E25" s="15"/>
      <c r="F25" s="62" t="str">
        <f t="shared" ca="1" si="9"/>
        <v>N/A</v>
      </c>
      <c r="G25" s="62"/>
      <c r="H25" s="62"/>
      <c r="I25" s="62"/>
      <c r="J25" s="62" t="str">
        <f t="shared" si="10"/>
        <v>N/A</v>
      </c>
      <c r="K25" s="62" t="str">
        <f t="shared" si="11"/>
        <v>N/A</v>
      </c>
      <c r="L25" s="62" t="str">
        <f t="shared" si="12"/>
        <v>N/A</v>
      </c>
      <c r="M25" s="62" t="str">
        <f ca="1">IFERROR(VLOOKUP($A25,LASTYR,'[3]2017'!$C$3,FALSE),"N/A")</f>
        <v>N/A</v>
      </c>
      <c r="N25" s="62" t="str">
        <f t="shared" ca="1" si="8"/>
        <v>N/A</v>
      </c>
      <c r="O25" s="62" t="str">
        <f t="shared" ca="1" si="8"/>
        <v>N/A</v>
      </c>
      <c r="P25" s="62" t="str">
        <f t="shared" ca="1" si="8"/>
        <v>N/A</v>
      </c>
      <c r="Q25" s="62" t="str">
        <f t="shared" ca="1" si="8"/>
        <v>N/A</v>
      </c>
      <c r="R25" s="62" t="str">
        <f t="shared" ca="1" si="8"/>
        <v>N/A</v>
      </c>
      <c r="S25" s="62" t="str">
        <f t="shared" ca="1" si="8"/>
        <v>N/A</v>
      </c>
      <c r="T25" s="62" t="str">
        <f t="shared" ca="1" si="8"/>
        <v>N/A</v>
      </c>
      <c r="U25" s="62" t="str">
        <f t="shared" ca="1" si="8"/>
        <v>N/A</v>
      </c>
      <c r="V25" s="62" t="str">
        <f t="shared" ca="1" si="8"/>
        <v>N/A</v>
      </c>
      <c r="W25" s="62" t="str">
        <f t="shared" ca="1" si="8"/>
        <v>N/A</v>
      </c>
      <c r="X25" s="62" t="str">
        <f t="shared" ca="1" si="8"/>
        <v>N/A</v>
      </c>
      <c r="Y25" s="62"/>
      <c r="Z25" s="62"/>
      <c r="AA25" s="62"/>
      <c r="AB25" s="62"/>
    </row>
    <row r="26" spans="1:28" hidden="1" x14ac:dyDescent="0.25">
      <c r="A26" s="44"/>
      <c r="B26" s="45" t="str">
        <f t="shared" ca="1" si="3"/>
        <v/>
      </c>
      <c r="C26" s="1" t="str">
        <f>IF(ISERROR(D26),"",IF(D26="","",MAX($C$12:C25)+1))</f>
        <v/>
      </c>
      <c r="D26" t="e">
        <f t="shared" si="4"/>
        <v>#N/A</v>
      </c>
      <c r="E26" s="15"/>
      <c r="F26" s="62" t="str">
        <f t="shared" ca="1" si="9"/>
        <v>N/A</v>
      </c>
      <c r="G26" s="62"/>
      <c r="H26" s="62"/>
      <c r="I26" s="62"/>
      <c r="J26" s="62" t="str">
        <f t="shared" si="10"/>
        <v>N/A</v>
      </c>
      <c r="K26" s="62" t="str">
        <f t="shared" si="11"/>
        <v>N/A</v>
      </c>
      <c r="L26" s="62" t="str">
        <f t="shared" si="12"/>
        <v>N/A</v>
      </c>
      <c r="M26" s="62" t="str">
        <f ca="1">IFERROR(VLOOKUP($A26,LASTYR,'[3]2017'!$C$3,FALSE),"N/A")</f>
        <v>N/A</v>
      </c>
      <c r="N26" s="62" t="str">
        <f t="shared" ca="1" si="8"/>
        <v>N/A</v>
      </c>
      <c r="O26" s="62" t="str">
        <f t="shared" ca="1" si="8"/>
        <v>N/A</v>
      </c>
      <c r="P26" s="62" t="str">
        <f t="shared" ca="1" si="8"/>
        <v>N/A</v>
      </c>
      <c r="Q26" s="62" t="str">
        <f t="shared" ca="1" si="8"/>
        <v>N/A</v>
      </c>
      <c r="R26" s="62" t="str">
        <f t="shared" ca="1" si="8"/>
        <v>N/A</v>
      </c>
      <c r="S26" s="62" t="str">
        <f t="shared" ca="1" si="8"/>
        <v>N/A</v>
      </c>
      <c r="T26" s="62" t="str">
        <f t="shared" ca="1" si="8"/>
        <v>N/A</v>
      </c>
      <c r="U26" s="62" t="str">
        <f t="shared" ca="1" si="8"/>
        <v>N/A</v>
      </c>
      <c r="V26" s="62" t="str">
        <f t="shared" ca="1" si="8"/>
        <v>N/A</v>
      </c>
      <c r="W26" s="62" t="str">
        <f t="shared" ca="1" si="8"/>
        <v>N/A</v>
      </c>
      <c r="X26" s="62" t="str">
        <f t="shared" ca="1" si="8"/>
        <v>N/A</v>
      </c>
      <c r="Y26" s="62"/>
      <c r="Z26" s="62"/>
      <c r="AA26" s="62"/>
      <c r="AB26" s="62"/>
    </row>
    <row r="27" spans="1:28" hidden="1" x14ac:dyDescent="0.25">
      <c r="A27" s="44"/>
      <c r="B27" s="45" t="str">
        <f t="shared" ca="1" si="3"/>
        <v/>
      </c>
      <c r="C27" s="1" t="str">
        <f>IF(ISERROR(D27),"",IF(D27="","",MAX($C$12:C26)+1))</f>
        <v/>
      </c>
      <c r="D27" t="e">
        <f t="shared" si="4"/>
        <v>#N/A</v>
      </c>
      <c r="E27" s="15"/>
      <c r="F27" s="62" t="str">
        <f t="shared" ca="1" si="9"/>
        <v>N/A</v>
      </c>
      <c r="G27" s="62"/>
      <c r="H27" s="62"/>
      <c r="I27" s="62"/>
      <c r="J27" s="62" t="str">
        <f t="shared" si="10"/>
        <v>N/A</v>
      </c>
      <c r="K27" s="62" t="str">
        <f t="shared" si="11"/>
        <v>N/A</v>
      </c>
      <c r="L27" s="62" t="str">
        <f t="shared" si="12"/>
        <v>N/A</v>
      </c>
      <c r="M27" s="62" t="str">
        <f ca="1">IFERROR(VLOOKUP($A27,LASTYR,'[3]2017'!$C$3,FALSE),"N/A")</f>
        <v>N/A</v>
      </c>
      <c r="N27" s="62" t="str">
        <f t="shared" ca="1" si="8"/>
        <v>N/A</v>
      </c>
      <c r="O27" s="62" t="str">
        <f t="shared" ca="1" si="8"/>
        <v>N/A</v>
      </c>
      <c r="P27" s="62" t="str">
        <f t="shared" ca="1" si="8"/>
        <v>N/A</v>
      </c>
      <c r="Q27" s="62" t="str">
        <f t="shared" ca="1" si="8"/>
        <v>N/A</v>
      </c>
      <c r="R27" s="62" t="str">
        <f t="shared" ca="1" si="8"/>
        <v>N/A</v>
      </c>
      <c r="S27" s="62" t="str">
        <f t="shared" ca="1" si="8"/>
        <v>N/A</v>
      </c>
      <c r="T27" s="62" t="str">
        <f t="shared" ca="1" si="8"/>
        <v>N/A</v>
      </c>
      <c r="U27" s="62" t="str">
        <f t="shared" ca="1" si="8"/>
        <v>N/A</v>
      </c>
      <c r="V27" s="62" t="str">
        <f t="shared" ca="1" si="8"/>
        <v>N/A</v>
      </c>
      <c r="W27" s="62" t="str">
        <f t="shared" ca="1" si="8"/>
        <v>N/A</v>
      </c>
      <c r="X27" s="62" t="str">
        <f t="shared" ca="1" si="8"/>
        <v>N/A</v>
      </c>
      <c r="Y27" s="62"/>
      <c r="Z27" s="62"/>
      <c r="AA27" s="62"/>
      <c r="AB27" s="62"/>
    </row>
    <row r="28" spans="1:28" hidden="1" x14ac:dyDescent="0.25">
      <c r="A28" s="44"/>
      <c r="B28" s="45" t="str">
        <f t="shared" ca="1" si="3"/>
        <v/>
      </c>
      <c r="C28" s="1" t="str">
        <f>IF(ISERROR(D28),"",IF(D28="","",MAX($C$12:C27)+1))</f>
        <v/>
      </c>
      <c r="D28" t="e">
        <f t="shared" si="4"/>
        <v>#N/A</v>
      </c>
      <c r="E28" s="15"/>
      <c r="F28" s="62" t="str">
        <f t="shared" ca="1" si="9"/>
        <v>N/A</v>
      </c>
      <c r="G28" s="62"/>
      <c r="H28" s="62"/>
      <c r="I28" s="62"/>
      <c r="J28" s="62" t="str">
        <f t="shared" si="10"/>
        <v>N/A</v>
      </c>
      <c r="K28" s="62" t="str">
        <f t="shared" si="11"/>
        <v>N/A</v>
      </c>
      <c r="L28" s="62" t="str">
        <f t="shared" si="12"/>
        <v>N/A</v>
      </c>
      <c r="M28" s="62" t="str">
        <f ca="1">IFERROR(VLOOKUP($A28,LASTYR,'[3]2017'!$C$3,FALSE),"N/A")</f>
        <v>N/A</v>
      </c>
      <c r="N28" s="62" t="str">
        <f t="shared" ca="1" si="8"/>
        <v>N/A</v>
      </c>
      <c r="O28" s="62" t="str">
        <f t="shared" ca="1" si="8"/>
        <v>N/A</v>
      </c>
      <c r="P28" s="62" t="str">
        <f t="shared" ca="1" si="8"/>
        <v>N/A</v>
      </c>
      <c r="Q28" s="62" t="str">
        <f t="shared" ca="1" si="8"/>
        <v>N/A</v>
      </c>
      <c r="R28" s="62" t="str">
        <f t="shared" ca="1" si="8"/>
        <v>N/A</v>
      </c>
      <c r="S28" s="62" t="str">
        <f t="shared" ca="1" si="8"/>
        <v>N/A</v>
      </c>
      <c r="T28" s="62" t="str">
        <f t="shared" ca="1" si="8"/>
        <v>N/A</v>
      </c>
      <c r="U28" s="62" t="str">
        <f t="shared" ca="1" si="8"/>
        <v>N/A</v>
      </c>
      <c r="V28" s="62" t="str">
        <f t="shared" ca="1" si="8"/>
        <v>N/A</v>
      </c>
      <c r="W28" s="62" t="str">
        <f t="shared" ca="1" si="8"/>
        <v>N/A</v>
      </c>
      <c r="X28" s="62" t="str">
        <f t="shared" ca="1" si="8"/>
        <v>N/A</v>
      </c>
      <c r="Y28" s="62"/>
      <c r="Z28" s="62"/>
      <c r="AA28" s="62"/>
      <c r="AB28" s="62"/>
    </row>
    <row r="29" spans="1:28" hidden="1" x14ac:dyDescent="0.25">
      <c r="A29" s="44"/>
      <c r="B29" s="45" t="str">
        <f t="shared" ca="1" si="3"/>
        <v/>
      </c>
      <c r="C29" s="1" t="str">
        <f>IF(ISERROR(D29),"",IF(D29="","",MAX($C$12:C28)+1))</f>
        <v/>
      </c>
      <c r="D29" t="e">
        <f t="shared" si="4"/>
        <v>#N/A</v>
      </c>
      <c r="E29" s="15"/>
      <c r="F29" s="62" t="str">
        <f t="shared" ca="1" si="9"/>
        <v>N/A</v>
      </c>
      <c r="G29" s="62"/>
      <c r="H29" s="62"/>
      <c r="I29" s="62"/>
      <c r="J29" s="62" t="str">
        <f t="shared" si="10"/>
        <v>N/A</v>
      </c>
      <c r="K29" s="62" t="str">
        <f t="shared" si="11"/>
        <v>N/A</v>
      </c>
      <c r="L29" s="62" t="str">
        <f t="shared" si="12"/>
        <v>N/A</v>
      </c>
      <c r="M29" s="62" t="str">
        <f ca="1">IFERROR(VLOOKUP($A29,LASTYR,'[3]2017'!$C$3,FALSE),"N/A")</f>
        <v>N/A</v>
      </c>
      <c r="N29" s="62" t="str">
        <f t="shared" ca="1" si="8"/>
        <v>N/A</v>
      </c>
      <c r="O29" s="62" t="str">
        <f t="shared" ca="1" si="8"/>
        <v>N/A</v>
      </c>
      <c r="P29" s="62" t="str">
        <f t="shared" ca="1" si="8"/>
        <v>N/A</v>
      </c>
      <c r="Q29" s="62" t="str">
        <f t="shared" ca="1" si="8"/>
        <v>N/A</v>
      </c>
      <c r="R29" s="62" t="str">
        <f t="shared" ca="1" si="8"/>
        <v>N/A</v>
      </c>
      <c r="S29" s="62" t="str">
        <f t="shared" ca="1" si="8"/>
        <v>N/A</v>
      </c>
      <c r="T29" s="62" t="str">
        <f t="shared" ca="1" si="8"/>
        <v>N/A</v>
      </c>
      <c r="U29" s="62" t="str">
        <f t="shared" ca="1" si="8"/>
        <v>N/A</v>
      </c>
      <c r="V29" s="62" t="str">
        <f t="shared" ca="1" si="8"/>
        <v>N/A</v>
      </c>
      <c r="W29" s="62" t="str">
        <f t="shared" ca="1" si="8"/>
        <v>N/A</v>
      </c>
      <c r="X29" s="62" t="str">
        <f t="shared" ca="1" si="8"/>
        <v>N/A</v>
      </c>
      <c r="Y29" s="62"/>
      <c r="Z29" s="62"/>
      <c r="AA29" s="62"/>
      <c r="AB29" s="62"/>
    </row>
    <row r="30" spans="1:28" hidden="1" x14ac:dyDescent="0.25">
      <c r="A30" s="44"/>
      <c r="B30" s="45" t="str">
        <f t="shared" ca="1" si="3"/>
        <v/>
      </c>
      <c r="C30" s="1" t="str">
        <f>IF(ISERROR(D30),"",IF(D30="","",MAX($C$12:C29)+1))</f>
        <v/>
      </c>
      <c r="D30" t="e">
        <f t="shared" si="4"/>
        <v>#N/A</v>
      </c>
      <c r="E30" s="15"/>
      <c r="F30" s="62" t="str">
        <f t="shared" ca="1" si="9"/>
        <v>N/A</v>
      </c>
      <c r="G30" s="62"/>
      <c r="H30" s="62"/>
      <c r="I30" s="62"/>
      <c r="J30" s="62" t="str">
        <f t="shared" si="10"/>
        <v>N/A</v>
      </c>
      <c r="K30" s="62" t="str">
        <f t="shared" si="11"/>
        <v>N/A</v>
      </c>
      <c r="L30" s="62" t="str">
        <f t="shared" si="12"/>
        <v>N/A</v>
      </c>
      <c r="M30" s="62" t="str">
        <f ca="1">IFERROR(VLOOKUP($A30,LASTYR,'[3]2017'!$C$3,FALSE),"N/A")</f>
        <v>N/A</v>
      </c>
      <c r="N30" s="62" t="str">
        <f t="shared" ca="1" si="8"/>
        <v>N/A</v>
      </c>
      <c r="O30" s="62" t="str">
        <f t="shared" ca="1" si="8"/>
        <v>N/A</v>
      </c>
      <c r="P30" s="62" t="str">
        <f t="shared" ca="1" si="8"/>
        <v>N/A</v>
      </c>
      <c r="Q30" s="62" t="str">
        <f t="shared" ca="1" si="8"/>
        <v>N/A</v>
      </c>
      <c r="R30" s="62" t="str">
        <f t="shared" ca="1" si="8"/>
        <v>N/A</v>
      </c>
      <c r="S30" s="62" t="str">
        <f t="shared" ca="1" si="8"/>
        <v>N/A</v>
      </c>
      <c r="T30" s="62" t="str">
        <f t="shared" ca="1" si="8"/>
        <v>N/A</v>
      </c>
      <c r="U30" s="62" t="str">
        <f t="shared" ca="1" si="8"/>
        <v>N/A</v>
      </c>
      <c r="V30" s="62" t="str">
        <f t="shared" ca="1" si="8"/>
        <v>N/A</v>
      </c>
      <c r="W30" s="62" t="str">
        <f t="shared" ca="1" si="8"/>
        <v>N/A</v>
      </c>
      <c r="X30" s="62" t="str">
        <f t="shared" ca="1" si="8"/>
        <v>N/A</v>
      </c>
      <c r="Y30" s="62"/>
      <c r="Z30" s="62"/>
      <c r="AA30" s="62"/>
      <c r="AB30" s="62"/>
    </row>
    <row r="31" spans="1:28" hidden="1" x14ac:dyDescent="0.25">
      <c r="A31" s="44"/>
      <c r="B31" s="45" t="str">
        <f t="shared" ca="1" si="3"/>
        <v/>
      </c>
      <c r="C31" s="1" t="str">
        <f>IF(ISERROR(D31),"",IF(D31="","",MAX($C$12:C30)+1))</f>
        <v/>
      </c>
      <c r="D31" t="e">
        <f t="shared" si="4"/>
        <v>#N/A</v>
      </c>
      <c r="E31" s="15"/>
      <c r="F31" s="62" t="str">
        <f t="shared" ca="1" si="9"/>
        <v>N/A</v>
      </c>
      <c r="G31" s="62"/>
      <c r="H31" s="62"/>
      <c r="I31" s="62"/>
      <c r="J31" s="62" t="str">
        <f t="shared" si="10"/>
        <v>N/A</v>
      </c>
      <c r="K31" s="62" t="str">
        <f t="shared" si="11"/>
        <v>N/A</v>
      </c>
      <c r="L31" s="62" t="str">
        <f t="shared" si="12"/>
        <v>N/A</v>
      </c>
      <c r="M31" s="62" t="str">
        <f ca="1">IFERROR(VLOOKUP($A31,LASTYR,'[3]2017'!$C$3,FALSE),"N/A")</f>
        <v>N/A</v>
      </c>
      <c r="N31" s="62" t="str">
        <f t="shared" ca="1" si="8"/>
        <v>N/A</v>
      </c>
      <c r="O31" s="62" t="str">
        <f t="shared" ca="1" si="8"/>
        <v>N/A</v>
      </c>
      <c r="P31" s="62" t="str">
        <f t="shared" ca="1" si="8"/>
        <v>N/A</v>
      </c>
      <c r="Q31" s="62" t="str">
        <f t="shared" ca="1" si="8"/>
        <v>N/A</v>
      </c>
      <c r="R31" s="62" t="str">
        <f t="shared" ref="Q31:X45" ca="1" si="13">IFERROR(INDEX(PE_WP,$B31,R$12),"N/A")</f>
        <v>N/A</v>
      </c>
      <c r="S31" s="62" t="str">
        <f t="shared" ca="1" si="13"/>
        <v>N/A</v>
      </c>
      <c r="T31" s="62" t="str">
        <f t="shared" ca="1" si="13"/>
        <v>N/A</v>
      </c>
      <c r="U31" s="62" t="str">
        <f t="shared" ca="1" si="13"/>
        <v>N/A</v>
      </c>
      <c r="V31" s="62" t="str">
        <f t="shared" ca="1" si="13"/>
        <v>N/A</v>
      </c>
      <c r="W31" s="62" t="str">
        <f t="shared" ca="1" si="13"/>
        <v>N/A</v>
      </c>
      <c r="X31" s="62" t="str">
        <f t="shared" ca="1" si="13"/>
        <v>N/A</v>
      </c>
      <c r="Y31" s="62"/>
      <c r="Z31" s="62"/>
      <c r="AA31" s="62"/>
      <c r="AB31" s="62"/>
    </row>
    <row r="32" spans="1:28" hidden="1" x14ac:dyDescent="0.25">
      <c r="A32" s="44"/>
      <c r="B32" s="45" t="str">
        <f t="shared" ca="1" si="3"/>
        <v/>
      </c>
      <c r="C32" s="1" t="str">
        <f>IF(ISERROR(D32),"",IF(D32="","",MAX($C$12:C31)+1))</f>
        <v/>
      </c>
      <c r="D32" t="e">
        <f t="shared" si="4"/>
        <v>#N/A</v>
      </c>
      <c r="E32" s="15"/>
      <c r="F32" s="62" t="str">
        <f t="shared" ca="1" si="9"/>
        <v>N/A</v>
      </c>
      <c r="G32" s="62"/>
      <c r="H32" s="62"/>
      <c r="I32" s="62"/>
      <c r="J32" s="62" t="str">
        <f t="shared" si="10"/>
        <v>N/A</v>
      </c>
      <c r="K32" s="62" t="str">
        <f t="shared" si="11"/>
        <v>N/A</v>
      </c>
      <c r="L32" s="62" t="str">
        <f t="shared" si="12"/>
        <v>N/A</v>
      </c>
      <c r="M32" s="62" t="str">
        <f ca="1">IFERROR(VLOOKUP($A32,LASTYR,'[3]2017'!$C$3,FALSE),"N/A")</f>
        <v>N/A</v>
      </c>
      <c r="N32" s="62" t="str">
        <f t="shared" ref="N32:N57" ca="1" si="14">IFERROR(INDEX(PE_WP,$B32,N$12),"N/A")</f>
        <v>N/A</v>
      </c>
      <c r="O32" s="62" t="str">
        <f t="shared" ref="O32:P52" ca="1" si="15">IFERROR(INDEX(PE_WP,$B32,O$12),"N/A")</f>
        <v>N/A</v>
      </c>
      <c r="P32" s="62" t="str">
        <f t="shared" ca="1" si="15"/>
        <v>N/A</v>
      </c>
      <c r="Q32" s="62" t="str">
        <f t="shared" ca="1" si="13"/>
        <v>N/A</v>
      </c>
      <c r="R32" s="62" t="str">
        <f t="shared" ca="1" si="13"/>
        <v>N/A</v>
      </c>
      <c r="S32" s="62" t="str">
        <f t="shared" ca="1" si="13"/>
        <v>N/A</v>
      </c>
      <c r="T32" s="62" t="str">
        <f t="shared" ca="1" si="13"/>
        <v>N/A</v>
      </c>
      <c r="U32" s="62" t="str">
        <f t="shared" ca="1" si="13"/>
        <v>N/A</v>
      </c>
      <c r="V32" s="62" t="str">
        <f t="shared" ca="1" si="13"/>
        <v>N/A</v>
      </c>
      <c r="W32" s="62" t="str">
        <f t="shared" ca="1" si="13"/>
        <v>N/A</v>
      </c>
      <c r="X32" s="62" t="str">
        <f t="shared" ca="1" si="13"/>
        <v>N/A</v>
      </c>
      <c r="Y32" s="62"/>
      <c r="Z32" s="62"/>
      <c r="AA32" s="62"/>
      <c r="AB32" s="62"/>
    </row>
    <row r="33" spans="1:28" hidden="1" x14ac:dyDescent="0.25">
      <c r="A33" s="44"/>
      <c r="B33" s="45" t="str">
        <f t="shared" ca="1" si="3"/>
        <v/>
      </c>
      <c r="C33" s="1" t="str">
        <f>IF(ISERROR(D33),"",IF(D33="","",MAX($C$12:C32)+1))</f>
        <v/>
      </c>
      <c r="D33" t="e">
        <f t="shared" si="4"/>
        <v>#N/A</v>
      </c>
      <c r="E33" s="15"/>
      <c r="F33" s="62" t="str">
        <f t="shared" ca="1" si="9"/>
        <v>N/A</v>
      </c>
      <c r="G33" s="62"/>
      <c r="H33" s="62"/>
      <c r="I33" s="62"/>
      <c r="J33" s="62" t="str">
        <f t="shared" si="10"/>
        <v>N/A</v>
      </c>
      <c r="K33" s="62" t="str">
        <f t="shared" si="11"/>
        <v>N/A</v>
      </c>
      <c r="L33" s="62" t="str">
        <f t="shared" si="12"/>
        <v>N/A</v>
      </c>
      <c r="M33" s="62" t="str">
        <f ca="1">IFERROR(VLOOKUP($A33,LASTYR,'[3]2017'!$C$3,FALSE),"N/A")</f>
        <v>N/A</v>
      </c>
      <c r="N33" s="62" t="str">
        <f t="shared" ca="1" si="14"/>
        <v>N/A</v>
      </c>
      <c r="O33" s="62" t="str">
        <f t="shared" ca="1" si="15"/>
        <v>N/A</v>
      </c>
      <c r="P33" s="62" t="str">
        <f t="shared" ca="1" si="15"/>
        <v>N/A</v>
      </c>
      <c r="Q33" s="62" t="str">
        <f t="shared" ca="1" si="13"/>
        <v>N/A</v>
      </c>
      <c r="R33" s="62" t="str">
        <f t="shared" ca="1" si="13"/>
        <v>N/A</v>
      </c>
      <c r="S33" s="62" t="str">
        <f t="shared" ca="1" si="13"/>
        <v>N/A</v>
      </c>
      <c r="T33" s="62" t="str">
        <f t="shared" ca="1" si="13"/>
        <v>N/A</v>
      </c>
      <c r="U33" s="62" t="str">
        <f t="shared" ca="1" si="13"/>
        <v>N/A</v>
      </c>
      <c r="V33" s="62" t="str">
        <f t="shared" ca="1" si="13"/>
        <v>N/A</v>
      </c>
      <c r="W33" s="62" t="str">
        <f t="shared" ca="1" si="13"/>
        <v>N/A</v>
      </c>
      <c r="X33" s="62" t="str">
        <f t="shared" ca="1" si="13"/>
        <v>N/A</v>
      </c>
      <c r="Y33" s="62"/>
      <c r="Z33" s="62"/>
      <c r="AA33" s="62"/>
      <c r="AB33" s="62"/>
    </row>
    <row r="34" spans="1:28" hidden="1" x14ac:dyDescent="0.25">
      <c r="A34" s="44"/>
      <c r="B34" s="45" t="str">
        <f t="shared" ca="1" si="3"/>
        <v/>
      </c>
      <c r="C34" s="1" t="str">
        <f>IF(ISERROR(D34),"",IF(D34="","",MAX($C$12:C33)+1))</f>
        <v/>
      </c>
      <c r="D34" t="e">
        <f t="shared" si="4"/>
        <v>#N/A</v>
      </c>
      <c r="E34" s="15"/>
      <c r="F34" s="62" t="str">
        <f t="shared" ca="1" si="9"/>
        <v>N/A</v>
      </c>
      <c r="G34" s="62"/>
      <c r="H34" s="62"/>
      <c r="I34" s="62"/>
      <c r="J34" s="62" t="str">
        <f t="shared" si="10"/>
        <v>N/A</v>
      </c>
      <c r="K34" s="62" t="str">
        <f t="shared" si="11"/>
        <v>N/A</v>
      </c>
      <c r="L34" s="62" t="str">
        <f t="shared" si="12"/>
        <v>N/A</v>
      </c>
      <c r="M34" s="62" t="str">
        <f ca="1">IFERROR(VLOOKUP($A34,LASTYR,'[3]2017'!$C$3,FALSE),"N/A")</f>
        <v>N/A</v>
      </c>
      <c r="N34" s="62" t="str">
        <f t="shared" ca="1" si="14"/>
        <v>N/A</v>
      </c>
      <c r="O34" s="62" t="str">
        <f t="shared" ca="1" si="15"/>
        <v>N/A</v>
      </c>
      <c r="P34" s="62" t="str">
        <f t="shared" ca="1" si="15"/>
        <v>N/A</v>
      </c>
      <c r="Q34" s="62" t="str">
        <f t="shared" ca="1" si="13"/>
        <v>N/A</v>
      </c>
      <c r="R34" s="62" t="str">
        <f t="shared" ca="1" si="13"/>
        <v>N/A</v>
      </c>
      <c r="S34" s="62" t="str">
        <f t="shared" ca="1" si="13"/>
        <v>N/A</v>
      </c>
      <c r="T34" s="62" t="str">
        <f t="shared" ca="1" si="13"/>
        <v>N/A</v>
      </c>
      <c r="U34" s="62" t="str">
        <f t="shared" ca="1" si="13"/>
        <v>N/A</v>
      </c>
      <c r="V34" s="62" t="str">
        <f t="shared" ca="1" si="13"/>
        <v>N/A</v>
      </c>
      <c r="W34" s="62" t="str">
        <f t="shared" ca="1" si="13"/>
        <v>N/A</v>
      </c>
      <c r="X34" s="62" t="str">
        <f t="shared" ca="1" si="13"/>
        <v>N/A</v>
      </c>
      <c r="Y34" s="62"/>
      <c r="Z34" s="62"/>
      <c r="AA34" s="62"/>
      <c r="AB34" s="62"/>
    </row>
    <row r="35" spans="1:28" hidden="1" x14ac:dyDescent="0.25">
      <c r="A35" s="44"/>
      <c r="B35" s="45" t="str">
        <f t="shared" ca="1" si="3"/>
        <v/>
      </c>
      <c r="C35" s="1" t="str">
        <f>IF(ISERROR(D35),"",IF(D35="","",MAX($C$12:C34)+1))</f>
        <v/>
      </c>
      <c r="D35" t="e">
        <f t="shared" si="4"/>
        <v>#N/A</v>
      </c>
      <c r="E35" s="15"/>
      <c r="F35" s="62" t="str">
        <f t="shared" ca="1" si="9"/>
        <v>N/A</v>
      </c>
      <c r="G35" s="62"/>
      <c r="H35" s="62"/>
      <c r="I35" s="62"/>
      <c r="J35" s="62" t="str">
        <f t="shared" si="10"/>
        <v>N/A</v>
      </c>
      <c r="K35" s="62" t="str">
        <f t="shared" si="11"/>
        <v>N/A</v>
      </c>
      <c r="L35" s="62" t="str">
        <f t="shared" si="12"/>
        <v>N/A</v>
      </c>
      <c r="M35" s="62" t="str">
        <f ca="1">IFERROR(VLOOKUP($A35,LASTYR,'[3]2017'!$C$3,FALSE),"N/A")</f>
        <v>N/A</v>
      </c>
      <c r="N35" s="62" t="str">
        <f t="shared" ca="1" si="14"/>
        <v>N/A</v>
      </c>
      <c r="O35" s="62" t="str">
        <f t="shared" ca="1" si="15"/>
        <v>N/A</v>
      </c>
      <c r="P35" s="62" t="str">
        <f t="shared" ca="1" si="15"/>
        <v>N/A</v>
      </c>
      <c r="Q35" s="62" t="str">
        <f t="shared" ca="1" si="13"/>
        <v>N/A</v>
      </c>
      <c r="R35" s="62" t="str">
        <f t="shared" ca="1" si="13"/>
        <v>N/A</v>
      </c>
      <c r="S35" s="62" t="str">
        <f t="shared" ca="1" si="13"/>
        <v>N/A</v>
      </c>
      <c r="T35" s="62" t="str">
        <f t="shared" ca="1" si="13"/>
        <v>N/A</v>
      </c>
      <c r="U35" s="62" t="str">
        <f t="shared" ca="1" si="13"/>
        <v>N/A</v>
      </c>
      <c r="V35" s="62" t="str">
        <f t="shared" ca="1" si="13"/>
        <v>N/A</v>
      </c>
      <c r="W35" s="62" t="str">
        <f t="shared" ca="1" si="13"/>
        <v>N/A</v>
      </c>
      <c r="X35" s="62" t="str">
        <f t="shared" ca="1" si="13"/>
        <v>N/A</v>
      </c>
      <c r="Y35" s="62"/>
      <c r="Z35" s="62"/>
      <c r="AA35" s="62"/>
      <c r="AB35" s="62"/>
    </row>
    <row r="36" spans="1:28" hidden="1" x14ac:dyDescent="0.25">
      <c r="A36" s="44"/>
      <c r="B36" s="45" t="str">
        <f t="shared" ca="1" si="3"/>
        <v/>
      </c>
      <c r="C36" s="1" t="str">
        <f>IF(ISERROR(D36),"",IF(D36="","",MAX($C$12:C35)+1))</f>
        <v/>
      </c>
      <c r="D36" t="e">
        <f t="shared" si="4"/>
        <v>#N/A</v>
      </c>
      <c r="E36" s="15"/>
      <c r="F36" s="62" t="str">
        <f t="shared" ca="1" si="9"/>
        <v>N/A</v>
      </c>
      <c r="G36" s="62"/>
      <c r="H36" s="62"/>
      <c r="I36" s="62"/>
      <c r="J36" s="62" t="str">
        <f t="shared" si="10"/>
        <v>N/A</v>
      </c>
      <c r="K36" s="62" t="str">
        <f t="shared" si="11"/>
        <v>N/A</v>
      </c>
      <c r="L36" s="62" t="str">
        <f t="shared" si="12"/>
        <v>N/A</v>
      </c>
      <c r="M36" s="62" t="str">
        <f ca="1">IFERROR(VLOOKUP($A36,LASTYR,'[3]2017'!$C$3,FALSE),"N/A")</f>
        <v>N/A</v>
      </c>
      <c r="N36" s="62" t="str">
        <f t="shared" ca="1" si="14"/>
        <v>N/A</v>
      </c>
      <c r="O36" s="62" t="str">
        <f t="shared" ca="1" si="15"/>
        <v>N/A</v>
      </c>
      <c r="P36" s="62" t="str">
        <f t="shared" ca="1" si="15"/>
        <v>N/A</v>
      </c>
      <c r="Q36" s="62" t="str">
        <f t="shared" ca="1" si="13"/>
        <v>N/A</v>
      </c>
      <c r="R36" s="62" t="str">
        <f t="shared" ca="1" si="13"/>
        <v>N/A</v>
      </c>
      <c r="S36" s="62" t="str">
        <f t="shared" ca="1" si="13"/>
        <v>N/A</v>
      </c>
      <c r="T36" s="62" t="str">
        <f t="shared" ca="1" si="13"/>
        <v>N/A</v>
      </c>
      <c r="U36" s="62" t="str">
        <f t="shared" ca="1" si="13"/>
        <v>N/A</v>
      </c>
      <c r="V36" s="62" t="str">
        <f t="shared" ca="1" si="13"/>
        <v>N/A</v>
      </c>
      <c r="W36" s="62" t="str">
        <f t="shared" ca="1" si="13"/>
        <v>N/A</v>
      </c>
      <c r="X36" s="62" t="str">
        <f t="shared" ca="1" si="13"/>
        <v>N/A</v>
      </c>
      <c r="Y36" s="62"/>
      <c r="Z36" s="62"/>
      <c r="AA36" s="62"/>
      <c r="AB36" s="62"/>
    </row>
    <row r="37" spans="1:28" hidden="1" x14ac:dyDescent="0.25">
      <c r="A37" s="44"/>
      <c r="B37" s="45" t="str">
        <f t="shared" ca="1" si="3"/>
        <v/>
      </c>
      <c r="C37" s="1" t="str">
        <f>IF(ISERROR(D37),"",IF(D37="","",MAX($C$12:C36)+1))</f>
        <v/>
      </c>
      <c r="D37" t="e">
        <f t="shared" si="4"/>
        <v>#N/A</v>
      </c>
      <c r="E37" s="15"/>
      <c r="F37" s="62" t="str">
        <f t="shared" ca="1" si="9"/>
        <v>N/A</v>
      </c>
      <c r="G37" s="62"/>
      <c r="H37" s="62"/>
      <c r="I37" s="62"/>
      <c r="J37" s="62" t="str">
        <f t="shared" si="10"/>
        <v>N/A</v>
      </c>
      <c r="K37" s="62" t="str">
        <f t="shared" si="11"/>
        <v>N/A</v>
      </c>
      <c r="L37" s="62" t="str">
        <f t="shared" si="12"/>
        <v>N/A</v>
      </c>
      <c r="M37" s="62" t="str">
        <f ca="1">IFERROR(VLOOKUP($A37,LASTYR,'[3]2017'!$C$3,FALSE),"N/A")</f>
        <v>N/A</v>
      </c>
      <c r="N37" s="62" t="str">
        <f t="shared" ca="1" si="14"/>
        <v>N/A</v>
      </c>
      <c r="O37" s="62" t="str">
        <f t="shared" ca="1" si="15"/>
        <v>N/A</v>
      </c>
      <c r="P37" s="62" t="str">
        <f t="shared" ca="1" si="15"/>
        <v>N/A</v>
      </c>
      <c r="Q37" s="62" t="str">
        <f t="shared" ca="1" si="13"/>
        <v>N/A</v>
      </c>
      <c r="R37" s="62" t="str">
        <f t="shared" ca="1" si="13"/>
        <v>N/A</v>
      </c>
      <c r="S37" s="62" t="str">
        <f t="shared" ca="1" si="13"/>
        <v>N/A</v>
      </c>
      <c r="T37" s="62" t="str">
        <f t="shared" ca="1" si="13"/>
        <v>N/A</v>
      </c>
      <c r="U37" s="62" t="str">
        <f t="shared" ca="1" si="13"/>
        <v>N/A</v>
      </c>
      <c r="V37" s="62" t="str">
        <f t="shared" ca="1" si="13"/>
        <v>N/A</v>
      </c>
      <c r="W37" s="62" t="str">
        <f t="shared" ca="1" si="13"/>
        <v>N/A</v>
      </c>
      <c r="X37" s="62" t="str">
        <f t="shared" ca="1" si="13"/>
        <v>N/A</v>
      </c>
      <c r="Y37" s="62"/>
      <c r="Z37" s="62"/>
      <c r="AA37" s="62"/>
      <c r="AB37" s="62"/>
    </row>
    <row r="38" spans="1:28" hidden="1" x14ac:dyDescent="0.25">
      <c r="A38" s="44"/>
      <c r="B38" s="45" t="str">
        <f t="shared" ca="1" si="3"/>
        <v/>
      </c>
      <c r="C38" s="1" t="str">
        <f>IF(ISERROR(D38),"",IF(D38="","",MAX($C$12:C37)+1))</f>
        <v/>
      </c>
      <c r="D38" t="e">
        <f t="shared" si="4"/>
        <v>#N/A</v>
      </c>
      <c r="E38" s="15"/>
      <c r="F38" s="62" t="str">
        <f t="shared" ca="1" si="9"/>
        <v>N/A</v>
      </c>
      <c r="G38" s="62"/>
      <c r="H38" s="62"/>
      <c r="I38" s="62"/>
      <c r="J38" s="62" t="str">
        <f t="shared" si="10"/>
        <v>N/A</v>
      </c>
      <c r="K38" s="62" t="str">
        <f t="shared" si="11"/>
        <v>N/A</v>
      </c>
      <c r="L38" s="62" t="str">
        <f t="shared" si="12"/>
        <v>N/A</v>
      </c>
      <c r="M38" s="62" t="str">
        <f ca="1">IFERROR(VLOOKUP($A38,LASTYR,'[3]2017'!$C$3,FALSE),"N/A")</f>
        <v>N/A</v>
      </c>
      <c r="N38" s="62" t="str">
        <f t="shared" ca="1" si="14"/>
        <v>N/A</v>
      </c>
      <c r="O38" s="62" t="str">
        <f t="shared" ca="1" si="15"/>
        <v>N/A</v>
      </c>
      <c r="P38" s="62" t="str">
        <f t="shared" ca="1" si="15"/>
        <v>N/A</v>
      </c>
      <c r="Q38" s="62" t="str">
        <f t="shared" ca="1" si="13"/>
        <v>N/A</v>
      </c>
      <c r="R38" s="62" t="str">
        <f t="shared" ca="1" si="13"/>
        <v>N/A</v>
      </c>
      <c r="S38" s="62" t="str">
        <f t="shared" ca="1" si="13"/>
        <v>N/A</v>
      </c>
      <c r="T38" s="62" t="str">
        <f t="shared" ca="1" si="13"/>
        <v>N/A</v>
      </c>
      <c r="U38" s="62" t="str">
        <f t="shared" ca="1" si="13"/>
        <v>N/A</v>
      </c>
      <c r="V38" s="62" t="str">
        <f t="shared" ca="1" si="13"/>
        <v>N/A</v>
      </c>
      <c r="W38" s="62" t="str">
        <f t="shared" ca="1" si="13"/>
        <v>N/A</v>
      </c>
      <c r="X38" s="62" t="str">
        <f t="shared" ca="1" si="13"/>
        <v>N/A</v>
      </c>
      <c r="Y38" s="62"/>
      <c r="Z38" s="62"/>
      <c r="AA38" s="62"/>
      <c r="AB38" s="62"/>
    </row>
    <row r="39" spans="1:28" hidden="1" x14ac:dyDescent="0.25">
      <c r="A39" s="44"/>
      <c r="B39" s="45" t="str">
        <f t="shared" ca="1" si="3"/>
        <v/>
      </c>
      <c r="C39" s="1" t="str">
        <f>IF(ISERROR(D39),"",IF(D39="","",MAX($C$12:C38)+1))</f>
        <v/>
      </c>
      <c r="D39" t="e">
        <f t="shared" si="4"/>
        <v>#N/A</v>
      </c>
      <c r="E39" s="15"/>
      <c r="F39" s="62" t="str">
        <f t="shared" ca="1" si="9"/>
        <v>N/A</v>
      </c>
      <c r="G39" s="62"/>
      <c r="H39" s="62"/>
      <c r="I39" s="62"/>
      <c r="J39" s="62" t="str">
        <f t="shared" si="10"/>
        <v>N/A</v>
      </c>
      <c r="K39" s="62" t="str">
        <f t="shared" si="11"/>
        <v>N/A</v>
      </c>
      <c r="L39" s="62" t="str">
        <f t="shared" si="12"/>
        <v>N/A</v>
      </c>
      <c r="M39" s="62" t="str">
        <f ca="1">IFERROR(VLOOKUP($A39,LASTYR,'[3]2017'!$C$3,FALSE),"N/A")</f>
        <v>N/A</v>
      </c>
      <c r="N39" s="62" t="str">
        <f t="shared" ca="1" si="14"/>
        <v>N/A</v>
      </c>
      <c r="O39" s="62" t="str">
        <f t="shared" ca="1" si="15"/>
        <v>N/A</v>
      </c>
      <c r="P39" s="62" t="str">
        <f t="shared" ca="1" si="15"/>
        <v>N/A</v>
      </c>
      <c r="Q39" s="62" t="str">
        <f t="shared" ca="1" si="13"/>
        <v>N/A</v>
      </c>
      <c r="R39" s="62" t="str">
        <f t="shared" ca="1" si="13"/>
        <v>N/A</v>
      </c>
      <c r="S39" s="62" t="str">
        <f t="shared" ca="1" si="13"/>
        <v>N/A</v>
      </c>
      <c r="T39" s="62" t="str">
        <f t="shared" ca="1" si="13"/>
        <v>N/A</v>
      </c>
      <c r="U39" s="62" t="str">
        <f t="shared" ca="1" si="13"/>
        <v>N/A</v>
      </c>
      <c r="V39" s="62" t="str">
        <f t="shared" ca="1" si="13"/>
        <v>N/A</v>
      </c>
      <c r="W39" s="62" t="str">
        <f t="shared" ca="1" si="13"/>
        <v>N/A</v>
      </c>
      <c r="X39" s="62" t="str">
        <f t="shared" ca="1" si="13"/>
        <v>N/A</v>
      </c>
      <c r="Y39" s="62"/>
      <c r="Z39" s="62"/>
      <c r="AA39" s="62"/>
      <c r="AB39" s="62"/>
    </row>
    <row r="40" spans="1:28" hidden="1" x14ac:dyDescent="0.25">
      <c r="A40" s="44"/>
      <c r="B40" s="45" t="str">
        <f t="shared" ca="1" si="3"/>
        <v/>
      </c>
      <c r="C40" s="1" t="str">
        <f>IF(ISERROR(D40),"",IF(D40="","",MAX($C$12:C39)+1))</f>
        <v/>
      </c>
      <c r="D40" t="e">
        <f t="shared" si="4"/>
        <v>#N/A</v>
      </c>
      <c r="E40" s="15"/>
      <c r="F40" s="62" t="str">
        <f t="shared" ca="1" si="9"/>
        <v>N/A</v>
      </c>
      <c r="G40" s="62"/>
      <c r="H40" s="62"/>
      <c r="I40" s="62"/>
      <c r="J40" s="62" t="str">
        <f t="shared" si="10"/>
        <v>N/A</v>
      </c>
      <c r="K40" s="62" t="str">
        <f t="shared" si="11"/>
        <v>N/A</v>
      </c>
      <c r="L40" s="62" t="str">
        <f t="shared" si="12"/>
        <v>N/A</v>
      </c>
      <c r="M40" s="62" t="str">
        <f ca="1">IFERROR(VLOOKUP($A40,LASTYR,'[3]2017'!$C$3,FALSE),"N/A")</f>
        <v>N/A</v>
      </c>
      <c r="N40" s="62" t="str">
        <f t="shared" ca="1" si="14"/>
        <v>N/A</v>
      </c>
      <c r="O40" s="62" t="str">
        <f t="shared" ca="1" si="15"/>
        <v>N/A</v>
      </c>
      <c r="P40" s="62" t="str">
        <f t="shared" ca="1" si="15"/>
        <v>N/A</v>
      </c>
      <c r="Q40" s="62" t="str">
        <f t="shared" ca="1" si="13"/>
        <v>N/A</v>
      </c>
      <c r="R40" s="62" t="str">
        <f t="shared" ca="1" si="13"/>
        <v>N/A</v>
      </c>
      <c r="S40" s="62" t="str">
        <f t="shared" ca="1" si="13"/>
        <v>N/A</v>
      </c>
      <c r="T40" s="62" t="str">
        <f t="shared" ca="1" si="13"/>
        <v>N/A</v>
      </c>
      <c r="U40" s="62" t="str">
        <f t="shared" ca="1" si="13"/>
        <v>N/A</v>
      </c>
      <c r="V40" s="62" t="str">
        <f t="shared" ca="1" si="13"/>
        <v>N/A</v>
      </c>
      <c r="W40" s="62" t="str">
        <f t="shared" ca="1" si="13"/>
        <v>N/A</v>
      </c>
      <c r="X40" s="62" t="str">
        <f t="shared" ca="1" si="13"/>
        <v>N/A</v>
      </c>
      <c r="Y40" s="62"/>
      <c r="Z40" s="62"/>
      <c r="AA40" s="62"/>
      <c r="AB40" s="62"/>
    </row>
    <row r="41" spans="1:28" hidden="1" x14ac:dyDescent="0.25">
      <c r="A41" s="44"/>
      <c r="B41" s="45" t="str">
        <f t="shared" ca="1" si="3"/>
        <v/>
      </c>
      <c r="C41" s="1" t="str">
        <f>IF(ISERROR(D41),"",IF(D41="","",MAX($C$12:C40)+1))</f>
        <v/>
      </c>
      <c r="D41" t="e">
        <f t="shared" si="4"/>
        <v>#N/A</v>
      </c>
      <c r="E41" s="15"/>
      <c r="F41" s="62" t="str">
        <f t="shared" ca="1" si="9"/>
        <v>N/A</v>
      </c>
      <c r="G41" s="62"/>
      <c r="H41" s="62"/>
      <c r="I41" s="62"/>
      <c r="J41" s="62" t="str">
        <f t="shared" si="10"/>
        <v>N/A</v>
      </c>
      <c r="K41" s="62" t="str">
        <f t="shared" si="11"/>
        <v>N/A</v>
      </c>
      <c r="L41" s="62" t="str">
        <f t="shared" si="12"/>
        <v>N/A</v>
      </c>
      <c r="M41" s="62" t="str">
        <f ca="1">IFERROR(VLOOKUP($A41,LASTYR,'[3]2017'!$C$3,FALSE),"N/A")</f>
        <v>N/A</v>
      </c>
      <c r="N41" s="62" t="str">
        <f t="shared" ca="1" si="14"/>
        <v>N/A</v>
      </c>
      <c r="O41" s="62" t="str">
        <f t="shared" ca="1" si="15"/>
        <v>N/A</v>
      </c>
      <c r="P41" s="62" t="str">
        <f t="shared" ca="1" si="15"/>
        <v>N/A</v>
      </c>
      <c r="Q41" s="62" t="str">
        <f t="shared" ca="1" si="13"/>
        <v>N/A</v>
      </c>
      <c r="R41" s="62" t="str">
        <f t="shared" ca="1" si="13"/>
        <v>N/A</v>
      </c>
      <c r="S41" s="62" t="str">
        <f t="shared" ca="1" si="13"/>
        <v>N/A</v>
      </c>
      <c r="T41" s="62" t="str">
        <f t="shared" ca="1" si="13"/>
        <v>N/A</v>
      </c>
      <c r="U41" s="62" t="str">
        <f t="shared" ca="1" si="13"/>
        <v>N/A</v>
      </c>
      <c r="V41" s="62" t="str">
        <f t="shared" ca="1" si="13"/>
        <v>N/A</v>
      </c>
      <c r="W41" s="62" t="str">
        <f t="shared" ca="1" si="13"/>
        <v>N/A</v>
      </c>
      <c r="X41" s="62" t="str">
        <f t="shared" ca="1" si="13"/>
        <v>N/A</v>
      </c>
      <c r="Y41" s="62"/>
      <c r="Z41" s="62"/>
      <c r="AA41" s="62"/>
      <c r="AB41" s="62"/>
    </row>
    <row r="42" spans="1:28" hidden="1" x14ac:dyDescent="0.25">
      <c r="A42" s="44"/>
      <c r="B42" s="45" t="str">
        <f t="shared" ca="1" si="3"/>
        <v/>
      </c>
      <c r="C42" s="1" t="str">
        <f>IF(ISERROR(D42),"",IF(D42="","",MAX($C$12:C41)+1))</f>
        <v/>
      </c>
      <c r="D42" t="e">
        <f t="shared" si="4"/>
        <v>#N/A</v>
      </c>
      <c r="E42" s="15"/>
      <c r="F42" s="62" t="str">
        <f t="shared" ca="1" si="9"/>
        <v>N/A</v>
      </c>
      <c r="G42" s="62"/>
      <c r="H42" s="62"/>
      <c r="I42" s="62"/>
      <c r="J42" s="62" t="str">
        <f t="shared" si="10"/>
        <v>N/A</v>
      </c>
      <c r="K42" s="62" t="str">
        <f t="shared" si="11"/>
        <v>N/A</v>
      </c>
      <c r="L42" s="62" t="str">
        <f t="shared" si="12"/>
        <v>N/A</v>
      </c>
      <c r="M42" s="62" t="str">
        <f ca="1">IFERROR(VLOOKUP($A42,LASTYR,'[3]2017'!$C$3,FALSE),"N/A")</f>
        <v>N/A</v>
      </c>
      <c r="N42" s="62" t="str">
        <f t="shared" ca="1" si="14"/>
        <v>N/A</v>
      </c>
      <c r="O42" s="62" t="str">
        <f t="shared" ca="1" si="15"/>
        <v>N/A</v>
      </c>
      <c r="P42" s="62" t="str">
        <f t="shared" ca="1" si="15"/>
        <v>N/A</v>
      </c>
      <c r="Q42" s="62" t="str">
        <f t="shared" ca="1" si="13"/>
        <v>N/A</v>
      </c>
      <c r="R42" s="62" t="str">
        <f t="shared" ca="1" si="13"/>
        <v>N/A</v>
      </c>
      <c r="S42" s="62" t="str">
        <f t="shared" ca="1" si="13"/>
        <v>N/A</v>
      </c>
      <c r="T42" s="62" t="str">
        <f t="shared" ca="1" si="13"/>
        <v>N/A</v>
      </c>
      <c r="U42" s="62" t="str">
        <f t="shared" ca="1" si="13"/>
        <v>N/A</v>
      </c>
      <c r="V42" s="62" t="str">
        <f t="shared" ca="1" si="13"/>
        <v>N/A</v>
      </c>
      <c r="W42" s="62" t="str">
        <f t="shared" ca="1" si="13"/>
        <v>N/A</v>
      </c>
      <c r="X42" s="62" t="str">
        <f t="shared" ca="1" si="13"/>
        <v>N/A</v>
      </c>
      <c r="Y42" s="62"/>
      <c r="Z42" s="62"/>
      <c r="AA42" s="62"/>
      <c r="AB42" s="62"/>
    </row>
    <row r="43" spans="1:28" hidden="1" x14ac:dyDescent="0.25">
      <c r="A43" s="44"/>
      <c r="B43" s="45" t="str">
        <f t="shared" ca="1" si="3"/>
        <v/>
      </c>
      <c r="C43" s="1" t="str">
        <f>IF(ISERROR(D43),"",IF(D43="","",MAX($C$12:C42)+1))</f>
        <v/>
      </c>
      <c r="D43" t="e">
        <f t="shared" si="4"/>
        <v>#N/A</v>
      </c>
      <c r="E43" s="15"/>
      <c r="F43" s="62" t="str">
        <f t="shared" ca="1" si="9"/>
        <v>N/A</v>
      </c>
      <c r="G43" s="62"/>
      <c r="H43" s="62"/>
      <c r="I43" s="62"/>
      <c r="J43" s="62" t="str">
        <f t="shared" si="10"/>
        <v>N/A</v>
      </c>
      <c r="K43" s="62" t="str">
        <f t="shared" si="11"/>
        <v>N/A</v>
      </c>
      <c r="L43" s="62" t="str">
        <f t="shared" si="12"/>
        <v>N/A</v>
      </c>
      <c r="M43" s="62" t="str">
        <f ca="1">IFERROR(VLOOKUP($A43,LASTYR,'[3]2017'!$C$3,FALSE),"N/A")</f>
        <v>N/A</v>
      </c>
      <c r="N43" s="62" t="str">
        <f t="shared" ca="1" si="14"/>
        <v>N/A</v>
      </c>
      <c r="O43" s="62" t="str">
        <f t="shared" ca="1" si="15"/>
        <v>N/A</v>
      </c>
      <c r="P43" s="62" t="str">
        <f t="shared" ca="1" si="15"/>
        <v>N/A</v>
      </c>
      <c r="Q43" s="62" t="str">
        <f t="shared" ca="1" si="13"/>
        <v>N/A</v>
      </c>
      <c r="R43" s="62" t="str">
        <f t="shared" ca="1" si="13"/>
        <v>N/A</v>
      </c>
      <c r="S43" s="62" t="str">
        <f t="shared" ca="1" si="13"/>
        <v>N/A</v>
      </c>
      <c r="T43" s="62" t="str">
        <f t="shared" ca="1" si="13"/>
        <v>N/A</v>
      </c>
      <c r="U43" s="62" t="str">
        <f t="shared" ca="1" si="13"/>
        <v>N/A</v>
      </c>
      <c r="V43" s="62" t="str">
        <f t="shared" ca="1" si="13"/>
        <v>N/A</v>
      </c>
      <c r="W43" s="62" t="str">
        <f t="shared" ca="1" si="13"/>
        <v>N/A</v>
      </c>
      <c r="X43" s="62" t="str">
        <f t="shared" ca="1" si="13"/>
        <v>N/A</v>
      </c>
      <c r="Y43" s="62"/>
      <c r="Z43" s="62"/>
      <c r="AA43" s="62"/>
      <c r="AB43" s="62"/>
    </row>
    <row r="44" spans="1:28" hidden="1" x14ac:dyDescent="0.25">
      <c r="A44" s="44"/>
      <c r="B44" s="45" t="str">
        <f t="shared" ca="1" si="3"/>
        <v/>
      </c>
      <c r="C44" s="1" t="str">
        <f>IF(ISERROR(D44),"",IF(D44="","",MAX($C$12:C43)+1))</f>
        <v/>
      </c>
      <c r="D44" t="e">
        <f t="shared" si="4"/>
        <v>#N/A</v>
      </c>
      <c r="E44" s="15"/>
      <c r="F44" s="62" t="str">
        <f t="shared" ca="1" si="9"/>
        <v>N/A</v>
      </c>
      <c r="G44" s="62"/>
      <c r="H44" s="62"/>
      <c r="I44" s="62"/>
      <c r="J44" s="62" t="str">
        <f t="shared" si="10"/>
        <v>N/A</v>
      </c>
      <c r="K44" s="62" t="str">
        <f t="shared" si="11"/>
        <v>N/A</v>
      </c>
      <c r="L44" s="62" t="str">
        <f t="shared" si="12"/>
        <v>N/A</v>
      </c>
      <c r="M44" s="62" t="str">
        <f ca="1">IFERROR(VLOOKUP($A44,LASTYR,'[3]2017'!$C$3,FALSE),"N/A")</f>
        <v>N/A</v>
      </c>
      <c r="N44" s="62" t="str">
        <f t="shared" ca="1" si="14"/>
        <v>N/A</v>
      </c>
      <c r="O44" s="62" t="str">
        <f t="shared" ca="1" si="15"/>
        <v>N/A</v>
      </c>
      <c r="P44" s="62" t="str">
        <f t="shared" ca="1" si="15"/>
        <v>N/A</v>
      </c>
      <c r="Q44" s="62" t="str">
        <f t="shared" ca="1" si="13"/>
        <v>N/A</v>
      </c>
      <c r="R44" s="62" t="str">
        <f t="shared" ca="1" si="13"/>
        <v>N/A</v>
      </c>
      <c r="S44" s="62" t="str">
        <f t="shared" ca="1" si="13"/>
        <v>N/A</v>
      </c>
      <c r="T44" s="62" t="str">
        <f t="shared" ca="1" si="13"/>
        <v>N/A</v>
      </c>
      <c r="U44" s="62" t="str">
        <f t="shared" ca="1" si="13"/>
        <v>N/A</v>
      </c>
      <c r="V44" s="62" t="str">
        <f t="shared" ca="1" si="13"/>
        <v>N/A</v>
      </c>
      <c r="W44" s="62" t="str">
        <f t="shared" ca="1" si="13"/>
        <v>N/A</v>
      </c>
      <c r="X44" s="62" t="str">
        <f t="shared" ca="1" si="13"/>
        <v>N/A</v>
      </c>
      <c r="Y44" s="62"/>
      <c r="Z44" s="62"/>
      <c r="AA44" s="62"/>
      <c r="AB44" s="62"/>
    </row>
    <row r="45" spans="1:28" hidden="1" x14ac:dyDescent="0.25">
      <c r="A45" s="44"/>
      <c r="B45" s="45" t="str">
        <f t="shared" ca="1" si="3"/>
        <v/>
      </c>
      <c r="C45" s="1" t="str">
        <f>IF(ISERROR(D45),"",IF(D45="","",MAX($C$12:C44)+1))</f>
        <v/>
      </c>
      <c r="D45" t="e">
        <f t="shared" si="4"/>
        <v>#N/A</v>
      </c>
      <c r="E45" s="15"/>
      <c r="F45" s="62" t="str">
        <f t="shared" ca="1" si="9"/>
        <v>N/A</v>
      </c>
      <c r="G45" s="62"/>
      <c r="H45" s="62"/>
      <c r="I45" s="62"/>
      <c r="J45" s="62" t="str">
        <f t="shared" si="10"/>
        <v>N/A</v>
      </c>
      <c r="K45" s="62" t="str">
        <f t="shared" si="11"/>
        <v>N/A</v>
      </c>
      <c r="L45" s="62" t="str">
        <f t="shared" si="12"/>
        <v>N/A</v>
      </c>
      <c r="M45" s="62" t="str">
        <f ca="1">IFERROR(VLOOKUP($A45,LASTYR,'[3]2017'!$C$3,FALSE),"N/A")</f>
        <v>N/A</v>
      </c>
      <c r="N45" s="62" t="str">
        <f t="shared" ca="1" si="14"/>
        <v>N/A</v>
      </c>
      <c r="O45" s="62" t="str">
        <f t="shared" ca="1" si="15"/>
        <v>N/A</v>
      </c>
      <c r="P45" s="62" t="str">
        <f t="shared" ca="1" si="15"/>
        <v>N/A</v>
      </c>
      <c r="Q45" s="62" t="str">
        <f t="shared" ca="1" si="13"/>
        <v>N/A</v>
      </c>
      <c r="R45" s="62" t="str">
        <f t="shared" ca="1" si="13"/>
        <v>N/A</v>
      </c>
      <c r="S45" s="62" t="str">
        <f t="shared" ca="1" si="13"/>
        <v>N/A</v>
      </c>
      <c r="T45" s="62" t="str">
        <f t="shared" ca="1" si="13"/>
        <v>N/A</v>
      </c>
      <c r="U45" s="62" t="str">
        <f t="shared" ca="1" si="13"/>
        <v>N/A</v>
      </c>
      <c r="V45" s="62" t="str">
        <f t="shared" ca="1" si="13"/>
        <v>N/A</v>
      </c>
      <c r="W45" s="62" t="str">
        <f t="shared" ca="1" si="13"/>
        <v>N/A</v>
      </c>
      <c r="X45" s="62" t="str">
        <f t="shared" ca="1" si="13"/>
        <v>N/A</v>
      </c>
      <c r="Y45" s="62"/>
      <c r="Z45" s="62"/>
      <c r="AA45" s="62"/>
      <c r="AB45" s="62"/>
    </row>
    <row r="46" spans="1:28" hidden="1" x14ac:dyDescent="0.25">
      <c r="A46" s="44"/>
      <c r="B46" s="45" t="str">
        <f t="shared" ca="1" si="3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62" t="str">
        <f t="shared" ca="1" si="9"/>
        <v>N/A</v>
      </c>
      <c r="G46" s="62"/>
      <c r="H46" s="62"/>
      <c r="I46" s="62"/>
      <c r="J46" s="62" t="str">
        <f t="shared" si="10"/>
        <v>N/A</v>
      </c>
      <c r="K46" s="62" t="str">
        <f t="shared" si="11"/>
        <v>N/A</v>
      </c>
      <c r="L46" s="62" t="str">
        <f t="shared" si="12"/>
        <v>N/A</v>
      </c>
      <c r="M46" s="62" t="str">
        <f ca="1">IFERROR(VLOOKUP($A46,LASTYR,'[3]2017'!$C$3,FALSE),"N/A")</f>
        <v>N/A</v>
      </c>
      <c r="N46" s="62" t="str">
        <f t="shared" ca="1" si="14"/>
        <v>N/A</v>
      </c>
      <c r="O46" s="62" t="str">
        <f t="shared" ca="1" si="15"/>
        <v>N/A</v>
      </c>
      <c r="P46" s="62" t="str">
        <f t="shared" ca="1" si="15"/>
        <v>N/A</v>
      </c>
      <c r="Q46" s="62" t="str">
        <f t="shared" ref="Q46:X52" ca="1" si="16">IFERROR(INDEX(PE_WP,$B46,Q$12),"N/A")</f>
        <v>N/A</v>
      </c>
      <c r="R46" s="62" t="str">
        <f t="shared" ca="1" si="16"/>
        <v>N/A</v>
      </c>
      <c r="S46" s="62" t="str">
        <f t="shared" ca="1" si="16"/>
        <v>N/A</v>
      </c>
      <c r="T46" s="62" t="str">
        <f t="shared" ca="1" si="16"/>
        <v>N/A</v>
      </c>
      <c r="U46" s="62" t="str">
        <f t="shared" ca="1" si="16"/>
        <v>N/A</v>
      </c>
      <c r="V46" s="62" t="str">
        <f t="shared" ca="1" si="16"/>
        <v>N/A</v>
      </c>
      <c r="W46" s="62" t="str">
        <f t="shared" ca="1" si="16"/>
        <v>N/A</v>
      </c>
      <c r="X46" s="62" t="str">
        <f t="shared" ca="1" si="16"/>
        <v>N/A</v>
      </c>
      <c r="Y46" s="62"/>
      <c r="Z46" s="62"/>
      <c r="AA46" s="62"/>
      <c r="AB46" s="62"/>
    </row>
    <row r="47" spans="1:28" hidden="1" x14ac:dyDescent="0.25">
      <c r="A47" s="44"/>
      <c r="B47" s="45" t="str">
        <f t="shared" ca="1" si="3"/>
        <v/>
      </c>
      <c r="C47" s="1" t="str">
        <f>IF(ISERROR(D47),"",IF(D47="","",MAX($C$12:C46)+1))</f>
        <v/>
      </c>
      <c r="D47" t="e">
        <f t="shared" si="4"/>
        <v>#N/A</v>
      </c>
      <c r="E47" s="15"/>
      <c r="F47" s="62" t="str">
        <f t="shared" ca="1" si="9"/>
        <v>N/A</v>
      </c>
      <c r="G47" s="62"/>
      <c r="H47" s="62"/>
      <c r="I47" s="62"/>
      <c r="J47" s="62" t="str">
        <f t="shared" si="10"/>
        <v>N/A</v>
      </c>
      <c r="K47" s="62" t="str">
        <f t="shared" si="11"/>
        <v>N/A</v>
      </c>
      <c r="L47" s="62" t="str">
        <f t="shared" si="12"/>
        <v>N/A</v>
      </c>
      <c r="M47" s="62" t="str">
        <f ca="1">IFERROR(VLOOKUP($A47,LASTYR,'[3]2017'!$C$3,FALSE),"N/A")</f>
        <v>N/A</v>
      </c>
      <c r="N47" s="62" t="str">
        <f t="shared" ca="1" si="14"/>
        <v>N/A</v>
      </c>
      <c r="O47" s="62" t="str">
        <f t="shared" ca="1" si="15"/>
        <v>N/A</v>
      </c>
      <c r="P47" s="62" t="str">
        <f t="shared" ca="1" si="15"/>
        <v>N/A</v>
      </c>
      <c r="Q47" s="62" t="str">
        <f t="shared" ca="1" si="16"/>
        <v>N/A</v>
      </c>
      <c r="R47" s="62" t="str">
        <f t="shared" ca="1" si="16"/>
        <v>N/A</v>
      </c>
      <c r="S47" s="62" t="str">
        <f t="shared" ca="1" si="16"/>
        <v>N/A</v>
      </c>
      <c r="T47" s="62" t="str">
        <f t="shared" ca="1" si="16"/>
        <v>N/A</v>
      </c>
      <c r="U47" s="62" t="str">
        <f t="shared" ca="1" si="16"/>
        <v>N/A</v>
      </c>
      <c r="V47" s="62" t="str">
        <f t="shared" ca="1" si="16"/>
        <v>N/A</v>
      </c>
      <c r="W47" s="62" t="str">
        <f t="shared" ca="1" si="16"/>
        <v>N/A</v>
      </c>
      <c r="X47" s="62" t="str">
        <f t="shared" ca="1" si="16"/>
        <v>N/A</v>
      </c>
      <c r="Y47" s="62"/>
      <c r="Z47" s="62"/>
      <c r="AA47" s="62"/>
      <c r="AB47" s="62"/>
    </row>
    <row r="48" spans="1:28" hidden="1" x14ac:dyDescent="0.25">
      <c r="A48" s="44"/>
      <c r="B48" s="45" t="str">
        <f t="shared" ca="1" si="3"/>
        <v/>
      </c>
      <c r="C48" s="1" t="str">
        <f>IF(ISERROR(D48),"",IF(D48="","",MAX($C$12:C47)+1))</f>
        <v/>
      </c>
      <c r="D48" t="e">
        <f t="shared" si="4"/>
        <v>#N/A</v>
      </c>
      <c r="E48" s="15"/>
      <c r="F48" s="62" t="str">
        <f t="shared" ca="1" si="9"/>
        <v>N/A</v>
      </c>
      <c r="G48" s="62"/>
      <c r="H48" s="62"/>
      <c r="I48" s="62"/>
      <c r="J48" s="62" t="str">
        <f t="shared" si="10"/>
        <v>N/A</v>
      </c>
      <c r="K48" s="62" t="str">
        <f t="shared" si="11"/>
        <v>N/A</v>
      </c>
      <c r="L48" s="62" t="str">
        <f t="shared" si="12"/>
        <v>N/A</v>
      </c>
      <c r="M48" s="62" t="str">
        <f ca="1">IFERROR(VLOOKUP($A48,LASTYR,'[3]2017'!$C$3,FALSE),"N/A")</f>
        <v>N/A</v>
      </c>
      <c r="N48" s="62" t="str">
        <f t="shared" ca="1" si="14"/>
        <v>N/A</v>
      </c>
      <c r="O48" s="62" t="str">
        <f t="shared" ca="1" si="15"/>
        <v>N/A</v>
      </c>
      <c r="P48" s="62" t="str">
        <f t="shared" ca="1" si="15"/>
        <v>N/A</v>
      </c>
      <c r="Q48" s="62" t="str">
        <f t="shared" ca="1" si="16"/>
        <v>N/A</v>
      </c>
      <c r="R48" s="62" t="str">
        <f t="shared" ca="1" si="16"/>
        <v>N/A</v>
      </c>
      <c r="S48" s="62" t="str">
        <f t="shared" ca="1" si="16"/>
        <v>N/A</v>
      </c>
      <c r="T48" s="62" t="str">
        <f t="shared" ca="1" si="16"/>
        <v>N/A</v>
      </c>
      <c r="U48" s="62" t="str">
        <f t="shared" ca="1" si="16"/>
        <v>N/A</v>
      </c>
      <c r="V48" s="62" t="str">
        <f t="shared" ca="1" si="16"/>
        <v>N/A</v>
      </c>
      <c r="W48" s="62" t="str">
        <f t="shared" ca="1" si="16"/>
        <v>N/A</v>
      </c>
      <c r="X48" s="62" t="str">
        <f t="shared" ca="1" si="16"/>
        <v>N/A</v>
      </c>
      <c r="Y48" s="62"/>
      <c r="Z48" s="62"/>
      <c r="AA48" s="62"/>
      <c r="AB48" s="62"/>
    </row>
    <row r="49" spans="1:28" hidden="1" x14ac:dyDescent="0.25">
      <c r="A49" s="44"/>
      <c r="B49" s="45" t="str">
        <f t="shared" ca="1" si="3"/>
        <v/>
      </c>
      <c r="C49" s="1" t="str">
        <f>IF(ISERROR(D49),"",IF(D49="","",MAX($C$12:C48)+1))</f>
        <v/>
      </c>
      <c r="D49" t="e">
        <f t="shared" si="4"/>
        <v>#N/A</v>
      </c>
      <c r="E49" s="15"/>
      <c r="F49" s="62" t="str">
        <f t="shared" ca="1" si="9"/>
        <v>N/A</v>
      </c>
      <c r="G49" s="62"/>
      <c r="H49" s="62"/>
      <c r="I49" s="62"/>
      <c r="J49" s="62" t="str">
        <f t="shared" si="10"/>
        <v>N/A</v>
      </c>
      <c r="K49" s="62" t="str">
        <f t="shared" si="11"/>
        <v>N/A</v>
      </c>
      <c r="L49" s="62" t="str">
        <f t="shared" si="12"/>
        <v>N/A</v>
      </c>
      <c r="M49" s="62" t="str">
        <f ca="1">IFERROR(VLOOKUP($A49,LASTYR,'[3]2017'!$C$3,FALSE),"N/A")</f>
        <v>N/A</v>
      </c>
      <c r="N49" s="62" t="str">
        <f t="shared" ca="1" si="14"/>
        <v>N/A</v>
      </c>
      <c r="O49" s="62" t="str">
        <f t="shared" ca="1" si="15"/>
        <v>N/A</v>
      </c>
      <c r="P49" s="62" t="str">
        <f t="shared" ca="1" si="15"/>
        <v>N/A</v>
      </c>
      <c r="Q49" s="62" t="str">
        <f t="shared" ca="1" si="16"/>
        <v>N/A</v>
      </c>
      <c r="R49" s="62" t="str">
        <f t="shared" ca="1" si="16"/>
        <v>N/A</v>
      </c>
      <c r="S49" s="62" t="str">
        <f t="shared" ca="1" si="16"/>
        <v>N/A</v>
      </c>
      <c r="T49" s="62" t="str">
        <f t="shared" ca="1" si="16"/>
        <v>N/A</v>
      </c>
      <c r="U49" s="62" t="str">
        <f t="shared" ca="1" si="16"/>
        <v>N/A</v>
      </c>
      <c r="V49" s="62" t="str">
        <f t="shared" ca="1" si="16"/>
        <v>N/A</v>
      </c>
      <c r="W49" s="62" t="str">
        <f t="shared" ca="1" si="16"/>
        <v>N/A</v>
      </c>
      <c r="X49" s="62" t="str">
        <f t="shared" ca="1" si="16"/>
        <v>N/A</v>
      </c>
      <c r="Y49" s="62"/>
      <c r="Z49" s="62"/>
      <c r="AA49" s="62"/>
      <c r="AB49" s="62"/>
    </row>
    <row r="50" spans="1:28" hidden="1" x14ac:dyDescent="0.25">
      <c r="A50" s="44"/>
      <c r="B50" s="45" t="str">
        <f t="shared" ca="1" si="3"/>
        <v/>
      </c>
      <c r="C50" s="1" t="str">
        <f>IF(ISERROR(D50),"",IF(D50="","",MAX($C$12:C49)+1))</f>
        <v/>
      </c>
      <c r="D50" t="e">
        <f t="shared" si="4"/>
        <v>#N/A</v>
      </c>
      <c r="E50" s="15"/>
      <c r="F50" s="62" t="str">
        <f t="shared" ca="1" si="9"/>
        <v>N/A</v>
      </c>
      <c r="G50" s="62"/>
      <c r="H50" s="62"/>
      <c r="I50" s="62"/>
      <c r="J50" s="62" t="str">
        <f t="shared" si="10"/>
        <v>N/A</v>
      </c>
      <c r="K50" s="62" t="str">
        <f t="shared" si="11"/>
        <v>N/A</v>
      </c>
      <c r="L50" s="62" t="str">
        <f t="shared" si="12"/>
        <v>N/A</v>
      </c>
      <c r="M50" s="62" t="str">
        <f ca="1">IFERROR(VLOOKUP($A50,LASTYR,'[3]2017'!$C$3,FALSE),"N/A")</f>
        <v>N/A</v>
      </c>
      <c r="N50" s="62" t="str">
        <f t="shared" ca="1" si="14"/>
        <v>N/A</v>
      </c>
      <c r="O50" s="62" t="str">
        <f t="shared" ca="1" si="15"/>
        <v>N/A</v>
      </c>
      <c r="P50" s="62" t="str">
        <f t="shared" ca="1" si="15"/>
        <v>N/A</v>
      </c>
      <c r="Q50" s="62" t="str">
        <f t="shared" ca="1" si="16"/>
        <v>N/A</v>
      </c>
      <c r="R50" s="62" t="str">
        <f t="shared" ca="1" si="16"/>
        <v>N/A</v>
      </c>
      <c r="S50" s="62" t="str">
        <f t="shared" ca="1" si="16"/>
        <v>N/A</v>
      </c>
      <c r="T50" s="62" t="str">
        <f t="shared" ca="1" si="16"/>
        <v>N/A</v>
      </c>
      <c r="U50" s="62" t="str">
        <f t="shared" ca="1" si="16"/>
        <v>N/A</v>
      </c>
      <c r="V50" s="62" t="str">
        <f t="shared" ca="1" si="16"/>
        <v>N/A</v>
      </c>
      <c r="W50" s="62" t="str">
        <f t="shared" ca="1" si="16"/>
        <v>N/A</v>
      </c>
      <c r="X50" s="62" t="str">
        <f t="shared" ca="1" si="16"/>
        <v>N/A</v>
      </c>
      <c r="Y50" s="62"/>
      <c r="Z50" s="62"/>
      <c r="AA50" s="62"/>
      <c r="AB50" s="62"/>
    </row>
    <row r="51" spans="1:28" hidden="1" x14ac:dyDescent="0.25">
      <c r="A51" s="44"/>
      <c r="B51" s="45" t="str">
        <f t="shared" ca="1" si="3"/>
        <v/>
      </c>
      <c r="C51" s="1" t="str">
        <f>IF(ISERROR(D51),"",IF(D51="","",MAX($C$12:C50)+1))</f>
        <v/>
      </c>
      <c r="D51" t="e">
        <f t="shared" si="4"/>
        <v>#N/A</v>
      </c>
      <c r="E51" s="15"/>
      <c r="F51" s="62" t="str">
        <f t="shared" ca="1" si="9"/>
        <v>N/A</v>
      </c>
      <c r="G51" s="62"/>
      <c r="H51" s="62"/>
      <c r="I51" s="62"/>
      <c r="J51" s="62" t="str">
        <f t="shared" si="10"/>
        <v>N/A</v>
      </c>
      <c r="K51" s="62" t="str">
        <f t="shared" si="11"/>
        <v>N/A</v>
      </c>
      <c r="L51" s="62" t="str">
        <f t="shared" si="12"/>
        <v>N/A</v>
      </c>
      <c r="M51" s="62" t="str">
        <f ca="1">IFERROR(VLOOKUP($A51,LASTYR,'[3]2017'!$C$3,FALSE),"N/A")</f>
        <v>N/A</v>
      </c>
      <c r="N51" s="62" t="str">
        <f t="shared" ca="1" si="14"/>
        <v>N/A</v>
      </c>
      <c r="O51" s="62" t="str">
        <f t="shared" ca="1" si="15"/>
        <v>N/A</v>
      </c>
      <c r="P51" s="62" t="str">
        <f t="shared" ca="1" si="15"/>
        <v>N/A</v>
      </c>
      <c r="Q51" s="62" t="str">
        <f t="shared" ca="1" si="16"/>
        <v>N/A</v>
      </c>
      <c r="R51" s="62" t="str">
        <f t="shared" ca="1" si="16"/>
        <v>N/A</v>
      </c>
      <c r="S51" s="62" t="str">
        <f t="shared" ca="1" si="16"/>
        <v>N/A</v>
      </c>
      <c r="T51" s="62" t="str">
        <f t="shared" ca="1" si="16"/>
        <v>N/A</v>
      </c>
      <c r="U51" s="62" t="str">
        <f t="shared" ca="1" si="16"/>
        <v>N/A</v>
      </c>
      <c r="V51" s="62" t="str">
        <f t="shared" ca="1" si="16"/>
        <v>N/A</v>
      </c>
      <c r="W51" s="62" t="str">
        <f t="shared" ca="1" si="16"/>
        <v>N/A</v>
      </c>
      <c r="X51" s="62" t="str">
        <f t="shared" ca="1" si="16"/>
        <v>N/A</v>
      </c>
      <c r="Y51" s="62"/>
      <c r="Z51" s="62"/>
      <c r="AA51" s="62"/>
      <c r="AB51" s="62"/>
    </row>
    <row r="52" spans="1:28" hidden="1" x14ac:dyDescent="0.25">
      <c r="A52" s="44"/>
      <c r="B52" s="45" t="str">
        <f t="shared" ca="1" si="3"/>
        <v/>
      </c>
      <c r="C52" s="1" t="str">
        <f>IF(ISERROR(D52),"",IF(D52="","",MAX($C$12:C51)+1))</f>
        <v/>
      </c>
      <c r="D52" t="e">
        <f t="shared" si="4"/>
        <v>#N/A</v>
      </c>
      <c r="E52" s="15"/>
      <c r="F52" s="62" t="str">
        <f t="shared" ca="1" si="9"/>
        <v>N/A</v>
      </c>
      <c r="G52" s="62"/>
      <c r="H52" s="62"/>
      <c r="I52" s="62"/>
      <c r="J52" s="62" t="str">
        <f t="shared" si="10"/>
        <v>N/A</v>
      </c>
      <c r="K52" s="62" t="str">
        <f t="shared" si="11"/>
        <v>N/A</v>
      </c>
      <c r="L52" s="62" t="str">
        <f t="shared" si="12"/>
        <v>N/A</v>
      </c>
      <c r="M52" s="62" t="str">
        <f ca="1">IFERROR(VLOOKUP($A52,LASTYR,'[3]2017'!$C$3,FALSE),"N/A")</f>
        <v>N/A</v>
      </c>
      <c r="N52" s="62" t="str">
        <f t="shared" ca="1" si="14"/>
        <v>N/A</v>
      </c>
      <c r="O52" s="62" t="str">
        <f t="shared" ca="1" si="15"/>
        <v>N/A</v>
      </c>
      <c r="P52" s="62" t="str">
        <f t="shared" ca="1" si="15"/>
        <v>N/A</v>
      </c>
      <c r="Q52" s="62" t="str">
        <f t="shared" ca="1" si="16"/>
        <v>N/A</v>
      </c>
      <c r="R52" s="62" t="str">
        <f t="shared" ca="1" si="16"/>
        <v>N/A</v>
      </c>
      <c r="S52" s="62" t="str">
        <f t="shared" ca="1" si="16"/>
        <v>N/A</v>
      </c>
      <c r="T52" s="62" t="str">
        <f t="shared" ca="1" si="16"/>
        <v>N/A</v>
      </c>
      <c r="U52" s="62" t="str">
        <f t="shared" ca="1" si="16"/>
        <v>N/A</v>
      </c>
      <c r="V52" s="62" t="str">
        <f t="shared" ca="1" si="16"/>
        <v>N/A</v>
      </c>
      <c r="W52" s="62" t="str">
        <f t="shared" ca="1" si="16"/>
        <v>N/A</v>
      </c>
      <c r="X52" s="62" t="str">
        <f t="shared" ca="1" si="16"/>
        <v>N/A</v>
      </c>
      <c r="Y52" s="62"/>
      <c r="Z52" s="62"/>
      <c r="AA52" s="62"/>
      <c r="AB52" s="62"/>
    </row>
    <row r="53" spans="1:28" hidden="1" x14ac:dyDescent="0.25">
      <c r="A53" s="44"/>
      <c r="B53" s="45" t="str">
        <f t="shared" ca="1" si="3"/>
        <v/>
      </c>
      <c r="C53" s="1" t="str">
        <f>IF(ISERROR(D53),"",IF(D53="","",MAX($C$12:C52)+1))</f>
        <v/>
      </c>
      <c r="D53" t="e">
        <f t="shared" si="4"/>
        <v>#N/A</v>
      </c>
      <c r="E53" s="15"/>
      <c r="F53" s="62" t="str">
        <f t="shared" ca="1" si="9"/>
        <v>N/A</v>
      </c>
      <c r="G53" s="62"/>
      <c r="H53" s="62"/>
      <c r="I53" s="62"/>
      <c r="J53" s="62" t="str">
        <f t="shared" si="10"/>
        <v>N/A</v>
      </c>
      <c r="K53" s="62" t="str">
        <f t="shared" si="11"/>
        <v>N/A</v>
      </c>
      <c r="L53" s="62" t="str">
        <f t="shared" si="12"/>
        <v>N/A</v>
      </c>
      <c r="M53" s="62" t="str">
        <f ca="1">IFERROR(VLOOKUP($A53,LASTYR,'[3]2017'!$C$3,FALSE),"N/A")</f>
        <v>N/A</v>
      </c>
      <c r="N53" s="62" t="str">
        <f t="shared" ca="1" si="14"/>
        <v>N/A</v>
      </c>
      <c r="O53" s="62" t="str">
        <f t="shared" ref="O53:X57" ca="1" si="17">IFERROR(INDEX(PE_WP,$B53,O$12),"N/A")</f>
        <v>N/A</v>
      </c>
      <c r="P53" s="62" t="str">
        <f t="shared" ca="1" si="17"/>
        <v>N/A</v>
      </c>
      <c r="Q53" s="62" t="str">
        <f t="shared" ca="1" si="17"/>
        <v>N/A</v>
      </c>
      <c r="R53" s="62" t="str">
        <f t="shared" ca="1" si="17"/>
        <v>N/A</v>
      </c>
      <c r="S53" s="62" t="str">
        <f t="shared" ca="1" si="17"/>
        <v>N/A</v>
      </c>
      <c r="T53" s="62" t="str">
        <f t="shared" ca="1" si="17"/>
        <v>N/A</v>
      </c>
      <c r="U53" s="62" t="str">
        <f t="shared" ca="1" si="17"/>
        <v>N/A</v>
      </c>
      <c r="V53" s="62" t="str">
        <f t="shared" ca="1" si="17"/>
        <v>N/A</v>
      </c>
      <c r="W53" s="62" t="str">
        <f t="shared" ca="1" si="17"/>
        <v>N/A</v>
      </c>
      <c r="X53" s="62" t="str">
        <f t="shared" ca="1" si="17"/>
        <v>N/A</v>
      </c>
      <c r="Y53" s="62"/>
      <c r="Z53" s="62"/>
      <c r="AA53" s="62"/>
      <c r="AB53" s="62"/>
    </row>
    <row r="54" spans="1:28" hidden="1" x14ac:dyDescent="0.25">
      <c r="A54" s="44"/>
      <c r="B54" s="45" t="str">
        <f t="shared" ca="1" si="3"/>
        <v/>
      </c>
      <c r="C54" s="1" t="str">
        <f>IF(ISERROR(D54),"",IF(D54="","",MAX($C$12:C53)+1))</f>
        <v/>
      </c>
      <c r="D54" t="e">
        <f t="shared" si="4"/>
        <v>#N/A</v>
      </c>
      <c r="E54" s="15"/>
      <c r="F54" s="62" t="str">
        <f t="shared" ca="1" si="9"/>
        <v>N/A</v>
      </c>
      <c r="G54" s="62"/>
      <c r="H54" s="62"/>
      <c r="I54" s="62"/>
      <c r="J54" s="62" t="str">
        <f t="shared" si="10"/>
        <v>N/A</v>
      </c>
      <c r="K54" s="62" t="str">
        <f t="shared" si="11"/>
        <v>N/A</v>
      </c>
      <c r="L54" s="62" t="str">
        <f t="shared" si="12"/>
        <v>N/A</v>
      </c>
      <c r="M54" s="62" t="str">
        <f ca="1">IFERROR(VLOOKUP($A54,LASTYR,'[3]2017'!$C$3,FALSE),"N/A")</f>
        <v>N/A</v>
      </c>
      <c r="N54" s="62" t="str">
        <f t="shared" ca="1" si="14"/>
        <v>N/A</v>
      </c>
      <c r="O54" s="62" t="str">
        <f t="shared" ca="1" si="17"/>
        <v>N/A</v>
      </c>
      <c r="P54" s="62" t="str">
        <f t="shared" ca="1" si="17"/>
        <v>N/A</v>
      </c>
      <c r="Q54" s="62" t="str">
        <f t="shared" ca="1" si="17"/>
        <v>N/A</v>
      </c>
      <c r="R54" s="62" t="str">
        <f t="shared" ca="1" si="17"/>
        <v>N/A</v>
      </c>
      <c r="S54" s="62" t="str">
        <f t="shared" ca="1" si="17"/>
        <v>N/A</v>
      </c>
      <c r="T54" s="62" t="str">
        <f t="shared" ca="1" si="17"/>
        <v>N/A</v>
      </c>
      <c r="U54" s="62" t="str">
        <f t="shared" ca="1" si="17"/>
        <v>N/A</v>
      </c>
      <c r="V54" s="62" t="str">
        <f t="shared" ca="1" si="17"/>
        <v>N/A</v>
      </c>
      <c r="W54" s="62" t="str">
        <f t="shared" ca="1" si="17"/>
        <v>N/A</v>
      </c>
      <c r="X54" s="62" t="str">
        <f t="shared" ca="1" si="17"/>
        <v>N/A</v>
      </c>
      <c r="Y54" s="62"/>
      <c r="Z54" s="62"/>
      <c r="AA54" s="62"/>
      <c r="AB54" s="62"/>
    </row>
    <row r="55" spans="1:28" hidden="1" x14ac:dyDescent="0.25">
      <c r="A55" s="50"/>
      <c r="B55" s="45" t="str">
        <f t="shared" ca="1" si="3"/>
        <v/>
      </c>
      <c r="C55" s="1" t="str">
        <f>IF(ISERROR(D55),"",IF(D55="","",MAX($C$12:C54)+1))</f>
        <v/>
      </c>
      <c r="D55" t="e">
        <f t="shared" si="4"/>
        <v>#N/A</v>
      </c>
      <c r="F55" s="62" t="str">
        <f t="shared" ca="1" si="9"/>
        <v>N/A</v>
      </c>
      <c r="G55" s="62"/>
      <c r="H55" s="62"/>
      <c r="I55" s="62"/>
      <c r="J55" s="62" t="str">
        <f t="shared" si="10"/>
        <v>N/A</v>
      </c>
      <c r="K55" s="62" t="str">
        <f t="shared" si="11"/>
        <v>N/A</v>
      </c>
      <c r="L55" s="62" t="str">
        <f t="shared" si="12"/>
        <v>N/A</v>
      </c>
      <c r="M55" s="62" t="str">
        <f ca="1">IFERROR(VLOOKUP($A55,LASTYR,'[3]2017'!$C$3,FALSE),"N/A")</f>
        <v>N/A</v>
      </c>
      <c r="N55" s="62" t="str">
        <f t="shared" ca="1" si="14"/>
        <v>N/A</v>
      </c>
      <c r="O55" s="62" t="str">
        <f t="shared" ca="1" si="17"/>
        <v>N/A</v>
      </c>
      <c r="P55" s="62" t="str">
        <f t="shared" ca="1" si="17"/>
        <v>N/A</v>
      </c>
      <c r="Q55" s="62" t="str">
        <f t="shared" ca="1" si="17"/>
        <v>N/A</v>
      </c>
      <c r="R55" s="62" t="str">
        <f t="shared" ca="1" si="17"/>
        <v>N/A</v>
      </c>
      <c r="S55" s="62" t="str">
        <f t="shared" ca="1" si="17"/>
        <v>N/A</v>
      </c>
      <c r="T55" s="62" t="str">
        <f t="shared" ca="1" si="17"/>
        <v>N/A</v>
      </c>
      <c r="U55" s="62" t="str">
        <f t="shared" ca="1" si="17"/>
        <v>N/A</v>
      </c>
      <c r="V55" s="62" t="str">
        <f t="shared" ca="1" si="17"/>
        <v>N/A</v>
      </c>
      <c r="W55" s="62" t="str">
        <f t="shared" ca="1" si="17"/>
        <v>N/A</v>
      </c>
      <c r="X55" s="62" t="str">
        <f t="shared" ca="1" si="17"/>
        <v>N/A</v>
      </c>
      <c r="Y55" s="62"/>
      <c r="Z55" s="62"/>
      <c r="AA55" s="62"/>
      <c r="AB55" s="62"/>
    </row>
    <row r="56" spans="1:28" hidden="1" x14ac:dyDescent="0.25">
      <c r="A56" s="50"/>
      <c r="B56" s="45" t="str">
        <f t="shared" ca="1" si="3"/>
        <v/>
      </c>
      <c r="C56" s="1" t="str">
        <f>IF(ISERROR(D56),"",IF(D56="","",MAX($C$12:C55)+1))</f>
        <v/>
      </c>
      <c r="D56" t="e">
        <f t="shared" si="4"/>
        <v>#N/A</v>
      </c>
      <c r="F56" s="62" t="str">
        <f t="shared" ca="1" si="9"/>
        <v>N/A</v>
      </c>
      <c r="G56" s="62"/>
      <c r="H56" s="62"/>
      <c r="I56" s="62"/>
      <c r="J56" s="62" t="str">
        <f t="shared" si="10"/>
        <v>N/A</v>
      </c>
      <c r="K56" s="62" t="str">
        <f t="shared" si="11"/>
        <v>N/A</v>
      </c>
      <c r="L56" s="62" t="str">
        <f t="shared" si="12"/>
        <v>N/A</v>
      </c>
      <c r="M56" s="62" t="str">
        <f ca="1">IFERROR(VLOOKUP($A56,LASTYR,'[3]2017'!$C$3,FALSE),"N/A")</f>
        <v>N/A</v>
      </c>
      <c r="N56" s="62" t="str">
        <f t="shared" ca="1" si="14"/>
        <v>N/A</v>
      </c>
      <c r="O56" s="62" t="str">
        <f t="shared" ca="1" si="17"/>
        <v>N/A</v>
      </c>
      <c r="P56" s="62" t="str">
        <f t="shared" ca="1" si="17"/>
        <v>N/A</v>
      </c>
      <c r="Q56" s="62" t="str">
        <f t="shared" ca="1" si="17"/>
        <v>N/A</v>
      </c>
      <c r="R56" s="62" t="str">
        <f t="shared" ca="1" si="17"/>
        <v>N/A</v>
      </c>
      <c r="S56" s="62" t="str">
        <f t="shared" ca="1" si="17"/>
        <v>N/A</v>
      </c>
      <c r="T56" s="62" t="str">
        <f t="shared" ca="1" si="17"/>
        <v>N/A</v>
      </c>
      <c r="U56" s="62" t="str">
        <f t="shared" ca="1" si="17"/>
        <v>N/A</v>
      </c>
      <c r="V56" s="62" t="str">
        <f t="shared" ca="1" si="17"/>
        <v>N/A</v>
      </c>
      <c r="W56" s="62" t="str">
        <f t="shared" ca="1" si="17"/>
        <v>N/A</v>
      </c>
      <c r="X56" s="62" t="str">
        <f t="shared" ca="1" si="17"/>
        <v>N/A</v>
      </c>
      <c r="Y56" s="62"/>
      <c r="Z56" s="62"/>
      <c r="AA56" s="62"/>
      <c r="AB56" s="62"/>
    </row>
    <row r="57" spans="1:28" hidden="1" x14ac:dyDescent="0.25">
      <c r="A57" s="50"/>
      <c r="B57" s="45" t="str">
        <f t="shared" ca="1" si="3"/>
        <v/>
      </c>
      <c r="C57" s="1" t="str">
        <f>IF(ISERROR(D57),"",IF(D57="","",MAX($C$12:C56)+1))</f>
        <v/>
      </c>
      <c r="D57" t="e">
        <f t="shared" si="4"/>
        <v>#N/A</v>
      </c>
      <c r="F57" s="62" t="str">
        <f t="shared" ca="1" si="9"/>
        <v>N/A</v>
      </c>
      <c r="G57" s="62"/>
      <c r="H57" s="62"/>
      <c r="I57" s="62"/>
      <c r="J57" s="62" t="str">
        <f t="shared" si="10"/>
        <v>N/A</v>
      </c>
      <c r="K57" s="62" t="str">
        <f t="shared" si="11"/>
        <v>N/A</v>
      </c>
      <c r="L57" s="62" t="str">
        <f t="shared" si="12"/>
        <v>N/A</v>
      </c>
      <c r="M57" s="62" t="str">
        <f ca="1">IFERROR(VLOOKUP($A57,LASTYR,'[3]2017'!$C$3,FALSE),"N/A")</f>
        <v>N/A</v>
      </c>
      <c r="N57" s="62" t="str">
        <f t="shared" ca="1" si="14"/>
        <v>N/A</v>
      </c>
      <c r="O57" s="62" t="str">
        <f t="shared" ca="1" si="17"/>
        <v>N/A</v>
      </c>
      <c r="P57" s="62" t="str">
        <f t="shared" ca="1" si="17"/>
        <v>N/A</v>
      </c>
      <c r="Q57" s="62" t="str">
        <f t="shared" ca="1" si="17"/>
        <v>N/A</v>
      </c>
      <c r="R57" s="62" t="str">
        <f t="shared" ca="1" si="17"/>
        <v>N/A</v>
      </c>
      <c r="S57" s="62" t="str">
        <f t="shared" ca="1" si="17"/>
        <v>N/A</v>
      </c>
      <c r="T57" s="62" t="str">
        <f t="shared" ca="1" si="17"/>
        <v>N/A</v>
      </c>
      <c r="U57" s="62" t="str">
        <f t="shared" ca="1" si="17"/>
        <v>N/A</v>
      </c>
      <c r="V57" s="62" t="str">
        <f t="shared" ca="1" si="17"/>
        <v>N/A</v>
      </c>
      <c r="W57" s="62" t="str">
        <f t="shared" ca="1" si="17"/>
        <v>N/A</v>
      </c>
      <c r="X57" s="62" t="str">
        <f t="shared" ca="1" si="17"/>
        <v>N/A</v>
      </c>
      <c r="Y57" s="62"/>
      <c r="Z57" s="62"/>
      <c r="AA57" s="62"/>
      <c r="AB57" s="62"/>
    </row>
    <row r="58" spans="1:28" x14ac:dyDescent="0.25">
      <c r="A58" s="31"/>
      <c r="B58" s="31"/>
      <c r="C58" s="1" t="str">
        <f>IF(ISERROR(D58),"",IF(D58="","",MAX($C$12:C57)+1))</f>
        <v/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25">
      <c r="A59" s="31"/>
      <c r="B59" s="31"/>
      <c r="C59" s="1">
        <f ca="1">IF(ISERROR(D59),"",IF(D59="","",MAX($C$12:C58)+1))</f>
        <v>10</v>
      </c>
      <c r="D59" t="s">
        <v>98</v>
      </c>
      <c r="F59" s="62">
        <f ca="1">AVERAGE(G59:X59)</f>
        <v>18.493236882716051</v>
      </c>
      <c r="G59" s="62">
        <f>AVERAGE(G13:G58)</f>
        <v>15.08888888888889</v>
      </c>
      <c r="H59" s="62">
        <f>AVERAGE(H13:H58)</f>
        <v>19.100000000000001</v>
      </c>
      <c r="I59" s="62">
        <f>AVERAGE(I13:I58)</f>
        <v>17.788888888888891</v>
      </c>
      <c r="J59" s="62">
        <f ca="1">AVERAGE(J13:J58)</f>
        <v>23.18888888888889</v>
      </c>
      <c r="K59" s="62">
        <f t="shared" ref="K59:X59" ca="1" si="18">AVERAGE(K13:K58)</f>
        <v>24.13333333333334</v>
      </c>
      <c r="L59" s="62">
        <f t="shared" ca="1" si="18"/>
        <v>20.477777777777774</v>
      </c>
      <c r="M59" s="62">
        <f t="shared" ca="1" si="18"/>
        <v>27.862500000000001</v>
      </c>
      <c r="N59" s="62">
        <f t="shared" ca="1" si="18"/>
        <v>21.966666666666665</v>
      </c>
      <c r="O59" s="62">
        <f t="shared" ca="1" si="18"/>
        <v>20.844444444444445</v>
      </c>
      <c r="P59" s="62">
        <f t="shared" ca="1" si="18"/>
        <v>17.8</v>
      </c>
      <c r="Q59" s="62">
        <f t="shared" ca="1" si="18"/>
        <v>17.287500000000001</v>
      </c>
      <c r="R59" s="62">
        <f t="shared" ca="1" si="18"/>
        <v>16.55</v>
      </c>
      <c r="S59" s="62">
        <f t="shared" ca="1" si="18"/>
        <v>15.937500000000002</v>
      </c>
      <c r="T59" s="62">
        <f t="shared" ca="1" si="18"/>
        <v>13.912500000000001</v>
      </c>
      <c r="U59" s="62">
        <f t="shared" ca="1" si="18"/>
        <v>13.375000000000002</v>
      </c>
      <c r="V59" s="62">
        <f t="shared" ca="1" si="18"/>
        <v>14.774999999999999</v>
      </c>
      <c r="W59" s="62">
        <f t="shared" ca="1" si="18"/>
        <v>17.037500000000001</v>
      </c>
      <c r="X59" s="62">
        <f t="shared" ca="1" si="18"/>
        <v>15.751874999999998</v>
      </c>
      <c r="Y59" s="62"/>
      <c r="Z59" s="62"/>
      <c r="AA59" s="62"/>
      <c r="AB59" s="62"/>
    </row>
    <row r="60" spans="1:28" x14ac:dyDescent="0.25">
      <c r="A60" s="31"/>
      <c r="B60" s="31"/>
      <c r="C60" s="1">
        <f ca="1">IF(ISERROR(D60),"",IF(D60="","",MAX($C$12:C59)+1))</f>
        <v>11</v>
      </c>
      <c r="D60" t="s">
        <v>257</v>
      </c>
      <c r="F60" s="62">
        <f ca="1">MEDIAN(G60:X60)</f>
        <v>17.25</v>
      </c>
      <c r="G60" s="62">
        <f t="shared" ref="G60:L60" si="19">MEDIAN(G13:G58)</f>
        <v>15.2</v>
      </c>
      <c r="H60" s="62">
        <f t="shared" si="19"/>
        <v>19.450000000000003</v>
      </c>
      <c r="I60" s="62">
        <f t="shared" si="19"/>
        <v>18</v>
      </c>
      <c r="J60" s="62">
        <f t="shared" ca="1" si="19"/>
        <v>21.6</v>
      </c>
      <c r="K60" s="62">
        <f t="shared" ca="1" si="19"/>
        <v>23.4</v>
      </c>
      <c r="L60" s="62">
        <f t="shared" ca="1" si="19"/>
        <v>20.6</v>
      </c>
      <c r="M60" s="62">
        <f t="shared" ref="M60:X60" ca="1" si="20">MEDIAN(M13:M58)</f>
        <v>22.299999999999997</v>
      </c>
      <c r="N60" s="62">
        <f t="shared" ca="1" si="20"/>
        <v>21.6</v>
      </c>
      <c r="O60" s="62">
        <f t="shared" ca="1" si="20"/>
        <v>19.100000000000001</v>
      </c>
      <c r="P60" s="62">
        <f t="shared" ca="1" si="20"/>
        <v>17.8</v>
      </c>
      <c r="Q60" s="62">
        <f t="shared" ca="1" si="20"/>
        <v>15.95</v>
      </c>
      <c r="R60" s="62">
        <f t="shared" ca="1" si="20"/>
        <v>16.149999999999999</v>
      </c>
      <c r="S60" s="62">
        <f t="shared" ca="1" si="20"/>
        <v>15.35</v>
      </c>
      <c r="T60" s="62">
        <f t="shared" ca="1" si="20"/>
        <v>13.85</v>
      </c>
      <c r="U60" s="62">
        <f t="shared" ca="1" si="20"/>
        <v>13.8</v>
      </c>
      <c r="V60" s="62">
        <f t="shared" ca="1" si="20"/>
        <v>13.899999999999999</v>
      </c>
      <c r="W60" s="62">
        <f t="shared" ca="1" si="20"/>
        <v>16.7</v>
      </c>
      <c r="X60" s="62">
        <f t="shared" ca="1" si="20"/>
        <v>15.8935</v>
      </c>
      <c r="Y60" s="62"/>
      <c r="Z60" s="62"/>
      <c r="AA60" s="62"/>
      <c r="AB60" s="62"/>
    </row>
    <row r="61" spans="1:28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 spans="1:28" x14ac:dyDescent="0.25">
      <c r="A62" s="31"/>
      <c r="B62" s="31"/>
      <c r="C62" s="1"/>
    </row>
    <row r="63" spans="1:28" ht="16.2" x14ac:dyDescent="0.25">
      <c r="A63" s="31"/>
      <c r="B63" s="31"/>
      <c r="C63" s="6"/>
      <c r="D63" s="6"/>
      <c r="E63" s="19"/>
      <c r="F63" s="276" t="s">
        <v>109</v>
      </c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</row>
    <row r="64" spans="1:28" x14ac:dyDescent="0.25">
      <c r="A64" s="31"/>
      <c r="B64" s="31"/>
      <c r="C64" s="6"/>
      <c r="D64" s="7"/>
      <c r="E64" s="7"/>
      <c r="F64" s="8" t="str">
        <f>F9</f>
        <v>18-Year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7"/>
      <c r="V64" s="7"/>
      <c r="W64" s="7"/>
      <c r="X64" s="7"/>
      <c r="Y64" s="7"/>
      <c r="Z64" s="7"/>
      <c r="AA64" s="7"/>
    </row>
    <row r="65" spans="1:28" ht="16.2" x14ac:dyDescent="0.25">
      <c r="A65" s="31"/>
      <c r="B65" s="31"/>
      <c r="C65" s="9" t="s">
        <v>96</v>
      </c>
      <c r="D65" s="275" t="s">
        <v>97</v>
      </c>
      <c r="E65" s="275"/>
      <c r="F65" s="10" t="s">
        <v>98</v>
      </c>
      <c r="G65" s="40" t="s">
        <v>558</v>
      </c>
      <c r="H65" s="40">
        <v>2022</v>
      </c>
      <c r="I65" s="40">
        <v>2021</v>
      </c>
      <c r="J65" s="10" t="s">
        <v>536</v>
      </c>
      <c r="K65" s="10" t="s">
        <v>440</v>
      </c>
      <c r="L65" s="10" t="s">
        <v>476</v>
      </c>
      <c r="M65" s="40">
        <v>2017</v>
      </c>
      <c r="N65" s="40">
        <v>2016</v>
      </c>
      <c r="O65" s="40">
        <v>2015</v>
      </c>
      <c r="P65" s="40">
        <v>2014</v>
      </c>
      <c r="Q65" s="40">
        <v>2013</v>
      </c>
      <c r="R65" s="40">
        <v>2012</v>
      </c>
      <c r="S65" s="40">
        <v>2011</v>
      </c>
      <c r="T65" s="40">
        <v>2010</v>
      </c>
      <c r="U65" s="40">
        <v>2009</v>
      </c>
      <c r="V65" s="40">
        <v>2008</v>
      </c>
      <c r="W65" s="40">
        <v>2007</v>
      </c>
      <c r="X65" s="40">
        <v>2006</v>
      </c>
      <c r="Y65" s="40">
        <v>2005</v>
      </c>
      <c r="Z65" s="40">
        <v>2004</v>
      </c>
      <c r="AA65" s="40">
        <v>2003</v>
      </c>
      <c r="AB65" s="40">
        <v>2002</v>
      </c>
    </row>
    <row r="66" spans="1:28" x14ac:dyDescent="0.25">
      <c r="A66" s="41"/>
      <c r="B66" s="41"/>
      <c r="C66" s="9"/>
      <c r="D66" s="11"/>
      <c r="E66" s="11"/>
      <c r="F66" s="12">
        <v>-1</v>
      </c>
      <c r="G66" s="12">
        <f>+F66-1</f>
        <v>-2</v>
      </c>
      <c r="H66" s="12">
        <f>+G66-1</f>
        <v>-3</v>
      </c>
      <c r="I66" s="12">
        <f>+H66-1</f>
        <v>-4</v>
      </c>
      <c r="J66" s="12">
        <f>+I66-1</f>
        <v>-5</v>
      </c>
      <c r="K66" s="12">
        <f>+J66-1</f>
        <v>-6</v>
      </c>
      <c r="L66" s="12">
        <f t="shared" ref="L66:X66" si="21">+K66-1</f>
        <v>-7</v>
      </c>
      <c r="M66" s="12">
        <f t="shared" si="21"/>
        <v>-8</v>
      </c>
      <c r="N66" s="12">
        <f t="shared" si="21"/>
        <v>-9</v>
      </c>
      <c r="O66" s="12">
        <f t="shared" si="21"/>
        <v>-10</v>
      </c>
      <c r="P66" s="12">
        <f t="shared" si="21"/>
        <v>-11</v>
      </c>
      <c r="Q66" s="12">
        <f t="shared" si="21"/>
        <v>-12</v>
      </c>
      <c r="R66" s="12">
        <f t="shared" si="21"/>
        <v>-13</v>
      </c>
      <c r="S66" s="12">
        <f t="shared" si="21"/>
        <v>-14</v>
      </c>
      <c r="T66" s="12">
        <f t="shared" si="21"/>
        <v>-15</v>
      </c>
      <c r="U66" s="12">
        <f t="shared" si="21"/>
        <v>-16</v>
      </c>
      <c r="V66" s="12">
        <f t="shared" si="21"/>
        <v>-17</v>
      </c>
      <c r="W66" s="12">
        <f t="shared" si="21"/>
        <v>-18</v>
      </c>
      <c r="X66" s="12">
        <f t="shared" si="21"/>
        <v>-19</v>
      </c>
      <c r="Y66" s="12">
        <f>+W66-1</f>
        <v>-19</v>
      </c>
      <c r="Z66" s="12">
        <f>+Y66-1</f>
        <v>-20</v>
      </c>
      <c r="AA66" s="12">
        <f>+Z66-1</f>
        <v>-21</v>
      </c>
      <c r="AB66" s="12">
        <f>+AA66-1</f>
        <v>-22</v>
      </c>
    </row>
    <row r="67" spans="1:28" x14ac:dyDescent="0.25">
      <c r="A67" s="42"/>
      <c r="B67" s="43"/>
      <c r="C67" s="6"/>
      <c r="E67" s="22"/>
      <c r="F67" s="36"/>
      <c r="G67" s="36"/>
      <c r="H67" s="36"/>
      <c r="I67" s="36"/>
      <c r="J67" s="16">
        <f t="shared" ref="J67:O67" ca="1" si="22">MATCH(VALUE(LEFT(J65,4)),OFFSET(MP_CF_WP,-1,0,1,),0)</f>
        <v>7</v>
      </c>
      <c r="K67" s="16">
        <f t="shared" ca="1" si="22"/>
        <v>8</v>
      </c>
      <c r="L67" s="16">
        <f t="shared" ca="1" si="22"/>
        <v>9</v>
      </c>
      <c r="M67" s="16">
        <f t="shared" ca="1" si="22"/>
        <v>10</v>
      </c>
      <c r="N67" s="16">
        <f t="shared" ca="1" si="22"/>
        <v>11</v>
      </c>
      <c r="O67" s="16">
        <f t="shared" ca="1" si="22"/>
        <v>12</v>
      </c>
      <c r="P67" s="16">
        <f t="shared" ref="P67:AB67" ca="1" si="23">MATCH(VALUE(LEFT(P65,4)),OFFSET(MP_CF_WP,-1,0,1,),0)</f>
        <v>13</v>
      </c>
      <c r="Q67" s="16">
        <f t="shared" ca="1" si="23"/>
        <v>14</v>
      </c>
      <c r="R67" s="16">
        <f t="shared" ca="1" si="23"/>
        <v>15</v>
      </c>
      <c r="S67" s="16">
        <f t="shared" ca="1" si="23"/>
        <v>16</v>
      </c>
      <c r="T67" s="16">
        <f t="shared" ca="1" si="23"/>
        <v>17</v>
      </c>
      <c r="U67" s="16">
        <f t="shared" ca="1" si="23"/>
        <v>18</v>
      </c>
      <c r="V67" s="16">
        <f t="shared" ca="1" si="23"/>
        <v>19</v>
      </c>
      <c r="W67" s="16">
        <f t="shared" ca="1" si="23"/>
        <v>20</v>
      </c>
      <c r="X67" s="16">
        <f t="shared" ca="1" si="23"/>
        <v>21</v>
      </c>
      <c r="Y67" s="16">
        <f t="shared" ca="1" si="23"/>
        <v>22</v>
      </c>
      <c r="Z67" s="16">
        <f t="shared" ca="1" si="23"/>
        <v>23</v>
      </c>
      <c r="AA67" s="16">
        <f t="shared" ca="1" si="23"/>
        <v>24</v>
      </c>
      <c r="AB67" s="16">
        <f t="shared" ca="1" si="23"/>
        <v>25</v>
      </c>
    </row>
    <row r="68" spans="1:28" x14ac:dyDescent="0.25">
      <c r="A68" s="50" t="str">
        <f t="shared" ref="A68:A112" si="24">A13</f>
        <v>ATO</v>
      </c>
      <c r="B68" s="45">
        <f t="shared" ref="B68:B112" ca="1" si="25">IFERROR(MATCH(A68,OFFSET(MP_CF_WP,0,0,,1),0),"")</f>
        <v>9</v>
      </c>
      <c r="C68" s="1">
        <f ca="1">C60+1</f>
        <v>12</v>
      </c>
      <c r="D68" t="str">
        <f t="shared" ref="D68:D112" ca="1" si="26">D13</f>
        <v>Atmos Energy</v>
      </c>
      <c r="E68" s="22"/>
      <c r="F68" s="62">
        <f ca="1">IFERROR(AVERAGE(G68:X68),"N/A")</f>
        <v>9.3252192523022259</v>
      </c>
      <c r="G68" s="62">
        <f t="shared" ref="G68:G77" si="27">IFERROR(IF(VLOOKUP($A68,Data2023,19,FALSE)=0,"",VLOOKUP($A68,Data2023,19,FALSE)),"N/A")</f>
        <v>11.2699203187251</v>
      </c>
      <c r="H68" s="62">
        <f t="shared" ref="H68:H112" si="28">IFERROR(IF(VLOOKUP($A68,Data2022,17,FALSE)=0,"",VLOOKUP($A68,Data2022,17,FALSE)),"N/A")</f>
        <v>11.86559139784946</v>
      </c>
      <c r="I68" s="62">
        <f t="shared" ref="I68:I112" si="29">IFERROR(IF(VLOOKUP($A68,lucyyr,17,FALSE)=0,"",VLOOKUP($A68,lucyyr,17,FALSE)),"N/A")</f>
        <v>10.989583333333332</v>
      </c>
      <c r="J68" s="62">
        <f t="shared" ref="J68:AB83" ca="1" si="30">IFERROR(IF(INDEX(MP_CF_WP,$B68,J$67)=0,"N/A",INDEX(MP_CF_WP,$B68,J$67)),"N/A")</f>
        <v>13.113381510092202</v>
      </c>
      <c r="K68" s="62">
        <f t="shared" ca="1" si="30"/>
        <v>13.347079037800686</v>
      </c>
      <c r="L68" s="62">
        <f t="shared" ca="1" si="30"/>
        <v>12.018098922354239</v>
      </c>
      <c r="M68" s="62">
        <f t="shared" ca="1" si="30"/>
        <v>11.986249622242369</v>
      </c>
      <c r="N68" s="62">
        <f t="shared" ca="1" si="30"/>
        <v>11.359670382937471</v>
      </c>
      <c r="O68" s="62">
        <f t="shared" ca="1" si="30"/>
        <v>9.3031137106485478</v>
      </c>
      <c r="P68" s="62">
        <f t="shared" ca="1" si="30"/>
        <v>8.7932434927081413</v>
      </c>
      <c r="Q68" s="62">
        <f t="shared" ca="1" si="30"/>
        <v>7.7219303366413694</v>
      </c>
      <c r="R68" s="62">
        <f t="shared" ca="1" si="30"/>
        <v>7.0247795044099117</v>
      </c>
      <c r="S68" s="62">
        <f t="shared" ca="1" si="30"/>
        <v>6.8703939008894528</v>
      </c>
      <c r="T68" s="62">
        <f t="shared" ca="1" si="30"/>
        <v>6.1520051746442439</v>
      </c>
      <c r="U68" s="62">
        <f t="shared" ca="1" si="30"/>
        <v>5.7602611940298498</v>
      </c>
      <c r="V68" s="62">
        <f t="shared" ca="1" si="30"/>
        <v>6.4796088719294067</v>
      </c>
      <c r="W68" s="62">
        <f t="shared" ca="1" si="30"/>
        <v>7.443772672309553</v>
      </c>
      <c r="X68" s="62">
        <f t="shared" ca="1" si="30"/>
        <v>6.3552631578947363</v>
      </c>
      <c r="Y68" s="62"/>
      <c r="Z68" s="62"/>
      <c r="AA68" s="62"/>
      <c r="AB68" s="62"/>
    </row>
    <row r="69" spans="1:28" x14ac:dyDescent="0.25">
      <c r="A69" s="50" t="str">
        <f t="shared" si="24"/>
        <v>CPK</v>
      </c>
      <c r="B69" s="45">
        <f t="shared" ca="1" si="25"/>
        <v>16</v>
      </c>
      <c r="C69" s="1">
        <f ca="1">IF(ISERROR(D69),"",IF(D69="","",MAX($C$66:C68)+1))</f>
        <v>13</v>
      </c>
      <c r="D69" t="str">
        <f t="shared" ca="1" si="26"/>
        <v>Chesapeake Utilities</v>
      </c>
      <c r="E69" s="22"/>
      <c r="F69" s="62">
        <f t="shared" ref="F69:F112" ca="1" si="31">IFERROR(AVERAGE(G69:X69),"N/A")</f>
        <v>10.517204989733816</v>
      </c>
      <c r="G69" s="62">
        <f t="shared" si="27"/>
        <v>12.312499999999998</v>
      </c>
      <c r="H69" s="62">
        <f t="shared" si="28"/>
        <v>14.210822998872606</v>
      </c>
      <c r="I69" s="62">
        <f t="shared" si="29"/>
        <v>14.202312138728322</v>
      </c>
      <c r="J69" s="62">
        <f t="shared" ca="1" si="30"/>
        <v>12.313534038513698</v>
      </c>
      <c r="K69" s="62">
        <f t="shared" ca="1" si="30"/>
        <v>14.169181034482758</v>
      </c>
      <c r="L69" s="62">
        <f t="shared" ca="1" si="30"/>
        <v>12.23643111179836</v>
      </c>
      <c r="M69" s="62">
        <f t="shared" ca="1" si="30"/>
        <v>13.775152298320105</v>
      </c>
      <c r="N69" s="62">
        <f t="shared" ca="1" si="30"/>
        <v>12.061785783459229</v>
      </c>
      <c r="O69" s="62">
        <f t="shared" ca="1" si="30"/>
        <v>10.156175771971498</v>
      </c>
      <c r="P69" s="62">
        <f t="shared" ca="1" si="30"/>
        <v>9.2457179107633749</v>
      </c>
      <c r="Q69" s="62">
        <f t="shared" ca="1" si="30"/>
        <v>8.1181880892159111</v>
      </c>
      <c r="R69" s="62">
        <f t="shared" ca="1" si="30"/>
        <v>7.4640870005058169</v>
      </c>
      <c r="S69" s="62">
        <f t="shared" ca="1" si="30"/>
        <v>7.3488876831253398</v>
      </c>
      <c r="T69" s="62">
        <f t="shared" ca="1" si="30"/>
        <v>6.3584096109839816</v>
      </c>
      <c r="U69" s="62">
        <f t="shared" ca="1" si="30"/>
        <v>9.4753258845437625</v>
      </c>
      <c r="V69" s="62">
        <f t="shared" ca="1" si="30"/>
        <v>7.8808000000000007</v>
      </c>
      <c r="W69" s="62">
        <f t="shared" ca="1" si="30"/>
        <v>8.5781746031746042</v>
      </c>
      <c r="X69" s="62">
        <f t="shared" ca="1" si="30"/>
        <v>9.4022038567493116</v>
      </c>
      <c r="Y69" s="62"/>
      <c r="Z69" s="62"/>
      <c r="AA69" s="62"/>
      <c r="AB69" s="62"/>
    </row>
    <row r="70" spans="1:28" x14ac:dyDescent="0.25">
      <c r="A70" s="50" t="str">
        <f t="shared" si="24"/>
        <v>NJR</v>
      </c>
      <c r="B70" s="45">
        <f t="shared" ca="1" si="25"/>
        <v>42</v>
      </c>
      <c r="C70" s="1">
        <f ca="1">IF(ISERROR(D70),"",IF(D70="","",MAX($C$66:C69)+1))</f>
        <v>14</v>
      </c>
      <c r="D70" t="str">
        <f t="shared" ca="1" si="26"/>
        <v>New Jersey Resources</v>
      </c>
      <c r="E70" s="22"/>
      <c r="F70" s="62">
        <f t="shared" ca="1" si="31"/>
        <v>11.932107220521651</v>
      </c>
      <c r="G70" s="62">
        <f t="shared" si="27"/>
        <v>11.220379146919431</v>
      </c>
      <c r="H70" s="62">
        <f t="shared" si="28"/>
        <v>11.554404145077719</v>
      </c>
      <c r="I70" s="62">
        <f t="shared" si="29"/>
        <v>11.562499999999998</v>
      </c>
      <c r="J70" s="62">
        <f t="shared" ca="1" si="30"/>
        <v>11.103030303030303</v>
      </c>
      <c r="K70" s="62">
        <f t="shared" ca="1" si="30"/>
        <v>15.978224455611391</v>
      </c>
      <c r="L70" s="62">
        <f t="shared" ca="1" si="30"/>
        <v>11.437096774193547</v>
      </c>
      <c r="M70" s="62">
        <f t="shared" ca="1" si="30"/>
        <v>14.450167973124302</v>
      </c>
      <c r="N70" s="62">
        <f t="shared" ca="1" si="30"/>
        <v>13.936048879837067</v>
      </c>
      <c r="O70" s="62">
        <f t="shared" ca="1" si="30"/>
        <v>11.711287128712872</v>
      </c>
      <c r="P70" s="62">
        <f t="shared" ca="1" si="30"/>
        <v>8.9486615328199495</v>
      </c>
      <c r="Q70" s="62">
        <f t="shared" ca="1" si="30"/>
        <v>11.286601138127264</v>
      </c>
      <c r="R70" s="62">
        <f t="shared" ca="1" si="30"/>
        <v>12.292722371967656</v>
      </c>
      <c r="S70" s="62">
        <f t="shared" ca="1" si="30"/>
        <v>12.714117647058824</v>
      </c>
      <c r="T70" s="62">
        <f t="shared" ca="1" si="30"/>
        <v>11.320638820638822</v>
      </c>
      <c r="U70" s="62">
        <f t="shared" ca="1" si="30"/>
        <v>11.342621912602914</v>
      </c>
      <c r="V70" s="62">
        <f t="shared" ca="1" si="30"/>
        <v>9.1496410822749858</v>
      </c>
      <c r="W70" s="62">
        <f t="shared" ca="1" si="30"/>
        <v>13.763934426229509</v>
      </c>
      <c r="X70" s="62">
        <f t="shared" ca="1" si="30"/>
        <v>11.00585223116313</v>
      </c>
      <c r="Y70" s="62"/>
      <c r="Z70" s="62"/>
      <c r="AA70" s="62"/>
      <c r="AB70" s="62"/>
    </row>
    <row r="71" spans="1:28" x14ac:dyDescent="0.25">
      <c r="A71" s="50" t="str">
        <f t="shared" si="24"/>
        <v>NI</v>
      </c>
      <c r="B71" s="45">
        <f t="shared" ca="1" si="25"/>
        <v>44</v>
      </c>
      <c r="C71" s="1">
        <f ca="1">IF(ISERROR(D71),"",IF(D71="","",MAX($C$66:C70)+1))</f>
        <v>15</v>
      </c>
      <c r="D71" t="str">
        <f t="shared" ca="1" si="26"/>
        <v>NiSource Inc.</v>
      </c>
      <c r="E71" s="22"/>
      <c r="F71" s="62">
        <f t="shared" ca="1" si="31"/>
        <v>7.8508378275225805</v>
      </c>
      <c r="G71" s="62">
        <f t="shared" si="27"/>
        <v>7.208333333333333</v>
      </c>
      <c r="H71" s="62">
        <f t="shared" si="28"/>
        <v>8.1268011527377517</v>
      </c>
      <c r="I71" s="62">
        <f t="shared" si="29"/>
        <v>7.8870967741935489</v>
      </c>
      <c r="J71" s="62">
        <f t="shared" ca="1" si="30"/>
        <v>7.8300508259212194</v>
      </c>
      <c r="K71" s="62">
        <f t="shared" ca="1" si="30"/>
        <v>8.8138213947617547</v>
      </c>
      <c r="L71" s="62">
        <f t="shared" ca="1" si="30"/>
        <v>8.9075451647183854</v>
      </c>
      <c r="M71" s="62">
        <f t="shared" ca="1" si="30"/>
        <v>12.109932497589201</v>
      </c>
      <c r="N71" s="62">
        <f t="shared" ca="1" si="30"/>
        <v>8.5609305760709002</v>
      </c>
      <c r="O71" s="62">
        <f t="shared" ca="1" si="30"/>
        <v>10.381288614298324</v>
      </c>
      <c r="P71" s="62">
        <f t="shared" ca="1" si="30"/>
        <v>10.564394993045896</v>
      </c>
      <c r="Q71" s="62">
        <f t="shared" ca="1" si="30"/>
        <v>8.7092511013215859</v>
      </c>
      <c r="R71" s="62">
        <f t="shared" ca="1" si="30"/>
        <v>7.8117421825143589</v>
      </c>
      <c r="S71" s="62">
        <f t="shared" ca="1" si="30"/>
        <v>6.8133378016085793</v>
      </c>
      <c r="T71" s="62">
        <f t="shared" ca="1" si="30"/>
        <v>5.0931034482758619</v>
      </c>
      <c r="U71" s="62">
        <f t="shared" ca="1" si="30"/>
        <v>4.0637867026662171</v>
      </c>
      <c r="V71" s="62">
        <f t="shared" ca="1" si="30"/>
        <v>4.8725135623869802</v>
      </c>
      <c r="W71" s="62">
        <f t="shared" ca="1" si="30"/>
        <v>6.6947565543071157</v>
      </c>
      <c r="X71" s="62">
        <f t="shared" ca="1" si="30"/>
        <v>6.866394215655454</v>
      </c>
      <c r="Y71" s="62"/>
      <c r="Z71" s="62"/>
      <c r="AA71" s="62"/>
      <c r="AB71" s="62"/>
    </row>
    <row r="72" spans="1:28" x14ac:dyDescent="0.25">
      <c r="A72" s="50" t="str">
        <f t="shared" si="24"/>
        <v>NWN</v>
      </c>
      <c r="B72" s="45">
        <f t="shared" ca="1" si="25"/>
        <v>45</v>
      </c>
      <c r="C72" s="1">
        <f ca="1">IF(ISERROR(D72),"",IF(D72="","",MAX($C$66:C71)+1))</f>
        <v>16</v>
      </c>
      <c r="D72" t="str">
        <f t="shared" ca="1" si="26"/>
        <v>Northwest Nat. Gas</v>
      </c>
      <c r="E72" s="22"/>
      <c r="F72" s="62">
        <f t="shared" ca="1" si="31"/>
        <v>12.162208977809838</v>
      </c>
      <c r="G72" s="62">
        <f t="shared" si="27"/>
        <v>7.5299145299145298</v>
      </c>
      <c r="H72" s="62">
        <f t="shared" si="28"/>
        <v>8.7565674255691768</v>
      </c>
      <c r="I72" s="62">
        <f t="shared" si="29"/>
        <v>8.5652173913043477</v>
      </c>
      <c r="J72" s="62">
        <f t="shared" ca="1" si="30"/>
        <v>10.096184279936697</v>
      </c>
      <c r="K72" s="62">
        <f t="shared" ca="1" si="30"/>
        <v>13.130586863583364</v>
      </c>
      <c r="L72" s="62">
        <f t="shared" ca="1" si="30"/>
        <v>11.754498958136011</v>
      </c>
      <c r="M72" s="62">
        <f t="shared" ca="1" si="30"/>
        <v>59.719769673704413</v>
      </c>
      <c r="N72" s="62">
        <f t="shared" ca="1" si="30"/>
        <v>11.574934090448185</v>
      </c>
      <c r="O72" s="62">
        <f t="shared" ca="1" si="30"/>
        <v>9.4593603585251582</v>
      </c>
      <c r="P72" s="62">
        <f t="shared" ca="1" si="30"/>
        <v>8.8426988523941432</v>
      </c>
      <c r="Q72" s="62">
        <f t="shared" ca="1" si="30"/>
        <v>8.6148045247072833</v>
      </c>
      <c r="R72" s="62">
        <f t="shared" ca="1" si="30"/>
        <v>9.4791329011345216</v>
      </c>
      <c r="S72" s="62">
        <f t="shared" ca="1" si="30"/>
        <v>9.0817182817182829</v>
      </c>
      <c r="T72" s="62">
        <f t="shared" ca="1" si="30"/>
        <v>8.9357762777242051</v>
      </c>
      <c r="U72" s="62">
        <f t="shared" ca="1" si="30"/>
        <v>8.2592806308905562</v>
      </c>
      <c r="V72" s="62">
        <f t="shared" ca="1" si="30"/>
        <v>8.7531562087808545</v>
      </c>
      <c r="W72" s="62">
        <f t="shared" ca="1" si="30"/>
        <v>8.5409502680717324</v>
      </c>
      <c r="X72" s="62">
        <f t="shared" ca="1" si="30"/>
        <v>7.8252100840336132</v>
      </c>
      <c r="Y72" s="62"/>
      <c r="Z72" s="62"/>
      <c r="AA72" s="62"/>
      <c r="AB72" s="62"/>
    </row>
    <row r="73" spans="1:28" x14ac:dyDescent="0.25">
      <c r="A73" s="50" t="str">
        <f t="shared" si="24"/>
        <v>OGS</v>
      </c>
      <c r="B73" s="45">
        <f t="shared" ca="1" si="25"/>
        <v>48</v>
      </c>
      <c r="C73" s="1">
        <f ca="1">IF(ISERROR(D73),"",IF(D73="","",MAX($C$66:C72)+1))</f>
        <v>17</v>
      </c>
      <c r="D73" t="str">
        <f t="shared" ca="1" si="26"/>
        <v>ONE Gas Inc.</v>
      </c>
      <c r="E73" s="22"/>
      <c r="F73" s="62">
        <f t="shared" ca="1" si="31"/>
        <v>10.270379769068182</v>
      </c>
      <c r="G73" s="62">
        <f t="shared" si="27"/>
        <v>7.6813186813186825</v>
      </c>
      <c r="H73" s="62">
        <f t="shared" si="28"/>
        <v>9.913899138991388</v>
      </c>
      <c r="I73" s="62">
        <f t="shared" si="29"/>
        <v>9.3161290322580648</v>
      </c>
      <c r="J73" s="62">
        <f t="shared" ca="1" si="30"/>
        <v>10.852989130434782</v>
      </c>
      <c r="K73" s="62">
        <f t="shared" ca="1" si="30"/>
        <v>12.748742273968665</v>
      </c>
      <c r="L73" s="62">
        <f t="shared" ca="1" si="30"/>
        <v>11.853685542549824</v>
      </c>
      <c r="M73" s="62">
        <f t="shared" ca="1" si="30"/>
        <v>11.890100671140939</v>
      </c>
      <c r="N73" s="62">
        <f t="shared" ca="1" si="30"/>
        <v>11.095010127048425</v>
      </c>
      <c r="O73" s="62">
        <f t="shared" ca="1" si="30"/>
        <v>9.1913746630727751</v>
      </c>
      <c r="P73" s="62">
        <f t="shared" ca="1" si="30"/>
        <v>8.1605484298982756</v>
      </c>
      <c r="Q73" s="62" t="str">
        <f t="shared" ca="1" si="30"/>
        <v>N/A</v>
      </c>
      <c r="R73" s="62" t="str">
        <f t="shared" ca="1" si="30"/>
        <v>N/A</v>
      </c>
      <c r="S73" s="62" t="str">
        <f t="shared" ca="1" si="30"/>
        <v>N/A</v>
      </c>
      <c r="T73" s="62" t="str">
        <f t="shared" ca="1" si="30"/>
        <v>N/A</v>
      </c>
      <c r="U73" s="62" t="str">
        <f t="shared" ca="1" si="30"/>
        <v>N/A</v>
      </c>
      <c r="V73" s="62" t="str">
        <f t="shared" ca="1" si="30"/>
        <v>N/A</v>
      </c>
      <c r="W73" s="62" t="str">
        <f t="shared" ca="1" si="30"/>
        <v>N/A</v>
      </c>
      <c r="X73" s="62" t="str">
        <f t="shared" ca="1" si="30"/>
        <v>N/A</v>
      </c>
      <c r="Y73" s="62"/>
      <c r="Z73" s="62"/>
      <c r="AA73" s="62"/>
      <c r="AB73" s="62"/>
    </row>
    <row r="74" spans="1:28" hidden="1" x14ac:dyDescent="0.25">
      <c r="A74" s="50" t="str">
        <f t="shared" si="24"/>
        <v>SJI</v>
      </c>
      <c r="B74" s="45">
        <f t="shared" ca="1" si="25"/>
        <v>61</v>
      </c>
      <c r="C74" s="1" t="str">
        <f>IF(ISERROR(D74),"",IF(D74="","",MAX($C$66:C73)+1))</f>
        <v/>
      </c>
      <c r="E74" s="2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x14ac:dyDescent="0.25">
      <c r="A75" s="50" t="str">
        <f t="shared" si="24"/>
        <v>SWX</v>
      </c>
      <c r="B75" s="45">
        <f t="shared" ca="1" si="25"/>
        <v>63</v>
      </c>
      <c r="C75" s="1">
        <f ca="1">IF(ISERROR(D75),"",IF(D75="","",MAX($C$66:C74)+1))</f>
        <v>18</v>
      </c>
      <c r="D75" t="str">
        <f t="shared" ca="1" si="26"/>
        <v>Southwest Gas</v>
      </c>
      <c r="E75" s="22"/>
      <c r="F75" s="62">
        <f t="shared" ca="1" si="31"/>
        <v>7.1946861343263997</v>
      </c>
      <c r="G75" s="62">
        <f t="shared" si="27"/>
        <v>6.6557377049180326</v>
      </c>
      <c r="H75" s="62">
        <f t="shared" si="28"/>
        <v>19.833759590792837</v>
      </c>
      <c r="I75" s="62">
        <f t="shared" si="29"/>
        <v>6.8684210526315788</v>
      </c>
      <c r="J75" s="62">
        <f t="shared" ca="1" si="30"/>
        <v>7.0475321779669597</v>
      </c>
      <c r="K75" s="62">
        <f t="shared" ca="1" si="30"/>
        <v>8.9241650712614344</v>
      </c>
      <c r="L75" s="62">
        <f t="shared" ca="1" si="30"/>
        <v>9.3201425586825604</v>
      </c>
      <c r="M75" s="62">
        <f t="shared" ca="1" si="30"/>
        <v>9.1038152383108795</v>
      </c>
      <c r="N75" s="62">
        <f t="shared" ca="1" si="30"/>
        <v>7.4075987514799264</v>
      </c>
      <c r="O75" s="62">
        <f t="shared" ca="1" si="30"/>
        <v>6.5555040018559332</v>
      </c>
      <c r="P75" s="62">
        <f t="shared" ca="1" si="30"/>
        <v>6.3454910292728997</v>
      </c>
      <c r="Q75" s="62">
        <f t="shared" ca="1" si="30"/>
        <v>5.9443231441048043</v>
      </c>
      <c r="R75" s="62">
        <f t="shared" ca="1" si="30"/>
        <v>5.5499935325313672</v>
      </c>
      <c r="S75" s="62">
        <f t="shared" ca="1" si="30"/>
        <v>5.6010872759330006</v>
      </c>
      <c r="T75" s="62">
        <f t="shared" ca="1" si="30"/>
        <v>4.9079089924160346</v>
      </c>
      <c r="U75" s="62">
        <f t="shared" ca="1" si="30"/>
        <v>3.844379467186485</v>
      </c>
      <c r="V75" s="62">
        <f t="shared" ca="1" si="30"/>
        <v>4.8887732083984039</v>
      </c>
      <c r="W75" s="62">
        <f t="shared" ca="1" si="30"/>
        <v>5.4208407150909972</v>
      </c>
      <c r="X75" s="62">
        <f t="shared" ca="1" si="30"/>
        <v>5.284876905041032</v>
      </c>
      <c r="Y75" s="62"/>
      <c r="Z75" s="62"/>
      <c r="AA75" s="62"/>
      <c r="AB75" s="62"/>
    </row>
    <row r="76" spans="1:28" x14ac:dyDescent="0.25">
      <c r="A76" s="50" t="str">
        <f t="shared" si="24"/>
        <v>SR</v>
      </c>
      <c r="B76" s="45">
        <f t="shared" ca="1" si="25"/>
        <v>64</v>
      </c>
      <c r="C76" s="1">
        <f ca="1">IF(ISERROR(D76),"",IF(D76="","",MAX($C$66:C75)+1))</f>
        <v>19</v>
      </c>
      <c r="D76" t="str">
        <f t="shared" ca="1" si="26"/>
        <v>Spire Inc.</v>
      </c>
      <c r="E76" s="22"/>
      <c r="F76" s="62">
        <f t="shared" ca="1" si="31"/>
        <v>9.5954565158510849</v>
      </c>
      <c r="G76" s="62">
        <f t="shared" si="27"/>
        <v>7.5348837209302326</v>
      </c>
      <c r="H76" s="62">
        <f t="shared" si="28"/>
        <v>8.3353080568720372</v>
      </c>
      <c r="I76" s="62">
        <f t="shared" si="29"/>
        <v>7.5467546754675459</v>
      </c>
      <c r="J76" s="62">
        <f t="shared" ca="1" si="30"/>
        <v>14.010468214693569</v>
      </c>
      <c r="K76" s="62">
        <f t="shared" ca="1" si="30"/>
        <v>11.267172355667931</v>
      </c>
      <c r="L76" s="62">
        <f t="shared" ca="1" si="30"/>
        <v>9.6003178386968617</v>
      </c>
      <c r="M76" s="62">
        <f t="shared" ca="1" si="30"/>
        <v>10.393059165265248</v>
      </c>
      <c r="N76" s="62">
        <f t="shared" ca="1" si="30"/>
        <v>10.319909061383566</v>
      </c>
      <c r="O76" s="62">
        <f t="shared" ca="1" si="30"/>
        <v>8.4657133571660701</v>
      </c>
      <c r="P76" s="62">
        <f t="shared" ca="1" si="30"/>
        <v>12.031290405999483</v>
      </c>
      <c r="Q76" s="62">
        <f t="shared" ca="1" si="30"/>
        <v>13.755847484780519</v>
      </c>
      <c r="R76" s="62">
        <f t="shared" ca="1" si="30"/>
        <v>8.8010471204188487</v>
      </c>
      <c r="S76" s="62">
        <f t="shared" ca="1" si="30"/>
        <v>8.079904720658293</v>
      </c>
      <c r="T76" s="62">
        <f t="shared" ca="1" si="30"/>
        <v>8.1248478948649296</v>
      </c>
      <c r="U76" s="62">
        <f t="shared" ca="1" si="30"/>
        <v>8.579328505595786</v>
      </c>
      <c r="V76" s="62">
        <f t="shared" ca="1" si="30"/>
        <v>8.9523809523809508</v>
      </c>
      <c r="W76" s="62">
        <f t="shared" ca="1" si="30"/>
        <v>8.4581827568404755</v>
      </c>
      <c r="X76" s="62">
        <f t="shared" ca="1" si="30"/>
        <v>8.4618009976371749</v>
      </c>
      <c r="Y76" s="62"/>
      <c r="Z76" s="62"/>
      <c r="AA76" s="62"/>
      <c r="AB76" s="62"/>
    </row>
    <row r="77" spans="1:28" x14ac:dyDescent="0.25">
      <c r="A77" s="50" t="str">
        <f t="shared" si="24"/>
        <v>UGI</v>
      </c>
      <c r="B77" s="45">
        <f t="shared" ca="1" si="25"/>
        <v>66</v>
      </c>
      <c r="C77" s="1">
        <f ca="1">IF(ISERROR(D77),"",IF(D77="","",MAX($C$66:C76)+1))</f>
        <v>20</v>
      </c>
      <c r="D77" t="str">
        <f t="shared" ca="1" si="26"/>
        <v>UGI Corp.</v>
      </c>
      <c r="E77" s="22"/>
      <c r="F77" s="62">
        <f t="shared" ca="1" si="31"/>
        <v>7.8690349191707076</v>
      </c>
      <c r="G77" s="62">
        <f t="shared" si="27"/>
        <v>5.8379373848987113</v>
      </c>
      <c r="H77" s="62">
        <f t="shared" si="28"/>
        <v>7.2007366482504613</v>
      </c>
      <c r="I77" s="62">
        <f t="shared" si="29"/>
        <v>9.5622119815668203</v>
      </c>
      <c r="J77" s="62">
        <f t="shared" ca="1" si="30"/>
        <v>7.3861267040898149</v>
      </c>
      <c r="K77" s="62">
        <f t="shared" ca="1" si="30"/>
        <v>12.951699029126212</v>
      </c>
      <c r="L77" s="62">
        <f t="shared" ca="1" si="30"/>
        <v>9.0133283968900404</v>
      </c>
      <c r="M77" s="62">
        <f t="shared" ca="1" si="30"/>
        <v>10.091562698244871</v>
      </c>
      <c r="N77" s="62">
        <f t="shared" ca="1" si="30"/>
        <v>9.0175238962221211</v>
      </c>
      <c r="O77" s="62">
        <f t="shared" ca="1" si="30"/>
        <v>8.467300832342449</v>
      </c>
      <c r="P77" s="62">
        <f t="shared" ca="1" si="30"/>
        <v>7.4872933629410312</v>
      </c>
      <c r="Q77" s="62">
        <f t="shared" ca="1" si="30"/>
        <v>6.5533049040511733</v>
      </c>
      <c r="R77" s="62">
        <f t="shared" ca="1" si="30"/>
        <v>6.3007543456871105</v>
      </c>
      <c r="S77" s="62">
        <f t="shared" ca="1" si="30"/>
        <v>7.5111030214779761</v>
      </c>
      <c r="T77" s="62">
        <f t="shared" ca="1" si="30"/>
        <v>6.0150034891835311</v>
      </c>
      <c r="U77" s="62">
        <f t="shared" ca="1" si="30"/>
        <v>5.7384833451452861</v>
      </c>
      <c r="V77" s="62">
        <f t="shared" ca="1" si="30"/>
        <v>7.1116035455277995</v>
      </c>
      <c r="W77" s="62">
        <f t="shared" ca="1" si="30"/>
        <v>7.9175897208684098</v>
      </c>
      <c r="X77" s="62">
        <f t="shared" ca="1" si="30"/>
        <v>7.4790652385589098</v>
      </c>
      <c r="Y77" s="62"/>
      <c r="Z77" s="62"/>
      <c r="AA77" s="62"/>
      <c r="AB77" s="62"/>
    </row>
    <row r="78" spans="1:28" hidden="1" x14ac:dyDescent="0.25">
      <c r="A78" s="50" t="str">
        <f t="shared" si="24"/>
        <v>WGL</v>
      </c>
      <c r="B78" s="45">
        <f t="shared" ca="1" si="25"/>
        <v>73</v>
      </c>
      <c r="C78" s="1"/>
      <c r="E78" s="2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 t="str">
        <f t="shared" ca="1" si="30"/>
        <v>N/A</v>
      </c>
      <c r="Z78" s="62" t="str">
        <f t="shared" ca="1" si="30"/>
        <v>N/A</v>
      </c>
      <c r="AA78" s="62" t="str">
        <f t="shared" ca="1" si="30"/>
        <v>N/A</v>
      </c>
      <c r="AB78" s="62" t="str">
        <f t="shared" ca="1" si="30"/>
        <v>N/A</v>
      </c>
    </row>
    <row r="79" spans="1:28" hidden="1" x14ac:dyDescent="0.25">
      <c r="A79" s="50">
        <f t="shared" si="24"/>
        <v>0</v>
      </c>
      <c r="B79" s="45" t="str">
        <f t="shared" ca="1" si="25"/>
        <v/>
      </c>
      <c r="C79" s="1" t="str">
        <f>IF(ISERROR(D79),"",IF(D79="","",MAX($C$66:C78)+1))</f>
        <v/>
      </c>
      <c r="D79" t="e">
        <f t="shared" si="26"/>
        <v>#N/A</v>
      </c>
      <c r="E79" s="22"/>
      <c r="F79" s="62" t="str">
        <f t="shared" ca="1" si="31"/>
        <v>N/A</v>
      </c>
      <c r="G79" s="62"/>
      <c r="H79" s="62" t="str">
        <f t="shared" si="28"/>
        <v>N/A</v>
      </c>
      <c r="I79" s="62" t="str">
        <f t="shared" si="29"/>
        <v>N/A</v>
      </c>
      <c r="J79" s="62" t="str">
        <f t="shared" ref="J79:J112" si="32">IFERROR(IF(VLOOKUP(A79,lucyr,17,FALSE)=0,"",VLOOKUP(A79,lucyr,17,FALSE)),"N/A")</f>
        <v>N/A</v>
      </c>
      <c r="K79" s="62" t="str">
        <f>IFERROR(IF(VLOOKUP(#REF!,LUCurYr,17,FALSE)=0,"",VLOOKUP(#REF!,LUCurYr,17,FALSE)),"N/A")</f>
        <v>N/A</v>
      </c>
      <c r="L79" s="62" t="str">
        <f t="shared" ref="L79:L112" si="33">IFERROR(IF(VLOOKUP(A79,LUCurYr,17,FALSE)=0,"",VLOOKUP(A79,LUCurYr,17,FALSE)),"N/A")</f>
        <v>N/A</v>
      </c>
      <c r="M79" s="62" t="str">
        <f ca="1">IFERROR(VLOOKUP($A79,LASTYR,'[3]2017'!$L$3,FALSE),"N/A")</f>
        <v>N/A</v>
      </c>
      <c r="N79" s="62" t="str">
        <f t="shared" ca="1" si="30"/>
        <v>N/A</v>
      </c>
      <c r="O79" s="62" t="str">
        <f t="shared" ca="1" si="30"/>
        <v>N/A</v>
      </c>
      <c r="P79" s="62" t="str">
        <f t="shared" ca="1" si="30"/>
        <v>N/A</v>
      </c>
      <c r="Q79" s="62" t="str">
        <f t="shared" ca="1" si="30"/>
        <v>N/A</v>
      </c>
      <c r="R79" s="62" t="str">
        <f t="shared" ca="1" si="30"/>
        <v>N/A</v>
      </c>
      <c r="S79" s="62" t="str">
        <f t="shared" ca="1" si="30"/>
        <v>N/A</v>
      </c>
      <c r="T79" s="62" t="str">
        <f t="shared" ca="1" si="30"/>
        <v>N/A</v>
      </c>
      <c r="U79" s="62" t="str">
        <f t="shared" ca="1" si="30"/>
        <v>N/A</v>
      </c>
      <c r="V79" s="62" t="str">
        <f t="shared" ca="1" si="30"/>
        <v>N/A</v>
      </c>
      <c r="W79" s="62" t="str">
        <f t="shared" ca="1" si="30"/>
        <v>N/A</v>
      </c>
      <c r="X79" s="62" t="str">
        <f t="shared" ca="1" si="30"/>
        <v>N/A</v>
      </c>
      <c r="Y79" s="62" t="str">
        <f t="shared" ca="1" si="30"/>
        <v>N/A</v>
      </c>
      <c r="Z79" s="62" t="str">
        <f t="shared" ca="1" si="30"/>
        <v>N/A</v>
      </c>
      <c r="AA79" s="62" t="str">
        <f t="shared" ca="1" si="30"/>
        <v>N/A</v>
      </c>
      <c r="AB79" s="62" t="str">
        <f t="shared" ca="1" si="30"/>
        <v>N/A</v>
      </c>
    </row>
    <row r="80" spans="1:28" hidden="1" x14ac:dyDescent="0.25">
      <c r="A80" s="50">
        <f t="shared" si="24"/>
        <v>0</v>
      </c>
      <c r="B80" s="45" t="str">
        <f t="shared" ca="1" si="25"/>
        <v/>
      </c>
      <c r="C80" s="1" t="str">
        <f>IF(ISERROR(D80),"",IF(D80="","",MAX($C$66:C79)+1))</f>
        <v/>
      </c>
      <c r="D80" t="e">
        <f t="shared" si="26"/>
        <v>#N/A</v>
      </c>
      <c r="E80" s="22"/>
      <c r="F80" s="62" t="str">
        <f t="shared" ca="1" si="31"/>
        <v>N/A</v>
      </c>
      <c r="G80" s="62"/>
      <c r="H80" s="62" t="str">
        <f t="shared" si="28"/>
        <v>N/A</v>
      </c>
      <c r="I80" s="62" t="str">
        <f t="shared" si="29"/>
        <v>N/A</v>
      </c>
      <c r="J80" s="62" t="str">
        <f t="shared" si="32"/>
        <v>N/A</v>
      </c>
      <c r="K80" s="62" t="str">
        <f>IFERROR(IF(VLOOKUP(#REF!,LUCurYr,17,FALSE)=0,"",VLOOKUP(#REF!,LUCurYr,17,FALSE)),"N/A")</f>
        <v>N/A</v>
      </c>
      <c r="L80" s="62" t="str">
        <f t="shared" si="33"/>
        <v>N/A</v>
      </c>
      <c r="M80" s="62" t="str">
        <f ca="1">IFERROR(VLOOKUP($A80,LASTYR,'[3]2017'!$L$3,FALSE),"N/A")</f>
        <v>N/A</v>
      </c>
      <c r="N80" s="62" t="str">
        <f t="shared" ca="1" si="30"/>
        <v>N/A</v>
      </c>
      <c r="O80" s="62" t="str">
        <f t="shared" ca="1" si="30"/>
        <v>N/A</v>
      </c>
      <c r="P80" s="62" t="str">
        <f t="shared" ca="1" si="30"/>
        <v>N/A</v>
      </c>
      <c r="Q80" s="62" t="str">
        <f t="shared" ca="1" si="30"/>
        <v>N/A</v>
      </c>
      <c r="R80" s="62" t="str">
        <f t="shared" ca="1" si="30"/>
        <v>N/A</v>
      </c>
      <c r="S80" s="62" t="str">
        <f t="shared" ca="1" si="30"/>
        <v>N/A</v>
      </c>
      <c r="T80" s="62" t="str">
        <f t="shared" ca="1" si="30"/>
        <v>N/A</v>
      </c>
      <c r="U80" s="62" t="str">
        <f t="shared" ca="1" si="30"/>
        <v>N/A</v>
      </c>
      <c r="V80" s="62" t="str">
        <f t="shared" ca="1" si="30"/>
        <v>N/A</v>
      </c>
      <c r="W80" s="62" t="str">
        <f t="shared" ca="1" si="30"/>
        <v>N/A</v>
      </c>
      <c r="X80" s="62" t="str">
        <f t="shared" ca="1" si="30"/>
        <v>N/A</v>
      </c>
      <c r="Y80" s="62" t="str">
        <f t="shared" ca="1" si="30"/>
        <v>N/A</v>
      </c>
      <c r="Z80" s="62" t="str">
        <f t="shared" ca="1" si="30"/>
        <v>N/A</v>
      </c>
      <c r="AA80" s="62" t="str">
        <f t="shared" ca="1" si="30"/>
        <v>N/A</v>
      </c>
      <c r="AB80" s="62" t="str">
        <f t="shared" ca="1" si="30"/>
        <v>N/A</v>
      </c>
    </row>
    <row r="81" spans="1:28" hidden="1" x14ac:dyDescent="0.25">
      <c r="A81" s="50">
        <f t="shared" si="24"/>
        <v>0</v>
      </c>
      <c r="B81" s="45" t="str">
        <f t="shared" ca="1" si="25"/>
        <v/>
      </c>
      <c r="C81" s="1" t="str">
        <f>IF(ISERROR(D81),"",IF(D81="","",MAX($C$66:C80)+1))</f>
        <v/>
      </c>
      <c r="D81" t="e">
        <f t="shared" si="26"/>
        <v>#N/A</v>
      </c>
      <c r="E81" s="22"/>
      <c r="F81" s="62" t="str">
        <f t="shared" ca="1" si="31"/>
        <v>N/A</v>
      </c>
      <c r="G81" s="62"/>
      <c r="H81" s="62" t="str">
        <f t="shared" si="28"/>
        <v>N/A</v>
      </c>
      <c r="I81" s="62" t="str">
        <f t="shared" si="29"/>
        <v>N/A</v>
      </c>
      <c r="J81" s="62" t="str">
        <f t="shared" si="32"/>
        <v>N/A</v>
      </c>
      <c r="K81" s="62" t="str">
        <f>IFERROR(IF(VLOOKUP(#REF!,LUCurYr,17,FALSE)=0,"",VLOOKUP(#REF!,LUCurYr,17,FALSE)),"N/A")</f>
        <v>N/A</v>
      </c>
      <c r="L81" s="62" t="str">
        <f t="shared" si="33"/>
        <v>N/A</v>
      </c>
      <c r="M81" s="62" t="str">
        <f ca="1">IFERROR(VLOOKUP($A81,LASTYR,'[3]2017'!$L$3,FALSE),"N/A")</f>
        <v>N/A</v>
      </c>
      <c r="N81" s="62" t="str">
        <f t="shared" ca="1" si="30"/>
        <v>N/A</v>
      </c>
      <c r="O81" s="62" t="str">
        <f t="shared" ca="1" si="30"/>
        <v>N/A</v>
      </c>
      <c r="P81" s="62" t="str">
        <f t="shared" ca="1" si="30"/>
        <v>N/A</v>
      </c>
      <c r="Q81" s="62" t="str">
        <f t="shared" ca="1" si="30"/>
        <v>N/A</v>
      </c>
      <c r="R81" s="62" t="str">
        <f t="shared" ca="1" si="30"/>
        <v>N/A</v>
      </c>
      <c r="S81" s="62" t="str">
        <f t="shared" ca="1" si="30"/>
        <v>N/A</v>
      </c>
      <c r="T81" s="62" t="str">
        <f t="shared" ca="1" si="30"/>
        <v>N/A</v>
      </c>
      <c r="U81" s="62" t="str">
        <f t="shared" ca="1" si="30"/>
        <v>N/A</v>
      </c>
      <c r="V81" s="62" t="str">
        <f t="shared" ca="1" si="30"/>
        <v>N/A</v>
      </c>
      <c r="W81" s="62" t="str">
        <f t="shared" ca="1" si="30"/>
        <v>N/A</v>
      </c>
      <c r="X81" s="62" t="str">
        <f t="shared" ca="1" si="30"/>
        <v>N/A</v>
      </c>
      <c r="Y81" s="62" t="str">
        <f t="shared" ca="1" si="30"/>
        <v>N/A</v>
      </c>
      <c r="Z81" s="62" t="str">
        <f t="shared" ca="1" si="30"/>
        <v>N/A</v>
      </c>
      <c r="AA81" s="62" t="str">
        <f t="shared" ca="1" si="30"/>
        <v>N/A</v>
      </c>
      <c r="AB81" s="62" t="str">
        <f t="shared" ca="1" si="30"/>
        <v>N/A</v>
      </c>
    </row>
    <row r="82" spans="1:28" hidden="1" x14ac:dyDescent="0.25">
      <c r="A82" s="50">
        <f t="shared" si="24"/>
        <v>0</v>
      </c>
      <c r="B82" s="45" t="str">
        <f t="shared" ca="1" si="25"/>
        <v/>
      </c>
      <c r="C82" s="1" t="str">
        <f>IF(ISERROR(D82),"",IF(D82="","",MAX($C$66:C81)+1))</f>
        <v/>
      </c>
      <c r="D82" t="e">
        <f t="shared" si="26"/>
        <v>#N/A</v>
      </c>
      <c r="E82" s="22"/>
      <c r="F82" s="62" t="str">
        <f t="shared" ca="1" si="31"/>
        <v>N/A</v>
      </c>
      <c r="G82" s="62"/>
      <c r="H82" s="62" t="str">
        <f t="shared" si="28"/>
        <v>N/A</v>
      </c>
      <c r="I82" s="62" t="str">
        <f t="shared" si="29"/>
        <v>N/A</v>
      </c>
      <c r="J82" s="62" t="str">
        <f t="shared" si="32"/>
        <v>N/A</v>
      </c>
      <c r="K82" s="62" t="str">
        <f>IFERROR(IF(VLOOKUP(#REF!,LUCurYr,17,FALSE)=0,"",VLOOKUP(#REF!,LUCurYr,17,FALSE)),"N/A")</f>
        <v>N/A</v>
      </c>
      <c r="L82" s="62" t="str">
        <f t="shared" si="33"/>
        <v>N/A</v>
      </c>
      <c r="M82" s="62" t="str">
        <f ca="1">IFERROR(VLOOKUP($A82,LASTYR,'[3]2017'!$L$3,FALSE),"N/A")</f>
        <v>N/A</v>
      </c>
      <c r="N82" s="62" t="str">
        <f t="shared" ca="1" si="30"/>
        <v>N/A</v>
      </c>
      <c r="O82" s="62" t="str">
        <f t="shared" ca="1" si="30"/>
        <v>N/A</v>
      </c>
      <c r="P82" s="62" t="str">
        <f t="shared" ca="1" si="30"/>
        <v>N/A</v>
      </c>
      <c r="Q82" s="62" t="str">
        <f t="shared" ca="1" si="30"/>
        <v>N/A</v>
      </c>
      <c r="R82" s="62" t="str">
        <f t="shared" ca="1" si="30"/>
        <v>N/A</v>
      </c>
      <c r="S82" s="62" t="str">
        <f t="shared" ca="1" si="30"/>
        <v>N/A</v>
      </c>
      <c r="T82" s="62" t="str">
        <f t="shared" ca="1" si="30"/>
        <v>N/A</v>
      </c>
      <c r="U82" s="62" t="str">
        <f t="shared" ca="1" si="30"/>
        <v>N/A</v>
      </c>
      <c r="V82" s="62" t="str">
        <f t="shared" ca="1" si="30"/>
        <v>N/A</v>
      </c>
      <c r="W82" s="62" t="str">
        <f t="shared" ca="1" si="30"/>
        <v>N/A</v>
      </c>
      <c r="X82" s="62" t="str">
        <f t="shared" ca="1" si="30"/>
        <v>N/A</v>
      </c>
      <c r="Y82" s="62" t="str">
        <f t="shared" ca="1" si="30"/>
        <v>N/A</v>
      </c>
      <c r="Z82" s="62" t="str">
        <f t="shared" ca="1" si="30"/>
        <v>N/A</v>
      </c>
      <c r="AA82" s="62" t="str">
        <f t="shared" ca="1" si="30"/>
        <v>N/A</v>
      </c>
      <c r="AB82" s="62" t="str">
        <f t="shared" ca="1" si="30"/>
        <v>N/A</v>
      </c>
    </row>
    <row r="83" spans="1:28" hidden="1" x14ac:dyDescent="0.25">
      <c r="A83" s="50">
        <f t="shared" si="24"/>
        <v>0</v>
      </c>
      <c r="B83" s="45" t="str">
        <f t="shared" ca="1" si="25"/>
        <v/>
      </c>
      <c r="C83" s="1" t="str">
        <f>IF(ISERROR(D83),"",IF(D83="","",MAX($C$66:C82)+1))</f>
        <v/>
      </c>
      <c r="D83" t="e">
        <f t="shared" si="26"/>
        <v>#N/A</v>
      </c>
      <c r="E83" s="22"/>
      <c r="F83" s="62" t="str">
        <f t="shared" ca="1" si="31"/>
        <v>N/A</v>
      </c>
      <c r="G83" s="62"/>
      <c r="H83" s="62" t="str">
        <f t="shared" si="28"/>
        <v>N/A</v>
      </c>
      <c r="I83" s="62" t="str">
        <f t="shared" si="29"/>
        <v>N/A</v>
      </c>
      <c r="J83" s="62" t="str">
        <f t="shared" si="32"/>
        <v>N/A</v>
      </c>
      <c r="K83" s="62" t="str">
        <f>IFERROR(IF(VLOOKUP(#REF!,LUCurYr,17,FALSE)=0,"",VLOOKUP(#REF!,LUCurYr,17,FALSE)),"N/A")</f>
        <v>N/A</v>
      </c>
      <c r="L83" s="62" t="str">
        <f t="shared" si="33"/>
        <v>N/A</v>
      </c>
      <c r="M83" s="62" t="str">
        <f ca="1">IFERROR(VLOOKUP($A83,LASTYR,'[3]2017'!$L$3,FALSE),"N/A")</f>
        <v>N/A</v>
      </c>
      <c r="N83" s="62" t="str">
        <f t="shared" ca="1" si="30"/>
        <v>N/A</v>
      </c>
      <c r="O83" s="62" t="str">
        <f t="shared" ca="1" si="30"/>
        <v>N/A</v>
      </c>
      <c r="P83" s="62" t="str">
        <f t="shared" ca="1" si="30"/>
        <v>N/A</v>
      </c>
      <c r="Q83" s="62" t="str">
        <f t="shared" ca="1" si="30"/>
        <v>N/A</v>
      </c>
      <c r="R83" s="62" t="str">
        <f t="shared" ca="1" si="30"/>
        <v>N/A</v>
      </c>
      <c r="S83" s="62" t="str">
        <f t="shared" ca="1" si="30"/>
        <v>N/A</v>
      </c>
      <c r="T83" s="62" t="str">
        <f t="shared" ca="1" si="30"/>
        <v>N/A</v>
      </c>
      <c r="U83" s="62" t="str">
        <f t="shared" ca="1" si="30"/>
        <v>N/A</v>
      </c>
      <c r="V83" s="62" t="str">
        <f t="shared" ca="1" si="30"/>
        <v>N/A</v>
      </c>
      <c r="W83" s="62" t="str">
        <f t="shared" ca="1" si="30"/>
        <v>N/A</v>
      </c>
      <c r="X83" s="62" t="str">
        <f t="shared" ca="1" si="30"/>
        <v>N/A</v>
      </c>
      <c r="Y83" s="62" t="str">
        <f t="shared" ca="1" si="30"/>
        <v>N/A</v>
      </c>
      <c r="Z83" s="62" t="str">
        <f t="shared" ca="1" si="30"/>
        <v>N/A</v>
      </c>
      <c r="AA83" s="62" t="str">
        <f t="shared" ca="1" si="30"/>
        <v>N/A</v>
      </c>
      <c r="AB83" s="62" t="str">
        <f t="shared" ca="1" si="30"/>
        <v>N/A</v>
      </c>
    </row>
    <row r="84" spans="1:28" hidden="1" x14ac:dyDescent="0.25">
      <c r="A84" s="50">
        <f t="shared" si="24"/>
        <v>0</v>
      </c>
      <c r="B84" s="45" t="str">
        <f t="shared" ca="1" si="25"/>
        <v/>
      </c>
      <c r="C84" s="1" t="str">
        <f>IF(ISERROR(D84),"",IF(D84="","",MAX($C$66:C83)+1))</f>
        <v/>
      </c>
      <c r="D84" t="e">
        <f t="shared" si="26"/>
        <v>#N/A</v>
      </c>
      <c r="E84" s="22"/>
      <c r="F84" s="62" t="str">
        <f t="shared" ca="1" si="31"/>
        <v>N/A</v>
      </c>
      <c r="G84" s="62"/>
      <c r="H84" s="62" t="str">
        <f t="shared" si="28"/>
        <v>N/A</v>
      </c>
      <c r="I84" s="62" t="str">
        <f t="shared" si="29"/>
        <v>N/A</v>
      </c>
      <c r="J84" s="62" t="str">
        <f t="shared" si="32"/>
        <v>N/A</v>
      </c>
      <c r="K84" s="62" t="str">
        <f>IFERROR(IF(VLOOKUP(#REF!,LUCurYr,17,FALSE)=0,"",VLOOKUP(#REF!,LUCurYr,17,FALSE)),"N/A")</f>
        <v>N/A</v>
      </c>
      <c r="L84" s="62" t="str">
        <f t="shared" si="33"/>
        <v>N/A</v>
      </c>
      <c r="M84" s="62" t="str">
        <f ca="1">IFERROR(VLOOKUP($A84,LASTYR,'[3]2017'!$L$3,FALSE),"N/A")</f>
        <v>N/A</v>
      </c>
      <c r="N84" s="62" t="str">
        <f t="shared" ref="N84:N112" ca="1" si="34">IFERROR(IF(INDEX(MP_CF_WP,$B84,N$67)=0,"N/A",INDEX(MP_CF_WP,$B84,N$67)),"N/A")</f>
        <v>N/A</v>
      </c>
      <c r="O84" s="62" t="str">
        <f t="shared" ref="O84:AB102" ca="1" si="35">IFERROR(IF(INDEX(MP_CF_WP,$B84,O$67)=0,"N/A",INDEX(MP_CF_WP,$B84,O$67)),"N/A")</f>
        <v>N/A</v>
      </c>
      <c r="P84" s="62" t="str">
        <f t="shared" ca="1" si="35"/>
        <v>N/A</v>
      </c>
      <c r="Q84" s="62" t="str">
        <f t="shared" ca="1" si="35"/>
        <v>N/A</v>
      </c>
      <c r="R84" s="62" t="str">
        <f t="shared" ca="1" si="35"/>
        <v>N/A</v>
      </c>
      <c r="S84" s="62" t="str">
        <f t="shared" ca="1" si="35"/>
        <v>N/A</v>
      </c>
      <c r="T84" s="62" t="str">
        <f t="shared" ca="1" si="35"/>
        <v>N/A</v>
      </c>
      <c r="U84" s="62" t="str">
        <f t="shared" ca="1" si="35"/>
        <v>N/A</v>
      </c>
      <c r="V84" s="62" t="str">
        <f t="shared" ca="1" si="35"/>
        <v>N/A</v>
      </c>
      <c r="W84" s="62" t="str">
        <f t="shared" ca="1" si="35"/>
        <v>N/A</v>
      </c>
      <c r="X84" s="62" t="str">
        <f t="shared" ca="1" si="35"/>
        <v>N/A</v>
      </c>
      <c r="Y84" s="62" t="str">
        <f t="shared" ca="1" si="35"/>
        <v>N/A</v>
      </c>
      <c r="Z84" s="62" t="str">
        <f t="shared" ca="1" si="35"/>
        <v>N/A</v>
      </c>
      <c r="AA84" s="62" t="str">
        <f t="shared" ca="1" si="35"/>
        <v>N/A</v>
      </c>
      <c r="AB84" s="62" t="str">
        <f t="shared" ca="1" si="35"/>
        <v>N/A</v>
      </c>
    </row>
    <row r="85" spans="1:28" hidden="1" x14ac:dyDescent="0.25">
      <c r="A85" s="50">
        <f t="shared" si="24"/>
        <v>0</v>
      </c>
      <c r="B85" s="45" t="str">
        <f t="shared" ca="1" si="25"/>
        <v/>
      </c>
      <c r="C85" s="1" t="str">
        <f>IF(ISERROR(D85),"",IF(D85="","",MAX($C$66:C84)+1))</f>
        <v/>
      </c>
      <c r="D85" t="e">
        <f t="shared" si="26"/>
        <v>#N/A</v>
      </c>
      <c r="E85" s="22"/>
      <c r="F85" s="62" t="str">
        <f t="shared" ca="1" si="31"/>
        <v>N/A</v>
      </c>
      <c r="G85" s="62"/>
      <c r="H85" s="62" t="str">
        <f t="shared" si="28"/>
        <v>N/A</v>
      </c>
      <c r="I85" s="62" t="str">
        <f t="shared" si="29"/>
        <v>N/A</v>
      </c>
      <c r="J85" s="62" t="str">
        <f t="shared" si="32"/>
        <v>N/A</v>
      </c>
      <c r="K85" s="62" t="str">
        <f>IFERROR(IF(VLOOKUP(#REF!,LUCurYr,17,FALSE)=0,"",VLOOKUP(#REF!,LUCurYr,17,FALSE)),"N/A")</f>
        <v>N/A</v>
      </c>
      <c r="L85" s="62" t="str">
        <f t="shared" si="33"/>
        <v>N/A</v>
      </c>
      <c r="M85" s="62" t="str">
        <f ca="1">IFERROR(VLOOKUP($A85,LASTYR,'[3]2017'!$L$3,FALSE),"N/A")</f>
        <v>N/A</v>
      </c>
      <c r="N85" s="62" t="str">
        <f t="shared" ca="1" si="34"/>
        <v>N/A</v>
      </c>
      <c r="O85" s="62" t="str">
        <f t="shared" ca="1" si="35"/>
        <v>N/A</v>
      </c>
      <c r="P85" s="62" t="str">
        <f t="shared" ca="1" si="35"/>
        <v>N/A</v>
      </c>
      <c r="Q85" s="62" t="str">
        <f t="shared" ca="1" si="35"/>
        <v>N/A</v>
      </c>
      <c r="R85" s="62" t="str">
        <f t="shared" ca="1" si="35"/>
        <v>N/A</v>
      </c>
      <c r="S85" s="62" t="str">
        <f t="shared" ca="1" si="35"/>
        <v>N/A</v>
      </c>
      <c r="T85" s="62" t="str">
        <f t="shared" ca="1" si="35"/>
        <v>N/A</v>
      </c>
      <c r="U85" s="62" t="str">
        <f t="shared" ca="1" si="35"/>
        <v>N/A</v>
      </c>
      <c r="V85" s="62" t="str">
        <f t="shared" ca="1" si="35"/>
        <v>N/A</v>
      </c>
      <c r="W85" s="62" t="str">
        <f t="shared" ca="1" si="35"/>
        <v>N/A</v>
      </c>
      <c r="X85" s="62" t="str">
        <f t="shared" ca="1" si="35"/>
        <v>N/A</v>
      </c>
      <c r="Y85" s="62" t="str">
        <f t="shared" ca="1" si="35"/>
        <v>N/A</v>
      </c>
      <c r="Z85" s="62" t="str">
        <f t="shared" ca="1" si="35"/>
        <v>N/A</v>
      </c>
      <c r="AA85" s="62" t="str">
        <f t="shared" ca="1" si="35"/>
        <v>N/A</v>
      </c>
      <c r="AB85" s="62" t="str">
        <f t="shared" ca="1" si="35"/>
        <v>N/A</v>
      </c>
    </row>
    <row r="86" spans="1:28" hidden="1" x14ac:dyDescent="0.25">
      <c r="A86" s="50">
        <f t="shared" si="24"/>
        <v>0</v>
      </c>
      <c r="B86" s="45" t="str">
        <f t="shared" ca="1" si="25"/>
        <v/>
      </c>
      <c r="C86" s="1" t="str">
        <f>IF(ISERROR(D86),"",IF(D86="","",MAX($C$66:C85)+1))</f>
        <v/>
      </c>
      <c r="D86" t="e">
        <f t="shared" si="26"/>
        <v>#N/A</v>
      </c>
      <c r="E86" s="22"/>
      <c r="F86" s="62" t="str">
        <f t="shared" ca="1" si="31"/>
        <v>N/A</v>
      </c>
      <c r="G86" s="62"/>
      <c r="H86" s="62" t="str">
        <f t="shared" si="28"/>
        <v>N/A</v>
      </c>
      <c r="I86" s="62" t="str">
        <f t="shared" si="29"/>
        <v>N/A</v>
      </c>
      <c r="J86" s="62" t="str">
        <f t="shared" si="32"/>
        <v>N/A</v>
      </c>
      <c r="K86" s="62" t="str">
        <f>IFERROR(IF(VLOOKUP(#REF!,LUCurYr,17,FALSE)=0,"",VLOOKUP(#REF!,LUCurYr,17,FALSE)),"N/A")</f>
        <v>N/A</v>
      </c>
      <c r="L86" s="62" t="str">
        <f t="shared" si="33"/>
        <v>N/A</v>
      </c>
      <c r="M86" s="62" t="str">
        <f ca="1">IFERROR(VLOOKUP($A86,LASTYR,'[3]2017'!$L$3,FALSE),"N/A")</f>
        <v>N/A</v>
      </c>
      <c r="N86" s="62" t="str">
        <f t="shared" ca="1" si="34"/>
        <v>N/A</v>
      </c>
      <c r="O86" s="62" t="str">
        <f t="shared" ca="1" si="35"/>
        <v>N/A</v>
      </c>
      <c r="P86" s="62" t="str">
        <f t="shared" ca="1" si="35"/>
        <v>N/A</v>
      </c>
      <c r="Q86" s="62" t="str">
        <f t="shared" ca="1" si="35"/>
        <v>N/A</v>
      </c>
      <c r="R86" s="62" t="str">
        <f t="shared" ca="1" si="35"/>
        <v>N/A</v>
      </c>
      <c r="S86" s="62" t="str">
        <f t="shared" ca="1" si="35"/>
        <v>N/A</v>
      </c>
      <c r="T86" s="62" t="str">
        <f t="shared" ca="1" si="35"/>
        <v>N/A</v>
      </c>
      <c r="U86" s="62" t="str">
        <f t="shared" ca="1" si="35"/>
        <v>N/A</v>
      </c>
      <c r="V86" s="62" t="str">
        <f t="shared" ca="1" si="35"/>
        <v>N/A</v>
      </c>
      <c r="W86" s="62" t="str">
        <f t="shared" ca="1" si="35"/>
        <v>N/A</v>
      </c>
      <c r="X86" s="62" t="str">
        <f t="shared" ca="1" si="35"/>
        <v>N/A</v>
      </c>
      <c r="Y86" s="62" t="str">
        <f t="shared" ca="1" si="35"/>
        <v>N/A</v>
      </c>
      <c r="Z86" s="62" t="str">
        <f t="shared" ca="1" si="35"/>
        <v>N/A</v>
      </c>
      <c r="AA86" s="62" t="str">
        <f t="shared" ca="1" si="35"/>
        <v>N/A</v>
      </c>
      <c r="AB86" s="62" t="str">
        <f t="shared" ca="1" si="35"/>
        <v>N/A</v>
      </c>
    </row>
    <row r="87" spans="1:28" hidden="1" x14ac:dyDescent="0.25">
      <c r="A87" s="50">
        <f t="shared" si="24"/>
        <v>0</v>
      </c>
      <c r="B87" s="45" t="str">
        <f t="shared" ca="1" si="25"/>
        <v/>
      </c>
      <c r="C87" s="1" t="str">
        <f>IF(ISERROR(D87),"",IF(D87="","",MAX($C$66:C86)+1))</f>
        <v/>
      </c>
      <c r="D87" t="e">
        <f t="shared" si="26"/>
        <v>#N/A</v>
      </c>
      <c r="E87" s="22"/>
      <c r="F87" s="62" t="str">
        <f t="shared" ca="1" si="31"/>
        <v>N/A</v>
      </c>
      <c r="G87" s="62"/>
      <c r="H87" s="62" t="str">
        <f t="shared" si="28"/>
        <v>N/A</v>
      </c>
      <c r="I87" s="62" t="str">
        <f t="shared" si="29"/>
        <v>N/A</v>
      </c>
      <c r="J87" s="62" t="str">
        <f t="shared" si="32"/>
        <v>N/A</v>
      </c>
      <c r="K87" s="62" t="str">
        <f>IFERROR(IF(VLOOKUP(#REF!,LUCurYr,17,FALSE)=0,"",VLOOKUP(#REF!,LUCurYr,17,FALSE)),"N/A")</f>
        <v>N/A</v>
      </c>
      <c r="L87" s="62" t="str">
        <f t="shared" si="33"/>
        <v>N/A</v>
      </c>
      <c r="M87" s="62" t="str">
        <f ca="1">IFERROR(VLOOKUP($A87,LASTYR,'[3]2017'!$L$3,FALSE),"N/A")</f>
        <v>N/A</v>
      </c>
      <c r="N87" s="62" t="str">
        <f t="shared" ca="1" si="34"/>
        <v>N/A</v>
      </c>
      <c r="O87" s="62" t="str">
        <f t="shared" ca="1" si="35"/>
        <v>N/A</v>
      </c>
      <c r="P87" s="62" t="str">
        <f t="shared" ca="1" si="35"/>
        <v>N/A</v>
      </c>
      <c r="Q87" s="62" t="str">
        <f t="shared" ca="1" si="35"/>
        <v>N/A</v>
      </c>
      <c r="R87" s="62" t="str">
        <f t="shared" ca="1" si="35"/>
        <v>N/A</v>
      </c>
      <c r="S87" s="62" t="str">
        <f t="shared" ca="1" si="35"/>
        <v>N/A</v>
      </c>
      <c r="T87" s="62" t="str">
        <f t="shared" ca="1" si="35"/>
        <v>N/A</v>
      </c>
      <c r="U87" s="62" t="str">
        <f t="shared" ca="1" si="35"/>
        <v>N/A</v>
      </c>
      <c r="V87" s="62" t="str">
        <f t="shared" ca="1" si="35"/>
        <v>N/A</v>
      </c>
      <c r="W87" s="62" t="str">
        <f t="shared" ca="1" si="35"/>
        <v>N/A</v>
      </c>
      <c r="X87" s="62" t="str">
        <f t="shared" ca="1" si="35"/>
        <v>N/A</v>
      </c>
      <c r="Y87" s="62" t="str">
        <f t="shared" ca="1" si="35"/>
        <v>N/A</v>
      </c>
      <c r="Z87" s="62" t="str">
        <f t="shared" ca="1" si="35"/>
        <v>N/A</v>
      </c>
      <c r="AA87" s="62" t="str">
        <f t="shared" ca="1" si="35"/>
        <v>N/A</v>
      </c>
      <c r="AB87" s="62" t="str">
        <f t="shared" ca="1" si="35"/>
        <v>N/A</v>
      </c>
    </row>
    <row r="88" spans="1:28" hidden="1" x14ac:dyDescent="0.25">
      <c r="A88" s="50">
        <f t="shared" si="24"/>
        <v>0</v>
      </c>
      <c r="B88" s="45" t="str">
        <f t="shared" ca="1" si="25"/>
        <v/>
      </c>
      <c r="C88" s="1" t="str">
        <f>IF(ISERROR(D88),"",IF(D88="","",MAX($C$66:C87)+1))</f>
        <v/>
      </c>
      <c r="D88" t="e">
        <f t="shared" si="26"/>
        <v>#N/A</v>
      </c>
      <c r="E88" s="22"/>
      <c r="F88" s="62" t="str">
        <f t="shared" ca="1" si="31"/>
        <v>N/A</v>
      </c>
      <c r="G88" s="62"/>
      <c r="H88" s="62" t="str">
        <f t="shared" si="28"/>
        <v>N/A</v>
      </c>
      <c r="I88" s="62" t="str">
        <f t="shared" si="29"/>
        <v>N/A</v>
      </c>
      <c r="J88" s="62" t="str">
        <f t="shared" si="32"/>
        <v>N/A</v>
      </c>
      <c r="K88" s="62" t="str">
        <f>IFERROR(IF(VLOOKUP(#REF!,LUCurYr,17,FALSE)=0,"",VLOOKUP(#REF!,LUCurYr,17,FALSE)),"N/A")</f>
        <v>N/A</v>
      </c>
      <c r="L88" s="62" t="str">
        <f t="shared" si="33"/>
        <v>N/A</v>
      </c>
      <c r="M88" s="62" t="str">
        <f ca="1">IFERROR(VLOOKUP($A88,LASTYR,'[3]2017'!$L$3,FALSE),"N/A")</f>
        <v>N/A</v>
      </c>
      <c r="N88" s="62" t="str">
        <f t="shared" ca="1" si="34"/>
        <v>N/A</v>
      </c>
      <c r="O88" s="62" t="str">
        <f t="shared" ca="1" si="35"/>
        <v>N/A</v>
      </c>
      <c r="P88" s="62" t="str">
        <f t="shared" ca="1" si="35"/>
        <v>N/A</v>
      </c>
      <c r="Q88" s="62" t="str">
        <f t="shared" ca="1" si="35"/>
        <v>N/A</v>
      </c>
      <c r="R88" s="62" t="str">
        <f t="shared" ca="1" si="35"/>
        <v>N/A</v>
      </c>
      <c r="S88" s="62" t="str">
        <f t="shared" ca="1" si="35"/>
        <v>N/A</v>
      </c>
      <c r="T88" s="62" t="str">
        <f t="shared" ca="1" si="35"/>
        <v>N/A</v>
      </c>
      <c r="U88" s="62" t="str">
        <f t="shared" ca="1" si="35"/>
        <v>N/A</v>
      </c>
      <c r="V88" s="62" t="str">
        <f t="shared" ca="1" si="35"/>
        <v>N/A</v>
      </c>
      <c r="W88" s="62" t="str">
        <f t="shared" ca="1" si="35"/>
        <v>N/A</v>
      </c>
      <c r="X88" s="62" t="str">
        <f t="shared" ca="1" si="35"/>
        <v>N/A</v>
      </c>
      <c r="Y88" s="62" t="str">
        <f t="shared" ca="1" si="35"/>
        <v>N/A</v>
      </c>
      <c r="Z88" s="62" t="str">
        <f t="shared" ca="1" si="35"/>
        <v>N/A</v>
      </c>
      <c r="AA88" s="62" t="str">
        <f t="shared" ca="1" si="35"/>
        <v>N/A</v>
      </c>
      <c r="AB88" s="62" t="str">
        <f t="shared" ca="1" si="35"/>
        <v>N/A</v>
      </c>
    </row>
    <row r="89" spans="1:28" hidden="1" x14ac:dyDescent="0.25">
      <c r="A89" s="50">
        <f t="shared" si="24"/>
        <v>0</v>
      </c>
      <c r="B89" s="45" t="str">
        <f t="shared" ca="1" si="25"/>
        <v/>
      </c>
      <c r="C89" s="1" t="str">
        <f>IF(ISERROR(D89),"",IF(D89="","",MAX($C$66:C88)+1))</f>
        <v/>
      </c>
      <c r="D89" t="e">
        <f t="shared" si="26"/>
        <v>#N/A</v>
      </c>
      <c r="E89" s="22"/>
      <c r="F89" s="62" t="str">
        <f t="shared" ca="1" si="31"/>
        <v>N/A</v>
      </c>
      <c r="G89" s="62"/>
      <c r="H89" s="62" t="str">
        <f t="shared" si="28"/>
        <v>N/A</v>
      </c>
      <c r="I89" s="62" t="str">
        <f t="shared" si="29"/>
        <v>N/A</v>
      </c>
      <c r="J89" s="62" t="str">
        <f t="shared" si="32"/>
        <v>N/A</v>
      </c>
      <c r="K89" s="62" t="str">
        <f>IFERROR(IF(VLOOKUP(#REF!,LUCurYr,17,FALSE)=0,"",VLOOKUP(#REF!,LUCurYr,17,FALSE)),"N/A")</f>
        <v>N/A</v>
      </c>
      <c r="L89" s="62" t="str">
        <f t="shared" si="33"/>
        <v>N/A</v>
      </c>
      <c r="M89" s="62" t="str">
        <f ca="1">IFERROR(VLOOKUP($A89,LASTYR,'[3]2017'!$L$3,FALSE),"N/A")</f>
        <v>N/A</v>
      </c>
      <c r="N89" s="62" t="str">
        <f t="shared" ca="1" si="34"/>
        <v>N/A</v>
      </c>
      <c r="O89" s="62" t="str">
        <f t="shared" ca="1" si="35"/>
        <v>N/A</v>
      </c>
      <c r="P89" s="62" t="str">
        <f t="shared" ca="1" si="35"/>
        <v>N/A</v>
      </c>
      <c r="Q89" s="62" t="str">
        <f t="shared" ca="1" si="35"/>
        <v>N/A</v>
      </c>
      <c r="R89" s="62" t="str">
        <f t="shared" ca="1" si="35"/>
        <v>N/A</v>
      </c>
      <c r="S89" s="62" t="str">
        <f t="shared" ca="1" si="35"/>
        <v>N/A</v>
      </c>
      <c r="T89" s="62" t="str">
        <f t="shared" ca="1" si="35"/>
        <v>N/A</v>
      </c>
      <c r="U89" s="62" t="str">
        <f t="shared" ca="1" si="35"/>
        <v>N/A</v>
      </c>
      <c r="V89" s="62" t="str">
        <f t="shared" ca="1" si="35"/>
        <v>N/A</v>
      </c>
      <c r="W89" s="62" t="str">
        <f t="shared" ca="1" si="35"/>
        <v>N/A</v>
      </c>
      <c r="X89" s="62" t="str">
        <f t="shared" ca="1" si="35"/>
        <v>N/A</v>
      </c>
      <c r="Y89" s="62" t="str">
        <f t="shared" ca="1" si="35"/>
        <v>N/A</v>
      </c>
      <c r="Z89" s="62" t="str">
        <f t="shared" ca="1" si="35"/>
        <v>N/A</v>
      </c>
      <c r="AA89" s="62" t="str">
        <f t="shared" ca="1" si="35"/>
        <v>N/A</v>
      </c>
      <c r="AB89" s="62" t="str">
        <f t="shared" ca="1" si="35"/>
        <v>N/A</v>
      </c>
    </row>
    <row r="90" spans="1:28" hidden="1" x14ac:dyDescent="0.25">
      <c r="A90" s="50">
        <f t="shared" si="24"/>
        <v>0</v>
      </c>
      <c r="B90" s="45" t="str">
        <f t="shared" ca="1" si="25"/>
        <v/>
      </c>
      <c r="C90" s="1" t="str">
        <f>IF(ISERROR(D90),"",IF(D90="","",MAX($C$66:C89)+1))</f>
        <v/>
      </c>
      <c r="D90" t="e">
        <f t="shared" si="26"/>
        <v>#N/A</v>
      </c>
      <c r="E90" s="22"/>
      <c r="F90" s="62" t="str">
        <f t="shared" ca="1" si="31"/>
        <v>N/A</v>
      </c>
      <c r="G90" s="62"/>
      <c r="H90" s="62" t="str">
        <f t="shared" si="28"/>
        <v>N/A</v>
      </c>
      <c r="I90" s="62" t="str">
        <f t="shared" si="29"/>
        <v>N/A</v>
      </c>
      <c r="J90" s="62" t="str">
        <f t="shared" si="32"/>
        <v>N/A</v>
      </c>
      <c r="K90" s="62" t="str">
        <f>IFERROR(IF(VLOOKUP(#REF!,LUCurYr,17,FALSE)=0,"",VLOOKUP(#REF!,LUCurYr,17,FALSE)),"N/A")</f>
        <v>N/A</v>
      </c>
      <c r="L90" s="62" t="str">
        <f t="shared" si="33"/>
        <v>N/A</v>
      </c>
      <c r="M90" s="62" t="str">
        <f ca="1">IFERROR(VLOOKUP($A90,LASTYR,'[3]2017'!$L$3,FALSE),"N/A")</f>
        <v>N/A</v>
      </c>
      <c r="N90" s="62" t="str">
        <f t="shared" ca="1" si="34"/>
        <v>N/A</v>
      </c>
      <c r="O90" s="62" t="str">
        <f t="shared" ca="1" si="35"/>
        <v>N/A</v>
      </c>
      <c r="P90" s="62" t="str">
        <f t="shared" ca="1" si="35"/>
        <v>N/A</v>
      </c>
      <c r="Q90" s="62" t="str">
        <f t="shared" ca="1" si="35"/>
        <v>N/A</v>
      </c>
      <c r="R90" s="62" t="str">
        <f t="shared" ca="1" si="35"/>
        <v>N/A</v>
      </c>
      <c r="S90" s="62" t="str">
        <f t="shared" ca="1" si="35"/>
        <v>N/A</v>
      </c>
      <c r="T90" s="62" t="str">
        <f t="shared" ca="1" si="35"/>
        <v>N/A</v>
      </c>
      <c r="U90" s="62" t="str">
        <f t="shared" ca="1" si="35"/>
        <v>N/A</v>
      </c>
      <c r="V90" s="62" t="str">
        <f t="shared" ca="1" si="35"/>
        <v>N/A</v>
      </c>
      <c r="W90" s="62" t="str">
        <f t="shared" ca="1" si="35"/>
        <v>N/A</v>
      </c>
      <c r="X90" s="62" t="str">
        <f t="shared" ca="1" si="35"/>
        <v>N/A</v>
      </c>
      <c r="Y90" s="62" t="str">
        <f t="shared" ca="1" si="35"/>
        <v>N/A</v>
      </c>
      <c r="Z90" s="62" t="str">
        <f t="shared" ca="1" si="35"/>
        <v>N/A</v>
      </c>
      <c r="AA90" s="62" t="str">
        <f t="shared" ca="1" si="35"/>
        <v>N/A</v>
      </c>
      <c r="AB90" s="62" t="str">
        <f t="shared" ca="1" si="35"/>
        <v>N/A</v>
      </c>
    </row>
    <row r="91" spans="1:28" hidden="1" x14ac:dyDescent="0.25">
      <c r="A91" s="50">
        <f t="shared" si="24"/>
        <v>0</v>
      </c>
      <c r="B91" s="45" t="str">
        <f t="shared" ca="1" si="25"/>
        <v/>
      </c>
      <c r="C91" s="1" t="str">
        <f>IF(ISERROR(D91),"",IF(D91="","",MAX($C$66:C90)+1))</f>
        <v/>
      </c>
      <c r="D91" t="e">
        <f t="shared" si="26"/>
        <v>#N/A</v>
      </c>
      <c r="E91" s="22"/>
      <c r="F91" s="62" t="str">
        <f t="shared" ca="1" si="31"/>
        <v>N/A</v>
      </c>
      <c r="G91" s="62"/>
      <c r="H91" s="62" t="str">
        <f t="shared" si="28"/>
        <v>N/A</v>
      </c>
      <c r="I91" s="62" t="str">
        <f t="shared" si="29"/>
        <v>N/A</v>
      </c>
      <c r="J91" s="62" t="str">
        <f t="shared" si="32"/>
        <v>N/A</v>
      </c>
      <c r="K91" s="62" t="str">
        <f>IFERROR(IF(VLOOKUP(#REF!,LUCurYr,17,FALSE)=0,"",VLOOKUP(#REF!,LUCurYr,17,FALSE)),"N/A")</f>
        <v>N/A</v>
      </c>
      <c r="L91" s="62" t="str">
        <f t="shared" si="33"/>
        <v>N/A</v>
      </c>
      <c r="M91" s="62" t="str">
        <f ca="1">IFERROR(VLOOKUP($A91,LASTYR,'[3]2017'!$L$3,FALSE),"N/A")</f>
        <v>N/A</v>
      </c>
      <c r="N91" s="62" t="str">
        <f t="shared" ca="1" si="34"/>
        <v>N/A</v>
      </c>
      <c r="O91" s="62" t="str">
        <f t="shared" ca="1" si="35"/>
        <v>N/A</v>
      </c>
      <c r="P91" s="62" t="str">
        <f t="shared" ca="1" si="35"/>
        <v>N/A</v>
      </c>
      <c r="Q91" s="62" t="str">
        <f t="shared" ca="1" si="35"/>
        <v>N/A</v>
      </c>
      <c r="R91" s="62" t="str">
        <f t="shared" ca="1" si="35"/>
        <v>N/A</v>
      </c>
      <c r="S91" s="62" t="str">
        <f t="shared" ca="1" si="35"/>
        <v>N/A</v>
      </c>
      <c r="T91" s="62" t="str">
        <f t="shared" ca="1" si="35"/>
        <v>N/A</v>
      </c>
      <c r="U91" s="62" t="str">
        <f t="shared" ca="1" si="35"/>
        <v>N/A</v>
      </c>
      <c r="V91" s="62" t="str">
        <f t="shared" ca="1" si="35"/>
        <v>N/A</v>
      </c>
      <c r="W91" s="62" t="str">
        <f t="shared" ca="1" si="35"/>
        <v>N/A</v>
      </c>
      <c r="X91" s="62" t="str">
        <f t="shared" ca="1" si="35"/>
        <v>N/A</v>
      </c>
      <c r="Y91" s="62" t="str">
        <f t="shared" ca="1" si="35"/>
        <v>N/A</v>
      </c>
      <c r="Z91" s="62" t="str">
        <f t="shared" ca="1" si="35"/>
        <v>N/A</v>
      </c>
      <c r="AA91" s="62" t="str">
        <f t="shared" ca="1" si="35"/>
        <v>N/A</v>
      </c>
      <c r="AB91" s="62" t="str">
        <f t="shared" ca="1" si="35"/>
        <v>N/A</v>
      </c>
    </row>
    <row r="92" spans="1:28" hidden="1" x14ac:dyDescent="0.25">
      <c r="A92" s="50">
        <f t="shared" si="24"/>
        <v>0</v>
      </c>
      <c r="B92" s="45" t="str">
        <f t="shared" ca="1" si="25"/>
        <v/>
      </c>
      <c r="C92" s="1" t="str">
        <f>IF(ISERROR(D92),"",IF(D92="","",MAX($C$66:C91)+1))</f>
        <v/>
      </c>
      <c r="D92" t="e">
        <f t="shared" si="26"/>
        <v>#N/A</v>
      </c>
      <c r="E92" s="22"/>
      <c r="F92" s="62" t="str">
        <f t="shared" ca="1" si="31"/>
        <v>N/A</v>
      </c>
      <c r="G92" s="62"/>
      <c r="H92" s="62" t="str">
        <f t="shared" si="28"/>
        <v>N/A</v>
      </c>
      <c r="I92" s="62" t="str">
        <f t="shared" si="29"/>
        <v>N/A</v>
      </c>
      <c r="J92" s="62" t="str">
        <f t="shared" si="32"/>
        <v>N/A</v>
      </c>
      <c r="K92" s="62" t="str">
        <f>IFERROR(IF(VLOOKUP(#REF!,LUCurYr,17,FALSE)=0,"",VLOOKUP(#REF!,LUCurYr,17,FALSE)),"N/A")</f>
        <v>N/A</v>
      </c>
      <c r="L92" s="62" t="str">
        <f t="shared" si="33"/>
        <v>N/A</v>
      </c>
      <c r="M92" s="62" t="str">
        <f ca="1">IFERROR(VLOOKUP($A92,LASTYR,'[3]2017'!$L$3,FALSE),"N/A")</f>
        <v>N/A</v>
      </c>
      <c r="N92" s="62" t="str">
        <f t="shared" ca="1" si="34"/>
        <v>N/A</v>
      </c>
      <c r="O92" s="62" t="str">
        <f t="shared" ca="1" si="35"/>
        <v>N/A</v>
      </c>
      <c r="P92" s="62" t="str">
        <f t="shared" ca="1" si="35"/>
        <v>N/A</v>
      </c>
      <c r="Q92" s="62" t="str">
        <f t="shared" ca="1" si="35"/>
        <v>N/A</v>
      </c>
      <c r="R92" s="62" t="str">
        <f t="shared" ca="1" si="35"/>
        <v>N/A</v>
      </c>
      <c r="S92" s="62" t="str">
        <f t="shared" ca="1" si="35"/>
        <v>N/A</v>
      </c>
      <c r="T92" s="62" t="str">
        <f t="shared" ca="1" si="35"/>
        <v>N/A</v>
      </c>
      <c r="U92" s="62" t="str">
        <f t="shared" ca="1" si="35"/>
        <v>N/A</v>
      </c>
      <c r="V92" s="62" t="str">
        <f t="shared" ca="1" si="35"/>
        <v>N/A</v>
      </c>
      <c r="W92" s="62" t="str">
        <f t="shared" ca="1" si="35"/>
        <v>N/A</v>
      </c>
      <c r="X92" s="62" t="str">
        <f t="shared" ca="1" si="35"/>
        <v>N/A</v>
      </c>
      <c r="Y92" s="62" t="str">
        <f t="shared" ca="1" si="35"/>
        <v>N/A</v>
      </c>
      <c r="Z92" s="62" t="str">
        <f t="shared" ca="1" si="35"/>
        <v>N/A</v>
      </c>
      <c r="AA92" s="62" t="str">
        <f t="shared" ca="1" si="35"/>
        <v>N/A</v>
      </c>
      <c r="AB92" s="62" t="str">
        <f t="shared" ca="1" si="35"/>
        <v>N/A</v>
      </c>
    </row>
    <row r="93" spans="1:28" hidden="1" x14ac:dyDescent="0.25">
      <c r="A93" s="50">
        <f t="shared" si="24"/>
        <v>0</v>
      </c>
      <c r="B93" s="45" t="str">
        <f t="shared" ca="1" si="25"/>
        <v/>
      </c>
      <c r="C93" s="1" t="str">
        <f>IF(ISERROR(D93),"",IF(D93="","",MAX($C$66:C92)+1))</f>
        <v/>
      </c>
      <c r="D93" t="e">
        <f t="shared" si="26"/>
        <v>#N/A</v>
      </c>
      <c r="E93" s="22"/>
      <c r="F93" s="62" t="str">
        <f t="shared" ca="1" si="31"/>
        <v>N/A</v>
      </c>
      <c r="G93" s="62"/>
      <c r="H93" s="62" t="str">
        <f t="shared" si="28"/>
        <v>N/A</v>
      </c>
      <c r="I93" s="62" t="str">
        <f t="shared" si="29"/>
        <v>N/A</v>
      </c>
      <c r="J93" s="62" t="str">
        <f t="shared" si="32"/>
        <v>N/A</v>
      </c>
      <c r="K93" s="62" t="str">
        <f>IFERROR(IF(VLOOKUP(#REF!,LUCurYr,17,FALSE)=0,"",VLOOKUP(#REF!,LUCurYr,17,FALSE)),"N/A")</f>
        <v>N/A</v>
      </c>
      <c r="L93" s="62" t="str">
        <f t="shared" si="33"/>
        <v>N/A</v>
      </c>
      <c r="M93" s="62" t="str">
        <f ca="1">IFERROR(VLOOKUP($A93,LASTYR,'[3]2017'!$L$3,FALSE),"N/A")</f>
        <v>N/A</v>
      </c>
      <c r="N93" s="62" t="str">
        <f t="shared" ca="1" si="34"/>
        <v>N/A</v>
      </c>
      <c r="O93" s="62" t="str">
        <f t="shared" ca="1" si="35"/>
        <v>N/A</v>
      </c>
      <c r="P93" s="62" t="str">
        <f t="shared" ca="1" si="35"/>
        <v>N/A</v>
      </c>
      <c r="Q93" s="62" t="str">
        <f t="shared" ca="1" si="35"/>
        <v>N/A</v>
      </c>
      <c r="R93" s="62" t="str">
        <f t="shared" ca="1" si="35"/>
        <v>N/A</v>
      </c>
      <c r="S93" s="62" t="str">
        <f t="shared" ca="1" si="35"/>
        <v>N/A</v>
      </c>
      <c r="T93" s="62" t="str">
        <f t="shared" ca="1" si="35"/>
        <v>N/A</v>
      </c>
      <c r="U93" s="62" t="str">
        <f t="shared" ca="1" si="35"/>
        <v>N/A</v>
      </c>
      <c r="V93" s="62" t="str">
        <f t="shared" ca="1" si="35"/>
        <v>N/A</v>
      </c>
      <c r="W93" s="62" t="str">
        <f t="shared" ca="1" si="35"/>
        <v>N/A</v>
      </c>
      <c r="X93" s="62" t="str">
        <f t="shared" ca="1" si="35"/>
        <v>N/A</v>
      </c>
      <c r="Y93" s="62" t="str">
        <f t="shared" ca="1" si="35"/>
        <v>N/A</v>
      </c>
      <c r="Z93" s="62" t="str">
        <f t="shared" ca="1" si="35"/>
        <v>N/A</v>
      </c>
      <c r="AA93" s="62" t="str">
        <f t="shared" ca="1" si="35"/>
        <v>N/A</v>
      </c>
      <c r="AB93" s="62" t="str">
        <f t="shared" ca="1" si="35"/>
        <v>N/A</v>
      </c>
    </row>
    <row r="94" spans="1:28" hidden="1" x14ac:dyDescent="0.25">
      <c r="A94" s="50">
        <f t="shared" si="24"/>
        <v>0</v>
      </c>
      <c r="B94" s="45" t="str">
        <f t="shared" ca="1" si="25"/>
        <v/>
      </c>
      <c r="C94" s="1" t="str">
        <f>IF(ISERROR(D94),"",IF(D94="","",MAX($C$66:C93)+1))</f>
        <v/>
      </c>
      <c r="D94" t="e">
        <f t="shared" si="26"/>
        <v>#N/A</v>
      </c>
      <c r="E94" s="22"/>
      <c r="F94" s="62" t="str">
        <f t="shared" ca="1" si="31"/>
        <v>N/A</v>
      </c>
      <c r="G94" s="62"/>
      <c r="H94" s="62" t="str">
        <f t="shared" si="28"/>
        <v>N/A</v>
      </c>
      <c r="I94" s="62" t="str">
        <f t="shared" si="29"/>
        <v>N/A</v>
      </c>
      <c r="J94" s="62" t="str">
        <f t="shared" si="32"/>
        <v>N/A</v>
      </c>
      <c r="K94" s="62" t="str">
        <f>IFERROR(IF(VLOOKUP(#REF!,LUCurYr,17,FALSE)=0,"",VLOOKUP(#REF!,LUCurYr,17,FALSE)),"N/A")</f>
        <v>N/A</v>
      </c>
      <c r="L94" s="62" t="str">
        <f t="shared" si="33"/>
        <v>N/A</v>
      </c>
      <c r="M94" s="62" t="str">
        <f ca="1">IFERROR(VLOOKUP($A94,LASTYR,'[3]2017'!$L$3,FALSE),"N/A")</f>
        <v>N/A</v>
      </c>
      <c r="N94" s="62" t="str">
        <f t="shared" ca="1" si="34"/>
        <v>N/A</v>
      </c>
      <c r="O94" s="62" t="str">
        <f t="shared" ca="1" si="35"/>
        <v>N/A</v>
      </c>
      <c r="P94" s="62" t="str">
        <f t="shared" ca="1" si="35"/>
        <v>N/A</v>
      </c>
      <c r="Q94" s="62" t="str">
        <f t="shared" ca="1" si="35"/>
        <v>N/A</v>
      </c>
      <c r="R94" s="62" t="str">
        <f t="shared" ca="1" si="35"/>
        <v>N/A</v>
      </c>
      <c r="S94" s="62" t="str">
        <f t="shared" ca="1" si="35"/>
        <v>N/A</v>
      </c>
      <c r="T94" s="62" t="str">
        <f t="shared" ca="1" si="35"/>
        <v>N/A</v>
      </c>
      <c r="U94" s="62" t="str">
        <f t="shared" ca="1" si="35"/>
        <v>N/A</v>
      </c>
      <c r="V94" s="62" t="str">
        <f t="shared" ca="1" si="35"/>
        <v>N/A</v>
      </c>
      <c r="W94" s="62" t="str">
        <f t="shared" ca="1" si="35"/>
        <v>N/A</v>
      </c>
      <c r="X94" s="62" t="str">
        <f t="shared" ca="1" si="35"/>
        <v>N/A</v>
      </c>
      <c r="Y94" s="62" t="str">
        <f t="shared" ca="1" si="35"/>
        <v>N/A</v>
      </c>
      <c r="Z94" s="62" t="str">
        <f t="shared" ca="1" si="35"/>
        <v>N/A</v>
      </c>
      <c r="AA94" s="62" t="str">
        <f t="shared" ca="1" si="35"/>
        <v>N/A</v>
      </c>
      <c r="AB94" s="62" t="str">
        <f t="shared" ca="1" si="35"/>
        <v>N/A</v>
      </c>
    </row>
    <row r="95" spans="1:28" hidden="1" x14ac:dyDescent="0.25">
      <c r="A95" s="50">
        <f t="shared" si="24"/>
        <v>0</v>
      </c>
      <c r="B95" s="45" t="str">
        <f t="shared" ca="1" si="25"/>
        <v/>
      </c>
      <c r="C95" s="1" t="str">
        <f>IF(ISERROR(D95),"",IF(D95="","",MAX($C$66:C94)+1))</f>
        <v/>
      </c>
      <c r="D95" t="e">
        <f t="shared" si="26"/>
        <v>#N/A</v>
      </c>
      <c r="E95" s="22"/>
      <c r="F95" s="62" t="str">
        <f t="shared" ca="1" si="31"/>
        <v>N/A</v>
      </c>
      <c r="G95" s="62"/>
      <c r="H95" s="62" t="str">
        <f t="shared" si="28"/>
        <v>N/A</v>
      </c>
      <c r="I95" s="62" t="str">
        <f t="shared" si="29"/>
        <v>N/A</v>
      </c>
      <c r="J95" s="62" t="str">
        <f t="shared" si="32"/>
        <v>N/A</v>
      </c>
      <c r="K95" s="62" t="str">
        <f>IFERROR(IF(VLOOKUP(#REF!,LUCurYr,17,FALSE)=0,"",VLOOKUP(#REF!,LUCurYr,17,FALSE)),"N/A")</f>
        <v>N/A</v>
      </c>
      <c r="L95" s="62" t="str">
        <f t="shared" si="33"/>
        <v>N/A</v>
      </c>
      <c r="M95" s="62" t="str">
        <f ca="1">IFERROR(VLOOKUP($A95,LASTYR,'[3]2017'!$L$3,FALSE),"N/A")</f>
        <v>N/A</v>
      </c>
      <c r="N95" s="62" t="str">
        <f t="shared" ca="1" si="34"/>
        <v>N/A</v>
      </c>
      <c r="O95" s="62" t="str">
        <f t="shared" ca="1" si="35"/>
        <v>N/A</v>
      </c>
      <c r="P95" s="62" t="str">
        <f t="shared" ca="1" si="35"/>
        <v>N/A</v>
      </c>
      <c r="Q95" s="62" t="str">
        <f t="shared" ca="1" si="35"/>
        <v>N/A</v>
      </c>
      <c r="R95" s="62" t="str">
        <f t="shared" ca="1" si="35"/>
        <v>N/A</v>
      </c>
      <c r="S95" s="62" t="str">
        <f t="shared" ca="1" si="35"/>
        <v>N/A</v>
      </c>
      <c r="T95" s="62" t="str">
        <f t="shared" ca="1" si="35"/>
        <v>N/A</v>
      </c>
      <c r="U95" s="62" t="str">
        <f t="shared" ca="1" si="35"/>
        <v>N/A</v>
      </c>
      <c r="V95" s="62" t="str">
        <f t="shared" ca="1" si="35"/>
        <v>N/A</v>
      </c>
      <c r="W95" s="62" t="str">
        <f t="shared" ca="1" si="35"/>
        <v>N/A</v>
      </c>
      <c r="X95" s="62" t="str">
        <f t="shared" ca="1" si="35"/>
        <v>N/A</v>
      </c>
      <c r="Y95" s="62" t="str">
        <f t="shared" ca="1" si="35"/>
        <v>N/A</v>
      </c>
      <c r="Z95" s="62" t="str">
        <f t="shared" ca="1" si="35"/>
        <v>N/A</v>
      </c>
      <c r="AA95" s="62" t="str">
        <f t="shared" ca="1" si="35"/>
        <v>N/A</v>
      </c>
      <c r="AB95" s="62" t="str">
        <f t="shared" ca="1" si="35"/>
        <v>N/A</v>
      </c>
    </row>
    <row r="96" spans="1:28" hidden="1" x14ac:dyDescent="0.25">
      <c r="A96" s="50">
        <f t="shared" si="24"/>
        <v>0</v>
      </c>
      <c r="B96" s="45" t="str">
        <f t="shared" ca="1" si="25"/>
        <v/>
      </c>
      <c r="C96" s="1" t="str">
        <f>IF(ISERROR(D96),"",IF(D96="","",MAX($C$66:C95)+1))</f>
        <v/>
      </c>
      <c r="D96" t="e">
        <f t="shared" si="26"/>
        <v>#N/A</v>
      </c>
      <c r="E96" s="22"/>
      <c r="F96" s="62" t="str">
        <f t="shared" ca="1" si="31"/>
        <v>N/A</v>
      </c>
      <c r="G96" s="62"/>
      <c r="H96" s="62" t="str">
        <f t="shared" si="28"/>
        <v>N/A</v>
      </c>
      <c r="I96" s="62" t="str">
        <f t="shared" si="29"/>
        <v>N/A</v>
      </c>
      <c r="J96" s="62" t="str">
        <f t="shared" si="32"/>
        <v>N/A</v>
      </c>
      <c r="K96" s="62" t="str">
        <f>IFERROR(IF(VLOOKUP(#REF!,LUCurYr,17,FALSE)=0,"",VLOOKUP(#REF!,LUCurYr,17,FALSE)),"N/A")</f>
        <v>N/A</v>
      </c>
      <c r="L96" s="62" t="str">
        <f t="shared" si="33"/>
        <v>N/A</v>
      </c>
      <c r="M96" s="62" t="str">
        <f ca="1">IFERROR(VLOOKUP($A96,LASTYR,'[3]2017'!$L$3,FALSE),"N/A")</f>
        <v>N/A</v>
      </c>
      <c r="N96" s="62" t="str">
        <f t="shared" ca="1" si="34"/>
        <v>N/A</v>
      </c>
      <c r="O96" s="62" t="str">
        <f t="shared" ca="1" si="35"/>
        <v>N/A</v>
      </c>
      <c r="P96" s="62" t="str">
        <f t="shared" ca="1" si="35"/>
        <v>N/A</v>
      </c>
      <c r="Q96" s="62" t="str">
        <f t="shared" ca="1" si="35"/>
        <v>N/A</v>
      </c>
      <c r="R96" s="62" t="str">
        <f t="shared" ca="1" si="35"/>
        <v>N/A</v>
      </c>
      <c r="S96" s="62" t="str">
        <f t="shared" ca="1" si="35"/>
        <v>N/A</v>
      </c>
      <c r="T96" s="62" t="str">
        <f t="shared" ca="1" si="35"/>
        <v>N/A</v>
      </c>
      <c r="U96" s="62" t="str">
        <f t="shared" ca="1" si="35"/>
        <v>N/A</v>
      </c>
      <c r="V96" s="62" t="str">
        <f t="shared" ca="1" si="35"/>
        <v>N/A</v>
      </c>
      <c r="W96" s="62" t="str">
        <f t="shared" ca="1" si="35"/>
        <v>N/A</v>
      </c>
      <c r="X96" s="62" t="str">
        <f t="shared" ca="1" si="35"/>
        <v>N/A</v>
      </c>
      <c r="Y96" s="62" t="str">
        <f t="shared" ca="1" si="35"/>
        <v>N/A</v>
      </c>
      <c r="Z96" s="62" t="str">
        <f t="shared" ca="1" si="35"/>
        <v>N/A</v>
      </c>
      <c r="AA96" s="62" t="str">
        <f t="shared" ca="1" si="35"/>
        <v>N/A</v>
      </c>
      <c r="AB96" s="62" t="str">
        <f t="shared" ca="1" si="35"/>
        <v>N/A</v>
      </c>
    </row>
    <row r="97" spans="1:28" hidden="1" x14ac:dyDescent="0.25">
      <c r="A97" s="50">
        <f t="shared" si="24"/>
        <v>0</v>
      </c>
      <c r="B97" s="45" t="str">
        <f t="shared" ca="1" si="25"/>
        <v/>
      </c>
      <c r="C97" s="1" t="str">
        <f>IF(ISERROR(D97),"",IF(D97="","",MAX($C$66:C96)+1))</f>
        <v/>
      </c>
      <c r="D97" t="e">
        <f t="shared" si="26"/>
        <v>#N/A</v>
      </c>
      <c r="E97" s="22"/>
      <c r="F97" s="62" t="str">
        <f t="shared" ca="1" si="31"/>
        <v>N/A</v>
      </c>
      <c r="G97" s="62"/>
      <c r="H97" s="62" t="str">
        <f t="shared" si="28"/>
        <v>N/A</v>
      </c>
      <c r="I97" s="62" t="str">
        <f t="shared" si="29"/>
        <v>N/A</v>
      </c>
      <c r="J97" s="62" t="str">
        <f t="shared" si="32"/>
        <v>N/A</v>
      </c>
      <c r="K97" s="62" t="str">
        <f>IFERROR(IF(VLOOKUP(#REF!,LUCurYr,17,FALSE)=0,"",VLOOKUP(#REF!,LUCurYr,17,FALSE)),"N/A")</f>
        <v>N/A</v>
      </c>
      <c r="L97" s="62" t="str">
        <f t="shared" si="33"/>
        <v>N/A</v>
      </c>
      <c r="M97" s="62" t="str">
        <f ca="1">IFERROR(VLOOKUP($A97,LASTYR,'[3]2017'!$L$3,FALSE),"N/A")</f>
        <v>N/A</v>
      </c>
      <c r="N97" s="62" t="str">
        <f t="shared" ca="1" si="34"/>
        <v>N/A</v>
      </c>
      <c r="O97" s="62" t="str">
        <f t="shared" ca="1" si="35"/>
        <v>N/A</v>
      </c>
      <c r="P97" s="62" t="str">
        <f t="shared" ca="1" si="35"/>
        <v>N/A</v>
      </c>
      <c r="Q97" s="62" t="str">
        <f t="shared" ca="1" si="35"/>
        <v>N/A</v>
      </c>
      <c r="R97" s="62" t="str">
        <f t="shared" ca="1" si="35"/>
        <v>N/A</v>
      </c>
      <c r="S97" s="62" t="str">
        <f t="shared" ca="1" si="35"/>
        <v>N/A</v>
      </c>
      <c r="T97" s="62" t="str">
        <f t="shared" ca="1" si="35"/>
        <v>N/A</v>
      </c>
      <c r="U97" s="62" t="str">
        <f t="shared" ca="1" si="35"/>
        <v>N/A</v>
      </c>
      <c r="V97" s="62" t="str">
        <f t="shared" ca="1" si="35"/>
        <v>N/A</v>
      </c>
      <c r="W97" s="62" t="str">
        <f t="shared" ca="1" si="35"/>
        <v>N/A</v>
      </c>
      <c r="X97" s="62" t="str">
        <f t="shared" ca="1" si="35"/>
        <v>N/A</v>
      </c>
      <c r="Y97" s="62" t="str">
        <f t="shared" ca="1" si="35"/>
        <v>N/A</v>
      </c>
      <c r="Z97" s="62" t="str">
        <f t="shared" ca="1" si="35"/>
        <v>N/A</v>
      </c>
      <c r="AA97" s="62" t="str">
        <f t="shared" ca="1" si="35"/>
        <v>N/A</v>
      </c>
      <c r="AB97" s="62" t="str">
        <f t="shared" ca="1" si="35"/>
        <v>N/A</v>
      </c>
    </row>
    <row r="98" spans="1:28" hidden="1" x14ac:dyDescent="0.25">
      <c r="A98" s="50">
        <f t="shared" si="24"/>
        <v>0</v>
      </c>
      <c r="B98" s="45" t="str">
        <f t="shared" ca="1" si="25"/>
        <v/>
      </c>
      <c r="C98" s="1" t="str">
        <f>IF(ISERROR(D98),"",IF(D98="","",MAX($C$66:C97)+1))</f>
        <v/>
      </c>
      <c r="D98" t="e">
        <f t="shared" si="26"/>
        <v>#N/A</v>
      </c>
      <c r="E98" s="22"/>
      <c r="F98" s="62" t="str">
        <f t="shared" ca="1" si="31"/>
        <v>N/A</v>
      </c>
      <c r="G98" s="62"/>
      <c r="H98" s="62" t="str">
        <f t="shared" si="28"/>
        <v>N/A</v>
      </c>
      <c r="I98" s="62" t="str">
        <f t="shared" si="29"/>
        <v>N/A</v>
      </c>
      <c r="J98" s="62" t="str">
        <f t="shared" si="32"/>
        <v>N/A</v>
      </c>
      <c r="K98" s="62" t="str">
        <f>IFERROR(IF(VLOOKUP(#REF!,LUCurYr,17,FALSE)=0,"",VLOOKUP(#REF!,LUCurYr,17,FALSE)),"N/A")</f>
        <v>N/A</v>
      </c>
      <c r="L98" s="62" t="str">
        <f t="shared" si="33"/>
        <v>N/A</v>
      </c>
      <c r="M98" s="62" t="str">
        <f ca="1">IFERROR(VLOOKUP($A98,LASTYR,'[3]2017'!$L$3,FALSE),"N/A")</f>
        <v>N/A</v>
      </c>
      <c r="N98" s="62" t="str">
        <f t="shared" ca="1" si="34"/>
        <v>N/A</v>
      </c>
      <c r="O98" s="62" t="str">
        <f t="shared" ca="1" si="35"/>
        <v>N/A</v>
      </c>
      <c r="P98" s="62" t="str">
        <f t="shared" ca="1" si="35"/>
        <v>N/A</v>
      </c>
      <c r="Q98" s="62" t="str">
        <f t="shared" ca="1" si="35"/>
        <v>N/A</v>
      </c>
      <c r="R98" s="62" t="str">
        <f t="shared" ca="1" si="35"/>
        <v>N/A</v>
      </c>
      <c r="S98" s="62" t="str">
        <f t="shared" ca="1" si="35"/>
        <v>N/A</v>
      </c>
      <c r="T98" s="62" t="str">
        <f t="shared" ca="1" si="35"/>
        <v>N/A</v>
      </c>
      <c r="U98" s="62" t="str">
        <f t="shared" ca="1" si="35"/>
        <v>N/A</v>
      </c>
      <c r="V98" s="62" t="str">
        <f t="shared" ca="1" si="35"/>
        <v>N/A</v>
      </c>
      <c r="W98" s="62" t="str">
        <f t="shared" ca="1" si="35"/>
        <v>N/A</v>
      </c>
      <c r="X98" s="62" t="str">
        <f t="shared" ca="1" si="35"/>
        <v>N/A</v>
      </c>
      <c r="Y98" s="62" t="str">
        <f t="shared" ca="1" si="35"/>
        <v>N/A</v>
      </c>
      <c r="Z98" s="62" t="str">
        <f t="shared" ca="1" si="35"/>
        <v>N/A</v>
      </c>
      <c r="AA98" s="62" t="str">
        <f t="shared" ca="1" si="35"/>
        <v>N/A</v>
      </c>
      <c r="AB98" s="62" t="str">
        <f t="shared" ca="1" si="35"/>
        <v>N/A</v>
      </c>
    </row>
    <row r="99" spans="1:28" hidden="1" x14ac:dyDescent="0.25">
      <c r="A99" s="50">
        <f t="shared" si="24"/>
        <v>0</v>
      </c>
      <c r="B99" s="45" t="str">
        <f t="shared" ca="1" si="25"/>
        <v/>
      </c>
      <c r="C99" s="1" t="str">
        <f>IF(ISERROR(D99),"",IF(D99="","",MAX($C$66:C98)+1))</f>
        <v/>
      </c>
      <c r="D99" t="e">
        <f t="shared" si="26"/>
        <v>#N/A</v>
      </c>
      <c r="E99" s="22"/>
      <c r="F99" s="62" t="str">
        <f t="shared" ca="1" si="31"/>
        <v>N/A</v>
      </c>
      <c r="G99" s="62"/>
      <c r="H99" s="62" t="str">
        <f t="shared" si="28"/>
        <v>N/A</v>
      </c>
      <c r="I99" s="62" t="str">
        <f t="shared" si="29"/>
        <v>N/A</v>
      </c>
      <c r="J99" s="62" t="str">
        <f t="shared" si="32"/>
        <v>N/A</v>
      </c>
      <c r="K99" s="62" t="str">
        <f>IFERROR(IF(VLOOKUP(#REF!,LUCurYr,17,FALSE)=0,"",VLOOKUP(#REF!,LUCurYr,17,FALSE)),"N/A")</f>
        <v>N/A</v>
      </c>
      <c r="L99" s="62" t="str">
        <f t="shared" si="33"/>
        <v>N/A</v>
      </c>
      <c r="M99" s="62" t="str">
        <f ca="1">IFERROR(VLOOKUP($A99,LASTYR,'[3]2017'!$L$3,FALSE),"N/A")</f>
        <v>N/A</v>
      </c>
      <c r="N99" s="62" t="str">
        <f t="shared" ca="1" si="34"/>
        <v>N/A</v>
      </c>
      <c r="O99" s="62" t="str">
        <f t="shared" ca="1" si="35"/>
        <v>N/A</v>
      </c>
      <c r="P99" s="62" t="str">
        <f t="shared" ca="1" si="35"/>
        <v>N/A</v>
      </c>
      <c r="Q99" s="62" t="str">
        <f t="shared" ca="1" si="35"/>
        <v>N/A</v>
      </c>
      <c r="R99" s="62" t="str">
        <f t="shared" ca="1" si="35"/>
        <v>N/A</v>
      </c>
      <c r="S99" s="62" t="str">
        <f t="shared" ca="1" si="35"/>
        <v>N/A</v>
      </c>
      <c r="T99" s="62" t="str">
        <f t="shared" ca="1" si="35"/>
        <v>N/A</v>
      </c>
      <c r="U99" s="62" t="str">
        <f t="shared" ca="1" si="35"/>
        <v>N/A</v>
      </c>
      <c r="V99" s="62" t="str">
        <f t="shared" ca="1" si="35"/>
        <v>N/A</v>
      </c>
      <c r="W99" s="62" t="str">
        <f t="shared" ca="1" si="35"/>
        <v>N/A</v>
      </c>
      <c r="X99" s="62" t="str">
        <f t="shared" ca="1" si="35"/>
        <v>N/A</v>
      </c>
      <c r="Y99" s="62" t="str">
        <f t="shared" ca="1" si="35"/>
        <v>N/A</v>
      </c>
      <c r="Z99" s="62" t="str">
        <f t="shared" ca="1" si="35"/>
        <v>N/A</v>
      </c>
      <c r="AA99" s="62" t="str">
        <f t="shared" ca="1" si="35"/>
        <v>N/A</v>
      </c>
      <c r="AB99" s="62" t="str">
        <f t="shared" ca="1" si="35"/>
        <v>N/A</v>
      </c>
    </row>
    <row r="100" spans="1:28" hidden="1" x14ac:dyDescent="0.25">
      <c r="A100" s="50">
        <f t="shared" si="24"/>
        <v>0</v>
      </c>
      <c r="B100" s="45" t="str">
        <f t="shared" ca="1" si="25"/>
        <v/>
      </c>
      <c r="C100" s="1" t="str">
        <f>IF(ISERROR(D100),"",IF(D100="","",MAX($C$66:C99)+1))</f>
        <v/>
      </c>
      <c r="D100" t="e">
        <f t="shared" si="26"/>
        <v>#N/A</v>
      </c>
      <c r="E100" s="22"/>
      <c r="F100" s="62" t="str">
        <f t="shared" ca="1" si="31"/>
        <v>N/A</v>
      </c>
      <c r="G100" s="62"/>
      <c r="H100" s="62" t="str">
        <f t="shared" si="28"/>
        <v>N/A</v>
      </c>
      <c r="I100" s="62" t="str">
        <f t="shared" si="29"/>
        <v>N/A</v>
      </c>
      <c r="J100" s="62" t="str">
        <f t="shared" si="32"/>
        <v>N/A</v>
      </c>
      <c r="K100" s="62" t="str">
        <f>IFERROR(IF(VLOOKUP(#REF!,LUCurYr,17,FALSE)=0,"",VLOOKUP(#REF!,LUCurYr,17,FALSE)),"N/A")</f>
        <v>N/A</v>
      </c>
      <c r="L100" s="62" t="str">
        <f t="shared" si="33"/>
        <v>N/A</v>
      </c>
      <c r="M100" s="62" t="str">
        <f ca="1">IFERROR(VLOOKUP($A100,LASTYR,'[3]2017'!$L$3,FALSE),"N/A")</f>
        <v>N/A</v>
      </c>
      <c r="N100" s="62" t="str">
        <f t="shared" ca="1" si="34"/>
        <v>N/A</v>
      </c>
      <c r="O100" s="62" t="str">
        <f t="shared" ca="1" si="35"/>
        <v>N/A</v>
      </c>
      <c r="P100" s="62" t="str">
        <f t="shared" ca="1" si="35"/>
        <v>N/A</v>
      </c>
      <c r="Q100" s="62" t="str">
        <f t="shared" ca="1" si="35"/>
        <v>N/A</v>
      </c>
      <c r="R100" s="62" t="str">
        <f t="shared" ca="1" si="35"/>
        <v>N/A</v>
      </c>
      <c r="S100" s="62" t="str">
        <f t="shared" ca="1" si="35"/>
        <v>N/A</v>
      </c>
      <c r="T100" s="62" t="str">
        <f t="shared" ca="1" si="35"/>
        <v>N/A</v>
      </c>
      <c r="U100" s="62" t="str">
        <f t="shared" ca="1" si="35"/>
        <v>N/A</v>
      </c>
      <c r="V100" s="62" t="str">
        <f t="shared" ca="1" si="35"/>
        <v>N/A</v>
      </c>
      <c r="W100" s="62" t="str">
        <f t="shared" ca="1" si="35"/>
        <v>N/A</v>
      </c>
      <c r="X100" s="62" t="str">
        <f t="shared" ca="1" si="35"/>
        <v>N/A</v>
      </c>
      <c r="Y100" s="62" t="str">
        <f t="shared" ca="1" si="35"/>
        <v>N/A</v>
      </c>
      <c r="Z100" s="62" t="str">
        <f t="shared" ca="1" si="35"/>
        <v>N/A</v>
      </c>
      <c r="AA100" s="62" t="str">
        <f t="shared" ca="1" si="35"/>
        <v>N/A</v>
      </c>
      <c r="AB100" s="62" t="str">
        <f t="shared" ca="1" si="35"/>
        <v>N/A</v>
      </c>
    </row>
    <row r="101" spans="1:28" hidden="1" x14ac:dyDescent="0.25">
      <c r="A101" s="50">
        <f t="shared" si="24"/>
        <v>0</v>
      </c>
      <c r="B101" s="45" t="str">
        <f t="shared" ca="1" si="25"/>
        <v/>
      </c>
      <c r="C101" s="1" t="str">
        <f>IF(ISERROR(D101),"",IF(D101="","",MAX($C$66:C100)+1))</f>
        <v/>
      </c>
      <c r="D101" t="e">
        <f t="shared" si="26"/>
        <v>#N/A</v>
      </c>
      <c r="E101" s="22"/>
      <c r="F101" s="62" t="str">
        <f t="shared" ca="1" si="31"/>
        <v>N/A</v>
      </c>
      <c r="G101" s="62"/>
      <c r="H101" s="62" t="str">
        <f t="shared" si="28"/>
        <v>N/A</v>
      </c>
      <c r="I101" s="62" t="str">
        <f t="shared" si="29"/>
        <v>N/A</v>
      </c>
      <c r="J101" s="62" t="str">
        <f t="shared" si="32"/>
        <v>N/A</v>
      </c>
      <c r="K101" s="62" t="str">
        <f>IFERROR(IF(VLOOKUP(#REF!,LUCurYr,17,FALSE)=0,"",VLOOKUP(#REF!,LUCurYr,17,FALSE)),"N/A")</f>
        <v>N/A</v>
      </c>
      <c r="L101" s="62" t="str">
        <f t="shared" si="33"/>
        <v>N/A</v>
      </c>
      <c r="M101" s="62" t="str">
        <f ca="1">IFERROR(VLOOKUP($A101,LASTYR,'[3]2017'!$L$3,FALSE),"N/A")</f>
        <v>N/A</v>
      </c>
      <c r="N101" s="62" t="str">
        <f t="shared" ca="1" si="34"/>
        <v>N/A</v>
      </c>
      <c r="O101" s="62" t="str">
        <f t="shared" ca="1" si="35"/>
        <v>N/A</v>
      </c>
      <c r="P101" s="62" t="str">
        <f t="shared" ca="1" si="35"/>
        <v>N/A</v>
      </c>
      <c r="Q101" s="62" t="str">
        <f t="shared" ca="1" si="35"/>
        <v>N/A</v>
      </c>
      <c r="R101" s="62" t="str">
        <f t="shared" ca="1" si="35"/>
        <v>N/A</v>
      </c>
      <c r="S101" s="62" t="str">
        <f t="shared" ca="1" si="35"/>
        <v>N/A</v>
      </c>
      <c r="T101" s="62" t="str">
        <f t="shared" ca="1" si="35"/>
        <v>N/A</v>
      </c>
      <c r="U101" s="62" t="str">
        <f t="shared" ca="1" si="35"/>
        <v>N/A</v>
      </c>
      <c r="V101" s="62" t="str">
        <f t="shared" ca="1" si="35"/>
        <v>N/A</v>
      </c>
      <c r="W101" s="62" t="str">
        <f t="shared" ca="1" si="35"/>
        <v>N/A</v>
      </c>
      <c r="X101" s="62" t="str">
        <f t="shared" ca="1" si="35"/>
        <v>N/A</v>
      </c>
      <c r="Y101" s="62" t="str">
        <f t="shared" ca="1" si="35"/>
        <v>N/A</v>
      </c>
      <c r="Z101" s="62" t="str">
        <f t="shared" ca="1" si="35"/>
        <v>N/A</v>
      </c>
      <c r="AA101" s="62" t="str">
        <f t="shared" ca="1" si="35"/>
        <v>N/A</v>
      </c>
      <c r="AB101" s="62" t="str">
        <f t="shared" ca="1" si="35"/>
        <v>N/A</v>
      </c>
    </row>
    <row r="102" spans="1:28" hidden="1" x14ac:dyDescent="0.25">
      <c r="A102" s="50">
        <f t="shared" si="24"/>
        <v>0</v>
      </c>
      <c r="B102" s="45" t="str">
        <f t="shared" ca="1" si="25"/>
        <v/>
      </c>
      <c r="C102" s="1" t="str">
        <f>IF(ISERROR(D102),"",IF(D102="","",MAX($C$66:C101)+1))</f>
        <v/>
      </c>
      <c r="D102" t="e">
        <f t="shared" si="26"/>
        <v>#N/A</v>
      </c>
      <c r="E102" s="22"/>
      <c r="F102" s="62" t="str">
        <f t="shared" ca="1" si="31"/>
        <v>N/A</v>
      </c>
      <c r="G102" s="62"/>
      <c r="H102" s="62" t="str">
        <f t="shared" si="28"/>
        <v>N/A</v>
      </c>
      <c r="I102" s="62" t="str">
        <f t="shared" si="29"/>
        <v>N/A</v>
      </c>
      <c r="J102" s="62" t="str">
        <f t="shared" si="32"/>
        <v>N/A</v>
      </c>
      <c r="K102" s="62" t="str">
        <f>IFERROR(IF(VLOOKUP(#REF!,LUCurYr,17,FALSE)=0,"",VLOOKUP(#REF!,LUCurYr,17,FALSE)),"N/A")</f>
        <v>N/A</v>
      </c>
      <c r="L102" s="62" t="str">
        <f t="shared" si="33"/>
        <v>N/A</v>
      </c>
      <c r="M102" s="62" t="str">
        <f ca="1">IFERROR(VLOOKUP($A102,LASTYR,'[3]2017'!$L$3,FALSE),"N/A")</f>
        <v>N/A</v>
      </c>
      <c r="N102" s="62" t="str">
        <f t="shared" ca="1" si="34"/>
        <v>N/A</v>
      </c>
      <c r="O102" s="62" t="str">
        <f t="shared" ca="1" si="35"/>
        <v>N/A</v>
      </c>
      <c r="P102" s="62" t="str">
        <f t="shared" ca="1" si="35"/>
        <v>N/A</v>
      </c>
      <c r="Q102" s="62" t="str">
        <f t="shared" ca="1" si="35"/>
        <v>N/A</v>
      </c>
      <c r="R102" s="62" t="str">
        <f t="shared" ref="R102:AB102" ca="1" si="36">IFERROR(IF(INDEX(MP_CF_WP,$B102,R$67)=0,"N/A",INDEX(MP_CF_WP,$B102,R$67)),"N/A")</f>
        <v>N/A</v>
      </c>
      <c r="S102" s="62" t="str">
        <f t="shared" ca="1" si="36"/>
        <v>N/A</v>
      </c>
      <c r="T102" s="62" t="str">
        <f t="shared" ca="1" si="36"/>
        <v>N/A</v>
      </c>
      <c r="U102" s="62" t="str">
        <f t="shared" ca="1" si="36"/>
        <v>N/A</v>
      </c>
      <c r="V102" s="62" t="str">
        <f t="shared" ca="1" si="36"/>
        <v>N/A</v>
      </c>
      <c r="W102" s="62" t="str">
        <f t="shared" ca="1" si="36"/>
        <v>N/A</v>
      </c>
      <c r="X102" s="62" t="str">
        <f t="shared" ca="1" si="36"/>
        <v>N/A</v>
      </c>
      <c r="Y102" s="62" t="str">
        <f t="shared" ca="1" si="36"/>
        <v>N/A</v>
      </c>
      <c r="Z102" s="62" t="str">
        <f t="shared" ca="1" si="36"/>
        <v>N/A</v>
      </c>
      <c r="AA102" s="62" t="str">
        <f t="shared" ca="1" si="36"/>
        <v>N/A</v>
      </c>
      <c r="AB102" s="62" t="str">
        <f t="shared" ca="1" si="36"/>
        <v>N/A</v>
      </c>
    </row>
    <row r="103" spans="1:28" hidden="1" x14ac:dyDescent="0.25">
      <c r="A103" s="50">
        <f t="shared" si="24"/>
        <v>0</v>
      </c>
      <c r="B103" s="45" t="str">
        <f t="shared" ca="1" si="25"/>
        <v/>
      </c>
      <c r="C103" s="1" t="str">
        <f>IF(ISERROR(D103),"",IF(D103="","",MAX($C$66:C102)+1))</f>
        <v/>
      </c>
      <c r="D103" t="e">
        <f t="shared" si="26"/>
        <v>#N/A</v>
      </c>
      <c r="E103" s="22"/>
      <c r="F103" s="62" t="str">
        <f t="shared" ca="1" si="31"/>
        <v>N/A</v>
      </c>
      <c r="G103" s="62"/>
      <c r="H103" s="62" t="str">
        <f t="shared" si="28"/>
        <v>N/A</v>
      </c>
      <c r="I103" s="62" t="str">
        <f t="shared" si="29"/>
        <v>N/A</v>
      </c>
      <c r="J103" s="62" t="str">
        <f t="shared" si="32"/>
        <v>N/A</v>
      </c>
      <c r="K103" s="62" t="str">
        <f>IFERROR(IF(VLOOKUP(#REF!,LUCurYr,17,FALSE)=0,"",VLOOKUP(#REF!,LUCurYr,17,FALSE)),"N/A")</f>
        <v>N/A</v>
      </c>
      <c r="L103" s="62" t="str">
        <f t="shared" si="33"/>
        <v>N/A</v>
      </c>
      <c r="M103" s="62" t="str">
        <f ca="1">IFERROR(VLOOKUP($A103,LASTYR,'[3]2017'!$L$3,FALSE),"N/A")</f>
        <v>N/A</v>
      </c>
      <c r="N103" s="62" t="str">
        <f t="shared" ca="1" si="34"/>
        <v>N/A</v>
      </c>
      <c r="O103" s="62" t="str">
        <f t="shared" ref="O103:AB112" ca="1" si="37">IFERROR(IF(INDEX(MP_CF_WP,$B103,O$67)=0,"N/A",INDEX(MP_CF_WP,$B103,O$67)),"N/A")</f>
        <v>N/A</v>
      </c>
      <c r="P103" s="62" t="str">
        <f t="shared" ca="1" si="37"/>
        <v>N/A</v>
      </c>
      <c r="Q103" s="62" t="str">
        <f t="shared" ca="1" si="37"/>
        <v>N/A</v>
      </c>
      <c r="R103" s="62" t="str">
        <f t="shared" ca="1" si="37"/>
        <v>N/A</v>
      </c>
      <c r="S103" s="62" t="str">
        <f t="shared" ca="1" si="37"/>
        <v>N/A</v>
      </c>
      <c r="T103" s="62" t="str">
        <f t="shared" ca="1" si="37"/>
        <v>N/A</v>
      </c>
      <c r="U103" s="62" t="str">
        <f t="shared" ca="1" si="37"/>
        <v>N/A</v>
      </c>
      <c r="V103" s="62" t="str">
        <f t="shared" ca="1" si="37"/>
        <v>N/A</v>
      </c>
      <c r="W103" s="62" t="str">
        <f t="shared" ca="1" si="37"/>
        <v>N/A</v>
      </c>
      <c r="X103" s="62" t="str">
        <f t="shared" ca="1" si="37"/>
        <v>N/A</v>
      </c>
      <c r="Y103" s="62" t="str">
        <f t="shared" ca="1" si="37"/>
        <v>N/A</v>
      </c>
      <c r="Z103" s="62" t="str">
        <f t="shared" ca="1" si="37"/>
        <v>N/A</v>
      </c>
      <c r="AA103" s="62" t="str">
        <f t="shared" ca="1" si="37"/>
        <v>N/A</v>
      </c>
      <c r="AB103" s="62" t="str">
        <f t="shared" ca="1" si="37"/>
        <v>N/A</v>
      </c>
    </row>
    <row r="104" spans="1:28" hidden="1" x14ac:dyDescent="0.25">
      <c r="A104" s="50">
        <f t="shared" si="24"/>
        <v>0</v>
      </c>
      <c r="B104" s="45" t="str">
        <f t="shared" ca="1" si="25"/>
        <v/>
      </c>
      <c r="C104" s="1" t="str">
        <f>IF(ISERROR(D104),"",IF(D104="","",MAX($C$66:C103)+1))</f>
        <v/>
      </c>
      <c r="D104" t="e">
        <f t="shared" si="26"/>
        <v>#N/A</v>
      </c>
      <c r="E104" s="22"/>
      <c r="F104" s="62" t="str">
        <f t="shared" ca="1" si="31"/>
        <v>N/A</v>
      </c>
      <c r="G104" s="62"/>
      <c r="H104" s="62" t="str">
        <f t="shared" si="28"/>
        <v>N/A</v>
      </c>
      <c r="I104" s="62" t="str">
        <f t="shared" si="29"/>
        <v>N/A</v>
      </c>
      <c r="J104" s="62" t="str">
        <f t="shared" si="32"/>
        <v>N/A</v>
      </c>
      <c r="K104" s="62" t="str">
        <f>IFERROR(IF(VLOOKUP(#REF!,LUCurYr,17,FALSE)=0,"",VLOOKUP(#REF!,LUCurYr,17,FALSE)),"N/A")</f>
        <v>N/A</v>
      </c>
      <c r="L104" s="62" t="str">
        <f t="shared" si="33"/>
        <v>N/A</v>
      </c>
      <c r="M104" s="62" t="str">
        <f ca="1">IFERROR(VLOOKUP($A104,LASTYR,'[3]2017'!$L$3,FALSE),"N/A")</f>
        <v>N/A</v>
      </c>
      <c r="N104" s="62" t="str">
        <f t="shared" ca="1" si="34"/>
        <v>N/A</v>
      </c>
      <c r="O104" s="62" t="str">
        <f t="shared" ca="1" si="37"/>
        <v>N/A</v>
      </c>
      <c r="P104" s="62" t="str">
        <f t="shared" ca="1" si="37"/>
        <v>N/A</v>
      </c>
      <c r="Q104" s="62" t="str">
        <f t="shared" ca="1" si="37"/>
        <v>N/A</v>
      </c>
      <c r="R104" s="62" t="str">
        <f t="shared" ca="1" si="37"/>
        <v>N/A</v>
      </c>
      <c r="S104" s="62" t="str">
        <f t="shared" ca="1" si="37"/>
        <v>N/A</v>
      </c>
      <c r="T104" s="62" t="str">
        <f t="shared" ca="1" si="37"/>
        <v>N/A</v>
      </c>
      <c r="U104" s="62" t="str">
        <f t="shared" ca="1" si="37"/>
        <v>N/A</v>
      </c>
      <c r="V104" s="62" t="str">
        <f t="shared" ca="1" si="37"/>
        <v>N/A</v>
      </c>
      <c r="W104" s="62" t="str">
        <f t="shared" ca="1" si="37"/>
        <v>N/A</v>
      </c>
      <c r="X104" s="62" t="str">
        <f t="shared" ca="1" si="37"/>
        <v>N/A</v>
      </c>
      <c r="Y104" s="62" t="str">
        <f t="shared" ca="1" si="37"/>
        <v>N/A</v>
      </c>
      <c r="Z104" s="62" t="str">
        <f t="shared" ca="1" si="37"/>
        <v>N/A</v>
      </c>
      <c r="AA104" s="62" t="str">
        <f t="shared" ca="1" si="37"/>
        <v>N/A</v>
      </c>
      <c r="AB104" s="62" t="str">
        <f t="shared" ca="1" si="37"/>
        <v>N/A</v>
      </c>
    </row>
    <row r="105" spans="1:28" hidden="1" x14ac:dyDescent="0.25">
      <c r="A105" s="50">
        <f t="shared" si="24"/>
        <v>0</v>
      </c>
      <c r="B105" s="45" t="str">
        <f t="shared" ca="1" si="25"/>
        <v/>
      </c>
      <c r="C105" s="1" t="str">
        <f>IF(ISERROR(D105),"",IF(D105="","",MAX($C$66:C104)+1))</f>
        <v/>
      </c>
      <c r="D105" t="e">
        <f t="shared" si="26"/>
        <v>#N/A</v>
      </c>
      <c r="E105" s="22"/>
      <c r="F105" s="62" t="str">
        <f t="shared" ca="1" si="31"/>
        <v>N/A</v>
      </c>
      <c r="G105" s="62"/>
      <c r="H105" s="62" t="str">
        <f t="shared" si="28"/>
        <v>N/A</v>
      </c>
      <c r="I105" s="62" t="str">
        <f t="shared" si="29"/>
        <v>N/A</v>
      </c>
      <c r="J105" s="62" t="str">
        <f t="shared" si="32"/>
        <v>N/A</v>
      </c>
      <c r="K105" s="62" t="str">
        <f>IFERROR(IF(VLOOKUP(#REF!,LUCurYr,17,FALSE)=0,"",VLOOKUP(#REF!,LUCurYr,17,FALSE)),"N/A")</f>
        <v>N/A</v>
      </c>
      <c r="L105" s="62" t="str">
        <f t="shared" si="33"/>
        <v>N/A</v>
      </c>
      <c r="M105" s="62" t="str">
        <f ca="1">IFERROR(VLOOKUP($A105,LASTYR,'[3]2017'!$L$3,FALSE),"N/A")</f>
        <v>N/A</v>
      </c>
      <c r="N105" s="62" t="str">
        <f t="shared" ca="1" si="34"/>
        <v>N/A</v>
      </c>
      <c r="O105" s="62" t="str">
        <f t="shared" ca="1" si="37"/>
        <v>N/A</v>
      </c>
      <c r="P105" s="62" t="str">
        <f t="shared" ca="1" si="37"/>
        <v>N/A</v>
      </c>
      <c r="Q105" s="62" t="str">
        <f t="shared" ca="1" si="37"/>
        <v>N/A</v>
      </c>
      <c r="R105" s="62" t="str">
        <f t="shared" ca="1" si="37"/>
        <v>N/A</v>
      </c>
      <c r="S105" s="62" t="str">
        <f t="shared" ca="1" si="37"/>
        <v>N/A</v>
      </c>
      <c r="T105" s="62" t="str">
        <f t="shared" ca="1" si="37"/>
        <v>N/A</v>
      </c>
      <c r="U105" s="62" t="str">
        <f t="shared" ca="1" si="37"/>
        <v>N/A</v>
      </c>
      <c r="V105" s="62" t="str">
        <f t="shared" ca="1" si="37"/>
        <v>N/A</v>
      </c>
      <c r="W105" s="62" t="str">
        <f t="shared" ca="1" si="37"/>
        <v>N/A</v>
      </c>
      <c r="X105" s="62" t="str">
        <f t="shared" ca="1" si="37"/>
        <v>N/A</v>
      </c>
      <c r="Y105" s="62" t="str">
        <f t="shared" ca="1" si="37"/>
        <v>N/A</v>
      </c>
      <c r="Z105" s="62" t="str">
        <f t="shared" ca="1" si="37"/>
        <v>N/A</v>
      </c>
      <c r="AA105" s="62" t="str">
        <f t="shared" ca="1" si="37"/>
        <v>N/A</v>
      </c>
      <c r="AB105" s="62" t="str">
        <f t="shared" ca="1" si="37"/>
        <v>N/A</v>
      </c>
    </row>
    <row r="106" spans="1:28" hidden="1" x14ac:dyDescent="0.25">
      <c r="A106" s="50">
        <f t="shared" si="24"/>
        <v>0</v>
      </c>
      <c r="B106" s="45" t="str">
        <f t="shared" ca="1" si="25"/>
        <v/>
      </c>
      <c r="C106" s="1" t="str">
        <f>IF(ISERROR(D106),"",IF(D106="","",MAX($C$66:C105)+1))</f>
        <v/>
      </c>
      <c r="D106" t="e">
        <f t="shared" si="26"/>
        <v>#N/A</v>
      </c>
      <c r="E106" s="22"/>
      <c r="F106" s="62" t="str">
        <f t="shared" ca="1" si="31"/>
        <v>N/A</v>
      </c>
      <c r="G106" s="62"/>
      <c r="H106" s="62" t="str">
        <f t="shared" si="28"/>
        <v>N/A</v>
      </c>
      <c r="I106" s="62" t="str">
        <f t="shared" si="29"/>
        <v>N/A</v>
      </c>
      <c r="J106" s="62" t="str">
        <f t="shared" si="32"/>
        <v>N/A</v>
      </c>
      <c r="K106" s="62" t="str">
        <f>IFERROR(IF(VLOOKUP(#REF!,LUCurYr,17,FALSE)=0,"",VLOOKUP(#REF!,LUCurYr,17,FALSE)),"N/A")</f>
        <v>N/A</v>
      </c>
      <c r="L106" s="62" t="str">
        <f t="shared" si="33"/>
        <v>N/A</v>
      </c>
      <c r="M106" s="62" t="str">
        <f ca="1">IFERROR(VLOOKUP($A106,LASTYR,'[3]2017'!$L$3,FALSE),"N/A")</f>
        <v>N/A</v>
      </c>
      <c r="N106" s="62" t="str">
        <f t="shared" ca="1" si="34"/>
        <v>N/A</v>
      </c>
      <c r="O106" s="62" t="str">
        <f t="shared" ca="1" si="37"/>
        <v>N/A</v>
      </c>
      <c r="P106" s="62" t="str">
        <f t="shared" ca="1" si="37"/>
        <v>N/A</v>
      </c>
      <c r="Q106" s="62" t="str">
        <f t="shared" ca="1" si="37"/>
        <v>N/A</v>
      </c>
      <c r="R106" s="62" t="str">
        <f t="shared" ca="1" si="37"/>
        <v>N/A</v>
      </c>
      <c r="S106" s="62" t="str">
        <f t="shared" ca="1" si="37"/>
        <v>N/A</v>
      </c>
      <c r="T106" s="62" t="str">
        <f t="shared" ca="1" si="37"/>
        <v>N/A</v>
      </c>
      <c r="U106" s="62" t="str">
        <f t="shared" ca="1" si="37"/>
        <v>N/A</v>
      </c>
      <c r="V106" s="62" t="str">
        <f t="shared" ca="1" si="37"/>
        <v>N/A</v>
      </c>
      <c r="W106" s="62" t="str">
        <f t="shared" ca="1" si="37"/>
        <v>N/A</v>
      </c>
      <c r="X106" s="62" t="str">
        <f t="shared" ca="1" si="37"/>
        <v>N/A</v>
      </c>
      <c r="Y106" s="62" t="str">
        <f t="shared" ca="1" si="37"/>
        <v>N/A</v>
      </c>
      <c r="Z106" s="62" t="str">
        <f t="shared" ca="1" si="37"/>
        <v>N/A</v>
      </c>
      <c r="AA106" s="62" t="str">
        <f t="shared" ca="1" si="37"/>
        <v>N/A</v>
      </c>
      <c r="AB106" s="62" t="str">
        <f t="shared" ca="1" si="37"/>
        <v>N/A</v>
      </c>
    </row>
    <row r="107" spans="1:28" hidden="1" x14ac:dyDescent="0.25">
      <c r="A107" s="50">
        <f t="shared" si="24"/>
        <v>0</v>
      </c>
      <c r="B107" s="45" t="str">
        <f t="shared" ca="1" si="25"/>
        <v/>
      </c>
      <c r="C107" s="1" t="str">
        <f>IF(ISERROR(D107),"",IF(D107="","",MAX($C$66:C106)+1))</f>
        <v/>
      </c>
      <c r="D107" t="e">
        <f t="shared" si="26"/>
        <v>#N/A</v>
      </c>
      <c r="E107" s="22"/>
      <c r="F107" s="62" t="str">
        <f t="shared" ca="1" si="31"/>
        <v>N/A</v>
      </c>
      <c r="G107" s="62"/>
      <c r="H107" s="62" t="str">
        <f t="shared" si="28"/>
        <v>N/A</v>
      </c>
      <c r="I107" s="62" t="str">
        <f t="shared" si="29"/>
        <v>N/A</v>
      </c>
      <c r="J107" s="62" t="str">
        <f t="shared" si="32"/>
        <v>N/A</v>
      </c>
      <c r="K107" s="62" t="str">
        <f>IFERROR(IF(VLOOKUP(#REF!,LUCurYr,17,FALSE)=0,"",VLOOKUP(#REF!,LUCurYr,17,FALSE)),"N/A")</f>
        <v>N/A</v>
      </c>
      <c r="L107" s="62" t="str">
        <f t="shared" si="33"/>
        <v>N/A</v>
      </c>
      <c r="M107" s="62" t="str">
        <f ca="1">IFERROR(VLOOKUP($A107,LASTYR,'[3]2017'!$L$3,FALSE),"N/A")</f>
        <v>N/A</v>
      </c>
      <c r="N107" s="62" t="str">
        <f t="shared" ca="1" si="34"/>
        <v>N/A</v>
      </c>
      <c r="O107" s="62" t="str">
        <f t="shared" ca="1" si="37"/>
        <v>N/A</v>
      </c>
      <c r="P107" s="62" t="str">
        <f t="shared" ca="1" si="37"/>
        <v>N/A</v>
      </c>
      <c r="Q107" s="62" t="str">
        <f t="shared" ca="1" si="37"/>
        <v>N/A</v>
      </c>
      <c r="R107" s="62" t="str">
        <f t="shared" ca="1" si="37"/>
        <v>N/A</v>
      </c>
      <c r="S107" s="62" t="str">
        <f t="shared" ca="1" si="37"/>
        <v>N/A</v>
      </c>
      <c r="T107" s="62" t="str">
        <f t="shared" ca="1" si="37"/>
        <v>N/A</v>
      </c>
      <c r="U107" s="62" t="str">
        <f t="shared" ca="1" si="37"/>
        <v>N/A</v>
      </c>
      <c r="V107" s="62" t="str">
        <f t="shared" ca="1" si="37"/>
        <v>N/A</v>
      </c>
      <c r="W107" s="62" t="str">
        <f t="shared" ca="1" si="37"/>
        <v>N/A</v>
      </c>
      <c r="X107" s="62" t="str">
        <f t="shared" ca="1" si="37"/>
        <v>N/A</v>
      </c>
      <c r="Y107" s="62" t="str">
        <f t="shared" ca="1" si="37"/>
        <v>N/A</v>
      </c>
      <c r="Z107" s="62" t="str">
        <f t="shared" ca="1" si="37"/>
        <v>N/A</v>
      </c>
      <c r="AA107" s="62" t="str">
        <f t="shared" ca="1" si="37"/>
        <v>N/A</v>
      </c>
      <c r="AB107" s="62" t="str">
        <f t="shared" ca="1" si="37"/>
        <v>N/A</v>
      </c>
    </row>
    <row r="108" spans="1:28" hidden="1" x14ac:dyDescent="0.25">
      <c r="A108" s="50">
        <f t="shared" si="24"/>
        <v>0</v>
      </c>
      <c r="B108" s="45" t="str">
        <f t="shared" ca="1" si="25"/>
        <v/>
      </c>
      <c r="C108" s="1" t="str">
        <f>IF(ISERROR(D108),"",IF(D108="","",MAX($C$66:C107)+1))</f>
        <v/>
      </c>
      <c r="D108" t="e">
        <f t="shared" si="26"/>
        <v>#N/A</v>
      </c>
      <c r="E108" s="22"/>
      <c r="F108" s="62" t="str">
        <f t="shared" ca="1" si="31"/>
        <v>N/A</v>
      </c>
      <c r="G108" s="62"/>
      <c r="H108" s="62" t="str">
        <f t="shared" si="28"/>
        <v>N/A</v>
      </c>
      <c r="I108" s="62" t="str">
        <f t="shared" si="29"/>
        <v>N/A</v>
      </c>
      <c r="J108" s="62" t="str">
        <f t="shared" si="32"/>
        <v>N/A</v>
      </c>
      <c r="K108" s="62" t="str">
        <f>IFERROR(IF(VLOOKUP(#REF!,LUCurYr,17,FALSE)=0,"",VLOOKUP(#REF!,LUCurYr,17,FALSE)),"N/A")</f>
        <v>N/A</v>
      </c>
      <c r="L108" s="62" t="str">
        <f t="shared" si="33"/>
        <v>N/A</v>
      </c>
      <c r="M108" s="62" t="str">
        <f ca="1">IFERROR(VLOOKUP($A108,LASTYR,'[3]2017'!$L$3,FALSE),"N/A")</f>
        <v>N/A</v>
      </c>
      <c r="N108" s="62" t="str">
        <f t="shared" ca="1" si="34"/>
        <v>N/A</v>
      </c>
      <c r="O108" s="62" t="str">
        <f t="shared" ca="1" si="37"/>
        <v>N/A</v>
      </c>
      <c r="P108" s="62" t="str">
        <f t="shared" ca="1" si="37"/>
        <v>N/A</v>
      </c>
      <c r="Q108" s="62" t="str">
        <f t="shared" ca="1" si="37"/>
        <v>N/A</v>
      </c>
      <c r="R108" s="62" t="str">
        <f t="shared" ca="1" si="37"/>
        <v>N/A</v>
      </c>
      <c r="S108" s="62" t="str">
        <f t="shared" ca="1" si="37"/>
        <v>N/A</v>
      </c>
      <c r="T108" s="62" t="str">
        <f t="shared" ca="1" si="37"/>
        <v>N/A</v>
      </c>
      <c r="U108" s="62" t="str">
        <f t="shared" ca="1" si="37"/>
        <v>N/A</v>
      </c>
      <c r="V108" s="62" t="str">
        <f t="shared" ca="1" si="37"/>
        <v>N/A</v>
      </c>
      <c r="W108" s="62" t="str">
        <f t="shared" ca="1" si="37"/>
        <v>N/A</v>
      </c>
      <c r="X108" s="62" t="str">
        <f t="shared" ca="1" si="37"/>
        <v>N/A</v>
      </c>
      <c r="Y108" s="62" t="str">
        <f t="shared" ca="1" si="37"/>
        <v>N/A</v>
      </c>
      <c r="Z108" s="62" t="str">
        <f t="shared" ca="1" si="37"/>
        <v>N/A</v>
      </c>
      <c r="AA108" s="62" t="str">
        <f t="shared" ca="1" si="37"/>
        <v>N/A</v>
      </c>
      <c r="AB108" s="62" t="str">
        <f t="shared" ca="1" si="37"/>
        <v>N/A</v>
      </c>
    </row>
    <row r="109" spans="1:28" hidden="1" x14ac:dyDescent="0.25">
      <c r="A109" s="50">
        <f t="shared" si="24"/>
        <v>0</v>
      </c>
      <c r="B109" s="45" t="str">
        <f t="shared" ca="1" si="25"/>
        <v/>
      </c>
      <c r="C109" s="1" t="str">
        <f>IF(ISERROR(D109),"",IF(D109="","",MAX($C$66:C108)+1))</f>
        <v/>
      </c>
      <c r="D109" t="e">
        <f t="shared" si="26"/>
        <v>#N/A</v>
      </c>
      <c r="E109" s="22"/>
      <c r="F109" s="62" t="str">
        <f t="shared" ca="1" si="31"/>
        <v>N/A</v>
      </c>
      <c r="G109" s="62"/>
      <c r="H109" s="62" t="str">
        <f t="shared" si="28"/>
        <v>N/A</v>
      </c>
      <c r="I109" s="62" t="str">
        <f t="shared" si="29"/>
        <v>N/A</v>
      </c>
      <c r="J109" s="62" t="str">
        <f t="shared" si="32"/>
        <v>N/A</v>
      </c>
      <c r="K109" s="62" t="str">
        <f>IFERROR(IF(VLOOKUP(#REF!,LUCurYr,17,FALSE)=0,"",VLOOKUP(#REF!,LUCurYr,17,FALSE)),"N/A")</f>
        <v>N/A</v>
      </c>
      <c r="L109" s="62" t="str">
        <f t="shared" si="33"/>
        <v>N/A</v>
      </c>
      <c r="M109" s="62" t="str">
        <f ca="1">IFERROR(VLOOKUP($A109,LASTYR,'[3]2017'!$L$3,FALSE),"N/A")</f>
        <v>N/A</v>
      </c>
      <c r="N109" s="62" t="str">
        <f t="shared" ca="1" si="34"/>
        <v>N/A</v>
      </c>
      <c r="O109" s="62" t="str">
        <f t="shared" ca="1" si="37"/>
        <v>N/A</v>
      </c>
      <c r="P109" s="62" t="str">
        <f t="shared" ca="1" si="37"/>
        <v>N/A</v>
      </c>
      <c r="Q109" s="62" t="str">
        <f t="shared" ca="1" si="37"/>
        <v>N/A</v>
      </c>
      <c r="R109" s="62" t="str">
        <f t="shared" ca="1" si="37"/>
        <v>N/A</v>
      </c>
      <c r="S109" s="62" t="str">
        <f t="shared" ca="1" si="37"/>
        <v>N/A</v>
      </c>
      <c r="T109" s="62" t="str">
        <f t="shared" ca="1" si="37"/>
        <v>N/A</v>
      </c>
      <c r="U109" s="62" t="str">
        <f t="shared" ca="1" si="37"/>
        <v>N/A</v>
      </c>
      <c r="V109" s="62" t="str">
        <f t="shared" ca="1" si="37"/>
        <v>N/A</v>
      </c>
      <c r="W109" s="62" t="str">
        <f t="shared" ca="1" si="37"/>
        <v>N/A</v>
      </c>
      <c r="X109" s="62" t="str">
        <f t="shared" ca="1" si="37"/>
        <v>N/A</v>
      </c>
      <c r="Y109" s="62" t="str">
        <f t="shared" ca="1" si="37"/>
        <v>N/A</v>
      </c>
      <c r="Z109" s="62" t="str">
        <f t="shared" ca="1" si="37"/>
        <v>N/A</v>
      </c>
      <c r="AA109" s="62" t="str">
        <f t="shared" ca="1" si="37"/>
        <v>N/A</v>
      </c>
      <c r="AB109" s="62" t="str">
        <f t="shared" ca="1" si="37"/>
        <v>N/A</v>
      </c>
    </row>
    <row r="110" spans="1:28" hidden="1" x14ac:dyDescent="0.25">
      <c r="A110" s="50">
        <f t="shared" si="24"/>
        <v>0</v>
      </c>
      <c r="B110" s="45" t="str">
        <f t="shared" ca="1" si="25"/>
        <v/>
      </c>
      <c r="C110" s="1" t="str">
        <f>IF(ISERROR(D110),"",IF(D110="","",MAX($C$66:C109)+1))</f>
        <v/>
      </c>
      <c r="D110" t="e">
        <f t="shared" si="26"/>
        <v>#N/A</v>
      </c>
      <c r="F110" s="62" t="str">
        <f t="shared" ca="1" si="31"/>
        <v>N/A</v>
      </c>
      <c r="G110" s="62"/>
      <c r="H110" s="62" t="str">
        <f t="shared" si="28"/>
        <v>N/A</v>
      </c>
      <c r="I110" s="62" t="str">
        <f t="shared" si="29"/>
        <v>N/A</v>
      </c>
      <c r="J110" s="62" t="str">
        <f t="shared" si="32"/>
        <v>N/A</v>
      </c>
      <c r="K110" s="62" t="str">
        <f>IFERROR(IF(VLOOKUP(#REF!,LUCurYr,17,FALSE)=0,"",VLOOKUP(#REF!,LUCurYr,17,FALSE)),"N/A")</f>
        <v>N/A</v>
      </c>
      <c r="L110" s="62" t="str">
        <f t="shared" si="33"/>
        <v>N/A</v>
      </c>
      <c r="M110" s="62" t="str">
        <f ca="1">IFERROR(VLOOKUP($A110,LASTYR,'[3]2017'!$L$3,FALSE),"N/A")</f>
        <v>N/A</v>
      </c>
      <c r="N110" s="62" t="str">
        <f t="shared" ca="1" si="34"/>
        <v>N/A</v>
      </c>
      <c r="O110" s="62" t="str">
        <f t="shared" ca="1" si="37"/>
        <v>N/A</v>
      </c>
      <c r="P110" s="62" t="str">
        <f t="shared" ca="1" si="37"/>
        <v>N/A</v>
      </c>
      <c r="Q110" s="62" t="str">
        <f t="shared" ca="1" si="37"/>
        <v>N/A</v>
      </c>
      <c r="R110" s="62" t="str">
        <f t="shared" ca="1" si="37"/>
        <v>N/A</v>
      </c>
      <c r="S110" s="62" t="str">
        <f t="shared" ca="1" si="37"/>
        <v>N/A</v>
      </c>
      <c r="T110" s="62" t="str">
        <f t="shared" ca="1" si="37"/>
        <v>N/A</v>
      </c>
      <c r="U110" s="62" t="str">
        <f t="shared" ca="1" si="37"/>
        <v>N/A</v>
      </c>
      <c r="V110" s="62" t="str">
        <f t="shared" ca="1" si="37"/>
        <v>N/A</v>
      </c>
      <c r="W110" s="62" t="str">
        <f t="shared" ca="1" si="37"/>
        <v>N/A</v>
      </c>
      <c r="X110" s="62" t="str">
        <f t="shared" ca="1" si="37"/>
        <v>N/A</v>
      </c>
      <c r="Y110" s="62" t="str">
        <f t="shared" ca="1" si="37"/>
        <v>N/A</v>
      </c>
      <c r="Z110" s="62" t="str">
        <f t="shared" ca="1" si="37"/>
        <v>N/A</v>
      </c>
      <c r="AA110" s="62" t="str">
        <f t="shared" ca="1" si="37"/>
        <v>N/A</v>
      </c>
      <c r="AB110" s="62" t="str">
        <f t="shared" ca="1" si="37"/>
        <v>N/A</v>
      </c>
    </row>
    <row r="111" spans="1:28" hidden="1" x14ac:dyDescent="0.25">
      <c r="A111" s="50">
        <f t="shared" si="24"/>
        <v>0</v>
      </c>
      <c r="B111" s="45" t="str">
        <f t="shared" ca="1" si="25"/>
        <v/>
      </c>
      <c r="C111" s="1" t="str">
        <f>IF(ISERROR(D111),"",IF(D111="","",MAX($C$66:C110)+1))</f>
        <v/>
      </c>
      <c r="D111" t="e">
        <f t="shared" si="26"/>
        <v>#N/A</v>
      </c>
      <c r="F111" s="62" t="str">
        <f t="shared" ca="1" si="31"/>
        <v>N/A</v>
      </c>
      <c r="G111" s="62"/>
      <c r="H111" s="62" t="str">
        <f t="shared" si="28"/>
        <v>N/A</v>
      </c>
      <c r="I111" s="62" t="str">
        <f t="shared" si="29"/>
        <v>N/A</v>
      </c>
      <c r="J111" s="62" t="str">
        <f t="shared" si="32"/>
        <v>N/A</v>
      </c>
      <c r="K111" s="62" t="str">
        <f>IFERROR(IF(VLOOKUP(#REF!,LUCurYr,17,FALSE)=0,"",VLOOKUP(#REF!,LUCurYr,17,FALSE)),"N/A")</f>
        <v>N/A</v>
      </c>
      <c r="L111" s="62" t="str">
        <f t="shared" si="33"/>
        <v>N/A</v>
      </c>
      <c r="M111" s="62" t="str">
        <f ca="1">IFERROR(VLOOKUP($A111,LASTYR,'[3]2017'!$L$3,FALSE),"N/A")</f>
        <v>N/A</v>
      </c>
      <c r="N111" s="62" t="str">
        <f t="shared" ca="1" si="34"/>
        <v>N/A</v>
      </c>
      <c r="O111" s="62" t="str">
        <f t="shared" ca="1" si="37"/>
        <v>N/A</v>
      </c>
      <c r="P111" s="62" t="str">
        <f t="shared" ca="1" si="37"/>
        <v>N/A</v>
      </c>
      <c r="Q111" s="62" t="str">
        <f t="shared" ca="1" si="37"/>
        <v>N/A</v>
      </c>
      <c r="R111" s="62" t="str">
        <f t="shared" ca="1" si="37"/>
        <v>N/A</v>
      </c>
      <c r="S111" s="62" t="str">
        <f t="shared" ca="1" si="37"/>
        <v>N/A</v>
      </c>
      <c r="T111" s="62" t="str">
        <f t="shared" ca="1" si="37"/>
        <v>N/A</v>
      </c>
      <c r="U111" s="62" t="str">
        <f t="shared" ca="1" si="37"/>
        <v>N/A</v>
      </c>
      <c r="V111" s="62" t="str">
        <f t="shared" ca="1" si="37"/>
        <v>N/A</v>
      </c>
      <c r="W111" s="62" t="str">
        <f t="shared" ca="1" si="37"/>
        <v>N/A</v>
      </c>
      <c r="X111" s="62" t="str">
        <f t="shared" ca="1" si="37"/>
        <v>N/A</v>
      </c>
      <c r="Y111" s="62" t="str">
        <f t="shared" ca="1" si="37"/>
        <v>N/A</v>
      </c>
      <c r="Z111" s="62" t="str">
        <f t="shared" ca="1" si="37"/>
        <v>N/A</v>
      </c>
      <c r="AA111" s="62" t="str">
        <f t="shared" ca="1" si="37"/>
        <v>N/A</v>
      </c>
      <c r="AB111" s="62" t="str">
        <f t="shared" ca="1" si="37"/>
        <v>N/A</v>
      </c>
    </row>
    <row r="112" spans="1:28" hidden="1" x14ac:dyDescent="0.25">
      <c r="A112" s="50">
        <f t="shared" si="24"/>
        <v>0</v>
      </c>
      <c r="B112" s="45" t="str">
        <f t="shared" ca="1" si="25"/>
        <v/>
      </c>
      <c r="C112" s="1" t="str">
        <f>IF(ISERROR(D112),"",IF(D112="","",MAX($C$66:C111)+1))</f>
        <v/>
      </c>
      <c r="D112" t="e">
        <f t="shared" si="26"/>
        <v>#N/A</v>
      </c>
      <c r="F112" s="62" t="str">
        <f t="shared" ca="1" si="31"/>
        <v>N/A</v>
      </c>
      <c r="G112" s="62"/>
      <c r="H112" s="62" t="str">
        <f t="shared" si="28"/>
        <v>N/A</v>
      </c>
      <c r="I112" s="62" t="str">
        <f t="shared" si="29"/>
        <v>N/A</v>
      </c>
      <c r="J112" s="62" t="str">
        <f t="shared" si="32"/>
        <v>N/A</v>
      </c>
      <c r="K112" s="62" t="str">
        <f>IFERROR(IF(VLOOKUP(#REF!,LUCurYr,17,FALSE)=0,"",VLOOKUP(#REF!,LUCurYr,17,FALSE)),"N/A")</f>
        <v>N/A</v>
      </c>
      <c r="L112" s="62" t="str">
        <f t="shared" si="33"/>
        <v>N/A</v>
      </c>
      <c r="M112" s="62" t="str">
        <f ca="1">IFERROR(VLOOKUP($A112,LASTYR,'[3]2017'!$L$3,FALSE),"N/A")</f>
        <v>N/A</v>
      </c>
      <c r="N112" s="62" t="str">
        <f t="shared" ca="1" si="34"/>
        <v>N/A</v>
      </c>
      <c r="O112" s="62" t="str">
        <f t="shared" ca="1" si="37"/>
        <v>N/A</v>
      </c>
      <c r="P112" s="62" t="str">
        <f t="shared" ca="1" si="37"/>
        <v>N/A</v>
      </c>
      <c r="Q112" s="62" t="str">
        <f t="shared" ca="1" si="37"/>
        <v>N/A</v>
      </c>
      <c r="R112" s="62" t="str">
        <f t="shared" ca="1" si="37"/>
        <v>N/A</v>
      </c>
      <c r="S112" s="62" t="str">
        <f t="shared" ca="1" si="37"/>
        <v>N/A</v>
      </c>
      <c r="T112" s="62" t="str">
        <f t="shared" ca="1" si="37"/>
        <v>N/A</v>
      </c>
      <c r="U112" s="62" t="str">
        <f t="shared" ca="1" si="37"/>
        <v>N/A</v>
      </c>
      <c r="V112" s="62" t="str">
        <f t="shared" ca="1" si="37"/>
        <v>N/A</v>
      </c>
      <c r="W112" s="62" t="str">
        <f t="shared" ca="1" si="37"/>
        <v>N/A</v>
      </c>
      <c r="X112" s="62" t="str">
        <f t="shared" ca="1" si="37"/>
        <v>N/A</v>
      </c>
      <c r="Y112" s="62" t="str">
        <f t="shared" ca="1" si="37"/>
        <v>N/A</v>
      </c>
      <c r="Z112" s="62" t="str">
        <f t="shared" ca="1" si="37"/>
        <v>N/A</v>
      </c>
      <c r="AA112" s="62" t="str">
        <f t="shared" ca="1" si="37"/>
        <v>N/A</v>
      </c>
      <c r="AB112" s="62" t="str">
        <f t="shared" ca="1" si="37"/>
        <v>N/A</v>
      </c>
    </row>
    <row r="113" spans="1:28" x14ac:dyDescent="0.25">
      <c r="A113" s="31"/>
      <c r="B113" s="31"/>
      <c r="C113" s="1" t="str">
        <f>IF(ISERROR(D113),"",IF(D113="","",MAX($C$66:C112)+1))</f>
        <v/>
      </c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x14ac:dyDescent="0.25">
      <c r="A114" s="31"/>
      <c r="B114" s="31"/>
      <c r="C114" s="1">
        <f ca="1">IF(ISERROR(D114),"",IF(D114="","",MAX($C$66:C113)+1))</f>
        <v>21</v>
      </c>
      <c r="D114" t="s">
        <v>98</v>
      </c>
      <c r="F114" s="62">
        <f ca="1">AVERAGE(G114:X114)</f>
        <v>9.5146379546983457</v>
      </c>
      <c r="G114" s="62">
        <f>AVERAGE(G68:G113)</f>
        <v>8.5834360912175605</v>
      </c>
      <c r="H114" s="62">
        <f>AVERAGE(H68:H113)</f>
        <v>11.088654506112603</v>
      </c>
      <c r="I114" s="62">
        <f>AVERAGE(I68:I113)</f>
        <v>9.6111362643870617</v>
      </c>
      <c r="J114" s="62">
        <f ca="1">AVERAGE(J68:J113)</f>
        <v>10.417033020519916</v>
      </c>
      <c r="K114" s="62">
        <f t="shared" ref="K114:X114" ca="1" si="38">AVERAGE(K68:K113)</f>
        <v>12.370074612918241</v>
      </c>
      <c r="L114" s="62">
        <f t="shared" ca="1" si="38"/>
        <v>10.682349474224427</v>
      </c>
      <c r="M114" s="62">
        <f t="shared" ca="1" si="38"/>
        <v>17.057756648660259</v>
      </c>
      <c r="N114" s="62">
        <f t="shared" ca="1" si="38"/>
        <v>10.592601283209653</v>
      </c>
      <c r="O114" s="62">
        <f t="shared" ca="1" si="38"/>
        <v>9.2990131598437351</v>
      </c>
      <c r="P114" s="62">
        <f t="shared" ca="1" si="38"/>
        <v>8.9354822233159101</v>
      </c>
      <c r="Q114" s="62">
        <f t="shared" ca="1" si="38"/>
        <v>8.8380313403687385</v>
      </c>
      <c r="R114" s="62">
        <f t="shared" ca="1" si="38"/>
        <v>8.0905323698961986</v>
      </c>
      <c r="S114" s="62">
        <f t="shared" ca="1" si="38"/>
        <v>8.0025687915587174</v>
      </c>
      <c r="T114" s="62">
        <f t="shared" ca="1" si="38"/>
        <v>7.1134617135914517</v>
      </c>
      <c r="U114" s="62">
        <f t="shared" ca="1" si="38"/>
        <v>7.1329334553326067</v>
      </c>
      <c r="V114" s="62">
        <f t="shared" ca="1" si="38"/>
        <v>7.2610596789599224</v>
      </c>
      <c r="W114" s="62">
        <f t="shared" ca="1" si="38"/>
        <v>8.3522752146115486</v>
      </c>
      <c r="X114" s="62">
        <f t="shared" ca="1" si="38"/>
        <v>7.83508333584167</v>
      </c>
      <c r="Y114" s="62"/>
      <c r="Z114" s="62"/>
      <c r="AA114" s="62"/>
      <c r="AB114" s="62"/>
    </row>
    <row r="115" spans="1:28" x14ac:dyDescent="0.25">
      <c r="A115" s="31"/>
      <c r="B115" s="31"/>
      <c r="C115" s="1">
        <f ca="1">IF(ISERROR(D115),"",IF(D115="","",MAX($C$66:C114)+1))</f>
        <v>22</v>
      </c>
      <c r="D115" t="s">
        <v>257</v>
      </c>
      <c r="F115" s="62">
        <f ca="1">MEDIAN(G115:X115)</f>
        <v>8.6045975796778702</v>
      </c>
      <c r="G115" s="62">
        <f t="shared" ref="G115:L115" si="39">MEDIAN(G68:G113)</f>
        <v>7.5348837209302326</v>
      </c>
      <c r="H115" s="62">
        <f t="shared" si="39"/>
        <v>9.913899138991388</v>
      </c>
      <c r="I115" s="62">
        <f t="shared" si="39"/>
        <v>9.3161290322580648</v>
      </c>
      <c r="J115" s="62">
        <f t="shared" ca="1" si="39"/>
        <v>10.852989130434782</v>
      </c>
      <c r="K115" s="62">
        <f t="shared" ca="1" si="39"/>
        <v>12.951699029126212</v>
      </c>
      <c r="L115" s="62">
        <f t="shared" ca="1" si="39"/>
        <v>11.437096774193547</v>
      </c>
      <c r="M115" s="62">
        <f t="shared" ref="M115:X115" ca="1" si="40">MEDIAN(M68:M113)</f>
        <v>11.986249622242369</v>
      </c>
      <c r="N115" s="62">
        <f t="shared" ca="1" si="40"/>
        <v>11.095010127048425</v>
      </c>
      <c r="O115" s="62">
        <f t="shared" ca="1" si="40"/>
        <v>9.3031137106485478</v>
      </c>
      <c r="P115" s="62">
        <f t="shared" ca="1" si="40"/>
        <v>8.8426988523941432</v>
      </c>
      <c r="Q115" s="62">
        <f t="shared" ca="1" si="40"/>
        <v>8.3664963069615972</v>
      </c>
      <c r="R115" s="62">
        <f t="shared" ca="1" si="40"/>
        <v>7.6379145915100874</v>
      </c>
      <c r="S115" s="62">
        <f t="shared" ca="1" si="40"/>
        <v>7.429995352301658</v>
      </c>
      <c r="T115" s="62">
        <f t="shared" ca="1" si="40"/>
        <v>6.2552073928141123</v>
      </c>
      <c r="U115" s="62">
        <f t="shared" ca="1" si="40"/>
        <v>7.009770912460203</v>
      </c>
      <c r="V115" s="62">
        <f t="shared" ca="1" si="40"/>
        <v>7.4962017727639001</v>
      </c>
      <c r="W115" s="62">
        <f t="shared" ca="1" si="40"/>
        <v>8.1878862388544427</v>
      </c>
      <c r="X115" s="62">
        <f t="shared" ca="1" si="40"/>
        <v>7.6521376612962619</v>
      </c>
      <c r="Y115" s="62"/>
      <c r="Z115" s="62"/>
      <c r="AA115" s="62"/>
      <c r="AB115" s="62"/>
    </row>
    <row r="116" spans="1:28" x14ac:dyDescent="0.25">
      <c r="A116" s="31"/>
      <c r="B116" s="31"/>
      <c r="C116" s="1"/>
      <c r="K116" s="187"/>
      <c r="L116" s="187"/>
    </row>
    <row r="117" spans="1:28" x14ac:dyDescent="0.25">
      <c r="A117" s="31"/>
      <c r="B117" s="31"/>
      <c r="C117" s="1"/>
    </row>
    <row r="118" spans="1:28" ht="16.2" x14ac:dyDescent="0.25">
      <c r="A118" s="31"/>
      <c r="B118" s="31"/>
      <c r="C118" s="6"/>
      <c r="D118" s="6"/>
      <c r="E118" s="19"/>
      <c r="F118" s="276" t="s">
        <v>259</v>
      </c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</row>
    <row r="119" spans="1:28" x14ac:dyDescent="0.25">
      <c r="A119" s="31"/>
      <c r="B119" s="31"/>
      <c r="C119" s="6"/>
      <c r="D119" s="7"/>
      <c r="E119" s="7"/>
      <c r="F119" s="8" t="str">
        <f>F9</f>
        <v>18-Year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7"/>
      <c r="V119" s="7"/>
      <c r="W119" s="7"/>
      <c r="X119" s="7"/>
      <c r="Y119" s="7"/>
      <c r="Z119" s="7"/>
      <c r="AA119" s="7"/>
    </row>
    <row r="120" spans="1:28" ht="16.2" x14ac:dyDescent="0.25">
      <c r="A120" s="31"/>
      <c r="B120" s="31"/>
      <c r="C120" s="9" t="s">
        <v>96</v>
      </c>
      <c r="D120" s="275" t="s">
        <v>97</v>
      </c>
      <c r="E120" s="275"/>
      <c r="F120" s="10" t="s">
        <v>98</v>
      </c>
      <c r="G120" s="40" t="s">
        <v>558</v>
      </c>
      <c r="H120" s="40">
        <v>2022</v>
      </c>
      <c r="I120" s="40">
        <v>2021</v>
      </c>
      <c r="J120" s="10" t="s">
        <v>536</v>
      </c>
      <c r="K120" s="10" t="s">
        <v>440</v>
      </c>
      <c r="L120" s="10" t="s">
        <v>476</v>
      </c>
      <c r="M120" s="40">
        <v>2017</v>
      </c>
      <c r="N120" s="40">
        <v>2016</v>
      </c>
      <c r="O120" s="40">
        <v>2015</v>
      </c>
      <c r="P120" s="40">
        <v>2014</v>
      </c>
      <c r="Q120" s="40">
        <v>2013</v>
      </c>
      <c r="R120" s="40">
        <v>2012</v>
      </c>
      <c r="S120" s="40">
        <v>2011</v>
      </c>
      <c r="T120" s="40">
        <v>2010</v>
      </c>
      <c r="U120" s="40">
        <v>2009</v>
      </c>
      <c r="V120" s="40">
        <v>2008</v>
      </c>
      <c r="W120" s="40">
        <v>2007</v>
      </c>
      <c r="X120" s="40">
        <v>2006</v>
      </c>
      <c r="Y120" s="40">
        <v>2005</v>
      </c>
      <c r="Z120" s="40"/>
      <c r="AA120" s="40"/>
      <c r="AB120" s="40"/>
    </row>
    <row r="121" spans="1:28" x14ac:dyDescent="0.25">
      <c r="A121" s="41"/>
      <c r="B121" s="41"/>
      <c r="C121" s="9"/>
      <c r="D121" s="11"/>
      <c r="E121" s="11"/>
      <c r="F121" s="12">
        <v>-1</v>
      </c>
      <c r="G121" s="12">
        <f>+F121-1</f>
        <v>-2</v>
      </c>
      <c r="H121" s="12">
        <f>+G121-1</f>
        <v>-3</v>
      </c>
      <c r="I121" s="12">
        <f>+H121-1</f>
        <v>-4</v>
      </c>
      <c r="J121" s="12">
        <f>+I121-1</f>
        <v>-5</v>
      </c>
      <c r="K121" s="12">
        <f>+J121-1</f>
        <v>-6</v>
      </c>
      <c r="L121" s="12">
        <f t="shared" ref="L121:X121" si="41">+K121-1</f>
        <v>-7</v>
      </c>
      <c r="M121" s="12">
        <f t="shared" si="41"/>
        <v>-8</v>
      </c>
      <c r="N121" s="12">
        <f t="shared" si="41"/>
        <v>-9</v>
      </c>
      <c r="O121" s="12">
        <f t="shared" si="41"/>
        <v>-10</v>
      </c>
      <c r="P121" s="12">
        <f t="shared" si="41"/>
        <v>-11</v>
      </c>
      <c r="Q121" s="12">
        <f t="shared" si="41"/>
        <v>-12</v>
      </c>
      <c r="R121" s="12">
        <f t="shared" si="41"/>
        <v>-13</v>
      </c>
      <c r="S121" s="12">
        <f t="shared" si="41"/>
        <v>-14</v>
      </c>
      <c r="T121" s="12">
        <f t="shared" si="41"/>
        <v>-15</v>
      </c>
      <c r="U121" s="12">
        <f t="shared" si="41"/>
        <v>-16</v>
      </c>
      <c r="V121" s="12">
        <f t="shared" si="41"/>
        <v>-17</v>
      </c>
      <c r="W121" s="12">
        <f t="shared" si="41"/>
        <v>-18</v>
      </c>
      <c r="X121" s="12">
        <f t="shared" si="41"/>
        <v>-19</v>
      </c>
      <c r="Y121" s="12">
        <f>+W121-1</f>
        <v>-19</v>
      </c>
      <c r="Z121" s="12"/>
      <c r="AA121" s="12"/>
      <c r="AB121" s="12"/>
    </row>
    <row r="122" spans="1:28" x14ac:dyDescent="0.25">
      <c r="A122" s="42"/>
      <c r="B122" s="43"/>
      <c r="C122" s="6"/>
      <c r="E122" s="22"/>
      <c r="F122" s="36"/>
      <c r="G122" s="36"/>
      <c r="H122" s="36"/>
      <c r="I122" s="36"/>
      <c r="J122" s="16">
        <f t="shared" ref="J122:O122" ca="1" si="42">MATCH(VALUE(LEFT(J120,4)),OFFSET(MP_BV_WP,-1,0,1,),0)</f>
        <v>6</v>
      </c>
      <c r="K122" s="16">
        <f t="shared" ca="1" si="42"/>
        <v>7</v>
      </c>
      <c r="L122" s="16">
        <f t="shared" ca="1" si="42"/>
        <v>8</v>
      </c>
      <c r="M122" s="16">
        <f t="shared" ca="1" si="42"/>
        <v>9</v>
      </c>
      <c r="N122" s="16">
        <f t="shared" ca="1" si="42"/>
        <v>10</v>
      </c>
      <c r="O122" s="16">
        <f t="shared" ca="1" si="42"/>
        <v>11</v>
      </c>
      <c r="P122" s="16">
        <f t="shared" ref="P122:Y122" ca="1" si="43">MATCH(VALUE(LEFT(P120,4)),OFFSET(MP_BV_WP,-1,0,1,),0)</f>
        <v>12</v>
      </c>
      <c r="Q122" s="16">
        <f t="shared" ca="1" si="43"/>
        <v>13</v>
      </c>
      <c r="R122" s="16">
        <f t="shared" ca="1" si="43"/>
        <v>14</v>
      </c>
      <c r="S122" s="16">
        <f t="shared" ca="1" si="43"/>
        <v>15</v>
      </c>
      <c r="T122" s="16">
        <f t="shared" ca="1" si="43"/>
        <v>16</v>
      </c>
      <c r="U122" s="16">
        <f t="shared" ca="1" si="43"/>
        <v>17</v>
      </c>
      <c r="V122" s="16">
        <f t="shared" ca="1" si="43"/>
        <v>18</v>
      </c>
      <c r="W122" s="16">
        <f t="shared" ca="1" si="43"/>
        <v>19</v>
      </c>
      <c r="X122" s="16">
        <f t="shared" ca="1" si="43"/>
        <v>20</v>
      </c>
      <c r="Y122" s="16">
        <f t="shared" ca="1" si="43"/>
        <v>21</v>
      </c>
      <c r="Z122" s="51"/>
      <c r="AA122" s="51"/>
      <c r="AB122" s="51"/>
    </row>
    <row r="123" spans="1:28" x14ac:dyDescent="0.25">
      <c r="A123" s="50" t="str">
        <f t="shared" ref="A123:A167" si="44">A13</f>
        <v>ATO</v>
      </c>
      <c r="B123" s="45">
        <f t="shared" ref="B123:B167" ca="1" si="45">MATCH(A123,OFFSET(MP_BV_WP,0,0,,1),0)</f>
        <v>9</v>
      </c>
      <c r="C123" s="1">
        <f ca="1">C115+1</f>
        <v>23</v>
      </c>
      <c r="D123" t="str">
        <f t="shared" ref="D123:D167" ca="1" si="46">D13</f>
        <v>Atmos Energy</v>
      </c>
      <c r="E123" s="22"/>
      <c r="F123" s="62">
        <f ca="1">AVERAGE(G123:X123)</f>
        <v>1.585793733437058</v>
      </c>
      <c r="G123" s="62">
        <f t="shared" ref="G123:G132" si="47">IFERROR(IF(VLOOKUP($A123,Data2023,20,FALSE)=0,"",VLOOKUP($A123,Data2023,20,FALSE)),"N/A")</f>
        <v>1.5457650273224044</v>
      </c>
      <c r="H123" s="62">
        <f t="shared" ref="H123:H132" si="48">IFERROR(IF(VLOOKUP($A123,Data2022,18,FALSE)=0,"",VLOOKUP($A123,Data2022,18,FALSE)),"N/A")</f>
        <v>1.6507105459985041</v>
      </c>
      <c r="I123" s="62">
        <f t="shared" ref="I123:I132" si="49">IFERROR(IF(VLOOKUP($A123,lucyyr,18,FALSE)=0,"",VLOOKUP($A123,lucyyr,18,FALSE)),"N/A")</f>
        <v>1.5901858985094621</v>
      </c>
      <c r="J123" s="62">
        <f t="shared" ref="J123:X138" ca="1" si="50">IFERROR(IF(INDEX(MP_BV_WP,$B123,J$122)=0,"N/A",INDEX(MP_BV_WP,$B123,J$122)),"N/A")</f>
        <v>1.950879534375058</v>
      </c>
      <c r="K123" s="62">
        <f t="shared" ca="1" si="50"/>
        <v>2.0957994354972604</v>
      </c>
      <c r="L123" s="62">
        <f t="shared" ca="1" si="50"/>
        <v>2.0292299437795975</v>
      </c>
      <c r="M123" s="62">
        <f t="shared" ca="1" si="50"/>
        <v>2.1588558676246463</v>
      </c>
      <c r="N123" s="62">
        <f t="shared" ca="1" si="50"/>
        <v>2.1099306743495099</v>
      </c>
      <c r="O123" s="62">
        <f t="shared" ca="1" si="50"/>
        <v>1.7177752366431611</v>
      </c>
      <c r="P123" s="62">
        <f t="shared" ca="1" si="50"/>
        <v>1.5493933578375567</v>
      </c>
      <c r="Q123" s="62">
        <f t="shared" ca="1" si="50"/>
        <v>1.3939021391689206</v>
      </c>
      <c r="R123" s="62">
        <f t="shared" ca="1" si="50"/>
        <v>1.2795287637698898</v>
      </c>
      <c r="S123" s="62">
        <f t="shared" ca="1" si="50"/>
        <v>1.2988229642085034</v>
      </c>
      <c r="T123" s="62">
        <f t="shared" ca="1" si="50"/>
        <v>1.1810016556291392</v>
      </c>
      <c r="U123" s="62">
        <f t="shared" ca="1" si="50"/>
        <v>1.0502147200136061</v>
      </c>
      <c r="V123" s="62">
        <f t="shared" ca="1" si="50"/>
        <v>1.2021149506658999</v>
      </c>
      <c r="W123" s="62">
        <f t="shared" ca="1" si="50"/>
        <v>1.3987094428792148</v>
      </c>
      <c r="X123" s="62">
        <f t="shared" ca="1" si="50"/>
        <v>1.3414670435947031</v>
      </c>
      <c r="Y123" s="62"/>
      <c r="Z123" s="17"/>
      <c r="AA123" s="17"/>
      <c r="AB123" s="17"/>
    </row>
    <row r="124" spans="1:28" x14ac:dyDescent="0.25">
      <c r="A124" s="50" t="str">
        <f t="shared" si="44"/>
        <v>CPK</v>
      </c>
      <c r="B124" s="45">
        <f t="shared" ca="1" si="45"/>
        <v>16</v>
      </c>
      <c r="C124" s="1">
        <f ca="1">IF(ISERROR(D124),"",IF(D124="","",MAX($C$121:C123)+1))</f>
        <v>24</v>
      </c>
      <c r="D124" t="str">
        <f t="shared" ca="1" si="46"/>
        <v>Chesapeake Utilities</v>
      </c>
      <c r="E124" s="22"/>
      <c r="F124" s="62">
        <f t="shared" ref="F124:F167" ca="1" si="51">AVERAGE(G124:X124)</f>
        <v>2.0783053148564643</v>
      </c>
      <c r="G124" s="62">
        <f t="shared" si="47"/>
        <v>2.1977687626774847</v>
      </c>
      <c r="H124" s="62">
        <f t="shared" si="48"/>
        <v>2.6853429910524076</v>
      </c>
      <c r="I124" s="62">
        <f t="shared" si="49"/>
        <v>2.770011273957159</v>
      </c>
      <c r="J124" s="62">
        <f t="shared" ca="1" si="50"/>
        <v>2.2745490981963927</v>
      </c>
      <c r="K124" s="62">
        <f t="shared" ca="1" si="50"/>
        <v>2.688564334745144</v>
      </c>
      <c r="L124" s="62">
        <f t="shared" ca="1" si="50"/>
        <v>2.4999368168319958</v>
      </c>
      <c r="M124" s="62">
        <f t="shared" ca="1" si="50"/>
        <v>2.5079823883305887</v>
      </c>
      <c r="N124" s="62">
        <f t="shared" ca="1" si="50"/>
        <v>2.2760498519790944</v>
      </c>
      <c r="O124" s="62">
        <f t="shared" ca="1" si="50"/>
        <v>2.1877371764806206</v>
      </c>
      <c r="P124" s="62">
        <f t="shared" ca="1" si="50"/>
        <v>2.1239191683668515</v>
      </c>
      <c r="Q124" s="62">
        <f t="shared" ca="1" si="50"/>
        <v>1.831034125090758</v>
      </c>
      <c r="R124" s="62">
        <f t="shared" ca="1" si="50"/>
        <v>1.6558011669658885</v>
      </c>
      <c r="S124" s="62">
        <f t="shared" ca="1" si="50"/>
        <v>1.6144951722493743</v>
      </c>
      <c r="T124" s="62">
        <f t="shared" ca="1" si="50"/>
        <v>1.403700429401364</v>
      </c>
      <c r="U124" s="62">
        <f t="shared" ca="1" si="50"/>
        <v>1.3671659837442065</v>
      </c>
      <c r="V124" s="62">
        <f t="shared" ca="1" si="50"/>
        <v>1.6393742719254452</v>
      </c>
      <c r="W124" s="62">
        <f t="shared" ca="1" si="50"/>
        <v>1.8378677095732019</v>
      </c>
      <c r="X124" s="62">
        <f t="shared" ca="1" si="50"/>
        <v>1.8481949458483755</v>
      </c>
      <c r="Y124" s="62"/>
      <c r="Z124" s="17"/>
      <c r="AA124" s="17"/>
      <c r="AB124" s="17"/>
    </row>
    <row r="125" spans="1:28" x14ac:dyDescent="0.25">
      <c r="A125" s="50" t="str">
        <f t="shared" si="44"/>
        <v>NJR</v>
      </c>
      <c r="B125" s="45">
        <f t="shared" ca="1" si="45"/>
        <v>42</v>
      </c>
      <c r="C125" s="1">
        <f ca="1">IF(ISERROR(D125),"",IF(D125="","",MAX($C$121:C124)+1))</f>
        <v>25</v>
      </c>
      <c r="D125" t="str">
        <f t="shared" ca="1" si="46"/>
        <v>New Jersey Resources</v>
      </c>
      <c r="E125" s="22"/>
      <c r="F125" s="62">
        <f t="shared" ca="1" si="51"/>
        <v>2.2698032901915024</v>
      </c>
      <c r="G125" s="62">
        <f t="shared" si="47"/>
        <v>2.3210784313725488</v>
      </c>
      <c r="H125" s="62">
        <f t="shared" si="48"/>
        <v>2.3473684210526313</v>
      </c>
      <c r="I125" s="62">
        <f t="shared" si="49"/>
        <v>2.2613504074505237</v>
      </c>
      <c r="J125" s="62">
        <f t="shared" ca="1" si="50"/>
        <v>1.9028823682160478</v>
      </c>
      <c r="K125" s="62">
        <f t="shared" ca="1" si="50"/>
        <v>2.7459842247682653</v>
      </c>
      <c r="L125" s="62">
        <f t="shared" ca="1" si="50"/>
        <v>2.6292176492398962</v>
      </c>
      <c r="M125" s="62">
        <f t="shared" ca="1" si="50"/>
        <v>2.702219740332263</v>
      </c>
      <c r="N125" s="62">
        <f t="shared" ca="1" si="50"/>
        <v>2.5188102775528236</v>
      </c>
      <c r="O125" s="62">
        <f t="shared" ca="1" si="50"/>
        <v>2.2755675259715278</v>
      </c>
      <c r="P125" s="62">
        <f t="shared" ca="1" si="50"/>
        <v>2.1266230936819173</v>
      </c>
      <c r="Q125" s="62">
        <f t="shared" ca="1" si="50"/>
        <v>2.0483522673927332</v>
      </c>
      <c r="R125" s="62">
        <f t="shared" ca="1" si="50"/>
        <v>2.3270741912440047</v>
      </c>
      <c r="S125" s="62">
        <f t="shared" ca="1" si="50"/>
        <v>2.3079551521623065</v>
      </c>
      <c r="T125" s="62">
        <f t="shared" ca="1" si="50"/>
        <v>2.0919409761634506</v>
      </c>
      <c r="U125" s="62">
        <f t="shared" ca="1" si="50"/>
        <v>2.159652719160738</v>
      </c>
      <c r="V125" s="62">
        <f t="shared" ca="1" si="50"/>
        <v>1.9173802360564685</v>
      </c>
      <c r="W125" s="62">
        <f t="shared" ca="1" si="50"/>
        <v>2.1672689726381003</v>
      </c>
      <c r="X125" s="62">
        <f t="shared" ca="1" si="50"/>
        <v>2.0057325689908012</v>
      </c>
      <c r="Y125" s="62"/>
      <c r="Z125" s="17"/>
      <c r="AA125" s="17"/>
      <c r="AB125" s="17"/>
    </row>
    <row r="126" spans="1:28" x14ac:dyDescent="0.25">
      <c r="A126" s="50" t="str">
        <f t="shared" si="44"/>
        <v>NI</v>
      </c>
      <c r="B126" s="45">
        <f t="shared" ca="1" si="45"/>
        <v>44</v>
      </c>
      <c r="C126" s="1">
        <f ca="1">IF(ISERROR(D126),"",IF(D126="","",MAX($C$121:C125)+1))</f>
        <v>26</v>
      </c>
      <c r="D126" t="str">
        <f t="shared" ca="1" si="46"/>
        <v>NiSource Inc.</v>
      </c>
      <c r="E126" s="22"/>
      <c r="F126" s="62">
        <f t="shared" ca="1" si="51"/>
        <v>1.5549146636229083</v>
      </c>
      <c r="G126" s="62">
        <f t="shared" si="47"/>
        <v>1.3341902313624678</v>
      </c>
      <c r="H126" s="62">
        <f t="shared" si="48"/>
        <v>2.1461187214611872</v>
      </c>
      <c r="I126" s="62">
        <f t="shared" si="49"/>
        <v>1.8593155893536124</v>
      </c>
      <c r="J126" s="62">
        <f t="shared" ca="1" si="50"/>
        <v>1.9477676807585935</v>
      </c>
      <c r="K126" s="62">
        <f t="shared" ca="1" si="50"/>
        <v>2.0900179586950016</v>
      </c>
      <c r="L126" s="62">
        <f t="shared" ca="1" si="50"/>
        <v>1.9223300970873787</v>
      </c>
      <c r="M126" s="62">
        <f t="shared" ca="1" si="50"/>
        <v>1.9592791949450035</v>
      </c>
      <c r="N126" s="62">
        <f t="shared" ca="1" si="50"/>
        <v>1.840212732179711</v>
      </c>
      <c r="O126" s="62">
        <f t="shared" ca="1" si="50"/>
        <v>1.9531717037529059</v>
      </c>
      <c r="P126" s="62">
        <f t="shared" ca="1" si="50"/>
        <v>1.943654042988741</v>
      </c>
      <c r="Q126" s="62">
        <f t="shared" ca="1" si="50"/>
        <v>1.5801673149677626</v>
      </c>
      <c r="R126" s="62">
        <f t="shared" ca="1" si="50"/>
        <v>1.3676330931232892</v>
      </c>
      <c r="S126" s="62">
        <f t="shared" ca="1" si="50"/>
        <v>1.1479954827780914</v>
      </c>
      <c r="T126" s="62">
        <f t="shared" ca="1" si="50"/>
        <v>0.92171101151642376</v>
      </c>
      <c r="U126" s="62">
        <f t="shared" ca="1" si="50"/>
        <v>0.68660546273592982</v>
      </c>
      <c r="V126" s="62">
        <f t="shared" ca="1" si="50"/>
        <v>0.93765224451919738</v>
      </c>
      <c r="W126" s="62">
        <f t="shared" ca="1" si="50"/>
        <v>1.1584575502268308</v>
      </c>
      <c r="X126" s="62">
        <f t="shared" ca="1" si="50"/>
        <v>1.1921838327602203</v>
      </c>
      <c r="Y126" s="62"/>
      <c r="Z126" s="17"/>
      <c r="AA126" s="17"/>
      <c r="AB126" s="17"/>
    </row>
    <row r="127" spans="1:28" x14ac:dyDescent="0.25">
      <c r="A127" s="50" t="str">
        <f t="shared" si="44"/>
        <v>NWN</v>
      </c>
      <c r="B127" s="45">
        <f t="shared" ca="1" si="45"/>
        <v>45</v>
      </c>
      <c r="C127" s="1">
        <f ca="1">IF(ISERROR(D127),"",IF(D127="","",MAX($C$121:C126)+1))</f>
        <v>27</v>
      </c>
      <c r="D127" t="str">
        <f t="shared" ca="1" si="46"/>
        <v>Northwest Nat. Gas</v>
      </c>
      <c r="E127" s="22"/>
      <c r="F127" s="62">
        <f t="shared" ca="1" si="51"/>
        <v>1.8218154191215206</v>
      </c>
      <c r="G127" s="62">
        <f t="shared" si="47"/>
        <v>1.389589905362776</v>
      </c>
      <c r="H127" s="62">
        <f t="shared" si="48"/>
        <v>1.5114873035066507</v>
      </c>
      <c r="I127" s="62">
        <f t="shared" si="49"/>
        <v>1.4506627393225331</v>
      </c>
      <c r="J127" s="62">
        <f t="shared" ca="1" si="50"/>
        <v>1.9762166999380466</v>
      </c>
      <c r="K127" s="62">
        <f t="shared" ca="1" si="50"/>
        <v>2.3776346810232587</v>
      </c>
      <c r="L127" s="62">
        <f t="shared" ca="1" si="50"/>
        <v>2.349831484076192</v>
      </c>
      <c r="M127" s="62">
        <f t="shared" ca="1" si="50"/>
        <v>2.4074589910244506</v>
      </c>
      <c r="N127" s="62">
        <f t="shared" ca="1" si="50"/>
        <v>1.921362687672524</v>
      </c>
      <c r="O127" s="62">
        <f t="shared" ca="1" si="50"/>
        <v>1.6307638279192274</v>
      </c>
      <c r="P127" s="62">
        <f t="shared" ca="1" si="50"/>
        <v>1.5891263378729155</v>
      </c>
      <c r="Q127" s="62">
        <f t="shared" ca="1" si="50"/>
        <v>1.5631976953546993</v>
      </c>
      <c r="R127" s="62">
        <f t="shared" ca="1" si="50"/>
        <v>1.7180993647413065</v>
      </c>
      <c r="S127" s="62">
        <f t="shared" ca="1" si="50"/>
        <v>1.7021420011983224</v>
      </c>
      <c r="T127" s="62">
        <f t="shared" ca="1" si="50"/>
        <v>1.7765337423312886</v>
      </c>
      <c r="U127" s="62">
        <f t="shared" ca="1" si="50"/>
        <v>1.7259536154990152</v>
      </c>
      <c r="V127" s="62">
        <f t="shared" ca="1" si="50"/>
        <v>1.9591328919067101</v>
      </c>
      <c r="W127" s="62">
        <f t="shared" ca="1" si="50"/>
        <v>2.0512387887398988</v>
      </c>
      <c r="X127" s="62">
        <f t="shared" ca="1" si="50"/>
        <v>1.6922447866975603</v>
      </c>
      <c r="Y127" s="62"/>
      <c r="Z127" s="17"/>
      <c r="AA127" s="17"/>
      <c r="AB127" s="17"/>
    </row>
    <row r="128" spans="1:28" x14ac:dyDescent="0.25">
      <c r="A128" s="50" t="str">
        <f t="shared" si="44"/>
        <v>OGS</v>
      </c>
      <c r="B128" s="45">
        <f t="shared" ca="1" si="45"/>
        <v>48</v>
      </c>
      <c r="C128" s="1">
        <f ca="1">IF(ISERROR(D128),"",IF(D128="","",MAX($C$121:C127)+1))</f>
        <v>28</v>
      </c>
      <c r="D128" t="str">
        <f t="shared" ca="1" si="46"/>
        <v>ONE Gas Inc.</v>
      </c>
      <c r="E128" s="22"/>
      <c r="F128" s="62">
        <f t="shared" ca="1" si="51"/>
        <v>1.6696743907757632</v>
      </c>
      <c r="G128" s="62">
        <f t="shared" si="47"/>
        <v>1.4856535600425083</v>
      </c>
      <c r="H128" s="62">
        <f t="shared" si="48"/>
        <v>1.726279717284215</v>
      </c>
      <c r="I128" s="62">
        <f t="shared" si="49"/>
        <v>1.5678610206297505</v>
      </c>
      <c r="J128" s="62">
        <f t="shared" ca="1" si="50"/>
        <v>1.901585487787459</v>
      </c>
      <c r="K128" s="62">
        <f t="shared" ca="1" si="50"/>
        <v>2.1980372233649725</v>
      </c>
      <c r="L128" s="62">
        <f t="shared" ca="1" si="50"/>
        <v>1.9284354091610909</v>
      </c>
      <c r="M128" s="62">
        <f t="shared" ca="1" si="50"/>
        <v>1.8911958581302875</v>
      </c>
      <c r="N128" s="62">
        <f t="shared" ca="1" si="50"/>
        <v>1.6683833097987097</v>
      </c>
      <c r="O128" s="62">
        <f t="shared" ca="1" si="50"/>
        <v>1.2579812139958568</v>
      </c>
      <c r="P128" s="62">
        <f t="shared" ca="1" si="50"/>
        <v>1.0713311075627812</v>
      </c>
      <c r="Q128" s="62" t="str">
        <f t="shared" ca="1" si="50"/>
        <v>N/A</v>
      </c>
      <c r="R128" s="62" t="str">
        <f t="shared" ca="1" si="50"/>
        <v>N/A</v>
      </c>
      <c r="S128" s="62" t="str">
        <f t="shared" ca="1" si="50"/>
        <v>N/A</v>
      </c>
      <c r="T128" s="62" t="str">
        <f t="shared" ca="1" si="50"/>
        <v>N/A</v>
      </c>
      <c r="U128" s="62" t="str">
        <f t="shared" ca="1" si="50"/>
        <v>N/A</v>
      </c>
      <c r="V128" s="62" t="str">
        <f t="shared" ca="1" si="50"/>
        <v>N/A</v>
      </c>
      <c r="W128" s="62" t="str">
        <f t="shared" ca="1" si="50"/>
        <v>N/A</v>
      </c>
      <c r="X128" s="62" t="str">
        <f t="shared" ca="1" si="50"/>
        <v>N/A</v>
      </c>
      <c r="Y128" s="62"/>
      <c r="Z128" s="17"/>
      <c r="AA128" s="17"/>
      <c r="AB128" s="17"/>
    </row>
    <row r="129" spans="1:28" hidden="1" x14ac:dyDescent="0.25">
      <c r="A129" s="50" t="str">
        <f t="shared" si="44"/>
        <v>SJI</v>
      </c>
      <c r="B129" s="45">
        <f t="shared" ca="1" si="45"/>
        <v>61</v>
      </c>
      <c r="C129" s="1" t="str">
        <f>IF(ISERROR(D129),"",IF(D129="","",MAX($C$121:C128)+1))</f>
        <v/>
      </c>
      <c r="E129" s="2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17"/>
      <c r="AA129" s="17"/>
      <c r="AB129" s="17"/>
    </row>
    <row r="130" spans="1:28" x14ac:dyDescent="0.25">
      <c r="A130" s="50" t="str">
        <f t="shared" si="44"/>
        <v>SWX</v>
      </c>
      <c r="B130" s="45">
        <f t="shared" ca="1" si="45"/>
        <v>63</v>
      </c>
      <c r="C130" s="1">
        <f ca="1">IF(ISERROR(D130),"",IF(D130="","",MAX($C$121:C129)+1))</f>
        <v>29</v>
      </c>
      <c r="D130" t="str">
        <f t="shared" ca="1" si="46"/>
        <v>Southwest Gas</v>
      </c>
      <c r="E130" s="22"/>
      <c r="F130" s="62">
        <f t="shared" ca="1" si="51"/>
        <v>1.5338464597257568</v>
      </c>
      <c r="G130" s="62">
        <f t="shared" si="47"/>
        <v>1.218</v>
      </c>
      <c r="H130" s="62">
        <f t="shared" si="48"/>
        <v>1.6173096976016683</v>
      </c>
      <c r="I130" s="62">
        <f t="shared" si="49"/>
        <v>1.315524193548387</v>
      </c>
      <c r="J130" s="62">
        <f t="shared" ca="1" si="50"/>
        <v>1.4867759936712919</v>
      </c>
      <c r="K130" s="62">
        <f t="shared" ca="1" si="50"/>
        <v>1.8417991043989816</v>
      </c>
      <c r="L130" s="62">
        <f t="shared" ca="1" si="50"/>
        <v>1.7856840122439368</v>
      </c>
      <c r="M130" s="62">
        <f t="shared" ca="1" si="50"/>
        <v>2.1309060073667752</v>
      </c>
      <c r="N130" s="62">
        <f t="shared" ca="1" si="50"/>
        <v>1.9644916366957812</v>
      </c>
      <c r="O130" s="62">
        <f t="shared" ca="1" si="50"/>
        <v>1.6815436341456156</v>
      </c>
      <c r="P130" s="62">
        <f t="shared" ca="1" si="50"/>
        <v>1.6827558143174635</v>
      </c>
      <c r="Q130" s="62">
        <f t="shared" ca="1" si="50"/>
        <v>1.6084088223710122</v>
      </c>
      <c r="R130" s="62">
        <f t="shared" ca="1" si="50"/>
        <v>1.5132075471698112</v>
      </c>
      <c r="S130" s="62">
        <f t="shared" ca="1" si="50"/>
        <v>1.4300558952620326</v>
      </c>
      <c r="T130" s="62">
        <f t="shared" ca="1" si="50"/>
        <v>1.2379465157134493</v>
      </c>
      <c r="U130" s="62">
        <f t="shared" ca="1" si="50"/>
        <v>0.9682909864571827</v>
      </c>
      <c r="V130" s="62">
        <f t="shared" ca="1" si="50"/>
        <v>1.1996593570364062</v>
      </c>
      <c r="W130" s="62">
        <f t="shared" ca="1" si="50"/>
        <v>1.4646649260226283</v>
      </c>
      <c r="X130" s="62">
        <f t="shared" ca="1" si="50"/>
        <v>1.4622121310411937</v>
      </c>
      <c r="Y130" s="62"/>
      <c r="Z130" s="17"/>
      <c r="AA130" s="17"/>
      <c r="AB130" s="17"/>
    </row>
    <row r="131" spans="1:28" x14ac:dyDescent="0.25">
      <c r="A131" s="50" t="str">
        <f t="shared" si="44"/>
        <v>SR</v>
      </c>
      <c r="B131" s="45">
        <f t="shared" ca="1" si="45"/>
        <v>64</v>
      </c>
      <c r="C131" s="1">
        <f ca="1">IF(ISERROR(D131),"",IF(D131="","",MAX($C$121:C130)+1))</f>
        <v>30</v>
      </c>
      <c r="D131" t="str">
        <f t="shared" ca="1" si="46"/>
        <v>Spire Inc.</v>
      </c>
      <c r="E131" s="22"/>
      <c r="F131" s="62">
        <f t="shared" ca="1" si="51"/>
        <v>1.5428152916483657</v>
      </c>
      <c r="G131" s="62">
        <f t="shared" si="47"/>
        <v>1.2885265460330084</v>
      </c>
      <c r="H131" s="62">
        <f t="shared" si="48"/>
        <v>1.4333740831295843</v>
      </c>
      <c r="I131" s="62">
        <f t="shared" si="49"/>
        <v>1.4676936243046639</v>
      </c>
      <c r="J131" s="62">
        <f t="shared" ca="1" si="50"/>
        <v>1.6657087255611875</v>
      </c>
      <c r="K131" s="62">
        <f t="shared" ca="1" si="50"/>
        <v>1.7768990496444474</v>
      </c>
      <c r="L131" s="62">
        <f t="shared" ca="1" si="50"/>
        <v>1.6286677151201978</v>
      </c>
      <c r="M131" s="62">
        <f t="shared" ca="1" si="50"/>
        <v>1.6476647519329115</v>
      </c>
      <c r="N131" s="62">
        <f t="shared" ca="1" si="50"/>
        <v>1.6407197996540419</v>
      </c>
      <c r="O131" s="62">
        <f t="shared" ca="1" si="50"/>
        <v>1.4353647784879877</v>
      </c>
      <c r="P131" s="62">
        <f t="shared" ca="1" si="50"/>
        <v>1.3319496135127398</v>
      </c>
      <c r="Q131" s="62">
        <f t="shared" ca="1" si="50"/>
        <v>1.3416669270914716</v>
      </c>
      <c r="R131" s="62">
        <f t="shared" ca="1" si="50"/>
        <v>1.5124840668816075</v>
      </c>
      <c r="S131" s="62">
        <f t="shared" ca="1" si="50"/>
        <v>1.4598200312989047</v>
      </c>
      <c r="T131" s="62">
        <f t="shared" ca="1" si="50"/>
        <v>1.3895941727367325</v>
      </c>
      <c r="U131" s="62">
        <f t="shared" ca="1" si="50"/>
        <v>1.6762852120224669</v>
      </c>
      <c r="V131" s="62">
        <f t="shared" ca="1" si="50"/>
        <v>1.7083954970839548</v>
      </c>
      <c r="W131" s="62">
        <f t="shared" ca="1" si="50"/>
        <v>1.6559025672124521</v>
      </c>
      <c r="X131" s="62">
        <f t="shared" ca="1" si="50"/>
        <v>1.7099580879622263</v>
      </c>
      <c r="Y131" s="62"/>
      <c r="Z131" s="17"/>
      <c r="AA131" s="17"/>
      <c r="AB131" s="17"/>
    </row>
    <row r="132" spans="1:28" x14ac:dyDescent="0.25">
      <c r="A132" s="50" t="str">
        <f t="shared" si="44"/>
        <v>UGI</v>
      </c>
      <c r="B132" s="45">
        <f t="shared" ca="1" si="45"/>
        <v>66</v>
      </c>
      <c r="C132" s="1">
        <f ca="1">IF(ISERROR(D132),"",IF(D132="","",MAX($C$121:C131)+1))</f>
        <v>31</v>
      </c>
      <c r="D132" t="str">
        <f t="shared" ca="1" si="46"/>
        <v>UGI Corp.</v>
      </c>
      <c r="E132" s="22"/>
      <c r="F132" s="62">
        <f t="shared" ca="1" si="51"/>
        <v>1.9713806546957149</v>
      </c>
      <c r="G132" s="62">
        <f t="shared" si="47"/>
        <v>1.5850000000000002</v>
      </c>
      <c r="H132" s="62">
        <f t="shared" si="48"/>
        <v>1.3924501424501425</v>
      </c>
      <c r="I132" s="62">
        <f t="shared" si="49"/>
        <v>1.6422635536208943</v>
      </c>
      <c r="J132" s="62">
        <f t="shared" ca="1" si="50"/>
        <v>1.8698675328630159</v>
      </c>
      <c r="K132" s="62">
        <f t="shared" ca="1" si="50"/>
        <v>2.9214891869696138</v>
      </c>
      <c r="L132" s="62">
        <f t="shared" ca="1" si="50"/>
        <v>2.3032166508987699</v>
      </c>
      <c r="M132" s="62">
        <f t="shared" ca="1" si="50"/>
        <v>2.6248831197403879</v>
      </c>
      <c r="N132" s="62">
        <f t="shared" ca="1" si="50"/>
        <v>2.4064986334649254</v>
      </c>
      <c r="O132" s="62">
        <f t="shared" ca="1" si="50"/>
        <v>2.2897106109324756</v>
      </c>
      <c r="P132" s="62">
        <f t="shared" ca="1" si="50"/>
        <v>1.9712875146160842</v>
      </c>
      <c r="Q132" s="62">
        <f t="shared" ca="1" si="50"/>
        <v>1.6857260386672153</v>
      </c>
      <c r="R132" s="62">
        <f t="shared" ca="1" si="50"/>
        <v>1.4543871602695131</v>
      </c>
      <c r="S132" s="62">
        <f t="shared" ca="1" si="50"/>
        <v>1.7501908558826025</v>
      </c>
      <c r="T132" s="62">
        <f t="shared" ca="1" si="50"/>
        <v>1.5532029912604739</v>
      </c>
      <c r="U132" s="62">
        <f t="shared" ca="1" si="50"/>
        <v>1.6565057283142388</v>
      </c>
      <c r="V132" s="62">
        <f t="shared" ca="1" si="50"/>
        <v>2.0057954545454542</v>
      </c>
      <c r="W132" s="62">
        <f t="shared" ca="1" si="50"/>
        <v>2.1626527895437495</v>
      </c>
      <c r="X132" s="62">
        <f t="shared" ca="1" si="50"/>
        <v>2.2097238204833141</v>
      </c>
      <c r="Y132" s="62"/>
      <c r="Z132" s="17"/>
      <c r="AA132" s="17"/>
      <c r="AB132" s="17"/>
    </row>
    <row r="133" spans="1:28" hidden="1" x14ac:dyDescent="0.25">
      <c r="A133" s="50" t="str">
        <f t="shared" si="44"/>
        <v>WGL</v>
      </c>
      <c r="B133" s="45">
        <f t="shared" ca="1" si="45"/>
        <v>73</v>
      </c>
      <c r="C133" s="1"/>
      <c r="E133" s="2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17"/>
      <c r="AA133" s="17"/>
      <c r="AB133" s="17"/>
    </row>
    <row r="134" spans="1:28" hidden="1" x14ac:dyDescent="0.25">
      <c r="A134" s="50">
        <f t="shared" si="44"/>
        <v>0</v>
      </c>
      <c r="B134" s="45" t="e">
        <f t="shared" ca="1" si="45"/>
        <v>#N/A</v>
      </c>
      <c r="C134" s="1" t="str">
        <f>IF(ISERROR(D134),"",IF(D134="","",MAX($C$121:C133)+1))</f>
        <v/>
      </c>
      <c r="D134" t="e">
        <f t="shared" si="46"/>
        <v>#N/A</v>
      </c>
      <c r="E134" s="22"/>
      <c r="F134" s="62" t="e">
        <f t="shared" ca="1" si="51"/>
        <v>#DIV/0!</v>
      </c>
      <c r="G134" s="62"/>
      <c r="H134" s="62"/>
      <c r="I134" s="62"/>
      <c r="J134" s="62" t="str">
        <f t="shared" ref="J134:J167" si="52">IFERROR(IF(VLOOKUP(A134,lucyr,18,FALSE)=0,"",VLOOKUP(A134,lucyr,18,FALSE)),"N/A")</f>
        <v>N/A</v>
      </c>
      <c r="K134" s="62" t="str">
        <f>IFERROR(IF(VLOOKUP(#REF!,LUCurYr,18,FALSE)=0,"",VLOOKUP(#REF!,LUCurYr,18,FALSE)),"N/A")</f>
        <v>N/A</v>
      </c>
      <c r="L134" s="62" t="str">
        <f t="shared" ref="L134:L167" si="53">IFERROR(IF(VLOOKUP(A134,LUCurYr,18,FALSE)=0,"",VLOOKUP(A134,LUCurYr,18,FALSE)),"N/A")</f>
        <v>N/A</v>
      </c>
      <c r="M134" s="62"/>
      <c r="N134" s="62" t="str">
        <f t="shared" ca="1" si="50"/>
        <v>N/A</v>
      </c>
      <c r="O134" s="62" t="str">
        <f t="shared" ca="1" si="50"/>
        <v>N/A</v>
      </c>
      <c r="P134" s="62" t="str">
        <f t="shared" ca="1" si="50"/>
        <v>N/A</v>
      </c>
      <c r="Q134" s="62" t="str">
        <f t="shared" ca="1" si="50"/>
        <v>N/A</v>
      </c>
      <c r="R134" s="62" t="str">
        <f t="shared" ca="1" si="50"/>
        <v>N/A</v>
      </c>
      <c r="S134" s="62" t="str">
        <f t="shared" ca="1" si="50"/>
        <v>N/A</v>
      </c>
      <c r="T134" s="62" t="str">
        <f t="shared" ca="1" si="50"/>
        <v>N/A</v>
      </c>
      <c r="U134" s="62" t="str">
        <f t="shared" ca="1" si="50"/>
        <v>N/A</v>
      </c>
      <c r="V134" s="62" t="str">
        <f t="shared" ca="1" si="50"/>
        <v>N/A</v>
      </c>
      <c r="W134" s="62" t="str">
        <f t="shared" ca="1" si="50"/>
        <v>N/A</v>
      </c>
      <c r="X134" s="62" t="str">
        <f t="shared" ca="1" si="50"/>
        <v>N/A</v>
      </c>
      <c r="Y134" s="62"/>
      <c r="Z134" s="17"/>
      <c r="AA134" s="17"/>
      <c r="AB134" s="17"/>
    </row>
    <row r="135" spans="1:28" hidden="1" x14ac:dyDescent="0.25">
      <c r="A135" s="50">
        <f t="shared" si="44"/>
        <v>0</v>
      </c>
      <c r="B135" s="45" t="e">
        <f t="shared" ca="1" si="45"/>
        <v>#N/A</v>
      </c>
      <c r="C135" s="1" t="str">
        <f>IF(ISERROR(D135),"",IF(D135="","",MAX($C$121:C134)+1))</f>
        <v/>
      </c>
      <c r="D135" t="e">
        <f t="shared" si="46"/>
        <v>#N/A</v>
      </c>
      <c r="E135" s="22"/>
      <c r="F135" s="62" t="e">
        <f t="shared" ca="1" si="51"/>
        <v>#DIV/0!</v>
      </c>
      <c r="G135" s="62"/>
      <c r="H135" s="62"/>
      <c r="I135" s="62"/>
      <c r="J135" s="62" t="str">
        <f t="shared" si="52"/>
        <v>N/A</v>
      </c>
      <c r="K135" s="62" t="str">
        <f>IFERROR(IF(VLOOKUP(#REF!,LUCurYr,18,FALSE)=0,"",VLOOKUP(#REF!,LUCurYr,18,FALSE)),"N/A")</f>
        <v>N/A</v>
      </c>
      <c r="L135" s="62" t="str">
        <f t="shared" si="53"/>
        <v>N/A</v>
      </c>
      <c r="M135" s="62"/>
      <c r="N135" s="62" t="str">
        <f t="shared" ca="1" si="50"/>
        <v>N/A</v>
      </c>
      <c r="O135" s="62" t="str">
        <f t="shared" ca="1" si="50"/>
        <v>N/A</v>
      </c>
      <c r="P135" s="62" t="str">
        <f t="shared" ca="1" si="50"/>
        <v>N/A</v>
      </c>
      <c r="Q135" s="62" t="str">
        <f t="shared" ca="1" si="50"/>
        <v>N/A</v>
      </c>
      <c r="R135" s="62" t="str">
        <f t="shared" ca="1" si="50"/>
        <v>N/A</v>
      </c>
      <c r="S135" s="62" t="str">
        <f t="shared" ca="1" si="50"/>
        <v>N/A</v>
      </c>
      <c r="T135" s="62" t="str">
        <f t="shared" ca="1" si="50"/>
        <v>N/A</v>
      </c>
      <c r="U135" s="62" t="str">
        <f t="shared" ca="1" si="50"/>
        <v>N/A</v>
      </c>
      <c r="V135" s="62" t="str">
        <f t="shared" ca="1" si="50"/>
        <v>N/A</v>
      </c>
      <c r="W135" s="62" t="str">
        <f t="shared" ca="1" si="50"/>
        <v>N/A</v>
      </c>
      <c r="X135" s="62" t="str">
        <f t="shared" ca="1" si="50"/>
        <v>N/A</v>
      </c>
      <c r="Y135" s="62"/>
      <c r="Z135" s="17"/>
      <c r="AA135" s="17"/>
      <c r="AB135" s="17"/>
    </row>
    <row r="136" spans="1:28" hidden="1" x14ac:dyDescent="0.25">
      <c r="A136" s="50">
        <f t="shared" si="44"/>
        <v>0</v>
      </c>
      <c r="B136" s="45" t="e">
        <f t="shared" ca="1" si="45"/>
        <v>#N/A</v>
      </c>
      <c r="C136" s="1" t="str">
        <f>IF(ISERROR(D136),"",IF(D136="","",MAX($C$121:C135)+1))</f>
        <v/>
      </c>
      <c r="D136" t="e">
        <f t="shared" si="46"/>
        <v>#N/A</v>
      </c>
      <c r="E136" s="22"/>
      <c r="F136" s="62" t="e">
        <f t="shared" ca="1" si="51"/>
        <v>#DIV/0!</v>
      </c>
      <c r="G136" s="62"/>
      <c r="H136" s="62"/>
      <c r="I136" s="62"/>
      <c r="J136" s="62" t="str">
        <f t="shared" si="52"/>
        <v>N/A</v>
      </c>
      <c r="K136" s="62" t="str">
        <f>IFERROR(IF(VLOOKUP(#REF!,LUCurYr,18,FALSE)=0,"",VLOOKUP(#REF!,LUCurYr,18,FALSE)),"N/A")</f>
        <v>N/A</v>
      </c>
      <c r="L136" s="62" t="str">
        <f t="shared" si="53"/>
        <v>N/A</v>
      </c>
      <c r="M136" s="62"/>
      <c r="N136" s="62" t="str">
        <f t="shared" ca="1" si="50"/>
        <v>N/A</v>
      </c>
      <c r="O136" s="62" t="str">
        <f t="shared" ca="1" si="50"/>
        <v>N/A</v>
      </c>
      <c r="P136" s="62" t="str">
        <f t="shared" ca="1" si="50"/>
        <v>N/A</v>
      </c>
      <c r="Q136" s="62" t="str">
        <f t="shared" ca="1" si="50"/>
        <v>N/A</v>
      </c>
      <c r="R136" s="62" t="str">
        <f t="shared" ca="1" si="50"/>
        <v>N/A</v>
      </c>
      <c r="S136" s="62" t="str">
        <f t="shared" ca="1" si="50"/>
        <v>N/A</v>
      </c>
      <c r="T136" s="62" t="str">
        <f t="shared" ca="1" si="50"/>
        <v>N/A</v>
      </c>
      <c r="U136" s="62" t="str">
        <f t="shared" ca="1" si="50"/>
        <v>N/A</v>
      </c>
      <c r="V136" s="62" t="str">
        <f t="shared" ca="1" si="50"/>
        <v>N/A</v>
      </c>
      <c r="W136" s="62" t="str">
        <f t="shared" ca="1" si="50"/>
        <v>N/A</v>
      </c>
      <c r="X136" s="62" t="str">
        <f t="shared" ca="1" si="50"/>
        <v>N/A</v>
      </c>
      <c r="Y136" s="62"/>
      <c r="Z136" s="17"/>
      <c r="AA136" s="17"/>
      <c r="AB136" s="17"/>
    </row>
    <row r="137" spans="1:28" hidden="1" x14ac:dyDescent="0.25">
      <c r="A137" s="50">
        <f t="shared" si="44"/>
        <v>0</v>
      </c>
      <c r="B137" s="45" t="e">
        <f t="shared" ca="1" si="45"/>
        <v>#N/A</v>
      </c>
      <c r="C137" s="1" t="str">
        <f>IF(ISERROR(D137),"",IF(D137="","",MAX($C$121:C136)+1))</f>
        <v/>
      </c>
      <c r="D137" t="e">
        <f t="shared" si="46"/>
        <v>#N/A</v>
      </c>
      <c r="E137" s="22"/>
      <c r="F137" s="62" t="e">
        <f t="shared" ca="1" si="51"/>
        <v>#DIV/0!</v>
      </c>
      <c r="G137" s="62"/>
      <c r="H137" s="62"/>
      <c r="I137" s="62"/>
      <c r="J137" s="62" t="str">
        <f t="shared" si="52"/>
        <v>N/A</v>
      </c>
      <c r="K137" s="62" t="str">
        <f>IFERROR(IF(VLOOKUP(#REF!,LUCurYr,18,FALSE)=0,"",VLOOKUP(#REF!,LUCurYr,18,FALSE)),"N/A")</f>
        <v>N/A</v>
      </c>
      <c r="L137" s="62" t="str">
        <f t="shared" si="53"/>
        <v>N/A</v>
      </c>
      <c r="M137" s="62"/>
      <c r="N137" s="62" t="str">
        <f t="shared" ca="1" si="50"/>
        <v>N/A</v>
      </c>
      <c r="O137" s="62" t="str">
        <f t="shared" ca="1" si="50"/>
        <v>N/A</v>
      </c>
      <c r="P137" s="62" t="str">
        <f t="shared" ca="1" si="50"/>
        <v>N/A</v>
      </c>
      <c r="Q137" s="62" t="str">
        <f t="shared" ca="1" si="50"/>
        <v>N/A</v>
      </c>
      <c r="R137" s="62" t="str">
        <f t="shared" ca="1" si="50"/>
        <v>N/A</v>
      </c>
      <c r="S137" s="62" t="str">
        <f t="shared" ca="1" si="50"/>
        <v>N/A</v>
      </c>
      <c r="T137" s="62" t="str">
        <f t="shared" ca="1" si="50"/>
        <v>N/A</v>
      </c>
      <c r="U137" s="62" t="str">
        <f t="shared" ca="1" si="50"/>
        <v>N/A</v>
      </c>
      <c r="V137" s="62" t="str">
        <f t="shared" ca="1" si="50"/>
        <v>N/A</v>
      </c>
      <c r="W137" s="62" t="str">
        <f t="shared" ca="1" si="50"/>
        <v>N/A</v>
      </c>
      <c r="X137" s="62" t="str">
        <f t="shared" ca="1" si="50"/>
        <v>N/A</v>
      </c>
      <c r="Y137" s="62"/>
      <c r="Z137" s="17"/>
      <c r="AA137" s="17"/>
      <c r="AB137" s="17"/>
    </row>
    <row r="138" spans="1:28" hidden="1" x14ac:dyDescent="0.25">
      <c r="A138" s="50">
        <f t="shared" si="44"/>
        <v>0</v>
      </c>
      <c r="B138" s="45" t="e">
        <f t="shared" ca="1" si="45"/>
        <v>#N/A</v>
      </c>
      <c r="C138" s="1" t="str">
        <f>IF(ISERROR(D138),"",IF(D138="","",MAX($C$121:C137)+1))</f>
        <v/>
      </c>
      <c r="D138" t="e">
        <f t="shared" si="46"/>
        <v>#N/A</v>
      </c>
      <c r="E138" s="22"/>
      <c r="F138" s="62" t="e">
        <f t="shared" ca="1" si="51"/>
        <v>#DIV/0!</v>
      </c>
      <c r="G138" s="62"/>
      <c r="H138" s="62"/>
      <c r="I138" s="62"/>
      <c r="J138" s="62" t="str">
        <f t="shared" si="52"/>
        <v>N/A</v>
      </c>
      <c r="K138" s="62" t="str">
        <f>IFERROR(IF(VLOOKUP(#REF!,LUCurYr,18,FALSE)=0,"",VLOOKUP(#REF!,LUCurYr,18,FALSE)),"N/A")</f>
        <v>N/A</v>
      </c>
      <c r="L138" s="62" t="str">
        <f t="shared" si="53"/>
        <v>N/A</v>
      </c>
      <c r="M138" s="62"/>
      <c r="N138" s="62" t="str">
        <f t="shared" ca="1" si="50"/>
        <v>N/A</v>
      </c>
      <c r="O138" s="62" t="str">
        <f t="shared" ca="1" si="50"/>
        <v>N/A</v>
      </c>
      <c r="P138" s="62" t="str">
        <f t="shared" ca="1" si="50"/>
        <v>N/A</v>
      </c>
      <c r="Q138" s="62" t="str">
        <f t="shared" ca="1" si="50"/>
        <v>N/A</v>
      </c>
      <c r="R138" s="62" t="str">
        <f t="shared" ca="1" si="50"/>
        <v>N/A</v>
      </c>
      <c r="S138" s="62" t="str">
        <f t="shared" ca="1" si="50"/>
        <v>N/A</v>
      </c>
      <c r="T138" s="62" t="str">
        <f t="shared" ca="1" si="50"/>
        <v>N/A</v>
      </c>
      <c r="U138" s="62" t="str">
        <f t="shared" ca="1" si="50"/>
        <v>N/A</v>
      </c>
      <c r="V138" s="62" t="str">
        <f t="shared" ca="1" si="50"/>
        <v>N/A</v>
      </c>
      <c r="W138" s="62" t="str">
        <f t="shared" ca="1" si="50"/>
        <v>N/A</v>
      </c>
      <c r="X138" s="62" t="str">
        <f t="shared" ca="1" si="50"/>
        <v>N/A</v>
      </c>
      <c r="Y138" s="62"/>
      <c r="Z138" s="17"/>
      <c r="AA138" s="17"/>
      <c r="AB138" s="17"/>
    </row>
    <row r="139" spans="1:28" hidden="1" x14ac:dyDescent="0.25">
      <c r="A139" s="50">
        <f t="shared" si="44"/>
        <v>0</v>
      </c>
      <c r="B139" s="45" t="e">
        <f t="shared" ca="1" si="45"/>
        <v>#N/A</v>
      </c>
      <c r="C139" s="1" t="str">
        <f>IF(ISERROR(D139),"",IF(D139="","",MAX($C$121:C138)+1))</f>
        <v/>
      </c>
      <c r="D139" t="e">
        <f t="shared" si="46"/>
        <v>#N/A</v>
      </c>
      <c r="E139" s="22"/>
      <c r="F139" s="62" t="e">
        <f t="shared" ca="1" si="51"/>
        <v>#DIV/0!</v>
      </c>
      <c r="G139" s="62"/>
      <c r="H139" s="62"/>
      <c r="I139" s="62"/>
      <c r="J139" s="62" t="str">
        <f t="shared" si="52"/>
        <v>N/A</v>
      </c>
      <c r="K139" s="62" t="str">
        <f>IFERROR(IF(VLOOKUP(#REF!,LUCurYr,18,FALSE)=0,"",VLOOKUP(#REF!,LUCurYr,18,FALSE)),"N/A")</f>
        <v>N/A</v>
      </c>
      <c r="L139" s="62" t="str">
        <f t="shared" si="53"/>
        <v>N/A</v>
      </c>
      <c r="M139" s="62"/>
      <c r="N139" s="62" t="str">
        <f t="shared" ref="N139:N167" ca="1" si="54">IFERROR(IF(INDEX(MP_BV_WP,$B139,N$122)=0,"N/A",INDEX(MP_BV_WP,$B139,N$122)),"N/A")</f>
        <v>N/A</v>
      </c>
      <c r="O139" s="62" t="str">
        <f t="shared" ref="O139:X162" ca="1" si="55">IFERROR(IF(INDEX(MP_BV_WP,$B139,O$122)=0,"N/A",INDEX(MP_BV_WP,$B139,O$122)),"N/A")</f>
        <v>N/A</v>
      </c>
      <c r="P139" s="62" t="str">
        <f t="shared" ca="1" si="55"/>
        <v>N/A</v>
      </c>
      <c r="Q139" s="62" t="str">
        <f t="shared" ca="1" si="55"/>
        <v>N/A</v>
      </c>
      <c r="R139" s="62" t="str">
        <f t="shared" ca="1" si="55"/>
        <v>N/A</v>
      </c>
      <c r="S139" s="62" t="str">
        <f t="shared" ca="1" si="55"/>
        <v>N/A</v>
      </c>
      <c r="T139" s="62" t="str">
        <f t="shared" ca="1" si="55"/>
        <v>N/A</v>
      </c>
      <c r="U139" s="62" t="str">
        <f t="shared" ca="1" si="55"/>
        <v>N/A</v>
      </c>
      <c r="V139" s="62" t="str">
        <f t="shared" ca="1" si="55"/>
        <v>N/A</v>
      </c>
      <c r="W139" s="62" t="str">
        <f t="shared" ca="1" si="55"/>
        <v>N/A</v>
      </c>
      <c r="X139" s="62" t="str">
        <f t="shared" ca="1" si="55"/>
        <v>N/A</v>
      </c>
      <c r="Y139" s="62"/>
      <c r="Z139" s="17"/>
      <c r="AA139" s="17"/>
      <c r="AB139" s="17"/>
    </row>
    <row r="140" spans="1:28" hidden="1" x14ac:dyDescent="0.25">
      <c r="A140" s="50">
        <f t="shared" si="44"/>
        <v>0</v>
      </c>
      <c r="B140" s="45" t="e">
        <f t="shared" ca="1" si="45"/>
        <v>#N/A</v>
      </c>
      <c r="C140" s="1" t="str">
        <f>IF(ISERROR(D140),"",IF(D140="","",MAX($C$121:C139)+1))</f>
        <v/>
      </c>
      <c r="D140" t="e">
        <f t="shared" si="46"/>
        <v>#N/A</v>
      </c>
      <c r="E140" s="22"/>
      <c r="F140" s="62" t="e">
        <f t="shared" ca="1" si="51"/>
        <v>#DIV/0!</v>
      </c>
      <c r="G140" s="62"/>
      <c r="H140" s="62"/>
      <c r="I140" s="62"/>
      <c r="J140" s="62" t="str">
        <f t="shared" si="52"/>
        <v>N/A</v>
      </c>
      <c r="K140" s="62" t="str">
        <f>IFERROR(IF(VLOOKUP(#REF!,LUCurYr,18,FALSE)=0,"",VLOOKUP(#REF!,LUCurYr,18,FALSE)),"N/A")</f>
        <v>N/A</v>
      </c>
      <c r="L140" s="62" t="str">
        <f t="shared" si="53"/>
        <v>N/A</v>
      </c>
      <c r="M140" s="62"/>
      <c r="N140" s="62" t="str">
        <f t="shared" ca="1" si="54"/>
        <v>N/A</v>
      </c>
      <c r="O140" s="62" t="str">
        <f t="shared" ca="1" si="55"/>
        <v>N/A</v>
      </c>
      <c r="P140" s="62" t="str">
        <f t="shared" ca="1" si="55"/>
        <v>N/A</v>
      </c>
      <c r="Q140" s="62" t="str">
        <f t="shared" ca="1" si="55"/>
        <v>N/A</v>
      </c>
      <c r="R140" s="62" t="str">
        <f t="shared" ca="1" si="55"/>
        <v>N/A</v>
      </c>
      <c r="S140" s="62" t="str">
        <f t="shared" ca="1" si="55"/>
        <v>N/A</v>
      </c>
      <c r="T140" s="62" t="str">
        <f t="shared" ca="1" si="55"/>
        <v>N/A</v>
      </c>
      <c r="U140" s="62" t="str">
        <f t="shared" ca="1" si="55"/>
        <v>N/A</v>
      </c>
      <c r="V140" s="62" t="str">
        <f t="shared" ca="1" si="55"/>
        <v>N/A</v>
      </c>
      <c r="W140" s="62" t="str">
        <f t="shared" ca="1" si="55"/>
        <v>N/A</v>
      </c>
      <c r="X140" s="62" t="str">
        <f t="shared" ca="1" si="55"/>
        <v>N/A</v>
      </c>
      <c r="Y140" s="62"/>
      <c r="Z140" s="17"/>
      <c r="AA140" s="17"/>
      <c r="AB140" s="17"/>
    </row>
    <row r="141" spans="1:28" hidden="1" x14ac:dyDescent="0.25">
      <c r="A141" s="50">
        <f t="shared" si="44"/>
        <v>0</v>
      </c>
      <c r="B141" s="45" t="e">
        <f t="shared" ca="1" si="45"/>
        <v>#N/A</v>
      </c>
      <c r="C141" s="1" t="str">
        <f>IF(ISERROR(D141),"",IF(D141="","",MAX($C$121:C140)+1))</f>
        <v/>
      </c>
      <c r="D141" t="e">
        <f t="shared" si="46"/>
        <v>#N/A</v>
      </c>
      <c r="E141" s="22"/>
      <c r="F141" s="62" t="e">
        <f t="shared" ca="1" si="51"/>
        <v>#DIV/0!</v>
      </c>
      <c r="G141" s="62"/>
      <c r="H141" s="62"/>
      <c r="I141" s="62"/>
      <c r="J141" s="62" t="str">
        <f t="shared" si="52"/>
        <v>N/A</v>
      </c>
      <c r="K141" s="62" t="str">
        <f>IFERROR(IF(VLOOKUP(#REF!,LUCurYr,18,FALSE)=0,"",VLOOKUP(#REF!,LUCurYr,18,FALSE)),"N/A")</f>
        <v>N/A</v>
      </c>
      <c r="L141" s="62" t="str">
        <f t="shared" si="53"/>
        <v>N/A</v>
      </c>
      <c r="M141" s="62"/>
      <c r="N141" s="62" t="str">
        <f t="shared" ca="1" si="54"/>
        <v>N/A</v>
      </c>
      <c r="O141" s="62" t="str">
        <f t="shared" ca="1" si="55"/>
        <v>N/A</v>
      </c>
      <c r="P141" s="62" t="str">
        <f t="shared" ca="1" si="55"/>
        <v>N/A</v>
      </c>
      <c r="Q141" s="62" t="str">
        <f t="shared" ca="1" si="55"/>
        <v>N/A</v>
      </c>
      <c r="R141" s="62" t="str">
        <f t="shared" ca="1" si="55"/>
        <v>N/A</v>
      </c>
      <c r="S141" s="62" t="str">
        <f t="shared" ca="1" si="55"/>
        <v>N/A</v>
      </c>
      <c r="T141" s="62" t="str">
        <f t="shared" ca="1" si="55"/>
        <v>N/A</v>
      </c>
      <c r="U141" s="62" t="str">
        <f t="shared" ca="1" si="55"/>
        <v>N/A</v>
      </c>
      <c r="V141" s="62" t="str">
        <f t="shared" ca="1" si="55"/>
        <v>N/A</v>
      </c>
      <c r="W141" s="62" t="str">
        <f t="shared" ca="1" si="55"/>
        <v>N/A</v>
      </c>
      <c r="X141" s="62" t="str">
        <f t="shared" ca="1" si="55"/>
        <v>N/A</v>
      </c>
      <c r="Y141" s="62"/>
      <c r="Z141" s="17"/>
      <c r="AA141" s="17"/>
      <c r="AB141" s="17"/>
    </row>
    <row r="142" spans="1:28" hidden="1" x14ac:dyDescent="0.25">
      <c r="A142" s="50">
        <f t="shared" si="44"/>
        <v>0</v>
      </c>
      <c r="B142" s="45" t="e">
        <f t="shared" ca="1" si="45"/>
        <v>#N/A</v>
      </c>
      <c r="C142" s="1" t="str">
        <f>IF(ISERROR(D142),"",IF(D142="","",MAX($C$121:C141)+1))</f>
        <v/>
      </c>
      <c r="D142" t="e">
        <f t="shared" si="46"/>
        <v>#N/A</v>
      </c>
      <c r="E142" s="22"/>
      <c r="F142" s="62" t="e">
        <f t="shared" ca="1" si="51"/>
        <v>#DIV/0!</v>
      </c>
      <c r="G142" s="62"/>
      <c r="H142" s="62"/>
      <c r="I142" s="62"/>
      <c r="J142" s="62" t="str">
        <f t="shared" si="52"/>
        <v>N/A</v>
      </c>
      <c r="K142" s="62" t="str">
        <f>IFERROR(IF(VLOOKUP(#REF!,LUCurYr,18,FALSE)=0,"",VLOOKUP(#REF!,LUCurYr,18,FALSE)),"N/A")</f>
        <v>N/A</v>
      </c>
      <c r="L142" s="62" t="str">
        <f t="shared" si="53"/>
        <v>N/A</v>
      </c>
      <c r="M142" s="62"/>
      <c r="N142" s="62" t="str">
        <f t="shared" ca="1" si="54"/>
        <v>N/A</v>
      </c>
      <c r="O142" s="62" t="str">
        <f t="shared" ca="1" si="55"/>
        <v>N/A</v>
      </c>
      <c r="P142" s="62" t="str">
        <f t="shared" ca="1" si="55"/>
        <v>N/A</v>
      </c>
      <c r="Q142" s="62" t="str">
        <f t="shared" ca="1" si="55"/>
        <v>N/A</v>
      </c>
      <c r="R142" s="62" t="str">
        <f t="shared" ca="1" si="55"/>
        <v>N/A</v>
      </c>
      <c r="S142" s="62" t="str">
        <f t="shared" ca="1" si="55"/>
        <v>N/A</v>
      </c>
      <c r="T142" s="62" t="str">
        <f t="shared" ca="1" si="55"/>
        <v>N/A</v>
      </c>
      <c r="U142" s="62" t="str">
        <f t="shared" ca="1" si="55"/>
        <v>N/A</v>
      </c>
      <c r="V142" s="62" t="str">
        <f t="shared" ca="1" si="55"/>
        <v>N/A</v>
      </c>
      <c r="W142" s="62" t="str">
        <f t="shared" ca="1" si="55"/>
        <v>N/A</v>
      </c>
      <c r="X142" s="62" t="str">
        <f t="shared" ca="1" si="55"/>
        <v>N/A</v>
      </c>
      <c r="Y142" s="62"/>
      <c r="Z142" s="17"/>
      <c r="AA142" s="17"/>
      <c r="AB142" s="17"/>
    </row>
    <row r="143" spans="1:28" hidden="1" x14ac:dyDescent="0.25">
      <c r="A143" s="50">
        <f t="shared" si="44"/>
        <v>0</v>
      </c>
      <c r="B143" s="45" t="e">
        <f t="shared" ca="1" si="45"/>
        <v>#N/A</v>
      </c>
      <c r="C143" s="1" t="str">
        <f>IF(ISERROR(D143),"",IF(D143="","",MAX($C$121:C142)+1))</f>
        <v/>
      </c>
      <c r="D143" t="e">
        <f t="shared" si="46"/>
        <v>#N/A</v>
      </c>
      <c r="E143" s="22"/>
      <c r="F143" s="62" t="e">
        <f t="shared" ca="1" si="51"/>
        <v>#DIV/0!</v>
      </c>
      <c r="G143" s="62"/>
      <c r="H143" s="62"/>
      <c r="I143" s="62"/>
      <c r="J143" s="62" t="str">
        <f t="shared" si="52"/>
        <v>N/A</v>
      </c>
      <c r="K143" s="62" t="str">
        <f>IFERROR(IF(VLOOKUP(#REF!,LUCurYr,18,FALSE)=0,"",VLOOKUP(#REF!,LUCurYr,18,FALSE)),"N/A")</f>
        <v>N/A</v>
      </c>
      <c r="L143" s="62" t="str">
        <f t="shared" si="53"/>
        <v>N/A</v>
      </c>
      <c r="M143" s="62"/>
      <c r="N143" s="62" t="str">
        <f t="shared" ca="1" si="54"/>
        <v>N/A</v>
      </c>
      <c r="O143" s="62" t="str">
        <f t="shared" ca="1" si="55"/>
        <v>N/A</v>
      </c>
      <c r="P143" s="62" t="str">
        <f t="shared" ca="1" si="55"/>
        <v>N/A</v>
      </c>
      <c r="Q143" s="62" t="str">
        <f t="shared" ca="1" si="55"/>
        <v>N/A</v>
      </c>
      <c r="R143" s="62" t="str">
        <f t="shared" ca="1" si="55"/>
        <v>N/A</v>
      </c>
      <c r="S143" s="62" t="str">
        <f t="shared" ca="1" si="55"/>
        <v>N/A</v>
      </c>
      <c r="T143" s="62" t="str">
        <f t="shared" ca="1" si="55"/>
        <v>N/A</v>
      </c>
      <c r="U143" s="62" t="str">
        <f t="shared" ca="1" si="55"/>
        <v>N/A</v>
      </c>
      <c r="V143" s="62" t="str">
        <f t="shared" ca="1" si="55"/>
        <v>N/A</v>
      </c>
      <c r="W143" s="62" t="str">
        <f t="shared" ca="1" si="55"/>
        <v>N/A</v>
      </c>
      <c r="X143" s="62" t="str">
        <f t="shared" ca="1" si="55"/>
        <v>N/A</v>
      </c>
      <c r="Y143" s="62"/>
      <c r="Z143" s="17"/>
      <c r="AA143" s="17"/>
      <c r="AB143" s="17"/>
    </row>
    <row r="144" spans="1:28" hidden="1" x14ac:dyDescent="0.25">
      <c r="A144" s="50">
        <f t="shared" si="44"/>
        <v>0</v>
      </c>
      <c r="B144" s="45" t="e">
        <f t="shared" ca="1" si="45"/>
        <v>#N/A</v>
      </c>
      <c r="C144" s="1" t="str">
        <f>IF(ISERROR(D144),"",IF(D144="","",MAX($C$121:C143)+1))</f>
        <v/>
      </c>
      <c r="D144" t="e">
        <f t="shared" si="46"/>
        <v>#N/A</v>
      </c>
      <c r="E144" s="22"/>
      <c r="F144" s="62" t="e">
        <f t="shared" ca="1" si="51"/>
        <v>#DIV/0!</v>
      </c>
      <c r="G144" s="62"/>
      <c r="H144" s="62"/>
      <c r="I144" s="62"/>
      <c r="J144" s="62" t="str">
        <f t="shared" si="52"/>
        <v>N/A</v>
      </c>
      <c r="K144" s="62" t="str">
        <f>IFERROR(IF(VLOOKUP(#REF!,LUCurYr,18,FALSE)=0,"",VLOOKUP(#REF!,LUCurYr,18,FALSE)),"N/A")</f>
        <v>N/A</v>
      </c>
      <c r="L144" s="62" t="str">
        <f t="shared" si="53"/>
        <v>N/A</v>
      </c>
      <c r="M144" s="62"/>
      <c r="N144" s="62" t="str">
        <f t="shared" ca="1" si="54"/>
        <v>N/A</v>
      </c>
      <c r="O144" s="62" t="str">
        <f t="shared" ca="1" si="55"/>
        <v>N/A</v>
      </c>
      <c r="P144" s="62" t="str">
        <f t="shared" ca="1" si="55"/>
        <v>N/A</v>
      </c>
      <c r="Q144" s="62" t="str">
        <f t="shared" ca="1" si="55"/>
        <v>N/A</v>
      </c>
      <c r="R144" s="62" t="str">
        <f t="shared" ca="1" si="55"/>
        <v>N/A</v>
      </c>
      <c r="S144" s="62" t="str">
        <f t="shared" ca="1" si="55"/>
        <v>N/A</v>
      </c>
      <c r="T144" s="62" t="str">
        <f t="shared" ca="1" si="55"/>
        <v>N/A</v>
      </c>
      <c r="U144" s="62" t="str">
        <f t="shared" ca="1" si="55"/>
        <v>N/A</v>
      </c>
      <c r="V144" s="62" t="str">
        <f t="shared" ca="1" si="55"/>
        <v>N/A</v>
      </c>
      <c r="W144" s="62" t="str">
        <f t="shared" ca="1" si="55"/>
        <v>N/A</v>
      </c>
      <c r="X144" s="62" t="str">
        <f t="shared" ca="1" si="55"/>
        <v>N/A</v>
      </c>
      <c r="Y144" s="62"/>
      <c r="Z144" s="17"/>
      <c r="AA144" s="17"/>
      <c r="AB144" s="17"/>
    </row>
    <row r="145" spans="1:28" hidden="1" x14ac:dyDescent="0.25">
      <c r="A145" s="50">
        <f t="shared" si="44"/>
        <v>0</v>
      </c>
      <c r="B145" s="45" t="e">
        <f t="shared" ca="1" si="45"/>
        <v>#N/A</v>
      </c>
      <c r="C145" s="1" t="str">
        <f>IF(ISERROR(D145),"",IF(D145="","",MAX($C$121:C144)+1))</f>
        <v/>
      </c>
      <c r="D145" t="e">
        <f t="shared" si="46"/>
        <v>#N/A</v>
      </c>
      <c r="E145" s="22"/>
      <c r="F145" s="62" t="e">
        <f t="shared" ca="1" si="51"/>
        <v>#DIV/0!</v>
      </c>
      <c r="G145" s="62"/>
      <c r="H145" s="62"/>
      <c r="I145" s="62"/>
      <c r="J145" s="62" t="str">
        <f t="shared" si="52"/>
        <v>N/A</v>
      </c>
      <c r="K145" s="62" t="str">
        <f>IFERROR(IF(VLOOKUP(#REF!,LUCurYr,18,FALSE)=0,"",VLOOKUP(#REF!,LUCurYr,18,FALSE)),"N/A")</f>
        <v>N/A</v>
      </c>
      <c r="L145" s="62" t="str">
        <f t="shared" si="53"/>
        <v>N/A</v>
      </c>
      <c r="M145" s="62"/>
      <c r="N145" s="62" t="str">
        <f t="shared" ca="1" si="54"/>
        <v>N/A</v>
      </c>
      <c r="O145" s="62" t="str">
        <f t="shared" ca="1" si="55"/>
        <v>N/A</v>
      </c>
      <c r="P145" s="62" t="str">
        <f t="shared" ca="1" si="55"/>
        <v>N/A</v>
      </c>
      <c r="Q145" s="62" t="str">
        <f t="shared" ca="1" si="55"/>
        <v>N/A</v>
      </c>
      <c r="R145" s="62" t="str">
        <f t="shared" ca="1" si="55"/>
        <v>N/A</v>
      </c>
      <c r="S145" s="62" t="str">
        <f t="shared" ca="1" si="55"/>
        <v>N/A</v>
      </c>
      <c r="T145" s="62" t="str">
        <f t="shared" ca="1" si="55"/>
        <v>N/A</v>
      </c>
      <c r="U145" s="62" t="str">
        <f t="shared" ca="1" si="55"/>
        <v>N/A</v>
      </c>
      <c r="V145" s="62" t="str">
        <f t="shared" ca="1" si="55"/>
        <v>N/A</v>
      </c>
      <c r="W145" s="62" t="str">
        <f t="shared" ca="1" si="55"/>
        <v>N/A</v>
      </c>
      <c r="X145" s="62" t="str">
        <f t="shared" ca="1" si="55"/>
        <v>N/A</v>
      </c>
      <c r="Y145" s="62"/>
      <c r="Z145" s="17"/>
      <c r="AA145" s="17"/>
      <c r="AB145" s="17"/>
    </row>
    <row r="146" spans="1:28" hidden="1" x14ac:dyDescent="0.25">
      <c r="A146" s="50">
        <f t="shared" si="44"/>
        <v>0</v>
      </c>
      <c r="B146" s="45" t="e">
        <f t="shared" ca="1" si="45"/>
        <v>#N/A</v>
      </c>
      <c r="C146" s="1" t="str">
        <f>IF(ISERROR(D146),"",IF(D146="","",MAX($C$121:C145)+1))</f>
        <v/>
      </c>
      <c r="D146" t="e">
        <f t="shared" si="46"/>
        <v>#N/A</v>
      </c>
      <c r="E146" s="22"/>
      <c r="F146" s="62" t="e">
        <f t="shared" ca="1" si="51"/>
        <v>#DIV/0!</v>
      </c>
      <c r="G146" s="62"/>
      <c r="H146" s="62"/>
      <c r="I146" s="62"/>
      <c r="J146" s="62" t="str">
        <f t="shared" si="52"/>
        <v>N/A</v>
      </c>
      <c r="K146" s="62" t="str">
        <f>IFERROR(IF(VLOOKUP(#REF!,LUCurYr,18,FALSE)=0,"",VLOOKUP(#REF!,LUCurYr,18,FALSE)),"N/A")</f>
        <v>N/A</v>
      </c>
      <c r="L146" s="62" t="str">
        <f t="shared" si="53"/>
        <v>N/A</v>
      </c>
      <c r="M146" s="62"/>
      <c r="N146" s="62" t="str">
        <f t="shared" ca="1" si="54"/>
        <v>N/A</v>
      </c>
      <c r="O146" s="62" t="str">
        <f t="shared" ca="1" si="55"/>
        <v>N/A</v>
      </c>
      <c r="P146" s="62" t="str">
        <f t="shared" ca="1" si="55"/>
        <v>N/A</v>
      </c>
      <c r="Q146" s="62" t="str">
        <f t="shared" ca="1" si="55"/>
        <v>N/A</v>
      </c>
      <c r="R146" s="62" t="str">
        <f t="shared" ca="1" si="55"/>
        <v>N/A</v>
      </c>
      <c r="S146" s="62" t="str">
        <f t="shared" ca="1" si="55"/>
        <v>N/A</v>
      </c>
      <c r="T146" s="62" t="str">
        <f t="shared" ca="1" si="55"/>
        <v>N/A</v>
      </c>
      <c r="U146" s="62" t="str">
        <f t="shared" ca="1" si="55"/>
        <v>N/A</v>
      </c>
      <c r="V146" s="62" t="str">
        <f t="shared" ca="1" si="55"/>
        <v>N/A</v>
      </c>
      <c r="W146" s="62" t="str">
        <f t="shared" ca="1" si="55"/>
        <v>N/A</v>
      </c>
      <c r="X146" s="62" t="str">
        <f t="shared" ca="1" si="55"/>
        <v>N/A</v>
      </c>
      <c r="Y146" s="62"/>
      <c r="Z146" s="17"/>
      <c r="AA146" s="17"/>
      <c r="AB146" s="17"/>
    </row>
    <row r="147" spans="1:28" hidden="1" x14ac:dyDescent="0.25">
      <c r="A147" s="50">
        <f t="shared" si="44"/>
        <v>0</v>
      </c>
      <c r="B147" s="45" t="e">
        <f t="shared" ca="1" si="45"/>
        <v>#N/A</v>
      </c>
      <c r="C147" s="1" t="str">
        <f>IF(ISERROR(D147),"",IF(D147="","",MAX($C$121:C146)+1))</f>
        <v/>
      </c>
      <c r="D147" t="e">
        <f t="shared" si="46"/>
        <v>#N/A</v>
      </c>
      <c r="E147" s="22"/>
      <c r="F147" s="62" t="e">
        <f t="shared" ca="1" si="51"/>
        <v>#DIV/0!</v>
      </c>
      <c r="G147" s="62"/>
      <c r="H147" s="62"/>
      <c r="I147" s="62"/>
      <c r="J147" s="62" t="str">
        <f t="shared" si="52"/>
        <v>N/A</v>
      </c>
      <c r="K147" s="62" t="str">
        <f>IFERROR(IF(VLOOKUP(#REF!,LUCurYr,18,FALSE)=0,"",VLOOKUP(#REF!,LUCurYr,18,FALSE)),"N/A")</f>
        <v>N/A</v>
      </c>
      <c r="L147" s="62" t="str">
        <f t="shared" si="53"/>
        <v>N/A</v>
      </c>
      <c r="M147" s="62"/>
      <c r="N147" s="62" t="str">
        <f t="shared" ca="1" si="54"/>
        <v>N/A</v>
      </c>
      <c r="O147" s="62" t="str">
        <f t="shared" ca="1" si="55"/>
        <v>N/A</v>
      </c>
      <c r="P147" s="62" t="str">
        <f t="shared" ca="1" si="55"/>
        <v>N/A</v>
      </c>
      <c r="Q147" s="62" t="str">
        <f t="shared" ca="1" si="55"/>
        <v>N/A</v>
      </c>
      <c r="R147" s="62" t="str">
        <f t="shared" ca="1" si="55"/>
        <v>N/A</v>
      </c>
      <c r="S147" s="62" t="str">
        <f t="shared" ca="1" si="55"/>
        <v>N/A</v>
      </c>
      <c r="T147" s="62" t="str">
        <f t="shared" ca="1" si="55"/>
        <v>N/A</v>
      </c>
      <c r="U147" s="62" t="str">
        <f t="shared" ca="1" si="55"/>
        <v>N/A</v>
      </c>
      <c r="V147" s="62" t="str">
        <f t="shared" ca="1" si="55"/>
        <v>N/A</v>
      </c>
      <c r="W147" s="62" t="str">
        <f t="shared" ca="1" si="55"/>
        <v>N/A</v>
      </c>
      <c r="X147" s="62" t="str">
        <f t="shared" ca="1" si="55"/>
        <v>N/A</v>
      </c>
      <c r="Y147" s="62"/>
      <c r="Z147" s="17"/>
      <c r="AA147" s="17"/>
      <c r="AB147" s="17"/>
    </row>
    <row r="148" spans="1:28" hidden="1" x14ac:dyDescent="0.25">
      <c r="A148" s="50">
        <f t="shared" si="44"/>
        <v>0</v>
      </c>
      <c r="B148" s="45" t="e">
        <f t="shared" ca="1" si="45"/>
        <v>#N/A</v>
      </c>
      <c r="C148" s="1" t="str">
        <f>IF(ISERROR(D148),"",IF(D148="","",MAX($C$121:C147)+1))</f>
        <v/>
      </c>
      <c r="D148" t="e">
        <f t="shared" si="46"/>
        <v>#N/A</v>
      </c>
      <c r="E148" s="22"/>
      <c r="F148" s="62" t="e">
        <f t="shared" ca="1" si="51"/>
        <v>#DIV/0!</v>
      </c>
      <c r="G148" s="62"/>
      <c r="H148" s="62"/>
      <c r="I148" s="62"/>
      <c r="J148" s="62" t="str">
        <f t="shared" si="52"/>
        <v>N/A</v>
      </c>
      <c r="K148" s="62" t="str">
        <f>IFERROR(IF(VLOOKUP(#REF!,LUCurYr,18,FALSE)=0,"",VLOOKUP(#REF!,LUCurYr,18,FALSE)),"N/A")</f>
        <v>N/A</v>
      </c>
      <c r="L148" s="62" t="str">
        <f t="shared" si="53"/>
        <v>N/A</v>
      </c>
      <c r="M148" s="62"/>
      <c r="N148" s="62" t="str">
        <f t="shared" ca="1" si="54"/>
        <v>N/A</v>
      </c>
      <c r="O148" s="62" t="str">
        <f t="shared" ca="1" si="55"/>
        <v>N/A</v>
      </c>
      <c r="P148" s="62" t="str">
        <f t="shared" ca="1" si="55"/>
        <v>N/A</v>
      </c>
      <c r="Q148" s="62" t="str">
        <f t="shared" ca="1" si="55"/>
        <v>N/A</v>
      </c>
      <c r="R148" s="62" t="str">
        <f t="shared" ca="1" si="55"/>
        <v>N/A</v>
      </c>
      <c r="S148" s="62" t="str">
        <f t="shared" ca="1" si="55"/>
        <v>N/A</v>
      </c>
      <c r="T148" s="62" t="str">
        <f t="shared" ca="1" si="55"/>
        <v>N/A</v>
      </c>
      <c r="U148" s="62" t="str">
        <f t="shared" ca="1" si="55"/>
        <v>N/A</v>
      </c>
      <c r="V148" s="62" t="str">
        <f t="shared" ca="1" si="55"/>
        <v>N/A</v>
      </c>
      <c r="W148" s="62" t="str">
        <f t="shared" ca="1" si="55"/>
        <v>N/A</v>
      </c>
      <c r="X148" s="62" t="str">
        <f t="shared" ca="1" si="55"/>
        <v>N/A</v>
      </c>
      <c r="Y148" s="62"/>
      <c r="Z148" s="17"/>
      <c r="AA148" s="17"/>
      <c r="AB148" s="17"/>
    </row>
    <row r="149" spans="1:28" hidden="1" x14ac:dyDescent="0.25">
      <c r="A149" s="50">
        <f t="shared" si="44"/>
        <v>0</v>
      </c>
      <c r="B149" s="45" t="e">
        <f t="shared" ca="1" si="45"/>
        <v>#N/A</v>
      </c>
      <c r="C149" s="1" t="str">
        <f>IF(ISERROR(D149),"",IF(D149="","",MAX($C$121:C148)+1))</f>
        <v/>
      </c>
      <c r="D149" t="e">
        <f t="shared" si="46"/>
        <v>#N/A</v>
      </c>
      <c r="E149" s="22"/>
      <c r="F149" s="62" t="e">
        <f t="shared" ca="1" si="51"/>
        <v>#DIV/0!</v>
      </c>
      <c r="G149" s="62"/>
      <c r="H149" s="62"/>
      <c r="I149" s="62"/>
      <c r="J149" s="62" t="str">
        <f t="shared" si="52"/>
        <v>N/A</v>
      </c>
      <c r="K149" s="62" t="str">
        <f>IFERROR(IF(VLOOKUP(#REF!,LUCurYr,18,FALSE)=0,"",VLOOKUP(#REF!,LUCurYr,18,FALSE)),"N/A")</f>
        <v>N/A</v>
      </c>
      <c r="L149" s="62" t="str">
        <f t="shared" si="53"/>
        <v>N/A</v>
      </c>
      <c r="M149" s="62"/>
      <c r="N149" s="62" t="str">
        <f t="shared" ca="1" si="54"/>
        <v>N/A</v>
      </c>
      <c r="O149" s="62" t="str">
        <f t="shared" ca="1" si="55"/>
        <v>N/A</v>
      </c>
      <c r="P149" s="62" t="str">
        <f t="shared" ca="1" si="55"/>
        <v>N/A</v>
      </c>
      <c r="Q149" s="62" t="str">
        <f t="shared" ca="1" si="55"/>
        <v>N/A</v>
      </c>
      <c r="R149" s="62" t="str">
        <f t="shared" ca="1" si="55"/>
        <v>N/A</v>
      </c>
      <c r="S149" s="62" t="str">
        <f t="shared" ca="1" si="55"/>
        <v>N/A</v>
      </c>
      <c r="T149" s="62" t="str">
        <f t="shared" ca="1" si="55"/>
        <v>N/A</v>
      </c>
      <c r="U149" s="62" t="str">
        <f t="shared" ca="1" si="55"/>
        <v>N/A</v>
      </c>
      <c r="V149" s="62" t="str">
        <f t="shared" ca="1" si="55"/>
        <v>N/A</v>
      </c>
      <c r="W149" s="62" t="str">
        <f t="shared" ca="1" si="55"/>
        <v>N/A</v>
      </c>
      <c r="X149" s="62" t="str">
        <f t="shared" ca="1" si="55"/>
        <v>N/A</v>
      </c>
      <c r="Y149" s="62"/>
      <c r="Z149" s="17"/>
      <c r="AA149" s="17"/>
      <c r="AB149" s="17"/>
    </row>
    <row r="150" spans="1:28" hidden="1" x14ac:dyDescent="0.25">
      <c r="A150" s="50">
        <f t="shared" si="44"/>
        <v>0</v>
      </c>
      <c r="B150" s="45" t="e">
        <f t="shared" ca="1" si="45"/>
        <v>#N/A</v>
      </c>
      <c r="C150" s="1" t="str">
        <f>IF(ISERROR(D150),"",IF(D150="","",MAX($C$121:C149)+1))</f>
        <v/>
      </c>
      <c r="D150" t="e">
        <f t="shared" si="46"/>
        <v>#N/A</v>
      </c>
      <c r="E150" s="22"/>
      <c r="F150" s="62" t="e">
        <f t="shared" ca="1" si="51"/>
        <v>#DIV/0!</v>
      </c>
      <c r="G150" s="62"/>
      <c r="H150" s="62"/>
      <c r="I150" s="62"/>
      <c r="J150" s="62" t="str">
        <f t="shared" si="52"/>
        <v>N/A</v>
      </c>
      <c r="K150" s="62" t="str">
        <f>IFERROR(IF(VLOOKUP(#REF!,LUCurYr,18,FALSE)=0,"",VLOOKUP(#REF!,LUCurYr,18,FALSE)),"N/A")</f>
        <v>N/A</v>
      </c>
      <c r="L150" s="62" t="str">
        <f t="shared" si="53"/>
        <v>N/A</v>
      </c>
      <c r="M150" s="62"/>
      <c r="N150" s="62" t="str">
        <f t="shared" ca="1" si="54"/>
        <v>N/A</v>
      </c>
      <c r="O150" s="62" t="str">
        <f t="shared" ca="1" si="55"/>
        <v>N/A</v>
      </c>
      <c r="P150" s="62" t="str">
        <f t="shared" ca="1" si="55"/>
        <v>N/A</v>
      </c>
      <c r="Q150" s="62" t="str">
        <f t="shared" ca="1" si="55"/>
        <v>N/A</v>
      </c>
      <c r="R150" s="62" t="str">
        <f t="shared" ca="1" si="55"/>
        <v>N/A</v>
      </c>
      <c r="S150" s="62" t="str">
        <f t="shared" ca="1" si="55"/>
        <v>N/A</v>
      </c>
      <c r="T150" s="62" t="str">
        <f t="shared" ca="1" si="55"/>
        <v>N/A</v>
      </c>
      <c r="U150" s="62" t="str">
        <f t="shared" ca="1" si="55"/>
        <v>N/A</v>
      </c>
      <c r="V150" s="62" t="str">
        <f t="shared" ca="1" si="55"/>
        <v>N/A</v>
      </c>
      <c r="W150" s="62" t="str">
        <f t="shared" ca="1" si="55"/>
        <v>N/A</v>
      </c>
      <c r="X150" s="62" t="str">
        <f t="shared" ca="1" si="55"/>
        <v>N/A</v>
      </c>
      <c r="Y150" s="62"/>
      <c r="Z150" s="17"/>
      <c r="AA150" s="17"/>
      <c r="AB150" s="17"/>
    </row>
    <row r="151" spans="1:28" hidden="1" x14ac:dyDescent="0.25">
      <c r="A151" s="50">
        <f t="shared" si="44"/>
        <v>0</v>
      </c>
      <c r="B151" s="45" t="e">
        <f t="shared" ca="1" si="45"/>
        <v>#N/A</v>
      </c>
      <c r="C151" s="1" t="str">
        <f>IF(ISERROR(D151),"",IF(D151="","",MAX($C$121:C150)+1))</f>
        <v/>
      </c>
      <c r="D151" t="e">
        <f t="shared" si="46"/>
        <v>#N/A</v>
      </c>
      <c r="E151" s="22"/>
      <c r="F151" s="62" t="e">
        <f t="shared" ca="1" si="51"/>
        <v>#DIV/0!</v>
      </c>
      <c r="G151" s="62"/>
      <c r="H151" s="62"/>
      <c r="I151" s="62"/>
      <c r="J151" s="62" t="str">
        <f t="shared" si="52"/>
        <v>N/A</v>
      </c>
      <c r="K151" s="62" t="str">
        <f>IFERROR(IF(VLOOKUP(#REF!,LUCurYr,18,FALSE)=0,"",VLOOKUP(#REF!,LUCurYr,18,FALSE)),"N/A")</f>
        <v>N/A</v>
      </c>
      <c r="L151" s="62" t="str">
        <f t="shared" si="53"/>
        <v>N/A</v>
      </c>
      <c r="M151" s="62"/>
      <c r="N151" s="62" t="str">
        <f t="shared" ca="1" si="54"/>
        <v>N/A</v>
      </c>
      <c r="O151" s="62" t="str">
        <f t="shared" ca="1" si="55"/>
        <v>N/A</v>
      </c>
      <c r="P151" s="62" t="str">
        <f t="shared" ca="1" si="55"/>
        <v>N/A</v>
      </c>
      <c r="Q151" s="62" t="str">
        <f t="shared" ca="1" si="55"/>
        <v>N/A</v>
      </c>
      <c r="R151" s="62" t="str">
        <f t="shared" ca="1" si="55"/>
        <v>N/A</v>
      </c>
      <c r="S151" s="62" t="str">
        <f t="shared" ca="1" si="55"/>
        <v>N/A</v>
      </c>
      <c r="T151" s="62" t="str">
        <f t="shared" ca="1" si="55"/>
        <v>N/A</v>
      </c>
      <c r="U151" s="62" t="str">
        <f t="shared" ca="1" si="55"/>
        <v>N/A</v>
      </c>
      <c r="V151" s="62" t="str">
        <f t="shared" ca="1" si="55"/>
        <v>N/A</v>
      </c>
      <c r="W151" s="62" t="str">
        <f t="shared" ca="1" si="55"/>
        <v>N/A</v>
      </c>
      <c r="X151" s="62" t="str">
        <f t="shared" ca="1" si="55"/>
        <v>N/A</v>
      </c>
      <c r="Y151" s="62"/>
      <c r="Z151" s="17"/>
      <c r="AA151" s="17"/>
      <c r="AB151" s="17"/>
    </row>
    <row r="152" spans="1:28" hidden="1" x14ac:dyDescent="0.25">
      <c r="A152" s="50">
        <f t="shared" si="44"/>
        <v>0</v>
      </c>
      <c r="B152" s="45" t="e">
        <f t="shared" ca="1" si="45"/>
        <v>#N/A</v>
      </c>
      <c r="C152" s="1" t="str">
        <f>IF(ISERROR(D152),"",IF(D152="","",MAX($C$121:C151)+1))</f>
        <v/>
      </c>
      <c r="D152" t="e">
        <f t="shared" si="46"/>
        <v>#N/A</v>
      </c>
      <c r="E152" s="22"/>
      <c r="F152" s="62" t="e">
        <f t="shared" ca="1" si="51"/>
        <v>#DIV/0!</v>
      </c>
      <c r="G152" s="62"/>
      <c r="H152" s="62"/>
      <c r="I152" s="62"/>
      <c r="J152" s="62" t="str">
        <f t="shared" si="52"/>
        <v>N/A</v>
      </c>
      <c r="K152" s="62" t="str">
        <f>IFERROR(IF(VLOOKUP(#REF!,LUCurYr,18,FALSE)=0,"",VLOOKUP(#REF!,LUCurYr,18,FALSE)),"N/A")</f>
        <v>N/A</v>
      </c>
      <c r="L152" s="62" t="str">
        <f t="shared" si="53"/>
        <v>N/A</v>
      </c>
      <c r="M152" s="62"/>
      <c r="N152" s="62" t="str">
        <f t="shared" ca="1" si="54"/>
        <v>N/A</v>
      </c>
      <c r="O152" s="62" t="str">
        <f t="shared" ca="1" si="55"/>
        <v>N/A</v>
      </c>
      <c r="P152" s="62" t="str">
        <f t="shared" ca="1" si="55"/>
        <v>N/A</v>
      </c>
      <c r="Q152" s="62" t="str">
        <f t="shared" ca="1" si="55"/>
        <v>N/A</v>
      </c>
      <c r="R152" s="62" t="str">
        <f t="shared" ca="1" si="55"/>
        <v>N/A</v>
      </c>
      <c r="S152" s="62" t="str">
        <f t="shared" ca="1" si="55"/>
        <v>N/A</v>
      </c>
      <c r="T152" s="62" t="str">
        <f t="shared" ca="1" si="55"/>
        <v>N/A</v>
      </c>
      <c r="U152" s="62" t="str">
        <f t="shared" ca="1" si="55"/>
        <v>N/A</v>
      </c>
      <c r="V152" s="62" t="str">
        <f t="shared" ca="1" si="55"/>
        <v>N/A</v>
      </c>
      <c r="W152" s="62" t="str">
        <f t="shared" ca="1" si="55"/>
        <v>N/A</v>
      </c>
      <c r="X152" s="62" t="str">
        <f t="shared" ca="1" si="55"/>
        <v>N/A</v>
      </c>
      <c r="Y152" s="62"/>
      <c r="Z152" s="17"/>
      <c r="AA152" s="17"/>
      <c r="AB152" s="17"/>
    </row>
    <row r="153" spans="1:28" hidden="1" x14ac:dyDescent="0.25">
      <c r="A153" s="50">
        <f t="shared" si="44"/>
        <v>0</v>
      </c>
      <c r="B153" s="45" t="e">
        <f t="shared" ca="1" si="45"/>
        <v>#N/A</v>
      </c>
      <c r="C153" s="1" t="str">
        <f>IF(ISERROR(D153),"",IF(D153="","",MAX($C$121:C152)+1))</f>
        <v/>
      </c>
      <c r="D153" t="e">
        <f t="shared" si="46"/>
        <v>#N/A</v>
      </c>
      <c r="E153" s="22"/>
      <c r="F153" s="62" t="e">
        <f t="shared" ca="1" si="51"/>
        <v>#DIV/0!</v>
      </c>
      <c r="G153" s="62"/>
      <c r="H153" s="62"/>
      <c r="I153" s="62"/>
      <c r="J153" s="62" t="str">
        <f t="shared" si="52"/>
        <v>N/A</v>
      </c>
      <c r="K153" s="62" t="str">
        <f>IFERROR(IF(VLOOKUP(#REF!,LUCurYr,18,FALSE)=0,"",VLOOKUP(#REF!,LUCurYr,18,FALSE)),"N/A")</f>
        <v>N/A</v>
      </c>
      <c r="L153" s="62" t="str">
        <f t="shared" si="53"/>
        <v>N/A</v>
      </c>
      <c r="M153" s="62"/>
      <c r="N153" s="62" t="str">
        <f t="shared" ca="1" si="54"/>
        <v>N/A</v>
      </c>
      <c r="O153" s="62" t="str">
        <f t="shared" ca="1" si="55"/>
        <v>N/A</v>
      </c>
      <c r="P153" s="62" t="str">
        <f t="shared" ca="1" si="55"/>
        <v>N/A</v>
      </c>
      <c r="Q153" s="62" t="str">
        <f t="shared" ca="1" si="55"/>
        <v>N/A</v>
      </c>
      <c r="R153" s="62" t="str">
        <f t="shared" ca="1" si="55"/>
        <v>N/A</v>
      </c>
      <c r="S153" s="62" t="str">
        <f t="shared" ca="1" si="55"/>
        <v>N/A</v>
      </c>
      <c r="T153" s="62" t="str">
        <f t="shared" ca="1" si="55"/>
        <v>N/A</v>
      </c>
      <c r="U153" s="62" t="str">
        <f t="shared" ca="1" si="55"/>
        <v>N/A</v>
      </c>
      <c r="V153" s="62" t="str">
        <f t="shared" ca="1" si="55"/>
        <v>N/A</v>
      </c>
      <c r="W153" s="62" t="str">
        <f t="shared" ca="1" si="55"/>
        <v>N/A</v>
      </c>
      <c r="X153" s="62" t="str">
        <f t="shared" ca="1" si="55"/>
        <v>N/A</v>
      </c>
      <c r="Y153" s="62"/>
      <c r="Z153" s="17"/>
      <c r="AA153" s="17"/>
      <c r="AB153" s="17"/>
    </row>
    <row r="154" spans="1:28" hidden="1" x14ac:dyDescent="0.25">
      <c r="A154" s="50">
        <f t="shared" si="44"/>
        <v>0</v>
      </c>
      <c r="B154" s="45" t="e">
        <f t="shared" ca="1" si="45"/>
        <v>#N/A</v>
      </c>
      <c r="C154" s="1" t="str">
        <f>IF(ISERROR(D154),"",IF(D154="","",MAX($C$121:C153)+1))</f>
        <v/>
      </c>
      <c r="D154" t="e">
        <f t="shared" si="46"/>
        <v>#N/A</v>
      </c>
      <c r="E154" s="22"/>
      <c r="F154" s="62" t="e">
        <f t="shared" ca="1" si="51"/>
        <v>#DIV/0!</v>
      </c>
      <c r="G154" s="62"/>
      <c r="H154" s="62"/>
      <c r="I154" s="62"/>
      <c r="J154" s="62" t="str">
        <f t="shared" si="52"/>
        <v>N/A</v>
      </c>
      <c r="K154" s="62" t="str">
        <f>IFERROR(IF(VLOOKUP(#REF!,LUCurYr,18,FALSE)=0,"",VLOOKUP(#REF!,LUCurYr,18,FALSE)),"N/A")</f>
        <v>N/A</v>
      </c>
      <c r="L154" s="62" t="str">
        <f t="shared" si="53"/>
        <v>N/A</v>
      </c>
      <c r="M154" s="62"/>
      <c r="N154" s="62" t="str">
        <f t="shared" ca="1" si="54"/>
        <v>N/A</v>
      </c>
      <c r="O154" s="62" t="str">
        <f t="shared" ca="1" si="55"/>
        <v>N/A</v>
      </c>
      <c r="P154" s="62" t="str">
        <f t="shared" ca="1" si="55"/>
        <v>N/A</v>
      </c>
      <c r="Q154" s="62" t="str">
        <f t="shared" ca="1" si="55"/>
        <v>N/A</v>
      </c>
      <c r="R154" s="62" t="str">
        <f t="shared" ca="1" si="55"/>
        <v>N/A</v>
      </c>
      <c r="S154" s="62" t="str">
        <f t="shared" ca="1" si="55"/>
        <v>N/A</v>
      </c>
      <c r="T154" s="62" t="str">
        <f t="shared" ca="1" si="55"/>
        <v>N/A</v>
      </c>
      <c r="U154" s="62" t="str">
        <f t="shared" ca="1" si="55"/>
        <v>N/A</v>
      </c>
      <c r="V154" s="62" t="str">
        <f t="shared" ca="1" si="55"/>
        <v>N/A</v>
      </c>
      <c r="W154" s="62" t="str">
        <f t="shared" ca="1" si="55"/>
        <v>N/A</v>
      </c>
      <c r="X154" s="62" t="str">
        <f t="shared" ca="1" si="55"/>
        <v>N/A</v>
      </c>
      <c r="Y154" s="62"/>
      <c r="Z154" s="17"/>
      <c r="AA154" s="17"/>
      <c r="AB154" s="17"/>
    </row>
    <row r="155" spans="1:28" hidden="1" x14ac:dyDescent="0.25">
      <c r="A155" s="50">
        <f t="shared" si="44"/>
        <v>0</v>
      </c>
      <c r="B155" s="45" t="e">
        <f t="shared" ca="1" si="45"/>
        <v>#N/A</v>
      </c>
      <c r="C155" s="1" t="str">
        <f>IF(ISERROR(D155),"",IF(D155="","",MAX($C$121:C154)+1))</f>
        <v/>
      </c>
      <c r="D155" t="e">
        <f t="shared" si="46"/>
        <v>#N/A</v>
      </c>
      <c r="E155" s="22"/>
      <c r="F155" s="62" t="e">
        <f t="shared" ca="1" si="51"/>
        <v>#DIV/0!</v>
      </c>
      <c r="G155" s="62"/>
      <c r="H155" s="62"/>
      <c r="I155" s="62"/>
      <c r="J155" s="62" t="str">
        <f t="shared" si="52"/>
        <v>N/A</v>
      </c>
      <c r="K155" s="62" t="str">
        <f>IFERROR(IF(VLOOKUP(#REF!,LUCurYr,18,FALSE)=0,"",VLOOKUP(#REF!,LUCurYr,18,FALSE)),"N/A")</f>
        <v>N/A</v>
      </c>
      <c r="L155" s="62" t="str">
        <f t="shared" si="53"/>
        <v>N/A</v>
      </c>
      <c r="M155" s="62"/>
      <c r="N155" s="62" t="str">
        <f t="shared" ca="1" si="54"/>
        <v>N/A</v>
      </c>
      <c r="O155" s="62" t="str">
        <f t="shared" ca="1" si="55"/>
        <v>N/A</v>
      </c>
      <c r="P155" s="62" t="str">
        <f t="shared" ca="1" si="55"/>
        <v>N/A</v>
      </c>
      <c r="Q155" s="62" t="str">
        <f t="shared" ca="1" si="55"/>
        <v>N/A</v>
      </c>
      <c r="R155" s="62" t="str">
        <f t="shared" ca="1" si="55"/>
        <v>N/A</v>
      </c>
      <c r="S155" s="62" t="str">
        <f t="shared" ca="1" si="55"/>
        <v>N/A</v>
      </c>
      <c r="T155" s="62" t="str">
        <f t="shared" ca="1" si="55"/>
        <v>N/A</v>
      </c>
      <c r="U155" s="62" t="str">
        <f t="shared" ca="1" si="55"/>
        <v>N/A</v>
      </c>
      <c r="V155" s="62" t="str">
        <f t="shared" ca="1" si="55"/>
        <v>N/A</v>
      </c>
      <c r="W155" s="62" t="str">
        <f t="shared" ca="1" si="55"/>
        <v>N/A</v>
      </c>
      <c r="X155" s="62" t="str">
        <f t="shared" ca="1" si="55"/>
        <v>N/A</v>
      </c>
      <c r="Y155" s="62"/>
      <c r="Z155" s="17"/>
      <c r="AA155" s="17"/>
      <c r="AB155" s="17"/>
    </row>
    <row r="156" spans="1:28" hidden="1" x14ac:dyDescent="0.25">
      <c r="A156" s="50">
        <f t="shared" si="44"/>
        <v>0</v>
      </c>
      <c r="B156" s="45" t="e">
        <f t="shared" ca="1" si="45"/>
        <v>#N/A</v>
      </c>
      <c r="C156" s="1" t="str">
        <f>IF(ISERROR(D156),"",IF(D156="","",MAX($C$121:C155)+1))</f>
        <v/>
      </c>
      <c r="D156" t="e">
        <f t="shared" si="46"/>
        <v>#N/A</v>
      </c>
      <c r="E156" s="22"/>
      <c r="F156" s="62" t="e">
        <f t="shared" ca="1" si="51"/>
        <v>#DIV/0!</v>
      </c>
      <c r="G156" s="62"/>
      <c r="H156" s="62"/>
      <c r="I156" s="62"/>
      <c r="J156" s="62" t="str">
        <f t="shared" si="52"/>
        <v>N/A</v>
      </c>
      <c r="K156" s="62" t="str">
        <f>IFERROR(IF(VLOOKUP(#REF!,LUCurYr,18,FALSE)=0,"",VLOOKUP(#REF!,LUCurYr,18,FALSE)),"N/A")</f>
        <v>N/A</v>
      </c>
      <c r="L156" s="62" t="str">
        <f t="shared" si="53"/>
        <v>N/A</v>
      </c>
      <c r="M156" s="62"/>
      <c r="N156" s="62" t="str">
        <f t="shared" ca="1" si="54"/>
        <v>N/A</v>
      </c>
      <c r="O156" s="62" t="str">
        <f t="shared" ca="1" si="55"/>
        <v>N/A</v>
      </c>
      <c r="P156" s="62" t="str">
        <f t="shared" ca="1" si="55"/>
        <v>N/A</v>
      </c>
      <c r="Q156" s="62" t="str">
        <f t="shared" ca="1" si="55"/>
        <v>N/A</v>
      </c>
      <c r="R156" s="62" t="str">
        <f t="shared" ca="1" si="55"/>
        <v>N/A</v>
      </c>
      <c r="S156" s="62" t="str">
        <f t="shared" ca="1" si="55"/>
        <v>N/A</v>
      </c>
      <c r="T156" s="62" t="str">
        <f t="shared" ca="1" si="55"/>
        <v>N/A</v>
      </c>
      <c r="U156" s="62" t="str">
        <f t="shared" ca="1" si="55"/>
        <v>N/A</v>
      </c>
      <c r="V156" s="62" t="str">
        <f t="shared" ca="1" si="55"/>
        <v>N/A</v>
      </c>
      <c r="W156" s="62" t="str">
        <f t="shared" ca="1" si="55"/>
        <v>N/A</v>
      </c>
      <c r="X156" s="62" t="str">
        <f t="shared" ca="1" si="55"/>
        <v>N/A</v>
      </c>
      <c r="Y156" s="62"/>
      <c r="Z156" s="17"/>
      <c r="AA156" s="17"/>
      <c r="AB156" s="17"/>
    </row>
    <row r="157" spans="1:28" hidden="1" x14ac:dyDescent="0.25">
      <c r="A157" s="50">
        <f t="shared" si="44"/>
        <v>0</v>
      </c>
      <c r="B157" s="45" t="e">
        <f t="shared" ca="1" si="45"/>
        <v>#N/A</v>
      </c>
      <c r="C157" s="1" t="str">
        <f>IF(ISERROR(D157),"",IF(D157="","",MAX($C$121:C156)+1))</f>
        <v/>
      </c>
      <c r="D157" t="e">
        <f t="shared" si="46"/>
        <v>#N/A</v>
      </c>
      <c r="E157" s="22"/>
      <c r="F157" s="62" t="e">
        <f t="shared" ca="1" si="51"/>
        <v>#DIV/0!</v>
      </c>
      <c r="G157" s="62"/>
      <c r="H157" s="62"/>
      <c r="I157" s="62"/>
      <c r="J157" s="62" t="str">
        <f t="shared" si="52"/>
        <v>N/A</v>
      </c>
      <c r="K157" s="62" t="str">
        <f>IFERROR(IF(VLOOKUP(#REF!,LUCurYr,18,FALSE)=0,"",VLOOKUP(#REF!,LUCurYr,18,FALSE)),"N/A")</f>
        <v>N/A</v>
      </c>
      <c r="L157" s="62" t="str">
        <f t="shared" si="53"/>
        <v>N/A</v>
      </c>
      <c r="M157" s="62"/>
      <c r="N157" s="62" t="str">
        <f t="shared" ca="1" si="54"/>
        <v>N/A</v>
      </c>
      <c r="O157" s="62" t="str">
        <f t="shared" ca="1" si="55"/>
        <v>N/A</v>
      </c>
      <c r="P157" s="62" t="str">
        <f t="shared" ca="1" si="55"/>
        <v>N/A</v>
      </c>
      <c r="Q157" s="62" t="str">
        <f t="shared" ca="1" si="55"/>
        <v>N/A</v>
      </c>
      <c r="R157" s="62" t="str">
        <f t="shared" ca="1" si="55"/>
        <v>N/A</v>
      </c>
      <c r="S157" s="62" t="str">
        <f t="shared" ca="1" si="55"/>
        <v>N/A</v>
      </c>
      <c r="T157" s="62" t="str">
        <f t="shared" ca="1" si="55"/>
        <v>N/A</v>
      </c>
      <c r="U157" s="62" t="str">
        <f t="shared" ca="1" si="55"/>
        <v>N/A</v>
      </c>
      <c r="V157" s="62" t="str">
        <f t="shared" ca="1" si="55"/>
        <v>N/A</v>
      </c>
      <c r="W157" s="62" t="str">
        <f t="shared" ca="1" si="55"/>
        <v>N/A</v>
      </c>
      <c r="X157" s="62" t="str">
        <f t="shared" ca="1" si="55"/>
        <v>N/A</v>
      </c>
      <c r="Y157" s="62"/>
      <c r="Z157" s="17"/>
      <c r="AA157" s="17"/>
      <c r="AB157" s="17"/>
    </row>
    <row r="158" spans="1:28" hidden="1" x14ac:dyDescent="0.25">
      <c r="A158" s="50">
        <f t="shared" si="44"/>
        <v>0</v>
      </c>
      <c r="B158" s="45" t="e">
        <f t="shared" ca="1" si="45"/>
        <v>#N/A</v>
      </c>
      <c r="C158" s="1" t="str">
        <f>IF(ISERROR(D158),"",IF(D158="","",MAX($C$121:C157)+1))</f>
        <v/>
      </c>
      <c r="D158" t="e">
        <f t="shared" si="46"/>
        <v>#N/A</v>
      </c>
      <c r="E158" s="22"/>
      <c r="F158" s="62" t="e">
        <f t="shared" ca="1" si="51"/>
        <v>#DIV/0!</v>
      </c>
      <c r="G158" s="62"/>
      <c r="H158" s="62"/>
      <c r="I158" s="62"/>
      <c r="J158" s="62" t="str">
        <f t="shared" si="52"/>
        <v>N/A</v>
      </c>
      <c r="K158" s="62" t="str">
        <f>IFERROR(IF(VLOOKUP(#REF!,LUCurYr,18,FALSE)=0,"",VLOOKUP(#REF!,LUCurYr,18,FALSE)),"N/A")</f>
        <v>N/A</v>
      </c>
      <c r="L158" s="62" t="str">
        <f t="shared" si="53"/>
        <v>N/A</v>
      </c>
      <c r="M158" s="62"/>
      <c r="N158" s="62" t="str">
        <f t="shared" ca="1" si="54"/>
        <v>N/A</v>
      </c>
      <c r="O158" s="62" t="str">
        <f t="shared" ca="1" si="55"/>
        <v>N/A</v>
      </c>
      <c r="P158" s="62" t="str">
        <f t="shared" ca="1" si="55"/>
        <v>N/A</v>
      </c>
      <c r="Q158" s="62" t="str">
        <f t="shared" ca="1" si="55"/>
        <v>N/A</v>
      </c>
      <c r="R158" s="62" t="str">
        <f t="shared" ca="1" si="55"/>
        <v>N/A</v>
      </c>
      <c r="S158" s="62" t="str">
        <f t="shared" ca="1" si="55"/>
        <v>N/A</v>
      </c>
      <c r="T158" s="62" t="str">
        <f t="shared" ca="1" si="55"/>
        <v>N/A</v>
      </c>
      <c r="U158" s="62" t="str">
        <f t="shared" ca="1" si="55"/>
        <v>N/A</v>
      </c>
      <c r="V158" s="62" t="str">
        <f t="shared" ca="1" si="55"/>
        <v>N/A</v>
      </c>
      <c r="W158" s="62" t="str">
        <f t="shared" ca="1" si="55"/>
        <v>N/A</v>
      </c>
      <c r="X158" s="62" t="str">
        <f t="shared" ca="1" si="55"/>
        <v>N/A</v>
      </c>
      <c r="Y158" s="62"/>
      <c r="Z158" s="17"/>
      <c r="AA158" s="17"/>
      <c r="AB158" s="17"/>
    </row>
    <row r="159" spans="1:28" hidden="1" x14ac:dyDescent="0.25">
      <c r="A159" s="50">
        <f t="shared" si="44"/>
        <v>0</v>
      </c>
      <c r="B159" s="45" t="e">
        <f t="shared" ca="1" si="45"/>
        <v>#N/A</v>
      </c>
      <c r="C159" s="1" t="str">
        <f>IF(ISERROR(D159),"",IF(D159="","",MAX($C$121:C158)+1))</f>
        <v/>
      </c>
      <c r="D159" t="e">
        <f t="shared" si="46"/>
        <v>#N/A</v>
      </c>
      <c r="E159" s="22"/>
      <c r="F159" s="62" t="e">
        <f t="shared" ca="1" si="51"/>
        <v>#DIV/0!</v>
      </c>
      <c r="G159" s="62"/>
      <c r="H159" s="62"/>
      <c r="I159" s="62"/>
      <c r="J159" s="62" t="str">
        <f t="shared" si="52"/>
        <v>N/A</v>
      </c>
      <c r="K159" s="62" t="str">
        <f>IFERROR(IF(VLOOKUP(#REF!,LUCurYr,18,FALSE)=0,"",VLOOKUP(#REF!,LUCurYr,18,FALSE)),"N/A")</f>
        <v>N/A</v>
      </c>
      <c r="L159" s="62" t="str">
        <f t="shared" si="53"/>
        <v>N/A</v>
      </c>
      <c r="M159" s="62"/>
      <c r="N159" s="62" t="str">
        <f t="shared" ca="1" si="54"/>
        <v>N/A</v>
      </c>
      <c r="O159" s="62" t="str">
        <f t="shared" ca="1" si="55"/>
        <v>N/A</v>
      </c>
      <c r="P159" s="62" t="str">
        <f t="shared" ca="1" si="55"/>
        <v>N/A</v>
      </c>
      <c r="Q159" s="62" t="str">
        <f t="shared" ca="1" si="55"/>
        <v>N/A</v>
      </c>
      <c r="R159" s="62" t="str">
        <f t="shared" ca="1" si="55"/>
        <v>N/A</v>
      </c>
      <c r="S159" s="62" t="str">
        <f t="shared" ca="1" si="55"/>
        <v>N/A</v>
      </c>
      <c r="T159" s="62" t="str">
        <f t="shared" ca="1" si="55"/>
        <v>N/A</v>
      </c>
      <c r="U159" s="62" t="str">
        <f t="shared" ca="1" si="55"/>
        <v>N/A</v>
      </c>
      <c r="V159" s="62" t="str">
        <f t="shared" ca="1" si="55"/>
        <v>N/A</v>
      </c>
      <c r="W159" s="62" t="str">
        <f t="shared" ca="1" si="55"/>
        <v>N/A</v>
      </c>
      <c r="X159" s="62" t="str">
        <f t="shared" ca="1" si="55"/>
        <v>N/A</v>
      </c>
      <c r="Y159" s="62"/>
      <c r="Z159" s="17"/>
      <c r="AA159" s="17"/>
      <c r="AB159" s="17"/>
    </row>
    <row r="160" spans="1:28" hidden="1" x14ac:dyDescent="0.25">
      <c r="A160" s="50">
        <f t="shared" si="44"/>
        <v>0</v>
      </c>
      <c r="B160" s="45" t="e">
        <f t="shared" ca="1" si="45"/>
        <v>#N/A</v>
      </c>
      <c r="C160" s="1" t="str">
        <f>IF(ISERROR(D160),"",IF(D160="","",MAX($C$121:C159)+1))</f>
        <v/>
      </c>
      <c r="D160" t="e">
        <f t="shared" si="46"/>
        <v>#N/A</v>
      </c>
      <c r="E160" s="22"/>
      <c r="F160" s="62" t="e">
        <f t="shared" ca="1" si="51"/>
        <v>#DIV/0!</v>
      </c>
      <c r="G160" s="62"/>
      <c r="H160" s="62"/>
      <c r="I160" s="62"/>
      <c r="J160" s="62" t="str">
        <f t="shared" si="52"/>
        <v>N/A</v>
      </c>
      <c r="K160" s="62" t="str">
        <f>IFERROR(IF(VLOOKUP(#REF!,LUCurYr,18,FALSE)=0,"",VLOOKUP(#REF!,LUCurYr,18,FALSE)),"N/A")</f>
        <v>N/A</v>
      </c>
      <c r="L160" s="62" t="str">
        <f t="shared" si="53"/>
        <v>N/A</v>
      </c>
      <c r="M160" s="62"/>
      <c r="N160" s="62" t="str">
        <f t="shared" ca="1" si="54"/>
        <v>N/A</v>
      </c>
      <c r="O160" s="62" t="str">
        <f t="shared" ca="1" si="55"/>
        <v>N/A</v>
      </c>
      <c r="P160" s="62" t="str">
        <f t="shared" ca="1" si="55"/>
        <v>N/A</v>
      </c>
      <c r="Q160" s="62" t="str">
        <f t="shared" ca="1" si="55"/>
        <v>N/A</v>
      </c>
      <c r="R160" s="62" t="str">
        <f t="shared" ca="1" si="55"/>
        <v>N/A</v>
      </c>
      <c r="S160" s="62" t="str">
        <f t="shared" ca="1" si="55"/>
        <v>N/A</v>
      </c>
      <c r="T160" s="62" t="str">
        <f t="shared" ca="1" si="55"/>
        <v>N/A</v>
      </c>
      <c r="U160" s="62" t="str">
        <f t="shared" ca="1" si="55"/>
        <v>N/A</v>
      </c>
      <c r="V160" s="62" t="str">
        <f t="shared" ca="1" si="55"/>
        <v>N/A</v>
      </c>
      <c r="W160" s="62" t="str">
        <f t="shared" ca="1" si="55"/>
        <v>N/A</v>
      </c>
      <c r="X160" s="62" t="str">
        <f t="shared" ca="1" si="55"/>
        <v>N/A</v>
      </c>
      <c r="Y160" s="62"/>
      <c r="Z160" s="17"/>
      <c r="AA160" s="17"/>
      <c r="AB160" s="17"/>
    </row>
    <row r="161" spans="1:28" hidden="1" x14ac:dyDescent="0.25">
      <c r="A161" s="50">
        <f t="shared" si="44"/>
        <v>0</v>
      </c>
      <c r="B161" s="45" t="e">
        <f t="shared" ca="1" si="45"/>
        <v>#N/A</v>
      </c>
      <c r="C161" s="1" t="str">
        <f>IF(ISERROR(D161),"",IF(D161="","",MAX($C$121:C160)+1))</f>
        <v/>
      </c>
      <c r="D161" t="e">
        <f t="shared" si="46"/>
        <v>#N/A</v>
      </c>
      <c r="E161" s="22"/>
      <c r="F161" s="62" t="e">
        <f t="shared" ca="1" si="51"/>
        <v>#DIV/0!</v>
      </c>
      <c r="G161" s="62"/>
      <c r="H161" s="62"/>
      <c r="I161" s="62"/>
      <c r="J161" s="62" t="str">
        <f t="shared" si="52"/>
        <v>N/A</v>
      </c>
      <c r="K161" s="62" t="str">
        <f>IFERROR(IF(VLOOKUP(#REF!,LUCurYr,18,FALSE)=0,"",VLOOKUP(#REF!,LUCurYr,18,FALSE)),"N/A")</f>
        <v>N/A</v>
      </c>
      <c r="L161" s="62" t="str">
        <f t="shared" si="53"/>
        <v>N/A</v>
      </c>
      <c r="M161" s="62"/>
      <c r="N161" s="62" t="str">
        <f t="shared" ca="1" si="54"/>
        <v>N/A</v>
      </c>
      <c r="O161" s="62" t="str">
        <f t="shared" ca="1" si="55"/>
        <v>N/A</v>
      </c>
      <c r="P161" s="62" t="str">
        <f t="shared" ca="1" si="55"/>
        <v>N/A</v>
      </c>
      <c r="Q161" s="62" t="str">
        <f t="shared" ca="1" si="55"/>
        <v>N/A</v>
      </c>
      <c r="R161" s="62" t="str">
        <f t="shared" ca="1" si="55"/>
        <v>N/A</v>
      </c>
      <c r="S161" s="62" t="str">
        <f t="shared" ca="1" si="55"/>
        <v>N/A</v>
      </c>
      <c r="T161" s="62" t="str">
        <f t="shared" ca="1" si="55"/>
        <v>N/A</v>
      </c>
      <c r="U161" s="62" t="str">
        <f t="shared" ca="1" si="55"/>
        <v>N/A</v>
      </c>
      <c r="V161" s="62" t="str">
        <f t="shared" ca="1" si="55"/>
        <v>N/A</v>
      </c>
      <c r="W161" s="62" t="str">
        <f t="shared" ca="1" si="55"/>
        <v>N/A</v>
      </c>
      <c r="X161" s="62" t="str">
        <f t="shared" ca="1" si="55"/>
        <v>N/A</v>
      </c>
      <c r="Y161" s="62"/>
      <c r="Z161" s="17"/>
      <c r="AA161" s="17"/>
      <c r="AB161" s="17"/>
    </row>
    <row r="162" spans="1:28" hidden="1" x14ac:dyDescent="0.25">
      <c r="A162" s="50">
        <f t="shared" si="44"/>
        <v>0</v>
      </c>
      <c r="B162" s="45" t="e">
        <f t="shared" ca="1" si="45"/>
        <v>#N/A</v>
      </c>
      <c r="C162" s="1" t="str">
        <f>IF(ISERROR(D162),"",IF(D162="","",MAX($C$121:C161)+1))</f>
        <v/>
      </c>
      <c r="D162" t="e">
        <f t="shared" si="46"/>
        <v>#N/A</v>
      </c>
      <c r="E162" s="22"/>
      <c r="F162" s="62" t="e">
        <f t="shared" ca="1" si="51"/>
        <v>#DIV/0!</v>
      </c>
      <c r="G162" s="62"/>
      <c r="H162" s="62"/>
      <c r="I162" s="62"/>
      <c r="J162" s="62" t="str">
        <f t="shared" si="52"/>
        <v>N/A</v>
      </c>
      <c r="K162" s="62" t="str">
        <f>IFERROR(IF(VLOOKUP(#REF!,LUCurYr,18,FALSE)=0,"",VLOOKUP(#REF!,LUCurYr,18,FALSE)),"N/A")</f>
        <v>N/A</v>
      </c>
      <c r="L162" s="62" t="str">
        <f t="shared" si="53"/>
        <v>N/A</v>
      </c>
      <c r="M162" s="62"/>
      <c r="N162" s="62" t="str">
        <f t="shared" ca="1" si="54"/>
        <v>N/A</v>
      </c>
      <c r="O162" s="62" t="str">
        <f t="shared" ca="1" si="55"/>
        <v>N/A</v>
      </c>
      <c r="P162" s="62" t="str">
        <f t="shared" ca="1" si="55"/>
        <v>N/A</v>
      </c>
      <c r="Q162" s="62" t="str">
        <f t="shared" ref="O162:X167" ca="1" si="56">IFERROR(IF(INDEX(MP_BV_WP,$B162,Q$122)=0,"N/A",INDEX(MP_BV_WP,$B162,Q$122)),"N/A")</f>
        <v>N/A</v>
      </c>
      <c r="R162" s="62" t="str">
        <f t="shared" ca="1" si="56"/>
        <v>N/A</v>
      </c>
      <c r="S162" s="62" t="str">
        <f t="shared" ca="1" si="56"/>
        <v>N/A</v>
      </c>
      <c r="T162" s="62" t="str">
        <f t="shared" ca="1" si="56"/>
        <v>N/A</v>
      </c>
      <c r="U162" s="62" t="str">
        <f t="shared" ca="1" si="56"/>
        <v>N/A</v>
      </c>
      <c r="V162" s="62" t="str">
        <f t="shared" ca="1" si="56"/>
        <v>N/A</v>
      </c>
      <c r="W162" s="62" t="str">
        <f t="shared" ca="1" si="56"/>
        <v>N/A</v>
      </c>
      <c r="X162" s="62" t="str">
        <f t="shared" ca="1" si="56"/>
        <v>N/A</v>
      </c>
      <c r="Y162" s="62"/>
      <c r="Z162" s="17"/>
      <c r="AA162" s="17"/>
      <c r="AB162" s="17"/>
    </row>
    <row r="163" spans="1:28" hidden="1" x14ac:dyDescent="0.25">
      <c r="A163" s="50">
        <f t="shared" si="44"/>
        <v>0</v>
      </c>
      <c r="B163" s="45" t="e">
        <f t="shared" ca="1" si="45"/>
        <v>#N/A</v>
      </c>
      <c r="C163" s="1" t="str">
        <f>IF(ISERROR(D163),"",IF(D163="","",MAX($C$121:C162)+1))</f>
        <v/>
      </c>
      <c r="D163" t="e">
        <f t="shared" si="46"/>
        <v>#N/A</v>
      </c>
      <c r="E163" s="22"/>
      <c r="F163" s="62" t="e">
        <f t="shared" ca="1" si="51"/>
        <v>#DIV/0!</v>
      </c>
      <c r="G163" s="62"/>
      <c r="H163" s="62"/>
      <c r="I163" s="62"/>
      <c r="J163" s="62" t="str">
        <f t="shared" si="52"/>
        <v>N/A</v>
      </c>
      <c r="K163" s="62" t="str">
        <f>IFERROR(IF(VLOOKUP(#REF!,LUCurYr,18,FALSE)=0,"",VLOOKUP(#REF!,LUCurYr,18,FALSE)),"N/A")</f>
        <v>N/A</v>
      </c>
      <c r="L163" s="62" t="str">
        <f t="shared" si="53"/>
        <v>N/A</v>
      </c>
      <c r="M163" s="62"/>
      <c r="N163" s="62" t="str">
        <f t="shared" ca="1" si="54"/>
        <v>N/A</v>
      </c>
      <c r="O163" s="62" t="str">
        <f t="shared" ca="1" si="56"/>
        <v>N/A</v>
      </c>
      <c r="P163" s="62" t="str">
        <f t="shared" ca="1" si="56"/>
        <v>N/A</v>
      </c>
      <c r="Q163" s="62" t="str">
        <f t="shared" ca="1" si="56"/>
        <v>N/A</v>
      </c>
      <c r="R163" s="62" t="str">
        <f t="shared" ca="1" si="56"/>
        <v>N/A</v>
      </c>
      <c r="S163" s="62" t="str">
        <f t="shared" ca="1" si="56"/>
        <v>N/A</v>
      </c>
      <c r="T163" s="62" t="str">
        <f t="shared" ca="1" si="56"/>
        <v>N/A</v>
      </c>
      <c r="U163" s="62" t="str">
        <f t="shared" ca="1" si="56"/>
        <v>N/A</v>
      </c>
      <c r="V163" s="62" t="str">
        <f t="shared" ca="1" si="56"/>
        <v>N/A</v>
      </c>
      <c r="W163" s="62" t="str">
        <f t="shared" ca="1" si="56"/>
        <v>N/A</v>
      </c>
      <c r="X163" s="62" t="str">
        <f t="shared" ca="1" si="56"/>
        <v>N/A</v>
      </c>
      <c r="Y163" s="62"/>
      <c r="Z163" s="17"/>
      <c r="AA163" s="17"/>
      <c r="AB163" s="17"/>
    </row>
    <row r="164" spans="1:28" hidden="1" x14ac:dyDescent="0.25">
      <c r="A164" s="50">
        <f t="shared" si="44"/>
        <v>0</v>
      </c>
      <c r="B164" s="45" t="e">
        <f t="shared" ca="1" si="45"/>
        <v>#N/A</v>
      </c>
      <c r="C164" s="1" t="str">
        <f>IF(ISERROR(D164),"",IF(D164="","",MAX($C$121:C163)+1))</f>
        <v/>
      </c>
      <c r="D164" t="e">
        <f t="shared" si="46"/>
        <v>#N/A</v>
      </c>
      <c r="E164" s="22"/>
      <c r="F164" s="62" t="e">
        <f t="shared" ca="1" si="51"/>
        <v>#DIV/0!</v>
      </c>
      <c r="G164" s="62"/>
      <c r="H164" s="62"/>
      <c r="I164" s="62"/>
      <c r="J164" s="62" t="str">
        <f t="shared" si="52"/>
        <v>N/A</v>
      </c>
      <c r="K164" s="62" t="str">
        <f>IFERROR(IF(VLOOKUP(#REF!,LUCurYr,18,FALSE)=0,"",VLOOKUP(#REF!,LUCurYr,18,FALSE)),"N/A")</f>
        <v>N/A</v>
      </c>
      <c r="L164" s="62" t="str">
        <f t="shared" si="53"/>
        <v>N/A</v>
      </c>
      <c r="M164" s="62"/>
      <c r="N164" s="62" t="str">
        <f t="shared" ca="1" si="54"/>
        <v>N/A</v>
      </c>
      <c r="O164" s="62" t="str">
        <f t="shared" ca="1" si="56"/>
        <v>N/A</v>
      </c>
      <c r="P164" s="62" t="str">
        <f t="shared" ca="1" si="56"/>
        <v>N/A</v>
      </c>
      <c r="Q164" s="62" t="str">
        <f t="shared" ca="1" si="56"/>
        <v>N/A</v>
      </c>
      <c r="R164" s="62" t="str">
        <f t="shared" ca="1" si="56"/>
        <v>N/A</v>
      </c>
      <c r="S164" s="62" t="str">
        <f t="shared" ca="1" si="56"/>
        <v>N/A</v>
      </c>
      <c r="T164" s="62" t="str">
        <f t="shared" ca="1" si="56"/>
        <v>N/A</v>
      </c>
      <c r="U164" s="62" t="str">
        <f t="shared" ca="1" si="56"/>
        <v>N/A</v>
      </c>
      <c r="V164" s="62" t="str">
        <f t="shared" ca="1" si="56"/>
        <v>N/A</v>
      </c>
      <c r="W164" s="62" t="str">
        <f t="shared" ca="1" si="56"/>
        <v>N/A</v>
      </c>
      <c r="X164" s="62" t="str">
        <f t="shared" ca="1" si="56"/>
        <v>N/A</v>
      </c>
      <c r="Y164" s="62"/>
      <c r="Z164" s="17"/>
      <c r="AA164" s="17"/>
      <c r="AB164" s="17"/>
    </row>
    <row r="165" spans="1:28" hidden="1" x14ac:dyDescent="0.25">
      <c r="A165" s="50">
        <f t="shared" si="44"/>
        <v>0</v>
      </c>
      <c r="B165" s="45" t="e">
        <f t="shared" ca="1" si="45"/>
        <v>#N/A</v>
      </c>
      <c r="C165" s="1" t="str">
        <f>IF(ISERROR(D165),"",IF(D165="","",MAX($C$121:C164)+1))</f>
        <v/>
      </c>
      <c r="D165" t="e">
        <f t="shared" si="46"/>
        <v>#N/A</v>
      </c>
      <c r="F165" s="62" t="e">
        <f t="shared" ca="1" si="51"/>
        <v>#DIV/0!</v>
      </c>
      <c r="G165" s="62"/>
      <c r="H165" s="62"/>
      <c r="I165" s="62"/>
      <c r="J165" s="62" t="str">
        <f t="shared" si="52"/>
        <v>N/A</v>
      </c>
      <c r="K165" s="62" t="str">
        <f>IFERROR(IF(VLOOKUP(#REF!,LUCurYr,18,FALSE)=0,"",VLOOKUP(#REF!,LUCurYr,18,FALSE)),"N/A")</f>
        <v>N/A</v>
      </c>
      <c r="L165" s="62" t="str">
        <f t="shared" si="53"/>
        <v>N/A</v>
      </c>
      <c r="M165" s="62"/>
      <c r="N165" s="62" t="str">
        <f t="shared" ca="1" si="54"/>
        <v>N/A</v>
      </c>
      <c r="O165" s="62" t="str">
        <f t="shared" ca="1" si="56"/>
        <v>N/A</v>
      </c>
      <c r="P165" s="62" t="str">
        <f t="shared" ca="1" si="56"/>
        <v>N/A</v>
      </c>
      <c r="Q165" s="62" t="str">
        <f t="shared" ca="1" si="56"/>
        <v>N/A</v>
      </c>
      <c r="R165" s="62" t="str">
        <f t="shared" ca="1" si="56"/>
        <v>N/A</v>
      </c>
      <c r="S165" s="62" t="str">
        <f t="shared" ca="1" si="56"/>
        <v>N/A</v>
      </c>
      <c r="T165" s="62" t="str">
        <f t="shared" ca="1" si="56"/>
        <v>N/A</v>
      </c>
      <c r="U165" s="62" t="str">
        <f t="shared" ca="1" si="56"/>
        <v>N/A</v>
      </c>
      <c r="V165" s="62" t="str">
        <f t="shared" ca="1" si="56"/>
        <v>N/A</v>
      </c>
      <c r="W165" s="62" t="str">
        <f t="shared" ca="1" si="56"/>
        <v>N/A</v>
      </c>
      <c r="X165" s="62" t="str">
        <f t="shared" ca="1" si="56"/>
        <v>N/A</v>
      </c>
      <c r="Y165" s="62"/>
      <c r="Z165" s="17"/>
      <c r="AA165" s="17"/>
      <c r="AB165" s="17"/>
    </row>
    <row r="166" spans="1:28" hidden="1" x14ac:dyDescent="0.25">
      <c r="A166" s="50">
        <f t="shared" si="44"/>
        <v>0</v>
      </c>
      <c r="B166" s="45" t="e">
        <f t="shared" ca="1" si="45"/>
        <v>#N/A</v>
      </c>
      <c r="C166" s="1" t="str">
        <f>IF(ISERROR(D166),"",IF(D166="","",MAX($C$121:C165)+1))</f>
        <v/>
      </c>
      <c r="D166" t="e">
        <f t="shared" si="46"/>
        <v>#N/A</v>
      </c>
      <c r="F166" s="62" t="e">
        <f t="shared" ca="1" si="51"/>
        <v>#DIV/0!</v>
      </c>
      <c r="G166" s="62"/>
      <c r="H166" s="62"/>
      <c r="I166" s="62"/>
      <c r="J166" s="62" t="str">
        <f t="shared" si="52"/>
        <v>N/A</v>
      </c>
      <c r="K166" s="62" t="str">
        <f>IFERROR(IF(VLOOKUP(#REF!,LUCurYr,18,FALSE)=0,"",VLOOKUP(#REF!,LUCurYr,18,FALSE)),"N/A")</f>
        <v>N/A</v>
      </c>
      <c r="L166" s="62" t="str">
        <f t="shared" si="53"/>
        <v>N/A</v>
      </c>
      <c r="M166" s="62"/>
      <c r="N166" s="62" t="str">
        <f t="shared" ca="1" si="54"/>
        <v>N/A</v>
      </c>
      <c r="O166" s="62" t="str">
        <f t="shared" ca="1" si="56"/>
        <v>N/A</v>
      </c>
      <c r="P166" s="62" t="str">
        <f t="shared" ca="1" si="56"/>
        <v>N/A</v>
      </c>
      <c r="Q166" s="62" t="str">
        <f t="shared" ca="1" si="56"/>
        <v>N/A</v>
      </c>
      <c r="R166" s="62" t="str">
        <f t="shared" ca="1" si="56"/>
        <v>N/A</v>
      </c>
      <c r="S166" s="62" t="str">
        <f t="shared" ca="1" si="56"/>
        <v>N/A</v>
      </c>
      <c r="T166" s="62" t="str">
        <f t="shared" ca="1" si="56"/>
        <v>N/A</v>
      </c>
      <c r="U166" s="62" t="str">
        <f t="shared" ca="1" si="56"/>
        <v>N/A</v>
      </c>
      <c r="V166" s="62" t="str">
        <f t="shared" ca="1" si="56"/>
        <v>N/A</v>
      </c>
      <c r="W166" s="62" t="str">
        <f t="shared" ca="1" si="56"/>
        <v>N/A</v>
      </c>
      <c r="X166" s="62" t="str">
        <f t="shared" ca="1" si="56"/>
        <v>N/A</v>
      </c>
      <c r="Y166" s="62"/>
      <c r="Z166" s="17"/>
      <c r="AA166" s="17"/>
      <c r="AB166" s="17"/>
    </row>
    <row r="167" spans="1:28" hidden="1" x14ac:dyDescent="0.25">
      <c r="A167" s="50">
        <f t="shared" si="44"/>
        <v>0</v>
      </c>
      <c r="B167" s="45" t="e">
        <f t="shared" ca="1" si="45"/>
        <v>#N/A</v>
      </c>
      <c r="C167" s="1" t="str">
        <f>IF(ISERROR(D167),"",IF(D167="","",MAX($C$121:C166)+1))</f>
        <v/>
      </c>
      <c r="D167" t="e">
        <f t="shared" si="46"/>
        <v>#N/A</v>
      </c>
      <c r="F167" s="62" t="e">
        <f t="shared" ca="1" si="51"/>
        <v>#DIV/0!</v>
      </c>
      <c r="G167" s="62"/>
      <c r="H167" s="62"/>
      <c r="I167" s="62"/>
      <c r="J167" s="62" t="str">
        <f t="shared" si="52"/>
        <v>N/A</v>
      </c>
      <c r="K167" s="62" t="str">
        <f>IFERROR(IF(VLOOKUP(#REF!,LUCurYr,18,FALSE)=0,"",VLOOKUP(#REF!,LUCurYr,18,FALSE)),"N/A")</f>
        <v>N/A</v>
      </c>
      <c r="L167" s="62" t="str">
        <f t="shared" si="53"/>
        <v>N/A</v>
      </c>
      <c r="M167" s="62"/>
      <c r="N167" s="62" t="str">
        <f t="shared" ca="1" si="54"/>
        <v>N/A</v>
      </c>
      <c r="O167" s="62" t="str">
        <f t="shared" ca="1" si="56"/>
        <v>N/A</v>
      </c>
      <c r="P167" s="62" t="str">
        <f t="shared" ca="1" si="56"/>
        <v>N/A</v>
      </c>
      <c r="Q167" s="62" t="str">
        <f t="shared" ca="1" si="56"/>
        <v>N/A</v>
      </c>
      <c r="R167" s="62" t="str">
        <f t="shared" ca="1" si="56"/>
        <v>N/A</v>
      </c>
      <c r="S167" s="62" t="str">
        <f t="shared" ca="1" si="56"/>
        <v>N/A</v>
      </c>
      <c r="T167" s="62" t="str">
        <f t="shared" ca="1" si="56"/>
        <v>N/A</v>
      </c>
      <c r="U167" s="62" t="str">
        <f t="shared" ca="1" si="56"/>
        <v>N/A</v>
      </c>
      <c r="V167" s="62" t="str">
        <f t="shared" ca="1" si="56"/>
        <v>N/A</v>
      </c>
      <c r="W167" s="62" t="str">
        <f t="shared" ca="1" si="56"/>
        <v>N/A</v>
      </c>
      <c r="X167" s="62" t="str">
        <f t="shared" ca="1" si="56"/>
        <v>N/A</v>
      </c>
      <c r="Y167" s="62"/>
      <c r="Z167" s="17"/>
      <c r="AA167" s="17"/>
      <c r="AB167" s="17"/>
    </row>
    <row r="168" spans="1:28" x14ac:dyDescent="0.25">
      <c r="A168" s="31"/>
      <c r="B168" s="31"/>
      <c r="C168" s="1" t="str">
        <f>IF(ISERROR(D168),"",IF(D168="","",MAX($C$121:C167)+1))</f>
        <v/>
      </c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17"/>
      <c r="AA168" s="17"/>
    </row>
    <row r="169" spans="1:28" x14ac:dyDescent="0.25">
      <c r="A169" s="31"/>
      <c r="B169" s="31"/>
      <c r="C169" s="1">
        <f ca="1">IF(ISERROR(D169),"",IF(D169="","",MAX($C$121:C168)+1))</f>
        <v>32</v>
      </c>
      <c r="D169" t="s">
        <v>98</v>
      </c>
      <c r="F169" s="62">
        <f ca="1">AVERAGE(G169:X169)</f>
        <v>1.7766894794931505</v>
      </c>
      <c r="G169" s="62">
        <f>AVERAGE(G123:G168)</f>
        <v>1.5961747182414665</v>
      </c>
      <c r="H169" s="62">
        <f>AVERAGE(H123:H168)</f>
        <v>1.8344935137263323</v>
      </c>
      <c r="I169" s="62">
        <f>AVERAGE(I123:I168)</f>
        <v>1.769429811188554</v>
      </c>
      <c r="J169" s="62">
        <f ca="1">AVERAGE(J123:J168)</f>
        <v>1.8862481245963434</v>
      </c>
      <c r="K169" s="62">
        <f t="shared" ref="K169:X169" ca="1" si="57">AVERAGE(K123:K168)</f>
        <v>2.3040250221229939</v>
      </c>
      <c r="L169" s="62">
        <f t="shared" ca="1" si="57"/>
        <v>2.1196166420487841</v>
      </c>
      <c r="M169" s="62">
        <f t="shared" ca="1" si="57"/>
        <v>2.2256051021585908</v>
      </c>
      <c r="N169" s="62">
        <f t="shared" ca="1" si="57"/>
        <v>2.0384955114830134</v>
      </c>
      <c r="O169" s="62">
        <f t="shared" ca="1" si="57"/>
        <v>1.8255128564810421</v>
      </c>
      <c r="P169" s="62">
        <f t="shared" ca="1" si="57"/>
        <v>1.7100044500841163</v>
      </c>
      <c r="Q169" s="62">
        <f t="shared" ca="1" si="57"/>
        <v>1.6315569162630719</v>
      </c>
      <c r="R169" s="62">
        <f t="shared" ca="1" si="57"/>
        <v>1.6035269192706638</v>
      </c>
      <c r="S169" s="62">
        <f t="shared" ca="1" si="57"/>
        <v>1.5889346943800171</v>
      </c>
      <c r="T169" s="62">
        <f t="shared" ca="1" si="57"/>
        <v>1.4444539368440401</v>
      </c>
      <c r="U169" s="62">
        <f t="shared" ca="1" si="57"/>
        <v>1.4113343034934229</v>
      </c>
      <c r="V169" s="62">
        <f t="shared" ca="1" si="57"/>
        <v>1.5711881129674421</v>
      </c>
      <c r="W169" s="62">
        <f t="shared" ca="1" si="57"/>
        <v>1.7370953433545095</v>
      </c>
      <c r="X169" s="62">
        <f t="shared" ca="1" si="57"/>
        <v>1.6827146521722993</v>
      </c>
      <c r="Y169" s="62"/>
      <c r="Z169" s="17"/>
      <c r="AA169" s="17"/>
      <c r="AB169" s="17"/>
    </row>
    <row r="170" spans="1:28" x14ac:dyDescent="0.25">
      <c r="A170" s="31"/>
      <c r="B170" s="31"/>
      <c r="C170" s="1">
        <f ca="1">IF(ISERROR(D170),"",IF(D170="","",MAX($C$121:C169)+1))</f>
        <v>33</v>
      </c>
      <c r="D170" t="s">
        <v>257</v>
      </c>
      <c r="F170" s="62">
        <f ca="1">MEDIAN(G170:X170)</f>
        <v>1.6783203494110817</v>
      </c>
      <c r="G170" s="62">
        <f t="shared" ref="G170:L170" si="58">MEDIAN(G123:G168)</f>
        <v>1.4856535600425083</v>
      </c>
      <c r="H170" s="62">
        <f t="shared" si="58"/>
        <v>1.6507105459985041</v>
      </c>
      <c r="I170" s="62">
        <f t="shared" si="58"/>
        <v>1.5901858985094621</v>
      </c>
      <c r="J170" s="62">
        <f t="shared" ca="1" si="58"/>
        <v>1.9028823682160478</v>
      </c>
      <c r="K170" s="62">
        <f t="shared" ca="1" si="58"/>
        <v>2.1980372233649725</v>
      </c>
      <c r="L170" s="62">
        <f t="shared" ca="1" si="58"/>
        <v>2.0292299437795975</v>
      </c>
      <c r="M170" s="62">
        <f t="shared" ref="M170:X170" ca="1" si="59">MEDIAN(M123:M168)</f>
        <v>2.1588558676246463</v>
      </c>
      <c r="N170" s="62">
        <f t="shared" ca="1" si="59"/>
        <v>1.9644916366957812</v>
      </c>
      <c r="O170" s="62">
        <f t="shared" ca="1" si="59"/>
        <v>1.7177752366431611</v>
      </c>
      <c r="P170" s="62">
        <f t="shared" ca="1" si="59"/>
        <v>1.6827558143174635</v>
      </c>
      <c r="Q170" s="62">
        <f t="shared" ca="1" si="59"/>
        <v>1.5942880686693874</v>
      </c>
      <c r="R170" s="62">
        <f t="shared" ca="1" si="59"/>
        <v>1.5128458070257094</v>
      </c>
      <c r="S170" s="62">
        <f t="shared" ca="1" si="59"/>
        <v>1.5371576017741395</v>
      </c>
      <c r="T170" s="62">
        <f t="shared" ca="1" si="59"/>
        <v>1.3966473010690481</v>
      </c>
      <c r="U170" s="62">
        <f t="shared" ca="1" si="59"/>
        <v>1.5118358560292227</v>
      </c>
      <c r="V170" s="62">
        <f t="shared" ca="1" si="59"/>
        <v>1.6738848845046999</v>
      </c>
      <c r="W170" s="62">
        <f t="shared" ca="1" si="59"/>
        <v>1.746885138392827</v>
      </c>
      <c r="X170" s="62">
        <f t="shared" ca="1" si="59"/>
        <v>1.7011014373298932</v>
      </c>
      <c r="Y170" s="62"/>
      <c r="Z170" s="17"/>
      <c r="AA170" s="17"/>
      <c r="AB170" s="17"/>
    </row>
    <row r="171" spans="1:28" x14ac:dyDescent="0.25">
      <c r="A171" s="31"/>
      <c r="B171" s="31"/>
      <c r="C171" s="1"/>
    </row>
    <row r="172" spans="1:28" x14ac:dyDescent="0.25">
      <c r="A172" s="31"/>
      <c r="B172" s="31"/>
      <c r="D172" s="18"/>
      <c r="E172" s="88"/>
    </row>
    <row r="173" spans="1:28" x14ac:dyDescent="0.25">
      <c r="A173" s="31"/>
      <c r="B173" s="31"/>
      <c r="D173" s="20" t="s">
        <v>107</v>
      </c>
    </row>
    <row r="174" spans="1:28" s="271" customFormat="1" x14ac:dyDescent="0.25">
      <c r="A174" s="31"/>
      <c r="B174" s="31"/>
      <c r="D174" s="20"/>
      <c r="E174" s="271" t="s">
        <v>571</v>
      </c>
    </row>
    <row r="175" spans="1:28" ht="16.2" x14ac:dyDescent="0.25">
      <c r="A175" s="31"/>
      <c r="B175" s="31"/>
      <c r="D175" s="76">
        <v>1</v>
      </c>
      <c r="E175" s="21" t="str">
        <f>'CCW-1, pg 8-10'!E64</f>
        <v>Data for years 2019 and prior were retrieved from the Value Line Investment Survey Investment Analyzer Software, downloaded on June 18, 2021.</v>
      </c>
    </row>
    <row r="176" spans="1:28" ht="16.2" x14ac:dyDescent="0.25">
      <c r="A176" s="31"/>
      <c r="B176" s="31"/>
      <c r="D176" s="76"/>
      <c r="E176" s="21" t="s">
        <v>559</v>
      </c>
    </row>
    <row r="177" spans="1:5" ht="16.2" x14ac:dyDescent="0.25">
      <c r="A177" s="31"/>
      <c r="B177" s="31"/>
      <c r="D177" s="76">
        <v>2</v>
      </c>
      <c r="E177" s="21" t="str">
        <f>"The Value Line Investment Survey, "&amp;'2023 Data (WP)'!$D$2</f>
        <v>The Value Line Investment Survey, February 23, 2024.</v>
      </c>
    </row>
    <row r="178" spans="1:5" x14ac:dyDescent="0.25">
      <c r="A178" s="31"/>
      <c r="B178" s="31"/>
      <c r="D178" s="20" t="s">
        <v>328</v>
      </c>
    </row>
    <row r="179" spans="1:5" ht="16.2" x14ac:dyDescent="0.25">
      <c r="A179" s="31"/>
      <c r="B179" s="31"/>
      <c r="D179" s="76" t="s">
        <v>354</v>
      </c>
      <c r="E179" s="21" t="s">
        <v>525</v>
      </c>
    </row>
    <row r="180" spans="1:5" ht="16.2" x14ac:dyDescent="0.25">
      <c r="A180" s="31"/>
      <c r="B180" s="31"/>
      <c r="D180" s="76" t="s">
        <v>355</v>
      </c>
      <c r="E180" s="21" t="s">
        <v>526</v>
      </c>
    </row>
    <row r="181" spans="1:5" ht="16.2" x14ac:dyDescent="0.25">
      <c r="D181" s="76"/>
      <c r="E181" s="231"/>
    </row>
  </sheetData>
  <mergeCells count="9">
    <mergeCell ref="D65:E65"/>
    <mergeCell ref="F118:AB118"/>
    <mergeCell ref="D120:E120"/>
    <mergeCell ref="C1:AB1"/>
    <mergeCell ref="C4:AB4"/>
    <mergeCell ref="C5:AB5"/>
    <mergeCell ref="F8:AB8"/>
    <mergeCell ref="D10:E10"/>
    <mergeCell ref="F63:AB63"/>
  </mergeCells>
  <printOptions horizontalCentered="1"/>
  <pageMargins left="0.7" right="0.7" top="1.25" bottom="0.75" header="0.55000000000000004" footer="0.51"/>
  <pageSetup scale="42" firstPageNumber="11" fitToHeight="0" orientation="portrait" useFirstPageNumber="1" r:id="rId1"/>
  <headerFooter>
    <oddHeader>&amp;R&amp;"Arial,Bold"&amp;17Docket Nos. 20240026-EI, 20230139-EI, and 20230090-EI
Valuation Metrics
Exhibit CCW-1, Page &amp;P of 16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Y165"/>
  <sheetViews>
    <sheetView view="pageLayout" topLeftCell="C1" zoomScale="90" zoomScaleNormal="70" zoomScalePageLayoutView="90" workbookViewId="0">
      <selection activeCell="C1" sqref="C1:X1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30.59765625" customWidth="1"/>
    <col min="6" max="24" width="9" customWidth="1"/>
  </cols>
  <sheetData>
    <row r="1" spans="1:24" ht="28.2" x14ac:dyDescent="0.5">
      <c r="C1" s="277" t="str">
        <f>'CCW-1, pg 11'!C1:AB1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</row>
    <row r="2" spans="1:24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</row>
    <row r="3" spans="1:24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</row>
    <row r="4" spans="1:24" ht="21" x14ac:dyDescent="0.4">
      <c r="C4" s="278" t="s">
        <v>520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</row>
    <row r="5" spans="1:24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</row>
    <row r="6" spans="1:24" x14ac:dyDescent="0.25">
      <c r="C6" s="6"/>
      <c r="D6" s="7"/>
      <c r="E6" s="7"/>
      <c r="F6" s="7"/>
      <c r="G6" s="7"/>
      <c r="H6" s="7"/>
      <c r="I6" s="7"/>
      <c r="J6" s="7"/>
      <c r="K6" s="7"/>
      <c r="L6" s="232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spans="1:24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spans="1:24" ht="16.2" x14ac:dyDescent="0.25">
      <c r="C8" s="6"/>
      <c r="D8" s="7"/>
      <c r="E8" s="7"/>
      <c r="F8" s="280" t="s">
        <v>375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</row>
    <row r="9" spans="1:24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109">
        <v>2023</v>
      </c>
      <c r="H9" s="109">
        <v>2022</v>
      </c>
      <c r="I9" s="109">
        <v>2021</v>
      </c>
      <c r="J9" s="109">
        <v>2020</v>
      </c>
      <c r="K9" s="109">
        <v>2019</v>
      </c>
      <c r="L9" s="109">
        <v>2018</v>
      </c>
      <c r="M9" s="109">
        <v>2017</v>
      </c>
      <c r="N9" s="109">
        <v>2016</v>
      </c>
      <c r="O9" s="109">
        <v>2015</v>
      </c>
      <c r="P9" s="109">
        <v>2014</v>
      </c>
      <c r="Q9" s="109">
        <v>2013</v>
      </c>
      <c r="R9" s="109">
        <v>2012</v>
      </c>
      <c r="S9" s="109">
        <v>2011</v>
      </c>
      <c r="T9" s="109">
        <v>2010</v>
      </c>
      <c r="U9" s="109">
        <v>2009</v>
      </c>
      <c r="V9" s="109">
        <v>2008</v>
      </c>
      <c r="W9" s="109">
        <v>2007</v>
      </c>
      <c r="X9" s="109">
        <v>2006</v>
      </c>
    </row>
    <row r="10" spans="1:24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560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</row>
    <row r="11" spans="1:24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W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>+W11-1</f>
        <v>-19</v>
      </c>
    </row>
    <row r="12" spans="1:24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16">
        <f t="shared" ref="J12:X12" ca="1" si="1">MATCH(J10,OFFSET(DIV_MP_WP,-1,0,1,),0)</f>
        <v>6</v>
      </c>
      <c r="K12" s="16">
        <f t="shared" ca="1" si="1"/>
        <v>7</v>
      </c>
      <c r="L12" s="16">
        <f t="shared" ca="1" si="1"/>
        <v>8</v>
      </c>
      <c r="M12" s="16">
        <f t="shared" ca="1" si="1"/>
        <v>9</v>
      </c>
      <c r="N12" s="16">
        <f t="shared" ca="1" si="1"/>
        <v>10</v>
      </c>
      <c r="O12" s="16">
        <f t="shared" ca="1" si="1"/>
        <v>11</v>
      </c>
      <c r="P12" s="16">
        <f t="shared" ca="1" si="1"/>
        <v>12</v>
      </c>
      <c r="Q12" s="16">
        <f t="shared" ca="1" si="1"/>
        <v>13</v>
      </c>
      <c r="R12" s="16">
        <f t="shared" ca="1" si="1"/>
        <v>14</v>
      </c>
      <c r="S12" s="16">
        <f t="shared" ca="1" si="1"/>
        <v>15</v>
      </c>
      <c r="T12" s="16">
        <f t="shared" ca="1" si="1"/>
        <v>16</v>
      </c>
      <c r="U12" s="16">
        <f t="shared" ca="1" si="1"/>
        <v>17</v>
      </c>
      <c r="V12" s="16">
        <f t="shared" ca="1" si="1"/>
        <v>18</v>
      </c>
      <c r="W12" s="16">
        <f t="shared" ca="1" si="1"/>
        <v>19</v>
      </c>
      <c r="X12" s="16">
        <f t="shared" ca="1" si="1"/>
        <v>20</v>
      </c>
    </row>
    <row r="13" spans="1:24" x14ac:dyDescent="0.25">
      <c r="A13" s="44" t="s">
        <v>175</v>
      </c>
      <c r="B13" s="110">
        <f t="shared" ref="B13:B57" ca="1" si="2">IFERROR(MATCH(A13,OFFSET(DIV_MP_WP,0,0,,1),0),"")</f>
        <v>9</v>
      </c>
      <c r="C13" s="1">
        <f ca="1">IF(ISERROR(D13),"",IF(D13="","",MAX($C$12:C12)+1))</f>
        <v>1</v>
      </c>
      <c r="D13" t="str">
        <f t="shared" ref="D13:D57" ca="1" si="3">VLOOKUP(A13,LUCurYr,2,FALSE)</f>
        <v>Atmos Energy</v>
      </c>
      <c r="E13" s="15"/>
      <c r="F13" s="77">
        <f ca="1">IFERROR(AVERAGE(G13:X13),"N/A")</f>
        <v>3.3526121615094072E-2</v>
      </c>
      <c r="G13" s="77">
        <f t="shared" ref="G13:G57" si="4">IFERROR(IF(VLOOKUP($A13,Data2023,24,FALSE)=0,"",VLOOKUP($A13,Data2023,24,FALSE)),"N/A")</f>
        <v>2.615996464869642E-2</v>
      </c>
      <c r="H13" s="77">
        <f t="shared" ref="H13:H57" si="5">IFERROR(IF(VLOOKUP($A13,Data2022,22,FALSE)=0,"",VLOOKUP($A13,Data2022,22,FALSE)),"N/A")</f>
        <v>2.464884458541006E-2</v>
      </c>
      <c r="I13" s="77">
        <f t="shared" ref="I13:I57" si="6">IFERROR(IF(VLOOKUP($A13,lucyyr,22,FALSE)=0,"",VLOOKUP($A13,lucyyr,22,FALSE)),"N/A")</f>
        <v>2.6329647182727754E-2</v>
      </c>
      <c r="J13" s="77">
        <f t="shared" ref="J13:X28" ca="1" si="7">IFERROR(INDEX(DIV_MP_WP,$B13,J$12),"N/A")</f>
        <v>2.1853146853146852E-2</v>
      </c>
      <c r="K13" s="77">
        <f t="shared" ca="1" si="7"/>
        <v>2.0795373524518736E-2</v>
      </c>
      <c r="L13" s="77">
        <f t="shared" ca="1" si="7"/>
        <v>2.2302183084828769E-2</v>
      </c>
      <c r="M13" s="77">
        <f t="shared" ca="1" si="7"/>
        <v>2.269145918688938E-2</v>
      </c>
      <c r="N13" s="77">
        <f t="shared" ca="1" si="7"/>
        <v>2.389588222743759E-2</v>
      </c>
      <c r="O13" s="77">
        <f t="shared" ca="1" si="7"/>
        <v>2.8846687253832357E-2</v>
      </c>
      <c r="P13" s="77">
        <f t="shared" ca="1" si="7"/>
        <v>3.1070896227405369E-2</v>
      </c>
      <c r="Q13" s="77">
        <f t="shared" ca="1" si="7"/>
        <v>3.527959075674722E-2</v>
      </c>
      <c r="R13" s="77">
        <f t="shared" ca="1" si="7"/>
        <v>4.1253138825780224E-2</v>
      </c>
      <c r="S13" s="77">
        <f t="shared" ca="1" si="7"/>
        <v>4.1920966648172124E-2</v>
      </c>
      <c r="T13" s="77">
        <f t="shared" ca="1" si="7"/>
        <v>4.6963165457540396E-2</v>
      </c>
      <c r="U13" s="77">
        <f t="shared" ca="1" si="7"/>
        <v>5.3441295546558708E-2</v>
      </c>
      <c r="V13" s="77">
        <f t="shared" ca="1" si="7"/>
        <v>4.7848651036107331E-2</v>
      </c>
      <c r="W13" s="77">
        <f t="shared" ca="1" si="7"/>
        <v>4.1585445094217022E-2</v>
      </c>
      <c r="X13" s="77">
        <f t="shared" ca="1" si="7"/>
        <v>4.6583850931677023E-2</v>
      </c>
    </row>
    <row r="14" spans="1:24" x14ac:dyDescent="0.25">
      <c r="A14" s="44" t="s">
        <v>178</v>
      </c>
      <c r="B14" s="110">
        <f t="shared" ca="1" si="2"/>
        <v>16</v>
      </c>
      <c r="C14" s="1">
        <f ca="1">IF(ISERROR(D14),"",IF(D14="","",MAX($C$12:C13)+1))</f>
        <v>2</v>
      </c>
      <c r="D14" t="str">
        <f t="shared" ca="1" si="3"/>
        <v>Chesapeake Utilities</v>
      </c>
      <c r="E14" s="15"/>
      <c r="F14" s="77">
        <f t="shared" ref="F14:F57" ca="1" si="8">IFERROR(AVERAGE(G14:X14),"N/A")</f>
        <v>2.6486422701345845E-2</v>
      </c>
      <c r="G14" s="77">
        <f t="shared" si="4"/>
        <v>2.0766035994462393E-2</v>
      </c>
      <c r="H14" s="77">
        <f t="shared" si="5"/>
        <v>1.6104720349067826E-2</v>
      </c>
      <c r="I14" s="77">
        <f t="shared" si="6"/>
        <v>1.4977614977614979E-2</v>
      </c>
      <c r="J14" s="77">
        <f t="shared" ca="1" si="7"/>
        <v>1.8612334801762116E-2</v>
      </c>
      <c r="K14" s="77">
        <f t="shared" ca="1" si="7"/>
        <v>1.6839955238312526E-2</v>
      </c>
      <c r="L14" s="77">
        <f t="shared" ca="1" si="7"/>
        <v>1.7565364639278176E-2</v>
      </c>
      <c r="M14" s="77">
        <f t="shared" ca="1" si="7"/>
        <v>1.6885553470919322E-2</v>
      </c>
      <c r="N14" s="77">
        <f t="shared" ca="1" si="7"/>
        <v>1.9108791649939783E-2</v>
      </c>
      <c r="O14" s="77">
        <f t="shared" ca="1" si="7"/>
        <v>2.1828529107953774E-2</v>
      </c>
      <c r="P14" s="77">
        <f t="shared" ca="1" si="7"/>
        <v>2.4403631955721244E-2</v>
      </c>
      <c r="Q14" s="77">
        <f t="shared" ca="1" si="7"/>
        <v>2.8692007024301816E-2</v>
      </c>
      <c r="R14" s="77">
        <f t="shared" ca="1" si="7"/>
        <v>3.2528038491512215E-2</v>
      </c>
      <c r="S14" s="77">
        <f t="shared" ca="1" si="7"/>
        <v>3.3594211458948614E-2</v>
      </c>
      <c r="T14" s="77">
        <f t="shared" ca="1" si="7"/>
        <v>3.9138062890818302E-2</v>
      </c>
      <c r="U14" s="77">
        <f t="shared" ca="1" si="7"/>
        <v>4.0927627376799482E-2</v>
      </c>
      <c r="V14" s="77">
        <f t="shared" ca="1" si="7"/>
        <v>4.0960308598111866E-2</v>
      </c>
      <c r="W14" s="77">
        <f t="shared" ca="1" si="7"/>
        <v>3.6221492343988526E-2</v>
      </c>
      <c r="X14" s="77">
        <f t="shared" ca="1" si="7"/>
        <v>3.7601328254712373E-2</v>
      </c>
    </row>
    <row r="15" spans="1:24" x14ac:dyDescent="0.25">
      <c r="A15" s="44" t="s">
        <v>190</v>
      </c>
      <c r="B15" s="110">
        <f t="shared" ca="1" si="2"/>
        <v>42</v>
      </c>
      <c r="C15" s="1">
        <f ca="1">IF(ISERROR(D15),"",IF(D15="","",MAX($C$12:C14)+1))</f>
        <v>3</v>
      </c>
      <c r="D15" t="str">
        <f t="shared" ca="1" si="3"/>
        <v>New Jersey Resources</v>
      </c>
      <c r="E15" s="15"/>
      <c r="F15" s="77">
        <f t="shared" ca="1" si="8"/>
        <v>3.2195509401432017E-2</v>
      </c>
      <c r="G15" s="77">
        <f t="shared" si="4"/>
        <v>3.2946145723336859E-2</v>
      </c>
      <c r="H15" s="77">
        <f t="shared" si="5"/>
        <v>3.2511210762331842E-2</v>
      </c>
      <c r="I15" s="77">
        <f t="shared" si="6"/>
        <v>3.5006435006435015E-2</v>
      </c>
      <c r="J15" s="77">
        <f t="shared" ca="1" si="7"/>
        <v>3.4661572052401744E-2</v>
      </c>
      <c r="K15" s="77">
        <f t="shared" ca="1" si="7"/>
        <v>2.4950204423943807E-2</v>
      </c>
      <c r="L15" s="77">
        <f t="shared" ca="1" si="7"/>
        <v>2.6136417054482209E-2</v>
      </c>
      <c r="M15" s="77">
        <f t="shared" ca="1" si="7"/>
        <v>2.6865054763380861E-2</v>
      </c>
      <c r="N15" s="77">
        <f t="shared" ca="1" si="7"/>
        <v>2.8644082658638527E-2</v>
      </c>
      <c r="O15" s="77">
        <f t="shared" ca="1" si="7"/>
        <v>3.1449731155523991E-2</v>
      </c>
      <c r="P15" s="77">
        <f t="shared" ca="1" si="7"/>
        <v>3.50366758185469E-2</v>
      </c>
      <c r="Q15" s="77">
        <f t="shared" ca="1" si="7"/>
        <v>3.7127011046431686E-2</v>
      </c>
      <c r="R15" s="77">
        <f t="shared" ca="1" si="7"/>
        <v>3.3767486734201636E-2</v>
      </c>
      <c r="S15" s="77">
        <f t="shared" ca="1" si="7"/>
        <v>3.3311742389192191E-2</v>
      </c>
      <c r="T15" s="77">
        <f t="shared" ca="1" si="7"/>
        <v>3.689636462289745E-2</v>
      </c>
      <c r="U15" s="77">
        <f t="shared" ca="1" si="7"/>
        <v>3.461753210496929E-2</v>
      </c>
      <c r="V15" s="77">
        <f t="shared" ca="1" si="7"/>
        <v>3.3494266747133378E-2</v>
      </c>
      <c r="W15" s="77">
        <f t="shared" ca="1" si="7"/>
        <v>3.0192949023344448E-2</v>
      </c>
      <c r="X15" s="77">
        <f t="shared" ca="1" si="7"/>
        <v>3.1904287138584245E-2</v>
      </c>
    </row>
    <row r="16" spans="1:24" x14ac:dyDescent="0.25">
      <c r="A16" s="44" t="s">
        <v>26</v>
      </c>
      <c r="B16" s="110">
        <f t="shared" ca="1" si="2"/>
        <v>44</v>
      </c>
      <c r="C16" s="1">
        <f ca="1">IF(ISERROR(D16),"",IF(D16="","",MAX($C$12:C15)+1))</f>
        <v>4</v>
      </c>
      <c r="D16" t="str">
        <f t="shared" ca="1" si="3"/>
        <v>NiSource Inc.</v>
      </c>
      <c r="E16" s="15"/>
      <c r="F16" s="77">
        <f t="shared" ca="1" si="8"/>
        <v>3.9492182056819036E-2</v>
      </c>
      <c r="G16" s="77">
        <f t="shared" si="4"/>
        <v>3.8535645472061661E-2</v>
      </c>
      <c r="H16" s="77">
        <f t="shared" si="5"/>
        <v>3.3333333333333326E-2</v>
      </c>
      <c r="I16" s="77">
        <f t="shared" si="6"/>
        <v>3.5991820040899791E-2</v>
      </c>
      <c r="J16" s="77">
        <f t="shared" ca="1" si="7"/>
        <v>3.4078461600876297E-2</v>
      </c>
      <c r="K16" s="77">
        <f t="shared" ca="1" si="7"/>
        <v>2.8642010669148975E-2</v>
      </c>
      <c r="L16" s="77">
        <f t="shared" ca="1" si="7"/>
        <v>3.1018849916487713E-2</v>
      </c>
      <c r="M16" s="77">
        <f t="shared" ca="1" si="7"/>
        <v>2.7870680044593088E-2</v>
      </c>
      <c r="N16" s="77">
        <f t="shared" ca="1" si="7"/>
        <v>2.7606435750334297E-2</v>
      </c>
      <c r="O16" s="77">
        <f t="shared" ca="1" si="7"/>
        <v>3.5283115116476783E-2</v>
      </c>
      <c r="P16" s="77">
        <f t="shared" ca="1" si="7"/>
        <v>2.6856947260328078E-2</v>
      </c>
      <c r="Q16" s="77">
        <f t="shared" ca="1" si="7"/>
        <v>3.304670375990558E-2</v>
      </c>
      <c r="R16" s="77">
        <f t="shared" ca="1" si="7"/>
        <v>3.8395555918634097E-2</v>
      </c>
      <c r="S16" s="77">
        <f t="shared" ca="1" si="7"/>
        <v>4.525109438788058E-2</v>
      </c>
      <c r="T16" s="77">
        <f t="shared" ca="1" si="7"/>
        <v>5.6625838616359947E-2</v>
      </c>
      <c r="U16" s="77">
        <f t="shared" ca="1" si="7"/>
        <v>7.6405614151648538E-2</v>
      </c>
      <c r="V16" s="77">
        <f t="shared" ca="1" si="7"/>
        <v>5.6906043174367538E-2</v>
      </c>
      <c r="W16" s="77">
        <f t="shared" ca="1" si="7"/>
        <v>4.2890442890442894E-2</v>
      </c>
      <c r="X16" s="77">
        <f t="shared" ca="1" si="7"/>
        <v>4.2120684918963466E-2</v>
      </c>
    </row>
    <row r="17" spans="1:24" x14ac:dyDescent="0.25">
      <c r="A17" s="44" t="s">
        <v>192</v>
      </c>
      <c r="B17" s="110">
        <f t="shared" ca="1" si="2"/>
        <v>45</v>
      </c>
      <c r="C17" s="1">
        <f ca="1">IF(ISERROR(D17),"",IF(D17="","",MAX($C$12:C16)+1))</f>
        <v>5</v>
      </c>
      <c r="D17" t="str">
        <f t="shared" ca="1" si="3"/>
        <v>Northwest Nat. Gas</v>
      </c>
      <c r="E17" s="15"/>
      <c r="F17" s="77">
        <f t="shared" ca="1" si="8"/>
        <v>3.6196519879896999E-2</v>
      </c>
      <c r="G17" s="77">
        <f t="shared" si="4"/>
        <v>4.4040862656072648E-2</v>
      </c>
      <c r="H17" s="77">
        <f t="shared" si="5"/>
        <v>3.8599999999999995E-2</v>
      </c>
      <c r="I17" s="77">
        <f t="shared" si="6"/>
        <v>3.8984771573604061E-2</v>
      </c>
      <c r="J17" s="77">
        <f t="shared" ca="1" si="7"/>
        <v>3.326540919936604E-2</v>
      </c>
      <c r="K17" s="77">
        <f t="shared" ca="1" si="7"/>
        <v>2.8118987716442209E-2</v>
      </c>
      <c r="L17" s="77">
        <f t="shared" ca="1" si="7"/>
        <v>3.0458325275575321E-2</v>
      </c>
      <c r="M17" s="77">
        <f t="shared" ca="1" si="7"/>
        <v>3.0211480362537763E-2</v>
      </c>
      <c r="N17" s="77">
        <f t="shared" ca="1" si="7"/>
        <v>3.2763333099726684E-2</v>
      </c>
      <c r="O17" s="77">
        <f t="shared" ca="1" si="7"/>
        <v>4.0055129640795939E-2</v>
      </c>
      <c r="P17" s="77">
        <f t="shared" ca="1" si="7"/>
        <v>4.1395359244590632E-2</v>
      </c>
      <c r="Q17" s="77">
        <f t="shared" ca="1" si="7"/>
        <v>4.2156185210780933E-2</v>
      </c>
      <c r="R17" s="77">
        <f t="shared" ca="1" si="7"/>
        <v>3.8256855243753871E-2</v>
      </c>
      <c r="S17" s="77">
        <f t="shared" ca="1" si="7"/>
        <v>3.8500462005544064E-2</v>
      </c>
      <c r="T17" s="77">
        <f t="shared" ca="1" si="7"/>
        <v>3.6260036260036259E-2</v>
      </c>
      <c r="U17" s="77">
        <f t="shared" ca="1" si="7"/>
        <v>3.7261294829995344E-2</v>
      </c>
      <c r="V17" s="77">
        <f t="shared" ca="1" si="7"/>
        <v>3.2721245129485717E-2</v>
      </c>
      <c r="W17" s="77">
        <f t="shared" ca="1" si="7"/>
        <v>3.1170180527295553E-2</v>
      </c>
      <c r="X17" s="77">
        <f t="shared" ca="1" si="7"/>
        <v>3.7317439862542955E-2</v>
      </c>
    </row>
    <row r="18" spans="1:24" x14ac:dyDescent="0.25">
      <c r="A18" s="44" t="s">
        <v>345</v>
      </c>
      <c r="B18" s="110">
        <f t="shared" ca="1" si="2"/>
        <v>48</v>
      </c>
      <c r="C18" s="1">
        <f ca="1">IF(ISERROR(D18),"",IF(D18="","",MAX($C$12:C17)+1))</f>
        <v>6</v>
      </c>
      <c r="D18" t="str">
        <f t="shared" ca="1" si="3"/>
        <v>ONE Gas Inc.</v>
      </c>
      <c r="E18" s="15"/>
      <c r="F18" s="77">
        <f t="shared" ca="1" si="8"/>
        <v>2.7101598630146405E-2</v>
      </c>
      <c r="G18" s="77">
        <f t="shared" si="4"/>
        <v>3.7195994277539342E-2</v>
      </c>
      <c r="H18" s="77">
        <f t="shared" si="5"/>
        <v>3.0769230769230771E-2</v>
      </c>
      <c r="I18" s="77">
        <f t="shared" si="6"/>
        <v>3.2132963988919662E-2</v>
      </c>
      <c r="J18" s="77">
        <f t="shared" ca="1" si="7"/>
        <v>2.7041237887778864E-2</v>
      </c>
      <c r="K18" s="77">
        <f t="shared" ca="1" si="7"/>
        <v>2.2549693887905474E-2</v>
      </c>
      <c r="L18" s="77">
        <f t="shared" ca="1" si="7"/>
        <v>2.4553303353394097E-2</v>
      </c>
      <c r="M18" s="77">
        <f t="shared" ca="1" si="7"/>
        <v>2.3707048613560999E-2</v>
      </c>
      <c r="N18" s="77">
        <f t="shared" ca="1" si="7"/>
        <v>2.3233815158404832E-2</v>
      </c>
      <c r="O18" s="77">
        <f t="shared" ca="1" si="7"/>
        <v>2.7069704489059328E-2</v>
      </c>
      <c r="P18" s="77">
        <f t="shared" ca="1" si="7"/>
        <v>2.2762993875670694E-2</v>
      </c>
      <c r="Q18" s="77" t="str">
        <f t="shared" ca="1" si="7"/>
        <v>N/A</v>
      </c>
      <c r="R18" s="77" t="str">
        <f t="shared" ca="1" si="7"/>
        <v>N/A</v>
      </c>
      <c r="S18" s="77" t="str">
        <f t="shared" ca="1" si="7"/>
        <v>N/A</v>
      </c>
      <c r="T18" s="77" t="str">
        <f t="shared" ca="1" si="7"/>
        <v>N/A</v>
      </c>
      <c r="U18" s="77" t="str">
        <f t="shared" ca="1" si="7"/>
        <v>N/A</v>
      </c>
      <c r="V18" s="77" t="str">
        <f t="shared" ca="1" si="7"/>
        <v>N/A</v>
      </c>
      <c r="W18" s="77" t="str">
        <f t="shared" ca="1" si="7"/>
        <v>N/A</v>
      </c>
      <c r="X18" s="77" t="str">
        <f t="shared" ca="1" si="7"/>
        <v>N/A</v>
      </c>
    </row>
    <row r="19" spans="1:24" hidden="1" x14ac:dyDescent="0.25">
      <c r="A19" s="44" t="s">
        <v>198</v>
      </c>
      <c r="B19" s="110">
        <f t="shared" ca="1" si="2"/>
        <v>61</v>
      </c>
      <c r="C19" s="1" t="str">
        <f>IF(ISERROR(D19),"",IF(D19="","",MAX($C$12:C18)+1))</f>
        <v/>
      </c>
      <c r="E19" s="15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</row>
    <row r="20" spans="1:24" x14ac:dyDescent="0.25">
      <c r="A20" s="44" t="s">
        <v>200</v>
      </c>
      <c r="B20" s="110">
        <f t="shared" ca="1" si="2"/>
        <v>63</v>
      </c>
      <c r="C20" s="1">
        <f ca="1">IF(ISERROR(D20),"",IF(D20="","",MAX($C$12:C19)+1))</f>
        <v>7</v>
      </c>
      <c r="D20" t="str">
        <f t="shared" ca="1" si="3"/>
        <v>Southwest Gas</v>
      </c>
      <c r="E20" s="15"/>
      <c r="F20" s="77">
        <f t="shared" ca="1" si="8"/>
        <v>2.9965291173551036E-2</v>
      </c>
      <c r="G20" s="77">
        <f t="shared" si="4"/>
        <v>4.0722495894909685E-2</v>
      </c>
      <c r="H20" s="77">
        <f t="shared" si="5"/>
        <v>3.1979368149580918E-2</v>
      </c>
      <c r="I20" s="77">
        <f t="shared" si="6"/>
        <v>3.6475095785440614E-2</v>
      </c>
      <c r="J20" s="77">
        <f t="shared" ca="1" si="7"/>
        <v>3.2787828237798036E-2</v>
      </c>
      <c r="K20" s="77">
        <f t="shared" ca="1" si="7"/>
        <v>2.59817650914725E-2</v>
      </c>
      <c r="L20" s="77">
        <f t="shared" ca="1" si="7"/>
        <v>2.742688362034864E-2</v>
      </c>
      <c r="M20" s="77">
        <f t="shared" ca="1" si="7"/>
        <v>2.4622578158032184E-2</v>
      </c>
      <c r="N20" s="77">
        <f t="shared" ca="1" si="7"/>
        <v>2.6153667325351623E-2</v>
      </c>
      <c r="O20" s="77">
        <f t="shared" ca="1" si="7"/>
        <v>2.866495620631691E-2</v>
      </c>
      <c r="P20" s="77">
        <f t="shared" ca="1" si="7"/>
        <v>2.7158243270894174E-2</v>
      </c>
      <c r="Q20" s="77">
        <f t="shared" ca="1" si="7"/>
        <v>2.6936026936026935E-2</v>
      </c>
      <c r="R20" s="77">
        <f t="shared" ca="1" si="7"/>
        <v>2.750134010767474E-2</v>
      </c>
      <c r="S20" s="77">
        <f t="shared" ca="1" si="7"/>
        <v>2.7806196059914481E-2</v>
      </c>
      <c r="T20" s="77">
        <f t="shared" ca="1" si="7"/>
        <v>3.1535793125197095E-2</v>
      </c>
      <c r="U20" s="77">
        <f t="shared" ca="1" si="7"/>
        <v>4.0141975830305078E-2</v>
      </c>
      <c r="V20" s="77">
        <f t="shared" ca="1" si="7"/>
        <v>3.1944345850784414E-2</v>
      </c>
      <c r="W20" s="77">
        <f t="shared" ca="1" si="7"/>
        <v>2.5551131974567709E-2</v>
      </c>
      <c r="X20" s="77">
        <f t="shared" ca="1" si="7"/>
        <v>2.5985549499302825E-2</v>
      </c>
    </row>
    <row r="21" spans="1:24" x14ac:dyDescent="0.25">
      <c r="A21" s="44" t="s">
        <v>244</v>
      </c>
      <c r="B21" s="110">
        <f t="shared" ca="1" si="2"/>
        <v>64</v>
      </c>
      <c r="C21" s="1">
        <f ca="1">IF(ISERROR(D21),"",IF(D21="","",MAX($C$12:C20)+1))</f>
        <v>8</v>
      </c>
      <c r="D21" t="str">
        <f t="shared" ca="1" si="3"/>
        <v>Spire Inc.</v>
      </c>
      <c r="E21" s="15"/>
      <c r="F21" s="77">
        <f t="shared" ca="1" si="8"/>
        <v>3.8208743366961527E-2</v>
      </c>
      <c r="G21" s="77">
        <f t="shared" si="4"/>
        <v>4.4444444444444446E-2</v>
      </c>
      <c r="H21" s="77">
        <f t="shared" si="5"/>
        <v>3.8948116560056867E-2</v>
      </c>
      <c r="I21" s="77">
        <f t="shared" si="6"/>
        <v>3.7900874635568516E-2</v>
      </c>
      <c r="J21" s="77">
        <f t="shared" ca="1" si="7"/>
        <v>3.3826466153156459E-2</v>
      </c>
      <c r="K21" s="77">
        <f t="shared" ca="1" si="7"/>
        <v>2.9547069603919663E-2</v>
      </c>
      <c r="L21" s="77">
        <f t="shared" ca="1" si="7"/>
        <v>3.1037907631186887E-2</v>
      </c>
      <c r="M21" s="77">
        <f t="shared" ca="1" si="7"/>
        <v>3.0890984245598038E-2</v>
      </c>
      <c r="N21" s="77">
        <f t="shared" ca="1" si="7"/>
        <v>3.0841856805664831E-2</v>
      </c>
      <c r="O21" s="77">
        <f t="shared" ca="1" si="7"/>
        <v>3.5318054435870862E-2</v>
      </c>
      <c r="P21" s="77">
        <f t="shared" ca="1" si="7"/>
        <v>3.7829124126813544E-2</v>
      </c>
      <c r="Q21" s="77">
        <f t="shared" ca="1" si="7"/>
        <v>3.9597503028044344E-2</v>
      </c>
      <c r="R21" s="77">
        <f t="shared" ca="1" si="7"/>
        <v>4.1146143168748754E-2</v>
      </c>
      <c r="S21" s="77">
        <f t="shared" ca="1" si="7"/>
        <v>4.3148500522606062E-2</v>
      </c>
      <c r="T21" s="77">
        <f t="shared" ca="1" si="7"/>
        <v>4.702710798262693E-2</v>
      </c>
      <c r="U21" s="77">
        <f t="shared" ca="1" si="7"/>
        <v>3.9134438305709028E-2</v>
      </c>
      <c r="V21" s="77">
        <f t="shared" ca="1" si="7"/>
        <v>3.9430507039271728E-2</v>
      </c>
      <c r="W21" s="77">
        <f t="shared" ca="1" si="7"/>
        <v>4.425183874019592E-2</v>
      </c>
      <c r="X21" s="77">
        <f t="shared" ca="1" si="7"/>
        <v>4.3436443175824513E-2</v>
      </c>
    </row>
    <row r="22" spans="1:24" x14ac:dyDescent="0.25">
      <c r="A22" s="44" t="s">
        <v>204</v>
      </c>
      <c r="B22" s="110">
        <f t="shared" ca="1" si="2"/>
        <v>66</v>
      </c>
      <c r="C22" s="1">
        <f ca="1">IF(ISERROR(D22),"",IF(D22="","",MAX($C$12:C21)+1))</f>
        <v>9</v>
      </c>
      <c r="D22" t="str">
        <f t="shared" ca="1" si="3"/>
        <v>UGI Corp.</v>
      </c>
      <c r="E22" s="15"/>
      <c r="F22" s="77">
        <f t="shared" ca="1" si="8"/>
        <v>2.9981031540140923E-2</v>
      </c>
      <c r="G22" s="77">
        <f t="shared" si="4"/>
        <v>4.6372239747634061E-2</v>
      </c>
      <c r="H22" s="77">
        <f t="shared" si="5"/>
        <v>3.6061381074168793E-2</v>
      </c>
      <c r="I22" s="77">
        <f t="shared" si="6"/>
        <v>3.2530120481927716E-2</v>
      </c>
      <c r="J22" s="77">
        <f t="shared" ca="1" si="7"/>
        <v>3.5557244449269859E-2</v>
      </c>
      <c r="K22" s="77">
        <f t="shared" ca="1" si="7"/>
        <v>2.1551320252618952E-2</v>
      </c>
      <c r="L22" s="77">
        <f t="shared" ca="1" si="7"/>
        <v>2.0948860135551448E-2</v>
      </c>
      <c r="M22" s="77">
        <f t="shared" ca="1" si="7"/>
        <v>2.0116086582989336E-2</v>
      </c>
      <c r="N22" s="77">
        <f t="shared" ca="1" si="7"/>
        <v>2.3471216212805696E-2</v>
      </c>
      <c r="O22" s="77">
        <f t="shared" ca="1" si="7"/>
        <v>2.499648925712681E-2</v>
      </c>
      <c r="P22" s="77">
        <f t="shared" ca="1" si="7"/>
        <v>2.6066038357608911E-2</v>
      </c>
      <c r="Q22" s="77">
        <f t="shared" ca="1" si="7"/>
        <v>3.0095981779729948E-2</v>
      </c>
      <c r="R22" s="77">
        <f t="shared" ca="1" si="7"/>
        <v>3.6801832283587528E-2</v>
      </c>
      <c r="S22" s="77">
        <f t="shared" ca="1" si="7"/>
        <v>3.2956913681965787E-2</v>
      </c>
      <c r="T22" s="77">
        <f t="shared" ca="1" si="7"/>
        <v>3.4804803062822666E-2</v>
      </c>
      <c r="U22" s="77">
        <f t="shared" ca="1" si="7"/>
        <v>3.2295912066197363E-2</v>
      </c>
      <c r="V22" s="77">
        <f t="shared" ca="1" si="7"/>
        <v>2.8496969010254378E-2</v>
      </c>
      <c r="W22" s="77">
        <f t="shared" ca="1" si="7"/>
        <v>2.6916620033575821E-2</v>
      </c>
      <c r="X22" s="77">
        <f t="shared" ca="1" si="7"/>
        <v>2.9618539252701474E-2</v>
      </c>
    </row>
    <row r="23" spans="1:24" hidden="1" x14ac:dyDescent="0.25">
      <c r="A23" s="44" t="s">
        <v>206</v>
      </c>
      <c r="B23" s="110">
        <f t="shared" ca="1" si="2"/>
        <v>73</v>
      </c>
      <c r="C23" s="1"/>
      <c r="E23" s="15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1:24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77" t="str">
        <f t="shared" ca="1" si="8"/>
        <v>N/A</v>
      </c>
      <c r="G24" s="77" t="str">
        <f t="shared" si="4"/>
        <v>N/A</v>
      </c>
      <c r="H24" s="77" t="str">
        <f t="shared" si="5"/>
        <v>N/A</v>
      </c>
      <c r="I24" s="77" t="str">
        <f t="shared" si="6"/>
        <v>N/A</v>
      </c>
      <c r="J24" s="77" t="str">
        <f t="shared" ref="J24:J57" si="9">IFERROR(IF(VLOOKUP(A24,lucyr,22,FALSE)=0,"",VLOOKUP(A24,lucyr,22,FALSE)),"N/A")</f>
        <v>N/A</v>
      </c>
      <c r="K24" s="77" t="str">
        <f>IFERROR(IF(VLOOKUP(#REF!,LUCurYr,22,FALSE)=0,"",VLOOKUP(#REF!,LUCurYr,22,FALSE)),"N/A")</f>
        <v>N/A</v>
      </c>
      <c r="L24" s="77" t="str">
        <f t="shared" ref="L24:L57" si="10">IFERROR(IF(VLOOKUP(A24,LUCurYr,22,FALSE)=0,"",VLOOKUP(A24,LUCurYr,22,FALSE)),"N/A")</f>
        <v>N/A</v>
      </c>
      <c r="M24" s="77" t="str">
        <f ca="1">IFERROR(VLOOKUP($A24,LASTYR,'[3]2017'!$Q$3,FALSE),"N/A")</f>
        <v>N/A</v>
      </c>
      <c r="N24" s="77" t="str">
        <f t="shared" ca="1" si="7"/>
        <v>N/A</v>
      </c>
      <c r="O24" s="77" t="str">
        <f t="shared" ref="O24:X32" ca="1" si="11">IFERROR(INDEX(DIV_MP_WP,$B24,O$12),"N/A")</f>
        <v>N/A</v>
      </c>
      <c r="P24" s="77" t="str">
        <f t="shared" ca="1" si="11"/>
        <v>N/A</v>
      </c>
      <c r="Q24" s="77" t="str">
        <f t="shared" ca="1" si="11"/>
        <v>N/A</v>
      </c>
      <c r="R24" s="77" t="str">
        <f t="shared" ca="1" si="11"/>
        <v>N/A</v>
      </c>
      <c r="S24" s="77" t="str">
        <f t="shared" ca="1" si="11"/>
        <v>N/A</v>
      </c>
      <c r="T24" s="77" t="str">
        <f t="shared" ca="1" si="11"/>
        <v>N/A</v>
      </c>
      <c r="U24" s="77" t="str">
        <f t="shared" ca="1" si="11"/>
        <v>N/A</v>
      </c>
      <c r="V24" s="77" t="str">
        <f t="shared" ca="1" si="11"/>
        <v>N/A</v>
      </c>
      <c r="W24" s="77" t="str">
        <f t="shared" ca="1" si="11"/>
        <v>N/A</v>
      </c>
      <c r="X24" s="77" t="str">
        <f t="shared" ca="1" si="11"/>
        <v>N/A</v>
      </c>
    </row>
    <row r="25" spans="1:24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77" t="str">
        <f t="shared" ca="1" si="8"/>
        <v>N/A</v>
      </c>
      <c r="G25" s="77" t="str">
        <f t="shared" si="4"/>
        <v>N/A</v>
      </c>
      <c r="H25" s="77" t="str">
        <f t="shared" si="5"/>
        <v>N/A</v>
      </c>
      <c r="I25" s="77" t="str">
        <f t="shared" si="6"/>
        <v>N/A</v>
      </c>
      <c r="J25" s="77" t="str">
        <f t="shared" si="9"/>
        <v>N/A</v>
      </c>
      <c r="K25" s="77" t="str">
        <f>IFERROR(IF(VLOOKUP(#REF!,LUCurYr,22,FALSE)=0,"",VLOOKUP(#REF!,LUCurYr,22,FALSE)),"N/A")</f>
        <v>N/A</v>
      </c>
      <c r="L25" s="77" t="str">
        <f t="shared" si="10"/>
        <v>N/A</v>
      </c>
      <c r="M25" s="77" t="str">
        <f ca="1">IFERROR(VLOOKUP($A25,LASTYR,'[3]2017'!$Q$3,FALSE),"N/A")</f>
        <v>N/A</v>
      </c>
      <c r="N25" s="77" t="str">
        <f t="shared" ca="1" si="7"/>
        <v>N/A</v>
      </c>
      <c r="O25" s="77" t="str">
        <f t="shared" ca="1" si="11"/>
        <v>N/A</v>
      </c>
      <c r="P25" s="77" t="str">
        <f t="shared" ca="1" si="11"/>
        <v>N/A</v>
      </c>
      <c r="Q25" s="77" t="str">
        <f t="shared" ca="1" si="11"/>
        <v>N/A</v>
      </c>
      <c r="R25" s="77" t="str">
        <f t="shared" ca="1" si="11"/>
        <v>N/A</v>
      </c>
      <c r="S25" s="77" t="str">
        <f t="shared" ca="1" si="11"/>
        <v>N/A</v>
      </c>
      <c r="T25" s="77" t="str">
        <f t="shared" ca="1" si="11"/>
        <v>N/A</v>
      </c>
      <c r="U25" s="77" t="str">
        <f t="shared" ca="1" si="11"/>
        <v>N/A</v>
      </c>
      <c r="V25" s="77" t="str">
        <f t="shared" ca="1" si="11"/>
        <v>N/A</v>
      </c>
      <c r="W25" s="77" t="str">
        <f t="shared" ca="1" si="11"/>
        <v>N/A</v>
      </c>
      <c r="X25" s="77" t="str">
        <f t="shared" ca="1" si="11"/>
        <v>N/A</v>
      </c>
    </row>
    <row r="26" spans="1:24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77" t="str">
        <f t="shared" ca="1" si="8"/>
        <v>N/A</v>
      </c>
      <c r="G26" s="77" t="str">
        <f t="shared" si="4"/>
        <v>N/A</v>
      </c>
      <c r="H26" s="77" t="str">
        <f t="shared" si="5"/>
        <v>N/A</v>
      </c>
      <c r="I26" s="77" t="str">
        <f t="shared" si="6"/>
        <v>N/A</v>
      </c>
      <c r="J26" s="77" t="str">
        <f t="shared" si="9"/>
        <v>N/A</v>
      </c>
      <c r="K26" s="77" t="str">
        <f>IFERROR(IF(VLOOKUP(#REF!,LUCurYr,22,FALSE)=0,"",VLOOKUP(#REF!,LUCurYr,22,FALSE)),"N/A")</f>
        <v>N/A</v>
      </c>
      <c r="L26" s="77" t="str">
        <f t="shared" si="10"/>
        <v>N/A</v>
      </c>
      <c r="M26" s="77" t="str">
        <f ca="1">IFERROR(VLOOKUP($A26,LASTYR,'[3]2017'!$Q$3,FALSE),"N/A")</f>
        <v>N/A</v>
      </c>
      <c r="N26" s="77" t="str">
        <f t="shared" ca="1" si="7"/>
        <v>N/A</v>
      </c>
      <c r="O26" s="77" t="str">
        <f t="shared" ca="1" si="11"/>
        <v>N/A</v>
      </c>
      <c r="P26" s="77" t="str">
        <f t="shared" ca="1" si="11"/>
        <v>N/A</v>
      </c>
      <c r="Q26" s="77" t="str">
        <f t="shared" ca="1" si="11"/>
        <v>N/A</v>
      </c>
      <c r="R26" s="77" t="str">
        <f t="shared" ca="1" si="11"/>
        <v>N/A</v>
      </c>
      <c r="S26" s="77" t="str">
        <f t="shared" ca="1" si="11"/>
        <v>N/A</v>
      </c>
      <c r="T26" s="77" t="str">
        <f t="shared" ca="1" si="11"/>
        <v>N/A</v>
      </c>
      <c r="U26" s="77" t="str">
        <f t="shared" ca="1" si="11"/>
        <v>N/A</v>
      </c>
      <c r="V26" s="77" t="str">
        <f t="shared" ca="1" si="11"/>
        <v>N/A</v>
      </c>
      <c r="W26" s="77" t="str">
        <f t="shared" ca="1" si="11"/>
        <v>N/A</v>
      </c>
      <c r="X26" s="77" t="str">
        <f t="shared" ca="1" si="11"/>
        <v>N/A</v>
      </c>
    </row>
    <row r="27" spans="1:24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77" t="str">
        <f t="shared" ca="1" si="8"/>
        <v>N/A</v>
      </c>
      <c r="G27" s="77" t="str">
        <f t="shared" si="4"/>
        <v>N/A</v>
      </c>
      <c r="H27" s="77" t="str">
        <f t="shared" si="5"/>
        <v>N/A</v>
      </c>
      <c r="I27" s="77" t="str">
        <f t="shared" si="6"/>
        <v>N/A</v>
      </c>
      <c r="J27" s="77" t="str">
        <f t="shared" si="9"/>
        <v>N/A</v>
      </c>
      <c r="K27" s="77" t="str">
        <f>IFERROR(IF(VLOOKUP(#REF!,LUCurYr,22,FALSE)=0,"",VLOOKUP(#REF!,LUCurYr,22,FALSE)),"N/A")</f>
        <v>N/A</v>
      </c>
      <c r="L27" s="77" t="str">
        <f t="shared" si="10"/>
        <v>N/A</v>
      </c>
      <c r="M27" s="77" t="str">
        <f ca="1">IFERROR(VLOOKUP($A27,LASTYR,'[3]2017'!$Q$3,FALSE),"N/A")</f>
        <v>N/A</v>
      </c>
      <c r="N27" s="77" t="str">
        <f t="shared" ca="1" si="7"/>
        <v>N/A</v>
      </c>
      <c r="O27" s="77" t="str">
        <f t="shared" ca="1" si="11"/>
        <v>N/A</v>
      </c>
      <c r="P27" s="77" t="str">
        <f t="shared" ca="1" si="11"/>
        <v>N/A</v>
      </c>
      <c r="Q27" s="77" t="str">
        <f t="shared" ca="1" si="11"/>
        <v>N/A</v>
      </c>
      <c r="R27" s="77" t="str">
        <f t="shared" ca="1" si="11"/>
        <v>N/A</v>
      </c>
      <c r="S27" s="77" t="str">
        <f t="shared" ca="1" si="11"/>
        <v>N/A</v>
      </c>
      <c r="T27" s="77" t="str">
        <f t="shared" ca="1" si="11"/>
        <v>N/A</v>
      </c>
      <c r="U27" s="77" t="str">
        <f t="shared" ca="1" si="11"/>
        <v>N/A</v>
      </c>
      <c r="V27" s="77" t="str">
        <f t="shared" ca="1" si="11"/>
        <v>N/A</v>
      </c>
      <c r="W27" s="77" t="str">
        <f t="shared" ca="1" si="11"/>
        <v>N/A</v>
      </c>
      <c r="X27" s="77" t="str">
        <f t="shared" ca="1" si="11"/>
        <v>N/A</v>
      </c>
    </row>
    <row r="28" spans="1:24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77" t="str">
        <f t="shared" ca="1" si="8"/>
        <v>N/A</v>
      </c>
      <c r="G28" s="77" t="str">
        <f t="shared" si="4"/>
        <v>N/A</v>
      </c>
      <c r="H28" s="77" t="str">
        <f t="shared" si="5"/>
        <v>N/A</v>
      </c>
      <c r="I28" s="77" t="str">
        <f t="shared" si="6"/>
        <v>N/A</v>
      </c>
      <c r="J28" s="77" t="str">
        <f t="shared" si="9"/>
        <v>N/A</v>
      </c>
      <c r="K28" s="77" t="str">
        <f>IFERROR(IF(VLOOKUP(#REF!,LUCurYr,22,FALSE)=0,"",VLOOKUP(#REF!,LUCurYr,22,FALSE)),"N/A")</f>
        <v>N/A</v>
      </c>
      <c r="L28" s="77" t="str">
        <f t="shared" si="10"/>
        <v>N/A</v>
      </c>
      <c r="M28" s="77" t="str">
        <f ca="1">IFERROR(VLOOKUP($A28,LASTYR,'[3]2017'!$Q$3,FALSE),"N/A")</f>
        <v>N/A</v>
      </c>
      <c r="N28" s="77" t="str">
        <f t="shared" ca="1" si="7"/>
        <v>N/A</v>
      </c>
      <c r="O28" s="77" t="str">
        <f t="shared" ca="1" si="11"/>
        <v>N/A</v>
      </c>
      <c r="P28" s="77" t="str">
        <f t="shared" ca="1" si="11"/>
        <v>N/A</v>
      </c>
      <c r="Q28" s="77" t="str">
        <f t="shared" ca="1" si="11"/>
        <v>N/A</v>
      </c>
      <c r="R28" s="77" t="str">
        <f t="shared" ca="1" si="11"/>
        <v>N/A</v>
      </c>
      <c r="S28" s="77" t="str">
        <f t="shared" ca="1" si="11"/>
        <v>N/A</v>
      </c>
      <c r="T28" s="77" t="str">
        <f t="shared" ca="1" si="11"/>
        <v>N/A</v>
      </c>
      <c r="U28" s="77" t="str">
        <f t="shared" ca="1" si="11"/>
        <v>N/A</v>
      </c>
      <c r="V28" s="77" t="str">
        <f t="shared" ca="1" si="11"/>
        <v>N/A</v>
      </c>
      <c r="W28" s="77" t="str">
        <f t="shared" ca="1" si="11"/>
        <v>N/A</v>
      </c>
      <c r="X28" s="77" t="str">
        <f t="shared" ca="1" si="11"/>
        <v>N/A</v>
      </c>
    </row>
    <row r="29" spans="1:24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77" t="str">
        <f t="shared" ca="1" si="8"/>
        <v>N/A</v>
      </c>
      <c r="G29" s="77" t="str">
        <f t="shared" si="4"/>
        <v>N/A</v>
      </c>
      <c r="H29" s="77" t="str">
        <f t="shared" si="5"/>
        <v>N/A</v>
      </c>
      <c r="I29" s="77" t="str">
        <f t="shared" si="6"/>
        <v>N/A</v>
      </c>
      <c r="J29" s="77" t="str">
        <f t="shared" si="9"/>
        <v>N/A</v>
      </c>
      <c r="K29" s="77" t="str">
        <f>IFERROR(IF(VLOOKUP(#REF!,LUCurYr,22,FALSE)=0,"",VLOOKUP(#REF!,LUCurYr,22,FALSE)),"N/A")</f>
        <v>N/A</v>
      </c>
      <c r="L29" s="77" t="str">
        <f t="shared" si="10"/>
        <v>N/A</v>
      </c>
      <c r="M29" s="77" t="str">
        <f ca="1">IFERROR(VLOOKUP($A29,LASTYR,'[3]2017'!$Q$3,FALSE),"N/A")</f>
        <v>N/A</v>
      </c>
      <c r="N29" s="77" t="str">
        <f t="shared" ref="N29:N57" ca="1" si="12">IFERROR(INDEX(DIV_MP_WP,$B29,N$12),"N/A")</f>
        <v>N/A</v>
      </c>
      <c r="O29" s="77" t="str">
        <f t="shared" ca="1" si="11"/>
        <v>N/A</v>
      </c>
      <c r="P29" s="77" t="str">
        <f t="shared" ca="1" si="11"/>
        <v>N/A</v>
      </c>
      <c r="Q29" s="77" t="str">
        <f t="shared" ca="1" si="11"/>
        <v>N/A</v>
      </c>
      <c r="R29" s="77" t="str">
        <f t="shared" ca="1" si="11"/>
        <v>N/A</v>
      </c>
      <c r="S29" s="77" t="str">
        <f t="shared" ca="1" si="11"/>
        <v>N/A</v>
      </c>
      <c r="T29" s="77" t="str">
        <f t="shared" ca="1" si="11"/>
        <v>N/A</v>
      </c>
      <c r="U29" s="77" t="str">
        <f t="shared" ca="1" si="11"/>
        <v>N/A</v>
      </c>
      <c r="V29" s="77" t="str">
        <f t="shared" ca="1" si="11"/>
        <v>N/A</v>
      </c>
      <c r="W29" s="77" t="str">
        <f t="shared" ca="1" si="11"/>
        <v>N/A</v>
      </c>
      <c r="X29" s="77" t="str">
        <f t="shared" ca="1" si="11"/>
        <v>N/A</v>
      </c>
    </row>
    <row r="30" spans="1:24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77" t="str">
        <f t="shared" ca="1" si="8"/>
        <v>N/A</v>
      </c>
      <c r="G30" s="77" t="str">
        <f t="shared" si="4"/>
        <v>N/A</v>
      </c>
      <c r="H30" s="77" t="str">
        <f t="shared" si="5"/>
        <v>N/A</v>
      </c>
      <c r="I30" s="77" t="str">
        <f t="shared" si="6"/>
        <v>N/A</v>
      </c>
      <c r="J30" s="77" t="str">
        <f t="shared" si="9"/>
        <v>N/A</v>
      </c>
      <c r="K30" s="77" t="str">
        <f>IFERROR(IF(VLOOKUP(#REF!,LUCurYr,22,FALSE)=0,"",VLOOKUP(#REF!,LUCurYr,22,FALSE)),"N/A")</f>
        <v>N/A</v>
      </c>
      <c r="L30" s="77" t="str">
        <f t="shared" si="10"/>
        <v>N/A</v>
      </c>
      <c r="M30" s="77" t="str">
        <f ca="1">IFERROR(VLOOKUP($A30,LASTYR,'[3]2017'!$Q$3,FALSE),"N/A")</f>
        <v>N/A</v>
      </c>
      <c r="N30" s="77" t="str">
        <f t="shared" ca="1" si="12"/>
        <v>N/A</v>
      </c>
      <c r="O30" s="77" t="str">
        <f t="shared" ca="1" si="11"/>
        <v>N/A</v>
      </c>
      <c r="P30" s="77" t="str">
        <f t="shared" ca="1" si="11"/>
        <v>N/A</v>
      </c>
      <c r="Q30" s="77" t="str">
        <f t="shared" ca="1" si="11"/>
        <v>N/A</v>
      </c>
      <c r="R30" s="77" t="str">
        <f t="shared" ca="1" si="11"/>
        <v>N/A</v>
      </c>
      <c r="S30" s="77" t="str">
        <f t="shared" ca="1" si="11"/>
        <v>N/A</v>
      </c>
      <c r="T30" s="77" t="str">
        <f t="shared" ca="1" si="11"/>
        <v>N/A</v>
      </c>
      <c r="U30" s="77" t="str">
        <f t="shared" ca="1" si="11"/>
        <v>N/A</v>
      </c>
      <c r="V30" s="77" t="str">
        <f t="shared" ca="1" si="11"/>
        <v>N/A</v>
      </c>
      <c r="W30" s="77" t="str">
        <f t="shared" ca="1" si="11"/>
        <v>N/A</v>
      </c>
      <c r="X30" s="77" t="str">
        <f t="shared" ca="1" si="11"/>
        <v>N/A</v>
      </c>
    </row>
    <row r="31" spans="1:24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77" t="str">
        <f t="shared" ca="1" si="8"/>
        <v>N/A</v>
      </c>
      <c r="G31" s="77" t="str">
        <f t="shared" si="4"/>
        <v>N/A</v>
      </c>
      <c r="H31" s="77" t="str">
        <f t="shared" si="5"/>
        <v>N/A</v>
      </c>
      <c r="I31" s="77" t="str">
        <f t="shared" si="6"/>
        <v>N/A</v>
      </c>
      <c r="J31" s="77" t="str">
        <f t="shared" si="9"/>
        <v>N/A</v>
      </c>
      <c r="K31" s="77" t="str">
        <f>IFERROR(IF(VLOOKUP(#REF!,LUCurYr,22,FALSE)=0,"",VLOOKUP(#REF!,LUCurYr,22,FALSE)),"N/A")</f>
        <v>N/A</v>
      </c>
      <c r="L31" s="77" t="str">
        <f t="shared" si="10"/>
        <v>N/A</v>
      </c>
      <c r="M31" s="77" t="str">
        <f ca="1">IFERROR(VLOOKUP($A31,LASTYR,'[3]2017'!$Q$3,FALSE),"N/A")</f>
        <v>N/A</v>
      </c>
      <c r="N31" s="77" t="str">
        <f t="shared" ca="1" si="12"/>
        <v>N/A</v>
      </c>
      <c r="O31" s="77" t="str">
        <f t="shared" ca="1" si="11"/>
        <v>N/A</v>
      </c>
      <c r="P31" s="77" t="str">
        <f t="shared" ca="1" si="11"/>
        <v>N/A</v>
      </c>
      <c r="Q31" s="77" t="str">
        <f t="shared" ca="1" si="11"/>
        <v>N/A</v>
      </c>
      <c r="R31" s="77" t="str">
        <f t="shared" ca="1" si="11"/>
        <v>N/A</v>
      </c>
      <c r="S31" s="77" t="str">
        <f t="shared" ca="1" si="11"/>
        <v>N/A</v>
      </c>
      <c r="T31" s="77" t="str">
        <f t="shared" ca="1" si="11"/>
        <v>N/A</v>
      </c>
      <c r="U31" s="77" t="str">
        <f t="shared" ca="1" si="11"/>
        <v>N/A</v>
      </c>
      <c r="V31" s="77" t="str">
        <f t="shared" ca="1" si="11"/>
        <v>N/A</v>
      </c>
      <c r="W31" s="77" t="str">
        <f t="shared" ca="1" si="11"/>
        <v>N/A</v>
      </c>
      <c r="X31" s="77" t="str">
        <f t="shared" ca="1" si="11"/>
        <v>N/A</v>
      </c>
    </row>
    <row r="32" spans="1:24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77" t="str">
        <f t="shared" ca="1" si="8"/>
        <v>N/A</v>
      </c>
      <c r="G32" s="77" t="str">
        <f t="shared" si="4"/>
        <v>N/A</v>
      </c>
      <c r="H32" s="77" t="str">
        <f t="shared" si="5"/>
        <v>N/A</v>
      </c>
      <c r="I32" s="77" t="str">
        <f t="shared" si="6"/>
        <v>N/A</v>
      </c>
      <c r="J32" s="77" t="str">
        <f t="shared" si="9"/>
        <v>N/A</v>
      </c>
      <c r="K32" s="77" t="str">
        <f>IFERROR(IF(VLOOKUP(#REF!,LUCurYr,22,FALSE)=0,"",VLOOKUP(#REF!,LUCurYr,22,FALSE)),"N/A")</f>
        <v>N/A</v>
      </c>
      <c r="L32" s="77" t="str">
        <f t="shared" si="10"/>
        <v>N/A</v>
      </c>
      <c r="M32" s="77" t="str">
        <f ca="1">IFERROR(VLOOKUP($A32,LASTYR,'[3]2017'!$Q$3,FALSE),"N/A")</f>
        <v>N/A</v>
      </c>
      <c r="N32" s="77" t="str">
        <f t="shared" ca="1" si="12"/>
        <v>N/A</v>
      </c>
      <c r="O32" s="77" t="str">
        <f t="shared" ca="1" si="11"/>
        <v>N/A</v>
      </c>
      <c r="P32" s="77" t="str">
        <f t="shared" ca="1" si="11"/>
        <v>N/A</v>
      </c>
      <c r="Q32" s="77" t="str">
        <f t="shared" ca="1" si="11"/>
        <v>N/A</v>
      </c>
      <c r="R32" s="77" t="str">
        <f t="shared" ca="1" si="11"/>
        <v>N/A</v>
      </c>
      <c r="S32" s="77" t="str">
        <f t="shared" ca="1" si="11"/>
        <v>N/A</v>
      </c>
      <c r="T32" s="77" t="str">
        <f t="shared" ca="1" si="11"/>
        <v>N/A</v>
      </c>
      <c r="U32" s="77" t="str">
        <f t="shared" ca="1" si="11"/>
        <v>N/A</v>
      </c>
      <c r="V32" s="77" t="str">
        <f t="shared" ca="1" si="11"/>
        <v>N/A</v>
      </c>
      <c r="W32" s="77" t="str">
        <f t="shared" ca="1" si="11"/>
        <v>N/A</v>
      </c>
      <c r="X32" s="77" t="str">
        <f t="shared" ca="1" si="11"/>
        <v>N/A</v>
      </c>
    </row>
    <row r="33" spans="1:24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77" t="str">
        <f t="shared" ca="1" si="8"/>
        <v>N/A</v>
      </c>
      <c r="G33" s="77" t="str">
        <f t="shared" si="4"/>
        <v>N/A</v>
      </c>
      <c r="H33" s="77" t="str">
        <f t="shared" si="5"/>
        <v>N/A</v>
      </c>
      <c r="I33" s="77" t="str">
        <f t="shared" si="6"/>
        <v>N/A</v>
      </c>
      <c r="J33" s="77" t="str">
        <f t="shared" si="9"/>
        <v>N/A</v>
      </c>
      <c r="K33" s="77" t="str">
        <f>IFERROR(IF(VLOOKUP(#REF!,LUCurYr,22,FALSE)=0,"",VLOOKUP(#REF!,LUCurYr,22,FALSE)),"N/A")</f>
        <v>N/A</v>
      </c>
      <c r="L33" s="77" t="str">
        <f t="shared" si="10"/>
        <v>N/A</v>
      </c>
      <c r="M33" s="77" t="str">
        <f ca="1">IFERROR(VLOOKUP($A33,LASTYR,'[3]2017'!$Q$3,FALSE),"N/A")</f>
        <v>N/A</v>
      </c>
      <c r="N33" s="77" t="str">
        <f t="shared" ca="1" si="12"/>
        <v>N/A</v>
      </c>
      <c r="O33" s="77" t="str">
        <f t="shared" ref="O33:X42" ca="1" si="13">IFERROR(INDEX(DIV_MP_WP,$B33,O$12),"N/A")</f>
        <v>N/A</v>
      </c>
      <c r="P33" s="77" t="str">
        <f t="shared" ca="1" si="13"/>
        <v>N/A</v>
      </c>
      <c r="Q33" s="77" t="str">
        <f t="shared" ca="1" si="13"/>
        <v>N/A</v>
      </c>
      <c r="R33" s="77" t="str">
        <f t="shared" ca="1" si="13"/>
        <v>N/A</v>
      </c>
      <c r="S33" s="77" t="str">
        <f t="shared" ca="1" si="13"/>
        <v>N/A</v>
      </c>
      <c r="T33" s="77" t="str">
        <f t="shared" ca="1" si="13"/>
        <v>N/A</v>
      </c>
      <c r="U33" s="77" t="str">
        <f t="shared" ca="1" si="13"/>
        <v>N/A</v>
      </c>
      <c r="V33" s="77" t="str">
        <f t="shared" ca="1" si="13"/>
        <v>N/A</v>
      </c>
      <c r="W33" s="77" t="str">
        <f t="shared" ca="1" si="13"/>
        <v>N/A</v>
      </c>
      <c r="X33" s="77" t="str">
        <f t="shared" ca="1" si="13"/>
        <v>N/A</v>
      </c>
    </row>
    <row r="34" spans="1:24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77" t="str">
        <f t="shared" ca="1" si="8"/>
        <v>N/A</v>
      </c>
      <c r="G34" s="77" t="str">
        <f t="shared" si="4"/>
        <v>N/A</v>
      </c>
      <c r="H34" s="77" t="str">
        <f t="shared" si="5"/>
        <v>N/A</v>
      </c>
      <c r="I34" s="77" t="str">
        <f t="shared" si="6"/>
        <v>N/A</v>
      </c>
      <c r="J34" s="77" t="str">
        <f t="shared" si="9"/>
        <v>N/A</v>
      </c>
      <c r="K34" s="77" t="str">
        <f>IFERROR(IF(VLOOKUP(#REF!,LUCurYr,22,FALSE)=0,"",VLOOKUP(#REF!,LUCurYr,22,FALSE)),"N/A")</f>
        <v>N/A</v>
      </c>
      <c r="L34" s="77" t="str">
        <f t="shared" si="10"/>
        <v>N/A</v>
      </c>
      <c r="M34" s="77" t="str">
        <f ca="1">IFERROR(VLOOKUP($A34,LASTYR,'[3]2017'!$Q$3,FALSE),"N/A")</f>
        <v>N/A</v>
      </c>
      <c r="N34" s="77" t="str">
        <f t="shared" ca="1" si="12"/>
        <v>N/A</v>
      </c>
      <c r="O34" s="77" t="str">
        <f t="shared" ca="1" si="13"/>
        <v>N/A</v>
      </c>
      <c r="P34" s="77" t="str">
        <f t="shared" ca="1" si="13"/>
        <v>N/A</v>
      </c>
      <c r="Q34" s="77" t="str">
        <f t="shared" ca="1" si="13"/>
        <v>N/A</v>
      </c>
      <c r="R34" s="77" t="str">
        <f t="shared" ca="1" si="13"/>
        <v>N/A</v>
      </c>
      <c r="S34" s="77" t="str">
        <f t="shared" ca="1" si="13"/>
        <v>N/A</v>
      </c>
      <c r="T34" s="77" t="str">
        <f t="shared" ca="1" si="13"/>
        <v>N/A</v>
      </c>
      <c r="U34" s="77" t="str">
        <f t="shared" ca="1" si="13"/>
        <v>N/A</v>
      </c>
      <c r="V34" s="77" t="str">
        <f t="shared" ca="1" si="13"/>
        <v>N/A</v>
      </c>
      <c r="W34" s="77" t="str">
        <f t="shared" ca="1" si="13"/>
        <v>N/A</v>
      </c>
      <c r="X34" s="77" t="str">
        <f t="shared" ca="1" si="13"/>
        <v>N/A</v>
      </c>
    </row>
    <row r="35" spans="1:24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77" t="str">
        <f t="shared" ca="1" si="8"/>
        <v>N/A</v>
      </c>
      <c r="G35" s="77" t="str">
        <f t="shared" si="4"/>
        <v>N/A</v>
      </c>
      <c r="H35" s="77" t="str">
        <f t="shared" si="5"/>
        <v>N/A</v>
      </c>
      <c r="I35" s="77" t="str">
        <f t="shared" si="6"/>
        <v>N/A</v>
      </c>
      <c r="J35" s="77" t="str">
        <f t="shared" si="9"/>
        <v>N/A</v>
      </c>
      <c r="K35" s="77" t="str">
        <f>IFERROR(IF(VLOOKUP(#REF!,LUCurYr,22,FALSE)=0,"",VLOOKUP(#REF!,LUCurYr,22,FALSE)),"N/A")</f>
        <v>N/A</v>
      </c>
      <c r="L35" s="77" t="str">
        <f t="shared" si="10"/>
        <v>N/A</v>
      </c>
      <c r="M35" s="77" t="str">
        <f ca="1">IFERROR(VLOOKUP($A35,LASTYR,'[3]2017'!$Q$3,FALSE),"N/A")</f>
        <v>N/A</v>
      </c>
      <c r="N35" s="77" t="str">
        <f t="shared" ca="1" si="12"/>
        <v>N/A</v>
      </c>
      <c r="O35" s="77" t="str">
        <f t="shared" ca="1" si="13"/>
        <v>N/A</v>
      </c>
      <c r="P35" s="77" t="str">
        <f t="shared" ca="1" si="13"/>
        <v>N/A</v>
      </c>
      <c r="Q35" s="77" t="str">
        <f t="shared" ca="1" si="13"/>
        <v>N/A</v>
      </c>
      <c r="R35" s="77" t="str">
        <f t="shared" ca="1" si="13"/>
        <v>N/A</v>
      </c>
      <c r="S35" s="77" t="str">
        <f t="shared" ca="1" si="13"/>
        <v>N/A</v>
      </c>
      <c r="T35" s="77" t="str">
        <f t="shared" ca="1" si="13"/>
        <v>N/A</v>
      </c>
      <c r="U35" s="77" t="str">
        <f t="shared" ca="1" si="13"/>
        <v>N/A</v>
      </c>
      <c r="V35" s="77" t="str">
        <f t="shared" ca="1" si="13"/>
        <v>N/A</v>
      </c>
      <c r="W35" s="77" t="str">
        <f t="shared" ca="1" si="13"/>
        <v>N/A</v>
      </c>
      <c r="X35" s="77" t="str">
        <f t="shared" ca="1" si="13"/>
        <v>N/A</v>
      </c>
    </row>
    <row r="36" spans="1:24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77" t="str">
        <f t="shared" ca="1" si="8"/>
        <v>N/A</v>
      </c>
      <c r="G36" s="77" t="str">
        <f t="shared" si="4"/>
        <v>N/A</v>
      </c>
      <c r="H36" s="77" t="str">
        <f t="shared" si="5"/>
        <v>N/A</v>
      </c>
      <c r="I36" s="77" t="str">
        <f t="shared" si="6"/>
        <v>N/A</v>
      </c>
      <c r="J36" s="77" t="str">
        <f t="shared" si="9"/>
        <v>N/A</v>
      </c>
      <c r="K36" s="77" t="str">
        <f>IFERROR(IF(VLOOKUP(#REF!,LUCurYr,22,FALSE)=0,"",VLOOKUP(#REF!,LUCurYr,22,FALSE)),"N/A")</f>
        <v>N/A</v>
      </c>
      <c r="L36" s="77" t="str">
        <f t="shared" si="10"/>
        <v>N/A</v>
      </c>
      <c r="M36" s="77" t="str">
        <f ca="1">IFERROR(VLOOKUP($A36,LASTYR,'[3]2017'!$Q$3,FALSE),"N/A")</f>
        <v>N/A</v>
      </c>
      <c r="N36" s="77" t="str">
        <f t="shared" ca="1" si="12"/>
        <v>N/A</v>
      </c>
      <c r="O36" s="77" t="str">
        <f t="shared" ca="1" si="13"/>
        <v>N/A</v>
      </c>
      <c r="P36" s="77" t="str">
        <f t="shared" ca="1" si="13"/>
        <v>N/A</v>
      </c>
      <c r="Q36" s="77" t="str">
        <f t="shared" ca="1" si="13"/>
        <v>N/A</v>
      </c>
      <c r="R36" s="77" t="str">
        <f t="shared" ca="1" si="13"/>
        <v>N/A</v>
      </c>
      <c r="S36" s="77" t="str">
        <f t="shared" ca="1" si="13"/>
        <v>N/A</v>
      </c>
      <c r="T36" s="77" t="str">
        <f t="shared" ca="1" si="13"/>
        <v>N/A</v>
      </c>
      <c r="U36" s="77" t="str">
        <f t="shared" ca="1" si="13"/>
        <v>N/A</v>
      </c>
      <c r="V36" s="77" t="str">
        <f t="shared" ca="1" si="13"/>
        <v>N/A</v>
      </c>
      <c r="W36" s="77" t="str">
        <f t="shared" ca="1" si="13"/>
        <v>N/A</v>
      </c>
      <c r="X36" s="77" t="str">
        <f t="shared" ca="1" si="13"/>
        <v>N/A</v>
      </c>
    </row>
    <row r="37" spans="1:24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77" t="str">
        <f t="shared" ca="1" si="8"/>
        <v>N/A</v>
      </c>
      <c r="G37" s="77" t="str">
        <f t="shared" si="4"/>
        <v>N/A</v>
      </c>
      <c r="H37" s="77" t="str">
        <f t="shared" si="5"/>
        <v>N/A</v>
      </c>
      <c r="I37" s="77" t="str">
        <f t="shared" si="6"/>
        <v>N/A</v>
      </c>
      <c r="J37" s="77" t="str">
        <f t="shared" si="9"/>
        <v>N/A</v>
      </c>
      <c r="K37" s="77" t="str">
        <f>IFERROR(IF(VLOOKUP(#REF!,LUCurYr,22,FALSE)=0,"",VLOOKUP(#REF!,LUCurYr,22,FALSE)),"N/A")</f>
        <v>N/A</v>
      </c>
      <c r="L37" s="77" t="str">
        <f t="shared" si="10"/>
        <v>N/A</v>
      </c>
      <c r="M37" s="77" t="str">
        <f ca="1">IFERROR(VLOOKUP($A37,LASTYR,'[3]2017'!$Q$3,FALSE),"N/A")</f>
        <v>N/A</v>
      </c>
      <c r="N37" s="77" t="str">
        <f t="shared" ca="1" si="12"/>
        <v>N/A</v>
      </c>
      <c r="O37" s="77" t="str">
        <f t="shared" ca="1" si="13"/>
        <v>N/A</v>
      </c>
      <c r="P37" s="77" t="str">
        <f t="shared" ca="1" si="13"/>
        <v>N/A</v>
      </c>
      <c r="Q37" s="77" t="str">
        <f t="shared" ca="1" si="13"/>
        <v>N/A</v>
      </c>
      <c r="R37" s="77" t="str">
        <f t="shared" ca="1" si="13"/>
        <v>N/A</v>
      </c>
      <c r="S37" s="77" t="str">
        <f t="shared" ca="1" si="13"/>
        <v>N/A</v>
      </c>
      <c r="T37" s="77" t="str">
        <f t="shared" ca="1" si="13"/>
        <v>N/A</v>
      </c>
      <c r="U37" s="77" t="str">
        <f t="shared" ca="1" si="13"/>
        <v>N/A</v>
      </c>
      <c r="V37" s="77" t="str">
        <f t="shared" ca="1" si="13"/>
        <v>N/A</v>
      </c>
      <c r="W37" s="77" t="str">
        <f t="shared" ca="1" si="13"/>
        <v>N/A</v>
      </c>
      <c r="X37" s="77" t="str">
        <f t="shared" ca="1" si="13"/>
        <v>N/A</v>
      </c>
    </row>
    <row r="38" spans="1:24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77" t="str">
        <f t="shared" ca="1" si="8"/>
        <v>N/A</v>
      </c>
      <c r="G38" s="77" t="str">
        <f t="shared" si="4"/>
        <v>N/A</v>
      </c>
      <c r="H38" s="77" t="str">
        <f t="shared" si="5"/>
        <v>N/A</v>
      </c>
      <c r="I38" s="77" t="str">
        <f t="shared" si="6"/>
        <v>N/A</v>
      </c>
      <c r="J38" s="77" t="str">
        <f t="shared" si="9"/>
        <v>N/A</v>
      </c>
      <c r="K38" s="77" t="str">
        <f>IFERROR(IF(VLOOKUP(#REF!,LUCurYr,22,FALSE)=0,"",VLOOKUP(#REF!,LUCurYr,22,FALSE)),"N/A")</f>
        <v>N/A</v>
      </c>
      <c r="L38" s="77" t="str">
        <f t="shared" si="10"/>
        <v>N/A</v>
      </c>
      <c r="M38" s="77" t="str">
        <f ca="1">IFERROR(VLOOKUP($A38,LASTYR,'[3]2017'!$Q$3,FALSE),"N/A")</f>
        <v>N/A</v>
      </c>
      <c r="N38" s="77" t="str">
        <f t="shared" ca="1" si="12"/>
        <v>N/A</v>
      </c>
      <c r="O38" s="77" t="str">
        <f t="shared" ca="1" si="13"/>
        <v>N/A</v>
      </c>
      <c r="P38" s="77" t="str">
        <f t="shared" ca="1" si="13"/>
        <v>N/A</v>
      </c>
      <c r="Q38" s="77" t="str">
        <f t="shared" ca="1" si="13"/>
        <v>N/A</v>
      </c>
      <c r="R38" s="77" t="str">
        <f t="shared" ca="1" si="13"/>
        <v>N/A</v>
      </c>
      <c r="S38" s="77" t="str">
        <f t="shared" ca="1" si="13"/>
        <v>N/A</v>
      </c>
      <c r="T38" s="77" t="str">
        <f t="shared" ca="1" si="13"/>
        <v>N/A</v>
      </c>
      <c r="U38" s="77" t="str">
        <f t="shared" ca="1" si="13"/>
        <v>N/A</v>
      </c>
      <c r="V38" s="77" t="str">
        <f t="shared" ca="1" si="13"/>
        <v>N/A</v>
      </c>
      <c r="W38" s="77" t="str">
        <f t="shared" ca="1" si="13"/>
        <v>N/A</v>
      </c>
      <c r="X38" s="77" t="str">
        <f t="shared" ca="1" si="13"/>
        <v>N/A</v>
      </c>
    </row>
    <row r="39" spans="1:24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77" t="str">
        <f t="shared" ca="1" si="8"/>
        <v>N/A</v>
      </c>
      <c r="G39" s="77" t="str">
        <f t="shared" si="4"/>
        <v>N/A</v>
      </c>
      <c r="H39" s="77" t="str">
        <f t="shared" si="5"/>
        <v>N/A</v>
      </c>
      <c r="I39" s="77" t="str">
        <f t="shared" si="6"/>
        <v>N/A</v>
      </c>
      <c r="J39" s="77" t="str">
        <f t="shared" si="9"/>
        <v>N/A</v>
      </c>
      <c r="K39" s="77" t="str">
        <f>IFERROR(IF(VLOOKUP(#REF!,LUCurYr,22,FALSE)=0,"",VLOOKUP(#REF!,LUCurYr,22,FALSE)),"N/A")</f>
        <v>N/A</v>
      </c>
      <c r="L39" s="77" t="str">
        <f t="shared" si="10"/>
        <v>N/A</v>
      </c>
      <c r="M39" s="77" t="str">
        <f ca="1">IFERROR(VLOOKUP($A39,LASTYR,'[3]2017'!$Q$3,FALSE),"N/A")</f>
        <v>N/A</v>
      </c>
      <c r="N39" s="77" t="str">
        <f t="shared" ca="1" si="12"/>
        <v>N/A</v>
      </c>
      <c r="O39" s="77" t="str">
        <f t="shared" ca="1" si="13"/>
        <v>N/A</v>
      </c>
      <c r="P39" s="77" t="str">
        <f t="shared" ca="1" si="13"/>
        <v>N/A</v>
      </c>
      <c r="Q39" s="77" t="str">
        <f t="shared" ca="1" si="13"/>
        <v>N/A</v>
      </c>
      <c r="R39" s="77" t="str">
        <f t="shared" ca="1" si="13"/>
        <v>N/A</v>
      </c>
      <c r="S39" s="77" t="str">
        <f t="shared" ca="1" si="13"/>
        <v>N/A</v>
      </c>
      <c r="T39" s="77" t="str">
        <f t="shared" ca="1" si="13"/>
        <v>N/A</v>
      </c>
      <c r="U39" s="77" t="str">
        <f t="shared" ca="1" si="13"/>
        <v>N/A</v>
      </c>
      <c r="V39" s="77" t="str">
        <f t="shared" ca="1" si="13"/>
        <v>N/A</v>
      </c>
      <c r="W39" s="77" t="str">
        <f t="shared" ca="1" si="13"/>
        <v>N/A</v>
      </c>
      <c r="X39" s="77" t="str">
        <f t="shared" ca="1" si="13"/>
        <v>N/A</v>
      </c>
    </row>
    <row r="40" spans="1:24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77" t="str">
        <f t="shared" ca="1" si="8"/>
        <v>N/A</v>
      </c>
      <c r="G40" s="77" t="str">
        <f t="shared" si="4"/>
        <v>N/A</v>
      </c>
      <c r="H40" s="77" t="str">
        <f t="shared" si="5"/>
        <v>N/A</v>
      </c>
      <c r="I40" s="77" t="str">
        <f t="shared" si="6"/>
        <v>N/A</v>
      </c>
      <c r="J40" s="77" t="str">
        <f t="shared" si="9"/>
        <v>N/A</v>
      </c>
      <c r="K40" s="77" t="str">
        <f>IFERROR(IF(VLOOKUP(#REF!,LUCurYr,22,FALSE)=0,"",VLOOKUP(#REF!,LUCurYr,22,FALSE)),"N/A")</f>
        <v>N/A</v>
      </c>
      <c r="L40" s="77" t="str">
        <f t="shared" si="10"/>
        <v>N/A</v>
      </c>
      <c r="M40" s="77" t="str">
        <f ca="1">IFERROR(VLOOKUP($A40,LASTYR,'[3]2017'!$Q$3,FALSE),"N/A")</f>
        <v>N/A</v>
      </c>
      <c r="N40" s="77" t="str">
        <f t="shared" ca="1" si="12"/>
        <v>N/A</v>
      </c>
      <c r="O40" s="77" t="str">
        <f t="shared" ca="1" si="13"/>
        <v>N/A</v>
      </c>
      <c r="P40" s="77" t="str">
        <f t="shared" ca="1" si="13"/>
        <v>N/A</v>
      </c>
      <c r="Q40" s="77" t="str">
        <f t="shared" ca="1" si="13"/>
        <v>N/A</v>
      </c>
      <c r="R40" s="77" t="str">
        <f t="shared" ca="1" si="13"/>
        <v>N/A</v>
      </c>
      <c r="S40" s="77" t="str">
        <f t="shared" ca="1" si="13"/>
        <v>N/A</v>
      </c>
      <c r="T40" s="77" t="str">
        <f t="shared" ca="1" si="13"/>
        <v>N/A</v>
      </c>
      <c r="U40" s="77" t="str">
        <f t="shared" ca="1" si="13"/>
        <v>N/A</v>
      </c>
      <c r="V40" s="77" t="str">
        <f t="shared" ca="1" si="13"/>
        <v>N/A</v>
      </c>
      <c r="W40" s="77" t="str">
        <f t="shared" ca="1" si="13"/>
        <v>N/A</v>
      </c>
      <c r="X40" s="77" t="str">
        <f t="shared" ca="1" si="13"/>
        <v>N/A</v>
      </c>
    </row>
    <row r="41" spans="1:24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77" t="str">
        <f t="shared" ca="1" si="8"/>
        <v>N/A</v>
      </c>
      <c r="G41" s="77" t="str">
        <f t="shared" si="4"/>
        <v>N/A</v>
      </c>
      <c r="H41" s="77" t="str">
        <f t="shared" si="5"/>
        <v>N/A</v>
      </c>
      <c r="I41" s="77" t="str">
        <f t="shared" si="6"/>
        <v>N/A</v>
      </c>
      <c r="J41" s="77" t="str">
        <f t="shared" si="9"/>
        <v>N/A</v>
      </c>
      <c r="K41" s="77" t="str">
        <f>IFERROR(IF(VLOOKUP(#REF!,LUCurYr,22,FALSE)=0,"",VLOOKUP(#REF!,LUCurYr,22,FALSE)),"N/A")</f>
        <v>N/A</v>
      </c>
      <c r="L41" s="77" t="str">
        <f t="shared" si="10"/>
        <v>N/A</v>
      </c>
      <c r="M41" s="77" t="str">
        <f ca="1">IFERROR(VLOOKUP($A41,LASTYR,'[3]2017'!$Q$3,FALSE),"N/A")</f>
        <v>N/A</v>
      </c>
      <c r="N41" s="77" t="str">
        <f t="shared" ca="1" si="12"/>
        <v>N/A</v>
      </c>
      <c r="O41" s="77" t="str">
        <f t="shared" ca="1" si="13"/>
        <v>N/A</v>
      </c>
      <c r="P41" s="77" t="str">
        <f t="shared" ca="1" si="13"/>
        <v>N/A</v>
      </c>
      <c r="Q41" s="77" t="str">
        <f t="shared" ca="1" si="13"/>
        <v>N/A</v>
      </c>
      <c r="R41" s="77" t="str">
        <f t="shared" ca="1" si="13"/>
        <v>N/A</v>
      </c>
      <c r="S41" s="77" t="str">
        <f t="shared" ca="1" si="13"/>
        <v>N/A</v>
      </c>
      <c r="T41" s="77" t="str">
        <f t="shared" ca="1" si="13"/>
        <v>N/A</v>
      </c>
      <c r="U41" s="77" t="str">
        <f t="shared" ca="1" si="13"/>
        <v>N/A</v>
      </c>
      <c r="V41" s="77" t="str">
        <f t="shared" ca="1" si="13"/>
        <v>N/A</v>
      </c>
      <c r="W41" s="77" t="str">
        <f t="shared" ca="1" si="13"/>
        <v>N/A</v>
      </c>
      <c r="X41" s="77" t="str">
        <f t="shared" ca="1" si="13"/>
        <v>N/A</v>
      </c>
    </row>
    <row r="42" spans="1:24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77" t="str">
        <f t="shared" ca="1" si="8"/>
        <v>N/A</v>
      </c>
      <c r="G42" s="77" t="str">
        <f t="shared" si="4"/>
        <v>N/A</v>
      </c>
      <c r="H42" s="77" t="str">
        <f t="shared" si="5"/>
        <v>N/A</v>
      </c>
      <c r="I42" s="77" t="str">
        <f t="shared" si="6"/>
        <v>N/A</v>
      </c>
      <c r="J42" s="77" t="str">
        <f t="shared" si="9"/>
        <v>N/A</v>
      </c>
      <c r="K42" s="77" t="str">
        <f>IFERROR(IF(VLOOKUP(#REF!,LUCurYr,22,FALSE)=0,"",VLOOKUP(#REF!,LUCurYr,22,FALSE)),"N/A")</f>
        <v>N/A</v>
      </c>
      <c r="L42" s="77" t="str">
        <f t="shared" si="10"/>
        <v>N/A</v>
      </c>
      <c r="M42" s="77" t="str">
        <f ca="1">IFERROR(VLOOKUP($A42,LASTYR,'[3]2017'!$Q$3,FALSE),"N/A")</f>
        <v>N/A</v>
      </c>
      <c r="N42" s="77" t="str">
        <f t="shared" ca="1" si="12"/>
        <v>N/A</v>
      </c>
      <c r="O42" s="77" t="str">
        <f t="shared" ca="1" si="13"/>
        <v>N/A</v>
      </c>
      <c r="P42" s="77" t="str">
        <f t="shared" ca="1" si="13"/>
        <v>N/A</v>
      </c>
      <c r="Q42" s="77" t="str">
        <f t="shared" ca="1" si="13"/>
        <v>N/A</v>
      </c>
      <c r="R42" s="77" t="str">
        <f t="shared" ca="1" si="13"/>
        <v>N/A</v>
      </c>
      <c r="S42" s="77" t="str">
        <f t="shared" ca="1" si="13"/>
        <v>N/A</v>
      </c>
      <c r="T42" s="77" t="str">
        <f t="shared" ca="1" si="13"/>
        <v>N/A</v>
      </c>
      <c r="U42" s="77" t="str">
        <f t="shared" ca="1" si="13"/>
        <v>N/A</v>
      </c>
      <c r="V42" s="77" t="str">
        <f t="shared" ca="1" si="13"/>
        <v>N/A</v>
      </c>
      <c r="W42" s="77" t="str">
        <f t="shared" ca="1" si="13"/>
        <v>N/A</v>
      </c>
      <c r="X42" s="77" t="str">
        <f t="shared" ca="1" si="13"/>
        <v>N/A</v>
      </c>
    </row>
    <row r="43" spans="1:24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77" t="str">
        <f t="shared" ca="1" si="8"/>
        <v>N/A</v>
      </c>
      <c r="G43" s="77" t="str">
        <f t="shared" si="4"/>
        <v>N/A</v>
      </c>
      <c r="H43" s="77" t="str">
        <f t="shared" si="5"/>
        <v>N/A</v>
      </c>
      <c r="I43" s="77" t="str">
        <f t="shared" si="6"/>
        <v>N/A</v>
      </c>
      <c r="J43" s="77" t="str">
        <f t="shared" si="9"/>
        <v>N/A</v>
      </c>
      <c r="K43" s="77" t="str">
        <f>IFERROR(IF(VLOOKUP(#REF!,LUCurYr,22,FALSE)=0,"",VLOOKUP(#REF!,LUCurYr,22,FALSE)),"N/A")</f>
        <v>N/A</v>
      </c>
      <c r="L43" s="77" t="str">
        <f t="shared" si="10"/>
        <v>N/A</v>
      </c>
      <c r="M43" s="77" t="str">
        <f ca="1">IFERROR(VLOOKUP($A43,LASTYR,'[3]2017'!$Q$3,FALSE),"N/A")</f>
        <v>N/A</v>
      </c>
      <c r="N43" s="77" t="str">
        <f t="shared" ca="1" si="12"/>
        <v>N/A</v>
      </c>
      <c r="O43" s="77" t="str">
        <f t="shared" ref="O43:X57" ca="1" si="14">IFERROR(INDEX(DIV_MP_WP,$B43,O$12),"N/A")</f>
        <v>N/A</v>
      </c>
      <c r="P43" s="77" t="str">
        <f t="shared" ca="1" si="14"/>
        <v>N/A</v>
      </c>
      <c r="Q43" s="77" t="str">
        <f t="shared" ca="1" si="14"/>
        <v>N/A</v>
      </c>
      <c r="R43" s="77" t="str">
        <f t="shared" ca="1" si="14"/>
        <v>N/A</v>
      </c>
      <c r="S43" s="77" t="str">
        <f t="shared" ca="1" si="14"/>
        <v>N/A</v>
      </c>
      <c r="T43" s="77" t="str">
        <f t="shared" ca="1" si="14"/>
        <v>N/A</v>
      </c>
      <c r="U43" s="77" t="str">
        <f t="shared" ca="1" si="14"/>
        <v>N/A</v>
      </c>
      <c r="V43" s="77" t="str">
        <f t="shared" ca="1" si="14"/>
        <v>N/A</v>
      </c>
      <c r="W43" s="77" t="str">
        <f t="shared" ca="1" si="14"/>
        <v>N/A</v>
      </c>
      <c r="X43" s="77" t="str">
        <f t="shared" ca="1" si="14"/>
        <v>N/A</v>
      </c>
    </row>
    <row r="44" spans="1:24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77" t="str">
        <f t="shared" ca="1" si="8"/>
        <v>N/A</v>
      </c>
      <c r="G44" s="77" t="str">
        <f t="shared" si="4"/>
        <v>N/A</v>
      </c>
      <c r="H44" s="77" t="str">
        <f t="shared" si="5"/>
        <v>N/A</v>
      </c>
      <c r="I44" s="77" t="str">
        <f t="shared" si="6"/>
        <v>N/A</v>
      </c>
      <c r="J44" s="77" t="str">
        <f t="shared" si="9"/>
        <v>N/A</v>
      </c>
      <c r="K44" s="77" t="str">
        <f>IFERROR(IF(VLOOKUP(#REF!,LUCurYr,22,FALSE)=0,"",VLOOKUP(#REF!,LUCurYr,22,FALSE)),"N/A")</f>
        <v>N/A</v>
      </c>
      <c r="L44" s="77" t="str">
        <f t="shared" si="10"/>
        <v>N/A</v>
      </c>
      <c r="M44" s="77" t="str">
        <f ca="1">IFERROR(VLOOKUP($A44,LASTYR,'[3]2017'!$Q$3,FALSE),"N/A")</f>
        <v>N/A</v>
      </c>
      <c r="N44" s="77" t="str">
        <f t="shared" ca="1" si="12"/>
        <v>N/A</v>
      </c>
      <c r="O44" s="77" t="str">
        <f t="shared" ca="1" si="14"/>
        <v>N/A</v>
      </c>
      <c r="P44" s="77" t="str">
        <f t="shared" ca="1" si="14"/>
        <v>N/A</v>
      </c>
      <c r="Q44" s="77" t="str">
        <f t="shared" ca="1" si="14"/>
        <v>N/A</v>
      </c>
      <c r="R44" s="77" t="str">
        <f t="shared" ca="1" si="14"/>
        <v>N/A</v>
      </c>
      <c r="S44" s="77" t="str">
        <f t="shared" ca="1" si="14"/>
        <v>N/A</v>
      </c>
      <c r="T44" s="77" t="str">
        <f t="shared" ca="1" si="14"/>
        <v>N/A</v>
      </c>
      <c r="U44" s="77" t="str">
        <f t="shared" ca="1" si="14"/>
        <v>N/A</v>
      </c>
      <c r="V44" s="77" t="str">
        <f t="shared" ca="1" si="14"/>
        <v>N/A</v>
      </c>
      <c r="W44" s="77" t="str">
        <f t="shared" ca="1" si="14"/>
        <v>N/A</v>
      </c>
      <c r="X44" s="77" t="str">
        <f t="shared" ca="1" si="14"/>
        <v>N/A</v>
      </c>
    </row>
    <row r="45" spans="1:24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77" t="str">
        <f t="shared" ca="1" si="8"/>
        <v>N/A</v>
      </c>
      <c r="G45" s="77" t="str">
        <f t="shared" si="4"/>
        <v>N/A</v>
      </c>
      <c r="H45" s="77" t="str">
        <f t="shared" si="5"/>
        <v>N/A</v>
      </c>
      <c r="I45" s="77" t="str">
        <f t="shared" si="6"/>
        <v>N/A</v>
      </c>
      <c r="J45" s="77" t="str">
        <f t="shared" si="9"/>
        <v>N/A</v>
      </c>
      <c r="K45" s="77" t="str">
        <f>IFERROR(IF(VLOOKUP(#REF!,LUCurYr,22,FALSE)=0,"",VLOOKUP(#REF!,LUCurYr,22,FALSE)),"N/A")</f>
        <v>N/A</v>
      </c>
      <c r="L45" s="77" t="str">
        <f t="shared" si="10"/>
        <v>N/A</v>
      </c>
      <c r="M45" s="77" t="str">
        <f ca="1">IFERROR(VLOOKUP($A45,LASTYR,'[3]2017'!$Q$3,FALSE),"N/A")</f>
        <v>N/A</v>
      </c>
      <c r="N45" s="77" t="str">
        <f t="shared" ca="1" si="12"/>
        <v>N/A</v>
      </c>
      <c r="O45" s="77" t="str">
        <f t="shared" ca="1" si="14"/>
        <v>N/A</v>
      </c>
      <c r="P45" s="77" t="str">
        <f t="shared" ca="1" si="14"/>
        <v>N/A</v>
      </c>
      <c r="Q45" s="77" t="str">
        <f t="shared" ca="1" si="14"/>
        <v>N/A</v>
      </c>
      <c r="R45" s="77" t="str">
        <f t="shared" ca="1" si="14"/>
        <v>N/A</v>
      </c>
      <c r="S45" s="77" t="str">
        <f t="shared" ca="1" si="14"/>
        <v>N/A</v>
      </c>
      <c r="T45" s="77" t="str">
        <f t="shared" ca="1" si="14"/>
        <v>N/A</v>
      </c>
      <c r="U45" s="77" t="str">
        <f t="shared" ca="1" si="14"/>
        <v>N/A</v>
      </c>
      <c r="V45" s="77" t="str">
        <f t="shared" ca="1" si="14"/>
        <v>N/A</v>
      </c>
      <c r="W45" s="77" t="str">
        <f t="shared" ca="1" si="14"/>
        <v>N/A</v>
      </c>
      <c r="X45" s="77" t="str">
        <f t="shared" ca="1" si="14"/>
        <v>N/A</v>
      </c>
    </row>
    <row r="46" spans="1:24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77" t="str">
        <f t="shared" ca="1" si="8"/>
        <v>N/A</v>
      </c>
      <c r="G46" s="77" t="str">
        <f t="shared" si="4"/>
        <v>N/A</v>
      </c>
      <c r="H46" s="77" t="str">
        <f t="shared" si="5"/>
        <v>N/A</v>
      </c>
      <c r="I46" s="77" t="str">
        <f t="shared" si="6"/>
        <v>N/A</v>
      </c>
      <c r="J46" s="77" t="str">
        <f t="shared" si="9"/>
        <v>N/A</v>
      </c>
      <c r="K46" s="77" t="str">
        <f>IFERROR(IF(VLOOKUP(#REF!,LUCurYr,22,FALSE)=0,"",VLOOKUP(#REF!,LUCurYr,22,FALSE)),"N/A")</f>
        <v>N/A</v>
      </c>
      <c r="L46" s="77" t="str">
        <f t="shared" si="10"/>
        <v>N/A</v>
      </c>
      <c r="M46" s="77" t="str">
        <f ca="1">IFERROR(VLOOKUP($A46,LASTYR,'[3]2017'!$Q$3,FALSE),"N/A")</f>
        <v>N/A</v>
      </c>
      <c r="N46" s="77" t="str">
        <f t="shared" ca="1" si="12"/>
        <v>N/A</v>
      </c>
      <c r="O46" s="77" t="str">
        <f t="shared" ca="1" si="14"/>
        <v>N/A</v>
      </c>
      <c r="P46" s="77" t="str">
        <f t="shared" ca="1" si="14"/>
        <v>N/A</v>
      </c>
      <c r="Q46" s="77" t="str">
        <f t="shared" ca="1" si="14"/>
        <v>N/A</v>
      </c>
      <c r="R46" s="77" t="str">
        <f t="shared" ca="1" si="14"/>
        <v>N/A</v>
      </c>
      <c r="S46" s="77" t="str">
        <f t="shared" ca="1" si="14"/>
        <v>N/A</v>
      </c>
      <c r="T46" s="77" t="str">
        <f t="shared" ca="1" si="14"/>
        <v>N/A</v>
      </c>
      <c r="U46" s="77" t="str">
        <f t="shared" ca="1" si="14"/>
        <v>N/A</v>
      </c>
      <c r="V46" s="77" t="str">
        <f t="shared" ca="1" si="14"/>
        <v>N/A</v>
      </c>
      <c r="W46" s="77" t="str">
        <f t="shared" ca="1" si="14"/>
        <v>N/A</v>
      </c>
      <c r="X46" s="77" t="str">
        <f t="shared" ca="1" si="14"/>
        <v>N/A</v>
      </c>
    </row>
    <row r="47" spans="1:24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77" t="str">
        <f t="shared" ca="1" si="8"/>
        <v>N/A</v>
      </c>
      <c r="G47" s="77" t="str">
        <f t="shared" si="4"/>
        <v>N/A</v>
      </c>
      <c r="H47" s="77" t="str">
        <f t="shared" si="5"/>
        <v>N/A</v>
      </c>
      <c r="I47" s="77" t="str">
        <f t="shared" si="6"/>
        <v>N/A</v>
      </c>
      <c r="J47" s="77" t="str">
        <f t="shared" si="9"/>
        <v>N/A</v>
      </c>
      <c r="K47" s="77" t="str">
        <f>IFERROR(IF(VLOOKUP(#REF!,LUCurYr,22,FALSE)=0,"",VLOOKUP(#REF!,LUCurYr,22,FALSE)),"N/A")</f>
        <v>N/A</v>
      </c>
      <c r="L47" s="77" t="str">
        <f t="shared" si="10"/>
        <v>N/A</v>
      </c>
      <c r="M47" s="77" t="str">
        <f ca="1">IFERROR(VLOOKUP($A47,LASTYR,'[3]2017'!$Q$3,FALSE),"N/A")</f>
        <v>N/A</v>
      </c>
      <c r="N47" s="77" t="str">
        <f t="shared" ca="1" si="12"/>
        <v>N/A</v>
      </c>
      <c r="O47" s="77" t="str">
        <f t="shared" ca="1" si="14"/>
        <v>N/A</v>
      </c>
      <c r="P47" s="77" t="str">
        <f t="shared" ca="1" si="14"/>
        <v>N/A</v>
      </c>
      <c r="Q47" s="77" t="str">
        <f t="shared" ca="1" si="14"/>
        <v>N/A</v>
      </c>
      <c r="R47" s="77" t="str">
        <f t="shared" ca="1" si="14"/>
        <v>N/A</v>
      </c>
      <c r="S47" s="77" t="str">
        <f t="shared" ca="1" si="14"/>
        <v>N/A</v>
      </c>
      <c r="T47" s="77" t="str">
        <f t="shared" ca="1" si="14"/>
        <v>N/A</v>
      </c>
      <c r="U47" s="77" t="str">
        <f t="shared" ca="1" si="14"/>
        <v>N/A</v>
      </c>
      <c r="V47" s="77" t="str">
        <f t="shared" ca="1" si="14"/>
        <v>N/A</v>
      </c>
      <c r="W47" s="77" t="str">
        <f t="shared" ca="1" si="14"/>
        <v>N/A</v>
      </c>
      <c r="X47" s="77" t="str">
        <f t="shared" ca="1" si="14"/>
        <v>N/A</v>
      </c>
    </row>
    <row r="48" spans="1:24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77" t="str">
        <f t="shared" ca="1" si="8"/>
        <v>N/A</v>
      </c>
      <c r="G48" s="77" t="str">
        <f t="shared" si="4"/>
        <v>N/A</v>
      </c>
      <c r="H48" s="77" t="str">
        <f t="shared" si="5"/>
        <v>N/A</v>
      </c>
      <c r="I48" s="77" t="str">
        <f t="shared" si="6"/>
        <v>N/A</v>
      </c>
      <c r="J48" s="77" t="str">
        <f t="shared" si="9"/>
        <v>N/A</v>
      </c>
      <c r="K48" s="77" t="str">
        <f>IFERROR(IF(VLOOKUP(#REF!,LUCurYr,22,FALSE)=0,"",VLOOKUP(#REF!,LUCurYr,22,FALSE)),"N/A")</f>
        <v>N/A</v>
      </c>
      <c r="L48" s="77" t="str">
        <f t="shared" si="10"/>
        <v>N/A</v>
      </c>
      <c r="M48" s="77" t="str">
        <f ca="1">IFERROR(VLOOKUP($A48,LASTYR,'[3]2017'!$Q$3,FALSE),"N/A")</f>
        <v>N/A</v>
      </c>
      <c r="N48" s="77" t="str">
        <f t="shared" ca="1" si="12"/>
        <v>N/A</v>
      </c>
      <c r="O48" s="77" t="str">
        <f t="shared" ca="1" si="14"/>
        <v>N/A</v>
      </c>
      <c r="P48" s="77" t="str">
        <f t="shared" ca="1" si="14"/>
        <v>N/A</v>
      </c>
      <c r="Q48" s="77" t="str">
        <f t="shared" ca="1" si="14"/>
        <v>N/A</v>
      </c>
      <c r="R48" s="77" t="str">
        <f t="shared" ca="1" si="14"/>
        <v>N/A</v>
      </c>
      <c r="S48" s="77" t="str">
        <f t="shared" ca="1" si="14"/>
        <v>N/A</v>
      </c>
      <c r="T48" s="77" t="str">
        <f t="shared" ca="1" si="14"/>
        <v>N/A</v>
      </c>
      <c r="U48" s="77" t="str">
        <f t="shared" ca="1" si="14"/>
        <v>N/A</v>
      </c>
      <c r="V48" s="77" t="str">
        <f t="shared" ca="1" si="14"/>
        <v>N/A</v>
      </c>
      <c r="W48" s="77" t="str">
        <f t="shared" ca="1" si="14"/>
        <v>N/A</v>
      </c>
      <c r="X48" s="77" t="str">
        <f t="shared" ca="1" si="14"/>
        <v>N/A</v>
      </c>
    </row>
    <row r="49" spans="1:24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77" t="str">
        <f t="shared" ca="1" si="8"/>
        <v>N/A</v>
      </c>
      <c r="G49" s="77" t="str">
        <f t="shared" si="4"/>
        <v>N/A</v>
      </c>
      <c r="H49" s="77" t="str">
        <f t="shared" si="5"/>
        <v>N/A</v>
      </c>
      <c r="I49" s="77" t="str">
        <f t="shared" si="6"/>
        <v>N/A</v>
      </c>
      <c r="J49" s="77" t="str">
        <f t="shared" si="9"/>
        <v>N/A</v>
      </c>
      <c r="K49" s="77" t="str">
        <f>IFERROR(IF(VLOOKUP(#REF!,LUCurYr,22,FALSE)=0,"",VLOOKUP(#REF!,LUCurYr,22,FALSE)),"N/A")</f>
        <v>N/A</v>
      </c>
      <c r="L49" s="77" t="str">
        <f t="shared" si="10"/>
        <v>N/A</v>
      </c>
      <c r="M49" s="77" t="str">
        <f ca="1">IFERROR(VLOOKUP($A49,LASTYR,'[3]2017'!$Q$3,FALSE),"N/A")</f>
        <v>N/A</v>
      </c>
      <c r="N49" s="77" t="str">
        <f t="shared" ca="1" si="12"/>
        <v>N/A</v>
      </c>
      <c r="O49" s="77" t="str">
        <f t="shared" ca="1" si="14"/>
        <v>N/A</v>
      </c>
      <c r="P49" s="77" t="str">
        <f t="shared" ca="1" si="14"/>
        <v>N/A</v>
      </c>
      <c r="Q49" s="77" t="str">
        <f t="shared" ca="1" si="14"/>
        <v>N/A</v>
      </c>
      <c r="R49" s="77" t="str">
        <f t="shared" ca="1" si="14"/>
        <v>N/A</v>
      </c>
      <c r="S49" s="77" t="str">
        <f t="shared" ca="1" si="14"/>
        <v>N/A</v>
      </c>
      <c r="T49" s="77" t="str">
        <f t="shared" ca="1" si="14"/>
        <v>N/A</v>
      </c>
      <c r="U49" s="77" t="str">
        <f t="shared" ca="1" si="14"/>
        <v>N/A</v>
      </c>
      <c r="V49" s="77" t="str">
        <f t="shared" ca="1" si="14"/>
        <v>N/A</v>
      </c>
      <c r="W49" s="77" t="str">
        <f t="shared" ca="1" si="14"/>
        <v>N/A</v>
      </c>
      <c r="X49" s="77" t="str">
        <f t="shared" ca="1" si="14"/>
        <v>N/A</v>
      </c>
    </row>
    <row r="50" spans="1:24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77" t="str">
        <f t="shared" ca="1" si="8"/>
        <v>N/A</v>
      </c>
      <c r="G50" s="77" t="str">
        <f t="shared" si="4"/>
        <v>N/A</v>
      </c>
      <c r="H50" s="77" t="str">
        <f t="shared" si="5"/>
        <v>N/A</v>
      </c>
      <c r="I50" s="77" t="str">
        <f t="shared" si="6"/>
        <v>N/A</v>
      </c>
      <c r="J50" s="77" t="str">
        <f t="shared" si="9"/>
        <v>N/A</v>
      </c>
      <c r="K50" s="77" t="str">
        <f>IFERROR(IF(VLOOKUP(#REF!,LUCurYr,22,FALSE)=0,"",VLOOKUP(#REF!,LUCurYr,22,FALSE)),"N/A")</f>
        <v>N/A</v>
      </c>
      <c r="L50" s="77" t="str">
        <f t="shared" si="10"/>
        <v>N/A</v>
      </c>
      <c r="M50" s="77" t="str">
        <f ca="1">IFERROR(VLOOKUP($A50,LASTYR,'[3]2017'!$Q$3,FALSE),"N/A")</f>
        <v>N/A</v>
      </c>
      <c r="N50" s="77" t="str">
        <f t="shared" ca="1" si="12"/>
        <v>N/A</v>
      </c>
      <c r="O50" s="77" t="str">
        <f t="shared" ca="1" si="14"/>
        <v>N/A</v>
      </c>
      <c r="P50" s="77" t="str">
        <f t="shared" ca="1" si="14"/>
        <v>N/A</v>
      </c>
      <c r="Q50" s="77" t="str">
        <f t="shared" ca="1" si="14"/>
        <v>N/A</v>
      </c>
      <c r="R50" s="77" t="str">
        <f t="shared" ca="1" si="14"/>
        <v>N/A</v>
      </c>
      <c r="S50" s="77" t="str">
        <f t="shared" ca="1" si="14"/>
        <v>N/A</v>
      </c>
      <c r="T50" s="77" t="str">
        <f t="shared" ca="1" si="14"/>
        <v>N/A</v>
      </c>
      <c r="U50" s="77" t="str">
        <f t="shared" ca="1" si="14"/>
        <v>N/A</v>
      </c>
      <c r="V50" s="77" t="str">
        <f t="shared" ca="1" si="14"/>
        <v>N/A</v>
      </c>
      <c r="W50" s="77" t="str">
        <f t="shared" ca="1" si="14"/>
        <v>N/A</v>
      </c>
      <c r="X50" s="77" t="str">
        <f t="shared" ca="1" si="14"/>
        <v>N/A</v>
      </c>
    </row>
    <row r="51" spans="1:24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77" t="str">
        <f t="shared" ca="1" si="8"/>
        <v>N/A</v>
      </c>
      <c r="G51" s="77" t="str">
        <f t="shared" si="4"/>
        <v>N/A</v>
      </c>
      <c r="H51" s="77" t="str">
        <f t="shared" si="5"/>
        <v>N/A</v>
      </c>
      <c r="I51" s="77" t="str">
        <f t="shared" si="6"/>
        <v>N/A</v>
      </c>
      <c r="J51" s="77" t="str">
        <f t="shared" si="9"/>
        <v>N/A</v>
      </c>
      <c r="K51" s="77" t="str">
        <f>IFERROR(IF(VLOOKUP(#REF!,LUCurYr,22,FALSE)=0,"",VLOOKUP(#REF!,LUCurYr,22,FALSE)),"N/A")</f>
        <v>N/A</v>
      </c>
      <c r="L51" s="77" t="str">
        <f t="shared" si="10"/>
        <v>N/A</v>
      </c>
      <c r="M51" s="77" t="str">
        <f ca="1">IFERROR(VLOOKUP($A51,LASTYR,'[3]2017'!$Q$3,FALSE),"N/A")</f>
        <v>N/A</v>
      </c>
      <c r="N51" s="77" t="str">
        <f t="shared" ca="1" si="12"/>
        <v>N/A</v>
      </c>
      <c r="O51" s="77" t="str">
        <f t="shared" ca="1" si="14"/>
        <v>N/A</v>
      </c>
      <c r="P51" s="77" t="str">
        <f t="shared" ca="1" si="14"/>
        <v>N/A</v>
      </c>
      <c r="Q51" s="77" t="str">
        <f t="shared" ca="1" si="14"/>
        <v>N/A</v>
      </c>
      <c r="R51" s="77" t="str">
        <f t="shared" ca="1" si="14"/>
        <v>N/A</v>
      </c>
      <c r="S51" s="77" t="str">
        <f t="shared" ca="1" si="14"/>
        <v>N/A</v>
      </c>
      <c r="T51" s="77" t="str">
        <f t="shared" ca="1" si="14"/>
        <v>N/A</v>
      </c>
      <c r="U51" s="77" t="str">
        <f t="shared" ca="1" si="14"/>
        <v>N/A</v>
      </c>
      <c r="V51" s="77" t="str">
        <f t="shared" ca="1" si="14"/>
        <v>N/A</v>
      </c>
      <c r="W51" s="77" t="str">
        <f t="shared" ca="1" si="14"/>
        <v>N/A</v>
      </c>
      <c r="X51" s="77" t="str">
        <f t="shared" ca="1" si="14"/>
        <v>N/A</v>
      </c>
    </row>
    <row r="52" spans="1:24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77" t="str">
        <f t="shared" ca="1" si="8"/>
        <v>N/A</v>
      </c>
      <c r="G52" s="77" t="str">
        <f t="shared" si="4"/>
        <v>N/A</v>
      </c>
      <c r="H52" s="77" t="str">
        <f t="shared" si="5"/>
        <v>N/A</v>
      </c>
      <c r="I52" s="77" t="str">
        <f t="shared" si="6"/>
        <v>N/A</v>
      </c>
      <c r="J52" s="77" t="str">
        <f t="shared" si="9"/>
        <v>N/A</v>
      </c>
      <c r="K52" s="77" t="str">
        <f>IFERROR(IF(VLOOKUP(#REF!,LUCurYr,22,FALSE)=0,"",VLOOKUP(#REF!,LUCurYr,22,FALSE)),"N/A")</f>
        <v>N/A</v>
      </c>
      <c r="L52" s="77" t="str">
        <f t="shared" si="10"/>
        <v>N/A</v>
      </c>
      <c r="M52" s="77" t="str">
        <f ca="1">IFERROR(VLOOKUP($A52,LASTYR,'[3]2017'!$Q$3,FALSE),"N/A")</f>
        <v>N/A</v>
      </c>
      <c r="N52" s="77" t="str">
        <f t="shared" ca="1" si="12"/>
        <v>N/A</v>
      </c>
      <c r="O52" s="77" t="str">
        <f t="shared" ca="1" si="14"/>
        <v>N/A</v>
      </c>
      <c r="P52" s="77" t="str">
        <f t="shared" ca="1" si="14"/>
        <v>N/A</v>
      </c>
      <c r="Q52" s="77" t="str">
        <f t="shared" ca="1" si="14"/>
        <v>N/A</v>
      </c>
      <c r="R52" s="77" t="str">
        <f t="shared" ca="1" si="14"/>
        <v>N/A</v>
      </c>
      <c r="S52" s="77" t="str">
        <f t="shared" ca="1" si="14"/>
        <v>N/A</v>
      </c>
      <c r="T52" s="77" t="str">
        <f t="shared" ca="1" si="14"/>
        <v>N/A</v>
      </c>
      <c r="U52" s="77" t="str">
        <f t="shared" ca="1" si="14"/>
        <v>N/A</v>
      </c>
      <c r="V52" s="77" t="str">
        <f t="shared" ca="1" si="14"/>
        <v>N/A</v>
      </c>
      <c r="W52" s="77" t="str">
        <f t="shared" ca="1" si="14"/>
        <v>N/A</v>
      </c>
      <c r="X52" s="77" t="str">
        <f t="shared" ca="1" si="14"/>
        <v>N/A</v>
      </c>
    </row>
    <row r="53" spans="1:24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77" t="str">
        <f t="shared" ca="1" si="8"/>
        <v>N/A</v>
      </c>
      <c r="G53" s="77" t="str">
        <f t="shared" si="4"/>
        <v>N/A</v>
      </c>
      <c r="H53" s="77" t="str">
        <f t="shared" si="5"/>
        <v>N/A</v>
      </c>
      <c r="I53" s="77" t="str">
        <f t="shared" si="6"/>
        <v>N/A</v>
      </c>
      <c r="J53" s="77" t="str">
        <f t="shared" si="9"/>
        <v>N/A</v>
      </c>
      <c r="K53" s="77" t="str">
        <f>IFERROR(IF(VLOOKUP(#REF!,LUCurYr,22,FALSE)=0,"",VLOOKUP(#REF!,LUCurYr,22,FALSE)),"N/A")</f>
        <v>N/A</v>
      </c>
      <c r="L53" s="77" t="str">
        <f t="shared" si="10"/>
        <v>N/A</v>
      </c>
      <c r="M53" s="77" t="str">
        <f ca="1">IFERROR(VLOOKUP($A53,LASTYR,'[3]2017'!$Q$3,FALSE),"N/A")</f>
        <v>N/A</v>
      </c>
      <c r="N53" s="77" t="str">
        <f t="shared" ca="1" si="12"/>
        <v>N/A</v>
      </c>
      <c r="O53" s="77" t="str">
        <f t="shared" ca="1" si="14"/>
        <v>N/A</v>
      </c>
      <c r="P53" s="77" t="str">
        <f t="shared" ca="1" si="14"/>
        <v>N/A</v>
      </c>
      <c r="Q53" s="77" t="str">
        <f t="shared" ca="1" si="14"/>
        <v>N/A</v>
      </c>
      <c r="R53" s="77" t="str">
        <f t="shared" ca="1" si="14"/>
        <v>N/A</v>
      </c>
      <c r="S53" s="77" t="str">
        <f t="shared" ca="1" si="14"/>
        <v>N/A</v>
      </c>
      <c r="T53" s="77" t="str">
        <f t="shared" ca="1" si="14"/>
        <v>N/A</v>
      </c>
      <c r="U53" s="77" t="str">
        <f t="shared" ca="1" si="14"/>
        <v>N/A</v>
      </c>
      <c r="V53" s="77" t="str">
        <f t="shared" ca="1" si="14"/>
        <v>N/A</v>
      </c>
      <c r="W53" s="77" t="str">
        <f t="shared" ca="1" si="14"/>
        <v>N/A</v>
      </c>
      <c r="X53" s="77" t="str">
        <f t="shared" ca="1" si="14"/>
        <v>N/A</v>
      </c>
    </row>
    <row r="54" spans="1:24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77" t="str">
        <f t="shared" ca="1" si="8"/>
        <v>N/A</v>
      </c>
      <c r="G54" s="77" t="str">
        <f t="shared" si="4"/>
        <v>N/A</v>
      </c>
      <c r="H54" s="77" t="str">
        <f t="shared" si="5"/>
        <v>N/A</v>
      </c>
      <c r="I54" s="77" t="str">
        <f t="shared" si="6"/>
        <v>N/A</v>
      </c>
      <c r="J54" s="77" t="str">
        <f t="shared" si="9"/>
        <v>N/A</v>
      </c>
      <c r="K54" s="77" t="str">
        <f>IFERROR(IF(VLOOKUP(#REF!,LUCurYr,22,FALSE)=0,"",VLOOKUP(#REF!,LUCurYr,22,FALSE)),"N/A")</f>
        <v>N/A</v>
      </c>
      <c r="L54" s="77" t="str">
        <f t="shared" si="10"/>
        <v>N/A</v>
      </c>
      <c r="M54" s="77" t="str">
        <f ca="1">IFERROR(VLOOKUP($A54,LASTYR,'[3]2017'!$Q$3,FALSE),"N/A")</f>
        <v>N/A</v>
      </c>
      <c r="N54" s="77" t="str">
        <f t="shared" ca="1" si="12"/>
        <v>N/A</v>
      </c>
      <c r="O54" s="77" t="str">
        <f t="shared" ca="1" si="14"/>
        <v>N/A</v>
      </c>
      <c r="P54" s="77" t="str">
        <f t="shared" ca="1" si="14"/>
        <v>N/A</v>
      </c>
      <c r="Q54" s="77" t="str">
        <f t="shared" ca="1" si="14"/>
        <v>N/A</v>
      </c>
      <c r="R54" s="77" t="str">
        <f t="shared" ca="1" si="14"/>
        <v>N/A</v>
      </c>
      <c r="S54" s="77" t="str">
        <f t="shared" ca="1" si="14"/>
        <v>N/A</v>
      </c>
      <c r="T54" s="77" t="str">
        <f t="shared" ca="1" si="14"/>
        <v>N/A</v>
      </c>
      <c r="U54" s="77" t="str">
        <f t="shared" ca="1" si="14"/>
        <v>N/A</v>
      </c>
      <c r="V54" s="77" t="str">
        <f t="shared" ca="1" si="14"/>
        <v>N/A</v>
      </c>
      <c r="W54" s="77" t="str">
        <f t="shared" ca="1" si="14"/>
        <v>N/A</v>
      </c>
      <c r="X54" s="77" t="str">
        <f t="shared" ca="1" si="14"/>
        <v>N/A</v>
      </c>
    </row>
    <row r="55" spans="1:24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77" t="str">
        <f t="shared" ca="1" si="8"/>
        <v>N/A</v>
      </c>
      <c r="G55" s="77" t="str">
        <f t="shared" si="4"/>
        <v>N/A</v>
      </c>
      <c r="H55" s="77" t="str">
        <f t="shared" si="5"/>
        <v>N/A</v>
      </c>
      <c r="I55" s="77" t="str">
        <f t="shared" si="6"/>
        <v>N/A</v>
      </c>
      <c r="J55" s="77" t="str">
        <f t="shared" si="9"/>
        <v>N/A</v>
      </c>
      <c r="K55" s="77" t="str">
        <f>IFERROR(IF(VLOOKUP(#REF!,LUCurYr,22,FALSE)=0,"",VLOOKUP(#REF!,LUCurYr,22,FALSE)),"N/A")</f>
        <v>N/A</v>
      </c>
      <c r="L55" s="77" t="str">
        <f t="shared" si="10"/>
        <v>N/A</v>
      </c>
      <c r="M55" s="77" t="str">
        <f ca="1">IFERROR(VLOOKUP($A55,LASTYR,'[3]2017'!$Q$3,FALSE),"N/A")</f>
        <v>N/A</v>
      </c>
      <c r="N55" s="77" t="str">
        <f t="shared" ca="1" si="12"/>
        <v>N/A</v>
      </c>
      <c r="O55" s="77" t="str">
        <f t="shared" ca="1" si="14"/>
        <v>N/A</v>
      </c>
      <c r="P55" s="77" t="str">
        <f t="shared" ca="1" si="14"/>
        <v>N/A</v>
      </c>
      <c r="Q55" s="77" t="str">
        <f t="shared" ca="1" si="14"/>
        <v>N/A</v>
      </c>
      <c r="R55" s="77" t="str">
        <f t="shared" ca="1" si="14"/>
        <v>N/A</v>
      </c>
      <c r="S55" s="77" t="str">
        <f t="shared" ca="1" si="14"/>
        <v>N/A</v>
      </c>
      <c r="T55" s="77" t="str">
        <f t="shared" ca="1" si="14"/>
        <v>N/A</v>
      </c>
      <c r="U55" s="77" t="str">
        <f t="shared" ca="1" si="14"/>
        <v>N/A</v>
      </c>
      <c r="V55" s="77" t="str">
        <f t="shared" ca="1" si="14"/>
        <v>N/A</v>
      </c>
      <c r="W55" s="77" t="str">
        <f t="shared" ca="1" si="14"/>
        <v>N/A</v>
      </c>
      <c r="X55" s="77" t="str">
        <f t="shared" ca="1" si="14"/>
        <v>N/A</v>
      </c>
    </row>
    <row r="56" spans="1:24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77" t="str">
        <f t="shared" ca="1" si="8"/>
        <v>N/A</v>
      </c>
      <c r="G56" s="77" t="str">
        <f t="shared" si="4"/>
        <v>N/A</v>
      </c>
      <c r="H56" s="77" t="str">
        <f t="shared" si="5"/>
        <v>N/A</v>
      </c>
      <c r="I56" s="77" t="str">
        <f t="shared" si="6"/>
        <v>N/A</v>
      </c>
      <c r="J56" s="77" t="str">
        <f t="shared" si="9"/>
        <v>N/A</v>
      </c>
      <c r="K56" s="77" t="str">
        <f>IFERROR(IF(VLOOKUP(#REF!,LUCurYr,22,FALSE)=0,"",VLOOKUP(#REF!,LUCurYr,22,FALSE)),"N/A")</f>
        <v>N/A</v>
      </c>
      <c r="L56" s="77" t="str">
        <f t="shared" si="10"/>
        <v>N/A</v>
      </c>
      <c r="M56" s="77" t="str">
        <f ca="1">IFERROR(VLOOKUP($A56,LASTYR,'[3]2017'!$Q$3,FALSE),"N/A")</f>
        <v>N/A</v>
      </c>
      <c r="N56" s="77" t="str">
        <f t="shared" ca="1" si="12"/>
        <v>N/A</v>
      </c>
      <c r="O56" s="77" t="str">
        <f t="shared" ca="1" si="14"/>
        <v>N/A</v>
      </c>
      <c r="P56" s="77" t="str">
        <f t="shared" ca="1" si="14"/>
        <v>N/A</v>
      </c>
      <c r="Q56" s="77" t="str">
        <f t="shared" ca="1" si="14"/>
        <v>N/A</v>
      </c>
      <c r="R56" s="77" t="str">
        <f t="shared" ca="1" si="14"/>
        <v>N/A</v>
      </c>
      <c r="S56" s="77" t="str">
        <f t="shared" ca="1" si="14"/>
        <v>N/A</v>
      </c>
      <c r="T56" s="77" t="str">
        <f t="shared" ca="1" si="14"/>
        <v>N/A</v>
      </c>
      <c r="U56" s="77" t="str">
        <f t="shared" ca="1" si="14"/>
        <v>N/A</v>
      </c>
      <c r="V56" s="77" t="str">
        <f t="shared" ca="1" si="14"/>
        <v>N/A</v>
      </c>
      <c r="W56" s="77" t="str">
        <f t="shared" ca="1" si="14"/>
        <v>N/A</v>
      </c>
      <c r="X56" s="77" t="str">
        <f t="shared" ca="1" si="14"/>
        <v>N/A</v>
      </c>
    </row>
    <row r="57" spans="1:24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77" t="str">
        <f t="shared" ca="1" si="8"/>
        <v>N/A</v>
      </c>
      <c r="G57" s="77" t="str">
        <f t="shared" si="4"/>
        <v>N/A</v>
      </c>
      <c r="H57" s="77" t="str">
        <f t="shared" si="5"/>
        <v>N/A</v>
      </c>
      <c r="I57" s="77" t="str">
        <f t="shared" si="6"/>
        <v>N/A</v>
      </c>
      <c r="J57" s="77" t="str">
        <f t="shared" si="9"/>
        <v>N/A</v>
      </c>
      <c r="K57" s="77" t="str">
        <f>IFERROR(IF(VLOOKUP(#REF!,LUCurYr,22,FALSE)=0,"",VLOOKUP(#REF!,LUCurYr,22,FALSE)),"N/A")</f>
        <v>N/A</v>
      </c>
      <c r="L57" s="77" t="str">
        <f t="shared" si="10"/>
        <v>N/A</v>
      </c>
      <c r="M57" s="77" t="str">
        <f ca="1">IFERROR(VLOOKUP($A57,LASTYR,'[3]2017'!$Q$3,FALSE),"N/A")</f>
        <v>N/A</v>
      </c>
      <c r="N57" s="77" t="str">
        <f t="shared" ca="1" si="12"/>
        <v>N/A</v>
      </c>
      <c r="O57" s="77" t="str">
        <f t="shared" ca="1" si="14"/>
        <v>N/A</v>
      </c>
      <c r="P57" s="77" t="str">
        <f t="shared" ca="1" si="14"/>
        <v>N/A</v>
      </c>
      <c r="Q57" s="77" t="str">
        <f t="shared" ca="1" si="14"/>
        <v>N/A</v>
      </c>
      <c r="R57" s="77" t="str">
        <f t="shared" ca="1" si="14"/>
        <v>N/A</v>
      </c>
      <c r="S57" s="77" t="str">
        <f t="shared" ca="1" si="14"/>
        <v>N/A</v>
      </c>
      <c r="T57" s="77" t="str">
        <f t="shared" ca="1" si="14"/>
        <v>N/A</v>
      </c>
      <c r="U57" s="77" t="str">
        <f t="shared" ca="1" si="14"/>
        <v>N/A</v>
      </c>
      <c r="V57" s="77" t="str">
        <f t="shared" ca="1" si="14"/>
        <v>N/A</v>
      </c>
      <c r="W57" s="77" t="str">
        <f t="shared" ca="1" si="14"/>
        <v>N/A</v>
      </c>
      <c r="X57" s="77" t="str">
        <f t="shared" ca="1" si="14"/>
        <v>N/A</v>
      </c>
    </row>
    <row r="58" spans="1:24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</row>
    <row r="59" spans="1:24" x14ac:dyDescent="0.25">
      <c r="A59" s="31"/>
      <c r="B59" s="31"/>
      <c r="C59" s="1">
        <f ca="1">IF(ISERROR(D59),"",IF(D59="","",MAX($C$12:C58)+1))</f>
        <v>10</v>
      </c>
      <c r="D59" s="104" t="s">
        <v>98</v>
      </c>
      <c r="E59" s="104"/>
      <c r="F59" s="108">
        <f ca="1">AVERAGE(G59:X59)</f>
        <v>3.3107476180736499E-2</v>
      </c>
      <c r="G59" s="108">
        <f>AVERAGE(G13:G58)</f>
        <v>3.6798203206573052E-2</v>
      </c>
      <c r="H59" s="108">
        <f>AVERAGE(H13:H58)</f>
        <v>3.1439578398131156E-2</v>
      </c>
      <c r="I59" s="108">
        <f>AVERAGE(I13:I58)</f>
        <v>3.2258815963682012E-2</v>
      </c>
      <c r="J59" s="108">
        <f ca="1">AVERAGE(J13:J58)</f>
        <v>3.0187077915061811E-2</v>
      </c>
      <c r="K59" s="108">
        <f t="shared" ref="K59:X59" ca="1" si="15">AVERAGE(K13:K58)</f>
        <v>2.4330708934253653E-2</v>
      </c>
      <c r="L59" s="108">
        <f t="shared" ca="1" si="15"/>
        <v>2.5716454967903694E-2</v>
      </c>
      <c r="M59" s="108">
        <f t="shared" ca="1" si="15"/>
        <v>2.4873436158722329E-2</v>
      </c>
      <c r="N59" s="108">
        <f t="shared" ca="1" si="15"/>
        <v>2.6191008987589321E-2</v>
      </c>
      <c r="O59" s="108">
        <f t="shared" ca="1" si="15"/>
        <v>3.039026629588408E-2</v>
      </c>
      <c r="P59" s="108">
        <f t="shared" ca="1" si="15"/>
        <v>3.0286656681953281E-2</v>
      </c>
      <c r="Q59" s="108">
        <f t="shared" ca="1" si="15"/>
        <v>3.4116376192746059E-2</v>
      </c>
      <c r="R59" s="108">
        <f t="shared" ca="1" si="15"/>
        <v>3.6206298846736637E-2</v>
      </c>
      <c r="S59" s="108">
        <f t="shared" ca="1" si="15"/>
        <v>3.7061260894277984E-2</v>
      </c>
      <c r="T59" s="108">
        <f t="shared" ca="1" si="15"/>
        <v>4.1156396502287383E-2</v>
      </c>
      <c r="U59" s="108">
        <f t="shared" ca="1" si="15"/>
        <v>4.4278211276522851E-2</v>
      </c>
      <c r="V59" s="108">
        <f t="shared" ca="1" si="15"/>
        <v>3.8975292073189539E-2</v>
      </c>
      <c r="W59" s="108">
        <f t="shared" ca="1" si="15"/>
        <v>3.4847512578453484E-2</v>
      </c>
      <c r="X59" s="108">
        <f t="shared" ca="1" si="15"/>
        <v>3.6821015379288606E-2</v>
      </c>
    </row>
    <row r="60" spans="1:24" x14ac:dyDescent="0.25">
      <c r="A60" s="31"/>
      <c r="B60" s="31"/>
      <c r="C60" s="1">
        <f ca="1">IF(ISERROR(D60),"",IF(D60="","",MAX($C$12:C59)+1))</f>
        <v>11</v>
      </c>
      <c r="D60" t="s">
        <v>257</v>
      </c>
      <c r="F60" s="77">
        <f ca="1">MEDIAN(G60:X60)</f>
        <v>3.3929491846984225E-2</v>
      </c>
      <c r="G60" s="77">
        <f>MEDIAN(G13:G58)</f>
        <v>3.8535645472061661E-2</v>
      </c>
      <c r="H60" s="77">
        <f>MEDIAN(H13:H58)</f>
        <v>3.2511210762331842E-2</v>
      </c>
      <c r="I60" s="77">
        <f>MEDIAN(I13:I58)</f>
        <v>3.5006435006435015E-2</v>
      </c>
      <c r="J60" s="77">
        <f ca="1">MEDIAN(J13:J58)</f>
        <v>3.326540919936604E-2</v>
      </c>
      <c r="K60" s="77">
        <f t="shared" ref="K60:X60" ca="1" si="16">MEDIAN(K13:K58)</f>
        <v>2.4950204423943807E-2</v>
      </c>
      <c r="L60" s="77">
        <f t="shared" ca="1" si="16"/>
        <v>2.6136417054482209E-2</v>
      </c>
      <c r="M60" s="77">
        <f t="shared" ca="1" si="16"/>
        <v>2.4622578158032184E-2</v>
      </c>
      <c r="N60" s="77">
        <f t="shared" ca="1" si="16"/>
        <v>2.6153667325351623E-2</v>
      </c>
      <c r="O60" s="77">
        <f t="shared" ca="1" si="16"/>
        <v>2.8846687253832357E-2</v>
      </c>
      <c r="P60" s="77">
        <f t="shared" ca="1" si="16"/>
        <v>2.7158243270894174E-2</v>
      </c>
      <c r="Q60" s="77">
        <f t="shared" ca="1" si="16"/>
        <v>3.41631472583264E-2</v>
      </c>
      <c r="R60" s="77">
        <f t="shared" ca="1" si="16"/>
        <v>3.7529343763670703E-2</v>
      </c>
      <c r="S60" s="77">
        <f t="shared" ca="1" si="16"/>
        <v>3.6047336732246339E-2</v>
      </c>
      <c r="T60" s="77">
        <f t="shared" ca="1" si="16"/>
        <v>3.8017213756857876E-2</v>
      </c>
      <c r="U60" s="77">
        <f t="shared" ca="1" si="16"/>
        <v>3.9638207068007053E-2</v>
      </c>
      <c r="V60" s="77">
        <f t="shared" ca="1" si="16"/>
        <v>3.6462386893202553E-2</v>
      </c>
      <c r="W60" s="77">
        <f t="shared" ca="1" si="16"/>
        <v>3.3695836435642043E-2</v>
      </c>
      <c r="X60" s="77">
        <f t="shared" ca="1" si="16"/>
        <v>3.7459384058627664E-2</v>
      </c>
    </row>
    <row r="61" spans="1:24" x14ac:dyDescent="0.25">
      <c r="A61" s="31"/>
      <c r="B61" s="31"/>
      <c r="C61" s="1" t="str">
        <f>IF(ISERROR(D61),"",IF(D61="","",MAX($C$12:C60)+1))</f>
        <v/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</row>
    <row r="62" spans="1:24" ht="16.2" x14ac:dyDescent="0.25">
      <c r="A62" s="31"/>
      <c r="B62" s="31"/>
      <c r="C62" s="1">
        <f ca="1">IF(ISERROR(D62),"",IF(D62="","",MAX($C$12:C61)+1))</f>
        <v>12</v>
      </c>
      <c r="D62" t="s">
        <v>450</v>
      </c>
      <c r="F62" s="77">
        <f>AVERAGE(G62:X62)</f>
        <v>3.2493981481481485E-2</v>
      </c>
      <c r="G62" s="77">
        <f>VLOOKUP(G$9,'Implied Inflation'!$B$13:$F$35,3,0)</f>
        <v>4.2541666666666672E-2</v>
      </c>
      <c r="H62" s="77">
        <f>VLOOKUP(H$9,'Implied Inflation'!$B$13:$F$35,3,0)</f>
        <v>3.2991666666666669E-2</v>
      </c>
      <c r="I62" s="77">
        <f>VLOOKUP(I$9,'Implied Inflation'!$B$13:$F$35,3,0)</f>
        <v>1.9774999999999997E-2</v>
      </c>
      <c r="J62" s="77">
        <f>VLOOKUP(J$9,'Implied Inflation'!$B$13:$F$35,3,0)</f>
        <v>1.3533333333333335E-2</v>
      </c>
      <c r="K62" s="77">
        <f>VLOOKUP(K$9,'Implied Inflation'!$B$13:$F$34,3,0)</f>
        <v>2.403333333333333E-2</v>
      </c>
      <c r="L62" s="77">
        <f>VLOOKUP(L$10,'Implied Inflation'!$B$13:$F$34,3,0)</f>
        <v>3.0183333333333329E-2</v>
      </c>
      <c r="M62" s="77">
        <f>VLOOKUP(M$10,'Implied Inflation'!$B$13:$F$34,3,0)</f>
        <v>2.6525000000000003E-2</v>
      </c>
      <c r="N62" s="77">
        <f>VLOOKUP(N$10,'Implied Inflation'!$B$13:$F$34,3,0)</f>
        <v>2.2250000000000002E-2</v>
      </c>
      <c r="O62" s="77">
        <f>VLOOKUP(O$10,'Implied Inflation'!$B$13:$F$34,3,0)</f>
        <v>2.5466666666666669E-2</v>
      </c>
      <c r="P62" s="77">
        <f>VLOOKUP(P$10,'Implied Inflation'!$B$13:$F$34,3,0)</f>
        <v>3.0741666666666667E-2</v>
      </c>
      <c r="Q62" s="77">
        <f>VLOOKUP(Q$10,'Implied Inflation'!$B$13:$F$34,3,0)</f>
        <v>3.1191666666666666E-2</v>
      </c>
      <c r="R62" s="77">
        <f>VLOOKUP(R$10,'Implied Inflation'!$B$13:$F$34,3,0)</f>
        <v>2.5441666666666661E-2</v>
      </c>
      <c r="S62" s="77">
        <f>VLOOKUP(S$10,'Implied Inflation'!$B$13:$F$34,3,0)</f>
        <v>3.6208333333333328E-2</v>
      </c>
      <c r="T62" s="77">
        <f>VLOOKUP(T$10,'Implied Inflation'!$B$13:$F$34,3,0)</f>
        <v>4.0300000000000002E-2</v>
      </c>
      <c r="U62" s="77">
        <f>VLOOKUP(U$10,'Implied Inflation'!$B$13:$F$34,3,0)</f>
        <v>4.1075000000000007E-2</v>
      </c>
      <c r="V62" s="77">
        <f>VLOOKUP(V$10,'Implied Inflation'!$B$13:$F$34,3,0)</f>
        <v>4.3624999999999997E-2</v>
      </c>
      <c r="W62" s="77">
        <f>VLOOKUP(W$10,'Implied Inflation'!$B$13:$F$34,3,0)</f>
        <v>4.9083333333333333E-2</v>
      </c>
      <c r="X62" s="77">
        <f>VLOOKUP(X$10,'Implied Inflation'!$B$13:$F$34,3,0)</f>
        <v>4.9924999999999997E-2</v>
      </c>
    </row>
    <row r="63" spans="1:24" ht="16.2" x14ac:dyDescent="0.25">
      <c r="A63" s="31"/>
      <c r="B63" s="31"/>
      <c r="C63" s="1">
        <f ca="1">IF(ISERROR(D63),"",IF(D63="","",MAX($C$12:C62)+1))</f>
        <v>13</v>
      </c>
      <c r="D63" t="s">
        <v>451</v>
      </c>
      <c r="F63" s="77">
        <f>AVERAGE(G63:X63)</f>
        <v>1.0652777777777777E-2</v>
      </c>
      <c r="G63" s="77">
        <f>VLOOKUP(G$9,'Implied Inflation'!$B$13:$F$35,4,0)</f>
        <v>1.7283333333333331E-2</v>
      </c>
      <c r="H63" s="77">
        <f>VLOOKUP(H$9,'Implied Inflation'!$B$13:$F$35,4,0)</f>
        <v>6.4416666666666667E-3</v>
      </c>
      <c r="I63" s="77">
        <f>VLOOKUP(I$9,'Implied Inflation'!$B$13:$F$35,4,0)</f>
        <v>-4.3083333333333333E-3</v>
      </c>
      <c r="J63" s="77">
        <f>VLOOKUP(J$9,'Implied Inflation'!$B$13:$F$35,4,0)</f>
        <v>-3.0333333333333336E-3</v>
      </c>
      <c r="K63" s="77">
        <f>VLOOKUP(K$9,'Implied Inflation'!$B$13:$F$34,4,0)</f>
        <v>6.0000000000000001E-3</v>
      </c>
      <c r="L63" s="77">
        <f>VLOOKUP(L$10,'Implied Inflation'!$B$13:$F$34,4,0)</f>
        <v>9.3499999999999989E-3</v>
      </c>
      <c r="M63" s="77">
        <f>VLOOKUP(M$10,'Implied Inflation'!$B$13:$F$34,4,0)</f>
        <v>7.4583333333333324E-3</v>
      </c>
      <c r="N63" s="77">
        <f>VLOOKUP(N$10,'Implied Inflation'!$B$13:$F$34,4,0)</f>
        <v>6.5750000000000001E-3</v>
      </c>
      <c r="O63" s="77">
        <f>VLOOKUP(O$10,'Implied Inflation'!$B$13:$F$34,4,0)</f>
        <v>7.8333333333333328E-3</v>
      </c>
      <c r="P63" s="77">
        <f>VLOOKUP(P$10,'Implied Inflation'!$B$13:$F$34,4,0)</f>
        <v>8.6583333333333339E-3</v>
      </c>
      <c r="Q63" s="77">
        <f>VLOOKUP(Q$10,'Implied Inflation'!$B$13:$F$34,4,0)</f>
        <v>7.5166666666666663E-3</v>
      </c>
      <c r="R63" s="77">
        <f>VLOOKUP(R$10,'Implied Inflation'!$B$13:$F$34,4,0)</f>
        <v>2.1333333333333339E-3</v>
      </c>
      <c r="S63" s="77">
        <f>VLOOKUP(S$10,'Implied Inflation'!$B$13:$F$34,4,0)</f>
        <v>1.1916666666666666E-2</v>
      </c>
      <c r="T63" s="77">
        <f>VLOOKUP(T$10,'Implied Inflation'!$B$13:$F$34,4,0)</f>
        <v>1.7316666666666668E-2</v>
      </c>
      <c r="U63" s="77">
        <f>VLOOKUP(U$10,'Implied Inflation'!$B$13:$F$34,4,0)</f>
        <v>2.2133333333333324E-2</v>
      </c>
      <c r="V63" s="77">
        <f>VLOOKUP(V$10,'Implied Inflation'!$B$13:$F$34,4,0)</f>
        <v>2.1850000000000001E-2</v>
      </c>
      <c r="W63" s="77">
        <f>VLOOKUP(W$10,'Implied Inflation'!$B$13:$F$34,4,0)</f>
        <v>2.3550000000000001E-2</v>
      </c>
      <c r="X63" s="77">
        <f>VLOOKUP(X$10,'Implied Inflation'!$B$13:$F$34,4,0)</f>
        <v>2.3074999999999998E-2</v>
      </c>
    </row>
    <row r="64" spans="1:24" ht="16.2" x14ac:dyDescent="0.25">
      <c r="A64" s="31"/>
      <c r="B64" s="31"/>
      <c r="C64" s="1">
        <f ca="1">IF(ISERROR(D64),"",IF(D64="","",MAX($C$12:C63)+1))</f>
        <v>14</v>
      </c>
      <c r="D64" t="s">
        <v>452</v>
      </c>
      <c r="F64" s="77">
        <f>AVERAGE(G64:X64)</f>
        <v>2.1603007820959537E-2</v>
      </c>
      <c r="G64" s="77">
        <f>(1+G62)/(1+G63)-1</f>
        <v>2.4829201959467362E-2</v>
      </c>
      <c r="H64" s="77">
        <f t="shared" ref="H64:M64" si="17">(1+H62)/(1+H63)-1</f>
        <v>2.6380068392769962E-2</v>
      </c>
      <c r="I64" s="77">
        <f t="shared" si="17"/>
        <v>2.4187541323870576E-2</v>
      </c>
      <c r="J64" s="77">
        <f t="shared" si="17"/>
        <v>1.661707178441274E-2</v>
      </c>
      <c r="K64" s="77">
        <f t="shared" si="17"/>
        <v>1.7925778661365133E-2</v>
      </c>
      <c r="L64" s="77">
        <f t="shared" si="17"/>
        <v>2.0640346097323237E-2</v>
      </c>
      <c r="M64" s="77">
        <f t="shared" si="17"/>
        <v>1.8925513875677202E-2</v>
      </c>
      <c r="N64" s="77">
        <f t="shared" ref="N64:X64" si="18">(1+N62)/(1+N63)-1</f>
        <v>1.557261008866706E-2</v>
      </c>
      <c r="O64" s="77">
        <f t="shared" si="18"/>
        <v>1.749627914668439E-2</v>
      </c>
      <c r="P64" s="77">
        <f t="shared" si="18"/>
        <v>2.1893769776683447E-2</v>
      </c>
      <c r="Q64" s="77">
        <f t="shared" si="18"/>
        <v>2.3498370581132022E-2</v>
      </c>
      <c r="R64" s="77">
        <f t="shared" si="18"/>
        <v>2.3258714741883901E-2</v>
      </c>
      <c r="S64" s="77">
        <f t="shared" si="18"/>
        <v>2.400559993411866E-2</v>
      </c>
      <c r="T64" s="77">
        <f t="shared" si="18"/>
        <v>2.2592113239076728E-2</v>
      </c>
      <c r="U64" s="77">
        <f t="shared" si="18"/>
        <v>1.8531502739368655E-2</v>
      </c>
      <c r="V64" s="77">
        <f t="shared" si="18"/>
        <v>2.1309389832167236E-2</v>
      </c>
      <c r="W64" s="77">
        <f t="shared" si="18"/>
        <v>2.4945858368749407E-2</v>
      </c>
      <c r="X64" s="77">
        <f t="shared" si="18"/>
        <v>2.6244410233853932E-2</v>
      </c>
    </row>
    <row r="65" spans="1:25" x14ac:dyDescent="0.25">
      <c r="A65" s="31"/>
      <c r="B65" s="31"/>
      <c r="C65" s="1" t="str">
        <f>IF(ISERROR(D65),"",IF(D65="","",MAX($C$12:C64)+1))</f>
        <v/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</row>
    <row r="66" spans="1:25" ht="16.2" x14ac:dyDescent="0.25">
      <c r="A66" s="31"/>
      <c r="B66" s="31"/>
      <c r="C66" s="1">
        <f ca="1">IF(ISERROR(D66),"",IF(D66="","",MAX($C$12:C65)+1))</f>
        <v>15</v>
      </c>
      <c r="D66" s="104" t="s">
        <v>453</v>
      </c>
      <c r="F66" s="108">
        <f ca="1">(1+F59)/(1+F64)-1</f>
        <v>1.1261192725259717E-2</v>
      </c>
      <c r="G66" s="108">
        <f>(1+G59)/(1+G64)-1</f>
        <v>1.1679020488702951E-2</v>
      </c>
      <c r="H66" s="108">
        <f>(1+H59)/(1+H64)-1</f>
        <v>4.9294702432052251E-3</v>
      </c>
      <c r="I66" s="108">
        <f>(1+I59)/(1+I64)-1</f>
        <v>7.8806608303187975E-3</v>
      </c>
      <c r="J66" s="108">
        <f ca="1">(1+J59)/(1+J64)-1</f>
        <v>1.3348198163572356E-2</v>
      </c>
      <c r="K66" s="108">
        <f t="shared" ref="K66:X66" ca="1" si="19">(1+K59)/(1+K64)-1</f>
        <v>6.2921387857093336E-3</v>
      </c>
      <c r="L66" s="108">
        <f t="shared" ca="1" si="19"/>
        <v>4.9734550373108366E-3</v>
      </c>
      <c r="M66" s="108">
        <f t="shared" ca="1" si="19"/>
        <v>5.8374456248730944E-3</v>
      </c>
      <c r="N66" s="108">
        <f t="shared" ca="1" si="19"/>
        <v>1.0455578255498033E-2</v>
      </c>
      <c r="O66" s="108">
        <f t="shared" ca="1" si="19"/>
        <v>1.267226958315093E-2</v>
      </c>
      <c r="P66" s="108">
        <f t="shared" ca="1" si="19"/>
        <v>8.2130718020758664E-3</v>
      </c>
      <c r="Q66" s="108">
        <f t="shared" ca="1" si="19"/>
        <v>1.0374228153959164E-2</v>
      </c>
      <c r="R66" s="108">
        <f t="shared" ca="1" si="19"/>
        <v>1.2653284959433408E-2</v>
      </c>
      <c r="S66" s="108">
        <f t="shared" ca="1" si="19"/>
        <v>1.2749599182855231E-2</v>
      </c>
      <c r="T66" s="108">
        <f t="shared" ca="1" si="19"/>
        <v>1.8154142813020524E-2</v>
      </c>
      <c r="U66" s="108">
        <f t="shared" ca="1" si="19"/>
        <v>2.5278264312795118E-2</v>
      </c>
      <c r="V66" s="108">
        <f t="shared" ca="1" si="19"/>
        <v>1.7297307179292121E-2</v>
      </c>
      <c r="W66" s="108">
        <f t="shared" ca="1" si="19"/>
        <v>9.6606607352538454E-3</v>
      </c>
      <c r="X66" s="108">
        <f t="shared" ca="1" si="19"/>
        <v>1.0306126922556835E-2</v>
      </c>
    </row>
    <row r="67" spans="1:25" x14ac:dyDescent="0.25">
      <c r="A67" s="31"/>
      <c r="B67" s="31"/>
      <c r="C67" s="1"/>
      <c r="D67" s="104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</row>
    <row r="68" spans="1:25" x14ac:dyDescent="0.25">
      <c r="A68" s="31"/>
      <c r="B68" s="31"/>
      <c r="C68" s="1"/>
      <c r="D68" s="280" t="s">
        <v>500</v>
      </c>
      <c r="E68" s="280"/>
    </row>
    <row r="69" spans="1:25" s="97" customFormat="1" ht="16.2" x14ac:dyDescent="0.25">
      <c r="C69" s="1">
        <f ca="1">IF(ISERROR(D69),"",IF(D69="","",MAX($C$12:C68)+1))</f>
        <v>16</v>
      </c>
      <c r="D69" s="104" t="s">
        <v>461</v>
      </c>
      <c r="E69" s="104"/>
      <c r="F69" s="106">
        <f>AVERAGE(G69:X69)</f>
        <v>4.7003366378363533E-2</v>
      </c>
      <c r="G69" s="106">
        <f>VLOOKUP(G9,'Annual Yields (WP)'!$B$6:$C$50,2,FALSE)</f>
        <v>5.5500000000000001E-2</v>
      </c>
      <c r="H69" s="106">
        <f>VLOOKUP(H9,'Annual Yields (WP)'!$B$6:$C$50,2,FALSE)</f>
        <v>4.7399999999999998E-2</v>
      </c>
      <c r="I69" s="106">
        <f>VLOOKUP(I9,'Annual Yields (WP)'!$B$6:$C$50,2,FALSE)</f>
        <v>3.102870206881524E-2</v>
      </c>
      <c r="J69" s="106">
        <f>VLOOKUP(J9,'Annual Yields (WP)'!$B$6:$C$46,2,FALSE)</f>
        <v>3.0525263490164798E-2</v>
      </c>
      <c r="K69" s="106">
        <f>VLOOKUP(K9,'Annual Yields (WP)'!$B$6:$C$46,2,FALSE)</f>
        <v>3.7674047524113317E-2</v>
      </c>
      <c r="L69" s="106">
        <f>VLOOKUP(L10,'Annual Yields (WP)'!$B$6:$C$44,2,FALSE)</f>
        <v>4.2502293815071278E-2</v>
      </c>
      <c r="M69" s="106">
        <f>VLOOKUP(M10,'Annual Yields (WP)'!$B$6:$C$44,2,FALSE)</f>
        <v>3.9988761663160968E-2</v>
      </c>
      <c r="N69" s="106">
        <f>VLOOKUP(N10,'Annual Yields (WP)'!$B$6:$C$44,2,FALSE)</f>
        <v>3.930199127182251E-2</v>
      </c>
      <c r="O69" s="106">
        <f>VLOOKUP(O10,'Annual Yields (WP)'!$B$6:$C$44,2,FALSE)</f>
        <v>4.1153967589428117E-2</v>
      </c>
      <c r="P69" s="106">
        <f>VLOOKUP(P10,'Annual Yields (WP)'!$B$6:$C$44,2,FALSE)</f>
        <v>4.2774094021446961E-2</v>
      </c>
      <c r="Q69" s="106">
        <f>VLOOKUP(Q10,'Annual Yields (WP)'!$B$6:$C$44,2,FALSE)</f>
        <v>4.4759707479483019E-2</v>
      </c>
      <c r="R69" s="106">
        <f>VLOOKUP(R10,'Annual Yields (WP)'!$B$6:$C$44,2,FALSE)</f>
        <v>4.1308564221010043E-2</v>
      </c>
      <c r="S69" s="106">
        <f>VLOOKUP(S10,'Annual Yields (WP)'!$B$6:$C$44,2,FALSE)</f>
        <v>5.0407157265811221E-2</v>
      </c>
      <c r="T69" s="106">
        <f>VLOOKUP(T10,'Annual Yields (WP)'!$B$6:$C$44,2,FALSE)</f>
        <v>5.4644377733549555E-2</v>
      </c>
      <c r="U69" s="106">
        <f>VLOOKUP(U10,'Annual Yields (WP)'!$B$6:$C$44,2,FALSE)</f>
        <v>6.0391666666666656E-2</v>
      </c>
      <c r="V69" s="106">
        <f>VLOOKUP(V10,'Annual Yields (WP)'!$B$6:$C$44,2,FALSE)</f>
        <v>6.5283333333333332E-2</v>
      </c>
      <c r="W69" s="106">
        <f>VLOOKUP(W10,'Annual Yields (WP)'!$B$6:$C$44,2,FALSE)</f>
        <v>6.0733333333333334E-2</v>
      </c>
      <c r="X69" s="106">
        <f>VLOOKUP(X10,'Annual Yields (WP)'!$B$6:$C$44,2,FALSE)</f>
        <v>6.0683333333333332E-2</v>
      </c>
    </row>
    <row r="70" spans="1:25" s="97" customFormat="1" x14ac:dyDescent="0.25">
      <c r="C70" s="1">
        <f ca="1">IF(ISERROR(D70),"",IF(D70="","",MAX($C$12:C69)+1))</f>
        <v>17</v>
      </c>
      <c r="D70" s="104" t="s">
        <v>501</v>
      </c>
      <c r="E70" s="104"/>
      <c r="F70" s="106">
        <f>AVERAGE(G70:X70)</f>
        <v>2.4859931050356592E-2</v>
      </c>
      <c r="G70" s="106">
        <f>(1+G69)/(1+G64)-1</f>
        <v>2.9927716717956798E-2</v>
      </c>
      <c r="H70" s="106">
        <f t="shared" ref="H70:M70" si="20">(1+H69)/(1+H64)-1</f>
        <v>2.0479676344597797E-2</v>
      </c>
      <c r="I70" s="106">
        <f t="shared" si="20"/>
        <v>6.679597699559725E-3</v>
      </c>
      <c r="J70" s="106">
        <f t="shared" si="20"/>
        <v>1.3680855940516157E-2</v>
      </c>
      <c r="K70" s="106">
        <f t="shared" si="20"/>
        <v>1.9400499797459059E-2</v>
      </c>
      <c r="L70" s="106">
        <f t="shared" si="20"/>
        <v>2.1419834911820423E-2</v>
      </c>
      <c r="M70" s="106">
        <f t="shared" si="20"/>
        <v>2.0672019201252168E-2</v>
      </c>
      <c r="N70" s="106">
        <f t="shared" ref="N70:X70" si="21">(1+N69)/(1+N64)-1</f>
        <v>2.3365519065233098E-2</v>
      </c>
      <c r="O70" s="106">
        <f t="shared" si="21"/>
        <v>2.3250884477517886E-2</v>
      </c>
      <c r="P70" s="106">
        <f t="shared" si="21"/>
        <v>2.0432969514362131E-2</v>
      </c>
      <c r="Q70" s="106">
        <f t="shared" si="21"/>
        <v>2.0773200534045744E-2</v>
      </c>
      <c r="R70" s="106">
        <f t="shared" si="21"/>
        <v>1.763957562157592E-2</v>
      </c>
      <c r="S70" s="106">
        <f t="shared" si="21"/>
        <v>2.5782629834632864E-2</v>
      </c>
      <c r="T70" s="106">
        <f t="shared" si="21"/>
        <v>3.1344134263804113E-2</v>
      </c>
      <c r="U70" s="106">
        <f t="shared" si="21"/>
        <v>4.1098546107522393E-2</v>
      </c>
      <c r="V70" s="106">
        <f t="shared" si="21"/>
        <v>4.3056437098255129E-2</v>
      </c>
      <c r="W70" s="106">
        <f t="shared" si="21"/>
        <v>3.4916454047183798E-2</v>
      </c>
      <c r="X70" s="106">
        <f t="shared" si="21"/>
        <v>3.3558207729123435E-2</v>
      </c>
    </row>
    <row r="71" spans="1:25" s="97" customFormat="1" x14ac:dyDescent="0.25">
      <c r="C71" s="1"/>
      <c r="D71" s="233"/>
      <c r="E71" s="233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</row>
    <row r="72" spans="1:25" s="97" customFormat="1" x14ac:dyDescent="0.25">
      <c r="C72" s="1"/>
      <c r="D72" s="280" t="s">
        <v>502</v>
      </c>
      <c r="E72" s="280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102"/>
      <c r="V72" s="102"/>
      <c r="W72" s="102"/>
      <c r="X72" s="102"/>
    </row>
    <row r="73" spans="1:25" s="97" customFormat="1" ht="16.2" x14ac:dyDescent="0.25">
      <c r="C73" s="1">
        <f ca="1">IF(ISERROR(D73),"",IF(D73="","",MAX($C$12:C72)+1))</f>
        <v>18</v>
      </c>
      <c r="D73" s="104" t="s">
        <v>503</v>
      </c>
      <c r="E73"/>
      <c r="F73" s="103">
        <f t="shared" ref="F73:X73" ca="1" si="22">F69-F59</f>
        <v>1.3895890197627034E-2</v>
      </c>
      <c r="G73" s="103">
        <f>G69-G59</f>
        <v>1.8701796793426949E-2</v>
      </c>
      <c r="H73" s="103">
        <f>H69-H59</f>
        <v>1.5960421601868842E-2</v>
      </c>
      <c r="I73" s="103">
        <f>I69-I59</f>
        <v>-1.2301138948667724E-3</v>
      </c>
      <c r="J73" s="103">
        <f ca="1">J69-J59</f>
        <v>3.3818557510298733E-4</v>
      </c>
      <c r="K73" s="103">
        <f t="shared" ca="1" si="22"/>
        <v>1.3343338589859664E-2</v>
      </c>
      <c r="L73" s="103">
        <f t="shared" ca="1" si="22"/>
        <v>1.6785838847167583E-2</v>
      </c>
      <c r="M73" s="103">
        <f t="shared" ca="1" si="22"/>
        <v>1.5115325504438639E-2</v>
      </c>
      <c r="N73" s="103">
        <f t="shared" ca="1" si="22"/>
        <v>1.3110982284233189E-2</v>
      </c>
      <c r="O73" s="103">
        <f t="shared" ca="1" si="22"/>
        <v>1.0763701293544037E-2</v>
      </c>
      <c r="P73" s="103">
        <f t="shared" ca="1" si="22"/>
        <v>1.248743733949368E-2</v>
      </c>
      <c r="Q73" s="103">
        <f t="shared" ca="1" si="22"/>
        <v>1.0643331286736959E-2</v>
      </c>
      <c r="R73" s="103">
        <f t="shared" ca="1" si="22"/>
        <v>5.1022653742734056E-3</v>
      </c>
      <c r="S73" s="103">
        <f t="shared" ca="1" si="22"/>
        <v>1.3345896371533238E-2</v>
      </c>
      <c r="T73" s="103">
        <f t="shared" ca="1" si="22"/>
        <v>1.3487981231262172E-2</v>
      </c>
      <c r="U73" s="103">
        <f t="shared" ca="1" si="22"/>
        <v>1.6113455390143805E-2</v>
      </c>
      <c r="V73" s="103">
        <f t="shared" ca="1" si="22"/>
        <v>2.6308041260143793E-2</v>
      </c>
      <c r="W73" s="103">
        <f t="shared" ca="1" si="22"/>
        <v>2.588582075487985E-2</v>
      </c>
      <c r="X73" s="103">
        <f t="shared" ca="1" si="22"/>
        <v>2.3862317954044726E-2</v>
      </c>
    </row>
    <row r="74" spans="1:25" s="97" customFormat="1" ht="16.2" x14ac:dyDescent="0.25">
      <c r="C74" s="1">
        <f ca="1">IF(ISERROR(D74),"",IF(D74="","",MAX($C$12:C73)+1))</f>
        <v>19</v>
      </c>
      <c r="D74" s="104" t="s">
        <v>504</v>
      </c>
      <c r="E74" s="10"/>
      <c r="F74" s="103">
        <f t="shared" ref="F74:M74" ca="1" si="23">F70-F66</f>
        <v>1.3598738325096876E-2</v>
      </c>
      <c r="G74" s="103">
        <f>G70-G66</f>
        <v>1.8248696229253847E-2</v>
      </c>
      <c r="H74" s="103">
        <f>H70-H66</f>
        <v>1.5550206101392572E-2</v>
      </c>
      <c r="I74" s="103">
        <f t="shared" si="23"/>
        <v>-1.2010631307590725E-3</v>
      </c>
      <c r="J74" s="103">
        <f t="shared" ca="1" si="23"/>
        <v>3.3265777694380105E-4</v>
      </c>
      <c r="K74" s="103">
        <f t="shared" ca="1" si="23"/>
        <v>1.3108361011749725E-2</v>
      </c>
      <c r="L74" s="103">
        <f t="shared" ca="1" si="23"/>
        <v>1.6446379874509587E-2</v>
      </c>
      <c r="M74" s="103">
        <f t="shared" ca="1" si="23"/>
        <v>1.4834573576379073E-2</v>
      </c>
      <c r="N74" s="103">
        <f t="shared" ref="N74:X74" ca="1" si="24">N70-N66</f>
        <v>1.2909940809735065E-2</v>
      </c>
      <c r="O74" s="103">
        <f t="shared" ca="1" si="24"/>
        <v>1.0578614894366956E-2</v>
      </c>
      <c r="P74" s="103">
        <f t="shared" ca="1" si="24"/>
        <v>1.2219897712286265E-2</v>
      </c>
      <c r="Q74" s="103">
        <f t="shared" ca="1" si="24"/>
        <v>1.039897238008658E-2</v>
      </c>
      <c r="R74" s="103">
        <f t="shared" ca="1" si="24"/>
        <v>4.9862906621425118E-3</v>
      </c>
      <c r="S74" s="103">
        <f t="shared" ca="1" si="24"/>
        <v>1.3033030651777633E-2</v>
      </c>
      <c r="T74" s="103">
        <f t="shared" ca="1" si="24"/>
        <v>1.3189991450783589E-2</v>
      </c>
      <c r="U74" s="103">
        <f t="shared" ca="1" si="24"/>
        <v>1.5820281794727276E-2</v>
      </c>
      <c r="V74" s="103">
        <f t="shared" ca="1" si="24"/>
        <v>2.5759129918963009E-2</v>
      </c>
      <c r="W74" s="103">
        <f t="shared" ca="1" si="24"/>
        <v>2.5255793311929953E-2</v>
      </c>
      <c r="X74" s="103">
        <f t="shared" ca="1" si="24"/>
        <v>2.32520808065666E-2</v>
      </c>
    </row>
    <row r="75" spans="1:25" s="97" customFormat="1" x14ac:dyDescent="0.25">
      <c r="C75" s="1" t="str">
        <f>IF(ISERROR(D75),"",IF(D75="","",MAX($C$12:C74)+1))</f>
        <v/>
      </c>
      <c r="D75" s="104"/>
      <c r="E75" s="10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</row>
    <row r="76" spans="1:25" s="97" customFormat="1" x14ac:dyDescent="0.25">
      <c r="C76" s="1"/>
      <c r="D76" s="280" t="s">
        <v>460</v>
      </c>
      <c r="E76" s="280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</row>
    <row r="77" spans="1:25" s="97" customFormat="1" ht="16.2" x14ac:dyDescent="0.25">
      <c r="B77" s="100"/>
      <c r="C77" s="1">
        <f ca="1">IF(ISERROR(D77),"",IF(D77="","",MAX($C$12:C76)+1))</f>
        <v>20</v>
      </c>
      <c r="D77" s="104" t="s">
        <v>456</v>
      </c>
      <c r="E77"/>
      <c r="F77" s="103">
        <f t="shared" ref="F77:M77" ca="1" si="25">F62-F59</f>
        <v>-6.1349469925501415E-4</v>
      </c>
      <c r="G77" s="103">
        <f>G62-G59</f>
        <v>5.7434634600936202E-3</v>
      </c>
      <c r="H77" s="103">
        <f>H62-H59</f>
        <v>1.5520882685355133E-3</v>
      </c>
      <c r="I77" s="103">
        <f t="shared" si="25"/>
        <v>-1.2483815963682015E-2</v>
      </c>
      <c r="J77" s="103">
        <f t="shared" ca="1" si="25"/>
        <v>-1.6653744581728476E-2</v>
      </c>
      <c r="K77" s="103">
        <f t="shared" ca="1" si="25"/>
        <v>-2.9737560092032295E-4</v>
      </c>
      <c r="L77" s="103">
        <f t="shared" ca="1" si="25"/>
        <v>4.466878365429635E-3</v>
      </c>
      <c r="M77" s="103">
        <f t="shared" ca="1" si="25"/>
        <v>1.6515638412776742E-3</v>
      </c>
      <c r="N77" s="103">
        <f t="shared" ref="N77:X77" ca="1" si="26">N62-N59</f>
        <v>-3.9410089875893187E-3</v>
      </c>
      <c r="O77" s="103">
        <f t="shared" ca="1" si="26"/>
        <v>-4.9235996292174115E-3</v>
      </c>
      <c r="P77" s="103">
        <f t="shared" ca="1" si="26"/>
        <v>4.5500998471338649E-4</v>
      </c>
      <c r="Q77" s="103">
        <f t="shared" ca="1" si="26"/>
        <v>-2.9247095260793929E-3</v>
      </c>
      <c r="R77" s="103">
        <f t="shared" ca="1" si="26"/>
        <v>-1.0764632180069976E-2</v>
      </c>
      <c r="S77" s="103">
        <f t="shared" ca="1" si="26"/>
        <v>-8.5292756094465516E-4</v>
      </c>
      <c r="T77" s="103">
        <f t="shared" ca="1" si="26"/>
        <v>-8.5639650228738068E-4</v>
      </c>
      <c r="U77" s="103">
        <f t="shared" ca="1" si="26"/>
        <v>-3.2032112765228438E-3</v>
      </c>
      <c r="V77" s="103">
        <f t="shared" ca="1" si="26"/>
        <v>4.6497079268104577E-3</v>
      </c>
      <c r="W77" s="103">
        <f t="shared" ca="1" si="26"/>
        <v>1.4235820754879849E-2</v>
      </c>
      <c r="X77" s="103">
        <f t="shared" ca="1" si="26"/>
        <v>1.3103984620711391E-2</v>
      </c>
      <c r="Y77" s="234"/>
    </row>
    <row r="78" spans="1:25" s="97" customFormat="1" ht="16.2" x14ac:dyDescent="0.25">
      <c r="B78" s="100"/>
      <c r="C78" s="1">
        <f ca="1">IF(ISERROR(D78),"",IF(D78="","",MAX($C$12:C77)+1))</f>
        <v>21</v>
      </c>
      <c r="D78" s="104" t="s">
        <v>457</v>
      </c>
      <c r="E78" s="10"/>
      <c r="F78" s="103">
        <f t="shared" ref="F78:K78" ca="1" si="27">F63-F66</f>
        <v>-6.0841494748193996E-4</v>
      </c>
      <c r="G78" s="103">
        <f t="shared" si="27"/>
        <v>5.6043128446303797E-3</v>
      </c>
      <c r="H78" s="103">
        <f t="shared" si="27"/>
        <v>1.5121964234614416E-3</v>
      </c>
      <c r="I78" s="103">
        <f t="shared" si="27"/>
        <v>-1.2188994163652132E-2</v>
      </c>
      <c r="J78" s="103">
        <f t="shared" ca="1" si="27"/>
        <v>-1.6381531496905688E-2</v>
      </c>
      <c r="K78" s="103">
        <f t="shared" ca="1" si="27"/>
        <v>-2.9213878570933348E-4</v>
      </c>
      <c r="L78" s="103">
        <f t="shared" ref="L78:X78" ca="1" si="28">L63-L66</f>
        <v>4.3765449626891623E-3</v>
      </c>
      <c r="M78" s="103">
        <f t="shared" ca="1" si="28"/>
        <v>1.6208877084602381E-3</v>
      </c>
      <c r="N78" s="103">
        <f t="shared" ca="1" si="28"/>
        <v>-3.8805782554980324E-3</v>
      </c>
      <c r="O78" s="103">
        <f t="shared" ca="1" si="28"/>
        <v>-4.8389362498175974E-3</v>
      </c>
      <c r="P78" s="103">
        <f t="shared" ca="1" si="28"/>
        <v>4.4526153125746745E-4</v>
      </c>
      <c r="Q78" s="103">
        <f t="shared" ca="1" si="28"/>
        <v>-2.8575614872924978E-3</v>
      </c>
      <c r="R78" s="103">
        <f t="shared" ca="1" si="28"/>
        <v>-1.0519951626100074E-2</v>
      </c>
      <c r="S78" s="103">
        <f t="shared" ca="1" si="28"/>
        <v>-8.3293251618856562E-4</v>
      </c>
      <c r="T78" s="103">
        <f t="shared" ca="1" si="28"/>
        <v>-8.3747614635385631E-4</v>
      </c>
      <c r="U78" s="103">
        <f t="shared" ca="1" si="28"/>
        <v>-3.1449309794617936E-3</v>
      </c>
      <c r="V78" s="103">
        <f t="shared" ca="1" si="28"/>
        <v>4.5526928207078807E-3</v>
      </c>
      <c r="W78" s="103">
        <f t="shared" ca="1" si="28"/>
        <v>1.3889339264746156E-2</v>
      </c>
      <c r="X78" s="103">
        <f t="shared" ca="1" si="28"/>
        <v>1.2768873077443163E-2</v>
      </c>
    </row>
    <row r="79" spans="1:25" s="97" customFormat="1" x14ac:dyDescent="0.25">
      <c r="B79" s="100"/>
      <c r="C79" s="101"/>
      <c r="E79" s="20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1:25" s="97" customFormat="1" x14ac:dyDescent="0.25">
      <c r="B80" s="100"/>
      <c r="C80" s="101"/>
      <c r="E80" s="20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s="97" customFormat="1" x14ac:dyDescent="0.25">
      <c r="B81" s="100"/>
      <c r="C81" s="101"/>
      <c r="E81" s="20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</row>
    <row r="82" spans="2:24" s="97" customFormat="1" x14ac:dyDescent="0.25">
      <c r="B82" s="100"/>
      <c r="C82" s="101"/>
      <c r="E82" s="20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s="97" customFormat="1" x14ac:dyDescent="0.25">
      <c r="B83" s="100"/>
      <c r="C83" s="101"/>
      <c r="E83" s="20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s="97" customFormat="1" x14ac:dyDescent="0.25">
      <c r="B84" s="100"/>
      <c r="C84" s="101"/>
      <c r="E84" s="20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s="97" customFormat="1" x14ac:dyDescent="0.25">
      <c r="B85" s="100"/>
      <c r="C85" s="101"/>
      <c r="E85" s="20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s="97" customFormat="1" x14ac:dyDescent="0.25">
      <c r="B86" s="100"/>
      <c r="C86" s="101"/>
      <c r="E86" s="20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s="97" customFormat="1" x14ac:dyDescent="0.25">
      <c r="B87" s="100"/>
      <c r="C87" s="101"/>
      <c r="E87" s="20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s="97" customFormat="1" hidden="1" x14ac:dyDescent="0.25">
      <c r="B88" s="100"/>
      <c r="C88" s="101"/>
      <c r="E88" s="20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s="97" customFormat="1" hidden="1" x14ac:dyDescent="0.25">
      <c r="B89" s="100"/>
      <c r="C89" s="101"/>
      <c r="E89" s="20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s="97" customFormat="1" hidden="1" x14ac:dyDescent="0.25">
      <c r="B90" s="100"/>
      <c r="C90" s="101"/>
      <c r="E90" s="20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s="97" customFormat="1" hidden="1" x14ac:dyDescent="0.25">
      <c r="B91" s="100"/>
      <c r="C91" s="101"/>
      <c r="E91" s="20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s="97" customFormat="1" hidden="1" x14ac:dyDescent="0.25">
      <c r="B92" s="100"/>
      <c r="C92" s="101"/>
      <c r="E92" s="20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s="97" customFormat="1" hidden="1" x14ac:dyDescent="0.25">
      <c r="B93" s="100"/>
      <c r="C93" s="101"/>
      <c r="E93" s="20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s="97" customFormat="1" hidden="1" x14ac:dyDescent="0.25">
      <c r="B94" s="100"/>
      <c r="C94" s="101"/>
      <c r="E94" s="20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</row>
    <row r="95" spans="2:24" s="97" customFormat="1" hidden="1" x14ac:dyDescent="0.25">
      <c r="B95" s="100"/>
      <c r="C95" s="101"/>
      <c r="E95" s="20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s="97" customFormat="1" hidden="1" x14ac:dyDescent="0.25">
      <c r="B96" s="100"/>
      <c r="C96" s="101"/>
      <c r="E96" s="20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s="97" customFormat="1" hidden="1" x14ac:dyDescent="0.25">
      <c r="B97" s="100"/>
      <c r="C97" s="101"/>
      <c r="E97" s="20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s="97" customFormat="1" hidden="1" x14ac:dyDescent="0.25">
      <c r="B98" s="100"/>
      <c r="C98" s="101"/>
      <c r="E98" s="20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s="97" customFormat="1" hidden="1" x14ac:dyDescent="0.25">
      <c r="B99" s="100"/>
      <c r="C99" s="101"/>
      <c r="E99" s="20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s="97" customFormat="1" hidden="1" x14ac:dyDescent="0.25">
      <c r="B100" s="100"/>
      <c r="C100" s="101"/>
      <c r="E100" s="20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s="97" customFormat="1" hidden="1" x14ac:dyDescent="0.25">
      <c r="B101" s="100"/>
      <c r="C101" s="101"/>
      <c r="E101" s="20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s="97" customFormat="1" hidden="1" x14ac:dyDescent="0.25">
      <c r="B102" s="100"/>
      <c r="C102" s="101"/>
      <c r="E102" s="20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s="97" customFormat="1" hidden="1" x14ac:dyDescent="0.25">
      <c r="B103" s="100"/>
      <c r="C103" s="101"/>
      <c r="E103" s="20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s="97" customFormat="1" hidden="1" x14ac:dyDescent="0.25">
      <c r="B104" s="100"/>
      <c r="C104" s="101"/>
      <c r="E104" s="20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s="97" customFormat="1" hidden="1" x14ac:dyDescent="0.25">
      <c r="B105" s="100"/>
      <c r="C105" s="101"/>
      <c r="E105" s="20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s="97" customFormat="1" hidden="1" x14ac:dyDescent="0.25">
      <c r="B106" s="100"/>
      <c r="C106" s="101"/>
      <c r="E106" s="20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s="97" customFormat="1" hidden="1" x14ac:dyDescent="0.25">
      <c r="B107" s="100"/>
      <c r="C107" s="101"/>
      <c r="E107" s="20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</row>
    <row r="108" spans="2:24" s="97" customFormat="1" hidden="1" x14ac:dyDescent="0.25">
      <c r="B108" s="100"/>
      <c r="C108" s="101"/>
      <c r="E108" s="20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s="97" customFormat="1" hidden="1" x14ac:dyDescent="0.25">
      <c r="B109" s="100"/>
      <c r="C109" s="101"/>
      <c r="E109" s="20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s="97" customFormat="1" hidden="1" x14ac:dyDescent="0.25">
      <c r="B110" s="100"/>
      <c r="C110" s="101"/>
      <c r="E110" s="20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s="97" customFormat="1" hidden="1" x14ac:dyDescent="0.25">
      <c r="B111" s="100"/>
      <c r="C111" s="101"/>
      <c r="E111" s="20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s="97" customFormat="1" hidden="1" x14ac:dyDescent="0.25">
      <c r="B112" s="100"/>
      <c r="C112" s="101"/>
      <c r="E112" s="20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s="97" customFormat="1" hidden="1" x14ac:dyDescent="0.25">
      <c r="B113" s="100"/>
      <c r="C113" s="101"/>
      <c r="E113" s="20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s="97" customFormat="1" hidden="1" x14ac:dyDescent="0.25">
      <c r="B114" s="100"/>
      <c r="C114" s="101"/>
      <c r="E114" s="20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s="97" customFormat="1" hidden="1" x14ac:dyDescent="0.25">
      <c r="B115" s="100"/>
      <c r="C115" s="101"/>
      <c r="E115" s="20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s="97" customFormat="1" hidden="1" x14ac:dyDescent="0.25">
      <c r="B116" s="100"/>
      <c r="C116" s="101"/>
      <c r="E116" s="20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s="97" customFormat="1" hidden="1" x14ac:dyDescent="0.25">
      <c r="B117" s="100"/>
      <c r="C117" s="101"/>
      <c r="E117" s="20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s="97" customFormat="1" hidden="1" x14ac:dyDescent="0.25">
      <c r="B118" s="100"/>
      <c r="C118" s="101"/>
      <c r="E118" s="20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s="97" customFormat="1" hidden="1" x14ac:dyDescent="0.25">
      <c r="B119" s="100"/>
      <c r="C119" s="101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s="97" customFormat="1" hidden="1" x14ac:dyDescent="0.25">
      <c r="B120" s="100"/>
      <c r="C120" s="101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</row>
    <row r="121" spans="2:24" s="97" customFormat="1" hidden="1" x14ac:dyDescent="0.25">
      <c r="B121" s="100"/>
      <c r="C121" s="101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</row>
    <row r="122" spans="2:24" s="97" customFormat="1" x14ac:dyDescent="0.25">
      <c r="C122" s="101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</row>
    <row r="123" spans="2:24" s="97" customFormat="1" x14ac:dyDescent="0.25">
      <c r="C123" s="101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</row>
    <row r="124" spans="2:24" s="97" customFormat="1" x14ac:dyDescent="0.25">
      <c r="C124" s="101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</row>
    <row r="125" spans="2:24" s="97" customFormat="1" x14ac:dyDescent="0.25">
      <c r="C125" s="101"/>
    </row>
    <row r="126" spans="2:24" s="97" customFormat="1" x14ac:dyDescent="0.25">
      <c r="C126" s="101"/>
    </row>
    <row r="127" spans="2:24" s="97" customFormat="1" x14ac:dyDescent="0.25">
      <c r="C127" s="235"/>
      <c r="D127" s="235"/>
      <c r="E127" s="236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</row>
    <row r="128" spans="2:24" s="97" customFormat="1" x14ac:dyDescent="0.25">
      <c r="C128" s="235"/>
      <c r="D128" s="102"/>
      <c r="E128" s="102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102"/>
      <c r="V128" s="102"/>
      <c r="W128" s="102"/>
      <c r="X128" s="102"/>
    </row>
    <row r="129" spans="2:24" s="97" customFormat="1" x14ac:dyDescent="0.25">
      <c r="C129" s="10"/>
      <c r="D129" s="284"/>
      <c r="E129" s="284"/>
      <c r="F129" s="10"/>
      <c r="G129" s="10"/>
      <c r="H129" s="10"/>
      <c r="I129" s="10"/>
      <c r="J129" s="10"/>
      <c r="K129" s="10"/>
      <c r="L129" s="10"/>
      <c r="M129" s="1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</row>
    <row r="130" spans="2:24" s="97" customFormat="1" x14ac:dyDescent="0.25">
      <c r="C130" s="10"/>
      <c r="D130" s="10"/>
      <c r="E130" s="10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2:24" s="97" customFormat="1" x14ac:dyDescent="0.25">
      <c r="C131" s="235"/>
      <c r="E131" s="20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</row>
    <row r="132" spans="2:24" s="97" customFormat="1" x14ac:dyDescent="0.25">
      <c r="B132" s="100"/>
      <c r="C132" s="101"/>
      <c r="E132" s="20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</row>
    <row r="133" spans="2:24" s="97" customFormat="1" x14ac:dyDescent="0.25">
      <c r="B133" s="100"/>
      <c r="C133" s="101"/>
      <c r="E133" s="20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</row>
    <row r="134" spans="2:24" s="97" customFormat="1" x14ac:dyDescent="0.25">
      <c r="B134" s="100"/>
      <c r="C134" s="101"/>
      <c r="E134" s="20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</row>
    <row r="135" spans="2:24" s="97" customFormat="1" x14ac:dyDescent="0.25">
      <c r="B135" s="100"/>
      <c r="C135" s="101"/>
      <c r="E135" s="20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</row>
    <row r="136" spans="2:24" s="97" customFormat="1" x14ac:dyDescent="0.25">
      <c r="B136" s="100"/>
      <c r="C136" s="101"/>
      <c r="E136" s="20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</row>
    <row r="137" spans="2:24" s="97" customFormat="1" x14ac:dyDescent="0.25">
      <c r="B137" s="100"/>
      <c r="C137" s="101"/>
      <c r="E137" s="20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</row>
    <row r="138" spans="2:24" s="97" customFormat="1" x14ac:dyDescent="0.25">
      <c r="B138" s="100"/>
      <c r="C138" s="101"/>
      <c r="E138" s="20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</row>
    <row r="139" spans="2:24" s="97" customFormat="1" x14ac:dyDescent="0.25">
      <c r="B139" s="100"/>
      <c r="C139" s="101"/>
      <c r="E139" s="20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</row>
    <row r="140" spans="2:24" s="97" customFormat="1" x14ac:dyDescent="0.25">
      <c r="B140" s="100"/>
      <c r="C140" s="101"/>
      <c r="E140" s="20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</row>
    <row r="141" spans="2:24" s="97" customFormat="1" x14ac:dyDescent="0.25">
      <c r="B141" s="100"/>
      <c r="C141" s="101"/>
      <c r="E141" s="20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</row>
    <row r="142" spans="2:24" s="97" customFormat="1" x14ac:dyDescent="0.25">
      <c r="B142" s="100"/>
      <c r="C142" s="101"/>
      <c r="E142" s="20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</row>
    <row r="143" spans="2:24" s="97" customFormat="1" x14ac:dyDescent="0.25">
      <c r="B143" s="100"/>
      <c r="C143" s="101"/>
      <c r="E143" s="20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</row>
    <row r="144" spans="2:24" s="97" customFormat="1" x14ac:dyDescent="0.25">
      <c r="B144" s="100"/>
      <c r="C144" s="101"/>
      <c r="E144" s="20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</row>
    <row r="145" spans="1:24" s="97" customFormat="1" x14ac:dyDescent="0.25">
      <c r="B145" s="100"/>
      <c r="C145" s="101"/>
      <c r="E145" s="20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</row>
    <row r="146" spans="1:24" s="97" customFormat="1" x14ac:dyDescent="0.25">
      <c r="B146" s="100"/>
      <c r="C146" s="101"/>
      <c r="E146" s="20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</row>
    <row r="147" spans="1:24" s="97" customFormat="1" x14ac:dyDescent="0.25">
      <c r="B147" s="100"/>
      <c r="C147" s="101"/>
      <c r="E147" s="20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</row>
    <row r="148" spans="1:24" s="97" customFormat="1" x14ac:dyDescent="0.25">
      <c r="B148" s="100"/>
      <c r="C148" s="101"/>
      <c r="E148" s="20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</row>
    <row r="149" spans="1:24" s="97" customFormat="1" x14ac:dyDescent="0.25">
      <c r="B149" s="100"/>
      <c r="C149" s="101"/>
      <c r="E149" s="20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</row>
    <row r="150" spans="1:24" s="97" customFormat="1" x14ac:dyDescent="0.25">
      <c r="B150" s="100"/>
      <c r="C150" s="101"/>
      <c r="E150" s="20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</row>
    <row r="151" spans="1:24" s="97" customFormat="1" x14ac:dyDescent="0.25">
      <c r="B151" s="100"/>
      <c r="C151" s="101"/>
      <c r="D151" s="18"/>
      <c r="E151" s="88"/>
      <c r="F151"/>
      <c r="G151"/>
      <c r="H151"/>
      <c r="I151"/>
      <c r="J151"/>
      <c r="K151"/>
      <c r="L151"/>
      <c r="M151"/>
      <c r="N151"/>
      <c r="O151" s="99"/>
      <c r="P151" s="99"/>
      <c r="Q151" s="99"/>
      <c r="R151" s="99"/>
      <c r="S151" s="99"/>
      <c r="T151" s="99"/>
      <c r="U151" s="99"/>
      <c r="V151" s="99"/>
      <c r="W151" s="99"/>
      <c r="X151" s="99"/>
    </row>
    <row r="152" spans="1:24" s="97" customFormat="1" x14ac:dyDescent="0.25">
      <c r="B152" s="100"/>
      <c r="C152" s="1"/>
      <c r="D152" s="20" t="s">
        <v>107</v>
      </c>
      <c r="E152"/>
      <c r="F152"/>
      <c r="G152"/>
      <c r="H152"/>
      <c r="I152"/>
      <c r="J152"/>
      <c r="K152"/>
      <c r="L152"/>
      <c r="M152"/>
      <c r="N152"/>
      <c r="O152" s="99"/>
      <c r="P152" s="99"/>
      <c r="Q152" s="99"/>
      <c r="R152" s="99"/>
      <c r="S152" s="99"/>
      <c r="T152" s="99"/>
      <c r="U152" s="99"/>
      <c r="V152" s="99"/>
      <c r="W152" s="99"/>
      <c r="X152" s="99"/>
    </row>
    <row r="153" spans="1:24" s="97" customFormat="1" ht="16.2" x14ac:dyDescent="0.25">
      <c r="B153" s="100"/>
      <c r="C153"/>
      <c r="D153" s="76">
        <v>1</v>
      </c>
      <c r="E153" s="21" t="str">
        <f>'CCW-1, pg 11'!E175</f>
        <v>Data for years 2019 and prior were retrieved from the Value Line Investment Survey Investment Analyzer Software, downloaded on June 18, 2021.</v>
      </c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s="97" customFormat="1" ht="16.2" x14ac:dyDescent="0.25">
      <c r="B154" s="100"/>
      <c r="C154"/>
      <c r="D154" s="76"/>
      <c r="E154" s="21" t="str">
        <f>'CCW-1, pg 11'!E176</f>
        <v>Data for the years 2020 - 2022 was retrieved from Value Line Investment Surveys.</v>
      </c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ht="16.2" x14ac:dyDescent="0.25">
      <c r="A155" s="31"/>
      <c r="B155" s="31"/>
      <c r="D155" s="76">
        <v>2</v>
      </c>
      <c r="E155" s="21" t="str">
        <f>"The Value Line Investment Survey, "&amp;'2023 Data (WP)'!$D$2</f>
        <v>The Value Line Investment Survey, February 23, 2024.</v>
      </c>
    </row>
    <row r="156" spans="1:24" ht="16.2" x14ac:dyDescent="0.25">
      <c r="A156" s="31"/>
      <c r="B156" s="31"/>
      <c r="D156" s="76">
        <v>3</v>
      </c>
      <c r="E156" s="22" t="s">
        <v>406</v>
      </c>
    </row>
    <row r="157" spans="1:24" ht="16.2" x14ac:dyDescent="0.25">
      <c r="A157" s="31"/>
      <c r="B157" s="31"/>
      <c r="D157" s="76">
        <v>4</v>
      </c>
      <c r="E157" t="str">
        <f>"www.moodys.com, Bond Yields and Key Indicators, through "&amp;'Annual Yields (WP)'!$E$1&amp;"."</f>
        <v>www.moodys.com, Bond Yields and Key Indicators, through December 31, 2023.</v>
      </c>
    </row>
    <row r="158" spans="1:24" x14ac:dyDescent="0.25">
      <c r="A158" s="31"/>
      <c r="B158" s="31"/>
      <c r="D158" s="20" t="s">
        <v>328</v>
      </c>
    </row>
    <row r="159" spans="1:24" ht="16.2" x14ac:dyDescent="0.25">
      <c r="A159" s="31"/>
      <c r="B159" s="31"/>
      <c r="D159" s="76" t="s">
        <v>354</v>
      </c>
      <c r="E159" s="21" t="s">
        <v>527</v>
      </c>
    </row>
    <row r="160" spans="1:24" ht="16.2" x14ac:dyDescent="0.25">
      <c r="D160" s="76" t="s">
        <v>355</v>
      </c>
      <c r="E160" t="s">
        <v>505</v>
      </c>
    </row>
    <row r="161" spans="4:5" ht="16.2" x14ac:dyDescent="0.25">
      <c r="D161" s="76" t="s">
        <v>356</v>
      </c>
      <c r="E161" t="s">
        <v>506</v>
      </c>
    </row>
    <row r="162" spans="4:5" ht="16.2" x14ac:dyDescent="0.25">
      <c r="D162" s="76" t="s">
        <v>454</v>
      </c>
      <c r="E162" t="s">
        <v>507</v>
      </c>
    </row>
    <row r="163" spans="4:5" ht="16.2" x14ac:dyDescent="0.25">
      <c r="D163" s="76" t="s">
        <v>455</v>
      </c>
      <c r="E163" t="s">
        <v>508</v>
      </c>
    </row>
    <row r="164" spans="4:5" ht="16.2" x14ac:dyDescent="0.25">
      <c r="D164" s="76" t="s">
        <v>458</v>
      </c>
      <c r="E164" t="s">
        <v>509</v>
      </c>
    </row>
    <row r="165" spans="4:5" ht="16.2" x14ac:dyDescent="0.25">
      <c r="D165" s="76" t="s">
        <v>459</v>
      </c>
      <c r="E165" t="s">
        <v>510</v>
      </c>
    </row>
  </sheetData>
  <mergeCells count="10">
    <mergeCell ref="D72:E72"/>
    <mergeCell ref="D76:E76"/>
    <mergeCell ref="F127:X127"/>
    <mergeCell ref="D129:E129"/>
    <mergeCell ref="C1:X1"/>
    <mergeCell ref="C4:X4"/>
    <mergeCell ref="C5:X5"/>
    <mergeCell ref="F8:X8"/>
    <mergeCell ref="D10:E10"/>
    <mergeCell ref="D68:E68"/>
  </mergeCells>
  <printOptions horizontalCentered="1"/>
  <pageMargins left="0.7" right="0.7" top="1.25" bottom="0.75" header="0.55000000000000004" footer="0.51"/>
  <pageSetup scale="39" firstPageNumber="12" orientation="portrait" useFirstPageNumber="1" r:id="rId1"/>
  <headerFooter>
    <oddHeader>&amp;R&amp;"Arial,Bold"&amp;20Docket Nos. 20240026-EI, 20230139-EI, and 20230090-EI
Valuation Metrics
Exhibit CCW-1, Page &amp;P of 16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BI70"/>
  <sheetViews>
    <sheetView view="pageLayout" topLeftCell="G1" zoomScale="80" zoomScaleNormal="70" zoomScalePageLayoutView="80" workbookViewId="0">
      <selection activeCell="W2" sqref="W2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9765625" customWidth="1"/>
    <col min="6" max="10" width="9" customWidth="1"/>
    <col min="11" max="11" width="9.69921875" bestFit="1" customWidth="1"/>
    <col min="12" max="30" width="9" customWidth="1"/>
    <col min="31" max="31" width="9.69921875" bestFit="1" customWidth="1"/>
    <col min="32" max="32" width="9.8984375" bestFit="1" customWidth="1"/>
    <col min="33" max="33" width="8.59765625" bestFit="1" customWidth="1"/>
    <col min="34" max="40" width="9" customWidth="1"/>
    <col min="41" max="45" width="9" style="272" customWidth="1"/>
    <col min="46" max="62" width="9" customWidth="1"/>
  </cols>
  <sheetData>
    <row r="1" spans="1:61" ht="28.2" x14ac:dyDescent="0.5">
      <c r="C1" s="277" t="str">
        <f>'CCW-1, pgs 1-3'!C1:AB1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21"/>
      <c r="AB1" s="221"/>
    </row>
    <row r="2" spans="1:61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61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61" ht="21" x14ac:dyDescent="0.4">
      <c r="C4" s="278" t="s">
        <v>520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22"/>
      <c r="AB4" s="222"/>
    </row>
    <row r="5" spans="1:61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23"/>
      <c r="AB5" s="223"/>
    </row>
    <row r="6" spans="1:61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61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61" ht="16.2" x14ac:dyDescent="0.25">
      <c r="C8" s="6"/>
      <c r="D8" s="7"/>
      <c r="E8" s="7"/>
      <c r="F8" s="280" t="s">
        <v>376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24"/>
      <c r="AB8" s="224"/>
    </row>
    <row r="9" spans="1:61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109">
        <v>2017</v>
      </c>
      <c r="L9" s="109">
        <v>2017</v>
      </c>
      <c r="M9" s="109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183">
        <v>2018</v>
      </c>
      <c r="Z9" s="183">
        <v>2017</v>
      </c>
      <c r="AA9" s="183">
        <v>2017</v>
      </c>
      <c r="AB9" s="183"/>
      <c r="AC9" s="183"/>
      <c r="AD9" s="183" t="s">
        <v>511</v>
      </c>
      <c r="AE9" s="183" t="s">
        <v>512</v>
      </c>
      <c r="AF9" s="7"/>
      <c r="AG9" s="183" t="s">
        <v>513</v>
      </c>
      <c r="AH9" s="183" t="s">
        <v>514</v>
      </c>
      <c r="AI9" s="183" t="s">
        <v>515</v>
      </c>
      <c r="AJ9" s="183"/>
      <c r="AK9" s="183"/>
      <c r="AL9" s="183"/>
      <c r="AM9" s="183"/>
      <c r="AN9" s="183"/>
      <c r="AO9" s="183"/>
      <c r="AP9" s="183"/>
      <c r="AQ9" s="183"/>
      <c r="AR9" s="183"/>
      <c r="AS9" s="183"/>
    </row>
    <row r="10" spans="1:61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558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 t="s">
        <v>443</v>
      </c>
      <c r="Z10" s="40" t="s">
        <v>443</v>
      </c>
      <c r="AA10" s="40" t="s">
        <v>445</v>
      </c>
      <c r="AB10" s="40" t="s">
        <v>445</v>
      </c>
      <c r="AC10" s="40"/>
      <c r="AD10" s="40" t="s">
        <v>516</v>
      </c>
      <c r="AE10" s="40" t="s">
        <v>517</v>
      </c>
      <c r="AF10" s="185" t="s">
        <v>518</v>
      </c>
      <c r="AG10" s="40" t="s">
        <v>516</v>
      </c>
      <c r="AH10" s="40" t="s">
        <v>519</v>
      </c>
      <c r="AI10" s="40" t="s">
        <v>516</v>
      </c>
      <c r="AJ10" s="40"/>
      <c r="AK10" s="40"/>
      <c r="AL10" s="40"/>
      <c r="AM10" s="40"/>
      <c r="AN10" s="40"/>
      <c r="AO10" s="40"/>
      <c r="AP10" s="40"/>
      <c r="AQ10" s="40"/>
      <c r="AR10" s="40"/>
      <c r="AS10" s="40"/>
    </row>
    <row r="11" spans="1:61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W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>+W11-1</f>
        <v>-19</v>
      </c>
      <c r="Y11" s="12">
        <f>+X11-1</f>
        <v>-20</v>
      </c>
      <c r="Z11" s="12">
        <f>+Y11-1</f>
        <v>-21</v>
      </c>
      <c r="AA11" s="12"/>
      <c r="AB11" s="12"/>
      <c r="AC11" s="12"/>
      <c r="AD11" s="12"/>
      <c r="AE11" s="12"/>
      <c r="AF11" s="12"/>
    </row>
    <row r="12" spans="1:61" x14ac:dyDescent="0.25">
      <c r="A12" s="42"/>
      <c r="B12" s="43"/>
      <c r="C12" s="9"/>
      <c r="D12" s="14" t="s">
        <v>101</v>
      </c>
      <c r="E12" s="11"/>
      <c r="F12" s="237"/>
      <c r="G12" s="237"/>
      <c r="H12" s="237"/>
      <c r="I12" s="237"/>
      <c r="J12" s="126">
        <f t="shared" ref="J12:X12" ca="1" si="1">MATCH(J10,OFFSET(Dividends,-2,0,1,),0)</f>
        <v>2</v>
      </c>
      <c r="K12" s="126">
        <f t="shared" ca="1" si="1"/>
        <v>3</v>
      </c>
      <c r="L12" s="126">
        <f t="shared" ca="1" si="1"/>
        <v>4</v>
      </c>
      <c r="M12" s="126">
        <f t="shared" ca="1" si="1"/>
        <v>5</v>
      </c>
      <c r="N12" s="126">
        <f t="shared" ca="1" si="1"/>
        <v>6</v>
      </c>
      <c r="O12" s="126">
        <f t="shared" ca="1" si="1"/>
        <v>7</v>
      </c>
      <c r="P12" s="126">
        <f t="shared" ca="1" si="1"/>
        <v>8</v>
      </c>
      <c r="Q12" s="126">
        <f t="shared" ca="1" si="1"/>
        <v>9</v>
      </c>
      <c r="R12" s="126">
        <f t="shared" ca="1" si="1"/>
        <v>10</v>
      </c>
      <c r="S12" s="126">
        <f t="shared" ca="1" si="1"/>
        <v>11</v>
      </c>
      <c r="T12" s="126">
        <f t="shared" ca="1" si="1"/>
        <v>12</v>
      </c>
      <c r="U12" s="126">
        <f t="shared" ca="1" si="1"/>
        <v>13</v>
      </c>
      <c r="V12" s="126">
        <f t="shared" ca="1" si="1"/>
        <v>14</v>
      </c>
      <c r="W12" s="126">
        <f t="shared" ca="1" si="1"/>
        <v>15</v>
      </c>
      <c r="X12" s="126">
        <f t="shared" ca="1" si="1"/>
        <v>16</v>
      </c>
      <c r="Y12" s="16"/>
      <c r="Z12" s="16"/>
      <c r="AA12" s="16"/>
      <c r="AB12" s="16"/>
      <c r="AC12" s="16"/>
      <c r="AD12" s="16"/>
      <c r="AE12" s="16"/>
      <c r="AF12" s="16"/>
      <c r="AO12" s="272">
        <v>2023</v>
      </c>
      <c r="AP12" s="272">
        <v>2022</v>
      </c>
      <c r="AQ12" s="272">
        <v>2021</v>
      </c>
      <c r="AR12" s="272">
        <v>2020</v>
      </c>
      <c r="AS12" s="272">
        <v>2019</v>
      </c>
      <c r="AT12">
        <v>2018</v>
      </c>
      <c r="AU12">
        <v>2017</v>
      </c>
      <c r="AV12">
        <v>2016</v>
      </c>
      <c r="AW12">
        <v>2015</v>
      </c>
      <c r="AX12">
        <v>2014</v>
      </c>
      <c r="AY12">
        <v>2013</v>
      </c>
      <c r="AZ12">
        <v>2012</v>
      </c>
      <c r="BA12">
        <v>2011</v>
      </c>
      <c r="BB12">
        <v>2010</v>
      </c>
      <c r="BC12">
        <v>2009</v>
      </c>
      <c r="BD12">
        <v>2008</v>
      </c>
      <c r="BE12">
        <v>2007</v>
      </c>
      <c r="BF12">
        <v>2006</v>
      </c>
    </row>
    <row r="13" spans="1:61" x14ac:dyDescent="0.25">
      <c r="A13" s="44" t="s">
        <v>175</v>
      </c>
      <c r="B13" s="110">
        <f t="shared" ref="B13:B57" ca="1" si="2">IFERROR(MATCH(A13,OFFSET(Dividends,0,0,,1),0),"")</f>
        <v>12</v>
      </c>
      <c r="C13" s="1">
        <f ca="1">IF(ISERROR(D13),"",IF(D13="","",MAX($C$12:C12)+1))</f>
        <v>1</v>
      </c>
      <c r="D13" t="str">
        <f t="shared" ref="D13:D57" ca="1" si="3">VLOOKUP(A13,LUCurYr,2,FALSE)</f>
        <v>Atmos Energy</v>
      </c>
      <c r="E13" s="15"/>
      <c r="F13" s="125">
        <f ca="1">IFERROR(AVERAGE(G13:X13),"N/A")</f>
        <v>1.76</v>
      </c>
      <c r="G13" s="125">
        <f t="shared" ref="G13:G22" si="4">IFERROR(IF(VLOOKUP($A13,Data2023,10,FALSE)=0,"",VLOOKUP($A13,Data2023,10,FALSE)),"N/A")</f>
        <v>2.96</v>
      </c>
      <c r="H13" s="125">
        <f t="shared" ref="H13:H22" si="5">IFERROR(IF(VLOOKUP($A13,Data2022,9,FALSE)=0,"",VLOOKUP($A13,Data2022,9,FALSE)),"N/A")</f>
        <v>2.72</v>
      </c>
      <c r="I13" s="125">
        <f t="shared" ref="I13:I18" si="6">IFERROR(IF(VLOOKUP($A13,lucyyr,9,FALSE)=0,"",VLOOKUP($A13,lucyyr,9,FALSE)),"N/A")</f>
        <v>2.5</v>
      </c>
      <c r="J13" s="125">
        <f t="shared" ref="J13:X28" ca="1" si="7">IFERROR(IF(INDEX(Dividends,$B13,J$12)=0,"N/A",INDEX(Dividends,$B13,J$12)),"N/A")</f>
        <v>2.2999999999999998</v>
      </c>
      <c r="K13" s="125">
        <f t="shared" ca="1" si="7"/>
        <v>2.1</v>
      </c>
      <c r="L13" s="125">
        <f t="shared" ca="1" si="7"/>
        <v>1.94</v>
      </c>
      <c r="M13" s="125">
        <f t="shared" ca="1" si="7"/>
        <v>1.8</v>
      </c>
      <c r="N13" s="125">
        <f t="shared" ca="1" si="7"/>
        <v>1.68</v>
      </c>
      <c r="O13" s="125">
        <f t="shared" ca="1" si="7"/>
        <v>1.56</v>
      </c>
      <c r="P13" s="125">
        <f t="shared" ca="1" si="7"/>
        <v>1.48</v>
      </c>
      <c r="Q13" s="125">
        <f t="shared" ca="1" si="7"/>
        <v>1.4</v>
      </c>
      <c r="R13" s="125">
        <f t="shared" ca="1" si="7"/>
        <v>1.38</v>
      </c>
      <c r="S13" s="125">
        <f t="shared" ca="1" si="7"/>
        <v>1.36</v>
      </c>
      <c r="T13" s="125">
        <f t="shared" ca="1" si="7"/>
        <v>1.34</v>
      </c>
      <c r="U13" s="125">
        <f t="shared" ca="1" si="7"/>
        <v>1.32</v>
      </c>
      <c r="V13" s="125">
        <f t="shared" ca="1" si="7"/>
        <v>1.3</v>
      </c>
      <c r="W13" s="125">
        <f t="shared" ca="1" si="7"/>
        <v>1.28</v>
      </c>
      <c r="X13" s="125">
        <f t="shared" ca="1" si="7"/>
        <v>1.26</v>
      </c>
      <c r="Y13" s="77">
        <f t="shared" ref="Y13:Y57" ca="1" si="8">IFERROR(IF(L13&gt;0,((L13/VLOOKUP(A13,$A$13:$X$53,BH13,0))^(1/(AI13)))-1,"N/A"),"N/A")</f>
        <v>2.1642499649457525E-2</v>
      </c>
      <c r="Z13" s="77">
        <f t="shared" ref="Z13:Z57" ca="1" si="9">IFERROR(IF(M13&gt;0,((M13/VLOOKUP(A13,$A$13:$X$53,BH13,0))^(1/(AD13)))-1,"N/A"),"N/A")</f>
        <v>2.2542511383931929E-2</v>
      </c>
      <c r="AA13" s="125">
        <f ca="1">+X13*(1+Z13)^16</f>
        <v>1.7999999999999983</v>
      </c>
      <c r="AB13" s="77" t="b">
        <f ca="1">ROUND(AA13,10)=ROUND(M13,10)</f>
        <v>1</v>
      </c>
      <c r="AC13" s="77"/>
      <c r="AD13" s="184">
        <f t="shared" ref="AD13:AD18" ca="1" si="10">BG13-2</f>
        <v>16</v>
      </c>
      <c r="AE13" s="181">
        <f t="shared" ref="AE13:AE57" si="11">IFERROR(IF(VLOOKUP(A13,lucyyr,16,FALSE)=0,"",VLOOKUP(A13,lucyyr,16,FALSE)),"N/A")</f>
        <v>44617</v>
      </c>
      <c r="AF13" s="190">
        <v>43100</v>
      </c>
      <c r="AG13" s="186">
        <f t="shared" ref="AG13:AG57" si="12">AE13-AF13</f>
        <v>1517</v>
      </c>
      <c r="AH13" s="187">
        <f>AG13/365</f>
        <v>4.1561643835616442</v>
      </c>
      <c r="AI13" s="187">
        <f t="shared" ref="AI13:AI57" ca="1" si="13">AD13+AH13</f>
        <v>20.156164383561645</v>
      </c>
      <c r="AJ13" s="188">
        <f ca="1">(L13/X13)^(1/AI13)-1</f>
        <v>2.1642499649457525E-2</v>
      </c>
      <c r="AK13" s="188"/>
      <c r="AL13" s="188"/>
      <c r="AM13" s="188"/>
      <c r="AN13" s="188"/>
      <c r="AO13" s="272" t="b">
        <f t="shared" ref="AO13:AS22" si="14">ISNUMBER(G13)</f>
        <v>1</v>
      </c>
      <c r="AP13" s="272" t="b">
        <f t="shared" si="14"/>
        <v>1</v>
      </c>
      <c r="AQ13" s="272" t="b">
        <f t="shared" si="14"/>
        <v>1</v>
      </c>
      <c r="AR13" s="272" t="b">
        <f t="shared" ca="1" si="14"/>
        <v>1</v>
      </c>
      <c r="AS13" s="272" t="b">
        <f t="shared" ca="1" si="14"/>
        <v>1</v>
      </c>
      <c r="AT13" t="b">
        <f t="shared" ref="AT13:AT53" ca="1" si="15">ISNUMBER(L13)</f>
        <v>1</v>
      </c>
      <c r="AU13" t="b">
        <f t="shared" ref="AU13:AU53" ca="1" si="16">ISNUMBER(M13)</f>
        <v>1</v>
      </c>
      <c r="AV13" t="b">
        <f t="shared" ref="AV13:AV53" ca="1" si="17">ISNUMBER(N13)</f>
        <v>1</v>
      </c>
      <c r="AW13" t="b">
        <f t="shared" ref="AW13:AW53" ca="1" si="18">ISNUMBER(O13)</f>
        <v>1</v>
      </c>
      <c r="AX13" t="b">
        <f t="shared" ref="AX13:AX53" ca="1" si="19">ISNUMBER(P13)</f>
        <v>1</v>
      </c>
      <c r="AY13" t="b">
        <f t="shared" ref="AY13:AY53" ca="1" si="20">ISNUMBER(Q13)</f>
        <v>1</v>
      </c>
      <c r="AZ13" t="b">
        <f t="shared" ref="AZ13:AZ53" ca="1" si="21">ISNUMBER(R13)</f>
        <v>1</v>
      </c>
      <c r="BA13" t="b">
        <f t="shared" ref="BA13:BA53" ca="1" si="22">ISNUMBER(S13)</f>
        <v>1</v>
      </c>
      <c r="BB13" t="b">
        <f t="shared" ref="BB13:BB53" ca="1" si="23">ISNUMBER(T13)</f>
        <v>1</v>
      </c>
      <c r="BC13" t="b">
        <f t="shared" ref="BC13:BC53" ca="1" si="24">ISNUMBER(U13)</f>
        <v>1</v>
      </c>
      <c r="BD13" t="b">
        <f t="shared" ref="BD13:BD53" ca="1" si="25">ISNUMBER(V13)</f>
        <v>1</v>
      </c>
      <c r="BE13" t="b">
        <f t="shared" ref="BE13:BE53" ca="1" si="26">ISNUMBER(W13)</f>
        <v>1</v>
      </c>
      <c r="BF13" t="b">
        <f t="shared" ref="BF13:BF53" ca="1" si="27">ISNUMBER(X13)</f>
        <v>1</v>
      </c>
      <c r="BG13">
        <f ca="1">IF(AO13=FALSE,COUNTIF(AO13:BF13,TRUE)+1,COUNTIF(AO13:BF13,TRUE))</f>
        <v>18</v>
      </c>
      <c r="BH13">
        <f ca="1">BG13+6</f>
        <v>24</v>
      </c>
      <c r="BI13">
        <f>2018.33-2006</f>
        <v>12.329999999999927</v>
      </c>
    </row>
    <row r="14" spans="1:61" x14ac:dyDescent="0.25">
      <c r="A14" s="44" t="s">
        <v>178</v>
      </c>
      <c r="B14" s="110">
        <f t="shared" ca="1" si="2"/>
        <v>18</v>
      </c>
      <c r="C14" s="1">
        <f ca="1">IF(ISERROR(D14),"",IF(D14="","",MAX($C$12:C13)+1))</f>
        <v>2</v>
      </c>
      <c r="D14" t="str">
        <f t="shared" ca="1" si="3"/>
        <v>Chesapeake Utilities</v>
      </c>
      <c r="E14" s="15"/>
      <c r="F14" s="125">
        <f t="shared" ref="F14:F57" ca="1" si="28">IFERROR(AVERAGE(G14:X14),"N/A")</f>
        <v>1.2407222222222221</v>
      </c>
      <c r="G14" s="125">
        <f t="shared" si="4"/>
        <v>2.25</v>
      </c>
      <c r="H14" s="125">
        <f t="shared" si="5"/>
        <v>2.0299999999999998</v>
      </c>
      <c r="I14" s="125">
        <f t="shared" si="6"/>
        <v>1.84</v>
      </c>
      <c r="J14" s="125">
        <f t="shared" ca="1" si="7"/>
        <v>1.69</v>
      </c>
      <c r="K14" s="125">
        <f t="shared" ca="1" si="7"/>
        <v>1.55</v>
      </c>
      <c r="L14" s="125">
        <f t="shared" ca="1" si="7"/>
        <v>1.39</v>
      </c>
      <c r="M14" s="125">
        <f t="shared" ca="1" si="7"/>
        <v>1.26</v>
      </c>
      <c r="N14" s="125">
        <f t="shared" ca="1" si="7"/>
        <v>1.19</v>
      </c>
      <c r="O14" s="125">
        <f t="shared" ca="1" si="7"/>
        <v>1.1200000000000001</v>
      </c>
      <c r="P14" s="125">
        <f t="shared" ca="1" si="7"/>
        <v>1.0669999999999999</v>
      </c>
      <c r="Q14" s="125">
        <f t="shared" ca="1" si="7"/>
        <v>1.0129999999999999</v>
      </c>
      <c r="R14" s="125">
        <f t="shared" ca="1" si="7"/>
        <v>0.96</v>
      </c>
      <c r="S14" s="125">
        <f t="shared" ca="1" si="7"/>
        <v>0.91</v>
      </c>
      <c r="T14" s="125">
        <f t="shared" ca="1" si="7"/>
        <v>0.87</v>
      </c>
      <c r="U14" s="125">
        <f t="shared" ca="1" si="7"/>
        <v>0.83299999999999996</v>
      </c>
      <c r="V14" s="125">
        <f t="shared" ca="1" si="7"/>
        <v>0.80700000000000005</v>
      </c>
      <c r="W14" s="125">
        <f t="shared" ca="1" si="7"/>
        <v>0.78300000000000003</v>
      </c>
      <c r="X14" s="125">
        <f t="shared" ca="1" si="7"/>
        <v>0.77</v>
      </c>
      <c r="Y14" s="77">
        <f t="shared" ca="1" si="8"/>
        <v>2.9738213983199202E-2</v>
      </c>
      <c r="Z14" s="77">
        <f t="shared" ca="1" si="9"/>
        <v>3.1258375487490442E-2</v>
      </c>
      <c r="AA14" s="125">
        <f t="shared" ref="AA14:AA17" ca="1" si="29">+X14*(1+Z14)^16</f>
        <v>1.2600000000000009</v>
      </c>
      <c r="AB14" s="77" t="b">
        <f t="shared" ref="AB14:AB57" ca="1" si="30">ROUND(AA14,10)=ROUND(M14,10)</f>
        <v>1</v>
      </c>
      <c r="AC14" s="77"/>
      <c r="AD14" s="184">
        <f t="shared" ca="1" si="10"/>
        <v>16</v>
      </c>
      <c r="AE14" s="181">
        <f t="shared" si="11"/>
        <v>44617</v>
      </c>
      <c r="AF14" s="190">
        <v>43100</v>
      </c>
      <c r="AG14" s="186">
        <f t="shared" si="12"/>
        <v>1517</v>
      </c>
      <c r="AH14" s="187">
        <f t="shared" ref="AH14:AH57" si="31">AG14/365</f>
        <v>4.1561643835616442</v>
      </c>
      <c r="AI14" s="187">
        <f t="shared" ca="1" si="13"/>
        <v>20.156164383561645</v>
      </c>
      <c r="AJ14" s="188">
        <f t="shared" ref="AJ14:AJ57" ca="1" si="32">(L14/X14)^(1/AI14)-1</f>
        <v>2.9738213983199202E-2</v>
      </c>
      <c r="AO14" s="272" t="b">
        <f t="shared" si="14"/>
        <v>1</v>
      </c>
      <c r="AP14" s="272" t="b">
        <f t="shared" si="14"/>
        <v>1</v>
      </c>
      <c r="AQ14" s="272" t="b">
        <f t="shared" si="14"/>
        <v>1</v>
      </c>
      <c r="AR14" s="272" t="b">
        <f t="shared" ca="1" si="14"/>
        <v>1</v>
      </c>
      <c r="AS14" s="272" t="b">
        <f t="shared" ca="1" si="14"/>
        <v>1</v>
      </c>
      <c r="AT14" t="b">
        <f t="shared" ca="1" si="15"/>
        <v>1</v>
      </c>
      <c r="AU14" t="b">
        <f t="shared" ca="1" si="16"/>
        <v>1</v>
      </c>
      <c r="AV14" t="b">
        <f t="shared" ca="1" si="17"/>
        <v>1</v>
      </c>
      <c r="AW14" t="b">
        <f t="shared" ca="1" si="18"/>
        <v>1</v>
      </c>
      <c r="AX14" t="b">
        <f t="shared" ca="1" si="19"/>
        <v>1</v>
      </c>
      <c r="AY14" t="b">
        <f t="shared" ca="1" si="20"/>
        <v>1</v>
      </c>
      <c r="AZ14" t="b">
        <f t="shared" ca="1" si="21"/>
        <v>1</v>
      </c>
      <c r="BA14" t="b">
        <f t="shared" ca="1" si="22"/>
        <v>1</v>
      </c>
      <c r="BB14" t="b">
        <f t="shared" ca="1" si="23"/>
        <v>1</v>
      </c>
      <c r="BC14" t="b">
        <f t="shared" ca="1" si="24"/>
        <v>1</v>
      </c>
      <c r="BD14" t="b">
        <f t="shared" ca="1" si="25"/>
        <v>1</v>
      </c>
      <c r="BE14" t="b">
        <f t="shared" ca="1" si="26"/>
        <v>1</v>
      </c>
      <c r="BF14" t="b">
        <f t="shared" ca="1" si="27"/>
        <v>1</v>
      </c>
      <c r="BG14" s="272">
        <f t="shared" ref="BG14:BG18" ca="1" si="33">IF(AO14=FALSE,COUNTIF(AO14:BF14,TRUE)+1,COUNTIF(AO14:BF14,TRUE))</f>
        <v>18</v>
      </c>
      <c r="BH14" s="272">
        <f t="shared" ref="BH14:BH22" ca="1" si="34">BG14+6</f>
        <v>24</v>
      </c>
    </row>
    <row r="15" spans="1:61" x14ac:dyDescent="0.25">
      <c r="A15" s="44" t="s">
        <v>190</v>
      </c>
      <c r="B15" s="110">
        <f t="shared" ca="1" si="2"/>
        <v>40</v>
      </c>
      <c r="C15" s="1">
        <f ca="1">IF(ISERROR(D15),"",IF(D15="","",MAX($C$12:C14)+1))</f>
        <v>3</v>
      </c>
      <c r="D15" t="str">
        <f t="shared" ca="1" si="3"/>
        <v>New Jersey Resources</v>
      </c>
      <c r="E15" s="15"/>
      <c r="F15" s="125">
        <f t="shared" ca="1" si="28"/>
        <v>0.93827777777777777</v>
      </c>
      <c r="G15" s="125">
        <f t="shared" si="4"/>
        <v>1.56</v>
      </c>
      <c r="H15" s="125">
        <f t="shared" si="5"/>
        <v>1.45</v>
      </c>
      <c r="I15" s="125">
        <f t="shared" si="6"/>
        <v>1.36</v>
      </c>
      <c r="J15" s="125">
        <f t="shared" ca="1" si="7"/>
        <v>1.27</v>
      </c>
      <c r="K15" s="125">
        <f t="shared" ca="1" si="7"/>
        <v>1.19</v>
      </c>
      <c r="L15" s="125">
        <f t="shared" ca="1" si="7"/>
        <v>1.1120000000000001</v>
      </c>
      <c r="M15" s="125">
        <f t="shared" ca="1" si="7"/>
        <v>1.04</v>
      </c>
      <c r="N15" s="125">
        <f t="shared" ca="1" si="7"/>
        <v>0.98</v>
      </c>
      <c r="O15" s="125">
        <f t="shared" ca="1" si="7"/>
        <v>0.93</v>
      </c>
      <c r="P15" s="125">
        <f t="shared" ca="1" si="7"/>
        <v>0.85499999999999998</v>
      </c>
      <c r="Q15" s="125">
        <f t="shared" ca="1" si="7"/>
        <v>0.81</v>
      </c>
      <c r="R15" s="125">
        <f t="shared" ca="1" si="7"/>
        <v>0.77</v>
      </c>
      <c r="S15" s="125">
        <f t="shared" ca="1" si="7"/>
        <v>0.72</v>
      </c>
      <c r="T15" s="125">
        <f t="shared" ca="1" si="7"/>
        <v>0.68</v>
      </c>
      <c r="U15" s="125">
        <f t="shared" ca="1" si="7"/>
        <v>0.62</v>
      </c>
      <c r="V15" s="125">
        <f t="shared" ca="1" si="7"/>
        <v>0.55500000000000005</v>
      </c>
      <c r="W15" s="125">
        <f t="shared" ca="1" si="7"/>
        <v>0.50700000000000001</v>
      </c>
      <c r="X15" s="125">
        <f t="shared" ca="1" si="7"/>
        <v>0.48</v>
      </c>
      <c r="Y15" s="77">
        <f t="shared" ca="1" si="8"/>
        <v>4.25618631196234E-2</v>
      </c>
      <c r="Z15" s="77">
        <f t="shared" ca="1" si="9"/>
        <v>4.9511027926915308E-2</v>
      </c>
      <c r="AA15" s="125">
        <f t="shared" ca="1" si="29"/>
        <v>1.0400000000000014</v>
      </c>
      <c r="AB15" s="77" t="b">
        <f t="shared" ca="1" si="30"/>
        <v>1</v>
      </c>
      <c r="AC15" s="77"/>
      <c r="AD15" s="184">
        <f t="shared" ca="1" si="10"/>
        <v>16</v>
      </c>
      <c r="AE15" s="181">
        <f t="shared" si="11"/>
        <v>44617</v>
      </c>
      <c r="AF15" s="190">
        <v>43100</v>
      </c>
      <c r="AG15" s="186">
        <f t="shared" si="12"/>
        <v>1517</v>
      </c>
      <c r="AH15" s="187">
        <f t="shared" si="31"/>
        <v>4.1561643835616442</v>
      </c>
      <c r="AI15" s="187">
        <f t="shared" ca="1" si="13"/>
        <v>20.156164383561645</v>
      </c>
      <c r="AJ15" s="188">
        <f t="shared" ca="1" si="32"/>
        <v>4.25618631196234E-2</v>
      </c>
      <c r="AM15" s="188"/>
      <c r="AO15" s="272" t="b">
        <f t="shared" si="14"/>
        <v>1</v>
      </c>
      <c r="AP15" s="272" t="b">
        <f t="shared" si="14"/>
        <v>1</v>
      </c>
      <c r="AQ15" s="272" t="b">
        <f t="shared" si="14"/>
        <v>1</v>
      </c>
      <c r="AR15" s="272" t="b">
        <f t="shared" ca="1" si="14"/>
        <v>1</v>
      </c>
      <c r="AS15" s="272" t="b">
        <f t="shared" ca="1" si="14"/>
        <v>1</v>
      </c>
      <c r="AT15" t="b">
        <f t="shared" ca="1" si="15"/>
        <v>1</v>
      </c>
      <c r="AU15" t="b">
        <f t="shared" ca="1" si="16"/>
        <v>1</v>
      </c>
      <c r="AV15" t="b">
        <f t="shared" ca="1" si="17"/>
        <v>1</v>
      </c>
      <c r="AW15" t="b">
        <f t="shared" ca="1" si="18"/>
        <v>1</v>
      </c>
      <c r="AX15" t="b">
        <f t="shared" ca="1" si="19"/>
        <v>1</v>
      </c>
      <c r="AY15" t="b">
        <f t="shared" ca="1" si="20"/>
        <v>1</v>
      </c>
      <c r="AZ15" t="b">
        <f t="shared" ca="1" si="21"/>
        <v>1</v>
      </c>
      <c r="BA15" t="b">
        <f t="shared" ca="1" si="22"/>
        <v>1</v>
      </c>
      <c r="BB15" t="b">
        <f t="shared" ca="1" si="23"/>
        <v>1</v>
      </c>
      <c r="BC15" t="b">
        <f t="shared" ca="1" si="24"/>
        <v>1</v>
      </c>
      <c r="BD15" t="b">
        <f t="shared" ca="1" si="25"/>
        <v>1</v>
      </c>
      <c r="BE15" t="b">
        <f t="shared" ca="1" si="26"/>
        <v>1</v>
      </c>
      <c r="BF15" t="b">
        <f t="shared" ca="1" si="27"/>
        <v>1</v>
      </c>
      <c r="BG15" s="272">
        <f t="shared" ca="1" si="33"/>
        <v>18</v>
      </c>
      <c r="BH15" s="272">
        <f t="shared" ca="1" si="34"/>
        <v>24</v>
      </c>
    </row>
    <row r="16" spans="1:61" x14ac:dyDescent="0.25">
      <c r="A16" s="44" t="s">
        <v>26</v>
      </c>
      <c r="B16" s="110">
        <f t="shared" ca="1" si="2"/>
        <v>42</v>
      </c>
      <c r="C16" s="1">
        <f ca="1">IF(ISERROR(D16),"",IF(D16="","",MAX($C$12:C15)+1))</f>
        <v>4</v>
      </c>
      <c r="D16" t="str">
        <f t="shared" ca="1" si="3"/>
        <v>NiSource Inc.</v>
      </c>
      <c r="E16" s="15"/>
      <c r="F16" s="125">
        <f t="shared" ca="1" si="28"/>
        <v>0.8816666666666666</v>
      </c>
      <c r="G16" s="125">
        <f t="shared" si="4"/>
        <v>1</v>
      </c>
      <c r="H16" s="125">
        <f t="shared" si="5"/>
        <v>0.94</v>
      </c>
      <c r="I16" s="125">
        <f t="shared" si="6"/>
        <v>0.88</v>
      </c>
      <c r="J16" s="125">
        <f t="shared" ca="1" si="7"/>
        <v>0.84</v>
      </c>
      <c r="K16" s="125">
        <f t="shared" ca="1" si="7"/>
        <v>0.8</v>
      </c>
      <c r="L16" s="125">
        <f t="shared" ca="1" si="7"/>
        <v>0.78</v>
      </c>
      <c r="M16" s="125">
        <f t="shared" ca="1" si="7"/>
        <v>0.7</v>
      </c>
      <c r="N16" s="125">
        <f t="shared" ca="1" si="7"/>
        <v>0.64</v>
      </c>
      <c r="O16" s="125">
        <f t="shared" ca="1" si="7"/>
        <v>0.83</v>
      </c>
      <c r="P16" s="125">
        <f t="shared" ca="1" si="7"/>
        <v>1.02</v>
      </c>
      <c r="Q16" s="125">
        <f t="shared" ca="1" si="7"/>
        <v>0.98</v>
      </c>
      <c r="R16" s="125">
        <f t="shared" ca="1" si="7"/>
        <v>0.94</v>
      </c>
      <c r="S16" s="125">
        <f t="shared" ca="1" si="7"/>
        <v>0.92</v>
      </c>
      <c r="T16" s="125">
        <f t="shared" ca="1" si="7"/>
        <v>0.92</v>
      </c>
      <c r="U16" s="125">
        <f t="shared" ca="1" si="7"/>
        <v>0.92</v>
      </c>
      <c r="V16" s="125">
        <f t="shared" ca="1" si="7"/>
        <v>0.92</v>
      </c>
      <c r="W16" s="125">
        <f t="shared" ca="1" si="7"/>
        <v>0.92</v>
      </c>
      <c r="X16" s="125">
        <f t="shared" ca="1" si="7"/>
        <v>0.92</v>
      </c>
      <c r="Y16" s="77">
        <f t="shared" ca="1" si="8"/>
        <v>-8.1565909194442066E-3</v>
      </c>
      <c r="Z16" s="77">
        <f t="shared" ca="1" si="9"/>
        <v>-1.6935783036790442E-2</v>
      </c>
      <c r="AA16" s="125">
        <f t="shared" ca="1" si="29"/>
        <v>0.69999999999999951</v>
      </c>
      <c r="AB16" s="77" t="b">
        <f ca="1">ROUND(AA16,10)=ROUND(M16,10)</f>
        <v>1</v>
      </c>
      <c r="AC16" s="77"/>
      <c r="AD16" s="184">
        <f t="shared" ca="1" si="10"/>
        <v>16</v>
      </c>
      <c r="AE16" s="181">
        <f t="shared" si="11"/>
        <v>44617</v>
      </c>
      <c r="AF16" s="190">
        <v>43100</v>
      </c>
      <c r="AG16" s="186">
        <f t="shared" si="12"/>
        <v>1517</v>
      </c>
      <c r="AH16" s="187">
        <f t="shared" si="31"/>
        <v>4.1561643835616442</v>
      </c>
      <c r="AI16" s="187">
        <f t="shared" ca="1" si="13"/>
        <v>20.156164383561645</v>
      </c>
      <c r="AJ16" s="188">
        <f t="shared" ca="1" si="32"/>
        <v>-8.1565909194442066E-3</v>
      </c>
      <c r="AO16" s="272" t="b">
        <f t="shared" si="14"/>
        <v>1</v>
      </c>
      <c r="AP16" s="272" t="b">
        <f t="shared" si="14"/>
        <v>1</v>
      </c>
      <c r="AQ16" s="272" t="b">
        <f t="shared" si="14"/>
        <v>1</v>
      </c>
      <c r="AR16" s="272" t="b">
        <f t="shared" ca="1" si="14"/>
        <v>1</v>
      </c>
      <c r="AS16" s="272" t="b">
        <f t="shared" ca="1" si="14"/>
        <v>1</v>
      </c>
      <c r="AT16" t="b">
        <f t="shared" ca="1" si="15"/>
        <v>1</v>
      </c>
      <c r="AU16" t="b">
        <f t="shared" ca="1" si="16"/>
        <v>1</v>
      </c>
      <c r="AV16" t="b">
        <f t="shared" ca="1" si="17"/>
        <v>1</v>
      </c>
      <c r="AW16" t="b">
        <f t="shared" ca="1" si="18"/>
        <v>1</v>
      </c>
      <c r="AX16" t="b">
        <f t="shared" ca="1" si="19"/>
        <v>1</v>
      </c>
      <c r="AY16" t="b">
        <f t="shared" ca="1" si="20"/>
        <v>1</v>
      </c>
      <c r="AZ16" t="b">
        <f t="shared" ca="1" si="21"/>
        <v>1</v>
      </c>
      <c r="BA16" t="b">
        <f t="shared" ca="1" si="22"/>
        <v>1</v>
      </c>
      <c r="BB16" t="b">
        <f t="shared" ca="1" si="23"/>
        <v>1</v>
      </c>
      <c r="BC16" t="b">
        <f t="shared" ca="1" si="24"/>
        <v>1</v>
      </c>
      <c r="BD16" t="b">
        <f t="shared" ca="1" si="25"/>
        <v>1</v>
      </c>
      <c r="BE16" t="b">
        <f t="shared" ca="1" si="26"/>
        <v>1</v>
      </c>
      <c r="BF16" t="b">
        <f t="shared" ca="1" si="27"/>
        <v>1</v>
      </c>
      <c r="BG16" s="272">
        <f t="shared" ca="1" si="33"/>
        <v>18</v>
      </c>
      <c r="BH16" s="272">
        <f t="shared" ca="1" si="34"/>
        <v>24</v>
      </c>
    </row>
    <row r="17" spans="1:60" x14ac:dyDescent="0.25">
      <c r="A17" s="44" t="s">
        <v>192</v>
      </c>
      <c r="B17" s="110">
        <f t="shared" ca="1" si="2"/>
        <v>43</v>
      </c>
      <c r="C17" s="1">
        <f ca="1">IF(ISERROR(D17),"",IF(D17="","",MAX($C$12:C16)+1))</f>
        <v>5</v>
      </c>
      <c r="D17" t="str">
        <f t="shared" ca="1" si="3"/>
        <v>Northwest Nat. Gas</v>
      </c>
      <c r="E17" s="15"/>
      <c r="F17" s="125">
        <f t="shared" ca="1" si="28"/>
        <v>1.7750000000000001</v>
      </c>
      <c r="G17" s="125">
        <f t="shared" si="4"/>
        <v>1.94</v>
      </c>
      <c r="H17" s="125">
        <f t="shared" si="5"/>
        <v>1.93</v>
      </c>
      <c r="I17" s="125">
        <f t="shared" si="6"/>
        <v>1.92</v>
      </c>
      <c r="J17" s="125">
        <f t="shared" ca="1" si="7"/>
        <v>1.91</v>
      </c>
      <c r="K17" s="125">
        <f t="shared" ca="1" si="7"/>
        <v>1.9</v>
      </c>
      <c r="L17" s="125">
        <f t="shared" ca="1" si="7"/>
        <v>1.89</v>
      </c>
      <c r="M17" s="125">
        <f ca="1">IFERROR(IF(INDEX(Dividends,$B17,M$12)=0,"N/A",INDEX(Dividends,$B17,M$12)),"N/A")</f>
        <v>1.88</v>
      </c>
      <c r="N17" s="125">
        <f t="shared" ca="1" si="7"/>
        <v>1.87</v>
      </c>
      <c r="O17" s="125">
        <f t="shared" ca="1" si="7"/>
        <v>1.86</v>
      </c>
      <c r="P17" s="125">
        <f t="shared" ca="1" si="7"/>
        <v>1.85</v>
      </c>
      <c r="Q17" s="125">
        <f t="shared" ca="1" si="7"/>
        <v>1.83</v>
      </c>
      <c r="R17" s="125">
        <f t="shared" ca="1" si="7"/>
        <v>1.79</v>
      </c>
      <c r="S17" s="125">
        <f t="shared" ca="1" si="7"/>
        <v>1.75</v>
      </c>
      <c r="T17" s="125">
        <f t="shared" ca="1" si="7"/>
        <v>1.68</v>
      </c>
      <c r="U17" s="125">
        <f t="shared" ca="1" si="7"/>
        <v>1.6</v>
      </c>
      <c r="V17" s="125">
        <f t="shared" ca="1" si="7"/>
        <v>1.52</v>
      </c>
      <c r="W17" s="125">
        <f t="shared" ca="1" si="7"/>
        <v>1.44</v>
      </c>
      <c r="X17" s="125">
        <f t="shared" ca="1" si="7"/>
        <v>1.39</v>
      </c>
      <c r="Y17" s="77">
        <f t="shared" ca="1" si="8"/>
        <v>1.5361412715622524E-2</v>
      </c>
      <c r="Z17" s="77">
        <f t="shared" ca="1" si="9"/>
        <v>1.9052222658444418E-2</v>
      </c>
      <c r="AA17" s="125">
        <f t="shared" ca="1" si="29"/>
        <v>1.8799999999999983</v>
      </c>
      <c r="AB17" s="77" t="b">
        <f t="shared" ca="1" si="30"/>
        <v>1</v>
      </c>
      <c r="AC17" s="77"/>
      <c r="AD17" s="184">
        <f t="shared" ca="1" si="10"/>
        <v>16</v>
      </c>
      <c r="AE17" s="181">
        <f t="shared" si="11"/>
        <v>44617</v>
      </c>
      <c r="AF17" s="190">
        <v>43100</v>
      </c>
      <c r="AG17" s="186">
        <f t="shared" si="12"/>
        <v>1517</v>
      </c>
      <c r="AH17" s="187">
        <f t="shared" si="31"/>
        <v>4.1561643835616442</v>
      </c>
      <c r="AI17" s="187">
        <f t="shared" ca="1" si="13"/>
        <v>20.156164383561645</v>
      </c>
      <c r="AJ17" s="188">
        <f t="shared" ca="1" si="32"/>
        <v>1.5361412715622524E-2</v>
      </c>
      <c r="AO17" s="272" t="b">
        <f t="shared" si="14"/>
        <v>1</v>
      </c>
      <c r="AP17" s="272" t="b">
        <f t="shared" si="14"/>
        <v>1</v>
      </c>
      <c r="AQ17" s="272" t="b">
        <f t="shared" si="14"/>
        <v>1</v>
      </c>
      <c r="AR17" s="272" t="b">
        <f t="shared" ca="1" si="14"/>
        <v>1</v>
      </c>
      <c r="AS17" s="272" t="b">
        <f t="shared" ca="1" si="14"/>
        <v>1</v>
      </c>
      <c r="AT17" t="b">
        <f t="shared" ca="1" si="15"/>
        <v>1</v>
      </c>
      <c r="AU17" t="b">
        <f t="shared" ca="1" si="16"/>
        <v>1</v>
      </c>
      <c r="AV17" t="b">
        <f t="shared" ca="1" si="17"/>
        <v>1</v>
      </c>
      <c r="AW17" t="b">
        <f t="shared" ca="1" si="18"/>
        <v>1</v>
      </c>
      <c r="AX17" t="b">
        <f t="shared" ca="1" si="19"/>
        <v>1</v>
      </c>
      <c r="AY17" t="b">
        <f t="shared" ca="1" si="20"/>
        <v>1</v>
      </c>
      <c r="AZ17" t="b">
        <f t="shared" ca="1" si="21"/>
        <v>1</v>
      </c>
      <c r="BA17" t="b">
        <f t="shared" ca="1" si="22"/>
        <v>1</v>
      </c>
      <c r="BB17" t="b">
        <f t="shared" ca="1" si="23"/>
        <v>1</v>
      </c>
      <c r="BC17" t="b">
        <f t="shared" ca="1" si="24"/>
        <v>1</v>
      </c>
      <c r="BD17" t="b">
        <f t="shared" ca="1" si="25"/>
        <v>1</v>
      </c>
      <c r="BE17" t="b">
        <f t="shared" ca="1" si="26"/>
        <v>1</v>
      </c>
      <c r="BF17" t="b">
        <f t="shared" ca="1" si="27"/>
        <v>1</v>
      </c>
      <c r="BG17" s="272">
        <f t="shared" ca="1" si="33"/>
        <v>18</v>
      </c>
      <c r="BH17" s="272">
        <f t="shared" ca="1" si="34"/>
        <v>24</v>
      </c>
    </row>
    <row r="18" spans="1:60" x14ac:dyDescent="0.25">
      <c r="A18" s="44" t="s">
        <v>345</v>
      </c>
      <c r="B18" s="110">
        <f t="shared" ca="1" si="2"/>
        <v>46</v>
      </c>
      <c r="C18" s="1">
        <f ca="1">IF(ISERROR(D18),"",IF(D18="","",MAX($C$12:C17)+1))</f>
        <v>6</v>
      </c>
      <c r="D18" t="str">
        <f t="shared" ca="1" si="3"/>
        <v>ONE Gas Inc.</v>
      </c>
      <c r="E18" s="15"/>
      <c r="F18" s="125">
        <f t="shared" ca="1" si="28"/>
        <v>1.8519999999999999</v>
      </c>
      <c r="G18" s="125">
        <f t="shared" si="4"/>
        <v>2.6</v>
      </c>
      <c r="H18" s="125">
        <f t="shared" si="5"/>
        <v>2.48</v>
      </c>
      <c r="I18" s="125">
        <f t="shared" si="6"/>
        <v>2.3199999999999998</v>
      </c>
      <c r="J18" s="125">
        <f t="shared" ca="1" si="7"/>
        <v>2.16</v>
      </c>
      <c r="K18" s="125">
        <f t="shared" ca="1" si="7"/>
        <v>2</v>
      </c>
      <c r="L18" s="125">
        <f ca="1">IFERROR(IF(INDEX(Dividends,$B18,L$12)=0,"N/A",INDEX(Dividends,$B18,L$12)),"N/A")</f>
        <v>1.84</v>
      </c>
      <c r="M18" s="125">
        <f ca="1">IFERROR(IF(INDEX(Dividends,$B18,M$12)=0,"N/A",INDEX(Dividends,$B18,M$12)),"N/A")</f>
        <v>1.68</v>
      </c>
      <c r="N18" s="125">
        <f t="shared" ca="1" si="7"/>
        <v>1.4</v>
      </c>
      <c r="O18" s="125">
        <f t="shared" ca="1" si="7"/>
        <v>1.2</v>
      </c>
      <c r="P18" s="125">
        <f t="shared" ca="1" si="7"/>
        <v>0.84</v>
      </c>
      <c r="Q18" s="125" t="str">
        <f t="shared" ca="1" si="7"/>
        <v>N/A</v>
      </c>
      <c r="R18" s="125" t="str">
        <f t="shared" ca="1" si="7"/>
        <v>N/A</v>
      </c>
      <c r="S18" s="125" t="str">
        <f t="shared" ca="1" si="7"/>
        <v>N/A</v>
      </c>
      <c r="T18" s="125" t="str">
        <f t="shared" ca="1" si="7"/>
        <v>N/A</v>
      </c>
      <c r="U18" s="125" t="str">
        <f t="shared" ca="1" si="7"/>
        <v>N/A</v>
      </c>
      <c r="V18" s="125" t="str">
        <f t="shared" ca="1" si="7"/>
        <v>N/A</v>
      </c>
      <c r="W18" s="125" t="str">
        <f t="shared" ca="1" si="7"/>
        <v>N/A</v>
      </c>
      <c r="X18" s="125" t="str">
        <f t="shared" ca="1" si="7"/>
        <v>N/A</v>
      </c>
      <c r="Y18" s="77">
        <f t="shared" ca="1" si="8"/>
        <v>6.6629645696823392E-2</v>
      </c>
      <c r="Z18" s="77">
        <f t="shared" ca="1" si="9"/>
        <v>9.050773266525769E-2</v>
      </c>
      <c r="AA18" s="125">
        <f ca="1">+P18*(1+Z18)^3</f>
        <v>1.0893452259068481</v>
      </c>
      <c r="AB18" s="77" t="b">
        <f t="shared" ca="1" si="30"/>
        <v>0</v>
      </c>
      <c r="AC18" s="77"/>
      <c r="AD18" s="184">
        <f t="shared" ca="1" si="10"/>
        <v>8</v>
      </c>
      <c r="AE18" s="181">
        <f t="shared" si="11"/>
        <v>44617</v>
      </c>
      <c r="AF18" s="190">
        <v>43100</v>
      </c>
      <c r="AG18" s="186">
        <f t="shared" si="12"/>
        <v>1517</v>
      </c>
      <c r="AH18" s="187">
        <f t="shared" si="31"/>
        <v>4.1561643835616442</v>
      </c>
      <c r="AI18" s="187">
        <f t="shared" ca="1" si="13"/>
        <v>12.156164383561645</v>
      </c>
      <c r="AJ18" s="188" t="e">
        <f ca="1">(L18/X18)^(1/AI18)-1</f>
        <v>#VALUE!</v>
      </c>
      <c r="AO18" s="272" t="b">
        <f t="shared" si="14"/>
        <v>1</v>
      </c>
      <c r="AP18" s="272" t="b">
        <f t="shared" si="14"/>
        <v>1</v>
      </c>
      <c r="AQ18" s="272" t="b">
        <f t="shared" si="14"/>
        <v>1</v>
      </c>
      <c r="AR18" s="272" t="b">
        <f t="shared" ca="1" si="14"/>
        <v>1</v>
      </c>
      <c r="AS18" s="272" t="b">
        <f t="shared" ca="1" si="14"/>
        <v>1</v>
      </c>
      <c r="AT18" t="b">
        <f t="shared" ca="1" si="15"/>
        <v>1</v>
      </c>
      <c r="AU18" t="b">
        <f t="shared" ca="1" si="16"/>
        <v>1</v>
      </c>
      <c r="AV18" t="b">
        <f t="shared" ca="1" si="17"/>
        <v>1</v>
      </c>
      <c r="AW18" t="b">
        <f t="shared" ca="1" si="18"/>
        <v>1</v>
      </c>
      <c r="AX18" t="b">
        <f t="shared" ca="1" si="19"/>
        <v>1</v>
      </c>
      <c r="AY18" t="b">
        <f t="shared" ca="1" si="20"/>
        <v>0</v>
      </c>
      <c r="AZ18" t="b">
        <f t="shared" ca="1" si="21"/>
        <v>0</v>
      </c>
      <c r="BA18" t="b">
        <f t="shared" ca="1" si="22"/>
        <v>0</v>
      </c>
      <c r="BB18" t="b">
        <f t="shared" ca="1" si="23"/>
        <v>0</v>
      </c>
      <c r="BC18" t="b">
        <f t="shared" ca="1" si="24"/>
        <v>0</v>
      </c>
      <c r="BD18" t="b">
        <f t="shared" ca="1" si="25"/>
        <v>0</v>
      </c>
      <c r="BE18" t="b">
        <f t="shared" ca="1" si="26"/>
        <v>0</v>
      </c>
      <c r="BF18" t="b">
        <f t="shared" ca="1" si="27"/>
        <v>0</v>
      </c>
      <c r="BG18" s="272">
        <f t="shared" ca="1" si="33"/>
        <v>10</v>
      </c>
      <c r="BH18" s="272">
        <f t="shared" ca="1" si="34"/>
        <v>16</v>
      </c>
    </row>
    <row r="19" spans="1:60" hidden="1" x14ac:dyDescent="0.25">
      <c r="A19" s="44"/>
      <c r="B19" s="110"/>
      <c r="C19" s="1"/>
      <c r="E19" s="1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77"/>
      <c r="Z19" s="77"/>
      <c r="AA19" s="125"/>
      <c r="AB19" s="77"/>
      <c r="AC19" s="77"/>
      <c r="AD19" s="184"/>
      <c r="AE19" s="181"/>
      <c r="AF19" s="190"/>
      <c r="AG19" s="186"/>
      <c r="AH19" s="187"/>
      <c r="AI19" s="187"/>
      <c r="AJ19" s="188"/>
    </row>
    <row r="20" spans="1:60" x14ac:dyDescent="0.25">
      <c r="A20" s="44" t="s">
        <v>200</v>
      </c>
      <c r="B20" s="110">
        <f t="shared" ca="1" si="2"/>
        <v>60</v>
      </c>
      <c r="C20" s="1">
        <f ca="1">IF(ISERROR(D20),"",IF(D20="","",MAX($C$12:C19)+1))</f>
        <v>7</v>
      </c>
      <c r="D20" t="str">
        <f t="shared" ca="1" si="3"/>
        <v>Southwest Gas</v>
      </c>
      <c r="E20" s="15"/>
      <c r="F20" s="125">
        <f t="shared" ca="1" si="28"/>
        <v>1.6016666666666666</v>
      </c>
      <c r="G20" s="125">
        <f t="shared" si="4"/>
        <v>2.48</v>
      </c>
      <c r="H20" s="125">
        <f t="shared" si="5"/>
        <v>2.48</v>
      </c>
      <c r="I20" s="125">
        <f>IFERROR(IF(VLOOKUP($A20,lucyyr,9,FALSE)=0,"",VLOOKUP($A20,lucyyr,9,FALSE)),"N/A")</f>
        <v>2.38</v>
      </c>
      <c r="J20" s="125">
        <f t="shared" ca="1" si="7"/>
        <v>2.2799999999999998</v>
      </c>
      <c r="K20" s="125">
        <f t="shared" ca="1" si="7"/>
        <v>2.1800000000000002</v>
      </c>
      <c r="L20" s="125">
        <f t="shared" ca="1" si="7"/>
        <v>2.08</v>
      </c>
      <c r="M20" s="125">
        <f t="shared" ca="1" si="7"/>
        <v>1.98</v>
      </c>
      <c r="N20" s="125">
        <f t="shared" ca="1" si="7"/>
        <v>1.8</v>
      </c>
      <c r="O20" s="125">
        <f t="shared" ca="1" si="7"/>
        <v>1.62</v>
      </c>
      <c r="P20" s="125">
        <f t="shared" ca="1" si="7"/>
        <v>1.46</v>
      </c>
      <c r="Q20" s="125">
        <f t="shared" ca="1" si="7"/>
        <v>1.32</v>
      </c>
      <c r="R20" s="125">
        <f t="shared" ca="1" si="7"/>
        <v>1.18</v>
      </c>
      <c r="S20" s="125">
        <f t="shared" ca="1" si="7"/>
        <v>1.06</v>
      </c>
      <c r="T20" s="125">
        <f t="shared" ca="1" si="7"/>
        <v>1</v>
      </c>
      <c r="U20" s="125">
        <f t="shared" ca="1" si="7"/>
        <v>0.95</v>
      </c>
      <c r="V20" s="125">
        <f t="shared" ca="1" si="7"/>
        <v>0.9</v>
      </c>
      <c r="W20" s="125">
        <f t="shared" ca="1" si="7"/>
        <v>0.86</v>
      </c>
      <c r="X20" s="125">
        <f t="shared" ca="1" si="7"/>
        <v>0.82</v>
      </c>
      <c r="Y20" s="77">
        <f t="shared" ca="1" si="8"/>
        <v>4.7263273392506688E-2</v>
      </c>
      <c r="Z20" s="77">
        <f t="shared" ca="1" si="9"/>
        <v>5.6642825622728266E-2</v>
      </c>
      <c r="AA20" s="125">
        <f t="shared" ref="AA20:AA22" ca="1" si="35">+X20*(1+Z20)^16</f>
        <v>1.9799999999999991</v>
      </c>
      <c r="AB20" s="77" t="b">
        <f t="shared" ca="1" si="30"/>
        <v>1</v>
      </c>
      <c r="AC20" s="77"/>
      <c r="AD20" s="184">
        <f t="shared" ref="AD20:AD32" ca="1" si="36">BG20-2</f>
        <v>16</v>
      </c>
      <c r="AE20" s="181">
        <f t="shared" si="11"/>
        <v>44617</v>
      </c>
      <c r="AF20" s="190">
        <v>43100</v>
      </c>
      <c r="AG20" s="186">
        <f t="shared" si="12"/>
        <v>1517</v>
      </c>
      <c r="AH20" s="187">
        <f t="shared" si="31"/>
        <v>4.1561643835616442</v>
      </c>
      <c r="AI20" s="187">
        <f t="shared" ca="1" si="13"/>
        <v>20.156164383561645</v>
      </c>
      <c r="AJ20" s="188">
        <f t="shared" ca="1" si="32"/>
        <v>4.7263273392506688E-2</v>
      </c>
      <c r="AO20" s="272" t="b">
        <f t="shared" si="14"/>
        <v>1</v>
      </c>
      <c r="AP20" s="272" t="b">
        <f t="shared" si="14"/>
        <v>1</v>
      </c>
      <c r="AQ20" s="272" t="b">
        <f t="shared" si="14"/>
        <v>1</v>
      </c>
      <c r="AR20" s="272" t="b">
        <f t="shared" ca="1" si="14"/>
        <v>1</v>
      </c>
      <c r="AS20" s="272" t="b">
        <f t="shared" ca="1" si="14"/>
        <v>1</v>
      </c>
      <c r="AT20" t="b">
        <f t="shared" ca="1" si="15"/>
        <v>1</v>
      </c>
      <c r="AU20" t="b">
        <f t="shared" ca="1" si="16"/>
        <v>1</v>
      </c>
      <c r="AV20" t="b">
        <f t="shared" ca="1" si="17"/>
        <v>1</v>
      </c>
      <c r="AW20" t="b">
        <f t="shared" ca="1" si="18"/>
        <v>1</v>
      </c>
      <c r="AX20" t="b">
        <f t="shared" ca="1" si="19"/>
        <v>1</v>
      </c>
      <c r="AY20" t="b">
        <f t="shared" ca="1" si="20"/>
        <v>1</v>
      </c>
      <c r="AZ20" t="b">
        <f t="shared" ca="1" si="21"/>
        <v>1</v>
      </c>
      <c r="BA20" t="b">
        <f t="shared" ca="1" si="22"/>
        <v>1</v>
      </c>
      <c r="BB20" t="b">
        <f t="shared" ca="1" si="23"/>
        <v>1</v>
      </c>
      <c r="BC20" t="b">
        <f t="shared" ca="1" si="24"/>
        <v>1</v>
      </c>
      <c r="BD20" t="b">
        <f t="shared" ca="1" si="25"/>
        <v>1</v>
      </c>
      <c r="BE20" t="b">
        <f t="shared" ca="1" si="26"/>
        <v>1</v>
      </c>
      <c r="BF20" t="b">
        <f t="shared" ca="1" si="27"/>
        <v>1</v>
      </c>
      <c r="BG20" s="272">
        <f t="shared" ref="BG20" ca="1" si="37">IF(AO20=FALSE,COUNTIF(AO20:BF20,TRUE)+1,COUNTIF(AO20:BF20,TRUE))</f>
        <v>18</v>
      </c>
      <c r="BH20" s="272">
        <f t="shared" ca="1" si="34"/>
        <v>24</v>
      </c>
    </row>
    <row r="21" spans="1:60" x14ac:dyDescent="0.25">
      <c r="A21" s="44" t="s">
        <v>244</v>
      </c>
      <c r="B21" s="110">
        <f t="shared" ca="1" si="2"/>
        <v>61</v>
      </c>
      <c r="C21" s="1">
        <f ca="1">IF(ISERROR(D21),"",IF(D21="","",MAX($C$12:C20)+1))</f>
        <v>8</v>
      </c>
      <c r="D21" t="str">
        <f t="shared" ca="1" si="3"/>
        <v>Spire Inc.</v>
      </c>
      <c r="E21" s="15"/>
      <c r="F21" s="125">
        <f t="shared" ca="1" si="28"/>
        <v>1.966666666666667</v>
      </c>
      <c r="G21" s="125">
        <f t="shared" si="4"/>
        <v>2.88</v>
      </c>
      <c r="H21" s="125">
        <f t="shared" si="5"/>
        <v>2.74</v>
      </c>
      <c r="I21" s="125">
        <f>IFERROR(IF(VLOOKUP($A21,lucyyr,9,FALSE)=0,"",VLOOKUP($A21,lucyyr,9,FALSE)),"N/A")</f>
        <v>2.6</v>
      </c>
      <c r="J21" s="125">
        <f t="shared" ca="1" si="7"/>
        <v>2.4900000000000002</v>
      </c>
      <c r="K21" s="125">
        <f t="shared" ca="1" si="7"/>
        <v>2.37</v>
      </c>
      <c r="L21" s="125">
        <f t="shared" ca="1" si="7"/>
        <v>2.25</v>
      </c>
      <c r="M21" s="125">
        <f t="shared" ca="1" si="7"/>
        <v>2.1</v>
      </c>
      <c r="N21" s="125">
        <f t="shared" ca="1" si="7"/>
        <v>1.96</v>
      </c>
      <c r="O21" s="125">
        <f t="shared" ca="1" si="7"/>
        <v>1.84</v>
      </c>
      <c r="P21" s="125">
        <f t="shared" ca="1" si="7"/>
        <v>1.76</v>
      </c>
      <c r="Q21" s="125">
        <f t="shared" ca="1" si="7"/>
        <v>1.7</v>
      </c>
      <c r="R21" s="125">
        <f t="shared" ca="1" si="7"/>
        <v>1.66</v>
      </c>
      <c r="S21" s="125">
        <f t="shared" ca="1" si="7"/>
        <v>1.61</v>
      </c>
      <c r="T21" s="125">
        <f t="shared" ca="1" si="7"/>
        <v>1.57</v>
      </c>
      <c r="U21" s="125">
        <f t="shared" ca="1" si="7"/>
        <v>1.53</v>
      </c>
      <c r="V21" s="125">
        <f t="shared" ca="1" si="7"/>
        <v>1.49</v>
      </c>
      <c r="W21" s="125">
        <f t="shared" ca="1" si="7"/>
        <v>1.45</v>
      </c>
      <c r="X21" s="125">
        <f t="shared" ca="1" si="7"/>
        <v>1.4</v>
      </c>
      <c r="Y21" s="77">
        <f t="shared" ca="1" si="8"/>
        <v>2.3818331796863879E-2</v>
      </c>
      <c r="Z21" s="77">
        <f t="shared" ca="1" si="9"/>
        <v>2.56653964664324E-2</v>
      </c>
      <c r="AA21" s="125">
        <f t="shared" ca="1" si="35"/>
        <v>2.0999999999999956</v>
      </c>
      <c r="AB21" s="77" t="b">
        <f t="shared" ca="1" si="30"/>
        <v>1</v>
      </c>
      <c r="AC21" s="77"/>
      <c r="AD21" s="184">
        <f t="shared" ca="1" si="36"/>
        <v>16</v>
      </c>
      <c r="AE21" s="181">
        <f t="shared" si="11"/>
        <v>44617</v>
      </c>
      <c r="AF21" s="190">
        <v>43100</v>
      </c>
      <c r="AG21" s="186">
        <f t="shared" si="12"/>
        <v>1517</v>
      </c>
      <c r="AH21" s="187">
        <f t="shared" si="31"/>
        <v>4.1561643835616442</v>
      </c>
      <c r="AI21" s="187">
        <f t="shared" ca="1" si="13"/>
        <v>20.156164383561645</v>
      </c>
      <c r="AJ21" s="188">
        <f t="shared" ca="1" si="32"/>
        <v>2.3818331796863879E-2</v>
      </c>
      <c r="AO21" s="272" t="b">
        <f t="shared" si="14"/>
        <v>1</v>
      </c>
      <c r="AP21" s="272" t="b">
        <f t="shared" si="14"/>
        <v>1</v>
      </c>
      <c r="AQ21" s="272" t="b">
        <f t="shared" si="14"/>
        <v>1</v>
      </c>
      <c r="AR21" s="272" t="b">
        <f t="shared" ca="1" si="14"/>
        <v>1</v>
      </c>
      <c r="AS21" s="272" t="b">
        <f t="shared" ca="1" si="14"/>
        <v>1</v>
      </c>
      <c r="AT21" t="b">
        <f t="shared" ca="1" si="15"/>
        <v>1</v>
      </c>
      <c r="AU21" t="b">
        <f t="shared" ca="1" si="16"/>
        <v>1</v>
      </c>
      <c r="AV21" t="b">
        <f t="shared" ca="1" si="17"/>
        <v>1</v>
      </c>
      <c r="AW21" t="b">
        <f t="shared" ca="1" si="18"/>
        <v>1</v>
      </c>
      <c r="AX21" t="b">
        <f t="shared" ca="1" si="19"/>
        <v>1</v>
      </c>
      <c r="AY21" t="b">
        <f t="shared" ca="1" si="20"/>
        <v>1</v>
      </c>
      <c r="AZ21" t="b">
        <f t="shared" ca="1" si="21"/>
        <v>1</v>
      </c>
      <c r="BA21" t="b">
        <f t="shared" ca="1" si="22"/>
        <v>1</v>
      </c>
      <c r="BB21" t="b">
        <f t="shared" ca="1" si="23"/>
        <v>1</v>
      </c>
      <c r="BC21" t="b">
        <f t="shared" ca="1" si="24"/>
        <v>1</v>
      </c>
      <c r="BD21" t="b">
        <f t="shared" ca="1" si="25"/>
        <v>1</v>
      </c>
      <c r="BE21" t="b">
        <f t="shared" ca="1" si="26"/>
        <v>1</v>
      </c>
      <c r="BF21" t="b">
        <f t="shared" ca="1" si="27"/>
        <v>1</v>
      </c>
      <c r="BG21" s="272">
        <f t="shared" ref="BG21:BG22" ca="1" si="38">IF(AO21=FALSE,COUNTIF(AO21:BF21,TRUE)+1,COUNTIF(AO21:BF21,TRUE))</f>
        <v>18</v>
      </c>
      <c r="BH21" s="272">
        <f t="shared" ca="1" si="34"/>
        <v>24</v>
      </c>
    </row>
    <row r="22" spans="1:60" x14ac:dyDescent="0.25">
      <c r="A22" s="44" t="s">
        <v>204</v>
      </c>
      <c r="B22" s="110">
        <f t="shared" ca="1" si="2"/>
        <v>63</v>
      </c>
      <c r="C22" s="1">
        <f ca="1">IF(ISERROR(D22),"",IF(D22="","",MAX($C$12:C21)+1))</f>
        <v>9</v>
      </c>
      <c r="D22" t="str">
        <f t="shared" ca="1" si="3"/>
        <v>UGI Corp.</v>
      </c>
      <c r="E22" s="15"/>
      <c r="F22" s="125">
        <f t="shared" ca="1" si="28"/>
        <v>0.88722222222222236</v>
      </c>
      <c r="G22" s="125">
        <f t="shared" si="4"/>
        <v>1.47</v>
      </c>
      <c r="H22" s="125">
        <f t="shared" si="5"/>
        <v>1.41</v>
      </c>
      <c r="I22" s="125">
        <f>IFERROR(IF(VLOOKUP($A22,lucyyr,9,FALSE)=0,"",VLOOKUP($A22,lucyyr,9,FALSE)),"N/A")</f>
        <v>1.35</v>
      </c>
      <c r="J22" s="125">
        <f t="shared" ca="1" si="7"/>
        <v>1.31</v>
      </c>
      <c r="K22" s="125">
        <f t="shared" ca="1" si="7"/>
        <v>1.1499999999999999</v>
      </c>
      <c r="L22" s="125">
        <f t="shared" ca="1" si="7"/>
        <v>1.02</v>
      </c>
      <c r="M22" s="125">
        <f t="shared" ca="1" si="7"/>
        <v>0.96</v>
      </c>
      <c r="N22" s="125">
        <f t="shared" ca="1" si="7"/>
        <v>0.93</v>
      </c>
      <c r="O22" s="125">
        <f t="shared" ca="1" si="7"/>
        <v>0.89</v>
      </c>
      <c r="P22" s="125">
        <f t="shared" ca="1" si="7"/>
        <v>0.79100000000000004</v>
      </c>
      <c r="Q22" s="125">
        <f t="shared" ca="1" si="7"/>
        <v>0.74</v>
      </c>
      <c r="R22" s="125">
        <f t="shared" ca="1" si="7"/>
        <v>0.70699999999999996</v>
      </c>
      <c r="S22" s="125">
        <f t="shared" ca="1" si="7"/>
        <v>0.68</v>
      </c>
      <c r="T22" s="125">
        <f t="shared" ca="1" si="7"/>
        <v>0.6</v>
      </c>
      <c r="U22" s="125">
        <f t="shared" ca="1" si="7"/>
        <v>0.52300000000000002</v>
      </c>
      <c r="V22" s="125">
        <f t="shared" ca="1" si="7"/>
        <v>0.503</v>
      </c>
      <c r="W22" s="125">
        <f t="shared" ca="1" si="7"/>
        <v>0.48099999999999998</v>
      </c>
      <c r="X22" s="125">
        <f t="shared" ca="1" si="7"/>
        <v>0.45500000000000002</v>
      </c>
      <c r="Y22" s="77">
        <f t="shared" ca="1" si="8"/>
        <v>4.0863131230184591E-2</v>
      </c>
      <c r="Z22" s="77">
        <f t="shared" ca="1" si="9"/>
        <v>4.7770676262982814E-2</v>
      </c>
      <c r="AA22" s="125">
        <f t="shared" ca="1" si="35"/>
        <v>0.95999999999999885</v>
      </c>
      <c r="AB22" s="77" t="b">
        <f t="shared" ca="1" si="30"/>
        <v>1</v>
      </c>
      <c r="AC22" s="77"/>
      <c r="AD22" s="184">
        <f t="shared" ca="1" si="36"/>
        <v>16</v>
      </c>
      <c r="AE22" s="181">
        <f t="shared" si="11"/>
        <v>44617</v>
      </c>
      <c r="AF22" s="190">
        <v>43100</v>
      </c>
      <c r="AG22" s="186">
        <f t="shared" si="12"/>
        <v>1517</v>
      </c>
      <c r="AH22" s="187">
        <f t="shared" si="31"/>
        <v>4.1561643835616442</v>
      </c>
      <c r="AI22" s="187">
        <f t="shared" ca="1" si="13"/>
        <v>20.156164383561645</v>
      </c>
      <c r="AJ22" s="188">
        <f t="shared" ca="1" si="32"/>
        <v>4.0863131230184591E-2</v>
      </c>
      <c r="AO22" s="272" t="b">
        <f t="shared" si="14"/>
        <v>1</v>
      </c>
      <c r="AP22" s="272" t="b">
        <f t="shared" si="14"/>
        <v>1</v>
      </c>
      <c r="AQ22" s="272" t="b">
        <f t="shared" si="14"/>
        <v>1</v>
      </c>
      <c r="AR22" s="272" t="b">
        <f t="shared" ca="1" si="14"/>
        <v>1</v>
      </c>
      <c r="AS22" s="272" t="b">
        <f t="shared" ca="1" si="14"/>
        <v>1</v>
      </c>
      <c r="AT22" t="b">
        <f t="shared" ca="1" si="15"/>
        <v>1</v>
      </c>
      <c r="AU22" t="b">
        <f t="shared" ca="1" si="16"/>
        <v>1</v>
      </c>
      <c r="AV22" t="b">
        <f t="shared" ca="1" si="17"/>
        <v>1</v>
      </c>
      <c r="AW22" t="b">
        <f t="shared" ca="1" si="18"/>
        <v>1</v>
      </c>
      <c r="AX22" t="b">
        <f t="shared" ca="1" si="19"/>
        <v>1</v>
      </c>
      <c r="AY22" t="b">
        <f t="shared" ca="1" si="20"/>
        <v>1</v>
      </c>
      <c r="AZ22" t="b">
        <f t="shared" ca="1" si="21"/>
        <v>1</v>
      </c>
      <c r="BA22" t="b">
        <f t="shared" ca="1" si="22"/>
        <v>1</v>
      </c>
      <c r="BB22" t="b">
        <f t="shared" ca="1" si="23"/>
        <v>1</v>
      </c>
      <c r="BC22" t="b">
        <f t="shared" ca="1" si="24"/>
        <v>1</v>
      </c>
      <c r="BD22" t="b">
        <f t="shared" ca="1" si="25"/>
        <v>1</v>
      </c>
      <c r="BE22" t="b">
        <f t="shared" ca="1" si="26"/>
        <v>1</v>
      </c>
      <c r="BF22" t="b">
        <f t="shared" ca="1" si="27"/>
        <v>1</v>
      </c>
      <c r="BG22" s="272">
        <f t="shared" ca="1" si="38"/>
        <v>18</v>
      </c>
      <c r="BH22" s="272">
        <f t="shared" ca="1" si="34"/>
        <v>24</v>
      </c>
    </row>
    <row r="23" spans="1:60" hidden="1" x14ac:dyDescent="0.25">
      <c r="A23" s="44" t="s">
        <v>206</v>
      </c>
      <c r="B23" s="110">
        <f t="shared" ca="1" si="2"/>
        <v>68</v>
      </c>
      <c r="C23" s="1"/>
      <c r="E23" s="1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77"/>
      <c r="Z23" s="77"/>
      <c r="AA23" s="125"/>
      <c r="AB23" s="77"/>
      <c r="AC23" s="77"/>
      <c r="AD23" s="184"/>
      <c r="AE23" s="181"/>
      <c r="AF23" s="190"/>
      <c r="AG23" s="186"/>
      <c r="AH23" s="187"/>
      <c r="AI23" s="187"/>
      <c r="AJ23" s="188"/>
    </row>
    <row r="24" spans="1:60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25" t="str">
        <f t="shared" ca="1" si="28"/>
        <v>N/A</v>
      </c>
      <c r="G24" s="125"/>
      <c r="H24" s="125"/>
      <c r="I24" s="125" t="str">
        <f t="shared" ref="I24:I57" si="39">IFERROR(IF(VLOOKUP($A24,lucyyr,9,FALSE)=0,"",VLOOKUP($A24,lucyr,9,FALSE)),"N/A")</f>
        <v>N/A</v>
      </c>
      <c r="J24" s="125" t="str">
        <f t="shared" ref="J24:J57" si="40">IFERROR(IF(VLOOKUP(A24,lucyr,9,FALSE)=0,"",VLOOKUP(A24,lucyr,9,FALSE)),"N/A")</f>
        <v>N/A</v>
      </c>
      <c r="K24" s="125" t="str">
        <f t="shared" ref="K24:K57" si="41">IFERROR(IF(VLOOKUP(A24,LUCurYr,9,FALSE)=0,"",VLOOKUP(A24,LUCurYr,9,FALSE)),"N/A")</f>
        <v>N/A</v>
      </c>
      <c r="L24" s="125" t="str">
        <f t="shared" ref="L24:L57" si="42">IFERROR(IF(VLOOKUP(A24,LUCurYr,9,FALSE)=0,"",VLOOKUP(A24,LUCurYr,9,FALSE)),"N/A")</f>
        <v>N/A</v>
      </c>
      <c r="M24" s="125" t="str">
        <f ca="1">IFERROR(IF(VLOOKUP($A24,LASTYR,'[3]2017'!$I$3,FALSE)=0,"N/A",VLOOKUP($A24,LASTYR,'[3]2017'!$I$3,FALSE)),"N/A")</f>
        <v>N/A</v>
      </c>
      <c r="N24" s="125" t="str">
        <f t="shared" ca="1" si="7"/>
        <v>N/A</v>
      </c>
      <c r="O24" s="125" t="str">
        <f t="shared" ref="O24:X32" ca="1" si="43">IFERROR(IF(INDEX(Dividends,$B24,O$12)=0,"N/A",INDEX(Dividends,$B24,O$12)),"N/A")</f>
        <v>N/A</v>
      </c>
      <c r="P24" s="125" t="str">
        <f t="shared" ca="1" si="43"/>
        <v>N/A</v>
      </c>
      <c r="Q24" s="125" t="str">
        <f t="shared" ca="1" si="43"/>
        <v>N/A</v>
      </c>
      <c r="R24" s="125" t="str">
        <f t="shared" ca="1" si="43"/>
        <v>N/A</v>
      </c>
      <c r="S24" s="125" t="str">
        <f t="shared" ca="1" si="43"/>
        <v>N/A</v>
      </c>
      <c r="T24" s="125" t="str">
        <f t="shared" ca="1" si="43"/>
        <v>N/A</v>
      </c>
      <c r="U24" s="125" t="str">
        <f t="shared" ca="1" si="43"/>
        <v>N/A</v>
      </c>
      <c r="V24" s="125" t="str">
        <f t="shared" ca="1" si="43"/>
        <v>N/A</v>
      </c>
      <c r="W24" s="125" t="str">
        <f t="shared" ca="1" si="43"/>
        <v>N/A</v>
      </c>
      <c r="X24" s="125" t="str">
        <f t="shared" ca="1" si="43"/>
        <v>N/A</v>
      </c>
      <c r="Y24" s="77" t="str">
        <f t="shared" ca="1" si="8"/>
        <v>N/A</v>
      </c>
      <c r="Z24" s="77" t="str">
        <f t="shared" ca="1" si="9"/>
        <v>N/A</v>
      </c>
      <c r="AA24" s="125" t="e">
        <f t="shared" ref="AA24:AA57" ca="1" si="44">+X24*(1+Z24)^11</f>
        <v>#VALUE!</v>
      </c>
      <c r="AB24" s="77" t="e">
        <f t="shared" ca="1" si="30"/>
        <v>#VALUE!</v>
      </c>
      <c r="AC24" s="77"/>
      <c r="AD24" s="184">
        <f t="shared" ca="1" si="36"/>
        <v>-1</v>
      </c>
      <c r="AE24" s="181" t="str">
        <f t="shared" si="11"/>
        <v>N/A</v>
      </c>
      <c r="AF24" s="190">
        <v>43100</v>
      </c>
      <c r="AG24" s="186" t="e">
        <f t="shared" si="12"/>
        <v>#VALUE!</v>
      </c>
      <c r="AH24" s="187" t="e">
        <f t="shared" si="31"/>
        <v>#VALUE!</v>
      </c>
      <c r="AI24" s="187" t="e">
        <f t="shared" ca="1" si="13"/>
        <v>#VALUE!</v>
      </c>
      <c r="AJ24" s="188" t="e">
        <f t="shared" ca="1" si="32"/>
        <v>#VALUE!</v>
      </c>
      <c r="AT24" t="b">
        <f t="shared" si="15"/>
        <v>0</v>
      </c>
      <c r="AU24" t="b">
        <f t="shared" ca="1" si="16"/>
        <v>0</v>
      </c>
      <c r="AV24" t="b">
        <f t="shared" ca="1" si="17"/>
        <v>0</v>
      </c>
      <c r="AW24" t="b">
        <f t="shared" ca="1" si="18"/>
        <v>0</v>
      </c>
      <c r="AX24" t="b">
        <f t="shared" ca="1" si="19"/>
        <v>0</v>
      </c>
      <c r="AY24" t="b">
        <f t="shared" ca="1" si="20"/>
        <v>0</v>
      </c>
      <c r="AZ24" t="b">
        <f t="shared" ca="1" si="21"/>
        <v>0</v>
      </c>
      <c r="BA24" t="b">
        <f t="shared" ca="1" si="22"/>
        <v>0</v>
      </c>
      <c r="BB24" t="b">
        <f t="shared" ca="1" si="23"/>
        <v>0</v>
      </c>
      <c r="BC24" t="b">
        <f t="shared" ca="1" si="24"/>
        <v>0</v>
      </c>
      <c r="BD24" t="b">
        <f t="shared" ca="1" si="25"/>
        <v>0</v>
      </c>
      <c r="BE24" t="b">
        <f t="shared" ca="1" si="26"/>
        <v>0</v>
      </c>
      <c r="BF24" t="b">
        <f t="shared" ca="1" si="27"/>
        <v>0</v>
      </c>
      <c r="BG24">
        <f t="shared" ref="BG24:BG53" ca="1" si="45">IF(AT24=FALSE,COUNTIF(AT24:BF24,TRUE)+1,COUNTIF(AT24:BF24,TRUE))</f>
        <v>1</v>
      </c>
      <c r="BH24">
        <f t="shared" ref="BH24:BH53" ca="1" si="46">BG24+10</f>
        <v>11</v>
      </c>
    </row>
    <row r="25" spans="1:60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25" t="str">
        <f t="shared" ca="1" si="28"/>
        <v>N/A</v>
      </c>
      <c r="G25" s="125"/>
      <c r="H25" s="125"/>
      <c r="I25" s="125" t="str">
        <f t="shared" si="39"/>
        <v>N/A</v>
      </c>
      <c r="J25" s="125" t="str">
        <f t="shared" si="40"/>
        <v>N/A</v>
      </c>
      <c r="K25" s="125" t="str">
        <f t="shared" si="41"/>
        <v>N/A</v>
      </c>
      <c r="L25" s="125" t="str">
        <f t="shared" si="42"/>
        <v>N/A</v>
      </c>
      <c r="M25" s="125" t="str">
        <f ca="1">IFERROR(IF(VLOOKUP($A25,LASTYR,'[3]2017'!$I$3,FALSE)=0,"N/A",VLOOKUP($A25,LASTYR,'[3]2017'!$I$3,FALSE)),"N/A")</f>
        <v>N/A</v>
      </c>
      <c r="N25" s="125" t="str">
        <f t="shared" ca="1" si="7"/>
        <v>N/A</v>
      </c>
      <c r="O25" s="125" t="str">
        <f t="shared" ca="1" si="43"/>
        <v>N/A</v>
      </c>
      <c r="P25" s="125" t="str">
        <f t="shared" ca="1" si="43"/>
        <v>N/A</v>
      </c>
      <c r="Q25" s="125" t="str">
        <f t="shared" ca="1" si="43"/>
        <v>N/A</v>
      </c>
      <c r="R25" s="125" t="str">
        <f t="shared" ca="1" si="43"/>
        <v>N/A</v>
      </c>
      <c r="S25" s="125" t="str">
        <f t="shared" ca="1" si="43"/>
        <v>N/A</v>
      </c>
      <c r="T25" s="125" t="str">
        <f t="shared" ca="1" si="43"/>
        <v>N/A</v>
      </c>
      <c r="U25" s="125" t="str">
        <f t="shared" ca="1" si="43"/>
        <v>N/A</v>
      </c>
      <c r="V25" s="125" t="str">
        <f t="shared" ca="1" si="43"/>
        <v>N/A</v>
      </c>
      <c r="W25" s="125" t="str">
        <f t="shared" ca="1" si="43"/>
        <v>N/A</v>
      </c>
      <c r="X25" s="125" t="str">
        <f t="shared" ca="1" si="43"/>
        <v>N/A</v>
      </c>
      <c r="Y25" s="77" t="str">
        <f t="shared" ca="1" si="8"/>
        <v>N/A</v>
      </c>
      <c r="Z25" s="77" t="str">
        <f t="shared" ca="1" si="9"/>
        <v>N/A</v>
      </c>
      <c r="AA25" s="125" t="e">
        <f t="shared" ca="1" si="44"/>
        <v>#VALUE!</v>
      </c>
      <c r="AB25" s="77" t="e">
        <f t="shared" ca="1" si="30"/>
        <v>#VALUE!</v>
      </c>
      <c r="AC25" s="77"/>
      <c r="AD25" s="184">
        <f t="shared" ca="1" si="36"/>
        <v>-1</v>
      </c>
      <c r="AE25" s="181" t="str">
        <f t="shared" si="11"/>
        <v>N/A</v>
      </c>
      <c r="AF25" s="190">
        <v>43100</v>
      </c>
      <c r="AG25" s="186" t="e">
        <f t="shared" si="12"/>
        <v>#VALUE!</v>
      </c>
      <c r="AH25" s="187" t="e">
        <f t="shared" si="31"/>
        <v>#VALUE!</v>
      </c>
      <c r="AI25" s="187" t="e">
        <f t="shared" ca="1" si="13"/>
        <v>#VALUE!</v>
      </c>
      <c r="AJ25" s="188" t="e">
        <f t="shared" ca="1" si="32"/>
        <v>#VALUE!</v>
      </c>
      <c r="AT25" t="b">
        <f t="shared" si="15"/>
        <v>0</v>
      </c>
      <c r="AU25" t="b">
        <f t="shared" ca="1" si="16"/>
        <v>0</v>
      </c>
      <c r="AV25" t="b">
        <f t="shared" ca="1" si="17"/>
        <v>0</v>
      </c>
      <c r="AW25" t="b">
        <f t="shared" ca="1" si="18"/>
        <v>0</v>
      </c>
      <c r="AX25" t="b">
        <f t="shared" ca="1" si="19"/>
        <v>0</v>
      </c>
      <c r="AY25" t="b">
        <f t="shared" ca="1" si="20"/>
        <v>0</v>
      </c>
      <c r="AZ25" t="b">
        <f t="shared" ca="1" si="21"/>
        <v>0</v>
      </c>
      <c r="BA25" t="b">
        <f t="shared" ca="1" si="22"/>
        <v>0</v>
      </c>
      <c r="BB25" t="b">
        <f t="shared" ca="1" si="23"/>
        <v>0</v>
      </c>
      <c r="BC25" t="b">
        <f t="shared" ca="1" si="24"/>
        <v>0</v>
      </c>
      <c r="BD25" t="b">
        <f t="shared" ca="1" si="25"/>
        <v>0</v>
      </c>
      <c r="BE25" t="b">
        <f t="shared" ca="1" si="26"/>
        <v>0</v>
      </c>
      <c r="BF25" t="b">
        <f t="shared" ca="1" si="27"/>
        <v>0</v>
      </c>
      <c r="BG25">
        <f t="shared" ca="1" si="45"/>
        <v>1</v>
      </c>
      <c r="BH25">
        <f t="shared" ca="1" si="46"/>
        <v>11</v>
      </c>
    </row>
    <row r="26" spans="1:60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25" t="str">
        <f t="shared" ca="1" si="28"/>
        <v>N/A</v>
      </c>
      <c r="G26" s="125"/>
      <c r="H26" s="125"/>
      <c r="I26" s="125" t="str">
        <f t="shared" si="39"/>
        <v>N/A</v>
      </c>
      <c r="J26" s="125" t="str">
        <f t="shared" si="40"/>
        <v>N/A</v>
      </c>
      <c r="K26" s="125" t="str">
        <f t="shared" si="41"/>
        <v>N/A</v>
      </c>
      <c r="L26" s="125" t="str">
        <f t="shared" si="42"/>
        <v>N/A</v>
      </c>
      <c r="M26" s="125" t="str">
        <f ca="1">IFERROR(IF(VLOOKUP($A26,LASTYR,'[3]2017'!$I$3,FALSE)=0,"N/A",VLOOKUP($A26,LASTYR,'[3]2017'!$I$3,FALSE)),"N/A")</f>
        <v>N/A</v>
      </c>
      <c r="N26" s="125" t="str">
        <f t="shared" ca="1" si="7"/>
        <v>N/A</v>
      </c>
      <c r="O26" s="125" t="str">
        <f t="shared" ca="1" si="43"/>
        <v>N/A</v>
      </c>
      <c r="P26" s="125" t="str">
        <f t="shared" ca="1" si="43"/>
        <v>N/A</v>
      </c>
      <c r="Q26" s="125" t="str">
        <f t="shared" ca="1" si="43"/>
        <v>N/A</v>
      </c>
      <c r="R26" s="125" t="str">
        <f t="shared" ca="1" si="43"/>
        <v>N/A</v>
      </c>
      <c r="S26" s="125" t="str">
        <f t="shared" ca="1" si="43"/>
        <v>N/A</v>
      </c>
      <c r="T26" s="125" t="str">
        <f t="shared" ca="1" si="43"/>
        <v>N/A</v>
      </c>
      <c r="U26" s="125" t="str">
        <f t="shared" ca="1" si="43"/>
        <v>N/A</v>
      </c>
      <c r="V26" s="125" t="str">
        <f t="shared" ca="1" si="43"/>
        <v>N/A</v>
      </c>
      <c r="W26" s="125" t="str">
        <f t="shared" ca="1" si="43"/>
        <v>N/A</v>
      </c>
      <c r="X26" s="125" t="str">
        <f t="shared" ca="1" si="43"/>
        <v>N/A</v>
      </c>
      <c r="Y26" s="77" t="str">
        <f t="shared" ca="1" si="8"/>
        <v>N/A</v>
      </c>
      <c r="Z26" s="77" t="str">
        <f t="shared" ca="1" si="9"/>
        <v>N/A</v>
      </c>
      <c r="AA26" s="125" t="e">
        <f t="shared" ca="1" si="44"/>
        <v>#VALUE!</v>
      </c>
      <c r="AB26" s="77" t="e">
        <f t="shared" ca="1" si="30"/>
        <v>#VALUE!</v>
      </c>
      <c r="AC26" s="77"/>
      <c r="AD26" s="184">
        <f t="shared" ca="1" si="36"/>
        <v>-1</v>
      </c>
      <c r="AE26" s="181" t="str">
        <f t="shared" si="11"/>
        <v>N/A</v>
      </c>
      <c r="AF26" s="190">
        <v>43100</v>
      </c>
      <c r="AG26" s="186" t="e">
        <f t="shared" si="12"/>
        <v>#VALUE!</v>
      </c>
      <c r="AH26" s="187" t="e">
        <f t="shared" si="31"/>
        <v>#VALUE!</v>
      </c>
      <c r="AI26" s="187" t="e">
        <f t="shared" ca="1" si="13"/>
        <v>#VALUE!</v>
      </c>
      <c r="AJ26" s="188" t="e">
        <f t="shared" ca="1" si="32"/>
        <v>#VALUE!</v>
      </c>
      <c r="AT26" t="b">
        <f t="shared" si="15"/>
        <v>0</v>
      </c>
      <c r="AU26" t="b">
        <f t="shared" ca="1" si="16"/>
        <v>0</v>
      </c>
      <c r="AV26" t="b">
        <f t="shared" ca="1" si="17"/>
        <v>0</v>
      </c>
      <c r="AW26" t="b">
        <f t="shared" ca="1" si="18"/>
        <v>0</v>
      </c>
      <c r="AX26" t="b">
        <f t="shared" ca="1" si="19"/>
        <v>0</v>
      </c>
      <c r="AY26" t="b">
        <f t="shared" ca="1" si="20"/>
        <v>0</v>
      </c>
      <c r="AZ26" t="b">
        <f t="shared" ca="1" si="21"/>
        <v>0</v>
      </c>
      <c r="BA26" t="b">
        <f t="shared" ca="1" si="22"/>
        <v>0</v>
      </c>
      <c r="BB26" t="b">
        <f t="shared" ca="1" si="23"/>
        <v>0</v>
      </c>
      <c r="BC26" t="b">
        <f t="shared" ca="1" si="24"/>
        <v>0</v>
      </c>
      <c r="BD26" t="b">
        <f t="shared" ca="1" si="25"/>
        <v>0</v>
      </c>
      <c r="BE26" t="b">
        <f t="shared" ca="1" si="26"/>
        <v>0</v>
      </c>
      <c r="BF26" t="b">
        <f t="shared" ca="1" si="27"/>
        <v>0</v>
      </c>
      <c r="BG26">
        <f t="shared" ca="1" si="45"/>
        <v>1</v>
      </c>
      <c r="BH26">
        <f t="shared" ca="1" si="46"/>
        <v>11</v>
      </c>
    </row>
    <row r="27" spans="1:60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25" t="str">
        <f t="shared" ca="1" si="28"/>
        <v>N/A</v>
      </c>
      <c r="G27" s="125"/>
      <c r="H27" s="125"/>
      <c r="I27" s="125" t="str">
        <f t="shared" si="39"/>
        <v>N/A</v>
      </c>
      <c r="J27" s="125" t="str">
        <f t="shared" si="40"/>
        <v>N/A</v>
      </c>
      <c r="K27" s="125" t="str">
        <f t="shared" si="41"/>
        <v>N/A</v>
      </c>
      <c r="L27" s="125" t="str">
        <f t="shared" si="42"/>
        <v>N/A</v>
      </c>
      <c r="M27" s="125" t="str">
        <f ca="1">IFERROR(IF(VLOOKUP($A27,LASTYR,'[3]2017'!$I$3,FALSE)=0,"N/A",VLOOKUP($A27,LASTYR,'[3]2017'!$I$3,FALSE)),"N/A")</f>
        <v>N/A</v>
      </c>
      <c r="N27" s="125" t="str">
        <f t="shared" ca="1" si="7"/>
        <v>N/A</v>
      </c>
      <c r="O27" s="125" t="str">
        <f t="shared" ca="1" si="43"/>
        <v>N/A</v>
      </c>
      <c r="P27" s="125" t="str">
        <f t="shared" ca="1" si="43"/>
        <v>N/A</v>
      </c>
      <c r="Q27" s="125" t="str">
        <f t="shared" ca="1" si="43"/>
        <v>N/A</v>
      </c>
      <c r="R27" s="125" t="str">
        <f t="shared" ca="1" si="43"/>
        <v>N/A</v>
      </c>
      <c r="S27" s="125" t="str">
        <f t="shared" ca="1" si="43"/>
        <v>N/A</v>
      </c>
      <c r="T27" s="125" t="str">
        <f t="shared" ca="1" si="43"/>
        <v>N/A</v>
      </c>
      <c r="U27" s="125" t="str">
        <f t="shared" ca="1" si="43"/>
        <v>N/A</v>
      </c>
      <c r="V27" s="125" t="str">
        <f t="shared" ca="1" si="43"/>
        <v>N/A</v>
      </c>
      <c r="W27" s="125" t="str">
        <f t="shared" ca="1" si="43"/>
        <v>N/A</v>
      </c>
      <c r="X27" s="125" t="str">
        <f t="shared" ca="1" si="43"/>
        <v>N/A</v>
      </c>
      <c r="Y27" s="77" t="str">
        <f t="shared" ca="1" si="8"/>
        <v>N/A</v>
      </c>
      <c r="Z27" s="77" t="str">
        <f t="shared" ca="1" si="9"/>
        <v>N/A</v>
      </c>
      <c r="AA27" s="125" t="e">
        <f t="shared" ca="1" si="44"/>
        <v>#VALUE!</v>
      </c>
      <c r="AB27" s="77" t="e">
        <f t="shared" ca="1" si="30"/>
        <v>#VALUE!</v>
      </c>
      <c r="AC27" s="77"/>
      <c r="AD27" s="184">
        <f t="shared" ca="1" si="36"/>
        <v>-1</v>
      </c>
      <c r="AE27" s="181" t="str">
        <f t="shared" si="11"/>
        <v>N/A</v>
      </c>
      <c r="AF27" s="190">
        <v>43100</v>
      </c>
      <c r="AG27" s="186" t="e">
        <f t="shared" si="12"/>
        <v>#VALUE!</v>
      </c>
      <c r="AH27" s="187" t="e">
        <f t="shared" si="31"/>
        <v>#VALUE!</v>
      </c>
      <c r="AI27" s="187" t="e">
        <f t="shared" ca="1" si="13"/>
        <v>#VALUE!</v>
      </c>
      <c r="AJ27" s="188" t="e">
        <f t="shared" ca="1" si="32"/>
        <v>#VALUE!</v>
      </c>
      <c r="AT27" t="b">
        <f t="shared" si="15"/>
        <v>0</v>
      </c>
      <c r="AU27" t="b">
        <f t="shared" ca="1" si="16"/>
        <v>0</v>
      </c>
      <c r="AV27" t="b">
        <f t="shared" ca="1" si="17"/>
        <v>0</v>
      </c>
      <c r="AW27" t="b">
        <f t="shared" ca="1" si="18"/>
        <v>0</v>
      </c>
      <c r="AX27" t="b">
        <f t="shared" ca="1" si="19"/>
        <v>0</v>
      </c>
      <c r="AY27" t="b">
        <f t="shared" ca="1" si="20"/>
        <v>0</v>
      </c>
      <c r="AZ27" t="b">
        <f t="shared" ca="1" si="21"/>
        <v>0</v>
      </c>
      <c r="BA27" t="b">
        <f t="shared" ca="1" si="22"/>
        <v>0</v>
      </c>
      <c r="BB27" t="b">
        <f t="shared" ca="1" si="23"/>
        <v>0</v>
      </c>
      <c r="BC27" t="b">
        <f t="shared" ca="1" si="24"/>
        <v>0</v>
      </c>
      <c r="BD27" t="b">
        <f t="shared" ca="1" si="25"/>
        <v>0</v>
      </c>
      <c r="BE27" t="b">
        <f t="shared" ca="1" si="26"/>
        <v>0</v>
      </c>
      <c r="BF27" t="b">
        <f t="shared" ca="1" si="27"/>
        <v>0</v>
      </c>
      <c r="BG27">
        <f t="shared" ca="1" si="45"/>
        <v>1</v>
      </c>
      <c r="BH27">
        <f t="shared" ca="1" si="46"/>
        <v>11</v>
      </c>
    </row>
    <row r="28" spans="1:60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25" t="str">
        <f t="shared" ca="1" si="28"/>
        <v>N/A</v>
      </c>
      <c r="G28" s="125"/>
      <c r="H28" s="125"/>
      <c r="I28" s="125" t="str">
        <f t="shared" si="39"/>
        <v>N/A</v>
      </c>
      <c r="J28" s="125" t="str">
        <f t="shared" si="40"/>
        <v>N/A</v>
      </c>
      <c r="K28" s="125" t="str">
        <f t="shared" si="41"/>
        <v>N/A</v>
      </c>
      <c r="L28" s="125" t="str">
        <f t="shared" si="42"/>
        <v>N/A</v>
      </c>
      <c r="M28" s="125" t="str">
        <f ca="1">IFERROR(IF(VLOOKUP($A28,LASTYR,'[3]2017'!$I$3,FALSE)=0,"N/A",VLOOKUP($A28,LASTYR,'[3]2017'!$I$3,FALSE)),"N/A")</f>
        <v>N/A</v>
      </c>
      <c r="N28" s="125" t="str">
        <f t="shared" ca="1" si="7"/>
        <v>N/A</v>
      </c>
      <c r="O28" s="125" t="str">
        <f t="shared" ca="1" si="43"/>
        <v>N/A</v>
      </c>
      <c r="P28" s="125" t="str">
        <f t="shared" ca="1" si="43"/>
        <v>N/A</v>
      </c>
      <c r="Q28" s="125" t="str">
        <f t="shared" ca="1" si="43"/>
        <v>N/A</v>
      </c>
      <c r="R28" s="125" t="str">
        <f t="shared" ca="1" si="43"/>
        <v>N/A</v>
      </c>
      <c r="S28" s="125" t="str">
        <f t="shared" ca="1" si="43"/>
        <v>N/A</v>
      </c>
      <c r="T28" s="125" t="str">
        <f t="shared" ca="1" si="43"/>
        <v>N/A</v>
      </c>
      <c r="U28" s="125" t="str">
        <f t="shared" ca="1" si="43"/>
        <v>N/A</v>
      </c>
      <c r="V28" s="125" t="str">
        <f t="shared" ca="1" si="43"/>
        <v>N/A</v>
      </c>
      <c r="W28" s="125" t="str">
        <f t="shared" ca="1" si="43"/>
        <v>N/A</v>
      </c>
      <c r="X28" s="125" t="str">
        <f t="shared" ca="1" si="43"/>
        <v>N/A</v>
      </c>
      <c r="Y28" s="77" t="str">
        <f t="shared" ca="1" si="8"/>
        <v>N/A</v>
      </c>
      <c r="Z28" s="77" t="str">
        <f t="shared" ca="1" si="9"/>
        <v>N/A</v>
      </c>
      <c r="AA28" s="125" t="e">
        <f t="shared" ca="1" si="44"/>
        <v>#VALUE!</v>
      </c>
      <c r="AB28" s="77" t="e">
        <f t="shared" ca="1" si="30"/>
        <v>#VALUE!</v>
      </c>
      <c r="AC28" s="77"/>
      <c r="AD28" s="184">
        <f t="shared" ca="1" si="36"/>
        <v>-1</v>
      </c>
      <c r="AE28" s="181" t="str">
        <f t="shared" si="11"/>
        <v>N/A</v>
      </c>
      <c r="AF28" s="190">
        <v>43100</v>
      </c>
      <c r="AG28" s="186" t="e">
        <f t="shared" si="12"/>
        <v>#VALUE!</v>
      </c>
      <c r="AH28" s="187" t="e">
        <f t="shared" si="31"/>
        <v>#VALUE!</v>
      </c>
      <c r="AI28" s="187" t="e">
        <f t="shared" ca="1" si="13"/>
        <v>#VALUE!</v>
      </c>
      <c r="AJ28" s="188" t="e">
        <f t="shared" ca="1" si="32"/>
        <v>#VALUE!</v>
      </c>
      <c r="AT28" t="b">
        <f t="shared" si="15"/>
        <v>0</v>
      </c>
      <c r="AU28" t="b">
        <f t="shared" ca="1" si="16"/>
        <v>0</v>
      </c>
      <c r="AV28" t="b">
        <f t="shared" ca="1" si="17"/>
        <v>0</v>
      </c>
      <c r="AW28" t="b">
        <f t="shared" ca="1" si="18"/>
        <v>0</v>
      </c>
      <c r="AX28" t="b">
        <f t="shared" ca="1" si="19"/>
        <v>0</v>
      </c>
      <c r="AY28" t="b">
        <f t="shared" ca="1" si="20"/>
        <v>0</v>
      </c>
      <c r="AZ28" t="b">
        <f t="shared" ca="1" si="21"/>
        <v>0</v>
      </c>
      <c r="BA28" t="b">
        <f t="shared" ca="1" si="22"/>
        <v>0</v>
      </c>
      <c r="BB28" t="b">
        <f t="shared" ca="1" si="23"/>
        <v>0</v>
      </c>
      <c r="BC28" t="b">
        <f t="shared" ca="1" si="24"/>
        <v>0</v>
      </c>
      <c r="BD28" t="b">
        <f t="shared" ca="1" si="25"/>
        <v>0</v>
      </c>
      <c r="BE28" t="b">
        <f t="shared" ca="1" si="26"/>
        <v>0</v>
      </c>
      <c r="BF28" t="b">
        <f t="shared" ca="1" si="27"/>
        <v>0</v>
      </c>
      <c r="BG28">
        <f t="shared" ca="1" si="45"/>
        <v>1</v>
      </c>
      <c r="BH28">
        <f t="shared" ca="1" si="46"/>
        <v>11</v>
      </c>
    </row>
    <row r="29" spans="1:60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25" t="str">
        <f t="shared" ca="1" si="28"/>
        <v>N/A</v>
      </c>
      <c r="G29" s="125"/>
      <c r="H29" s="125"/>
      <c r="I29" s="125" t="str">
        <f t="shared" si="39"/>
        <v>N/A</v>
      </c>
      <c r="J29" s="125" t="str">
        <f t="shared" si="40"/>
        <v>N/A</v>
      </c>
      <c r="K29" s="125" t="str">
        <f t="shared" si="41"/>
        <v>N/A</v>
      </c>
      <c r="L29" s="125" t="str">
        <f t="shared" si="42"/>
        <v>N/A</v>
      </c>
      <c r="M29" s="125" t="str">
        <f ca="1">IFERROR(IF(VLOOKUP($A29,LASTYR,'[3]2017'!$I$3,FALSE)=0,"N/A",VLOOKUP($A29,LASTYR,'[3]2017'!$I$3,FALSE)),"N/A")</f>
        <v>N/A</v>
      </c>
      <c r="N29" s="125" t="str">
        <f t="shared" ref="N29:N57" ca="1" si="47">IFERROR(IF(INDEX(Dividends,$B29,N$12)=0,"N/A",INDEX(Dividends,$B29,N$12)),"N/A")</f>
        <v>N/A</v>
      </c>
      <c r="O29" s="125" t="str">
        <f t="shared" ca="1" si="43"/>
        <v>N/A</v>
      </c>
      <c r="P29" s="125" t="str">
        <f t="shared" ca="1" si="43"/>
        <v>N/A</v>
      </c>
      <c r="Q29" s="125" t="str">
        <f t="shared" ca="1" si="43"/>
        <v>N/A</v>
      </c>
      <c r="R29" s="125" t="str">
        <f t="shared" ca="1" si="43"/>
        <v>N/A</v>
      </c>
      <c r="S29" s="125" t="str">
        <f t="shared" ca="1" si="43"/>
        <v>N/A</v>
      </c>
      <c r="T29" s="125" t="str">
        <f t="shared" ca="1" si="43"/>
        <v>N/A</v>
      </c>
      <c r="U29" s="125" t="str">
        <f t="shared" ca="1" si="43"/>
        <v>N/A</v>
      </c>
      <c r="V29" s="125" t="str">
        <f t="shared" ca="1" si="43"/>
        <v>N/A</v>
      </c>
      <c r="W29" s="125" t="str">
        <f t="shared" ca="1" si="43"/>
        <v>N/A</v>
      </c>
      <c r="X29" s="125" t="str">
        <f t="shared" ca="1" si="43"/>
        <v>N/A</v>
      </c>
      <c r="Y29" s="77" t="str">
        <f t="shared" ca="1" si="8"/>
        <v>N/A</v>
      </c>
      <c r="Z29" s="77" t="str">
        <f t="shared" ca="1" si="9"/>
        <v>N/A</v>
      </c>
      <c r="AA29" s="125" t="e">
        <f t="shared" ca="1" si="44"/>
        <v>#VALUE!</v>
      </c>
      <c r="AB29" s="77" t="e">
        <f t="shared" ca="1" si="30"/>
        <v>#VALUE!</v>
      </c>
      <c r="AC29" s="77"/>
      <c r="AD29" s="184">
        <f t="shared" ca="1" si="36"/>
        <v>-1</v>
      </c>
      <c r="AE29" s="181" t="str">
        <f t="shared" si="11"/>
        <v>N/A</v>
      </c>
      <c r="AF29" s="190">
        <v>43100</v>
      </c>
      <c r="AG29" s="186" t="e">
        <f t="shared" si="12"/>
        <v>#VALUE!</v>
      </c>
      <c r="AH29" s="187" t="e">
        <f t="shared" si="31"/>
        <v>#VALUE!</v>
      </c>
      <c r="AI29" s="187" t="e">
        <f t="shared" ca="1" si="13"/>
        <v>#VALUE!</v>
      </c>
      <c r="AJ29" s="188" t="e">
        <f t="shared" ca="1" si="32"/>
        <v>#VALUE!</v>
      </c>
      <c r="AT29" t="b">
        <f t="shared" si="15"/>
        <v>0</v>
      </c>
      <c r="AU29" t="b">
        <f t="shared" ca="1" si="16"/>
        <v>0</v>
      </c>
      <c r="AV29" t="b">
        <f t="shared" ca="1" si="17"/>
        <v>0</v>
      </c>
      <c r="AW29" t="b">
        <f t="shared" ca="1" si="18"/>
        <v>0</v>
      </c>
      <c r="AX29" t="b">
        <f t="shared" ca="1" si="19"/>
        <v>0</v>
      </c>
      <c r="AY29" t="b">
        <f t="shared" ca="1" si="20"/>
        <v>0</v>
      </c>
      <c r="AZ29" t="b">
        <f t="shared" ca="1" si="21"/>
        <v>0</v>
      </c>
      <c r="BA29" t="b">
        <f t="shared" ca="1" si="22"/>
        <v>0</v>
      </c>
      <c r="BB29" t="b">
        <f t="shared" ca="1" si="23"/>
        <v>0</v>
      </c>
      <c r="BC29" t="b">
        <f t="shared" ca="1" si="24"/>
        <v>0</v>
      </c>
      <c r="BD29" t="b">
        <f t="shared" ca="1" si="25"/>
        <v>0</v>
      </c>
      <c r="BE29" t="b">
        <f t="shared" ca="1" si="26"/>
        <v>0</v>
      </c>
      <c r="BF29" t="b">
        <f t="shared" ca="1" si="27"/>
        <v>0</v>
      </c>
      <c r="BG29">
        <f t="shared" ca="1" si="45"/>
        <v>1</v>
      </c>
      <c r="BH29">
        <f t="shared" ca="1" si="46"/>
        <v>11</v>
      </c>
    </row>
    <row r="30" spans="1:60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25" t="str">
        <f t="shared" ca="1" si="28"/>
        <v>N/A</v>
      </c>
      <c r="G30" s="125"/>
      <c r="H30" s="125"/>
      <c r="I30" s="125" t="str">
        <f t="shared" si="39"/>
        <v>N/A</v>
      </c>
      <c r="J30" s="125" t="str">
        <f t="shared" si="40"/>
        <v>N/A</v>
      </c>
      <c r="K30" s="125" t="str">
        <f t="shared" si="41"/>
        <v>N/A</v>
      </c>
      <c r="L30" s="125" t="str">
        <f t="shared" si="42"/>
        <v>N/A</v>
      </c>
      <c r="M30" s="125" t="str">
        <f ca="1">IFERROR(IF(VLOOKUP($A30,LASTYR,'[3]2017'!$I$3,FALSE)=0,"N/A",VLOOKUP($A30,LASTYR,'[3]2017'!$I$3,FALSE)),"N/A")</f>
        <v>N/A</v>
      </c>
      <c r="N30" s="125" t="str">
        <f t="shared" ca="1" si="47"/>
        <v>N/A</v>
      </c>
      <c r="O30" s="125" t="str">
        <f t="shared" ca="1" si="43"/>
        <v>N/A</v>
      </c>
      <c r="P30" s="125" t="str">
        <f t="shared" ca="1" si="43"/>
        <v>N/A</v>
      </c>
      <c r="Q30" s="125" t="str">
        <f t="shared" ca="1" si="43"/>
        <v>N/A</v>
      </c>
      <c r="R30" s="125" t="str">
        <f t="shared" ca="1" si="43"/>
        <v>N/A</v>
      </c>
      <c r="S30" s="125" t="str">
        <f t="shared" ca="1" si="43"/>
        <v>N/A</v>
      </c>
      <c r="T30" s="125" t="str">
        <f t="shared" ca="1" si="43"/>
        <v>N/A</v>
      </c>
      <c r="U30" s="125" t="str">
        <f t="shared" ca="1" si="43"/>
        <v>N/A</v>
      </c>
      <c r="V30" s="125" t="str">
        <f t="shared" ca="1" si="43"/>
        <v>N/A</v>
      </c>
      <c r="W30" s="125" t="str">
        <f t="shared" ca="1" si="43"/>
        <v>N/A</v>
      </c>
      <c r="X30" s="125" t="str">
        <f t="shared" ca="1" si="43"/>
        <v>N/A</v>
      </c>
      <c r="Y30" s="77" t="str">
        <f t="shared" ca="1" si="8"/>
        <v>N/A</v>
      </c>
      <c r="Z30" s="77" t="str">
        <f t="shared" ca="1" si="9"/>
        <v>N/A</v>
      </c>
      <c r="AA30" s="125" t="e">
        <f t="shared" ca="1" si="44"/>
        <v>#VALUE!</v>
      </c>
      <c r="AB30" s="77" t="e">
        <f t="shared" ca="1" si="30"/>
        <v>#VALUE!</v>
      </c>
      <c r="AC30" s="77"/>
      <c r="AD30" s="184">
        <f t="shared" ca="1" si="36"/>
        <v>-1</v>
      </c>
      <c r="AE30" s="181" t="str">
        <f t="shared" si="11"/>
        <v>N/A</v>
      </c>
      <c r="AF30" s="190">
        <v>43100</v>
      </c>
      <c r="AG30" s="186" t="e">
        <f t="shared" si="12"/>
        <v>#VALUE!</v>
      </c>
      <c r="AH30" s="187" t="e">
        <f t="shared" si="31"/>
        <v>#VALUE!</v>
      </c>
      <c r="AI30" s="187" t="e">
        <f t="shared" ca="1" si="13"/>
        <v>#VALUE!</v>
      </c>
      <c r="AJ30" s="188" t="e">
        <f t="shared" ca="1" si="32"/>
        <v>#VALUE!</v>
      </c>
      <c r="AT30" t="b">
        <f t="shared" si="15"/>
        <v>0</v>
      </c>
      <c r="AU30" t="b">
        <f t="shared" ca="1" si="16"/>
        <v>0</v>
      </c>
      <c r="AV30" t="b">
        <f t="shared" ca="1" si="17"/>
        <v>0</v>
      </c>
      <c r="AW30" t="b">
        <f t="shared" ca="1" si="18"/>
        <v>0</v>
      </c>
      <c r="AX30" t="b">
        <f t="shared" ca="1" si="19"/>
        <v>0</v>
      </c>
      <c r="AY30" t="b">
        <f t="shared" ca="1" si="20"/>
        <v>0</v>
      </c>
      <c r="AZ30" t="b">
        <f t="shared" ca="1" si="21"/>
        <v>0</v>
      </c>
      <c r="BA30" t="b">
        <f t="shared" ca="1" si="22"/>
        <v>0</v>
      </c>
      <c r="BB30" t="b">
        <f t="shared" ca="1" si="23"/>
        <v>0</v>
      </c>
      <c r="BC30" t="b">
        <f t="shared" ca="1" si="24"/>
        <v>0</v>
      </c>
      <c r="BD30" t="b">
        <f t="shared" ca="1" si="25"/>
        <v>0</v>
      </c>
      <c r="BE30" t="b">
        <f t="shared" ca="1" si="26"/>
        <v>0</v>
      </c>
      <c r="BF30" t="b">
        <f t="shared" ca="1" si="27"/>
        <v>0</v>
      </c>
      <c r="BG30">
        <f t="shared" ca="1" si="45"/>
        <v>1</v>
      </c>
      <c r="BH30">
        <f t="shared" ca="1" si="46"/>
        <v>11</v>
      </c>
    </row>
    <row r="31" spans="1:60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25" t="str">
        <f t="shared" ca="1" si="28"/>
        <v>N/A</v>
      </c>
      <c r="G31" s="125"/>
      <c r="H31" s="125"/>
      <c r="I31" s="125" t="str">
        <f t="shared" si="39"/>
        <v>N/A</v>
      </c>
      <c r="J31" s="125" t="str">
        <f t="shared" si="40"/>
        <v>N/A</v>
      </c>
      <c r="K31" s="125" t="str">
        <f t="shared" si="41"/>
        <v>N/A</v>
      </c>
      <c r="L31" s="125" t="str">
        <f t="shared" si="42"/>
        <v>N/A</v>
      </c>
      <c r="M31" s="125" t="str">
        <f ca="1">IFERROR(IF(VLOOKUP($A31,LASTYR,'[3]2017'!$I$3,FALSE)=0,"N/A",VLOOKUP($A31,LASTYR,'[3]2017'!$I$3,FALSE)),"N/A")</f>
        <v>N/A</v>
      </c>
      <c r="N31" s="125" t="str">
        <f t="shared" ca="1" si="47"/>
        <v>N/A</v>
      </c>
      <c r="O31" s="125" t="str">
        <f t="shared" ca="1" si="43"/>
        <v>N/A</v>
      </c>
      <c r="P31" s="125" t="str">
        <f t="shared" ca="1" si="43"/>
        <v>N/A</v>
      </c>
      <c r="Q31" s="125" t="str">
        <f t="shared" ca="1" si="43"/>
        <v>N/A</v>
      </c>
      <c r="R31" s="125" t="str">
        <f t="shared" ca="1" si="43"/>
        <v>N/A</v>
      </c>
      <c r="S31" s="125" t="str">
        <f t="shared" ca="1" si="43"/>
        <v>N/A</v>
      </c>
      <c r="T31" s="125" t="str">
        <f t="shared" ca="1" si="43"/>
        <v>N/A</v>
      </c>
      <c r="U31" s="125" t="str">
        <f t="shared" ca="1" si="43"/>
        <v>N/A</v>
      </c>
      <c r="V31" s="125" t="str">
        <f t="shared" ca="1" si="43"/>
        <v>N/A</v>
      </c>
      <c r="W31" s="125" t="str">
        <f t="shared" ca="1" si="43"/>
        <v>N/A</v>
      </c>
      <c r="X31" s="125" t="str">
        <f t="shared" ca="1" si="43"/>
        <v>N/A</v>
      </c>
      <c r="Y31" s="77" t="str">
        <f t="shared" ca="1" si="8"/>
        <v>N/A</v>
      </c>
      <c r="Z31" s="77" t="str">
        <f t="shared" ca="1" si="9"/>
        <v>N/A</v>
      </c>
      <c r="AA31" s="125" t="e">
        <f t="shared" ca="1" si="44"/>
        <v>#VALUE!</v>
      </c>
      <c r="AB31" s="77" t="e">
        <f t="shared" ca="1" si="30"/>
        <v>#VALUE!</v>
      </c>
      <c r="AC31" s="77"/>
      <c r="AD31" s="184">
        <f t="shared" ca="1" si="36"/>
        <v>-1</v>
      </c>
      <c r="AE31" s="181" t="str">
        <f t="shared" si="11"/>
        <v>N/A</v>
      </c>
      <c r="AF31" s="190">
        <v>43100</v>
      </c>
      <c r="AG31" s="186" t="e">
        <f t="shared" si="12"/>
        <v>#VALUE!</v>
      </c>
      <c r="AH31" s="187" t="e">
        <f t="shared" si="31"/>
        <v>#VALUE!</v>
      </c>
      <c r="AI31" s="187" t="e">
        <f t="shared" ca="1" si="13"/>
        <v>#VALUE!</v>
      </c>
      <c r="AJ31" s="188" t="e">
        <f t="shared" ca="1" si="32"/>
        <v>#VALUE!</v>
      </c>
      <c r="AT31" t="b">
        <f t="shared" si="15"/>
        <v>0</v>
      </c>
      <c r="AU31" t="b">
        <f t="shared" ca="1" si="16"/>
        <v>0</v>
      </c>
      <c r="AV31" t="b">
        <f t="shared" ca="1" si="17"/>
        <v>0</v>
      </c>
      <c r="AW31" t="b">
        <f t="shared" ca="1" si="18"/>
        <v>0</v>
      </c>
      <c r="AX31" t="b">
        <f t="shared" ca="1" si="19"/>
        <v>0</v>
      </c>
      <c r="AY31" t="b">
        <f t="shared" ca="1" si="20"/>
        <v>0</v>
      </c>
      <c r="AZ31" t="b">
        <f t="shared" ca="1" si="21"/>
        <v>0</v>
      </c>
      <c r="BA31" t="b">
        <f t="shared" ca="1" si="22"/>
        <v>0</v>
      </c>
      <c r="BB31" t="b">
        <f t="shared" ca="1" si="23"/>
        <v>0</v>
      </c>
      <c r="BC31" t="b">
        <f t="shared" ca="1" si="24"/>
        <v>0</v>
      </c>
      <c r="BD31" t="b">
        <f t="shared" ca="1" si="25"/>
        <v>0</v>
      </c>
      <c r="BE31" t="b">
        <f t="shared" ca="1" si="26"/>
        <v>0</v>
      </c>
      <c r="BF31" t="b">
        <f t="shared" ca="1" si="27"/>
        <v>0</v>
      </c>
      <c r="BG31">
        <f t="shared" ca="1" si="45"/>
        <v>1</v>
      </c>
      <c r="BH31">
        <f t="shared" ca="1" si="46"/>
        <v>11</v>
      </c>
    </row>
    <row r="32" spans="1:60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25" t="str">
        <f t="shared" ca="1" si="28"/>
        <v>N/A</v>
      </c>
      <c r="G32" s="125"/>
      <c r="H32" s="125"/>
      <c r="I32" s="125" t="str">
        <f t="shared" si="39"/>
        <v>N/A</v>
      </c>
      <c r="J32" s="125" t="str">
        <f t="shared" si="40"/>
        <v>N/A</v>
      </c>
      <c r="K32" s="125" t="str">
        <f t="shared" si="41"/>
        <v>N/A</v>
      </c>
      <c r="L32" s="125" t="str">
        <f t="shared" si="42"/>
        <v>N/A</v>
      </c>
      <c r="M32" s="125" t="str">
        <f ca="1">IFERROR(IF(VLOOKUP($A32,LASTYR,'[3]2017'!$I$3,FALSE)=0,"N/A",VLOOKUP($A32,LASTYR,'[3]2017'!$I$3,FALSE)),"N/A")</f>
        <v>N/A</v>
      </c>
      <c r="N32" s="125" t="str">
        <f t="shared" ca="1" si="47"/>
        <v>N/A</v>
      </c>
      <c r="O32" s="125" t="str">
        <f t="shared" ca="1" si="43"/>
        <v>N/A</v>
      </c>
      <c r="P32" s="125" t="str">
        <f t="shared" ca="1" si="43"/>
        <v>N/A</v>
      </c>
      <c r="Q32" s="125" t="str">
        <f t="shared" ca="1" si="43"/>
        <v>N/A</v>
      </c>
      <c r="R32" s="125" t="str">
        <f t="shared" ca="1" si="43"/>
        <v>N/A</v>
      </c>
      <c r="S32" s="125" t="str">
        <f t="shared" ca="1" si="43"/>
        <v>N/A</v>
      </c>
      <c r="T32" s="125" t="str">
        <f t="shared" ca="1" si="43"/>
        <v>N/A</v>
      </c>
      <c r="U32" s="125" t="str">
        <f t="shared" ca="1" si="43"/>
        <v>N/A</v>
      </c>
      <c r="V32" s="125" t="str">
        <f t="shared" ca="1" si="43"/>
        <v>N/A</v>
      </c>
      <c r="W32" s="125" t="str">
        <f t="shared" ca="1" si="43"/>
        <v>N/A</v>
      </c>
      <c r="X32" s="125" t="str">
        <f t="shared" ca="1" si="43"/>
        <v>N/A</v>
      </c>
      <c r="Y32" s="77" t="str">
        <f t="shared" ca="1" si="8"/>
        <v>N/A</v>
      </c>
      <c r="Z32" s="77" t="str">
        <f t="shared" ca="1" si="9"/>
        <v>N/A</v>
      </c>
      <c r="AA32" s="125" t="e">
        <f t="shared" ca="1" si="44"/>
        <v>#VALUE!</v>
      </c>
      <c r="AB32" s="77" t="e">
        <f t="shared" ca="1" si="30"/>
        <v>#VALUE!</v>
      </c>
      <c r="AC32" s="77"/>
      <c r="AD32" s="184">
        <f t="shared" ca="1" si="36"/>
        <v>-1</v>
      </c>
      <c r="AE32" s="181" t="str">
        <f t="shared" si="11"/>
        <v>N/A</v>
      </c>
      <c r="AF32" s="190">
        <v>43100</v>
      </c>
      <c r="AG32" s="186" t="e">
        <f t="shared" si="12"/>
        <v>#VALUE!</v>
      </c>
      <c r="AH32" s="187" t="e">
        <f t="shared" si="31"/>
        <v>#VALUE!</v>
      </c>
      <c r="AI32" s="187" t="e">
        <f t="shared" ca="1" si="13"/>
        <v>#VALUE!</v>
      </c>
      <c r="AJ32" s="188" t="e">
        <f t="shared" ca="1" si="32"/>
        <v>#VALUE!</v>
      </c>
      <c r="AT32" t="b">
        <f t="shared" si="15"/>
        <v>0</v>
      </c>
      <c r="AU32" t="b">
        <f t="shared" ca="1" si="16"/>
        <v>0</v>
      </c>
      <c r="AV32" t="b">
        <f t="shared" ca="1" si="17"/>
        <v>0</v>
      </c>
      <c r="AW32" t="b">
        <f t="shared" ca="1" si="18"/>
        <v>0</v>
      </c>
      <c r="AX32" t="b">
        <f t="shared" ca="1" si="19"/>
        <v>0</v>
      </c>
      <c r="AY32" t="b">
        <f t="shared" ca="1" si="20"/>
        <v>0</v>
      </c>
      <c r="AZ32" t="b">
        <f t="shared" ca="1" si="21"/>
        <v>0</v>
      </c>
      <c r="BA32" t="b">
        <f t="shared" ca="1" si="22"/>
        <v>0</v>
      </c>
      <c r="BB32" t="b">
        <f t="shared" ca="1" si="23"/>
        <v>0</v>
      </c>
      <c r="BC32" t="b">
        <f t="shared" ca="1" si="24"/>
        <v>0</v>
      </c>
      <c r="BD32" t="b">
        <f t="shared" ca="1" si="25"/>
        <v>0</v>
      </c>
      <c r="BE32" t="b">
        <f t="shared" ca="1" si="26"/>
        <v>0</v>
      </c>
      <c r="BF32" t="b">
        <f t="shared" ca="1" si="27"/>
        <v>0</v>
      </c>
      <c r="BG32">
        <f t="shared" ca="1" si="45"/>
        <v>1</v>
      </c>
      <c r="BH32">
        <f t="shared" ca="1" si="46"/>
        <v>11</v>
      </c>
    </row>
    <row r="33" spans="1:60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25" t="str">
        <f t="shared" ca="1" si="28"/>
        <v>N/A</v>
      </c>
      <c r="G33" s="125"/>
      <c r="H33" s="125"/>
      <c r="I33" s="125" t="str">
        <f t="shared" si="39"/>
        <v>N/A</v>
      </c>
      <c r="J33" s="125" t="str">
        <f t="shared" si="40"/>
        <v>N/A</v>
      </c>
      <c r="K33" s="125" t="str">
        <f t="shared" si="41"/>
        <v>N/A</v>
      </c>
      <c r="L33" s="125" t="str">
        <f t="shared" si="42"/>
        <v>N/A</v>
      </c>
      <c r="M33" s="125" t="str">
        <f ca="1">IFERROR(IF(VLOOKUP($A33,LASTYR,'[3]2017'!$I$3,FALSE)=0,"N/A",VLOOKUP($A33,LASTYR,'[3]2017'!$I$3,FALSE)),"N/A")</f>
        <v>N/A</v>
      </c>
      <c r="N33" s="125" t="str">
        <f t="shared" ca="1" si="47"/>
        <v>N/A</v>
      </c>
      <c r="O33" s="125" t="str">
        <f t="shared" ref="O33:X42" ca="1" si="48">IFERROR(IF(INDEX(Dividends,$B33,O$12)=0,"N/A",INDEX(Dividends,$B33,O$12)),"N/A")</f>
        <v>N/A</v>
      </c>
      <c r="P33" s="125" t="str">
        <f t="shared" ca="1" si="48"/>
        <v>N/A</v>
      </c>
      <c r="Q33" s="125" t="str">
        <f t="shared" ca="1" si="48"/>
        <v>N/A</v>
      </c>
      <c r="R33" s="125" t="str">
        <f t="shared" ca="1" si="48"/>
        <v>N/A</v>
      </c>
      <c r="S33" s="125" t="str">
        <f t="shared" ca="1" si="48"/>
        <v>N/A</v>
      </c>
      <c r="T33" s="125" t="str">
        <f t="shared" ca="1" si="48"/>
        <v>N/A</v>
      </c>
      <c r="U33" s="125" t="str">
        <f t="shared" ca="1" si="48"/>
        <v>N/A</v>
      </c>
      <c r="V33" s="125" t="str">
        <f t="shared" ca="1" si="48"/>
        <v>N/A</v>
      </c>
      <c r="W33" s="125" t="str">
        <f t="shared" ca="1" si="48"/>
        <v>N/A</v>
      </c>
      <c r="X33" s="125" t="str">
        <f t="shared" ca="1" si="48"/>
        <v>N/A</v>
      </c>
      <c r="Y33" s="77" t="str">
        <f t="shared" si="8"/>
        <v>N/A</v>
      </c>
      <c r="Z33" s="77" t="str">
        <f t="shared" ca="1" si="9"/>
        <v>N/A</v>
      </c>
      <c r="AA33" s="125" t="e">
        <f ca="1">(M33/X33)^(1/10)-1</f>
        <v>#VALUE!</v>
      </c>
      <c r="AB33" s="77" t="e">
        <f t="shared" ca="1" si="30"/>
        <v>#VALUE!</v>
      </c>
      <c r="AC33" s="77"/>
      <c r="AD33" s="184">
        <v>10</v>
      </c>
      <c r="AE33" s="181" t="str">
        <f t="shared" si="11"/>
        <v>N/A</v>
      </c>
      <c r="AF33" s="190">
        <v>43100</v>
      </c>
      <c r="AG33" s="186" t="e">
        <f t="shared" si="12"/>
        <v>#VALUE!</v>
      </c>
      <c r="AH33" s="187" t="e">
        <f t="shared" si="31"/>
        <v>#VALUE!</v>
      </c>
      <c r="AI33" s="187" t="e">
        <f t="shared" si="13"/>
        <v>#VALUE!</v>
      </c>
      <c r="AJ33" s="188" t="e">
        <f t="shared" ca="1" si="32"/>
        <v>#VALUE!</v>
      </c>
      <c r="AT33" t="b">
        <f t="shared" si="15"/>
        <v>0</v>
      </c>
      <c r="AU33" t="b">
        <f t="shared" ca="1" si="16"/>
        <v>0</v>
      </c>
      <c r="AV33" t="b">
        <f t="shared" ca="1" si="17"/>
        <v>0</v>
      </c>
      <c r="AW33" t="b">
        <f t="shared" ca="1" si="18"/>
        <v>0</v>
      </c>
      <c r="AX33" t="b">
        <f t="shared" ca="1" si="19"/>
        <v>0</v>
      </c>
      <c r="AY33" t="b">
        <f t="shared" ca="1" si="20"/>
        <v>0</v>
      </c>
      <c r="AZ33" t="b">
        <f t="shared" ca="1" si="21"/>
        <v>0</v>
      </c>
      <c r="BA33" t="b">
        <f t="shared" ca="1" si="22"/>
        <v>0</v>
      </c>
      <c r="BB33" t="b">
        <f t="shared" ca="1" si="23"/>
        <v>0</v>
      </c>
      <c r="BC33" t="b">
        <f t="shared" ca="1" si="24"/>
        <v>0</v>
      </c>
      <c r="BD33" t="b">
        <f t="shared" ca="1" si="25"/>
        <v>0</v>
      </c>
      <c r="BE33" t="b">
        <f t="shared" ca="1" si="26"/>
        <v>0</v>
      </c>
      <c r="BF33" t="b">
        <f t="shared" ca="1" si="27"/>
        <v>0</v>
      </c>
      <c r="BG33">
        <f t="shared" ca="1" si="45"/>
        <v>1</v>
      </c>
      <c r="BH33">
        <f t="shared" ca="1" si="46"/>
        <v>11</v>
      </c>
    </row>
    <row r="34" spans="1:60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25" t="str">
        <f t="shared" ca="1" si="28"/>
        <v>N/A</v>
      </c>
      <c r="G34" s="125"/>
      <c r="H34" s="125"/>
      <c r="I34" s="125" t="str">
        <f t="shared" si="39"/>
        <v>N/A</v>
      </c>
      <c r="J34" s="125" t="str">
        <f t="shared" si="40"/>
        <v>N/A</v>
      </c>
      <c r="K34" s="125" t="str">
        <f t="shared" si="41"/>
        <v>N/A</v>
      </c>
      <c r="L34" s="125" t="str">
        <f t="shared" si="42"/>
        <v>N/A</v>
      </c>
      <c r="M34" s="125" t="str">
        <f ca="1">IFERROR(IF(VLOOKUP($A34,LASTYR,'[3]2017'!$I$3,FALSE)=0,"N/A",VLOOKUP($A34,LASTYR,'[3]2017'!$I$3,FALSE)),"N/A")</f>
        <v>N/A</v>
      </c>
      <c r="N34" s="125" t="str">
        <f t="shared" ca="1" si="47"/>
        <v>N/A</v>
      </c>
      <c r="O34" s="125" t="str">
        <f t="shared" ca="1" si="48"/>
        <v>N/A</v>
      </c>
      <c r="P34" s="125" t="str">
        <f t="shared" ca="1" si="48"/>
        <v>N/A</v>
      </c>
      <c r="Q34" s="125" t="str">
        <f t="shared" ca="1" si="48"/>
        <v>N/A</v>
      </c>
      <c r="R34" s="125" t="str">
        <f t="shared" ca="1" si="48"/>
        <v>N/A</v>
      </c>
      <c r="S34" s="125" t="str">
        <f t="shared" ca="1" si="48"/>
        <v>N/A</v>
      </c>
      <c r="T34" s="125" t="str">
        <f t="shared" ca="1" si="48"/>
        <v>N/A</v>
      </c>
      <c r="U34" s="125" t="str">
        <f t="shared" ca="1" si="48"/>
        <v>N/A</v>
      </c>
      <c r="V34" s="125" t="str">
        <f t="shared" ca="1" si="48"/>
        <v>N/A</v>
      </c>
      <c r="W34" s="125" t="str">
        <f t="shared" ca="1" si="48"/>
        <v>N/A</v>
      </c>
      <c r="X34" s="125" t="str">
        <f t="shared" ca="1" si="48"/>
        <v>N/A</v>
      </c>
      <c r="Y34" s="77" t="str">
        <f t="shared" ca="1" si="8"/>
        <v>N/A</v>
      </c>
      <c r="Z34" s="77" t="str">
        <f t="shared" ca="1" si="9"/>
        <v>N/A</v>
      </c>
      <c r="AA34" s="125" t="e">
        <f t="shared" ca="1" si="44"/>
        <v>#VALUE!</v>
      </c>
      <c r="AB34" s="77" t="e">
        <f t="shared" ca="1" si="30"/>
        <v>#VALUE!</v>
      </c>
      <c r="AC34" s="77"/>
      <c r="AD34" s="184">
        <f t="shared" ref="AD34:AD57" ca="1" si="49">BG34-2</f>
        <v>-1</v>
      </c>
      <c r="AE34" s="181" t="str">
        <f t="shared" si="11"/>
        <v>N/A</v>
      </c>
      <c r="AF34" s="190">
        <v>43100</v>
      </c>
      <c r="AG34" s="186" t="e">
        <f t="shared" si="12"/>
        <v>#VALUE!</v>
      </c>
      <c r="AH34" s="187" t="e">
        <f t="shared" si="31"/>
        <v>#VALUE!</v>
      </c>
      <c r="AI34" s="187" t="e">
        <f t="shared" ca="1" si="13"/>
        <v>#VALUE!</v>
      </c>
      <c r="AJ34" s="188" t="e">
        <f t="shared" ca="1" si="32"/>
        <v>#VALUE!</v>
      </c>
      <c r="AT34" t="b">
        <f t="shared" si="15"/>
        <v>0</v>
      </c>
      <c r="AU34" t="b">
        <f t="shared" ca="1" si="16"/>
        <v>0</v>
      </c>
      <c r="AV34" t="b">
        <f t="shared" ca="1" si="17"/>
        <v>0</v>
      </c>
      <c r="AW34" t="b">
        <f t="shared" ca="1" si="18"/>
        <v>0</v>
      </c>
      <c r="AX34" t="b">
        <f t="shared" ca="1" si="19"/>
        <v>0</v>
      </c>
      <c r="AY34" t="b">
        <f t="shared" ca="1" si="20"/>
        <v>0</v>
      </c>
      <c r="AZ34" t="b">
        <f t="shared" ca="1" si="21"/>
        <v>0</v>
      </c>
      <c r="BA34" t="b">
        <f t="shared" ca="1" si="22"/>
        <v>0</v>
      </c>
      <c r="BB34" t="b">
        <f t="shared" ca="1" si="23"/>
        <v>0</v>
      </c>
      <c r="BC34" t="b">
        <f t="shared" ca="1" si="24"/>
        <v>0</v>
      </c>
      <c r="BD34" t="b">
        <f t="shared" ca="1" si="25"/>
        <v>0</v>
      </c>
      <c r="BE34" t="b">
        <f t="shared" ca="1" si="26"/>
        <v>0</v>
      </c>
      <c r="BF34" t="b">
        <f t="shared" ca="1" si="27"/>
        <v>0</v>
      </c>
      <c r="BG34">
        <f t="shared" ca="1" si="45"/>
        <v>1</v>
      </c>
      <c r="BH34">
        <f t="shared" ca="1" si="46"/>
        <v>11</v>
      </c>
    </row>
    <row r="35" spans="1:60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25" t="str">
        <f t="shared" ca="1" si="28"/>
        <v>N/A</v>
      </c>
      <c r="G35" s="125"/>
      <c r="H35" s="125"/>
      <c r="I35" s="125" t="str">
        <f t="shared" si="39"/>
        <v>N/A</v>
      </c>
      <c r="J35" s="125" t="str">
        <f t="shared" si="40"/>
        <v>N/A</v>
      </c>
      <c r="K35" s="125" t="str">
        <f t="shared" si="41"/>
        <v>N/A</v>
      </c>
      <c r="L35" s="125" t="str">
        <f t="shared" si="42"/>
        <v>N/A</v>
      </c>
      <c r="M35" s="125" t="str">
        <f ca="1">IFERROR(IF(VLOOKUP($A35,LASTYR,'[3]2017'!$I$3,FALSE)=0,"N/A",VLOOKUP($A35,LASTYR,'[3]2017'!$I$3,FALSE)),"N/A")</f>
        <v>N/A</v>
      </c>
      <c r="N35" s="125" t="str">
        <f t="shared" ca="1" si="47"/>
        <v>N/A</v>
      </c>
      <c r="O35" s="125" t="str">
        <f t="shared" ca="1" si="48"/>
        <v>N/A</v>
      </c>
      <c r="P35" s="125" t="str">
        <f t="shared" ca="1" si="48"/>
        <v>N/A</v>
      </c>
      <c r="Q35" s="125" t="str">
        <f t="shared" ca="1" si="48"/>
        <v>N/A</v>
      </c>
      <c r="R35" s="125" t="str">
        <f t="shared" ca="1" si="48"/>
        <v>N/A</v>
      </c>
      <c r="S35" s="125" t="str">
        <f t="shared" ca="1" si="48"/>
        <v>N/A</v>
      </c>
      <c r="T35" s="125" t="str">
        <f t="shared" ca="1" si="48"/>
        <v>N/A</v>
      </c>
      <c r="U35" s="125" t="str">
        <f t="shared" ca="1" si="48"/>
        <v>N/A</v>
      </c>
      <c r="V35" s="125" t="str">
        <f t="shared" ca="1" si="48"/>
        <v>N/A</v>
      </c>
      <c r="W35" s="125" t="str">
        <f t="shared" ca="1" si="48"/>
        <v>N/A</v>
      </c>
      <c r="X35" s="125" t="str">
        <f t="shared" ca="1" si="48"/>
        <v>N/A</v>
      </c>
      <c r="Y35" s="77" t="str">
        <f t="shared" ca="1" si="8"/>
        <v>N/A</v>
      </c>
      <c r="Z35" s="77" t="str">
        <f t="shared" ca="1" si="9"/>
        <v>N/A</v>
      </c>
      <c r="AA35" s="125" t="e">
        <f t="shared" ca="1" si="44"/>
        <v>#VALUE!</v>
      </c>
      <c r="AB35" s="77" t="e">
        <f t="shared" ca="1" si="30"/>
        <v>#VALUE!</v>
      </c>
      <c r="AC35" s="77"/>
      <c r="AD35" s="184">
        <f t="shared" ca="1" si="49"/>
        <v>-1</v>
      </c>
      <c r="AE35" s="181" t="str">
        <f t="shared" si="11"/>
        <v>N/A</v>
      </c>
      <c r="AF35" s="190">
        <v>43100</v>
      </c>
      <c r="AG35" s="186" t="e">
        <f t="shared" si="12"/>
        <v>#VALUE!</v>
      </c>
      <c r="AH35" s="187" t="e">
        <f t="shared" si="31"/>
        <v>#VALUE!</v>
      </c>
      <c r="AI35" s="187" t="e">
        <f t="shared" ca="1" si="13"/>
        <v>#VALUE!</v>
      </c>
      <c r="AJ35" s="188" t="e">
        <f t="shared" ca="1" si="32"/>
        <v>#VALUE!</v>
      </c>
      <c r="AT35" t="b">
        <f t="shared" si="15"/>
        <v>0</v>
      </c>
      <c r="AU35" t="b">
        <f t="shared" ca="1" si="16"/>
        <v>0</v>
      </c>
      <c r="AV35" t="b">
        <f t="shared" ca="1" si="17"/>
        <v>0</v>
      </c>
      <c r="AW35" t="b">
        <f t="shared" ca="1" si="18"/>
        <v>0</v>
      </c>
      <c r="AX35" t="b">
        <f t="shared" ca="1" si="19"/>
        <v>0</v>
      </c>
      <c r="AY35" t="b">
        <f t="shared" ca="1" si="20"/>
        <v>0</v>
      </c>
      <c r="AZ35" t="b">
        <f t="shared" ca="1" si="21"/>
        <v>0</v>
      </c>
      <c r="BA35" t="b">
        <f t="shared" ca="1" si="22"/>
        <v>0</v>
      </c>
      <c r="BB35" t="b">
        <f t="shared" ca="1" si="23"/>
        <v>0</v>
      </c>
      <c r="BC35" t="b">
        <f t="shared" ca="1" si="24"/>
        <v>0</v>
      </c>
      <c r="BD35" t="b">
        <f t="shared" ca="1" si="25"/>
        <v>0</v>
      </c>
      <c r="BE35" t="b">
        <f t="shared" ca="1" si="26"/>
        <v>0</v>
      </c>
      <c r="BF35" t="b">
        <f t="shared" ca="1" si="27"/>
        <v>0</v>
      </c>
      <c r="BG35">
        <f t="shared" ca="1" si="45"/>
        <v>1</v>
      </c>
      <c r="BH35">
        <f t="shared" ca="1" si="46"/>
        <v>11</v>
      </c>
    </row>
    <row r="36" spans="1:60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25" t="str">
        <f t="shared" ca="1" si="28"/>
        <v>N/A</v>
      </c>
      <c r="G36" s="125"/>
      <c r="H36" s="125"/>
      <c r="I36" s="125" t="str">
        <f t="shared" si="39"/>
        <v>N/A</v>
      </c>
      <c r="J36" s="125" t="str">
        <f t="shared" si="40"/>
        <v>N/A</v>
      </c>
      <c r="K36" s="125" t="str">
        <f t="shared" si="41"/>
        <v>N/A</v>
      </c>
      <c r="L36" s="125" t="str">
        <f t="shared" si="42"/>
        <v>N/A</v>
      </c>
      <c r="M36" s="125" t="str">
        <f ca="1">IFERROR(IF(VLOOKUP($A36,LASTYR,'[3]2017'!$I$3,FALSE)=0,"N/A",VLOOKUP($A36,LASTYR,'[3]2017'!$I$3,FALSE)),"N/A")</f>
        <v>N/A</v>
      </c>
      <c r="N36" s="125" t="str">
        <f t="shared" ca="1" si="47"/>
        <v>N/A</v>
      </c>
      <c r="O36" s="125" t="str">
        <f t="shared" ca="1" si="48"/>
        <v>N/A</v>
      </c>
      <c r="P36" s="125" t="str">
        <f t="shared" ca="1" si="48"/>
        <v>N/A</v>
      </c>
      <c r="Q36" s="125" t="str">
        <f t="shared" ca="1" si="48"/>
        <v>N/A</v>
      </c>
      <c r="R36" s="125" t="str">
        <f t="shared" ca="1" si="48"/>
        <v>N/A</v>
      </c>
      <c r="S36" s="125" t="str">
        <f t="shared" ca="1" si="48"/>
        <v>N/A</v>
      </c>
      <c r="T36" s="125" t="str">
        <f t="shared" ca="1" si="48"/>
        <v>N/A</v>
      </c>
      <c r="U36" s="125" t="str">
        <f t="shared" ca="1" si="48"/>
        <v>N/A</v>
      </c>
      <c r="V36" s="125" t="str">
        <f t="shared" ca="1" si="48"/>
        <v>N/A</v>
      </c>
      <c r="W36" s="125" t="str">
        <f t="shared" ca="1" si="48"/>
        <v>N/A</v>
      </c>
      <c r="X36" s="125" t="str">
        <f t="shared" ca="1" si="48"/>
        <v>N/A</v>
      </c>
      <c r="Y36" s="77" t="str">
        <f t="shared" ca="1" si="8"/>
        <v>N/A</v>
      </c>
      <c r="Z36" s="77" t="str">
        <f t="shared" ca="1" si="9"/>
        <v>N/A</v>
      </c>
      <c r="AA36" s="125" t="e">
        <f t="shared" ca="1" si="44"/>
        <v>#VALUE!</v>
      </c>
      <c r="AB36" s="77" t="e">
        <f t="shared" ca="1" si="30"/>
        <v>#VALUE!</v>
      </c>
      <c r="AC36" s="77"/>
      <c r="AD36" s="184">
        <f t="shared" ca="1" si="49"/>
        <v>-1</v>
      </c>
      <c r="AE36" s="181" t="str">
        <f t="shared" si="11"/>
        <v>N/A</v>
      </c>
      <c r="AF36" s="190">
        <v>43100</v>
      </c>
      <c r="AG36" s="186" t="e">
        <f t="shared" si="12"/>
        <v>#VALUE!</v>
      </c>
      <c r="AH36" s="187" t="e">
        <f t="shared" si="31"/>
        <v>#VALUE!</v>
      </c>
      <c r="AI36" s="187" t="e">
        <f t="shared" ca="1" si="13"/>
        <v>#VALUE!</v>
      </c>
      <c r="AJ36" s="188" t="e">
        <f t="shared" ca="1" si="32"/>
        <v>#VALUE!</v>
      </c>
      <c r="AT36" t="b">
        <f t="shared" si="15"/>
        <v>0</v>
      </c>
      <c r="AU36" t="b">
        <f t="shared" ca="1" si="16"/>
        <v>0</v>
      </c>
      <c r="AV36" t="b">
        <f t="shared" ca="1" si="17"/>
        <v>0</v>
      </c>
      <c r="AW36" t="b">
        <f t="shared" ca="1" si="18"/>
        <v>0</v>
      </c>
      <c r="AX36" t="b">
        <f t="shared" ca="1" si="19"/>
        <v>0</v>
      </c>
      <c r="AY36" t="b">
        <f t="shared" ca="1" si="20"/>
        <v>0</v>
      </c>
      <c r="AZ36" t="b">
        <f t="shared" ca="1" si="21"/>
        <v>0</v>
      </c>
      <c r="BA36" t="b">
        <f t="shared" ca="1" si="22"/>
        <v>0</v>
      </c>
      <c r="BB36" t="b">
        <f t="shared" ca="1" si="23"/>
        <v>0</v>
      </c>
      <c r="BC36" t="b">
        <f t="shared" ca="1" si="24"/>
        <v>0</v>
      </c>
      <c r="BD36" t="b">
        <f t="shared" ca="1" si="25"/>
        <v>0</v>
      </c>
      <c r="BE36" t="b">
        <f t="shared" ca="1" si="26"/>
        <v>0</v>
      </c>
      <c r="BF36" t="b">
        <f t="shared" ca="1" si="27"/>
        <v>0</v>
      </c>
      <c r="BG36">
        <f t="shared" ca="1" si="45"/>
        <v>1</v>
      </c>
      <c r="BH36">
        <f t="shared" ca="1" si="46"/>
        <v>11</v>
      </c>
    </row>
    <row r="37" spans="1:60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25" t="str">
        <f t="shared" ca="1" si="28"/>
        <v>N/A</v>
      </c>
      <c r="G37" s="125"/>
      <c r="H37" s="125"/>
      <c r="I37" s="125" t="str">
        <f t="shared" si="39"/>
        <v>N/A</v>
      </c>
      <c r="J37" s="125" t="str">
        <f t="shared" si="40"/>
        <v>N/A</v>
      </c>
      <c r="K37" s="125" t="str">
        <f t="shared" si="41"/>
        <v>N/A</v>
      </c>
      <c r="L37" s="125" t="str">
        <f t="shared" si="42"/>
        <v>N/A</v>
      </c>
      <c r="M37" s="125" t="str">
        <f ca="1">IFERROR(IF(VLOOKUP($A37,LASTYR,'[3]2017'!$I$3,FALSE)=0,"N/A",VLOOKUP($A37,LASTYR,'[3]2017'!$I$3,FALSE)),"N/A")</f>
        <v>N/A</v>
      </c>
      <c r="N37" s="125" t="str">
        <f t="shared" ca="1" si="47"/>
        <v>N/A</v>
      </c>
      <c r="O37" s="125" t="str">
        <f t="shared" ca="1" si="48"/>
        <v>N/A</v>
      </c>
      <c r="P37" s="125" t="str">
        <f t="shared" ca="1" si="48"/>
        <v>N/A</v>
      </c>
      <c r="Q37" s="125" t="str">
        <f t="shared" ca="1" si="48"/>
        <v>N/A</v>
      </c>
      <c r="R37" s="125" t="str">
        <f t="shared" ca="1" si="48"/>
        <v>N/A</v>
      </c>
      <c r="S37" s="125" t="str">
        <f t="shared" ca="1" si="48"/>
        <v>N/A</v>
      </c>
      <c r="T37" s="125" t="str">
        <f t="shared" ca="1" si="48"/>
        <v>N/A</v>
      </c>
      <c r="U37" s="125" t="str">
        <f t="shared" ca="1" si="48"/>
        <v>N/A</v>
      </c>
      <c r="V37" s="125" t="str">
        <f t="shared" ca="1" si="48"/>
        <v>N/A</v>
      </c>
      <c r="W37" s="125" t="str">
        <f t="shared" ca="1" si="48"/>
        <v>N/A</v>
      </c>
      <c r="X37" s="125" t="str">
        <f t="shared" ca="1" si="48"/>
        <v>N/A</v>
      </c>
      <c r="Y37" s="77" t="str">
        <f t="shared" ca="1" si="8"/>
        <v>N/A</v>
      </c>
      <c r="Z37" s="77" t="str">
        <f t="shared" ca="1" si="9"/>
        <v>N/A</v>
      </c>
      <c r="AA37" s="125" t="e">
        <f ca="1">+X37*(1+Z37)^11</f>
        <v>#VALUE!</v>
      </c>
      <c r="AB37" s="77" t="e">
        <f t="shared" ca="1" si="30"/>
        <v>#VALUE!</v>
      </c>
      <c r="AC37" s="77"/>
      <c r="AD37" s="184">
        <f t="shared" ca="1" si="49"/>
        <v>-1</v>
      </c>
      <c r="AE37" s="181" t="str">
        <f t="shared" si="11"/>
        <v>N/A</v>
      </c>
      <c r="AF37" s="190">
        <v>43100</v>
      </c>
      <c r="AG37" s="186" t="e">
        <f t="shared" si="12"/>
        <v>#VALUE!</v>
      </c>
      <c r="AH37" s="187" t="e">
        <f t="shared" si="31"/>
        <v>#VALUE!</v>
      </c>
      <c r="AI37" s="187" t="e">
        <f t="shared" ca="1" si="13"/>
        <v>#VALUE!</v>
      </c>
      <c r="AJ37" s="188" t="e">
        <f t="shared" ca="1" si="32"/>
        <v>#VALUE!</v>
      </c>
      <c r="AT37" t="b">
        <f t="shared" si="15"/>
        <v>0</v>
      </c>
      <c r="AU37" t="b">
        <f t="shared" ca="1" si="16"/>
        <v>0</v>
      </c>
      <c r="AV37" t="b">
        <f t="shared" ca="1" si="17"/>
        <v>0</v>
      </c>
      <c r="AW37" t="b">
        <f t="shared" ca="1" si="18"/>
        <v>0</v>
      </c>
      <c r="AX37" t="b">
        <f t="shared" ca="1" si="19"/>
        <v>0</v>
      </c>
      <c r="AY37" t="b">
        <f t="shared" ca="1" si="20"/>
        <v>0</v>
      </c>
      <c r="AZ37" t="b">
        <f t="shared" ca="1" si="21"/>
        <v>0</v>
      </c>
      <c r="BA37" t="b">
        <f t="shared" ca="1" si="22"/>
        <v>0</v>
      </c>
      <c r="BB37" t="b">
        <f t="shared" ca="1" si="23"/>
        <v>0</v>
      </c>
      <c r="BC37" t="b">
        <f t="shared" ca="1" si="24"/>
        <v>0</v>
      </c>
      <c r="BD37" t="b">
        <f t="shared" ca="1" si="25"/>
        <v>0</v>
      </c>
      <c r="BE37" t="b">
        <f t="shared" ca="1" si="26"/>
        <v>0</v>
      </c>
      <c r="BF37" t="b">
        <f t="shared" ca="1" si="27"/>
        <v>0</v>
      </c>
      <c r="BG37">
        <f t="shared" ca="1" si="45"/>
        <v>1</v>
      </c>
      <c r="BH37">
        <f t="shared" ca="1" si="46"/>
        <v>11</v>
      </c>
    </row>
    <row r="38" spans="1:60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25" t="str">
        <f t="shared" ca="1" si="28"/>
        <v>N/A</v>
      </c>
      <c r="G38" s="125"/>
      <c r="H38" s="125"/>
      <c r="I38" s="125" t="str">
        <f t="shared" si="39"/>
        <v>N/A</v>
      </c>
      <c r="J38" s="125" t="str">
        <f t="shared" si="40"/>
        <v>N/A</v>
      </c>
      <c r="K38" s="125" t="str">
        <f t="shared" si="41"/>
        <v>N/A</v>
      </c>
      <c r="L38" s="125" t="str">
        <f t="shared" si="42"/>
        <v>N/A</v>
      </c>
      <c r="M38" s="125" t="str">
        <f ca="1">IFERROR(IF(VLOOKUP($A38,LASTYR,'[3]2017'!$I$3,FALSE)=0,"N/A",VLOOKUP($A38,LASTYR,'[3]2017'!$I$3,FALSE)),"N/A")</f>
        <v>N/A</v>
      </c>
      <c r="N38" s="125" t="str">
        <f t="shared" ca="1" si="47"/>
        <v>N/A</v>
      </c>
      <c r="O38" s="125" t="str">
        <f t="shared" ca="1" si="48"/>
        <v>N/A</v>
      </c>
      <c r="P38" s="125" t="str">
        <f t="shared" ca="1" si="48"/>
        <v>N/A</v>
      </c>
      <c r="Q38" s="125" t="str">
        <f t="shared" ca="1" si="48"/>
        <v>N/A</v>
      </c>
      <c r="R38" s="125" t="str">
        <f t="shared" ca="1" si="48"/>
        <v>N/A</v>
      </c>
      <c r="S38" s="125" t="str">
        <f t="shared" ca="1" si="48"/>
        <v>N/A</v>
      </c>
      <c r="T38" s="125" t="str">
        <f t="shared" ca="1" si="48"/>
        <v>N/A</v>
      </c>
      <c r="U38" s="125" t="str">
        <f t="shared" ca="1" si="48"/>
        <v>N/A</v>
      </c>
      <c r="V38" s="125" t="str">
        <f t="shared" ca="1" si="48"/>
        <v>N/A</v>
      </c>
      <c r="W38" s="125" t="str">
        <f t="shared" ca="1" si="48"/>
        <v>N/A</v>
      </c>
      <c r="X38" s="125" t="str">
        <f t="shared" ca="1" si="48"/>
        <v>N/A</v>
      </c>
      <c r="Y38" s="77" t="str">
        <f t="shared" ca="1" si="8"/>
        <v>N/A</v>
      </c>
      <c r="Z38" s="77" t="str">
        <f t="shared" ca="1" si="9"/>
        <v>N/A</v>
      </c>
      <c r="AA38" s="125" t="e">
        <f t="shared" ca="1" si="44"/>
        <v>#VALUE!</v>
      </c>
      <c r="AB38" s="77" t="e">
        <f t="shared" ca="1" si="30"/>
        <v>#VALUE!</v>
      </c>
      <c r="AC38" s="77"/>
      <c r="AD38" s="184">
        <f t="shared" ca="1" si="49"/>
        <v>-1</v>
      </c>
      <c r="AE38" s="181" t="str">
        <f t="shared" si="11"/>
        <v>N/A</v>
      </c>
      <c r="AF38" s="190">
        <v>43100</v>
      </c>
      <c r="AG38" s="186" t="e">
        <f t="shared" si="12"/>
        <v>#VALUE!</v>
      </c>
      <c r="AH38" s="187" t="e">
        <f t="shared" si="31"/>
        <v>#VALUE!</v>
      </c>
      <c r="AI38" s="187" t="e">
        <f t="shared" ca="1" si="13"/>
        <v>#VALUE!</v>
      </c>
      <c r="AJ38" s="188" t="e">
        <f t="shared" ca="1" si="32"/>
        <v>#VALUE!</v>
      </c>
      <c r="AT38" t="b">
        <f t="shared" si="15"/>
        <v>0</v>
      </c>
      <c r="AU38" t="b">
        <f t="shared" ca="1" si="16"/>
        <v>0</v>
      </c>
      <c r="AV38" t="b">
        <f t="shared" ca="1" si="17"/>
        <v>0</v>
      </c>
      <c r="AW38" t="b">
        <f t="shared" ca="1" si="18"/>
        <v>0</v>
      </c>
      <c r="AX38" t="b">
        <f t="shared" ca="1" si="19"/>
        <v>0</v>
      </c>
      <c r="AY38" t="b">
        <f t="shared" ca="1" si="20"/>
        <v>0</v>
      </c>
      <c r="AZ38" t="b">
        <f t="shared" ca="1" si="21"/>
        <v>0</v>
      </c>
      <c r="BA38" t="b">
        <f t="shared" ca="1" si="22"/>
        <v>0</v>
      </c>
      <c r="BB38" t="b">
        <f t="shared" ca="1" si="23"/>
        <v>0</v>
      </c>
      <c r="BC38" t="b">
        <f t="shared" ca="1" si="24"/>
        <v>0</v>
      </c>
      <c r="BD38" t="b">
        <f t="shared" ca="1" si="25"/>
        <v>0</v>
      </c>
      <c r="BE38" t="b">
        <f t="shared" ca="1" si="26"/>
        <v>0</v>
      </c>
      <c r="BF38" t="b">
        <f t="shared" ca="1" si="27"/>
        <v>0</v>
      </c>
      <c r="BG38">
        <f t="shared" ca="1" si="45"/>
        <v>1</v>
      </c>
      <c r="BH38">
        <f t="shared" ca="1" si="46"/>
        <v>11</v>
      </c>
    </row>
    <row r="39" spans="1:60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25" t="str">
        <f t="shared" ca="1" si="28"/>
        <v>N/A</v>
      </c>
      <c r="G39" s="125"/>
      <c r="H39" s="125"/>
      <c r="I39" s="125" t="str">
        <f t="shared" si="39"/>
        <v>N/A</v>
      </c>
      <c r="J39" s="125" t="str">
        <f t="shared" si="40"/>
        <v>N/A</v>
      </c>
      <c r="K39" s="125" t="str">
        <f t="shared" si="41"/>
        <v>N/A</v>
      </c>
      <c r="L39" s="125" t="str">
        <f t="shared" si="42"/>
        <v>N/A</v>
      </c>
      <c r="M39" s="125" t="str">
        <f ca="1">IFERROR(IF(VLOOKUP($A39,LASTYR,'[3]2017'!$I$3,FALSE)=0,"N/A",VLOOKUP($A39,LASTYR,'[3]2017'!$I$3,FALSE)),"N/A")</f>
        <v>N/A</v>
      </c>
      <c r="N39" s="125" t="str">
        <f t="shared" ca="1" si="47"/>
        <v>N/A</v>
      </c>
      <c r="O39" s="125" t="str">
        <f t="shared" ca="1" si="48"/>
        <v>N/A</v>
      </c>
      <c r="P39" s="125" t="str">
        <f t="shared" ca="1" si="48"/>
        <v>N/A</v>
      </c>
      <c r="Q39" s="125" t="str">
        <f t="shared" ca="1" si="48"/>
        <v>N/A</v>
      </c>
      <c r="R39" s="125" t="str">
        <f t="shared" ca="1" si="48"/>
        <v>N/A</v>
      </c>
      <c r="S39" s="125" t="str">
        <f t="shared" ca="1" si="48"/>
        <v>N/A</v>
      </c>
      <c r="T39" s="125" t="str">
        <f t="shared" ca="1" si="48"/>
        <v>N/A</v>
      </c>
      <c r="U39" s="125" t="str">
        <f t="shared" ca="1" si="48"/>
        <v>N/A</v>
      </c>
      <c r="V39" s="125" t="str">
        <f t="shared" ca="1" si="48"/>
        <v>N/A</v>
      </c>
      <c r="W39" s="125" t="str">
        <f t="shared" ca="1" si="48"/>
        <v>N/A</v>
      </c>
      <c r="X39" s="125" t="str">
        <f t="shared" ca="1" si="48"/>
        <v>N/A</v>
      </c>
      <c r="Y39" s="77" t="str">
        <f t="shared" ca="1" si="8"/>
        <v>N/A</v>
      </c>
      <c r="Z39" s="77" t="str">
        <f t="shared" ca="1" si="9"/>
        <v>N/A</v>
      </c>
      <c r="AA39" s="125" t="e">
        <f t="shared" ca="1" si="44"/>
        <v>#VALUE!</v>
      </c>
      <c r="AB39" s="77" t="e">
        <f t="shared" ca="1" si="30"/>
        <v>#VALUE!</v>
      </c>
      <c r="AC39" s="77"/>
      <c r="AD39" s="184">
        <f t="shared" ca="1" si="49"/>
        <v>-1</v>
      </c>
      <c r="AE39" s="181" t="str">
        <f t="shared" si="11"/>
        <v>N/A</v>
      </c>
      <c r="AF39" s="190">
        <v>43100</v>
      </c>
      <c r="AG39" s="186" t="e">
        <f t="shared" si="12"/>
        <v>#VALUE!</v>
      </c>
      <c r="AH39" s="187" t="e">
        <f t="shared" si="31"/>
        <v>#VALUE!</v>
      </c>
      <c r="AI39" s="187" t="e">
        <f t="shared" ca="1" si="13"/>
        <v>#VALUE!</v>
      </c>
      <c r="AJ39" s="188" t="e">
        <f t="shared" ca="1" si="32"/>
        <v>#VALUE!</v>
      </c>
      <c r="AT39" t="b">
        <f t="shared" si="15"/>
        <v>0</v>
      </c>
      <c r="AU39" t="b">
        <f t="shared" ca="1" si="16"/>
        <v>0</v>
      </c>
      <c r="AV39" t="b">
        <f t="shared" ca="1" si="17"/>
        <v>0</v>
      </c>
      <c r="AW39" t="b">
        <f t="shared" ca="1" si="18"/>
        <v>0</v>
      </c>
      <c r="AX39" t="b">
        <f t="shared" ca="1" si="19"/>
        <v>0</v>
      </c>
      <c r="AY39" t="b">
        <f t="shared" ca="1" si="20"/>
        <v>0</v>
      </c>
      <c r="AZ39" t="b">
        <f t="shared" ca="1" si="21"/>
        <v>0</v>
      </c>
      <c r="BA39" t="b">
        <f t="shared" ca="1" si="22"/>
        <v>0</v>
      </c>
      <c r="BB39" t="b">
        <f t="shared" ca="1" si="23"/>
        <v>0</v>
      </c>
      <c r="BC39" t="b">
        <f t="shared" ca="1" si="24"/>
        <v>0</v>
      </c>
      <c r="BD39" t="b">
        <f t="shared" ca="1" si="25"/>
        <v>0</v>
      </c>
      <c r="BE39" t="b">
        <f t="shared" ca="1" si="26"/>
        <v>0</v>
      </c>
      <c r="BF39" t="b">
        <f t="shared" ca="1" si="27"/>
        <v>0</v>
      </c>
      <c r="BG39">
        <f t="shared" ca="1" si="45"/>
        <v>1</v>
      </c>
      <c r="BH39">
        <f t="shared" ca="1" si="46"/>
        <v>11</v>
      </c>
    </row>
    <row r="40" spans="1:60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25" t="str">
        <f t="shared" ca="1" si="28"/>
        <v>N/A</v>
      </c>
      <c r="G40" s="125"/>
      <c r="H40" s="125"/>
      <c r="I40" s="125" t="str">
        <f t="shared" si="39"/>
        <v>N/A</v>
      </c>
      <c r="J40" s="125" t="str">
        <f t="shared" si="40"/>
        <v>N/A</v>
      </c>
      <c r="K40" s="125" t="str">
        <f t="shared" si="41"/>
        <v>N/A</v>
      </c>
      <c r="L40" s="125" t="str">
        <f t="shared" si="42"/>
        <v>N/A</v>
      </c>
      <c r="M40" s="125" t="str">
        <f ca="1">IFERROR(IF(VLOOKUP($A40,LASTYR,'[3]2017'!$I$3,FALSE)=0,"N/A",VLOOKUP($A40,LASTYR,'[3]2017'!$I$3,FALSE)),"N/A")</f>
        <v>N/A</v>
      </c>
      <c r="N40" s="125" t="str">
        <f t="shared" ca="1" si="47"/>
        <v>N/A</v>
      </c>
      <c r="O40" s="125" t="str">
        <f t="shared" ca="1" si="48"/>
        <v>N/A</v>
      </c>
      <c r="P40" s="125" t="str">
        <f t="shared" ca="1" si="48"/>
        <v>N/A</v>
      </c>
      <c r="Q40" s="125" t="str">
        <f t="shared" ca="1" si="48"/>
        <v>N/A</v>
      </c>
      <c r="R40" s="125" t="str">
        <f t="shared" ca="1" si="48"/>
        <v>N/A</v>
      </c>
      <c r="S40" s="125" t="str">
        <f t="shared" ca="1" si="48"/>
        <v>N/A</v>
      </c>
      <c r="T40" s="125" t="str">
        <f t="shared" ca="1" si="48"/>
        <v>N/A</v>
      </c>
      <c r="U40" s="125" t="str">
        <f t="shared" ca="1" si="48"/>
        <v>N/A</v>
      </c>
      <c r="V40" s="125" t="str">
        <f t="shared" ca="1" si="48"/>
        <v>N/A</v>
      </c>
      <c r="W40" s="125" t="str">
        <f t="shared" ca="1" si="48"/>
        <v>N/A</v>
      </c>
      <c r="X40" s="125" t="str">
        <f t="shared" ca="1" si="48"/>
        <v>N/A</v>
      </c>
      <c r="Y40" s="77" t="str">
        <f t="shared" ca="1" si="8"/>
        <v>N/A</v>
      </c>
      <c r="Z40" s="77" t="str">
        <f t="shared" ca="1" si="9"/>
        <v>N/A</v>
      </c>
      <c r="AA40" s="125" t="e">
        <f t="shared" ca="1" si="44"/>
        <v>#VALUE!</v>
      </c>
      <c r="AB40" s="77" t="e">
        <f t="shared" ca="1" si="30"/>
        <v>#VALUE!</v>
      </c>
      <c r="AC40" s="77"/>
      <c r="AD40" s="184">
        <f t="shared" ca="1" si="49"/>
        <v>-1</v>
      </c>
      <c r="AE40" s="181" t="str">
        <f t="shared" si="11"/>
        <v>N/A</v>
      </c>
      <c r="AF40" s="190">
        <v>43100</v>
      </c>
      <c r="AG40" s="186" t="e">
        <f t="shared" si="12"/>
        <v>#VALUE!</v>
      </c>
      <c r="AH40" s="187" t="e">
        <f t="shared" si="31"/>
        <v>#VALUE!</v>
      </c>
      <c r="AI40" s="187" t="e">
        <f t="shared" ca="1" si="13"/>
        <v>#VALUE!</v>
      </c>
      <c r="AJ40" s="188" t="e">
        <f t="shared" ca="1" si="32"/>
        <v>#VALUE!</v>
      </c>
      <c r="AT40" t="b">
        <f t="shared" si="15"/>
        <v>0</v>
      </c>
      <c r="AU40" t="b">
        <f t="shared" ca="1" si="16"/>
        <v>0</v>
      </c>
      <c r="AV40" t="b">
        <f t="shared" ca="1" si="17"/>
        <v>0</v>
      </c>
      <c r="AW40" t="b">
        <f t="shared" ca="1" si="18"/>
        <v>0</v>
      </c>
      <c r="AX40" t="b">
        <f t="shared" ca="1" si="19"/>
        <v>0</v>
      </c>
      <c r="AY40" t="b">
        <f t="shared" ca="1" si="20"/>
        <v>0</v>
      </c>
      <c r="AZ40" t="b">
        <f t="shared" ca="1" si="21"/>
        <v>0</v>
      </c>
      <c r="BA40" t="b">
        <f t="shared" ca="1" si="22"/>
        <v>0</v>
      </c>
      <c r="BB40" t="b">
        <f t="shared" ca="1" si="23"/>
        <v>0</v>
      </c>
      <c r="BC40" t="b">
        <f t="shared" ca="1" si="24"/>
        <v>0</v>
      </c>
      <c r="BD40" t="b">
        <f t="shared" ca="1" si="25"/>
        <v>0</v>
      </c>
      <c r="BE40" t="b">
        <f t="shared" ca="1" si="26"/>
        <v>0</v>
      </c>
      <c r="BF40" t="b">
        <f t="shared" ca="1" si="27"/>
        <v>0</v>
      </c>
      <c r="BG40">
        <f t="shared" ca="1" si="45"/>
        <v>1</v>
      </c>
      <c r="BH40">
        <f t="shared" ca="1" si="46"/>
        <v>11</v>
      </c>
    </row>
    <row r="41" spans="1:60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25" t="str">
        <f t="shared" ca="1" si="28"/>
        <v>N/A</v>
      </c>
      <c r="G41" s="125"/>
      <c r="H41" s="125"/>
      <c r="I41" s="125" t="str">
        <f t="shared" si="39"/>
        <v>N/A</v>
      </c>
      <c r="J41" s="125" t="str">
        <f t="shared" si="40"/>
        <v>N/A</v>
      </c>
      <c r="K41" s="125" t="str">
        <f t="shared" si="41"/>
        <v>N/A</v>
      </c>
      <c r="L41" s="125" t="str">
        <f t="shared" si="42"/>
        <v>N/A</v>
      </c>
      <c r="M41" s="125" t="str">
        <f ca="1">IFERROR(IF(VLOOKUP($A41,LASTYR,'[3]2017'!$I$3,FALSE)=0,"N/A",VLOOKUP($A41,LASTYR,'[3]2017'!$I$3,FALSE)),"N/A")</f>
        <v>N/A</v>
      </c>
      <c r="N41" s="125" t="str">
        <f t="shared" ca="1" si="47"/>
        <v>N/A</v>
      </c>
      <c r="O41" s="125" t="str">
        <f t="shared" ca="1" si="48"/>
        <v>N/A</v>
      </c>
      <c r="P41" s="125" t="str">
        <f t="shared" ca="1" si="48"/>
        <v>N/A</v>
      </c>
      <c r="Q41" s="125" t="str">
        <f t="shared" ca="1" si="48"/>
        <v>N/A</v>
      </c>
      <c r="R41" s="125" t="str">
        <f t="shared" ca="1" si="48"/>
        <v>N/A</v>
      </c>
      <c r="S41" s="125" t="str">
        <f t="shared" ca="1" si="48"/>
        <v>N/A</v>
      </c>
      <c r="T41" s="125" t="str">
        <f t="shared" ca="1" si="48"/>
        <v>N/A</v>
      </c>
      <c r="U41" s="125" t="str">
        <f t="shared" ca="1" si="48"/>
        <v>N/A</v>
      </c>
      <c r="V41" s="125" t="str">
        <f t="shared" ca="1" si="48"/>
        <v>N/A</v>
      </c>
      <c r="W41" s="125" t="str">
        <f t="shared" ca="1" si="48"/>
        <v>N/A</v>
      </c>
      <c r="X41" s="125" t="str">
        <f t="shared" ca="1" si="48"/>
        <v>N/A</v>
      </c>
      <c r="Y41" s="77" t="str">
        <f t="shared" ca="1" si="8"/>
        <v>N/A</v>
      </c>
      <c r="Z41" s="77" t="str">
        <f t="shared" ca="1" si="9"/>
        <v>N/A</v>
      </c>
      <c r="AA41" s="125" t="e">
        <f t="shared" ca="1" si="44"/>
        <v>#VALUE!</v>
      </c>
      <c r="AB41" s="77" t="e">
        <f t="shared" ca="1" si="30"/>
        <v>#VALUE!</v>
      </c>
      <c r="AC41" s="77"/>
      <c r="AD41" s="184">
        <f t="shared" ca="1" si="49"/>
        <v>-1</v>
      </c>
      <c r="AE41" s="181" t="str">
        <f t="shared" si="11"/>
        <v>N/A</v>
      </c>
      <c r="AF41" s="190">
        <v>43100</v>
      </c>
      <c r="AG41" s="186" t="e">
        <f t="shared" si="12"/>
        <v>#VALUE!</v>
      </c>
      <c r="AH41" s="187" t="e">
        <f t="shared" si="31"/>
        <v>#VALUE!</v>
      </c>
      <c r="AI41" s="187" t="e">
        <f t="shared" ca="1" si="13"/>
        <v>#VALUE!</v>
      </c>
      <c r="AJ41" s="188" t="e">
        <f t="shared" ca="1" si="32"/>
        <v>#VALUE!</v>
      </c>
      <c r="AT41" t="b">
        <f t="shared" si="15"/>
        <v>0</v>
      </c>
      <c r="AU41" t="b">
        <f t="shared" ca="1" si="16"/>
        <v>0</v>
      </c>
      <c r="AV41" t="b">
        <f t="shared" ca="1" si="17"/>
        <v>0</v>
      </c>
      <c r="AW41" t="b">
        <f t="shared" ca="1" si="18"/>
        <v>0</v>
      </c>
      <c r="AX41" t="b">
        <f t="shared" ca="1" si="19"/>
        <v>0</v>
      </c>
      <c r="AY41" t="b">
        <f t="shared" ca="1" si="20"/>
        <v>0</v>
      </c>
      <c r="AZ41" t="b">
        <f t="shared" ca="1" si="21"/>
        <v>0</v>
      </c>
      <c r="BA41" t="b">
        <f t="shared" ca="1" si="22"/>
        <v>0</v>
      </c>
      <c r="BB41" t="b">
        <f t="shared" ca="1" si="23"/>
        <v>0</v>
      </c>
      <c r="BC41" t="b">
        <f t="shared" ca="1" si="24"/>
        <v>0</v>
      </c>
      <c r="BD41" t="b">
        <f t="shared" ca="1" si="25"/>
        <v>0</v>
      </c>
      <c r="BE41" t="b">
        <f t="shared" ca="1" si="26"/>
        <v>0</v>
      </c>
      <c r="BF41" t="b">
        <f t="shared" ca="1" si="27"/>
        <v>0</v>
      </c>
      <c r="BG41">
        <f t="shared" ca="1" si="45"/>
        <v>1</v>
      </c>
      <c r="BH41">
        <f t="shared" ca="1" si="46"/>
        <v>11</v>
      </c>
    </row>
    <row r="42" spans="1:60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25" t="str">
        <f t="shared" ca="1" si="28"/>
        <v>N/A</v>
      </c>
      <c r="G42" s="125"/>
      <c r="H42" s="125"/>
      <c r="I42" s="125" t="str">
        <f t="shared" si="39"/>
        <v>N/A</v>
      </c>
      <c r="J42" s="125" t="str">
        <f t="shared" si="40"/>
        <v>N/A</v>
      </c>
      <c r="K42" s="125" t="str">
        <f t="shared" si="41"/>
        <v>N/A</v>
      </c>
      <c r="L42" s="125" t="str">
        <f t="shared" si="42"/>
        <v>N/A</v>
      </c>
      <c r="M42" s="125" t="str">
        <f ca="1">IFERROR(IF(VLOOKUP($A42,LASTYR,'[3]2017'!$I$3,FALSE)=0,"N/A",VLOOKUP($A42,LASTYR,'[3]2017'!$I$3,FALSE)),"N/A")</f>
        <v>N/A</v>
      </c>
      <c r="N42" s="125" t="str">
        <f t="shared" ca="1" si="47"/>
        <v>N/A</v>
      </c>
      <c r="O42" s="125" t="str">
        <f t="shared" ca="1" si="48"/>
        <v>N/A</v>
      </c>
      <c r="P42" s="125" t="str">
        <f t="shared" ca="1" si="48"/>
        <v>N/A</v>
      </c>
      <c r="Q42" s="125" t="str">
        <f t="shared" ca="1" si="48"/>
        <v>N/A</v>
      </c>
      <c r="R42" s="125" t="str">
        <f t="shared" ca="1" si="48"/>
        <v>N/A</v>
      </c>
      <c r="S42" s="125" t="str">
        <f t="shared" ca="1" si="48"/>
        <v>N/A</v>
      </c>
      <c r="T42" s="125" t="str">
        <f t="shared" ca="1" si="48"/>
        <v>N/A</v>
      </c>
      <c r="U42" s="125" t="str">
        <f t="shared" ca="1" si="48"/>
        <v>N/A</v>
      </c>
      <c r="V42" s="125" t="str">
        <f t="shared" ca="1" si="48"/>
        <v>N/A</v>
      </c>
      <c r="W42" s="125" t="str">
        <f t="shared" ca="1" si="48"/>
        <v>N/A</v>
      </c>
      <c r="X42" s="125" t="str">
        <f t="shared" ca="1" si="48"/>
        <v>N/A</v>
      </c>
      <c r="Y42" s="77" t="str">
        <f t="shared" ca="1" si="8"/>
        <v>N/A</v>
      </c>
      <c r="Z42" s="77" t="str">
        <f t="shared" ca="1" si="9"/>
        <v>N/A</v>
      </c>
      <c r="AA42" s="125" t="e">
        <f t="shared" ca="1" si="44"/>
        <v>#VALUE!</v>
      </c>
      <c r="AB42" s="77" t="e">
        <f t="shared" ca="1" si="30"/>
        <v>#VALUE!</v>
      </c>
      <c r="AC42" s="77"/>
      <c r="AD42" s="184">
        <f t="shared" ca="1" si="49"/>
        <v>-1</v>
      </c>
      <c r="AE42" s="181" t="str">
        <f t="shared" si="11"/>
        <v>N/A</v>
      </c>
      <c r="AF42" s="190">
        <v>43100</v>
      </c>
      <c r="AG42" s="186" t="e">
        <f t="shared" si="12"/>
        <v>#VALUE!</v>
      </c>
      <c r="AH42" s="187" t="e">
        <f t="shared" si="31"/>
        <v>#VALUE!</v>
      </c>
      <c r="AI42" s="187" t="e">
        <f t="shared" ca="1" si="13"/>
        <v>#VALUE!</v>
      </c>
      <c r="AJ42" s="188" t="e">
        <f t="shared" ca="1" si="32"/>
        <v>#VALUE!</v>
      </c>
      <c r="AT42" t="b">
        <f t="shared" si="15"/>
        <v>0</v>
      </c>
      <c r="AU42" t="b">
        <f t="shared" ca="1" si="16"/>
        <v>0</v>
      </c>
      <c r="AV42" t="b">
        <f t="shared" ca="1" si="17"/>
        <v>0</v>
      </c>
      <c r="AW42" t="b">
        <f t="shared" ca="1" si="18"/>
        <v>0</v>
      </c>
      <c r="AX42" t="b">
        <f t="shared" ca="1" si="19"/>
        <v>0</v>
      </c>
      <c r="AY42" t="b">
        <f t="shared" ca="1" si="20"/>
        <v>0</v>
      </c>
      <c r="AZ42" t="b">
        <f t="shared" ca="1" si="21"/>
        <v>0</v>
      </c>
      <c r="BA42" t="b">
        <f t="shared" ca="1" si="22"/>
        <v>0</v>
      </c>
      <c r="BB42" t="b">
        <f t="shared" ca="1" si="23"/>
        <v>0</v>
      </c>
      <c r="BC42" t="b">
        <f t="shared" ca="1" si="24"/>
        <v>0</v>
      </c>
      <c r="BD42" t="b">
        <f t="shared" ca="1" si="25"/>
        <v>0</v>
      </c>
      <c r="BE42" t="b">
        <f t="shared" ca="1" si="26"/>
        <v>0</v>
      </c>
      <c r="BF42" t="b">
        <f t="shared" ca="1" si="27"/>
        <v>0</v>
      </c>
      <c r="BG42">
        <f t="shared" ca="1" si="45"/>
        <v>1</v>
      </c>
      <c r="BH42">
        <f t="shared" ca="1" si="46"/>
        <v>11</v>
      </c>
    </row>
    <row r="43" spans="1:60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25" t="str">
        <f t="shared" ca="1" si="28"/>
        <v>N/A</v>
      </c>
      <c r="G43" s="125"/>
      <c r="H43" s="125"/>
      <c r="I43" s="125" t="str">
        <f t="shared" si="39"/>
        <v>N/A</v>
      </c>
      <c r="J43" s="125" t="str">
        <f t="shared" si="40"/>
        <v>N/A</v>
      </c>
      <c r="K43" s="125" t="str">
        <f t="shared" si="41"/>
        <v>N/A</v>
      </c>
      <c r="L43" s="125" t="str">
        <f t="shared" si="42"/>
        <v>N/A</v>
      </c>
      <c r="M43" s="125" t="str">
        <f ca="1">IFERROR(IF(VLOOKUP($A43,LASTYR,'[3]2017'!$I$3,FALSE)=0,"N/A",VLOOKUP($A43,LASTYR,'[3]2017'!$I$3,FALSE)),"N/A")</f>
        <v>N/A</v>
      </c>
      <c r="N43" s="125" t="str">
        <f t="shared" ca="1" si="47"/>
        <v>N/A</v>
      </c>
      <c r="O43" s="125" t="str">
        <f t="shared" ref="O43:X57" ca="1" si="50">IFERROR(IF(INDEX(Dividends,$B43,O$12)=0,"N/A",INDEX(Dividends,$B43,O$12)),"N/A")</f>
        <v>N/A</v>
      </c>
      <c r="P43" s="125" t="str">
        <f t="shared" ca="1" si="50"/>
        <v>N/A</v>
      </c>
      <c r="Q43" s="125" t="str">
        <f t="shared" ca="1" si="50"/>
        <v>N/A</v>
      </c>
      <c r="R43" s="125" t="str">
        <f t="shared" ca="1" si="50"/>
        <v>N/A</v>
      </c>
      <c r="S43" s="125" t="str">
        <f t="shared" ca="1" si="50"/>
        <v>N/A</v>
      </c>
      <c r="T43" s="125" t="str">
        <f t="shared" ca="1" si="50"/>
        <v>N/A</v>
      </c>
      <c r="U43" s="125" t="str">
        <f t="shared" ca="1" si="50"/>
        <v>N/A</v>
      </c>
      <c r="V43" s="125" t="str">
        <f t="shared" ca="1" si="50"/>
        <v>N/A</v>
      </c>
      <c r="W43" s="125" t="str">
        <f t="shared" ca="1" si="50"/>
        <v>N/A</v>
      </c>
      <c r="X43" s="125" t="str">
        <f t="shared" ca="1" si="50"/>
        <v>N/A</v>
      </c>
      <c r="Y43" s="77" t="str">
        <f t="shared" ca="1" si="8"/>
        <v>N/A</v>
      </c>
      <c r="Z43" s="77" t="str">
        <f t="shared" ca="1" si="9"/>
        <v>N/A</v>
      </c>
      <c r="AA43" s="125" t="e">
        <f t="shared" ca="1" si="44"/>
        <v>#VALUE!</v>
      </c>
      <c r="AB43" s="77" t="e">
        <f t="shared" ca="1" si="30"/>
        <v>#VALUE!</v>
      </c>
      <c r="AC43" s="77"/>
      <c r="AD43" s="184">
        <f t="shared" ca="1" si="49"/>
        <v>-1</v>
      </c>
      <c r="AE43" s="181" t="str">
        <f t="shared" si="11"/>
        <v>N/A</v>
      </c>
      <c r="AF43" s="190">
        <v>43100</v>
      </c>
      <c r="AG43" s="186" t="e">
        <f t="shared" si="12"/>
        <v>#VALUE!</v>
      </c>
      <c r="AH43" s="187" t="e">
        <f t="shared" si="31"/>
        <v>#VALUE!</v>
      </c>
      <c r="AI43" s="187" t="e">
        <f t="shared" ca="1" si="13"/>
        <v>#VALUE!</v>
      </c>
      <c r="AJ43" s="188" t="e">
        <f t="shared" ca="1" si="32"/>
        <v>#VALUE!</v>
      </c>
      <c r="AT43" t="b">
        <f t="shared" si="15"/>
        <v>0</v>
      </c>
      <c r="AU43" t="b">
        <f t="shared" ca="1" si="16"/>
        <v>0</v>
      </c>
      <c r="AV43" t="b">
        <f t="shared" ca="1" si="17"/>
        <v>0</v>
      </c>
      <c r="AW43" t="b">
        <f t="shared" ca="1" si="18"/>
        <v>0</v>
      </c>
      <c r="AX43" t="b">
        <f t="shared" ca="1" si="19"/>
        <v>0</v>
      </c>
      <c r="AY43" t="b">
        <f t="shared" ca="1" si="20"/>
        <v>0</v>
      </c>
      <c r="AZ43" t="b">
        <f t="shared" ca="1" si="21"/>
        <v>0</v>
      </c>
      <c r="BA43" t="b">
        <f t="shared" ca="1" si="22"/>
        <v>0</v>
      </c>
      <c r="BB43" t="b">
        <f t="shared" ca="1" si="23"/>
        <v>0</v>
      </c>
      <c r="BC43" t="b">
        <f t="shared" ca="1" si="24"/>
        <v>0</v>
      </c>
      <c r="BD43" t="b">
        <f t="shared" ca="1" si="25"/>
        <v>0</v>
      </c>
      <c r="BE43" t="b">
        <f t="shared" ca="1" si="26"/>
        <v>0</v>
      </c>
      <c r="BF43" t="b">
        <f t="shared" ca="1" si="27"/>
        <v>0</v>
      </c>
      <c r="BG43">
        <f t="shared" ca="1" si="45"/>
        <v>1</v>
      </c>
      <c r="BH43">
        <f t="shared" ca="1" si="46"/>
        <v>11</v>
      </c>
    </row>
    <row r="44" spans="1:60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25" t="str">
        <f t="shared" ca="1" si="28"/>
        <v>N/A</v>
      </c>
      <c r="G44" s="125"/>
      <c r="H44" s="125"/>
      <c r="I44" s="125" t="str">
        <f t="shared" si="39"/>
        <v>N/A</v>
      </c>
      <c r="J44" s="125" t="str">
        <f t="shared" si="40"/>
        <v>N/A</v>
      </c>
      <c r="K44" s="125" t="str">
        <f t="shared" si="41"/>
        <v>N/A</v>
      </c>
      <c r="L44" s="125" t="str">
        <f t="shared" si="42"/>
        <v>N/A</v>
      </c>
      <c r="M44" s="125" t="str">
        <f ca="1">IFERROR(IF(VLOOKUP($A44,LASTYR,'[3]2017'!$I$3,FALSE)=0,"N/A",VLOOKUP($A44,LASTYR,'[3]2017'!$I$3,FALSE)),"N/A")</f>
        <v>N/A</v>
      </c>
      <c r="N44" s="125" t="str">
        <f t="shared" ca="1" si="47"/>
        <v>N/A</v>
      </c>
      <c r="O44" s="125" t="str">
        <f t="shared" ca="1" si="50"/>
        <v>N/A</v>
      </c>
      <c r="P44" s="125" t="str">
        <f t="shared" ca="1" si="50"/>
        <v>N/A</v>
      </c>
      <c r="Q44" s="125" t="str">
        <f t="shared" ca="1" si="50"/>
        <v>N/A</v>
      </c>
      <c r="R44" s="125" t="str">
        <f t="shared" ca="1" si="50"/>
        <v>N/A</v>
      </c>
      <c r="S44" s="125" t="str">
        <f t="shared" ca="1" si="50"/>
        <v>N/A</v>
      </c>
      <c r="T44" s="125" t="str">
        <f t="shared" ca="1" si="50"/>
        <v>N/A</v>
      </c>
      <c r="U44" s="125" t="str">
        <f t="shared" ca="1" si="50"/>
        <v>N/A</v>
      </c>
      <c r="V44" s="125" t="str">
        <f t="shared" ca="1" si="50"/>
        <v>N/A</v>
      </c>
      <c r="W44" s="125" t="str">
        <f t="shared" ca="1" si="50"/>
        <v>N/A</v>
      </c>
      <c r="X44" s="125" t="str">
        <f t="shared" ca="1" si="50"/>
        <v>N/A</v>
      </c>
      <c r="Y44" s="77" t="str">
        <f t="shared" ca="1" si="8"/>
        <v>N/A</v>
      </c>
      <c r="Z44" s="77" t="str">
        <f t="shared" ca="1" si="9"/>
        <v>N/A</v>
      </c>
      <c r="AA44" s="125" t="e">
        <f t="shared" ca="1" si="44"/>
        <v>#VALUE!</v>
      </c>
      <c r="AB44" s="77" t="e">
        <f t="shared" ca="1" si="30"/>
        <v>#VALUE!</v>
      </c>
      <c r="AC44" s="77"/>
      <c r="AD44" s="184">
        <f t="shared" ca="1" si="49"/>
        <v>-1</v>
      </c>
      <c r="AE44" s="181" t="str">
        <f t="shared" si="11"/>
        <v>N/A</v>
      </c>
      <c r="AF44" s="190">
        <v>43100</v>
      </c>
      <c r="AG44" s="186" t="e">
        <f t="shared" si="12"/>
        <v>#VALUE!</v>
      </c>
      <c r="AH44" s="187" t="e">
        <f t="shared" si="31"/>
        <v>#VALUE!</v>
      </c>
      <c r="AI44" s="187" t="e">
        <f t="shared" ca="1" si="13"/>
        <v>#VALUE!</v>
      </c>
      <c r="AJ44" s="188" t="e">
        <f t="shared" ca="1" si="32"/>
        <v>#VALUE!</v>
      </c>
      <c r="AT44" t="b">
        <f t="shared" si="15"/>
        <v>0</v>
      </c>
      <c r="AU44" t="b">
        <f t="shared" ca="1" si="16"/>
        <v>0</v>
      </c>
      <c r="AV44" t="b">
        <f t="shared" ca="1" si="17"/>
        <v>0</v>
      </c>
      <c r="AW44" t="b">
        <f t="shared" ca="1" si="18"/>
        <v>0</v>
      </c>
      <c r="AX44" t="b">
        <f t="shared" ca="1" si="19"/>
        <v>0</v>
      </c>
      <c r="AY44" t="b">
        <f t="shared" ca="1" si="20"/>
        <v>0</v>
      </c>
      <c r="AZ44" t="b">
        <f t="shared" ca="1" si="21"/>
        <v>0</v>
      </c>
      <c r="BA44" t="b">
        <f t="shared" ca="1" si="22"/>
        <v>0</v>
      </c>
      <c r="BB44" t="b">
        <f t="shared" ca="1" si="23"/>
        <v>0</v>
      </c>
      <c r="BC44" t="b">
        <f t="shared" ca="1" si="24"/>
        <v>0</v>
      </c>
      <c r="BD44" t="b">
        <f t="shared" ca="1" si="25"/>
        <v>0</v>
      </c>
      <c r="BE44" t="b">
        <f t="shared" ca="1" si="26"/>
        <v>0</v>
      </c>
      <c r="BF44" t="b">
        <f t="shared" ca="1" si="27"/>
        <v>0</v>
      </c>
      <c r="BG44">
        <f t="shared" ca="1" si="45"/>
        <v>1</v>
      </c>
      <c r="BH44">
        <f t="shared" ca="1" si="46"/>
        <v>11</v>
      </c>
    </row>
    <row r="45" spans="1:60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25" t="str">
        <f t="shared" ca="1" si="28"/>
        <v>N/A</v>
      </c>
      <c r="G45" s="125"/>
      <c r="H45" s="125"/>
      <c r="I45" s="125" t="str">
        <f t="shared" si="39"/>
        <v>N/A</v>
      </c>
      <c r="J45" s="125" t="str">
        <f t="shared" si="40"/>
        <v>N/A</v>
      </c>
      <c r="K45" s="125" t="str">
        <f t="shared" si="41"/>
        <v>N/A</v>
      </c>
      <c r="L45" s="125" t="str">
        <f t="shared" si="42"/>
        <v>N/A</v>
      </c>
      <c r="M45" s="125" t="str">
        <f ca="1">IFERROR(IF(VLOOKUP($A45,LASTYR,'[3]2017'!$I$3,FALSE)=0,"N/A",VLOOKUP($A45,LASTYR,'[3]2017'!$I$3,FALSE)),"N/A")</f>
        <v>N/A</v>
      </c>
      <c r="N45" s="125" t="str">
        <f t="shared" ca="1" si="47"/>
        <v>N/A</v>
      </c>
      <c r="O45" s="125" t="str">
        <f t="shared" ca="1" si="50"/>
        <v>N/A</v>
      </c>
      <c r="P45" s="125" t="str">
        <f t="shared" ca="1" si="50"/>
        <v>N/A</v>
      </c>
      <c r="Q45" s="125" t="str">
        <f t="shared" ca="1" si="50"/>
        <v>N/A</v>
      </c>
      <c r="R45" s="125" t="str">
        <f t="shared" ca="1" si="50"/>
        <v>N/A</v>
      </c>
      <c r="S45" s="125" t="str">
        <f t="shared" ca="1" si="50"/>
        <v>N/A</v>
      </c>
      <c r="T45" s="125" t="str">
        <f t="shared" ca="1" si="50"/>
        <v>N/A</v>
      </c>
      <c r="U45" s="125" t="str">
        <f t="shared" ca="1" si="50"/>
        <v>N/A</v>
      </c>
      <c r="V45" s="125" t="str">
        <f t="shared" ca="1" si="50"/>
        <v>N/A</v>
      </c>
      <c r="W45" s="125" t="str">
        <f t="shared" ca="1" si="50"/>
        <v>N/A</v>
      </c>
      <c r="X45" s="125" t="str">
        <f t="shared" ca="1" si="50"/>
        <v>N/A</v>
      </c>
      <c r="Y45" s="77" t="str">
        <f t="shared" ca="1" si="8"/>
        <v>N/A</v>
      </c>
      <c r="Z45" s="77" t="str">
        <f t="shared" ca="1" si="9"/>
        <v>N/A</v>
      </c>
      <c r="AA45" s="125" t="e">
        <f t="shared" ca="1" si="44"/>
        <v>#VALUE!</v>
      </c>
      <c r="AB45" s="77" t="e">
        <f t="shared" ca="1" si="30"/>
        <v>#VALUE!</v>
      </c>
      <c r="AC45" s="77"/>
      <c r="AD45" s="184">
        <f t="shared" ca="1" si="49"/>
        <v>-1</v>
      </c>
      <c r="AE45" s="181" t="str">
        <f t="shared" si="11"/>
        <v>N/A</v>
      </c>
      <c r="AF45" s="190">
        <v>43100</v>
      </c>
      <c r="AG45" s="186" t="e">
        <f t="shared" si="12"/>
        <v>#VALUE!</v>
      </c>
      <c r="AH45" s="187" t="e">
        <f t="shared" si="31"/>
        <v>#VALUE!</v>
      </c>
      <c r="AI45" s="187" t="e">
        <f t="shared" ca="1" si="13"/>
        <v>#VALUE!</v>
      </c>
      <c r="AJ45" s="188" t="e">
        <f t="shared" ca="1" si="32"/>
        <v>#VALUE!</v>
      </c>
      <c r="AT45" t="b">
        <f t="shared" si="15"/>
        <v>0</v>
      </c>
      <c r="AU45" t="b">
        <f t="shared" ca="1" si="16"/>
        <v>0</v>
      </c>
      <c r="AV45" t="b">
        <f t="shared" ca="1" si="17"/>
        <v>0</v>
      </c>
      <c r="AW45" t="b">
        <f t="shared" ca="1" si="18"/>
        <v>0</v>
      </c>
      <c r="AX45" t="b">
        <f t="shared" ca="1" si="19"/>
        <v>0</v>
      </c>
      <c r="AY45" t="b">
        <f t="shared" ca="1" si="20"/>
        <v>0</v>
      </c>
      <c r="AZ45" t="b">
        <f t="shared" ca="1" si="21"/>
        <v>0</v>
      </c>
      <c r="BA45" t="b">
        <f t="shared" ca="1" si="22"/>
        <v>0</v>
      </c>
      <c r="BB45" t="b">
        <f t="shared" ca="1" si="23"/>
        <v>0</v>
      </c>
      <c r="BC45" t="b">
        <f t="shared" ca="1" si="24"/>
        <v>0</v>
      </c>
      <c r="BD45" t="b">
        <f t="shared" ca="1" si="25"/>
        <v>0</v>
      </c>
      <c r="BE45" t="b">
        <f t="shared" ca="1" si="26"/>
        <v>0</v>
      </c>
      <c r="BF45" t="b">
        <f t="shared" ca="1" si="27"/>
        <v>0</v>
      </c>
      <c r="BG45">
        <f t="shared" ca="1" si="45"/>
        <v>1</v>
      </c>
      <c r="BH45">
        <f t="shared" ca="1" si="46"/>
        <v>11</v>
      </c>
    </row>
    <row r="46" spans="1:60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25" t="str">
        <f t="shared" ca="1" si="28"/>
        <v>N/A</v>
      </c>
      <c r="G46" s="125"/>
      <c r="H46" s="125"/>
      <c r="I46" s="125" t="str">
        <f t="shared" si="39"/>
        <v>N/A</v>
      </c>
      <c r="J46" s="125" t="str">
        <f t="shared" si="40"/>
        <v>N/A</v>
      </c>
      <c r="K46" s="125" t="str">
        <f t="shared" si="41"/>
        <v>N/A</v>
      </c>
      <c r="L46" s="125" t="str">
        <f t="shared" si="42"/>
        <v>N/A</v>
      </c>
      <c r="M46" s="125" t="str">
        <f ca="1">IFERROR(IF(VLOOKUP($A46,LASTYR,'[3]2017'!$I$3,FALSE)=0,"N/A",VLOOKUP($A46,LASTYR,'[3]2017'!$I$3,FALSE)),"N/A")</f>
        <v>N/A</v>
      </c>
      <c r="N46" s="125" t="str">
        <f t="shared" ca="1" si="47"/>
        <v>N/A</v>
      </c>
      <c r="O46" s="125" t="str">
        <f t="shared" ca="1" si="50"/>
        <v>N/A</v>
      </c>
      <c r="P46" s="125" t="str">
        <f t="shared" ca="1" si="50"/>
        <v>N/A</v>
      </c>
      <c r="Q46" s="125" t="str">
        <f t="shared" ca="1" si="50"/>
        <v>N/A</v>
      </c>
      <c r="R46" s="125" t="str">
        <f t="shared" ca="1" si="50"/>
        <v>N/A</v>
      </c>
      <c r="S46" s="125" t="str">
        <f t="shared" ca="1" si="50"/>
        <v>N/A</v>
      </c>
      <c r="T46" s="125" t="str">
        <f t="shared" ca="1" si="50"/>
        <v>N/A</v>
      </c>
      <c r="U46" s="125" t="str">
        <f t="shared" ca="1" si="50"/>
        <v>N/A</v>
      </c>
      <c r="V46" s="125" t="str">
        <f t="shared" ca="1" si="50"/>
        <v>N/A</v>
      </c>
      <c r="W46" s="125" t="str">
        <f t="shared" ca="1" si="50"/>
        <v>N/A</v>
      </c>
      <c r="X46" s="125" t="str">
        <f t="shared" ca="1" si="50"/>
        <v>N/A</v>
      </c>
      <c r="Y46" s="77" t="str">
        <f t="shared" ca="1" si="8"/>
        <v>N/A</v>
      </c>
      <c r="Z46" s="77" t="str">
        <f t="shared" ca="1" si="9"/>
        <v>N/A</v>
      </c>
      <c r="AA46" s="125" t="e">
        <f t="shared" ca="1" si="44"/>
        <v>#VALUE!</v>
      </c>
      <c r="AB46" s="77" t="e">
        <f t="shared" ca="1" si="30"/>
        <v>#VALUE!</v>
      </c>
      <c r="AC46" s="77"/>
      <c r="AD46" s="184">
        <f t="shared" ca="1" si="49"/>
        <v>-1</v>
      </c>
      <c r="AE46" s="181" t="str">
        <f t="shared" si="11"/>
        <v>N/A</v>
      </c>
      <c r="AF46" s="190">
        <v>43100</v>
      </c>
      <c r="AG46" s="186" t="e">
        <f t="shared" si="12"/>
        <v>#VALUE!</v>
      </c>
      <c r="AH46" s="187" t="e">
        <f t="shared" si="31"/>
        <v>#VALUE!</v>
      </c>
      <c r="AI46" s="187" t="e">
        <f t="shared" ca="1" si="13"/>
        <v>#VALUE!</v>
      </c>
      <c r="AJ46" s="188" t="e">
        <f t="shared" ca="1" si="32"/>
        <v>#VALUE!</v>
      </c>
      <c r="AT46" t="b">
        <f t="shared" si="15"/>
        <v>0</v>
      </c>
      <c r="AU46" t="b">
        <f t="shared" ca="1" si="16"/>
        <v>0</v>
      </c>
      <c r="AV46" t="b">
        <f t="shared" ca="1" si="17"/>
        <v>0</v>
      </c>
      <c r="AW46" t="b">
        <f t="shared" ca="1" si="18"/>
        <v>0</v>
      </c>
      <c r="AX46" t="b">
        <f t="shared" ca="1" si="19"/>
        <v>0</v>
      </c>
      <c r="AY46" t="b">
        <f t="shared" ca="1" si="20"/>
        <v>0</v>
      </c>
      <c r="AZ46" t="b">
        <f t="shared" ca="1" si="21"/>
        <v>0</v>
      </c>
      <c r="BA46" t="b">
        <f t="shared" ca="1" si="22"/>
        <v>0</v>
      </c>
      <c r="BB46" t="b">
        <f t="shared" ca="1" si="23"/>
        <v>0</v>
      </c>
      <c r="BC46" t="b">
        <f t="shared" ca="1" si="24"/>
        <v>0</v>
      </c>
      <c r="BD46" t="b">
        <f t="shared" ca="1" si="25"/>
        <v>0</v>
      </c>
      <c r="BE46" t="b">
        <f t="shared" ca="1" si="26"/>
        <v>0</v>
      </c>
      <c r="BF46" t="b">
        <f t="shared" ca="1" si="27"/>
        <v>0</v>
      </c>
      <c r="BG46">
        <f t="shared" ca="1" si="45"/>
        <v>1</v>
      </c>
      <c r="BH46">
        <f t="shared" ca="1" si="46"/>
        <v>11</v>
      </c>
    </row>
    <row r="47" spans="1:60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25" t="str">
        <f t="shared" ca="1" si="28"/>
        <v>N/A</v>
      </c>
      <c r="G47" s="125"/>
      <c r="H47" s="125"/>
      <c r="I47" s="125" t="str">
        <f t="shared" si="39"/>
        <v>N/A</v>
      </c>
      <c r="J47" s="125" t="str">
        <f t="shared" si="40"/>
        <v>N/A</v>
      </c>
      <c r="K47" s="125" t="str">
        <f t="shared" si="41"/>
        <v>N/A</v>
      </c>
      <c r="L47" s="125" t="str">
        <f t="shared" si="42"/>
        <v>N/A</v>
      </c>
      <c r="M47" s="125" t="str">
        <f ca="1">IFERROR(IF(VLOOKUP($A47,LASTYR,'[3]2017'!$I$3,FALSE)=0,"N/A",VLOOKUP($A47,LASTYR,'[3]2017'!$I$3,FALSE)),"N/A")</f>
        <v>N/A</v>
      </c>
      <c r="N47" s="125" t="str">
        <f t="shared" ca="1" si="47"/>
        <v>N/A</v>
      </c>
      <c r="O47" s="125" t="str">
        <f t="shared" ca="1" si="50"/>
        <v>N/A</v>
      </c>
      <c r="P47" s="125" t="str">
        <f t="shared" ca="1" si="50"/>
        <v>N/A</v>
      </c>
      <c r="Q47" s="125" t="str">
        <f t="shared" ca="1" si="50"/>
        <v>N/A</v>
      </c>
      <c r="R47" s="125" t="str">
        <f t="shared" ca="1" si="50"/>
        <v>N/A</v>
      </c>
      <c r="S47" s="125" t="str">
        <f t="shared" ca="1" si="50"/>
        <v>N/A</v>
      </c>
      <c r="T47" s="125" t="str">
        <f t="shared" ca="1" si="50"/>
        <v>N/A</v>
      </c>
      <c r="U47" s="125" t="str">
        <f t="shared" ca="1" si="50"/>
        <v>N/A</v>
      </c>
      <c r="V47" s="125" t="str">
        <f t="shared" ca="1" si="50"/>
        <v>N/A</v>
      </c>
      <c r="W47" s="125" t="str">
        <f t="shared" ca="1" si="50"/>
        <v>N/A</v>
      </c>
      <c r="X47" s="125" t="str">
        <f t="shared" ca="1" si="50"/>
        <v>N/A</v>
      </c>
      <c r="Y47" s="77" t="str">
        <f t="shared" ca="1" si="8"/>
        <v>N/A</v>
      </c>
      <c r="Z47" s="77" t="str">
        <f t="shared" ca="1" si="9"/>
        <v>N/A</v>
      </c>
      <c r="AA47" s="125" t="e">
        <f t="shared" ca="1" si="44"/>
        <v>#VALUE!</v>
      </c>
      <c r="AB47" s="77" t="e">
        <f t="shared" ca="1" si="30"/>
        <v>#VALUE!</v>
      </c>
      <c r="AC47" s="77"/>
      <c r="AD47" s="184">
        <f t="shared" ca="1" si="49"/>
        <v>-1</v>
      </c>
      <c r="AE47" s="181" t="str">
        <f t="shared" si="11"/>
        <v>N/A</v>
      </c>
      <c r="AF47" s="190">
        <v>43100</v>
      </c>
      <c r="AG47" s="186" t="e">
        <f t="shared" si="12"/>
        <v>#VALUE!</v>
      </c>
      <c r="AH47" s="187" t="e">
        <f t="shared" si="31"/>
        <v>#VALUE!</v>
      </c>
      <c r="AI47" s="187" t="e">
        <f t="shared" ca="1" si="13"/>
        <v>#VALUE!</v>
      </c>
      <c r="AJ47" s="188" t="e">
        <f t="shared" ca="1" si="32"/>
        <v>#VALUE!</v>
      </c>
      <c r="AT47" t="b">
        <f t="shared" si="15"/>
        <v>0</v>
      </c>
      <c r="AU47" t="b">
        <f t="shared" ca="1" si="16"/>
        <v>0</v>
      </c>
      <c r="AV47" t="b">
        <f t="shared" ca="1" si="17"/>
        <v>0</v>
      </c>
      <c r="AW47" t="b">
        <f t="shared" ca="1" si="18"/>
        <v>0</v>
      </c>
      <c r="AX47" t="b">
        <f t="shared" ca="1" si="19"/>
        <v>0</v>
      </c>
      <c r="AY47" t="b">
        <f t="shared" ca="1" si="20"/>
        <v>0</v>
      </c>
      <c r="AZ47" t="b">
        <f t="shared" ca="1" si="21"/>
        <v>0</v>
      </c>
      <c r="BA47" t="b">
        <f t="shared" ca="1" si="22"/>
        <v>0</v>
      </c>
      <c r="BB47" t="b">
        <f t="shared" ca="1" si="23"/>
        <v>0</v>
      </c>
      <c r="BC47" t="b">
        <f t="shared" ca="1" si="24"/>
        <v>0</v>
      </c>
      <c r="BD47" t="b">
        <f t="shared" ca="1" si="25"/>
        <v>0</v>
      </c>
      <c r="BE47" t="b">
        <f t="shared" ca="1" si="26"/>
        <v>0</v>
      </c>
      <c r="BF47" t="b">
        <f t="shared" ca="1" si="27"/>
        <v>0</v>
      </c>
      <c r="BG47">
        <f t="shared" ca="1" si="45"/>
        <v>1</v>
      </c>
      <c r="BH47">
        <f t="shared" ca="1" si="46"/>
        <v>11</v>
      </c>
    </row>
    <row r="48" spans="1:60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25" t="str">
        <f t="shared" ca="1" si="28"/>
        <v>N/A</v>
      </c>
      <c r="G48" s="125"/>
      <c r="H48" s="125"/>
      <c r="I48" s="125" t="str">
        <f t="shared" si="39"/>
        <v>N/A</v>
      </c>
      <c r="J48" s="125" t="str">
        <f t="shared" si="40"/>
        <v>N/A</v>
      </c>
      <c r="K48" s="125" t="str">
        <f t="shared" si="41"/>
        <v>N/A</v>
      </c>
      <c r="L48" s="125" t="str">
        <f t="shared" si="42"/>
        <v>N/A</v>
      </c>
      <c r="M48" s="125" t="str">
        <f ca="1">IFERROR(IF(VLOOKUP($A48,LASTYR,'[3]2017'!$I$3,FALSE)=0,"N/A",VLOOKUP($A48,LASTYR,'[3]2017'!$I$3,FALSE)),"N/A")</f>
        <v>N/A</v>
      </c>
      <c r="N48" s="125" t="str">
        <f t="shared" ca="1" si="47"/>
        <v>N/A</v>
      </c>
      <c r="O48" s="125" t="str">
        <f t="shared" ca="1" si="50"/>
        <v>N/A</v>
      </c>
      <c r="P48" s="125" t="str">
        <f t="shared" ca="1" si="50"/>
        <v>N/A</v>
      </c>
      <c r="Q48" s="125" t="str">
        <f t="shared" ca="1" si="50"/>
        <v>N/A</v>
      </c>
      <c r="R48" s="125" t="str">
        <f t="shared" ca="1" si="50"/>
        <v>N/A</v>
      </c>
      <c r="S48" s="125" t="str">
        <f t="shared" ca="1" si="50"/>
        <v>N/A</v>
      </c>
      <c r="T48" s="125" t="str">
        <f t="shared" ca="1" si="50"/>
        <v>N/A</v>
      </c>
      <c r="U48" s="125" t="str">
        <f t="shared" ca="1" si="50"/>
        <v>N/A</v>
      </c>
      <c r="V48" s="125" t="str">
        <f t="shared" ca="1" si="50"/>
        <v>N/A</v>
      </c>
      <c r="W48" s="125" t="str">
        <f t="shared" ca="1" si="50"/>
        <v>N/A</v>
      </c>
      <c r="X48" s="125" t="str">
        <f t="shared" ca="1" si="50"/>
        <v>N/A</v>
      </c>
      <c r="Y48" s="77" t="str">
        <f t="shared" ca="1" si="8"/>
        <v>N/A</v>
      </c>
      <c r="Z48" s="77" t="str">
        <f t="shared" ca="1" si="9"/>
        <v>N/A</v>
      </c>
      <c r="AA48" s="125" t="e">
        <f t="shared" ca="1" si="44"/>
        <v>#VALUE!</v>
      </c>
      <c r="AB48" s="77" t="e">
        <f t="shared" ca="1" si="30"/>
        <v>#VALUE!</v>
      </c>
      <c r="AC48" s="77"/>
      <c r="AD48" s="184">
        <f t="shared" ca="1" si="49"/>
        <v>-1</v>
      </c>
      <c r="AE48" s="181" t="str">
        <f t="shared" si="11"/>
        <v>N/A</v>
      </c>
      <c r="AF48" s="190">
        <v>43100</v>
      </c>
      <c r="AG48" s="186" t="e">
        <f t="shared" si="12"/>
        <v>#VALUE!</v>
      </c>
      <c r="AH48" s="187" t="e">
        <f t="shared" si="31"/>
        <v>#VALUE!</v>
      </c>
      <c r="AI48" s="187" t="e">
        <f t="shared" ca="1" si="13"/>
        <v>#VALUE!</v>
      </c>
      <c r="AJ48" s="188" t="e">
        <f t="shared" ca="1" si="32"/>
        <v>#VALUE!</v>
      </c>
      <c r="AT48" t="b">
        <f t="shared" si="15"/>
        <v>0</v>
      </c>
      <c r="AU48" t="b">
        <f t="shared" ca="1" si="16"/>
        <v>0</v>
      </c>
      <c r="AV48" t="b">
        <f t="shared" ca="1" si="17"/>
        <v>0</v>
      </c>
      <c r="AW48" t="b">
        <f t="shared" ca="1" si="18"/>
        <v>0</v>
      </c>
      <c r="AX48" t="b">
        <f t="shared" ca="1" si="19"/>
        <v>0</v>
      </c>
      <c r="AY48" t="b">
        <f t="shared" ca="1" si="20"/>
        <v>0</v>
      </c>
      <c r="AZ48" t="b">
        <f t="shared" ca="1" si="21"/>
        <v>0</v>
      </c>
      <c r="BA48" t="b">
        <f t="shared" ca="1" si="22"/>
        <v>0</v>
      </c>
      <c r="BB48" t="b">
        <f t="shared" ca="1" si="23"/>
        <v>0</v>
      </c>
      <c r="BC48" t="b">
        <f t="shared" ca="1" si="24"/>
        <v>0</v>
      </c>
      <c r="BD48" t="b">
        <f t="shared" ca="1" si="25"/>
        <v>0</v>
      </c>
      <c r="BE48" t="b">
        <f t="shared" ca="1" si="26"/>
        <v>0</v>
      </c>
      <c r="BF48" t="b">
        <f t="shared" ca="1" si="27"/>
        <v>0</v>
      </c>
      <c r="BG48">
        <f t="shared" ca="1" si="45"/>
        <v>1</v>
      </c>
      <c r="BH48">
        <f t="shared" ca="1" si="46"/>
        <v>11</v>
      </c>
    </row>
    <row r="49" spans="1:60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25" t="str">
        <f t="shared" ca="1" si="28"/>
        <v>N/A</v>
      </c>
      <c r="G49" s="125"/>
      <c r="H49" s="125"/>
      <c r="I49" s="125" t="str">
        <f t="shared" si="39"/>
        <v>N/A</v>
      </c>
      <c r="J49" s="125" t="str">
        <f t="shared" si="40"/>
        <v>N/A</v>
      </c>
      <c r="K49" s="125" t="str">
        <f t="shared" si="41"/>
        <v>N/A</v>
      </c>
      <c r="L49" s="125" t="str">
        <f t="shared" si="42"/>
        <v>N/A</v>
      </c>
      <c r="M49" s="125" t="str">
        <f ca="1">IFERROR(IF(VLOOKUP($A49,LASTYR,'[3]2017'!$I$3,FALSE)=0,"N/A",VLOOKUP($A49,LASTYR,'[3]2017'!$I$3,FALSE)),"N/A")</f>
        <v>N/A</v>
      </c>
      <c r="N49" s="125" t="str">
        <f t="shared" ca="1" si="47"/>
        <v>N/A</v>
      </c>
      <c r="O49" s="125" t="str">
        <f t="shared" ca="1" si="50"/>
        <v>N/A</v>
      </c>
      <c r="P49" s="125" t="str">
        <f t="shared" ca="1" si="50"/>
        <v>N/A</v>
      </c>
      <c r="Q49" s="125" t="str">
        <f t="shared" ca="1" si="50"/>
        <v>N/A</v>
      </c>
      <c r="R49" s="125" t="str">
        <f t="shared" ca="1" si="50"/>
        <v>N/A</v>
      </c>
      <c r="S49" s="125" t="str">
        <f t="shared" ca="1" si="50"/>
        <v>N/A</v>
      </c>
      <c r="T49" s="125" t="str">
        <f t="shared" ca="1" si="50"/>
        <v>N/A</v>
      </c>
      <c r="U49" s="125" t="str">
        <f t="shared" ca="1" si="50"/>
        <v>N/A</v>
      </c>
      <c r="V49" s="125" t="str">
        <f t="shared" ca="1" si="50"/>
        <v>N/A</v>
      </c>
      <c r="W49" s="125" t="str">
        <f t="shared" ca="1" si="50"/>
        <v>N/A</v>
      </c>
      <c r="X49" s="125" t="str">
        <f t="shared" ca="1" si="50"/>
        <v>N/A</v>
      </c>
      <c r="Y49" s="77" t="str">
        <f t="shared" ca="1" si="8"/>
        <v>N/A</v>
      </c>
      <c r="Z49" s="77" t="str">
        <f t="shared" ca="1" si="9"/>
        <v>N/A</v>
      </c>
      <c r="AA49" s="125" t="e">
        <f t="shared" ca="1" si="44"/>
        <v>#VALUE!</v>
      </c>
      <c r="AB49" s="77" t="e">
        <f t="shared" ca="1" si="30"/>
        <v>#VALUE!</v>
      </c>
      <c r="AC49" s="77"/>
      <c r="AD49" s="184">
        <f t="shared" ca="1" si="49"/>
        <v>-1</v>
      </c>
      <c r="AE49" s="181" t="str">
        <f t="shared" si="11"/>
        <v>N/A</v>
      </c>
      <c r="AF49" s="190">
        <v>43100</v>
      </c>
      <c r="AG49" s="186" t="e">
        <f t="shared" si="12"/>
        <v>#VALUE!</v>
      </c>
      <c r="AH49" s="187" t="e">
        <f t="shared" si="31"/>
        <v>#VALUE!</v>
      </c>
      <c r="AI49" s="187" t="e">
        <f t="shared" ca="1" si="13"/>
        <v>#VALUE!</v>
      </c>
      <c r="AJ49" s="188" t="e">
        <f t="shared" ca="1" si="32"/>
        <v>#VALUE!</v>
      </c>
      <c r="AT49" t="b">
        <f t="shared" si="15"/>
        <v>0</v>
      </c>
      <c r="AU49" t="b">
        <f t="shared" ca="1" si="16"/>
        <v>0</v>
      </c>
      <c r="AV49" t="b">
        <f t="shared" ca="1" si="17"/>
        <v>0</v>
      </c>
      <c r="AW49" t="b">
        <f t="shared" ca="1" si="18"/>
        <v>0</v>
      </c>
      <c r="AX49" t="b">
        <f t="shared" ca="1" si="19"/>
        <v>0</v>
      </c>
      <c r="AY49" t="b">
        <f t="shared" ca="1" si="20"/>
        <v>0</v>
      </c>
      <c r="AZ49" t="b">
        <f t="shared" ca="1" si="21"/>
        <v>0</v>
      </c>
      <c r="BA49" t="b">
        <f t="shared" ca="1" si="22"/>
        <v>0</v>
      </c>
      <c r="BB49" t="b">
        <f t="shared" ca="1" si="23"/>
        <v>0</v>
      </c>
      <c r="BC49" t="b">
        <f t="shared" ca="1" si="24"/>
        <v>0</v>
      </c>
      <c r="BD49" t="b">
        <f t="shared" ca="1" si="25"/>
        <v>0</v>
      </c>
      <c r="BE49" t="b">
        <f t="shared" ca="1" si="26"/>
        <v>0</v>
      </c>
      <c r="BF49" t="b">
        <f t="shared" ca="1" si="27"/>
        <v>0</v>
      </c>
      <c r="BG49">
        <f t="shared" ca="1" si="45"/>
        <v>1</v>
      </c>
      <c r="BH49">
        <f t="shared" ca="1" si="46"/>
        <v>11</v>
      </c>
    </row>
    <row r="50" spans="1:60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25" t="str">
        <f t="shared" ca="1" si="28"/>
        <v>N/A</v>
      </c>
      <c r="G50" s="125"/>
      <c r="H50" s="125"/>
      <c r="I50" s="125" t="str">
        <f t="shared" si="39"/>
        <v>N/A</v>
      </c>
      <c r="J50" s="125" t="str">
        <f t="shared" si="40"/>
        <v>N/A</v>
      </c>
      <c r="K50" s="125" t="str">
        <f t="shared" si="41"/>
        <v>N/A</v>
      </c>
      <c r="L50" s="125" t="str">
        <f t="shared" si="42"/>
        <v>N/A</v>
      </c>
      <c r="M50" s="125" t="str">
        <f ca="1">IFERROR(IF(VLOOKUP($A50,LASTYR,'[3]2017'!$I$3,FALSE)=0,"N/A",VLOOKUP($A50,LASTYR,'[3]2017'!$I$3,FALSE)),"N/A")</f>
        <v>N/A</v>
      </c>
      <c r="N50" s="125" t="str">
        <f t="shared" ca="1" si="47"/>
        <v>N/A</v>
      </c>
      <c r="O50" s="125" t="str">
        <f t="shared" ca="1" si="50"/>
        <v>N/A</v>
      </c>
      <c r="P50" s="125" t="str">
        <f t="shared" ca="1" si="50"/>
        <v>N/A</v>
      </c>
      <c r="Q50" s="125" t="str">
        <f t="shared" ca="1" si="50"/>
        <v>N/A</v>
      </c>
      <c r="R50" s="125" t="str">
        <f t="shared" ca="1" si="50"/>
        <v>N/A</v>
      </c>
      <c r="S50" s="125" t="str">
        <f t="shared" ca="1" si="50"/>
        <v>N/A</v>
      </c>
      <c r="T50" s="125" t="str">
        <f t="shared" ca="1" si="50"/>
        <v>N/A</v>
      </c>
      <c r="U50" s="125" t="str">
        <f t="shared" ca="1" si="50"/>
        <v>N/A</v>
      </c>
      <c r="V50" s="125" t="str">
        <f t="shared" ca="1" si="50"/>
        <v>N/A</v>
      </c>
      <c r="W50" s="125" t="str">
        <f t="shared" ca="1" si="50"/>
        <v>N/A</v>
      </c>
      <c r="X50" s="125" t="str">
        <f t="shared" ca="1" si="50"/>
        <v>N/A</v>
      </c>
      <c r="Y50" s="77" t="str">
        <f t="shared" ca="1" si="8"/>
        <v>N/A</v>
      </c>
      <c r="Z50" s="77" t="str">
        <f t="shared" ca="1" si="9"/>
        <v>N/A</v>
      </c>
      <c r="AA50" s="125" t="e">
        <f t="shared" ca="1" si="44"/>
        <v>#VALUE!</v>
      </c>
      <c r="AB50" s="77" t="e">
        <f t="shared" ca="1" si="30"/>
        <v>#VALUE!</v>
      </c>
      <c r="AC50" s="77"/>
      <c r="AD50" s="184">
        <f t="shared" ca="1" si="49"/>
        <v>-1</v>
      </c>
      <c r="AE50" s="181" t="str">
        <f t="shared" si="11"/>
        <v>N/A</v>
      </c>
      <c r="AF50" s="190">
        <v>43100</v>
      </c>
      <c r="AG50" s="186" t="e">
        <f t="shared" si="12"/>
        <v>#VALUE!</v>
      </c>
      <c r="AH50" s="187" t="e">
        <f t="shared" si="31"/>
        <v>#VALUE!</v>
      </c>
      <c r="AI50" s="187" t="e">
        <f t="shared" ca="1" si="13"/>
        <v>#VALUE!</v>
      </c>
      <c r="AJ50" s="188" t="e">
        <f t="shared" ca="1" si="32"/>
        <v>#VALUE!</v>
      </c>
      <c r="AT50" t="b">
        <f t="shared" si="15"/>
        <v>0</v>
      </c>
      <c r="AU50" t="b">
        <f t="shared" ca="1" si="16"/>
        <v>0</v>
      </c>
      <c r="AV50" t="b">
        <f t="shared" ca="1" si="17"/>
        <v>0</v>
      </c>
      <c r="AW50" t="b">
        <f t="shared" ca="1" si="18"/>
        <v>0</v>
      </c>
      <c r="AX50" t="b">
        <f t="shared" ca="1" si="19"/>
        <v>0</v>
      </c>
      <c r="AY50" t="b">
        <f t="shared" ca="1" si="20"/>
        <v>0</v>
      </c>
      <c r="AZ50" t="b">
        <f t="shared" ca="1" si="21"/>
        <v>0</v>
      </c>
      <c r="BA50" t="b">
        <f t="shared" ca="1" si="22"/>
        <v>0</v>
      </c>
      <c r="BB50" t="b">
        <f t="shared" ca="1" si="23"/>
        <v>0</v>
      </c>
      <c r="BC50" t="b">
        <f t="shared" ca="1" si="24"/>
        <v>0</v>
      </c>
      <c r="BD50" t="b">
        <f t="shared" ca="1" si="25"/>
        <v>0</v>
      </c>
      <c r="BE50" t="b">
        <f t="shared" ca="1" si="26"/>
        <v>0</v>
      </c>
      <c r="BF50" t="b">
        <f t="shared" ca="1" si="27"/>
        <v>0</v>
      </c>
      <c r="BG50">
        <f t="shared" ca="1" si="45"/>
        <v>1</v>
      </c>
      <c r="BH50">
        <f t="shared" ca="1" si="46"/>
        <v>11</v>
      </c>
    </row>
    <row r="51" spans="1:60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25" t="str">
        <f t="shared" ca="1" si="28"/>
        <v>N/A</v>
      </c>
      <c r="G51" s="125"/>
      <c r="H51" s="125"/>
      <c r="I51" s="125" t="str">
        <f t="shared" si="39"/>
        <v>N/A</v>
      </c>
      <c r="J51" s="125" t="str">
        <f t="shared" si="40"/>
        <v>N/A</v>
      </c>
      <c r="K51" s="125" t="str">
        <f t="shared" si="41"/>
        <v>N/A</v>
      </c>
      <c r="L51" s="125" t="str">
        <f t="shared" si="42"/>
        <v>N/A</v>
      </c>
      <c r="M51" s="125" t="str">
        <f ca="1">IFERROR(IF(VLOOKUP($A51,LASTYR,'[3]2017'!$I$3,FALSE)=0,"N/A",VLOOKUP($A51,LASTYR,'[3]2017'!$I$3,FALSE)),"N/A")</f>
        <v>N/A</v>
      </c>
      <c r="N51" s="125" t="str">
        <f t="shared" ca="1" si="47"/>
        <v>N/A</v>
      </c>
      <c r="O51" s="125" t="str">
        <f t="shared" ca="1" si="50"/>
        <v>N/A</v>
      </c>
      <c r="P51" s="125" t="str">
        <f t="shared" ca="1" si="50"/>
        <v>N/A</v>
      </c>
      <c r="Q51" s="125" t="str">
        <f t="shared" ca="1" si="50"/>
        <v>N/A</v>
      </c>
      <c r="R51" s="125" t="str">
        <f t="shared" ca="1" si="50"/>
        <v>N/A</v>
      </c>
      <c r="S51" s="125" t="str">
        <f t="shared" ca="1" si="50"/>
        <v>N/A</v>
      </c>
      <c r="T51" s="125" t="str">
        <f t="shared" ca="1" si="50"/>
        <v>N/A</v>
      </c>
      <c r="U51" s="125" t="str">
        <f t="shared" ca="1" si="50"/>
        <v>N/A</v>
      </c>
      <c r="V51" s="125" t="str">
        <f t="shared" ca="1" si="50"/>
        <v>N/A</v>
      </c>
      <c r="W51" s="125" t="str">
        <f t="shared" ca="1" si="50"/>
        <v>N/A</v>
      </c>
      <c r="X51" s="125" t="str">
        <f t="shared" ca="1" si="50"/>
        <v>N/A</v>
      </c>
      <c r="Y51" s="77" t="str">
        <f t="shared" ca="1" si="8"/>
        <v>N/A</v>
      </c>
      <c r="Z51" s="77" t="str">
        <f t="shared" ca="1" si="9"/>
        <v>N/A</v>
      </c>
      <c r="AA51" s="125" t="e">
        <f t="shared" ca="1" si="44"/>
        <v>#VALUE!</v>
      </c>
      <c r="AB51" s="77" t="e">
        <f t="shared" ca="1" si="30"/>
        <v>#VALUE!</v>
      </c>
      <c r="AC51" s="77"/>
      <c r="AD51" s="184">
        <f t="shared" ca="1" si="49"/>
        <v>-1</v>
      </c>
      <c r="AE51" s="181" t="str">
        <f t="shared" si="11"/>
        <v>N/A</v>
      </c>
      <c r="AF51" s="190">
        <v>43100</v>
      </c>
      <c r="AG51" s="186" t="e">
        <f t="shared" si="12"/>
        <v>#VALUE!</v>
      </c>
      <c r="AH51" s="187" t="e">
        <f t="shared" si="31"/>
        <v>#VALUE!</v>
      </c>
      <c r="AI51" s="187" t="e">
        <f t="shared" ca="1" si="13"/>
        <v>#VALUE!</v>
      </c>
      <c r="AJ51" s="188" t="e">
        <f t="shared" ca="1" si="32"/>
        <v>#VALUE!</v>
      </c>
      <c r="AT51" t="b">
        <f t="shared" si="15"/>
        <v>0</v>
      </c>
      <c r="AU51" t="b">
        <f t="shared" ca="1" si="16"/>
        <v>0</v>
      </c>
      <c r="AV51" t="b">
        <f t="shared" ca="1" si="17"/>
        <v>0</v>
      </c>
      <c r="AW51" t="b">
        <f t="shared" ca="1" si="18"/>
        <v>0</v>
      </c>
      <c r="AX51" t="b">
        <f t="shared" ca="1" si="19"/>
        <v>0</v>
      </c>
      <c r="AY51" t="b">
        <f t="shared" ca="1" si="20"/>
        <v>0</v>
      </c>
      <c r="AZ51" t="b">
        <f t="shared" ca="1" si="21"/>
        <v>0</v>
      </c>
      <c r="BA51" t="b">
        <f t="shared" ca="1" si="22"/>
        <v>0</v>
      </c>
      <c r="BB51" t="b">
        <f t="shared" ca="1" si="23"/>
        <v>0</v>
      </c>
      <c r="BC51" t="b">
        <f t="shared" ca="1" si="24"/>
        <v>0</v>
      </c>
      <c r="BD51" t="b">
        <f t="shared" ca="1" si="25"/>
        <v>0</v>
      </c>
      <c r="BE51" t="b">
        <f t="shared" ca="1" si="26"/>
        <v>0</v>
      </c>
      <c r="BF51" t="b">
        <f t="shared" ca="1" si="27"/>
        <v>0</v>
      </c>
      <c r="BG51">
        <f t="shared" ca="1" si="45"/>
        <v>1</v>
      </c>
      <c r="BH51">
        <f t="shared" ca="1" si="46"/>
        <v>11</v>
      </c>
    </row>
    <row r="52" spans="1:60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25" t="str">
        <f t="shared" ca="1" si="28"/>
        <v>N/A</v>
      </c>
      <c r="G52" s="125"/>
      <c r="H52" s="125"/>
      <c r="I52" s="125" t="str">
        <f t="shared" si="39"/>
        <v>N/A</v>
      </c>
      <c r="J52" s="125" t="str">
        <f t="shared" si="40"/>
        <v>N/A</v>
      </c>
      <c r="K52" s="125" t="str">
        <f t="shared" si="41"/>
        <v>N/A</v>
      </c>
      <c r="L52" s="125" t="str">
        <f t="shared" si="42"/>
        <v>N/A</v>
      </c>
      <c r="M52" s="125" t="str">
        <f ca="1">IFERROR(IF(VLOOKUP($A52,LASTYR,'[3]2017'!$I$3,FALSE)=0,"N/A",VLOOKUP($A52,LASTYR,'[3]2017'!$I$3,FALSE)),"N/A")</f>
        <v>N/A</v>
      </c>
      <c r="N52" s="125" t="str">
        <f t="shared" ca="1" si="47"/>
        <v>N/A</v>
      </c>
      <c r="O52" s="125" t="str">
        <f t="shared" ca="1" si="50"/>
        <v>N/A</v>
      </c>
      <c r="P52" s="125" t="str">
        <f t="shared" ca="1" si="50"/>
        <v>N/A</v>
      </c>
      <c r="Q52" s="125" t="str">
        <f t="shared" ca="1" si="50"/>
        <v>N/A</v>
      </c>
      <c r="R52" s="125" t="str">
        <f t="shared" ca="1" si="50"/>
        <v>N/A</v>
      </c>
      <c r="S52" s="125" t="str">
        <f t="shared" ca="1" si="50"/>
        <v>N/A</v>
      </c>
      <c r="T52" s="125" t="str">
        <f t="shared" ca="1" si="50"/>
        <v>N/A</v>
      </c>
      <c r="U52" s="125" t="str">
        <f t="shared" ca="1" si="50"/>
        <v>N/A</v>
      </c>
      <c r="V52" s="125" t="str">
        <f t="shared" ca="1" si="50"/>
        <v>N/A</v>
      </c>
      <c r="W52" s="125" t="str">
        <f t="shared" ca="1" si="50"/>
        <v>N/A</v>
      </c>
      <c r="X52" s="125" t="str">
        <f t="shared" ca="1" si="50"/>
        <v>N/A</v>
      </c>
      <c r="Y52" s="77" t="str">
        <f t="shared" ca="1" si="8"/>
        <v>N/A</v>
      </c>
      <c r="Z52" s="77" t="str">
        <f t="shared" ca="1" si="9"/>
        <v>N/A</v>
      </c>
      <c r="AA52" s="125" t="e">
        <f t="shared" ca="1" si="44"/>
        <v>#VALUE!</v>
      </c>
      <c r="AB52" s="77" t="e">
        <f t="shared" ca="1" si="30"/>
        <v>#VALUE!</v>
      </c>
      <c r="AC52" s="77"/>
      <c r="AD52" s="184">
        <f t="shared" ca="1" si="49"/>
        <v>-1</v>
      </c>
      <c r="AE52" s="181" t="str">
        <f t="shared" si="11"/>
        <v>N/A</v>
      </c>
      <c r="AF52" s="190">
        <v>43100</v>
      </c>
      <c r="AG52" s="186" t="e">
        <f t="shared" si="12"/>
        <v>#VALUE!</v>
      </c>
      <c r="AH52" s="187" t="e">
        <f t="shared" si="31"/>
        <v>#VALUE!</v>
      </c>
      <c r="AI52" s="187" t="e">
        <f t="shared" ca="1" si="13"/>
        <v>#VALUE!</v>
      </c>
      <c r="AJ52" s="188" t="e">
        <f t="shared" ca="1" si="32"/>
        <v>#VALUE!</v>
      </c>
      <c r="AT52" t="b">
        <f t="shared" si="15"/>
        <v>0</v>
      </c>
      <c r="AU52" t="b">
        <f t="shared" ca="1" si="16"/>
        <v>0</v>
      </c>
      <c r="AV52" t="b">
        <f t="shared" ca="1" si="17"/>
        <v>0</v>
      </c>
      <c r="AW52" t="b">
        <f t="shared" ca="1" si="18"/>
        <v>0</v>
      </c>
      <c r="AX52" t="b">
        <f t="shared" ca="1" si="19"/>
        <v>0</v>
      </c>
      <c r="AY52" t="b">
        <f t="shared" ca="1" si="20"/>
        <v>0</v>
      </c>
      <c r="AZ52" t="b">
        <f t="shared" ca="1" si="21"/>
        <v>0</v>
      </c>
      <c r="BA52" t="b">
        <f t="shared" ca="1" si="22"/>
        <v>0</v>
      </c>
      <c r="BB52" t="b">
        <f t="shared" ca="1" si="23"/>
        <v>0</v>
      </c>
      <c r="BC52" t="b">
        <f t="shared" ca="1" si="24"/>
        <v>0</v>
      </c>
      <c r="BD52" t="b">
        <f t="shared" ca="1" si="25"/>
        <v>0</v>
      </c>
      <c r="BE52" t="b">
        <f t="shared" ca="1" si="26"/>
        <v>0</v>
      </c>
      <c r="BF52" t="b">
        <f t="shared" ca="1" si="27"/>
        <v>0</v>
      </c>
      <c r="BG52">
        <f t="shared" ca="1" si="45"/>
        <v>1</v>
      </c>
      <c r="BH52">
        <f t="shared" ca="1" si="46"/>
        <v>11</v>
      </c>
    </row>
    <row r="53" spans="1:60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25" t="str">
        <f t="shared" ca="1" si="28"/>
        <v>N/A</v>
      </c>
      <c r="G53" s="125"/>
      <c r="H53" s="125"/>
      <c r="I53" s="125" t="str">
        <f t="shared" si="39"/>
        <v>N/A</v>
      </c>
      <c r="J53" s="125" t="str">
        <f t="shared" si="40"/>
        <v>N/A</v>
      </c>
      <c r="K53" s="125" t="str">
        <f t="shared" si="41"/>
        <v>N/A</v>
      </c>
      <c r="L53" s="125" t="str">
        <f t="shared" si="42"/>
        <v>N/A</v>
      </c>
      <c r="M53" s="125" t="str">
        <f ca="1">IFERROR(IF(VLOOKUP($A53,LASTYR,'[3]2017'!$I$3,FALSE)=0,"N/A",VLOOKUP($A53,LASTYR,'[3]2017'!$I$3,FALSE)),"N/A")</f>
        <v>N/A</v>
      </c>
      <c r="N53" s="125" t="str">
        <f t="shared" ca="1" si="47"/>
        <v>N/A</v>
      </c>
      <c r="O53" s="125" t="str">
        <f t="shared" ca="1" si="50"/>
        <v>N/A</v>
      </c>
      <c r="P53" s="125" t="str">
        <f t="shared" ca="1" si="50"/>
        <v>N/A</v>
      </c>
      <c r="Q53" s="125" t="str">
        <f t="shared" ca="1" si="50"/>
        <v>N/A</v>
      </c>
      <c r="R53" s="125" t="str">
        <f t="shared" ca="1" si="50"/>
        <v>N/A</v>
      </c>
      <c r="S53" s="125" t="str">
        <f t="shared" ca="1" si="50"/>
        <v>N/A</v>
      </c>
      <c r="T53" s="125" t="str">
        <f t="shared" ca="1" si="50"/>
        <v>N/A</v>
      </c>
      <c r="U53" s="125" t="str">
        <f t="shared" ca="1" si="50"/>
        <v>N/A</v>
      </c>
      <c r="V53" s="125" t="str">
        <f t="shared" ca="1" si="50"/>
        <v>N/A</v>
      </c>
      <c r="W53" s="125" t="str">
        <f t="shared" ca="1" si="50"/>
        <v>N/A</v>
      </c>
      <c r="X53" s="125" t="str">
        <f t="shared" ca="1" si="50"/>
        <v>N/A</v>
      </c>
      <c r="Y53" s="77" t="str">
        <f t="shared" ca="1" si="8"/>
        <v>N/A</v>
      </c>
      <c r="Z53" s="77" t="str">
        <f t="shared" ca="1" si="9"/>
        <v>N/A</v>
      </c>
      <c r="AA53" s="125" t="e">
        <f t="shared" ca="1" si="44"/>
        <v>#VALUE!</v>
      </c>
      <c r="AB53" s="77" t="e">
        <f t="shared" ca="1" si="30"/>
        <v>#VALUE!</v>
      </c>
      <c r="AC53" s="77"/>
      <c r="AD53" s="184">
        <f t="shared" ca="1" si="49"/>
        <v>-1</v>
      </c>
      <c r="AE53" s="181" t="str">
        <f t="shared" si="11"/>
        <v>N/A</v>
      </c>
      <c r="AF53" s="190">
        <v>43100</v>
      </c>
      <c r="AG53" s="186" t="e">
        <f t="shared" si="12"/>
        <v>#VALUE!</v>
      </c>
      <c r="AH53" s="187" t="e">
        <f t="shared" si="31"/>
        <v>#VALUE!</v>
      </c>
      <c r="AI53" s="187" t="e">
        <f t="shared" ca="1" si="13"/>
        <v>#VALUE!</v>
      </c>
      <c r="AJ53" s="188" t="e">
        <f t="shared" ca="1" si="32"/>
        <v>#VALUE!</v>
      </c>
      <c r="AT53" t="b">
        <f t="shared" si="15"/>
        <v>0</v>
      </c>
      <c r="AU53" t="b">
        <f t="shared" ca="1" si="16"/>
        <v>0</v>
      </c>
      <c r="AV53" t="b">
        <f t="shared" ca="1" si="17"/>
        <v>0</v>
      </c>
      <c r="AW53" t="b">
        <f t="shared" ca="1" si="18"/>
        <v>0</v>
      </c>
      <c r="AX53" t="b">
        <f t="shared" ca="1" si="19"/>
        <v>0</v>
      </c>
      <c r="AY53" t="b">
        <f t="shared" ca="1" si="20"/>
        <v>0</v>
      </c>
      <c r="AZ53" t="b">
        <f t="shared" ca="1" si="21"/>
        <v>0</v>
      </c>
      <c r="BA53" t="b">
        <f t="shared" ca="1" si="22"/>
        <v>0</v>
      </c>
      <c r="BB53" t="b">
        <f t="shared" ca="1" si="23"/>
        <v>0</v>
      </c>
      <c r="BC53" t="b">
        <f t="shared" ca="1" si="24"/>
        <v>0</v>
      </c>
      <c r="BD53" t="b">
        <f t="shared" ca="1" si="25"/>
        <v>0</v>
      </c>
      <c r="BE53" t="b">
        <f t="shared" ca="1" si="26"/>
        <v>0</v>
      </c>
      <c r="BF53" t="b">
        <f t="shared" ca="1" si="27"/>
        <v>0</v>
      </c>
      <c r="BG53">
        <f t="shared" ca="1" si="45"/>
        <v>1</v>
      </c>
      <c r="BH53">
        <f t="shared" ca="1" si="46"/>
        <v>11</v>
      </c>
    </row>
    <row r="54" spans="1:60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28"/>
        <v>N/A</v>
      </c>
      <c r="G54" s="125"/>
      <c r="H54" s="125"/>
      <c r="I54" s="125" t="str">
        <f t="shared" si="39"/>
        <v>N/A</v>
      </c>
      <c r="J54" s="125" t="str">
        <f t="shared" si="40"/>
        <v>N/A</v>
      </c>
      <c r="K54" s="125" t="str">
        <f t="shared" si="41"/>
        <v>N/A</v>
      </c>
      <c r="L54" s="125" t="str">
        <f t="shared" si="42"/>
        <v>N/A</v>
      </c>
      <c r="M54" s="125" t="str">
        <f ca="1">IFERROR(IF(VLOOKUP($A54,LASTYR,'[3]2017'!$I$3,FALSE)=0,"N/A",VLOOKUP($A54,LASTYR,'[3]2017'!$I$3,FALSE)),"N/A")</f>
        <v>N/A</v>
      </c>
      <c r="N54" s="125" t="str">
        <f t="shared" ca="1" si="47"/>
        <v>N/A</v>
      </c>
      <c r="O54" s="125" t="str">
        <f t="shared" ca="1" si="50"/>
        <v>N/A</v>
      </c>
      <c r="P54" s="125" t="str">
        <f t="shared" ca="1" si="50"/>
        <v>N/A</v>
      </c>
      <c r="Q54" s="125" t="str">
        <f t="shared" ca="1" si="50"/>
        <v>N/A</v>
      </c>
      <c r="R54" s="125" t="str">
        <f t="shared" ca="1" si="50"/>
        <v>N/A</v>
      </c>
      <c r="S54" s="125" t="str">
        <f t="shared" ca="1" si="50"/>
        <v>N/A</v>
      </c>
      <c r="T54" s="125" t="str">
        <f t="shared" ca="1" si="50"/>
        <v>N/A</v>
      </c>
      <c r="U54" s="125" t="str">
        <f t="shared" ca="1" si="50"/>
        <v>N/A</v>
      </c>
      <c r="V54" s="125" t="str">
        <f t="shared" ca="1" si="50"/>
        <v>N/A</v>
      </c>
      <c r="W54" s="125" t="str">
        <f t="shared" ca="1" si="50"/>
        <v>N/A</v>
      </c>
      <c r="X54" s="125" t="str">
        <f t="shared" ca="1" si="50"/>
        <v>N/A</v>
      </c>
      <c r="Y54" s="77" t="str">
        <f t="shared" si="8"/>
        <v>N/A</v>
      </c>
      <c r="Z54" s="77" t="str">
        <f t="shared" ca="1" si="9"/>
        <v>N/A</v>
      </c>
      <c r="AA54" s="125" t="e">
        <f t="shared" ca="1" si="44"/>
        <v>#VALUE!</v>
      </c>
      <c r="AB54" s="77" t="e">
        <f t="shared" ca="1" si="30"/>
        <v>#VALUE!</v>
      </c>
      <c r="AC54" s="77"/>
      <c r="AD54" s="184">
        <f t="shared" si="49"/>
        <v>-2</v>
      </c>
      <c r="AE54" s="181" t="str">
        <f t="shared" si="11"/>
        <v>N/A</v>
      </c>
      <c r="AF54" s="182" t="str">
        <f>IFERROR(IF(VLOOKUP(A54,LUCurYr,16,FALSE)=0,"",VLOOKUP(A54,LUCurYr,16,FALSE)),"N/A")</f>
        <v>N/A</v>
      </c>
      <c r="AG54" s="186" t="e">
        <f t="shared" si="12"/>
        <v>#VALUE!</v>
      </c>
      <c r="AH54" s="187" t="e">
        <f t="shared" si="31"/>
        <v>#VALUE!</v>
      </c>
      <c r="AI54" s="187" t="e">
        <f t="shared" si="13"/>
        <v>#VALUE!</v>
      </c>
      <c r="AJ54" s="188" t="e">
        <f t="shared" ca="1" si="32"/>
        <v>#VALUE!</v>
      </c>
      <c r="AK54" s="62"/>
      <c r="AL54" s="62"/>
      <c r="AM54" s="62"/>
      <c r="AN54" s="62"/>
      <c r="AO54" s="62"/>
      <c r="AP54" s="62"/>
      <c r="AQ54" s="62"/>
      <c r="AR54" s="62"/>
      <c r="AS54" s="62"/>
    </row>
    <row r="55" spans="1:60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28"/>
        <v>N/A</v>
      </c>
      <c r="G55" s="125"/>
      <c r="H55" s="125"/>
      <c r="I55" s="125" t="str">
        <f t="shared" si="39"/>
        <v>N/A</v>
      </c>
      <c r="J55" s="125" t="str">
        <f t="shared" si="40"/>
        <v>N/A</v>
      </c>
      <c r="K55" s="125" t="str">
        <f t="shared" si="41"/>
        <v>N/A</v>
      </c>
      <c r="L55" s="125" t="str">
        <f t="shared" si="42"/>
        <v>N/A</v>
      </c>
      <c r="M55" s="125" t="str">
        <f ca="1">IFERROR(IF(VLOOKUP($A55,LASTYR,'[3]2017'!$I$3,FALSE)=0,"N/A",VLOOKUP($A55,LASTYR,'[3]2017'!$I$3,FALSE)),"N/A")</f>
        <v>N/A</v>
      </c>
      <c r="N55" s="125" t="str">
        <f t="shared" ca="1" si="47"/>
        <v>N/A</v>
      </c>
      <c r="O55" s="125" t="str">
        <f t="shared" ca="1" si="50"/>
        <v>N/A</v>
      </c>
      <c r="P55" s="125" t="str">
        <f t="shared" ca="1" si="50"/>
        <v>N/A</v>
      </c>
      <c r="Q55" s="125" t="str">
        <f t="shared" ca="1" si="50"/>
        <v>N/A</v>
      </c>
      <c r="R55" s="125" t="str">
        <f t="shared" ca="1" si="50"/>
        <v>N/A</v>
      </c>
      <c r="S55" s="125" t="str">
        <f t="shared" ca="1" si="50"/>
        <v>N/A</v>
      </c>
      <c r="T55" s="125" t="str">
        <f t="shared" ca="1" si="50"/>
        <v>N/A</v>
      </c>
      <c r="U55" s="125" t="str">
        <f t="shared" ca="1" si="50"/>
        <v>N/A</v>
      </c>
      <c r="V55" s="125" t="str">
        <f t="shared" ca="1" si="50"/>
        <v>N/A</v>
      </c>
      <c r="W55" s="125" t="str">
        <f t="shared" ca="1" si="50"/>
        <v>N/A</v>
      </c>
      <c r="X55" s="125" t="str">
        <f t="shared" ca="1" si="50"/>
        <v>N/A</v>
      </c>
      <c r="Y55" s="77" t="str">
        <f t="shared" si="8"/>
        <v>N/A</v>
      </c>
      <c r="Z55" s="77" t="str">
        <f t="shared" ca="1" si="9"/>
        <v>N/A</v>
      </c>
      <c r="AA55" s="125" t="e">
        <f t="shared" ca="1" si="44"/>
        <v>#VALUE!</v>
      </c>
      <c r="AB55" s="77" t="e">
        <f t="shared" ca="1" si="30"/>
        <v>#VALUE!</v>
      </c>
      <c r="AC55" s="77"/>
      <c r="AD55" s="184">
        <f t="shared" si="49"/>
        <v>-2</v>
      </c>
      <c r="AE55" s="181" t="str">
        <f t="shared" si="11"/>
        <v>N/A</v>
      </c>
      <c r="AF55" s="182" t="str">
        <f>IFERROR(IF(VLOOKUP(A55,LUCurYr,16,FALSE)=0,"",VLOOKUP(A55,LUCurYr,16,FALSE)),"N/A")</f>
        <v>N/A</v>
      </c>
      <c r="AG55" s="186" t="e">
        <f t="shared" si="12"/>
        <v>#VALUE!</v>
      </c>
      <c r="AH55" s="187" t="e">
        <f t="shared" si="31"/>
        <v>#VALUE!</v>
      </c>
      <c r="AI55" s="187" t="e">
        <f t="shared" si="13"/>
        <v>#VALUE!</v>
      </c>
      <c r="AJ55" s="188" t="e">
        <f t="shared" ca="1" si="32"/>
        <v>#VALUE!</v>
      </c>
      <c r="AK55" s="62"/>
      <c r="AL55" s="62"/>
      <c r="AM55" s="62"/>
      <c r="AN55" s="62"/>
      <c r="AO55" s="62"/>
      <c r="AP55" s="62"/>
      <c r="AQ55" s="62"/>
      <c r="AR55" s="62"/>
      <c r="AS55" s="62"/>
    </row>
    <row r="56" spans="1:60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28"/>
        <v>N/A</v>
      </c>
      <c r="G56" s="125"/>
      <c r="H56" s="125"/>
      <c r="I56" s="125" t="str">
        <f t="shared" si="39"/>
        <v>N/A</v>
      </c>
      <c r="J56" s="125" t="str">
        <f t="shared" si="40"/>
        <v>N/A</v>
      </c>
      <c r="K56" s="125" t="str">
        <f t="shared" si="41"/>
        <v>N/A</v>
      </c>
      <c r="L56" s="125" t="str">
        <f t="shared" si="42"/>
        <v>N/A</v>
      </c>
      <c r="M56" s="125" t="str">
        <f ca="1">IFERROR(IF(VLOOKUP($A56,LASTYR,'[3]2017'!$I$3,FALSE)=0,"N/A",VLOOKUP($A56,LASTYR,'[3]2017'!$I$3,FALSE)),"N/A")</f>
        <v>N/A</v>
      </c>
      <c r="N56" s="125" t="str">
        <f t="shared" ca="1" si="47"/>
        <v>N/A</v>
      </c>
      <c r="O56" s="125" t="str">
        <f t="shared" ca="1" si="50"/>
        <v>N/A</v>
      </c>
      <c r="P56" s="125" t="str">
        <f t="shared" ca="1" si="50"/>
        <v>N/A</v>
      </c>
      <c r="Q56" s="125" t="str">
        <f t="shared" ca="1" si="50"/>
        <v>N/A</v>
      </c>
      <c r="R56" s="125" t="str">
        <f t="shared" ca="1" si="50"/>
        <v>N/A</v>
      </c>
      <c r="S56" s="125" t="str">
        <f t="shared" ca="1" si="50"/>
        <v>N/A</v>
      </c>
      <c r="T56" s="125" t="str">
        <f t="shared" ca="1" si="50"/>
        <v>N/A</v>
      </c>
      <c r="U56" s="125" t="str">
        <f t="shared" ca="1" si="50"/>
        <v>N/A</v>
      </c>
      <c r="V56" s="125" t="str">
        <f t="shared" ca="1" si="50"/>
        <v>N/A</v>
      </c>
      <c r="W56" s="125" t="str">
        <f t="shared" ca="1" si="50"/>
        <v>N/A</v>
      </c>
      <c r="X56" s="125" t="str">
        <f t="shared" ca="1" si="50"/>
        <v>N/A</v>
      </c>
      <c r="Y56" s="77" t="str">
        <f t="shared" si="8"/>
        <v>N/A</v>
      </c>
      <c r="Z56" s="77" t="str">
        <f t="shared" ca="1" si="9"/>
        <v>N/A</v>
      </c>
      <c r="AA56" s="125" t="e">
        <f t="shared" ca="1" si="44"/>
        <v>#VALUE!</v>
      </c>
      <c r="AB56" s="77" t="e">
        <f t="shared" ca="1" si="30"/>
        <v>#VALUE!</v>
      </c>
      <c r="AC56" s="77"/>
      <c r="AD56" s="184">
        <f t="shared" si="49"/>
        <v>-2</v>
      </c>
      <c r="AE56" s="181" t="str">
        <f t="shared" si="11"/>
        <v>N/A</v>
      </c>
      <c r="AF56" s="182" t="str">
        <f>IFERROR(IF(VLOOKUP(A56,LUCurYr,16,FALSE)=0,"",VLOOKUP(A56,LUCurYr,16,FALSE)),"N/A")</f>
        <v>N/A</v>
      </c>
      <c r="AG56" s="186" t="e">
        <f t="shared" si="12"/>
        <v>#VALUE!</v>
      </c>
      <c r="AH56" s="187" t="e">
        <f t="shared" si="31"/>
        <v>#VALUE!</v>
      </c>
      <c r="AI56" s="187" t="e">
        <f t="shared" si="13"/>
        <v>#VALUE!</v>
      </c>
      <c r="AJ56" s="188" t="e">
        <f t="shared" ca="1" si="32"/>
        <v>#VALUE!</v>
      </c>
      <c r="AK56" s="62"/>
      <c r="AL56" s="62"/>
      <c r="AM56" s="62"/>
      <c r="AN56" s="62"/>
      <c r="AO56" s="62"/>
      <c r="AP56" s="62"/>
      <c r="AQ56" s="62"/>
      <c r="AR56" s="62"/>
      <c r="AS56" s="62"/>
    </row>
    <row r="57" spans="1:60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28"/>
        <v>N/A</v>
      </c>
      <c r="G57" s="125"/>
      <c r="H57" s="125"/>
      <c r="I57" s="125" t="str">
        <f t="shared" si="39"/>
        <v>N/A</v>
      </c>
      <c r="J57" s="125" t="str">
        <f t="shared" si="40"/>
        <v>N/A</v>
      </c>
      <c r="K57" s="125" t="str">
        <f t="shared" si="41"/>
        <v>N/A</v>
      </c>
      <c r="L57" s="125" t="str">
        <f t="shared" si="42"/>
        <v>N/A</v>
      </c>
      <c r="M57" s="125" t="str">
        <f ca="1">IFERROR(IF(VLOOKUP($A57,LASTYR,'[3]2017'!$I$3,FALSE)=0,"N/A",VLOOKUP($A57,LASTYR,'[3]2017'!$I$3,FALSE)),"N/A")</f>
        <v>N/A</v>
      </c>
      <c r="N57" s="125" t="str">
        <f t="shared" ca="1" si="47"/>
        <v>N/A</v>
      </c>
      <c r="O57" s="125" t="str">
        <f t="shared" ca="1" si="50"/>
        <v>N/A</v>
      </c>
      <c r="P57" s="125" t="str">
        <f t="shared" ca="1" si="50"/>
        <v>N/A</v>
      </c>
      <c r="Q57" s="125" t="str">
        <f t="shared" ca="1" si="50"/>
        <v>N/A</v>
      </c>
      <c r="R57" s="125" t="str">
        <f t="shared" ca="1" si="50"/>
        <v>N/A</v>
      </c>
      <c r="S57" s="125" t="str">
        <f t="shared" ca="1" si="50"/>
        <v>N/A</v>
      </c>
      <c r="T57" s="125" t="str">
        <f t="shared" ca="1" si="50"/>
        <v>N/A</v>
      </c>
      <c r="U57" s="125" t="str">
        <f t="shared" ca="1" si="50"/>
        <v>N/A</v>
      </c>
      <c r="V57" s="125" t="str">
        <f t="shared" ca="1" si="50"/>
        <v>N/A</v>
      </c>
      <c r="W57" s="125" t="str">
        <f t="shared" ca="1" si="50"/>
        <v>N/A</v>
      </c>
      <c r="X57" s="125" t="str">
        <f t="shared" ca="1" si="50"/>
        <v>N/A</v>
      </c>
      <c r="Y57" s="77" t="str">
        <f t="shared" si="8"/>
        <v>N/A</v>
      </c>
      <c r="Z57" s="77" t="str">
        <f t="shared" ca="1" si="9"/>
        <v>N/A</v>
      </c>
      <c r="AA57" s="125" t="e">
        <f t="shared" ca="1" si="44"/>
        <v>#VALUE!</v>
      </c>
      <c r="AB57" s="77" t="e">
        <f t="shared" ca="1" si="30"/>
        <v>#VALUE!</v>
      </c>
      <c r="AC57" s="77"/>
      <c r="AD57" s="184">
        <f t="shared" si="49"/>
        <v>-2</v>
      </c>
      <c r="AE57" s="181" t="str">
        <f t="shared" si="11"/>
        <v>N/A</v>
      </c>
      <c r="AF57" s="182" t="str">
        <f>IFERROR(IF(VLOOKUP(A57,LUCurYr,16,FALSE)=0,"",VLOOKUP(A57,LUCurYr,16,FALSE)),"N/A")</f>
        <v>N/A</v>
      </c>
      <c r="AG57" s="186" t="e">
        <f t="shared" si="12"/>
        <v>#VALUE!</v>
      </c>
      <c r="AH57" s="187" t="e">
        <f t="shared" si="31"/>
        <v>#VALUE!</v>
      </c>
      <c r="AI57" s="187" t="e">
        <f t="shared" si="13"/>
        <v>#VALUE!</v>
      </c>
      <c r="AJ57" s="188" t="e">
        <f t="shared" ca="1" si="32"/>
        <v>#VALUE!</v>
      </c>
      <c r="AK57" s="62"/>
      <c r="AL57" s="62"/>
      <c r="AM57" s="62"/>
      <c r="AN57" s="62"/>
      <c r="AO57" s="62"/>
      <c r="AP57" s="62"/>
      <c r="AQ57" s="62"/>
      <c r="AR57" s="62"/>
      <c r="AS57" s="62"/>
    </row>
    <row r="58" spans="1:60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125"/>
      <c r="K58" s="77"/>
      <c r="L58" s="77"/>
      <c r="M58" s="125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125"/>
      <c r="AB58" s="77"/>
      <c r="AC58" s="77"/>
      <c r="AD58" s="184"/>
      <c r="AE58" s="184"/>
      <c r="AF58" s="182"/>
      <c r="AG58" s="186"/>
      <c r="AH58" s="187"/>
      <c r="AI58" s="187"/>
      <c r="AJ58" s="188"/>
      <c r="AK58" s="62"/>
      <c r="AL58" s="62"/>
      <c r="AM58" s="62"/>
      <c r="AN58" s="62"/>
      <c r="AO58" s="62"/>
      <c r="AP58" s="62"/>
      <c r="AQ58" s="62"/>
      <c r="AR58" s="62"/>
      <c r="AS58" s="62"/>
    </row>
    <row r="59" spans="1:60" x14ac:dyDescent="0.25">
      <c r="A59" s="31"/>
      <c r="B59" s="31"/>
      <c r="C59" s="1">
        <f ca="1">IF(ISERROR(D59),"",IF(D59="","",MAX($C$12:C58)+1))</f>
        <v>10</v>
      </c>
      <c r="D59" s="104" t="s">
        <v>98</v>
      </c>
      <c r="E59" s="104"/>
      <c r="F59" s="127">
        <f ca="1">AVERAGE(G59:X59)</f>
        <v>1.3949791666666664</v>
      </c>
      <c r="G59" s="127">
        <f t="shared" ref="G59:L59" si="51">AVERAGE(G13:G58)</f>
        <v>2.1266666666666665</v>
      </c>
      <c r="H59" s="127">
        <f t="shared" si="51"/>
        <v>2.0200000000000005</v>
      </c>
      <c r="I59" s="127">
        <f t="shared" si="51"/>
        <v>1.9055555555555554</v>
      </c>
      <c r="J59" s="127">
        <f t="shared" ca="1" si="51"/>
        <v>1.8055555555555556</v>
      </c>
      <c r="K59" s="127">
        <f t="shared" ca="1" si="51"/>
        <v>1.6933333333333334</v>
      </c>
      <c r="L59" s="127">
        <f t="shared" ca="1" si="51"/>
        <v>1.5891111111111111</v>
      </c>
      <c r="M59" s="127">
        <f t="shared" ref="M59:W59" ca="1" si="52">AVERAGE(M13:M58)</f>
        <v>1.4888888888888887</v>
      </c>
      <c r="N59" s="127">
        <f t="shared" ca="1" si="52"/>
        <v>1.3833333333333333</v>
      </c>
      <c r="O59" s="127">
        <f t="shared" ca="1" si="52"/>
        <v>1.3166666666666669</v>
      </c>
      <c r="P59" s="127">
        <f t="shared" ca="1" si="52"/>
        <v>1.2358888888888888</v>
      </c>
      <c r="Q59" s="127">
        <f t="shared" ca="1" si="52"/>
        <v>1.2241249999999999</v>
      </c>
      <c r="R59" s="127">
        <f t="shared" ca="1" si="52"/>
        <v>1.1733750000000001</v>
      </c>
      <c r="S59" s="127">
        <f t="shared" ca="1" si="52"/>
        <v>1.12625</v>
      </c>
      <c r="T59" s="127">
        <f t="shared" ca="1" si="52"/>
        <v>1.0825</v>
      </c>
      <c r="U59" s="127">
        <f t="shared" ca="1" si="52"/>
        <v>1.0370000000000001</v>
      </c>
      <c r="V59" s="127">
        <f t="shared" ca="1" si="52"/>
        <v>0.99937500000000012</v>
      </c>
      <c r="W59" s="127">
        <f t="shared" ca="1" si="52"/>
        <v>0.96512500000000001</v>
      </c>
      <c r="X59" s="127">
        <f ca="1">AVERAGE(X13:X58)</f>
        <v>0.93687500000000012</v>
      </c>
      <c r="Y59" s="108">
        <f ca="1">AVERAGE(Y13:Y58)</f>
        <v>3.1080197851648554E-2</v>
      </c>
      <c r="Z59" s="108">
        <f ca="1">AVERAGE(Z13:Z58)</f>
        <v>3.6223887270821424E-2</v>
      </c>
      <c r="AA59" s="128"/>
      <c r="AB59" s="128"/>
      <c r="AC59" s="128"/>
      <c r="AD59" s="128"/>
      <c r="AE59" s="128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</row>
    <row r="60" spans="1:60" x14ac:dyDescent="0.25">
      <c r="A60" s="31"/>
      <c r="B60" s="31"/>
      <c r="C60" s="1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</row>
    <row r="61" spans="1:60" x14ac:dyDescent="0.25">
      <c r="A61" s="31"/>
      <c r="B61" s="31"/>
      <c r="C61" s="1">
        <f ca="1">+C59+1</f>
        <v>11</v>
      </c>
      <c r="D61" s="104" t="s">
        <v>446</v>
      </c>
      <c r="E61" s="104"/>
      <c r="F61" s="108">
        <f ca="1">AVERAGE(G61:W61)</f>
        <v>4.9529626073850752E-2</v>
      </c>
      <c r="G61" s="108">
        <f t="shared" ref="G61:L61" si="53">G59/H59-1</f>
        <v>5.2805280528052556E-2</v>
      </c>
      <c r="H61" s="108">
        <f t="shared" si="53"/>
        <v>6.0058309037901214E-2</v>
      </c>
      <c r="I61" s="108">
        <f t="shared" ca="1" si="53"/>
        <v>5.5384615384615365E-2</v>
      </c>
      <c r="J61" s="108">
        <f t="shared" ca="1" si="53"/>
        <v>6.6272965879265122E-2</v>
      </c>
      <c r="K61" s="108">
        <f t="shared" ca="1" si="53"/>
        <v>6.5585232834568519E-2</v>
      </c>
      <c r="L61" s="108">
        <f t="shared" ca="1" si="53"/>
        <v>6.7313432835821141E-2</v>
      </c>
      <c r="M61" s="108">
        <f t="shared" ref="M61:V61" ca="1" si="54">M59/N59-1</f>
        <v>7.6305220883533975E-2</v>
      </c>
      <c r="N61" s="108">
        <f t="shared" ca="1" si="54"/>
        <v>5.0632911392404889E-2</v>
      </c>
      <c r="O61" s="108">
        <f t="shared" ca="1" si="54"/>
        <v>6.536006473073841E-2</v>
      </c>
      <c r="P61" s="108">
        <f t="shared" ca="1" si="54"/>
        <v>9.6100389166864364E-3</v>
      </c>
      <c r="Q61" s="108">
        <f t="shared" ca="1" si="54"/>
        <v>4.3251304996271278E-2</v>
      </c>
      <c r="R61" s="108">
        <f t="shared" ca="1" si="54"/>
        <v>4.1842397336293136E-2</v>
      </c>
      <c r="S61" s="108">
        <f t="shared" ca="1" si="54"/>
        <v>4.0415704387990692E-2</v>
      </c>
      <c r="T61" s="108">
        <f t="shared" ca="1" si="54"/>
        <v>4.3876567020250556E-2</v>
      </c>
      <c r="U61" s="108">
        <f t="shared" ca="1" si="54"/>
        <v>3.7648530331457097E-2</v>
      </c>
      <c r="V61" s="108">
        <f t="shared" ca="1" si="54"/>
        <v>3.5487631135863396E-2</v>
      </c>
      <c r="W61" s="108">
        <f ca="1">W59/X59-1</f>
        <v>3.0153435623748948E-2</v>
      </c>
    </row>
    <row r="62" spans="1:60" s="97" customFormat="1" x14ac:dyDescent="0.25">
      <c r="C62" s="10"/>
      <c r="D62" s="10"/>
      <c r="E62" s="10"/>
      <c r="F62" s="12"/>
      <c r="G62" s="12"/>
      <c r="H62" s="12"/>
      <c r="I62" s="12"/>
      <c r="J62" s="12"/>
      <c r="K62" s="12"/>
      <c r="L62" s="59"/>
      <c r="M62" s="59"/>
      <c r="N62" s="67"/>
      <c r="O62" s="59"/>
      <c r="P62" s="59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</row>
    <row r="63" spans="1:60" s="97" customFormat="1" x14ac:dyDescent="0.25">
      <c r="B63" s="100"/>
      <c r="C63" s="101"/>
      <c r="E63" s="20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60" s="97" customFormat="1" x14ac:dyDescent="0.25">
      <c r="B64" s="100"/>
      <c r="C64" s="101"/>
      <c r="E64" s="20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</row>
    <row r="65" spans="1:28" s="97" customFormat="1" x14ac:dyDescent="0.25">
      <c r="B65" s="100"/>
      <c r="C65" s="101"/>
      <c r="D65" s="18"/>
      <c r="E65" s="88"/>
      <c r="F65"/>
      <c r="G65"/>
      <c r="H65"/>
      <c r="I65"/>
      <c r="J65"/>
      <c r="K65"/>
      <c r="L65"/>
      <c r="M65"/>
      <c r="N65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8"/>
      <c r="AA65" s="98"/>
      <c r="AB65" s="98"/>
    </row>
    <row r="66" spans="1:28" s="97" customFormat="1" x14ac:dyDescent="0.25">
      <c r="B66" s="100"/>
      <c r="C66" s="1"/>
      <c r="D66" s="20" t="s">
        <v>107</v>
      </c>
      <c r="E66"/>
      <c r="F66"/>
      <c r="G66"/>
      <c r="H66"/>
      <c r="I66"/>
      <c r="J66"/>
      <c r="K66"/>
      <c r="L66"/>
      <c r="M66"/>
      <c r="N66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8"/>
      <c r="AA66" s="98"/>
      <c r="AB66" s="98"/>
    </row>
    <row r="67" spans="1:28" s="97" customFormat="1" ht="16.2" x14ac:dyDescent="0.25">
      <c r="B67" s="100"/>
      <c r="C67"/>
      <c r="D67" s="76">
        <v>1</v>
      </c>
      <c r="E67" s="21" t="str">
        <f>'CCW-1, pg 12'!E153</f>
        <v>Data for years 2019 and prior were retrieved from the Value Line Investment Survey Investment Analyzer Software, downloaded on June 18, 2021.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 s="99"/>
      <c r="Z67" s="98"/>
      <c r="AA67" s="98"/>
      <c r="AB67" s="98"/>
    </row>
    <row r="68" spans="1:28" s="97" customFormat="1" ht="16.2" x14ac:dyDescent="0.25">
      <c r="B68" s="100"/>
      <c r="C68"/>
      <c r="D68" s="76"/>
      <c r="E68" s="21" t="str">
        <f>'CCW-1, pg 12'!E154</f>
        <v>Data for the years 2020 - 2022 was retrieved from Value Line Investment Surveys.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 s="99"/>
      <c r="Z68" s="98"/>
      <c r="AA68" s="98"/>
      <c r="AB68" s="98"/>
    </row>
    <row r="69" spans="1:28" ht="16.2" x14ac:dyDescent="0.25">
      <c r="A69" s="31"/>
      <c r="B69" s="31"/>
      <c r="D69" s="76">
        <v>2</v>
      </c>
      <c r="E69" s="21" t="str">
        <f>"The Value Line Investment Survey, "&amp;'2023 Data (WP)'!$D$2</f>
        <v>The Value Line Investment Survey, February 23, 2024.</v>
      </c>
    </row>
    <row r="70" spans="1:28" x14ac:dyDescent="0.25">
      <c r="A70" s="31"/>
      <c r="B70" s="31"/>
      <c r="D70" s="20"/>
    </row>
  </sheetData>
  <mergeCells count="5">
    <mergeCell ref="C1:Z1"/>
    <mergeCell ref="C4:Z4"/>
    <mergeCell ref="C5:Z5"/>
    <mergeCell ref="F8:Z8"/>
    <mergeCell ref="D10:E10"/>
  </mergeCells>
  <printOptions horizontalCentered="1"/>
  <pageMargins left="0.7" right="0.7" top="1.25" bottom="0.75" header="0.55000000000000004" footer="0.51"/>
  <pageSetup scale="48" firstPageNumber="13" fitToHeight="0" orientation="landscape" useFirstPageNumber="1" r:id="rId1"/>
  <headerFooter scaleWithDoc="0">
    <oddHeader>&amp;R&amp;"Arial,Bold"&amp;10Docket Nos. 20240026-EI, 20230139-EI, and 20230090-EI
Valuation Metrics
Exhibit CCW-1, Page &amp;P of 16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BD70"/>
  <sheetViews>
    <sheetView view="pageLayout" topLeftCell="E1" zoomScaleNormal="70" workbookViewId="0">
      <selection activeCell="W2" sqref="W2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" customWidth="1"/>
    <col min="6" max="12" width="9" customWidth="1"/>
    <col min="13" max="13" width="9.69921875" bestFit="1" customWidth="1"/>
    <col min="14" max="24" width="9" customWidth="1"/>
    <col min="25" max="31" width="9.19921875" hidden="1" customWidth="1"/>
    <col min="32" max="32" width="10.59765625" hidden="1" customWidth="1"/>
    <col min="33" max="40" width="8.69921875" hidden="1" customWidth="1"/>
    <col min="41" max="56" width="0" hidden="1" customWidth="1"/>
  </cols>
  <sheetData>
    <row r="1" spans="1:56" ht="28.2" x14ac:dyDescent="0.5">
      <c r="C1" s="277" t="str">
        <f>'CCW-1, pg 13'!C1:Z1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114"/>
      <c r="Z1" s="114"/>
      <c r="AA1" s="221"/>
      <c r="AB1" s="221"/>
      <c r="AC1" s="221"/>
      <c r="AD1" s="221"/>
      <c r="AE1" s="221"/>
      <c r="AF1" s="221"/>
      <c r="AG1" s="221"/>
      <c r="AH1" s="221"/>
      <c r="AI1" s="221"/>
      <c r="AJ1" s="221"/>
      <c r="AK1" s="221"/>
      <c r="AL1" s="221"/>
      <c r="AM1" s="221"/>
      <c r="AN1" s="221"/>
    </row>
    <row r="2" spans="1:56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</row>
    <row r="3" spans="1:56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56" ht="21" x14ac:dyDescent="0.4">
      <c r="C4" s="278" t="s">
        <v>520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115"/>
      <c r="Z4" s="115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</row>
    <row r="5" spans="1:56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116"/>
      <c r="Z5" s="116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</row>
    <row r="6" spans="1:56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56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189"/>
      <c r="Y7" s="7"/>
      <c r="Z7" s="7"/>
      <c r="AA7" s="7"/>
      <c r="AB7" s="7"/>
      <c r="AC7" s="7"/>
      <c r="AD7" s="7"/>
      <c r="AE7" s="7"/>
      <c r="AF7" s="7"/>
    </row>
    <row r="8" spans="1:56" ht="16.2" x14ac:dyDescent="0.25">
      <c r="C8" s="6"/>
      <c r="D8" s="7"/>
      <c r="E8" s="7"/>
      <c r="F8" s="280" t="s">
        <v>444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191"/>
      <c r="Z8" s="191"/>
      <c r="AA8" s="224"/>
      <c r="AB8" s="224"/>
      <c r="AC8" s="224"/>
      <c r="AD8" s="224"/>
      <c r="AE8" s="224"/>
      <c r="AF8" s="224"/>
      <c r="AG8" s="224"/>
      <c r="AH8" s="8"/>
      <c r="AI8" s="8"/>
      <c r="AJ8" s="8"/>
      <c r="AK8" s="8"/>
      <c r="AL8" s="8"/>
      <c r="AM8" s="8"/>
      <c r="AN8" s="8"/>
    </row>
    <row r="9" spans="1:56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8"/>
      <c r="L9" s="109">
        <v>2017</v>
      </c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183">
        <v>2018</v>
      </c>
      <c r="Z9" s="183">
        <v>2017</v>
      </c>
      <c r="AA9" s="183">
        <v>2017</v>
      </c>
      <c r="AB9" s="183"/>
      <c r="AC9" s="183"/>
      <c r="AD9" s="183" t="s">
        <v>511</v>
      </c>
      <c r="AE9" s="183" t="s">
        <v>512</v>
      </c>
      <c r="AF9" s="7"/>
      <c r="AG9" s="183" t="s">
        <v>513</v>
      </c>
      <c r="AH9" s="183" t="s">
        <v>514</v>
      </c>
      <c r="AI9" s="183" t="s">
        <v>515</v>
      </c>
      <c r="AJ9" s="183"/>
      <c r="AK9" s="183"/>
      <c r="AL9" s="183"/>
      <c r="AM9" s="183"/>
      <c r="AN9" s="183"/>
    </row>
    <row r="10" spans="1:56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558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 t="s">
        <v>443</v>
      </c>
      <c r="Z10" s="40" t="s">
        <v>443</v>
      </c>
      <c r="AA10" s="40" t="s">
        <v>445</v>
      </c>
      <c r="AB10" s="40" t="s">
        <v>445</v>
      </c>
      <c r="AC10" s="40"/>
      <c r="AD10" s="40" t="s">
        <v>516</v>
      </c>
      <c r="AE10" s="40" t="s">
        <v>517</v>
      </c>
      <c r="AF10" s="185" t="s">
        <v>518</v>
      </c>
      <c r="AG10" s="40" t="s">
        <v>516</v>
      </c>
      <c r="AH10" s="40" t="s">
        <v>519</v>
      </c>
      <c r="AI10" s="40" t="s">
        <v>516</v>
      </c>
      <c r="AJ10" s="40"/>
      <c r="AK10" s="40"/>
      <c r="AL10" s="40"/>
      <c r="AM10" s="40"/>
      <c r="AN10" s="40"/>
    </row>
    <row r="11" spans="1:56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X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>
        <f>+W11-1</f>
        <v>-19</v>
      </c>
      <c r="Z11" s="12"/>
      <c r="AA11" s="12"/>
      <c r="AB11" s="12"/>
      <c r="AC11" s="12"/>
      <c r="AD11" s="12"/>
      <c r="AE11" s="12"/>
      <c r="AF11" s="12"/>
    </row>
    <row r="12" spans="1:56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126">
        <f ca="1">MATCH(J10,OFFSET(Dividends,-2,0,1,),0)</f>
        <v>2</v>
      </c>
      <c r="K12" s="126">
        <f ca="1">MATCH(K10,OFFSET(Dividends,-2,0,1,),0)</f>
        <v>3</v>
      </c>
      <c r="L12" s="126">
        <f ca="1">MATCH(L10,OFFSET(Dividends,-2,0,1,),0)</f>
        <v>4</v>
      </c>
      <c r="M12" s="126">
        <f ca="1">MATCH(M10,OFFSET(Dividends,-2,0,1,),0)</f>
        <v>5</v>
      </c>
      <c r="N12" s="126">
        <f ca="1">MATCH(N10,OFFSET(Dividends,-2,0,1,),0)</f>
        <v>6</v>
      </c>
      <c r="O12" s="126">
        <f t="shared" ref="O12:X12" ca="1" si="1">MATCH(O10,OFFSET(Dividends,-2,0,1,),0)</f>
        <v>7</v>
      </c>
      <c r="P12" s="126">
        <f t="shared" ca="1" si="1"/>
        <v>8</v>
      </c>
      <c r="Q12" s="126">
        <f t="shared" ca="1" si="1"/>
        <v>9</v>
      </c>
      <c r="R12" s="126">
        <f t="shared" ca="1" si="1"/>
        <v>10</v>
      </c>
      <c r="S12" s="126">
        <f t="shared" ca="1" si="1"/>
        <v>11</v>
      </c>
      <c r="T12" s="126">
        <f t="shared" ca="1" si="1"/>
        <v>12</v>
      </c>
      <c r="U12" s="126">
        <f t="shared" ca="1" si="1"/>
        <v>13</v>
      </c>
      <c r="V12" s="126">
        <f t="shared" ca="1" si="1"/>
        <v>14</v>
      </c>
      <c r="W12" s="126">
        <f t="shared" ca="1" si="1"/>
        <v>15</v>
      </c>
      <c r="X12" s="126">
        <f t="shared" ca="1" si="1"/>
        <v>16</v>
      </c>
      <c r="Y12" s="16"/>
      <c r="Z12" s="16"/>
      <c r="AA12" s="16"/>
      <c r="AB12" s="16"/>
      <c r="AC12" s="16"/>
      <c r="AD12" s="16"/>
      <c r="AE12" s="16"/>
      <c r="AF12" s="16"/>
      <c r="AO12">
        <v>2018</v>
      </c>
      <c r="AP12">
        <v>2017</v>
      </c>
      <c r="AQ12">
        <v>2016</v>
      </c>
      <c r="AR12">
        <v>2015</v>
      </c>
      <c r="AS12">
        <v>2014</v>
      </c>
      <c r="AT12">
        <v>2013</v>
      </c>
      <c r="AU12">
        <v>2012</v>
      </c>
      <c r="AV12">
        <v>2011</v>
      </c>
      <c r="AW12">
        <v>2010</v>
      </c>
      <c r="AX12">
        <v>2009</v>
      </c>
      <c r="AY12">
        <v>2008</v>
      </c>
      <c r="AZ12">
        <v>2007</v>
      </c>
      <c r="BA12">
        <v>2006</v>
      </c>
    </row>
    <row r="13" spans="1:56" x14ac:dyDescent="0.25">
      <c r="A13" s="44" t="s">
        <v>175</v>
      </c>
      <c r="B13" s="110">
        <f t="shared" ref="B13:B57" ca="1" si="2">IFERROR(MATCH(A13,OFFSET(Dividends,0,0,,1),0),"")</f>
        <v>12</v>
      </c>
      <c r="C13" s="1">
        <f ca="1">IF(ISERROR(D13),"",IF(D13="","",MAX($C$12:C12)+1))</f>
        <v>1</v>
      </c>
      <c r="D13" t="str">
        <f t="shared" ref="D13:D57" ca="1" si="3">VLOOKUP(A13,LUCurYr,2,FALSE)</f>
        <v>Atmos Energy</v>
      </c>
      <c r="E13" s="15"/>
      <c r="F13" s="125">
        <f ca="1">IFERROR(AVERAGE(G13:X13),"N/A")</f>
        <v>3.3250000000000006</v>
      </c>
      <c r="G13" s="125">
        <f t="shared" ref="G13:G57" si="4">IFERROR(IF(VLOOKUP($A13,Data2023,9,FALSE)=0,"",VLOOKUP($A13,Data2023,9,FALSE)),"N/A")</f>
        <v>6.1</v>
      </c>
      <c r="H13" s="125">
        <f t="shared" ref="H13:H57" si="5">IFERROR(IF(VLOOKUP($A13,Data2022,8,FALSE)=0,"",VLOOKUP($A13,Data2022,8,FALSE)),"N/A")</f>
        <v>5.6</v>
      </c>
      <c r="I13" s="125">
        <f t="shared" ref="I13:I22" si="6">IFERROR(IF(VLOOKUP($A13,lucyyr,8,FALSE)=0,"",VLOOKUP($A13,lucyyr,8,FALSE)),"N/A")</f>
        <v>5.12</v>
      </c>
      <c r="J13" s="125">
        <f t="shared" ref="J13:N28" ca="1" si="7">IFERROR(IF(INDEX(Earnings,$B13,J$12)=0,"N/A",INDEX(Earnings,$B13,J$12)),"N/A")</f>
        <v>4.72</v>
      </c>
      <c r="K13" s="125">
        <f t="shared" ca="1" si="7"/>
        <v>4.3499999999999996</v>
      </c>
      <c r="L13" s="125">
        <f t="shared" ca="1" si="7"/>
        <v>4</v>
      </c>
      <c r="M13" s="125">
        <f t="shared" ca="1" si="7"/>
        <v>3.6</v>
      </c>
      <c r="N13" s="125">
        <f t="shared" ca="1" si="7"/>
        <v>3.38</v>
      </c>
      <c r="O13" s="125">
        <f t="shared" ref="O13:X22" ca="1" si="8">IFERROR(IF(INDEX(Earnings,$B13,O$12)=0,"N/A",INDEX(Earnings,$B13,O$12)),"N/A")</f>
        <v>3.09</v>
      </c>
      <c r="P13" s="125">
        <f t="shared" ca="1" si="8"/>
        <v>2.96</v>
      </c>
      <c r="Q13" s="125">
        <f t="shared" ca="1" si="8"/>
        <v>2.5</v>
      </c>
      <c r="R13" s="125">
        <f t="shared" ca="1" si="8"/>
        <v>2.1</v>
      </c>
      <c r="S13" s="125">
        <f t="shared" ca="1" si="8"/>
        <v>2.2599999999999998</v>
      </c>
      <c r="T13" s="125">
        <f t="shared" ca="1" si="8"/>
        <v>2.16</v>
      </c>
      <c r="U13" s="125">
        <f t="shared" ca="1" si="8"/>
        <v>1.97</v>
      </c>
      <c r="V13" s="125">
        <f t="shared" ca="1" si="8"/>
        <v>2</v>
      </c>
      <c r="W13" s="125">
        <f t="shared" ca="1" si="8"/>
        <v>1.94</v>
      </c>
      <c r="X13" s="125">
        <f t="shared" ca="1" si="8"/>
        <v>2</v>
      </c>
      <c r="Y13" s="77">
        <f ca="1">IFERROR(IF(L13&gt;0,((L13/VLOOKUP(A13,$A$13:$X$53,BC13,0))^(1/(AI13)))-1,"N/A"),"N/A")</f>
        <v>4.4332876430531742E-2</v>
      </c>
      <c r="Z13" s="77">
        <f ca="1">IFERROR(IF(M13&gt;0,((M13/VLOOKUP(A13,$A$13:$X$53,BC13,0))^(1/(AD13)))-1,"N/A"),"N/A")</f>
        <v>4.3232908555632221E-2</v>
      </c>
      <c r="AA13" s="125">
        <f ca="1">+X13*(1+Z13)^11</f>
        <v>3.1858407079646041</v>
      </c>
      <c r="AB13" s="77" t="b">
        <f ca="1">ROUND(AA13,10)=ROUND(M13,10)</f>
        <v>0</v>
      </c>
      <c r="AC13" s="77"/>
      <c r="AD13" s="184">
        <f ca="1">BB13-2</f>
        <v>11</v>
      </c>
      <c r="AE13" s="181">
        <f t="shared" ref="AE13:AE53" si="9">IFERROR(IF(VLOOKUP(A13,LUCurYr,16,FALSE)=0,"",VLOOKUP(A13,LUCurYr,16,FALSE)),"N/A")</f>
        <v>43889</v>
      </c>
      <c r="AF13" s="190">
        <v>43100</v>
      </c>
      <c r="AG13" s="186">
        <f t="shared" ref="AG13:AG57" si="10">AE13-AF13</f>
        <v>789</v>
      </c>
      <c r="AH13" s="187">
        <f>AG13/365</f>
        <v>2.1616438356164385</v>
      </c>
      <c r="AI13" s="187">
        <f t="shared" ref="AI13:AI57" ca="1" si="11">AD13+AH13</f>
        <v>13.161643835616438</v>
      </c>
      <c r="AJ13" s="188">
        <f t="shared" ref="AJ13:AJ58" ca="1" si="12">(L13/X13)^(1/AI13)-1</f>
        <v>5.4075606046422697E-2</v>
      </c>
      <c r="AK13" s="188"/>
      <c r="AL13" s="188"/>
      <c r="AM13" s="188"/>
      <c r="AN13" s="188"/>
      <c r="AO13" t="b">
        <f t="shared" ref="AO13:BA32" ca="1" si="13">ISNUMBER(L13)</f>
        <v>1</v>
      </c>
      <c r="AP13" t="b">
        <f t="shared" ca="1" si="13"/>
        <v>1</v>
      </c>
      <c r="AQ13" t="b">
        <f t="shared" ca="1" si="13"/>
        <v>1</v>
      </c>
      <c r="AR13" t="b">
        <f t="shared" ca="1" si="13"/>
        <v>1</v>
      </c>
      <c r="AS13" t="b">
        <f t="shared" ca="1" si="13"/>
        <v>1</v>
      </c>
      <c r="AT13" t="b">
        <f t="shared" ca="1" si="13"/>
        <v>1</v>
      </c>
      <c r="AU13" t="b">
        <f t="shared" ca="1" si="13"/>
        <v>1</v>
      </c>
      <c r="AV13" t="b">
        <f t="shared" ca="1" si="13"/>
        <v>1</v>
      </c>
      <c r="AW13" t="b">
        <f t="shared" ca="1" si="13"/>
        <v>1</v>
      </c>
      <c r="AX13" t="b">
        <f t="shared" ca="1" si="13"/>
        <v>1</v>
      </c>
      <c r="AY13" t="b">
        <f t="shared" ca="1" si="13"/>
        <v>1</v>
      </c>
      <c r="AZ13" t="b">
        <f t="shared" ca="1" si="13"/>
        <v>1</v>
      </c>
      <c r="BA13" t="b">
        <f t="shared" ca="1" si="13"/>
        <v>1</v>
      </c>
      <c r="BB13">
        <f ca="1">IF(AO13=FALSE,COUNTIF(AO13:BA13,TRUE)+1,COUNTIF(AO13:BA13,TRUE))</f>
        <v>13</v>
      </c>
      <c r="BC13">
        <f ca="1">BB13+6</f>
        <v>19</v>
      </c>
      <c r="BD13">
        <f>2018.33-2006</f>
        <v>12.329999999999927</v>
      </c>
    </row>
    <row r="14" spans="1:56" x14ac:dyDescent="0.25">
      <c r="A14" s="44" t="s">
        <v>178</v>
      </c>
      <c r="B14" s="110">
        <f t="shared" ca="1" si="2"/>
        <v>18</v>
      </c>
      <c r="C14" s="1">
        <f ca="1">IF(ISERROR(D14),"",IF(D14="","",MAX($C$12:C13)+1))</f>
        <v>2</v>
      </c>
      <c r="D14" t="str">
        <f t="shared" ca="1" si="3"/>
        <v>Chesapeake Utilities</v>
      </c>
      <c r="E14" s="15"/>
      <c r="F14" s="125">
        <f t="shared" ref="F14:F57" ca="1" si="14">IFERROR(AVERAGE(G14:X14),"N/A")</f>
        <v>2.7689444444444442</v>
      </c>
      <c r="G14" s="125">
        <f t="shared" si="4"/>
        <v>4.8499999999999996</v>
      </c>
      <c r="H14" s="125">
        <f t="shared" si="5"/>
        <v>4.97</v>
      </c>
      <c r="I14" s="125">
        <f t="shared" si="6"/>
        <v>4.7</v>
      </c>
      <c r="J14" s="125">
        <f t="shared" ca="1" si="7"/>
        <v>4.21</v>
      </c>
      <c r="K14" s="125">
        <f t="shared" ca="1" si="7"/>
        <v>3.72</v>
      </c>
      <c r="L14" s="125">
        <f t="shared" ca="1" si="7"/>
        <v>3.45</v>
      </c>
      <c r="M14" s="125">
        <f t="shared" ca="1" si="7"/>
        <v>2.68</v>
      </c>
      <c r="N14" s="125">
        <f t="shared" ca="1" si="7"/>
        <v>2.86</v>
      </c>
      <c r="O14" s="125">
        <f t="shared" ca="1" si="8"/>
        <v>2.68</v>
      </c>
      <c r="P14" s="125">
        <f t="shared" ca="1" si="8"/>
        <v>2.4700000000000002</v>
      </c>
      <c r="Q14" s="125">
        <f t="shared" ca="1" si="8"/>
        <v>2.2599999999999998</v>
      </c>
      <c r="R14" s="125">
        <f t="shared" ca="1" si="8"/>
        <v>1.9930000000000001</v>
      </c>
      <c r="S14" s="125">
        <f t="shared" ca="1" si="8"/>
        <v>1.913</v>
      </c>
      <c r="T14" s="125">
        <f t="shared" ca="1" si="8"/>
        <v>1.82</v>
      </c>
      <c r="U14" s="125">
        <f t="shared" ca="1" si="8"/>
        <v>1.4330000000000001</v>
      </c>
      <c r="V14" s="125">
        <f t="shared" ca="1" si="8"/>
        <v>1.3919999999999999</v>
      </c>
      <c r="W14" s="125">
        <f t="shared" ca="1" si="8"/>
        <v>1.2929999999999999</v>
      </c>
      <c r="X14" s="125">
        <f t="shared" ca="1" si="8"/>
        <v>1.147</v>
      </c>
      <c r="Y14" s="77">
        <f t="shared" ref="Y14:Y57" ca="1" si="15">IFERROR(IF(L14&gt;0,((L14/VLOOKUP(A14,$A$13:$X$53,BC14,0))^(1/(AI14)))-1,"N/A"),"N/A")</f>
        <v>4.5823434637215943E-2</v>
      </c>
      <c r="Z14" s="77">
        <f t="shared" ref="Z14:Z57" ca="1" si="16">IFERROR(IF(M14&gt;0,((M14/VLOOKUP(A14,$A$13:$X$53,BC14,0))^(1/(AD14)))-1,"N/A"),"N/A")</f>
        <v>3.1123994454730353E-2</v>
      </c>
      <c r="AA14" s="125">
        <f t="shared" ref="AA14:AA57" ca="1" si="17">+X14*(1+Z14)^11</f>
        <v>1.6068792472556193</v>
      </c>
      <c r="AB14" s="77" t="b">
        <f t="shared" ref="AB14:AB57" ca="1" si="18">ROUND(AA14,10)=ROUND(M14,10)</f>
        <v>0</v>
      </c>
      <c r="AC14" s="77"/>
      <c r="AD14" s="184">
        <f ca="1">BB14-2</f>
        <v>11</v>
      </c>
      <c r="AE14" s="181">
        <f t="shared" si="9"/>
        <v>43889</v>
      </c>
      <c r="AF14" s="190">
        <v>43100</v>
      </c>
      <c r="AG14" s="186">
        <f t="shared" si="10"/>
        <v>789</v>
      </c>
      <c r="AH14" s="187">
        <f t="shared" ref="AH14:AH57" si="19">AG14/365</f>
        <v>2.1616438356164385</v>
      </c>
      <c r="AI14" s="187">
        <f t="shared" ca="1" si="11"/>
        <v>13.161643835616438</v>
      </c>
      <c r="AJ14" s="188">
        <f t="shared" ca="1" si="12"/>
        <v>8.7269180747963082E-2</v>
      </c>
      <c r="AO14" t="b">
        <f t="shared" ca="1" si="13"/>
        <v>1</v>
      </c>
      <c r="AP14" t="b">
        <f t="shared" ca="1" si="13"/>
        <v>1</v>
      </c>
      <c r="AQ14" t="b">
        <f t="shared" ca="1" si="13"/>
        <v>1</v>
      </c>
      <c r="AR14" t="b">
        <f t="shared" ca="1" si="13"/>
        <v>1</v>
      </c>
      <c r="AS14" t="b">
        <f t="shared" ca="1" si="13"/>
        <v>1</v>
      </c>
      <c r="AT14" t="b">
        <f t="shared" ca="1" si="13"/>
        <v>1</v>
      </c>
      <c r="AU14" t="b">
        <f t="shared" ca="1" si="13"/>
        <v>1</v>
      </c>
      <c r="AV14" t="b">
        <f t="shared" ca="1" si="13"/>
        <v>1</v>
      </c>
      <c r="AW14" t="b">
        <f t="shared" ca="1" si="13"/>
        <v>1</v>
      </c>
      <c r="AX14" t="b">
        <f t="shared" ca="1" si="13"/>
        <v>1</v>
      </c>
      <c r="AY14" t="b">
        <f t="shared" ca="1" si="13"/>
        <v>1</v>
      </c>
      <c r="AZ14" t="b">
        <f t="shared" ca="1" si="13"/>
        <v>1</v>
      </c>
      <c r="BA14" t="b">
        <f t="shared" ca="1" si="13"/>
        <v>1</v>
      </c>
      <c r="BB14">
        <f t="shared" ref="BB14:BB53" ca="1" si="20">IF(AO14=FALSE,COUNTIF(AO14:BA14,TRUE)+1,COUNTIF(AO14:BA14,TRUE))</f>
        <v>13</v>
      </c>
      <c r="BC14">
        <f t="shared" ref="BC14:BC53" ca="1" si="21">BB14+6</f>
        <v>19</v>
      </c>
    </row>
    <row r="15" spans="1:56" x14ac:dyDescent="0.25">
      <c r="A15" s="44" t="s">
        <v>190</v>
      </c>
      <c r="B15" s="110">
        <f t="shared" ca="1" si="2"/>
        <v>40</v>
      </c>
      <c r="C15" s="1">
        <f ca="1">IF(ISERROR(D15),"",IF(D15="","",MAX($C$12:C14)+1))</f>
        <v>3</v>
      </c>
      <c r="D15" t="str">
        <f t="shared" ca="1" si="3"/>
        <v>New Jersey Resources</v>
      </c>
      <c r="E15" s="15"/>
      <c r="F15" s="125">
        <f t="shared" ca="1" si="14"/>
        <v>1.7116666666666669</v>
      </c>
      <c r="G15" s="125">
        <f t="shared" si="4"/>
        <v>2.7</v>
      </c>
      <c r="H15" s="125">
        <f t="shared" si="5"/>
        <v>2.5</v>
      </c>
      <c r="I15" s="125">
        <f t="shared" si="6"/>
        <v>2.16</v>
      </c>
      <c r="J15" s="125">
        <f t="shared" ca="1" si="7"/>
        <v>2.0699999999999998</v>
      </c>
      <c r="K15" s="125">
        <f t="shared" ca="1" si="7"/>
        <v>1.96</v>
      </c>
      <c r="L15" s="125">
        <f t="shared" ca="1" si="7"/>
        <v>2.72</v>
      </c>
      <c r="M15" s="125">
        <f t="shared" ca="1" si="7"/>
        <v>1.73</v>
      </c>
      <c r="N15" s="125">
        <f t="shared" ca="1" si="7"/>
        <v>1.61</v>
      </c>
      <c r="O15" s="125">
        <f t="shared" ca="1" si="8"/>
        <v>1.78</v>
      </c>
      <c r="P15" s="125">
        <f t="shared" ca="1" si="8"/>
        <v>2.08</v>
      </c>
      <c r="Q15" s="125">
        <f t="shared" ca="1" si="8"/>
        <v>1.365</v>
      </c>
      <c r="R15" s="125">
        <f t="shared" ca="1" si="8"/>
        <v>1.355</v>
      </c>
      <c r="S15" s="125">
        <f t="shared" ca="1" si="8"/>
        <v>1.29</v>
      </c>
      <c r="T15" s="125">
        <f t="shared" ca="1" si="8"/>
        <v>1.23</v>
      </c>
      <c r="U15" s="125">
        <f t="shared" ca="1" si="8"/>
        <v>1.2</v>
      </c>
      <c r="V15" s="125">
        <f t="shared" ca="1" si="8"/>
        <v>1.35</v>
      </c>
      <c r="W15" s="125">
        <f t="shared" ca="1" si="8"/>
        <v>0.77700000000000002</v>
      </c>
      <c r="X15" s="125">
        <f t="shared" ca="1" si="8"/>
        <v>0.93300000000000005</v>
      </c>
      <c r="Y15" s="77">
        <f t="shared" ca="1" si="15"/>
        <v>5.8316104843180616E-2</v>
      </c>
      <c r="Z15" s="77">
        <f t="shared" ca="1" si="16"/>
        <v>2.7039022047512518E-2</v>
      </c>
      <c r="AA15" s="125">
        <f t="shared" ca="1" si="17"/>
        <v>1.2512325581395363</v>
      </c>
      <c r="AB15" s="77" t="b">
        <f t="shared" ca="1" si="18"/>
        <v>0</v>
      </c>
      <c r="AC15" s="77"/>
      <c r="AD15" s="184">
        <f ca="1">BB15-2</f>
        <v>11</v>
      </c>
      <c r="AE15" s="181">
        <f t="shared" si="9"/>
        <v>43889</v>
      </c>
      <c r="AF15" s="190">
        <v>43100</v>
      </c>
      <c r="AG15" s="186">
        <f t="shared" si="10"/>
        <v>789</v>
      </c>
      <c r="AH15" s="187">
        <f t="shared" si="19"/>
        <v>2.1616438356164385</v>
      </c>
      <c r="AI15" s="187">
        <f t="shared" ca="1" si="11"/>
        <v>13.161643835616438</v>
      </c>
      <c r="AJ15" s="188">
        <f t="shared" ca="1" si="12"/>
        <v>8.4691337770304465E-2</v>
      </c>
      <c r="AM15" s="188"/>
      <c r="AO15" t="b">
        <f t="shared" ca="1" si="13"/>
        <v>1</v>
      </c>
      <c r="AP15" t="b">
        <f t="shared" ca="1" si="13"/>
        <v>1</v>
      </c>
      <c r="AQ15" t="b">
        <f t="shared" ca="1" si="13"/>
        <v>1</v>
      </c>
      <c r="AR15" t="b">
        <f t="shared" ca="1" si="13"/>
        <v>1</v>
      </c>
      <c r="AS15" t="b">
        <f t="shared" ca="1" si="13"/>
        <v>1</v>
      </c>
      <c r="AT15" t="b">
        <f t="shared" ca="1" si="13"/>
        <v>1</v>
      </c>
      <c r="AU15" t="b">
        <f t="shared" ca="1" si="13"/>
        <v>1</v>
      </c>
      <c r="AV15" t="b">
        <f t="shared" ca="1" si="13"/>
        <v>1</v>
      </c>
      <c r="AW15" t="b">
        <f t="shared" ca="1" si="13"/>
        <v>1</v>
      </c>
      <c r="AX15" t="b">
        <f t="shared" ca="1" si="13"/>
        <v>1</v>
      </c>
      <c r="AY15" t="b">
        <f t="shared" ca="1" si="13"/>
        <v>1</v>
      </c>
      <c r="AZ15" t="b">
        <f t="shared" ca="1" si="13"/>
        <v>1</v>
      </c>
      <c r="BA15" t="b">
        <f t="shared" ca="1" si="13"/>
        <v>1</v>
      </c>
      <c r="BB15">
        <f t="shared" ca="1" si="20"/>
        <v>13</v>
      </c>
      <c r="BC15">
        <f t="shared" ca="1" si="21"/>
        <v>19</v>
      </c>
    </row>
    <row r="16" spans="1:56" x14ac:dyDescent="0.25">
      <c r="A16" s="44" t="s">
        <v>26</v>
      </c>
      <c r="B16" s="110">
        <f t="shared" ca="1" si="2"/>
        <v>42</v>
      </c>
      <c r="C16" s="1">
        <f ca="1">IF(ISERROR(D16),"",IF(D16="","",MAX($C$12:C15)+1))</f>
        <v>4</v>
      </c>
      <c r="D16" t="str">
        <f t="shared" ca="1" si="3"/>
        <v>NiSource Inc.</v>
      </c>
      <c r="E16" s="15"/>
      <c r="F16" s="125">
        <f t="shared" ca="1" si="14"/>
        <v>1.1972222222222224</v>
      </c>
      <c r="G16" s="125">
        <f t="shared" si="4"/>
        <v>1.6</v>
      </c>
      <c r="H16" s="125">
        <f t="shared" si="5"/>
        <v>1.47</v>
      </c>
      <c r="I16" s="125">
        <f t="shared" si="6"/>
        <v>1.35</v>
      </c>
      <c r="J16" s="125">
        <f t="shared" ca="1" si="7"/>
        <v>1.32</v>
      </c>
      <c r="K16" s="125">
        <f t="shared" ca="1" si="7"/>
        <v>1.31</v>
      </c>
      <c r="L16" s="125">
        <f t="shared" ca="1" si="7"/>
        <v>1.3</v>
      </c>
      <c r="M16" s="125">
        <f t="shared" ca="1" si="7"/>
        <v>0.39</v>
      </c>
      <c r="N16" s="125">
        <f t="shared" ca="1" si="7"/>
        <v>1</v>
      </c>
      <c r="O16" s="125">
        <f t="shared" ca="1" si="8"/>
        <v>0.63</v>
      </c>
      <c r="P16" s="125">
        <f t="shared" ca="1" si="8"/>
        <v>1.67</v>
      </c>
      <c r="Q16" s="125">
        <f t="shared" ca="1" si="8"/>
        <v>1.57</v>
      </c>
      <c r="R16" s="125">
        <f t="shared" ca="1" si="8"/>
        <v>1.37</v>
      </c>
      <c r="S16" s="125">
        <f t="shared" ca="1" si="8"/>
        <v>1.05</v>
      </c>
      <c r="T16" s="125">
        <f t="shared" ca="1" si="8"/>
        <v>1.06</v>
      </c>
      <c r="U16" s="125">
        <f t="shared" ca="1" si="8"/>
        <v>0.84</v>
      </c>
      <c r="V16" s="125">
        <f t="shared" ca="1" si="8"/>
        <v>1.34</v>
      </c>
      <c r="W16" s="125">
        <f t="shared" ca="1" si="8"/>
        <v>1.1399999999999999</v>
      </c>
      <c r="X16" s="125">
        <f t="shared" ca="1" si="8"/>
        <v>1.1399999999999999</v>
      </c>
      <c r="Y16" s="77">
        <f t="shared" ca="1" si="15"/>
        <v>1.6359380967988502E-2</v>
      </c>
      <c r="Z16" s="77">
        <f t="shared" ca="1" si="16"/>
        <v>-8.6101940314324388E-2</v>
      </c>
      <c r="AA16" s="125">
        <f t="shared" ca="1" si="17"/>
        <v>0.42342857142857115</v>
      </c>
      <c r="AB16" s="77" t="b">
        <f t="shared" ca="1" si="18"/>
        <v>0</v>
      </c>
      <c r="AC16" s="77"/>
      <c r="AD16" s="184">
        <f ca="1">BB16-2</f>
        <v>11</v>
      </c>
      <c r="AE16" s="181">
        <f t="shared" si="9"/>
        <v>43889</v>
      </c>
      <c r="AF16" s="190">
        <v>43100</v>
      </c>
      <c r="AG16" s="186">
        <f t="shared" si="10"/>
        <v>789</v>
      </c>
      <c r="AH16" s="187">
        <f t="shared" si="19"/>
        <v>2.1616438356164385</v>
      </c>
      <c r="AI16" s="187">
        <f t="shared" ca="1" si="11"/>
        <v>13.161643835616438</v>
      </c>
      <c r="AJ16" s="188">
        <f t="shared" ca="1" si="12"/>
        <v>1.0028646086290394E-2</v>
      </c>
      <c r="AO16" t="b">
        <f t="shared" ca="1" si="13"/>
        <v>1</v>
      </c>
      <c r="AP16" t="b">
        <f t="shared" ca="1" si="13"/>
        <v>1</v>
      </c>
      <c r="AQ16" t="b">
        <f t="shared" ca="1" si="13"/>
        <v>1</v>
      </c>
      <c r="AR16" t="b">
        <f t="shared" ca="1" si="13"/>
        <v>1</v>
      </c>
      <c r="AS16" t="b">
        <f t="shared" ca="1" si="13"/>
        <v>1</v>
      </c>
      <c r="AT16" t="b">
        <f t="shared" ca="1" si="13"/>
        <v>1</v>
      </c>
      <c r="AU16" t="b">
        <f t="shared" ca="1" si="13"/>
        <v>1</v>
      </c>
      <c r="AV16" t="b">
        <f t="shared" ca="1" si="13"/>
        <v>1</v>
      </c>
      <c r="AW16" t="b">
        <f t="shared" ca="1" si="13"/>
        <v>1</v>
      </c>
      <c r="AX16" t="b">
        <f t="shared" ca="1" si="13"/>
        <v>1</v>
      </c>
      <c r="AY16" t="b">
        <f t="shared" ca="1" si="13"/>
        <v>1</v>
      </c>
      <c r="AZ16" t="b">
        <f t="shared" ca="1" si="13"/>
        <v>1</v>
      </c>
      <c r="BA16" t="b">
        <f t="shared" ca="1" si="13"/>
        <v>1</v>
      </c>
      <c r="BB16">
        <f t="shared" ca="1" si="20"/>
        <v>13</v>
      </c>
      <c r="BC16">
        <f t="shared" ca="1" si="21"/>
        <v>19</v>
      </c>
    </row>
    <row r="17" spans="1:55" x14ac:dyDescent="0.25">
      <c r="A17" s="44" t="s">
        <v>192</v>
      </c>
      <c r="B17" s="110">
        <f t="shared" ca="1" si="2"/>
        <v>43</v>
      </c>
      <c r="C17" s="1">
        <f ca="1">IF(ISERROR(D17),"",IF(D17="","",MAX($C$12:C16)+1))</f>
        <v>5</v>
      </c>
      <c r="D17" t="str">
        <f t="shared" ca="1" si="3"/>
        <v>Northwest Nat. Gas</v>
      </c>
      <c r="E17" s="15"/>
      <c r="F17" s="125">
        <f t="shared" ca="1" si="14"/>
        <v>2.161111111111111</v>
      </c>
      <c r="G17" s="125">
        <f t="shared" si="4"/>
        <v>2.65</v>
      </c>
      <c r="H17" s="125">
        <f t="shared" si="5"/>
        <v>2.54</v>
      </c>
      <c r="I17" s="125">
        <f t="shared" si="6"/>
        <v>2.5</v>
      </c>
      <c r="J17" s="125">
        <f t="shared" ca="1" si="7"/>
        <v>2.2999999999999998</v>
      </c>
      <c r="K17" s="125">
        <f t="shared" ca="1" si="7"/>
        <v>2.19</v>
      </c>
      <c r="L17" s="125">
        <f t="shared" ca="1" si="7"/>
        <v>2.33</v>
      </c>
      <c r="M17" s="125">
        <f t="shared" ca="1" si="7"/>
        <v>-1.94</v>
      </c>
      <c r="N17" s="125">
        <f t="shared" ca="1" si="7"/>
        <v>2.12</v>
      </c>
      <c r="O17" s="125">
        <f t="shared" ca="1" si="8"/>
        <v>1.96</v>
      </c>
      <c r="P17" s="125">
        <f t="shared" ca="1" si="8"/>
        <v>2.16</v>
      </c>
      <c r="Q17" s="125">
        <f t="shared" ca="1" si="8"/>
        <v>2.2400000000000002</v>
      </c>
      <c r="R17" s="125">
        <f t="shared" ca="1" si="8"/>
        <v>2.2200000000000002</v>
      </c>
      <c r="S17" s="125">
        <f t="shared" ca="1" si="8"/>
        <v>2.39</v>
      </c>
      <c r="T17" s="125">
        <f t="shared" ca="1" si="8"/>
        <v>2.73</v>
      </c>
      <c r="U17" s="125">
        <f t="shared" ca="1" si="8"/>
        <v>2.83</v>
      </c>
      <c r="V17" s="125">
        <f t="shared" ca="1" si="8"/>
        <v>2.57</v>
      </c>
      <c r="W17" s="125">
        <f t="shared" ca="1" si="8"/>
        <v>2.76</v>
      </c>
      <c r="X17" s="125">
        <f t="shared" ca="1" si="8"/>
        <v>2.35</v>
      </c>
      <c r="Y17" s="77">
        <f t="shared" ca="1" si="15"/>
        <v>-1.9298924155596309E-3</v>
      </c>
      <c r="Z17" s="77" t="str">
        <f t="shared" ca="1" si="16"/>
        <v>N/A</v>
      </c>
      <c r="AA17" s="125" t="e">
        <f t="shared" ca="1" si="17"/>
        <v>#VALUE!</v>
      </c>
      <c r="AB17" s="77" t="e">
        <f t="shared" ca="1" si="18"/>
        <v>#VALUE!</v>
      </c>
      <c r="AC17" s="77"/>
      <c r="AD17" s="184">
        <v>11</v>
      </c>
      <c r="AE17" s="181">
        <f t="shared" si="9"/>
        <v>43889</v>
      </c>
      <c r="AF17" s="190">
        <v>43100</v>
      </c>
      <c r="AG17" s="186">
        <f t="shared" si="10"/>
        <v>789</v>
      </c>
      <c r="AH17" s="187">
        <f t="shared" si="19"/>
        <v>2.1616438356164385</v>
      </c>
      <c r="AI17" s="187">
        <f t="shared" si="11"/>
        <v>13.161643835616438</v>
      </c>
      <c r="AJ17" s="188">
        <f t="shared" ca="1" si="12"/>
        <v>-6.4918076277198367E-4</v>
      </c>
      <c r="AO17" t="b">
        <f t="shared" ca="1" si="13"/>
        <v>1</v>
      </c>
      <c r="AP17" t="b">
        <f t="shared" ca="1" si="13"/>
        <v>1</v>
      </c>
      <c r="AQ17" t="b">
        <f t="shared" ca="1" si="13"/>
        <v>1</v>
      </c>
      <c r="AR17" t="b">
        <f t="shared" ca="1" si="13"/>
        <v>1</v>
      </c>
      <c r="AS17" t="b">
        <f t="shared" ca="1" si="13"/>
        <v>1</v>
      </c>
      <c r="AT17" t="b">
        <f t="shared" ca="1" si="13"/>
        <v>1</v>
      </c>
      <c r="AU17" t="b">
        <f t="shared" ca="1" si="13"/>
        <v>1</v>
      </c>
      <c r="AV17" t="b">
        <f t="shared" ca="1" si="13"/>
        <v>1</v>
      </c>
      <c r="AW17" t="b">
        <f t="shared" ca="1" si="13"/>
        <v>1</v>
      </c>
      <c r="AX17" t="b">
        <f t="shared" ca="1" si="13"/>
        <v>1</v>
      </c>
      <c r="AY17" t="b">
        <f t="shared" ca="1" si="13"/>
        <v>1</v>
      </c>
      <c r="AZ17" t="b">
        <f t="shared" ca="1" si="13"/>
        <v>1</v>
      </c>
      <c r="BA17" t="b">
        <f t="shared" ca="1" si="13"/>
        <v>1</v>
      </c>
      <c r="BB17">
        <f t="shared" ca="1" si="20"/>
        <v>13</v>
      </c>
      <c r="BC17">
        <f t="shared" ca="1" si="21"/>
        <v>19</v>
      </c>
    </row>
    <row r="18" spans="1:55" x14ac:dyDescent="0.25">
      <c r="A18" s="44" t="s">
        <v>345</v>
      </c>
      <c r="B18" s="110">
        <f t="shared" ca="1" si="2"/>
        <v>46</v>
      </c>
      <c r="C18" s="1">
        <f ca="1">IF(ISERROR(D18),"",IF(D18="","",MAX($C$12:C17)+1))</f>
        <v>6</v>
      </c>
      <c r="D18" t="str">
        <f t="shared" ca="1" si="3"/>
        <v>ONE Gas Inc.</v>
      </c>
      <c r="E18" s="15"/>
      <c r="F18" s="125">
        <f t="shared" ca="1" si="14"/>
        <v>3.25</v>
      </c>
      <c r="G18" s="125">
        <f t="shared" si="4"/>
        <v>4.1500000000000004</v>
      </c>
      <c r="H18" s="125">
        <f t="shared" si="5"/>
        <v>4.08</v>
      </c>
      <c r="I18" s="125">
        <f t="shared" si="6"/>
        <v>3.85</v>
      </c>
      <c r="J18" s="125">
        <f t="shared" ca="1" si="7"/>
        <v>3.68</v>
      </c>
      <c r="K18" s="125">
        <f t="shared" ca="1" si="7"/>
        <v>3.51</v>
      </c>
      <c r="L18" s="125">
        <f t="shared" ca="1" si="7"/>
        <v>3.25</v>
      </c>
      <c r="M18" s="125">
        <f t="shared" ca="1" si="7"/>
        <v>3.02</v>
      </c>
      <c r="N18" s="125">
        <f t="shared" ca="1" si="7"/>
        <v>2.65</v>
      </c>
      <c r="O18" s="125">
        <f t="shared" ca="1" si="8"/>
        <v>2.2400000000000002</v>
      </c>
      <c r="P18" s="125">
        <f t="shared" ca="1" si="8"/>
        <v>2.0699999999999998</v>
      </c>
      <c r="Q18" s="125" t="str">
        <f t="shared" ca="1" si="8"/>
        <v>N/A</v>
      </c>
      <c r="R18" s="125" t="str">
        <f t="shared" ca="1" si="8"/>
        <v>N/A</v>
      </c>
      <c r="S18" s="125" t="str">
        <f t="shared" ca="1" si="8"/>
        <v>N/A</v>
      </c>
      <c r="T18" s="125" t="str">
        <f t="shared" ca="1" si="8"/>
        <v>N/A</v>
      </c>
      <c r="U18" s="125" t="str">
        <f t="shared" ca="1" si="8"/>
        <v>N/A</v>
      </c>
      <c r="V18" s="125" t="str">
        <f t="shared" ca="1" si="8"/>
        <v>N/A</v>
      </c>
      <c r="W18" s="125" t="str">
        <f t="shared" ca="1" si="8"/>
        <v>N/A</v>
      </c>
      <c r="X18" s="125" t="str">
        <f t="shared" ca="1" si="8"/>
        <v>N/A</v>
      </c>
      <c r="Y18" s="77">
        <f t="shared" ca="1" si="15"/>
        <v>-1.4799574136501459E-2</v>
      </c>
      <c r="Z18" s="77">
        <f t="shared" ca="1" si="16"/>
        <v>-4.8884464481952272E-2</v>
      </c>
      <c r="AA18" s="125">
        <f ca="1">+P18*(1+Z18)^3</f>
        <v>1.7810256410256413</v>
      </c>
      <c r="AB18" s="77" t="b">
        <f t="shared" ca="1" si="18"/>
        <v>0</v>
      </c>
      <c r="AC18" s="77"/>
      <c r="AD18" s="184">
        <f t="shared" ref="AD18:AD32" ca="1" si="22">BB18-2</f>
        <v>3</v>
      </c>
      <c r="AE18" s="181">
        <f t="shared" si="9"/>
        <v>43889</v>
      </c>
      <c r="AF18" s="190">
        <v>43100</v>
      </c>
      <c r="AG18" s="186">
        <f t="shared" si="10"/>
        <v>789</v>
      </c>
      <c r="AH18" s="187">
        <f t="shared" si="19"/>
        <v>2.1616438356164385</v>
      </c>
      <c r="AI18" s="187">
        <f t="shared" ca="1" si="11"/>
        <v>5.161643835616438</v>
      </c>
      <c r="AJ18" s="188" t="e">
        <f t="shared" ca="1" si="12"/>
        <v>#VALUE!</v>
      </c>
      <c r="AO18" t="b">
        <f t="shared" ca="1" si="13"/>
        <v>1</v>
      </c>
      <c r="AP18" t="b">
        <f t="shared" ca="1" si="13"/>
        <v>1</v>
      </c>
      <c r="AQ18" t="b">
        <f t="shared" ca="1" si="13"/>
        <v>1</v>
      </c>
      <c r="AR18" t="b">
        <f t="shared" ca="1" si="13"/>
        <v>1</v>
      </c>
      <c r="AS18" t="b">
        <f t="shared" ca="1" si="13"/>
        <v>1</v>
      </c>
      <c r="AT18" t="b">
        <f t="shared" ca="1" si="13"/>
        <v>0</v>
      </c>
      <c r="AU18" t="b">
        <f t="shared" ca="1" si="13"/>
        <v>0</v>
      </c>
      <c r="AV18" t="b">
        <f t="shared" ca="1" si="13"/>
        <v>0</v>
      </c>
      <c r="AW18" t="b">
        <f t="shared" ca="1" si="13"/>
        <v>0</v>
      </c>
      <c r="AX18" t="b">
        <f t="shared" ca="1" si="13"/>
        <v>0</v>
      </c>
      <c r="AY18" t="b">
        <f t="shared" ca="1" si="13"/>
        <v>0</v>
      </c>
      <c r="AZ18" t="b">
        <f t="shared" ca="1" si="13"/>
        <v>0</v>
      </c>
      <c r="BA18" t="b">
        <f t="shared" ca="1" si="13"/>
        <v>0</v>
      </c>
      <c r="BB18">
        <f t="shared" ca="1" si="20"/>
        <v>5</v>
      </c>
      <c r="BC18">
        <f t="shared" ca="1" si="21"/>
        <v>11</v>
      </c>
    </row>
    <row r="19" spans="1:55" hidden="1" x14ac:dyDescent="0.25">
      <c r="A19" s="44" t="s">
        <v>198</v>
      </c>
      <c r="B19" s="110">
        <f t="shared" ca="1" si="2"/>
        <v>58</v>
      </c>
      <c r="C19" s="1" t="str">
        <f>IF(ISERROR(D19),"",IF(D19="","",MAX($C$12:C18)+1))</f>
        <v/>
      </c>
      <c r="E19" s="1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77"/>
      <c r="Z19" s="77"/>
      <c r="AA19" s="125"/>
      <c r="AB19" s="77"/>
      <c r="AC19" s="77"/>
      <c r="AD19" s="184"/>
      <c r="AE19" s="181"/>
      <c r="AF19" s="190"/>
      <c r="AG19" s="186"/>
      <c r="AH19" s="187"/>
      <c r="AI19" s="187"/>
      <c r="AJ19" s="188"/>
    </row>
    <row r="20" spans="1:55" x14ac:dyDescent="0.25">
      <c r="A20" s="44" t="s">
        <v>200</v>
      </c>
      <c r="B20" s="110">
        <f t="shared" ca="1" si="2"/>
        <v>60</v>
      </c>
      <c r="C20" s="1">
        <f ca="1">IF(ISERROR(D20),"",IF(D20="","",MAX($C$12:C19)+1))</f>
        <v>7</v>
      </c>
      <c r="D20" t="str">
        <f t="shared" ca="1" si="3"/>
        <v>Southwest Gas</v>
      </c>
      <c r="E20" s="15"/>
      <c r="F20" s="125">
        <f t="shared" ca="1" si="14"/>
        <v>2.8983333333333334</v>
      </c>
      <c r="G20" s="125">
        <f t="shared" si="4"/>
        <v>2.85</v>
      </c>
      <c r="H20" s="125">
        <f t="shared" si="5"/>
        <v>3.1</v>
      </c>
      <c r="I20" s="125">
        <f t="shared" si="6"/>
        <v>3.8</v>
      </c>
      <c r="J20" s="125">
        <f t="shared" ca="1" si="7"/>
        <v>4.1399999999999997</v>
      </c>
      <c r="K20" s="125">
        <f t="shared" ca="1" si="7"/>
        <v>3.94</v>
      </c>
      <c r="L20" s="125">
        <f t="shared" ca="1" si="7"/>
        <v>3.68</v>
      </c>
      <c r="M20" s="125">
        <f t="shared" ca="1" si="7"/>
        <v>3.62</v>
      </c>
      <c r="N20" s="125">
        <f t="shared" ca="1" si="7"/>
        <v>3.18</v>
      </c>
      <c r="O20" s="125">
        <f t="shared" ca="1" si="8"/>
        <v>2.92</v>
      </c>
      <c r="P20" s="125">
        <f t="shared" ca="1" si="8"/>
        <v>3.01</v>
      </c>
      <c r="Q20" s="125">
        <f t="shared" ca="1" si="8"/>
        <v>3.11</v>
      </c>
      <c r="R20" s="125">
        <f t="shared" ca="1" si="8"/>
        <v>2.86</v>
      </c>
      <c r="S20" s="125">
        <f t="shared" ca="1" si="8"/>
        <v>2.4300000000000002</v>
      </c>
      <c r="T20" s="125">
        <f t="shared" ca="1" si="8"/>
        <v>2.27</v>
      </c>
      <c r="U20" s="125">
        <f t="shared" ca="1" si="8"/>
        <v>1.94</v>
      </c>
      <c r="V20" s="125">
        <f t="shared" ca="1" si="8"/>
        <v>1.39</v>
      </c>
      <c r="W20" s="125">
        <f t="shared" ca="1" si="8"/>
        <v>1.95</v>
      </c>
      <c r="X20" s="125">
        <f t="shared" ca="1" si="8"/>
        <v>1.98</v>
      </c>
      <c r="Y20" s="77">
        <f t="shared" ca="1" si="15"/>
        <v>3.2035069919147174E-2</v>
      </c>
      <c r="Z20" s="77">
        <f t="shared" ca="1" si="16"/>
        <v>3.6899278891178389E-2</v>
      </c>
      <c r="AA20" s="125">
        <f t="shared" ca="1" si="17"/>
        <v>2.9496296296296278</v>
      </c>
      <c r="AB20" s="77" t="b">
        <f t="shared" ca="1" si="18"/>
        <v>0</v>
      </c>
      <c r="AC20" s="77"/>
      <c r="AD20" s="184">
        <f t="shared" ca="1" si="22"/>
        <v>11</v>
      </c>
      <c r="AE20" s="181">
        <f t="shared" si="9"/>
        <v>43889</v>
      </c>
      <c r="AF20" s="190">
        <v>43100</v>
      </c>
      <c r="AG20" s="186">
        <f t="shared" si="10"/>
        <v>789</v>
      </c>
      <c r="AH20" s="187">
        <f t="shared" si="19"/>
        <v>2.1616438356164385</v>
      </c>
      <c r="AI20" s="187">
        <f t="shared" ca="1" si="11"/>
        <v>13.161643835616438</v>
      </c>
      <c r="AJ20" s="188">
        <f t="shared" ca="1" si="12"/>
        <v>4.8219060033362071E-2</v>
      </c>
      <c r="AO20" t="b">
        <f t="shared" ca="1" si="13"/>
        <v>1</v>
      </c>
      <c r="AP20" t="b">
        <f t="shared" ca="1" si="13"/>
        <v>1</v>
      </c>
      <c r="AQ20" t="b">
        <f t="shared" ca="1" si="13"/>
        <v>1</v>
      </c>
      <c r="AR20" t="b">
        <f t="shared" ca="1" si="13"/>
        <v>1</v>
      </c>
      <c r="AS20" t="b">
        <f t="shared" ca="1" si="13"/>
        <v>1</v>
      </c>
      <c r="AT20" t="b">
        <f t="shared" ca="1" si="13"/>
        <v>1</v>
      </c>
      <c r="AU20" t="b">
        <f t="shared" ca="1" si="13"/>
        <v>1</v>
      </c>
      <c r="AV20" t="b">
        <f t="shared" ca="1" si="13"/>
        <v>1</v>
      </c>
      <c r="AW20" t="b">
        <f t="shared" ca="1" si="13"/>
        <v>1</v>
      </c>
      <c r="AX20" t="b">
        <f t="shared" ca="1" si="13"/>
        <v>1</v>
      </c>
      <c r="AY20" t="b">
        <f t="shared" ca="1" si="13"/>
        <v>1</v>
      </c>
      <c r="AZ20" t="b">
        <f t="shared" ca="1" si="13"/>
        <v>1</v>
      </c>
      <c r="BA20" t="b">
        <f t="shared" ca="1" si="13"/>
        <v>1</v>
      </c>
      <c r="BB20">
        <f t="shared" ca="1" si="20"/>
        <v>13</v>
      </c>
      <c r="BC20">
        <f t="shared" ca="1" si="21"/>
        <v>19</v>
      </c>
    </row>
    <row r="21" spans="1:55" x14ac:dyDescent="0.25">
      <c r="A21" s="44" t="s">
        <v>244</v>
      </c>
      <c r="B21" s="110">
        <f t="shared" ca="1" si="2"/>
        <v>61</v>
      </c>
      <c r="C21" s="1">
        <f ca="1">IF(ISERROR(D21),"",IF(D21="","",MAX($C$12:C20)+1))</f>
        <v>8</v>
      </c>
      <c r="D21" t="str">
        <f t="shared" ca="1" si="3"/>
        <v>Spire Inc.</v>
      </c>
      <c r="E21" s="15"/>
      <c r="F21" s="125">
        <f t="shared" ca="1" si="14"/>
        <v>3.0316666666666672</v>
      </c>
      <c r="G21" s="125">
        <f t="shared" si="4"/>
        <v>3.85</v>
      </c>
      <c r="H21" s="125">
        <f t="shared" si="5"/>
        <v>3.95</v>
      </c>
      <c r="I21" s="125">
        <f t="shared" si="6"/>
        <v>4.96</v>
      </c>
      <c r="J21" s="125">
        <f t="shared" ca="1" si="7"/>
        <v>1.44</v>
      </c>
      <c r="K21" s="125">
        <f t="shared" ca="1" si="7"/>
        <v>3.52</v>
      </c>
      <c r="L21" s="125">
        <f t="shared" ca="1" si="7"/>
        <v>4.33</v>
      </c>
      <c r="M21" s="125">
        <f t="shared" ca="1" si="7"/>
        <v>3.43</v>
      </c>
      <c r="N21" s="125">
        <f t="shared" ca="1" si="7"/>
        <v>3.24</v>
      </c>
      <c r="O21" s="125">
        <f t="shared" ca="1" si="8"/>
        <v>3.16</v>
      </c>
      <c r="P21" s="125">
        <f t="shared" ca="1" si="8"/>
        <v>2.35</v>
      </c>
      <c r="Q21" s="125">
        <f t="shared" ca="1" si="8"/>
        <v>2.02</v>
      </c>
      <c r="R21" s="125">
        <f t="shared" ca="1" si="8"/>
        <v>2.79</v>
      </c>
      <c r="S21" s="125">
        <f t="shared" ca="1" si="8"/>
        <v>2.86</v>
      </c>
      <c r="T21" s="125">
        <f t="shared" ca="1" si="8"/>
        <v>2.4300000000000002</v>
      </c>
      <c r="U21" s="125">
        <f t="shared" ca="1" si="8"/>
        <v>2.92</v>
      </c>
      <c r="V21" s="125">
        <f t="shared" ca="1" si="8"/>
        <v>2.64</v>
      </c>
      <c r="W21" s="125">
        <f t="shared" ca="1" si="8"/>
        <v>2.31</v>
      </c>
      <c r="X21" s="125">
        <f t="shared" ca="1" si="8"/>
        <v>2.37</v>
      </c>
      <c r="Y21" s="77">
        <f t="shared" ca="1" si="15"/>
        <v>3.2013461461948944E-2</v>
      </c>
      <c r="Z21" s="77">
        <f t="shared" ca="1" si="16"/>
        <v>1.6658932162525675E-2</v>
      </c>
      <c r="AA21" s="125">
        <f t="shared" ca="1" si="17"/>
        <v>2.8423426573426576</v>
      </c>
      <c r="AB21" s="77" t="b">
        <f t="shared" ca="1" si="18"/>
        <v>0</v>
      </c>
      <c r="AC21" s="77"/>
      <c r="AD21" s="184">
        <f t="shared" ca="1" si="22"/>
        <v>11</v>
      </c>
      <c r="AE21" s="181">
        <f t="shared" si="9"/>
        <v>43889</v>
      </c>
      <c r="AF21" s="190">
        <v>43100</v>
      </c>
      <c r="AG21" s="186">
        <f t="shared" si="10"/>
        <v>789</v>
      </c>
      <c r="AH21" s="187">
        <f t="shared" si="19"/>
        <v>2.1616438356164385</v>
      </c>
      <c r="AI21" s="187">
        <f t="shared" ca="1" si="11"/>
        <v>13.161643835616438</v>
      </c>
      <c r="AJ21" s="188">
        <f t="shared" ca="1" si="12"/>
        <v>4.685501893652444E-2</v>
      </c>
      <c r="AO21" t="b">
        <f t="shared" ca="1" si="13"/>
        <v>1</v>
      </c>
      <c r="AP21" t="b">
        <f t="shared" ca="1" si="13"/>
        <v>1</v>
      </c>
      <c r="AQ21" t="b">
        <f t="shared" ca="1" si="13"/>
        <v>1</v>
      </c>
      <c r="AR21" t="b">
        <f t="shared" ca="1" si="13"/>
        <v>1</v>
      </c>
      <c r="AS21" t="b">
        <f t="shared" ca="1" si="13"/>
        <v>1</v>
      </c>
      <c r="AT21" t="b">
        <f t="shared" ca="1" si="13"/>
        <v>1</v>
      </c>
      <c r="AU21" t="b">
        <f t="shared" ca="1" si="13"/>
        <v>1</v>
      </c>
      <c r="AV21" t="b">
        <f t="shared" ca="1" si="13"/>
        <v>1</v>
      </c>
      <c r="AW21" t="b">
        <f t="shared" ca="1" si="13"/>
        <v>1</v>
      </c>
      <c r="AX21" t="b">
        <f t="shared" ca="1" si="13"/>
        <v>1</v>
      </c>
      <c r="AY21" t="b">
        <f t="shared" ca="1" si="13"/>
        <v>1</v>
      </c>
      <c r="AZ21" t="b">
        <f t="shared" ca="1" si="13"/>
        <v>1</v>
      </c>
      <c r="BA21" t="b">
        <f t="shared" ca="1" si="13"/>
        <v>1</v>
      </c>
      <c r="BB21">
        <f t="shared" ca="1" si="20"/>
        <v>13</v>
      </c>
      <c r="BC21">
        <f t="shared" ca="1" si="21"/>
        <v>19</v>
      </c>
    </row>
    <row r="22" spans="1:55" x14ac:dyDescent="0.25">
      <c r="A22" s="44" t="s">
        <v>204</v>
      </c>
      <c r="B22" s="110">
        <f t="shared" ca="1" si="2"/>
        <v>63</v>
      </c>
      <c r="C22" s="1">
        <f ca="1">IF(ISERROR(D22),"",IF(D22="","",MAX($C$12:C21)+1))</f>
        <v>9</v>
      </c>
      <c r="D22" t="str">
        <f t="shared" ca="1" si="3"/>
        <v>UGI Corp.</v>
      </c>
      <c r="E22" s="15"/>
      <c r="F22" s="125">
        <f t="shared" ca="1" si="14"/>
        <v>1.975888888888889</v>
      </c>
      <c r="G22" s="125">
        <f t="shared" si="4"/>
        <v>2.84</v>
      </c>
      <c r="H22" s="125">
        <f t="shared" si="5"/>
        <v>2.9</v>
      </c>
      <c r="I22" s="125">
        <f t="shared" si="6"/>
        <v>2.96</v>
      </c>
      <c r="J22" s="125">
        <f t="shared" ca="1" si="7"/>
        <v>2.67</v>
      </c>
      <c r="K22" s="125">
        <f t="shared" ca="1" si="7"/>
        <v>2.2799999999999998</v>
      </c>
      <c r="L22" s="125">
        <f t="shared" ca="1" si="7"/>
        <v>2.74</v>
      </c>
      <c r="M22" s="125">
        <f t="shared" ca="1" si="7"/>
        <v>2.29</v>
      </c>
      <c r="N22" s="125">
        <f t="shared" ca="1" si="7"/>
        <v>2.0499999999999998</v>
      </c>
      <c r="O22" s="125">
        <f t="shared" ca="1" si="8"/>
        <v>2.0099999999999998</v>
      </c>
      <c r="P22" s="125">
        <f t="shared" ca="1" si="8"/>
        <v>1.92</v>
      </c>
      <c r="Q22" s="125">
        <f t="shared" ca="1" si="8"/>
        <v>1.593</v>
      </c>
      <c r="R22" s="125">
        <f t="shared" ca="1" si="8"/>
        <v>1.173</v>
      </c>
      <c r="S22" s="125">
        <f t="shared" ca="1" si="8"/>
        <v>1.373</v>
      </c>
      <c r="T22" s="125">
        <f t="shared" ca="1" si="8"/>
        <v>1.587</v>
      </c>
      <c r="U22" s="125">
        <f t="shared" ca="1" si="8"/>
        <v>1.573</v>
      </c>
      <c r="V22" s="125">
        <f t="shared" ca="1" si="8"/>
        <v>1.327</v>
      </c>
      <c r="W22" s="125">
        <f t="shared" ca="1" si="8"/>
        <v>1.18</v>
      </c>
      <c r="X22" s="125">
        <f t="shared" ca="1" si="8"/>
        <v>1.1000000000000001</v>
      </c>
      <c r="Y22" s="77">
        <f t="shared" ca="1" si="15"/>
        <v>5.3900439504497077E-2</v>
      </c>
      <c r="Z22" s="77">
        <f t="shared" ca="1" si="16"/>
        <v>4.7603192386314719E-2</v>
      </c>
      <c r="AA22" s="125">
        <f t="shared" ca="1" si="17"/>
        <v>1.8346686088856519</v>
      </c>
      <c r="AB22" s="77" t="b">
        <f t="shared" ca="1" si="18"/>
        <v>0</v>
      </c>
      <c r="AC22" s="77"/>
      <c r="AD22" s="184">
        <f t="shared" ca="1" si="22"/>
        <v>11</v>
      </c>
      <c r="AE22" s="181">
        <f t="shared" si="9"/>
        <v>43889</v>
      </c>
      <c r="AF22" s="190">
        <v>43100</v>
      </c>
      <c r="AG22" s="186">
        <f t="shared" si="10"/>
        <v>789</v>
      </c>
      <c r="AH22" s="187">
        <f t="shared" si="19"/>
        <v>2.1616438356164385</v>
      </c>
      <c r="AI22" s="187">
        <f t="shared" ca="1" si="11"/>
        <v>13.161643835616438</v>
      </c>
      <c r="AJ22" s="188">
        <f t="shared" ca="1" si="12"/>
        <v>7.1802135710377302E-2</v>
      </c>
      <c r="AO22" t="b">
        <f t="shared" ca="1" si="13"/>
        <v>1</v>
      </c>
      <c r="AP22" t="b">
        <f t="shared" ca="1" si="13"/>
        <v>1</v>
      </c>
      <c r="AQ22" t="b">
        <f t="shared" ca="1" si="13"/>
        <v>1</v>
      </c>
      <c r="AR22" t="b">
        <f t="shared" ca="1" si="13"/>
        <v>1</v>
      </c>
      <c r="AS22" t="b">
        <f t="shared" ca="1" si="13"/>
        <v>1</v>
      </c>
      <c r="AT22" t="b">
        <f t="shared" ca="1" si="13"/>
        <v>1</v>
      </c>
      <c r="AU22" t="b">
        <f t="shared" ca="1" si="13"/>
        <v>1</v>
      </c>
      <c r="AV22" t="b">
        <f t="shared" ca="1" si="13"/>
        <v>1</v>
      </c>
      <c r="AW22" t="b">
        <f t="shared" ca="1" si="13"/>
        <v>1</v>
      </c>
      <c r="AX22" t="b">
        <f t="shared" ca="1" si="13"/>
        <v>1</v>
      </c>
      <c r="AY22" t="b">
        <f t="shared" ca="1" si="13"/>
        <v>1</v>
      </c>
      <c r="AZ22" t="b">
        <f t="shared" ca="1" si="13"/>
        <v>1</v>
      </c>
      <c r="BA22" t="b">
        <f t="shared" ca="1" si="13"/>
        <v>1</v>
      </c>
      <c r="BB22">
        <f t="shared" ca="1" si="20"/>
        <v>13</v>
      </c>
      <c r="BC22">
        <f t="shared" ca="1" si="21"/>
        <v>19</v>
      </c>
    </row>
    <row r="23" spans="1:55" hidden="1" x14ac:dyDescent="0.25">
      <c r="A23" s="44" t="s">
        <v>206</v>
      </c>
      <c r="B23" s="110">
        <f t="shared" ca="1" si="2"/>
        <v>68</v>
      </c>
      <c r="C23" s="1"/>
      <c r="E23" s="1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77" t="str">
        <f t="shared" si="15"/>
        <v>N/A</v>
      </c>
      <c r="Z23" s="77" t="str">
        <f t="shared" si="16"/>
        <v>N/A</v>
      </c>
      <c r="AA23" s="125" t="e">
        <f t="shared" si="17"/>
        <v>#VALUE!</v>
      </c>
      <c r="AB23" s="77" t="e">
        <f t="shared" si="18"/>
        <v>#VALUE!</v>
      </c>
      <c r="AC23" s="77"/>
      <c r="AD23" s="184">
        <f t="shared" si="22"/>
        <v>-1</v>
      </c>
      <c r="AE23" s="181">
        <f t="shared" si="9"/>
        <v>43252</v>
      </c>
      <c r="AF23" s="190">
        <v>43100</v>
      </c>
      <c r="AG23" s="186">
        <f t="shared" si="10"/>
        <v>152</v>
      </c>
      <c r="AH23" s="187">
        <f t="shared" si="19"/>
        <v>0.41643835616438357</v>
      </c>
      <c r="AI23" s="187">
        <f t="shared" si="11"/>
        <v>-0.58356164383561637</v>
      </c>
      <c r="AJ23" s="188" t="e">
        <f t="shared" si="12"/>
        <v>#DIV/0!</v>
      </c>
      <c r="AO23" t="b">
        <f t="shared" si="13"/>
        <v>0</v>
      </c>
      <c r="AP23" t="b">
        <f t="shared" si="13"/>
        <v>0</v>
      </c>
      <c r="AQ23" t="b">
        <f t="shared" si="13"/>
        <v>0</v>
      </c>
      <c r="AR23" t="b">
        <f t="shared" si="13"/>
        <v>0</v>
      </c>
      <c r="AS23" t="b">
        <f t="shared" si="13"/>
        <v>0</v>
      </c>
      <c r="AT23" t="b">
        <f t="shared" si="13"/>
        <v>0</v>
      </c>
      <c r="AU23" t="b">
        <f t="shared" si="13"/>
        <v>0</v>
      </c>
      <c r="AV23" t="b">
        <f t="shared" si="13"/>
        <v>0</v>
      </c>
      <c r="AW23" t="b">
        <f t="shared" si="13"/>
        <v>0</v>
      </c>
      <c r="AX23" t="b">
        <f t="shared" si="13"/>
        <v>0</v>
      </c>
      <c r="AY23" t="b">
        <f t="shared" si="13"/>
        <v>0</v>
      </c>
      <c r="AZ23" t="b">
        <f t="shared" si="13"/>
        <v>0</v>
      </c>
      <c r="BA23" t="b">
        <f t="shared" si="13"/>
        <v>0</v>
      </c>
      <c r="BB23">
        <f t="shared" si="20"/>
        <v>1</v>
      </c>
      <c r="BC23">
        <f t="shared" si="21"/>
        <v>7</v>
      </c>
    </row>
    <row r="24" spans="1:55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25" t="str">
        <f t="shared" ca="1" si="14"/>
        <v>N/A</v>
      </c>
      <c r="G24" s="125" t="str">
        <f t="shared" si="4"/>
        <v>N/A</v>
      </c>
      <c r="H24" s="125" t="str">
        <f t="shared" si="5"/>
        <v>N/A</v>
      </c>
      <c r="I24" s="125"/>
      <c r="J24" s="125" t="str">
        <f t="shared" ref="J24:J57" si="23">IFERROR(IF(VLOOKUP(A24,lucyr,8,FALSE)=0,"",VLOOKUP(A24,lucyr,8,FALSE)),"N/A")</f>
        <v>N/A</v>
      </c>
      <c r="K24" s="125" t="str">
        <f t="shared" ref="K24:K57" si="24">IFERROR(IF(VLOOKUP(A24,LUCurYr,8,FALSE)=0,"",VLOOKUP(A24,LUCurYr,8,FALSE)),"N/A")</f>
        <v>N/A</v>
      </c>
      <c r="L24" s="125" t="str">
        <f t="shared" ca="1" si="7"/>
        <v>N/A</v>
      </c>
      <c r="M24" s="125" t="str">
        <f t="shared" ca="1" si="7"/>
        <v>N/A</v>
      </c>
      <c r="N24" s="125" t="str">
        <f t="shared" ca="1" si="7"/>
        <v>N/A</v>
      </c>
      <c r="O24" s="125" t="str">
        <f t="shared" ref="O24:X32" ca="1" si="25">IFERROR(IF(INDEX(Earnings,$B24,O$12)=0,"N/A",INDEX(Earnings,$B24,O$12)),"N/A")</f>
        <v>N/A</v>
      </c>
      <c r="P24" s="125" t="str">
        <f t="shared" ca="1" si="25"/>
        <v>N/A</v>
      </c>
      <c r="Q24" s="125" t="str">
        <f t="shared" ca="1" si="25"/>
        <v>N/A</v>
      </c>
      <c r="R24" s="125" t="str">
        <f t="shared" ca="1" si="25"/>
        <v>N/A</v>
      </c>
      <c r="S24" s="125" t="str">
        <f t="shared" ca="1" si="25"/>
        <v>N/A</v>
      </c>
      <c r="T24" s="125" t="str">
        <f t="shared" ca="1" si="25"/>
        <v>N/A</v>
      </c>
      <c r="U24" s="125" t="str">
        <f t="shared" ca="1" si="25"/>
        <v>N/A</v>
      </c>
      <c r="V24" s="125" t="str">
        <f t="shared" ca="1" si="25"/>
        <v>N/A</v>
      </c>
      <c r="W24" s="125" t="str">
        <f t="shared" ca="1" si="25"/>
        <v>N/A</v>
      </c>
      <c r="X24" s="125" t="str">
        <f t="shared" ca="1" si="25"/>
        <v>N/A</v>
      </c>
      <c r="Y24" s="77" t="str">
        <f t="shared" ca="1" si="15"/>
        <v>N/A</v>
      </c>
      <c r="Z24" s="77" t="str">
        <f t="shared" ca="1" si="16"/>
        <v>N/A</v>
      </c>
      <c r="AA24" s="125" t="e">
        <f t="shared" ca="1" si="17"/>
        <v>#VALUE!</v>
      </c>
      <c r="AB24" s="77" t="e">
        <f t="shared" ca="1" si="18"/>
        <v>#VALUE!</v>
      </c>
      <c r="AC24" s="77"/>
      <c r="AD24" s="184">
        <f t="shared" ca="1" si="22"/>
        <v>-1</v>
      </c>
      <c r="AE24" s="181" t="str">
        <f t="shared" si="9"/>
        <v>N/A</v>
      </c>
      <c r="AF24" s="190">
        <v>43100</v>
      </c>
      <c r="AG24" s="186" t="e">
        <f t="shared" si="10"/>
        <v>#VALUE!</v>
      </c>
      <c r="AH24" s="187" t="e">
        <f t="shared" si="19"/>
        <v>#VALUE!</v>
      </c>
      <c r="AI24" s="187" t="e">
        <f t="shared" ca="1" si="11"/>
        <v>#VALUE!</v>
      </c>
      <c r="AJ24" s="188" t="e">
        <f t="shared" ca="1" si="12"/>
        <v>#VALUE!</v>
      </c>
      <c r="AO24" t="b">
        <f t="shared" ca="1" si="13"/>
        <v>0</v>
      </c>
      <c r="AP24" t="b">
        <f t="shared" ca="1" si="13"/>
        <v>0</v>
      </c>
      <c r="AQ24" t="b">
        <f t="shared" ca="1" si="13"/>
        <v>0</v>
      </c>
      <c r="AR24" t="b">
        <f t="shared" ca="1" si="13"/>
        <v>0</v>
      </c>
      <c r="AS24" t="b">
        <f t="shared" ca="1" si="13"/>
        <v>0</v>
      </c>
      <c r="AT24" t="b">
        <f t="shared" ca="1" si="13"/>
        <v>0</v>
      </c>
      <c r="AU24" t="b">
        <f t="shared" ca="1" si="13"/>
        <v>0</v>
      </c>
      <c r="AV24" t="b">
        <f t="shared" ca="1" si="13"/>
        <v>0</v>
      </c>
      <c r="AW24" t="b">
        <f t="shared" ca="1" si="13"/>
        <v>0</v>
      </c>
      <c r="AX24" t="b">
        <f t="shared" ca="1" si="13"/>
        <v>0</v>
      </c>
      <c r="AY24" t="b">
        <f t="shared" ca="1" si="13"/>
        <v>0</v>
      </c>
      <c r="AZ24" t="b">
        <f t="shared" ca="1" si="13"/>
        <v>0</v>
      </c>
      <c r="BA24" t="b">
        <f t="shared" ca="1" si="13"/>
        <v>0</v>
      </c>
      <c r="BB24">
        <f t="shared" ca="1" si="20"/>
        <v>1</v>
      </c>
      <c r="BC24">
        <f t="shared" ca="1" si="21"/>
        <v>7</v>
      </c>
    </row>
    <row r="25" spans="1:55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25" t="str">
        <f t="shared" ca="1" si="14"/>
        <v>N/A</v>
      </c>
      <c r="G25" s="125" t="str">
        <f t="shared" si="4"/>
        <v>N/A</v>
      </c>
      <c r="H25" s="125" t="str">
        <f t="shared" si="5"/>
        <v>N/A</v>
      </c>
      <c r="I25" s="125"/>
      <c r="J25" s="125" t="str">
        <f t="shared" si="23"/>
        <v>N/A</v>
      </c>
      <c r="K25" s="125" t="str">
        <f t="shared" si="24"/>
        <v>N/A</v>
      </c>
      <c r="L25" s="125" t="str">
        <f t="shared" ca="1" si="7"/>
        <v>N/A</v>
      </c>
      <c r="M25" s="125" t="str">
        <f t="shared" ca="1" si="7"/>
        <v>N/A</v>
      </c>
      <c r="N25" s="125" t="str">
        <f t="shared" ca="1" si="7"/>
        <v>N/A</v>
      </c>
      <c r="O25" s="125" t="str">
        <f t="shared" ca="1" si="25"/>
        <v>N/A</v>
      </c>
      <c r="P25" s="125" t="str">
        <f t="shared" ca="1" si="25"/>
        <v>N/A</v>
      </c>
      <c r="Q25" s="125" t="str">
        <f t="shared" ca="1" si="25"/>
        <v>N/A</v>
      </c>
      <c r="R25" s="125" t="str">
        <f t="shared" ca="1" si="25"/>
        <v>N/A</v>
      </c>
      <c r="S25" s="125" t="str">
        <f t="shared" ca="1" si="25"/>
        <v>N/A</v>
      </c>
      <c r="T25" s="125" t="str">
        <f t="shared" ca="1" si="25"/>
        <v>N/A</v>
      </c>
      <c r="U25" s="125" t="str">
        <f t="shared" ca="1" si="25"/>
        <v>N/A</v>
      </c>
      <c r="V25" s="125" t="str">
        <f t="shared" ca="1" si="25"/>
        <v>N/A</v>
      </c>
      <c r="W25" s="125" t="str">
        <f t="shared" ca="1" si="25"/>
        <v>N/A</v>
      </c>
      <c r="X25" s="125" t="str">
        <f t="shared" ca="1" si="25"/>
        <v>N/A</v>
      </c>
      <c r="Y25" s="77" t="str">
        <f t="shared" ca="1" si="15"/>
        <v>N/A</v>
      </c>
      <c r="Z25" s="77" t="str">
        <f t="shared" ca="1" si="16"/>
        <v>N/A</v>
      </c>
      <c r="AA25" s="125" t="e">
        <f t="shared" ca="1" si="17"/>
        <v>#VALUE!</v>
      </c>
      <c r="AB25" s="77" t="e">
        <f t="shared" ca="1" si="18"/>
        <v>#VALUE!</v>
      </c>
      <c r="AC25" s="77"/>
      <c r="AD25" s="184">
        <f t="shared" ca="1" si="22"/>
        <v>-1</v>
      </c>
      <c r="AE25" s="181" t="str">
        <f t="shared" si="9"/>
        <v>N/A</v>
      </c>
      <c r="AF25" s="190">
        <v>43100</v>
      </c>
      <c r="AG25" s="186" t="e">
        <f t="shared" si="10"/>
        <v>#VALUE!</v>
      </c>
      <c r="AH25" s="187" t="e">
        <f t="shared" si="19"/>
        <v>#VALUE!</v>
      </c>
      <c r="AI25" s="187" t="e">
        <f t="shared" ca="1" si="11"/>
        <v>#VALUE!</v>
      </c>
      <c r="AJ25" s="188" t="e">
        <f t="shared" ca="1" si="12"/>
        <v>#VALUE!</v>
      </c>
      <c r="AO25" t="b">
        <f t="shared" ca="1" si="13"/>
        <v>0</v>
      </c>
      <c r="AP25" t="b">
        <f t="shared" ca="1" si="13"/>
        <v>0</v>
      </c>
      <c r="AQ25" t="b">
        <f t="shared" ca="1" si="13"/>
        <v>0</v>
      </c>
      <c r="AR25" t="b">
        <f t="shared" ca="1" si="13"/>
        <v>0</v>
      </c>
      <c r="AS25" t="b">
        <f t="shared" ca="1" si="13"/>
        <v>0</v>
      </c>
      <c r="AT25" t="b">
        <f t="shared" ca="1" si="13"/>
        <v>0</v>
      </c>
      <c r="AU25" t="b">
        <f t="shared" ca="1" si="13"/>
        <v>0</v>
      </c>
      <c r="AV25" t="b">
        <f t="shared" ca="1" si="13"/>
        <v>0</v>
      </c>
      <c r="AW25" t="b">
        <f t="shared" ca="1" si="13"/>
        <v>0</v>
      </c>
      <c r="AX25" t="b">
        <f t="shared" ca="1" si="13"/>
        <v>0</v>
      </c>
      <c r="AY25" t="b">
        <f t="shared" ca="1" si="13"/>
        <v>0</v>
      </c>
      <c r="AZ25" t="b">
        <f t="shared" ca="1" si="13"/>
        <v>0</v>
      </c>
      <c r="BA25" t="b">
        <f t="shared" ca="1" si="13"/>
        <v>0</v>
      </c>
      <c r="BB25">
        <f t="shared" ca="1" si="20"/>
        <v>1</v>
      </c>
      <c r="BC25">
        <f t="shared" ca="1" si="21"/>
        <v>7</v>
      </c>
    </row>
    <row r="26" spans="1:55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25" t="str">
        <f t="shared" ca="1" si="14"/>
        <v>N/A</v>
      </c>
      <c r="G26" s="125" t="str">
        <f t="shared" si="4"/>
        <v>N/A</v>
      </c>
      <c r="H26" s="125" t="str">
        <f t="shared" si="5"/>
        <v>N/A</v>
      </c>
      <c r="I26" s="125"/>
      <c r="J26" s="125" t="str">
        <f t="shared" si="23"/>
        <v>N/A</v>
      </c>
      <c r="K26" s="125" t="str">
        <f t="shared" si="24"/>
        <v>N/A</v>
      </c>
      <c r="L26" s="125" t="str">
        <f t="shared" ca="1" si="7"/>
        <v>N/A</v>
      </c>
      <c r="M26" s="125" t="str">
        <f t="shared" ca="1" si="7"/>
        <v>N/A</v>
      </c>
      <c r="N26" s="125" t="str">
        <f t="shared" ca="1" si="7"/>
        <v>N/A</v>
      </c>
      <c r="O26" s="125" t="str">
        <f t="shared" ca="1" si="25"/>
        <v>N/A</v>
      </c>
      <c r="P26" s="125" t="str">
        <f t="shared" ca="1" si="25"/>
        <v>N/A</v>
      </c>
      <c r="Q26" s="125" t="str">
        <f t="shared" ca="1" si="25"/>
        <v>N/A</v>
      </c>
      <c r="R26" s="125" t="str">
        <f t="shared" ca="1" si="25"/>
        <v>N/A</v>
      </c>
      <c r="S26" s="125" t="str">
        <f t="shared" ca="1" si="25"/>
        <v>N/A</v>
      </c>
      <c r="T26" s="125" t="str">
        <f t="shared" ca="1" si="25"/>
        <v>N/A</v>
      </c>
      <c r="U26" s="125" t="str">
        <f t="shared" ca="1" si="25"/>
        <v>N/A</v>
      </c>
      <c r="V26" s="125" t="str">
        <f t="shared" ca="1" si="25"/>
        <v>N/A</v>
      </c>
      <c r="W26" s="125" t="str">
        <f t="shared" ca="1" si="25"/>
        <v>N/A</v>
      </c>
      <c r="X26" s="125" t="str">
        <f t="shared" ca="1" si="25"/>
        <v>N/A</v>
      </c>
      <c r="Y26" s="77" t="str">
        <f t="shared" ca="1" si="15"/>
        <v>N/A</v>
      </c>
      <c r="Z26" s="77" t="str">
        <f t="shared" ca="1" si="16"/>
        <v>N/A</v>
      </c>
      <c r="AA26" s="125" t="e">
        <f t="shared" ca="1" si="17"/>
        <v>#VALUE!</v>
      </c>
      <c r="AB26" s="77" t="e">
        <f t="shared" ca="1" si="18"/>
        <v>#VALUE!</v>
      </c>
      <c r="AC26" s="77"/>
      <c r="AD26" s="184">
        <f t="shared" ca="1" si="22"/>
        <v>-1</v>
      </c>
      <c r="AE26" s="181" t="str">
        <f t="shared" si="9"/>
        <v>N/A</v>
      </c>
      <c r="AF26" s="190">
        <v>43100</v>
      </c>
      <c r="AG26" s="186" t="e">
        <f t="shared" si="10"/>
        <v>#VALUE!</v>
      </c>
      <c r="AH26" s="187" t="e">
        <f t="shared" si="19"/>
        <v>#VALUE!</v>
      </c>
      <c r="AI26" s="187" t="e">
        <f t="shared" ca="1" si="11"/>
        <v>#VALUE!</v>
      </c>
      <c r="AJ26" s="188" t="e">
        <f t="shared" ca="1" si="12"/>
        <v>#VALUE!</v>
      </c>
      <c r="AO26" t="b">
        <f t="shared" ca="1" si="13"/>
        <v>0</v>
      </c>
      <c r="AP26" t="b">
        <f t="shared" ca="1" si="13"/>
        <v>0</v>
      </c>
      <c r="AQ26" t="b">
        <f t="shared" ca="1" si="13"/>
        <v>0</v>
      </c>
      <c r="AR26" t="b">
        <f t="shared" ca="1" si="13"/>
        <v>0</v>
      </c>
      <c r="AS26" t="b">
        <f t="shared" ca="1" si="13"/>
        <v>0</v>
      </c>
      <c r="AT26" t="b">
        <f t="shared" ca="1" si="13"/>
        <v>0</v>
      </c>
      <c r="AU26" t="b">
        <f t="shared" ca="1" si="13"/>
        <v>0</v>
      </c>
      <c r="AV26" t="b">
        <f t="shared" ca="1" si="13"/>
        <v>0</v>
      </c>
      <c r="AW26" t="b">
        <f t="shared" ca="1" si="13"/>
        <v>0</v>
      </c>
      <c r="AX26" t="b">
        <f t="shared" ca="1" si="13"/>
        <v>0</v>
      </c>
      <c r="AY26" t="b">
        <f t="shared" ca="1" si="13"/>
        <v>0</v>
      </c>
      <c r="AZ26" t="b">
        <f t="shared" ca="1" si="13"/>
        <v>0</v>
      </c>
      <c r="BA26" t="b">
        <f t="shared" ca="1" si="13"/>
        <v>0</v>
      </c>
      <c r="BB26">
        <f t="shared" ca="1" si="20"/>
        <v>1</v>
      </c>
      <c r="BC26">
        <f t="shared" ca="1" si="21"/>
        <v>7</v>
      </c>
    </row>
    <row r="27" spans="1:55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25" t="str">
        <f t="shared" ca="1" si="14"/>
        <v>N/A</v>
      </c>
      <c r="G27" s="125" t="str">
        <f t="shared" si="4"/>
        <v>N/A</v>
      </c>
      <c r="H27" s="125" t="str">
        <f t="shared" si="5"/>
        <v>N/A</v>
      </c>
      <c r="I27" s="125"/>
      <c r="J27" s="125" t="str">
        <f t="shared" si="23"/>
        <v>N/A</v>
      </c>
      <c r="K27" s="125" t="str">
        <f t="shared" si="24"/>
        <v>N/A</v>
      </c>
      <c r="L27" s="125" t="str">
        <f t="shared" ca="1" si="7"/>
        <v>N/A</v>
      </c>
      <c r="M27" s="125" t="str">
        <f t="shared" ca="1" si="7"/>
        <v>N/A</v>
      </c>
      <c r="N27" s="125" t="str">
        <f t="shared" ca="1" si="7"/>
        <v>N/A</v>
      </c>
      <c r="O27" s="125" t="str">
        <f t="shared" ca="1" si="25"/>
        <v>N/A</v>
      </c>
      <c r="P27" s="125" t="str">
        <f t="shared" ca="1" si="25"/>
        <v>N/A</v>
      </c>
      <c r="Q27" s="125" t="str">
        <f t="shared" ca="1" si="25"/>
        <v>N/A</v>
      </c>
      <c r="R27" s="125" t="str">
        <f t="shared" ca="1" si="25"/>
        <v>N/A</v>
      </c>
      <c r="S27" s="125" t="str">
        <f t="shared" ca="1" si="25"/>
        <v>N/A</v>
      </c>
      <c r="T27" s="125" t="str">
        <f t="shared" ca="1" si="25"/>
        <v>N/A</v>
      </c>
      <c r="U27" s="125" t="str">
        <f t="shared" ca="1" si="25"/>
        <v>N/A</v>
      </c>
      <c r="V27" s="125" t="str">
        <f t="shared" ca="1" si="25"/>
        <v>N/A</v>
      </c>
      <c r="W27" s="125" t="str">
        <f t="shared" ca="1" si="25"/>
        <v>N/A</v>
      </c>
      <c r="X27" s="125" t="str">
        <f t="shared" ca="1" si="25"/>
        <v>N/A</v>
      </c>
      <c r="Y27" s="77" t="str">
        <f t="shared" ca="1" si="15"/>
        <v>N/A</v>
      </c>
      <c r="Z27" s="77" t="str">
        <f t="shared" ca="1" si="16"/>
        <v>N/A</v>
      </c>
      <c r="AA27" s="125" t="e">
        <f t="shared" ca="1" si="17"/>
        <v>#VALUE!</v>
      </c>
      <c r="AB27" s="77" t="e">
        <f t="shared" ca="1" si="18"/>
        <v>#VALUE!</v>
      </c>
      <c r="AC27" s="77"/>
      <c r="AD27" s="184">
        <f t="shared" ca="1" si="22"/>
        <v>-1</v>
      </c>
      <c r="AE27" s="181" t="str">
        <f t="shared" si="9"/>
        <v>N/A</v>
      </c>
      <c r="AF27" s="190">
        <v>43100</v>
      </c>
      <c r="AG27" s="186" t="e">
        <f t="shared" si="10"/>
        <v>#VALUE!</v>
      </c>
      <c r="AH27" s="187" t="e">
        <f t="shared" si="19"/>
        <v>#VALUE!</v>
      </c>
      <c r="AI27" s="187" t="e">
        <f t="shared" ca="1" si="11"/>
        <v>#VALUE!</v>
      </c>
      <c r="AJ27" s="188" t="e">
        <f t="shared" ca="1" si="12"/>
        <v>#VALUE!</v>
      </c>
      <c r="AO27" t="b">
        <f t="shared" ca="1" si="13"/>
        <v>0</v>
      </c>
      <c r="AP27" t="b">
        <f t="shared" ca="1" si="13"/>
        <v>0</v>
      </c>
      <c r="AQ27" t="b">
        <f t="shared" ca="1" si="13"/>
        <v>0</v>
      </c>
      <c r="AR27" t="b">
        <f t="shared" ca="1" si="13"/>
        <v>0</v>
      </c>
      <c r="AS27" t="b">
        <f t="shared" ca="1" si="13"/>
        <v>0</v>
      </c>
      <c r="AT27" t="b">
        <f t="shared" ca="1" si="13"/>
        <v>0</v>
      </c>
      <c r="AU27" t="b">
        <f t="shared" ca="1" si="13"/>
        <v>0</v>
      </c>
      <c r="AV27" t="b">
        <f t="shared" ca="1" si="13"/>
        <v>0</v>
      </c>
      <c r="AW27" t="b">
        <f t="shared" ca="1" si="13"/>
        <v>0</v>
      </c>
      <c r="AX27" t="b">
        <f t="shared" ca="1" si="13"/>
        <v>0</v>
      </c>
      <c r="AY27" t="b">
        <f t="shared" ca="1" si="13"/>
        <v>0</v>
      </c>
      <c r="AZ27" t="b">
        <f t="shared" ca="1" si="13"/>
        <v>0</v>
      </c>
      <c r="BA27" t="b">
        <f t="shared" ca="1" si="13"/>
        <v>0</v>
      </c>
      <c r="BB27">
        <f t="shared" ca="1" si="20"/>
        <v>1</v>
      </c>
      <c r="BC27">
        <f t="shared" ca="1" si="21"/>
        <v>7</v>
      </c>
    </row>
    <row r="28" spans="1:55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25" t="str">
        <f t="shared" ca="1" si="14"/>
        <v>N/A</v>
      </c>
      <c r="G28" s="125" t="str">
        <f t="shared" si="4"/>
        <v>N/A</v>
      </c>
      <c r="H28" s="125" t="str">
        <f t="shared" si="5"/>
        <v>N/A</v>
      </c>
      <c r="I28" s="125"/>
      <c r="J28" s="125" t="str">
        <f t="shared" si="23"/>
        <v>N/A</v>
      </c>
      <c r="K28" s="125" t="str">
        <f t="shared" si="24"/>
        <v>N/A</v>
      </c>
      <c r="L28" s="125" t="str">
        <f t="shared" ca="1" si="7"/>
        <v>N/A</v>
      </c>
      <c r="M28" s="125" t="str">
        <f t="shared" ca="1" si="7"/>
        <v>N/A</v>
      </c>
      <c r="N28" s="125" t="str">
        <f t="shared" ca="1" si="7"/>
        <v>N/A</v>
      </c>
      <c r="O28" s="125" t="str">
        <f t="shared" ca="1" si="25"/>
        <v>N/A</v>
      </c>
      <c r="P28" s="125" t="str">
        <f t="shared" ca="1" si="25"/>
        <v>N/A</v>
      </c>
      <c r="Q28" s="125" t="str">
        <f t="shared" ca="1" si="25"/>
        <v>N/A</v>
      </c>
      <c r="R28" s="125" t="str">
        <f t="shared" ca="1" si="25"/>
        <v>N/A</v>
      </c>
      <c r="S28" s="125" t="str">
        <f t="shared" ca="1" si="25"/>
        <v>N/A</v>
      </c>
      <c r="T28" s="125" t="str">
        <f t="shared" ca="1" si="25"/>
        <v>N/A</v>
      </c>
      <c r="U28" s="125" t="str">
        <f t="shared" ca="1" si="25"/>
        <v>N/A</v>
      </c>
      <c r="V28" s="125" t="str">
        <f t="shared" ca="1" si="25"/>
        <v>N/A</v>
      </c>
      <c r="W28" s="125" t="str">
        <f t="shared" ca="1" si="25"/>
        <v>N/A</v>
      </c>
      <c r="X28" s="125" t="str">
        <f t="shared" ca="1" si="25"/>
        <v>N/A</v>
      </c>
      <c r="Y28" s="77" t="str">
        <f t="shared" ca="1" si="15"/>
        <v>N/A</v>
      </c>
      <c r="Z28" s="77" t="str">
        <f t="shared" ca="1" si="16"/>
        <v>N/A</v>
      </c>
      <c r="AA28" s="125" t="e">
        <f t="shared" ca="1" si="17"/>
        <v>#VALUE!</v>
      </c>
      <c r="AB28" s="77" t="e">
        <f t="shared" ca="1" si="18"/>
        <v>#VALUE!</v>
      </c>
      <c r="AC28" s="77"/>
      <c r="AD28" s="184">
        <f t="shared" ca="1" si="22"/>
        <v>-1</v>
      </c>
      <c r="AE28" s="181" t="str">
        <f t="shared" si="9"/>
        <v>N/A</v>
      </c>
      <c r="AF28" s="190">
        <v>43100</v>
      </c>
      <c r="AG28" s="186" t="e">
        <f t="shared" si="10"/>
        <v>#VALUE!</v>
      </c>
      <c r="AH28" s="187" t="e">
        <f t="shared" si="19"/>
        <v>#VALUE!</v>
      </c>
      <c r="AI28" s="187" t="e">
        <f t="shared" ca="1" si="11"/>
        <v>#VALUE!</v>
      </c>
      <c r="AJ28" s="188" t="e">
        <f t="shared" ca="1" si="12"/>
        <v>#VALUE!</v>
      </c>
      <c r="AO28" t="b">
        <f t="shared" ca="1" si="13"/>
        <v>0</v>
      </c>
      <c r="AP28" t="b">
        <f t="shared" ca="1" si="13"/>
        <v>0</v>
      </c>
      <c r="AQ28" t="b">
        <f t="shared" ca="1" si="13"/>
        <v>0</v>
      </c>
      <c r="AR28" t="b">
        <f t="shared" ca="1" si="13"/>
        <v>0</v>
      </c>
      <c r="AS28" t="b">
        <f t="shared" ca="1" si="13"/>
        <v>0</v>
      </c>
      <c r="AT28" t="b">
        <f t="shared" ca="1" si="13"/>
        <v>0</v>
      </c>
      <c r="AU28" t="b">
        <f t="shared" ca="1" si="13"/>
        <v>0</v>
      </c>
      <c r="AV28" t="b">
        <f t="shared" ca="1" si="13"/>
        <v>0</v>
      </c>
      <c r="AW28" t="b">
        <f t="shared" ca="1" si="13"/>
        <v>0</v>
      </c>
      <c r="AX28" t="b">
        <f t="shared" ca="1" si="13"/>
        <v>0</v>
      </c>
      <c r="AY28" t="b">
        <f t="shared" ca="1" si="13"/>
        <v>0</v>
      </c>
      <c r="AZ28" t="b">
        <f t="shared" ca="1" si="13"/>
        <v>0</v>
      </c>
      <c r="BA28" t="b">
        <f t="shared" ca="1" si="13"/>
        <v>0</v>
      </c>
      <c r="BB28">
        <f t="shared" ca="1" si="20"/>
        <v>1</v>
      </c>
      <c r="BC28">
        <f t="shared" ca="1" si="21"/>
        <v>7</v>
      </c>
    </row>
    <row r="29" spans="1:55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25" t="str">
        <f t="shared" ca="1" si="14"/>
        <v>N/A</v>
      </c>
      <c r="G29" s="125" t="str">
        <f t="shared" si="4"/>
        <v>N/A</v>
      </c>
      <c r="H29" s="125" t="str">
        <f t="shared" si="5"/>
        <v>N/A</v>
      </c>
      <c r="I29" s="125"/>
      <c r="J29" s="125" t="str">
        <f t="shared" si="23"/>
        <v>N/A</v>
      </c>
      <c r="K29" s="125" t="str">
        <f t="shared" si="24"/>
        <v>N/A</v>
      </c>
      <c r="L29" s="125" t="str">
        <f t="shared" ref="L29:N57" ca="1" si="26">IFERROR(IF(INDEX(Earnings,$B29,L$12)=0,"N/A",INDEX(Earnings,$B29,L$12)),"N/A")</f>
        <v>N/A</v>
      </c>
      <c r="M29" s="125" t="str">
        <f t="shared" ca="1" si="26"/>
        <v>N/A</v>
      </c>
      <c r="N29" s="125" t="str">
        <f t="shared" ca="1" si="26"/>
        <v>N/A</v>
      </c>
      <c r="O29" s="125" t="str">
        <f t="shared" ca="1" si="25"/>
        <v>N/A</v>
      </c>
      <c r="P29" s="125" t="str">
        <f t="shared" ca="1" si="25"/>
        <v>N/A</v>
      </c>
      <c r="Q29" s="125" t="str">
        <f t="shared" ca="1" si="25"/>
        <v>N/A</v>
      </c>
      <c r="R29" s="125" t="str">
        <f t="shared" ca="1" si="25"/>
        <v>N/A</v>
      </c>
      <c r="S29" s="125" t="str">
        <f t="shared" ca="1" si="25"/>
        <v>N/A</v>
      </c>
      <c r="T29" s="125" t="str">
        <f t="shared" ca="1" si="25"/>
        <v>N/A</v>
      </c>
      <c r="U29" s="125" t="str">
        <f t="shared" ca="1" si="25"/>
        <v>N/A</v>
      </c>
      <c r="V29" s="125" t="str">
        <f t="shared" ca="1" si="25"/>
        <v>N/A</v>
      </c>
      <c r="W29" s="125" t="str">
        <f t="shared" ca="1" si="25"/>
        <v>N/A</v>
      </c>
      <c r="X29" s="125" t="str">
        <f t="shared" ca="1" si="25"/>
        <v>N/A</v>
      </c>
      <c r="Y29" s="77" t="str">
        <f t="shared" ca="1" si="15"/>
        <v>N/A</v>
      </c>
      <c r="Z29" s="77" t="str">
        <f t="shared" ca="1" si="16"/>
        <v>N/A</v>
      </c>
      <c r="AA29" s="125" t="e">
        <f t="shared" ca="1" si="17"/>
        <v>#VALUE!</v>
      </c>
      <c r="AB29" s="77" t="e">
        <f t="shared" ca="1" si="18"/>
        <v>#VALUE!</v>
      </c>
      <c r="AC29" s="77"/>
      <c r="AD29" s="184">
        <f t="shared" ca="1" si="22"/>
        <v>-1</v>
      </c>
      <c r="AE29" s="181" t="str">
        <f t="shared" si="9"/>
        <v>N/A</v>
      </c>
      <c r="AF29" s="190">
        <v>43100</v>
      </c>
      <c r="AG29" s="186" t="e">
        <f t="shared" si="10"/>
        <v>#VALUE!</v>
      </c>
      <c r="AH29" s="187" t="e">
        <f t="shared" si="19"/>
        <v>#VALUE!</v>
      </c>
      <c r="AI29" s="187" t="e">
        <f t="shared" ca="1" si="11"/>
        <v>#VALUE!</v>
      </c>
      <c r="AJ29" s="188" t="e">
        <f t="shared" ca="1" si="12"/>
        <v>#VALUE!</v>
      </c>
      <c r="AO29" t="b">
        <f t="shared" ca="1" si="13"/>
        <v>0</v>
      </c>
      <c r="AP29" t="b">
        <f t="shared" ca="1" si="13"/>
        <v>0</v>
      </c>
      <c r="AQ29" t="b">
        <f t="shared" ca="1" si="13"/>
        <v>0</v>
      </c>
      <c r="AR29" t="b">
        <f t="shared" ca="1" si="13"/>
        <v>0</v>
      </c>
      <c r="AS29" t="b">
        <f t="shared" ca="1" si="13"/>
        <v>0</v>
      </c>
      <c r="AT29" t="b">
        <f t="shared" ca="1" si="13"/>
        <v>0</v>
      </c>
      <c r="AU29" t="b">
        <f t="shared" ca="1" si="13"/>
        <v>0</v>
      </c>
      <c r="AV29" t="b">
        <f t="shared" ca="1" si="13"/>
        <v>0</v>
      </c>
      <c r="AW29" t="b">
        <f t="shared" ca="1" si="13"/>
        <v>0</v>
      </c>
      <c r="AX29" t="b">
        <f t="shared" ca="1" si="13"/>
        <v>0</v>
      </c>
      <c r="AY29" t="b">
        <f t="shared" ca="1" si="13"/>
        <v>0</v>
      </c>
      <c r="AZ29" t="b">
        <f t="shared" ca="1" si="13"/>
        <v>0</v>
      </c>
      <c r="BA29" t="b">
        <f t="shared" ca="1" si="13"/>
        <v>0</v>
      </c>
      <c r="BB29">
        <f t="shared" ca="1" si="20"/>
        <v>1</v>
      </c>
      <c r="BC29">
        <f t="shared" ca="1" si="21"/>
        <v>7</v>
      </c>
    </row>
    <row r="30" spans="1:55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25" t="str">
        <f t="shared" ca="1" si="14"/>
        <v>N/A</v>
      </c>
      <c r="G30" s="125" t="str">
        <f t="shared" si="4"/>
        <v>N/A</v>
      </c>
      <c r="H30" s="125" t="str">
        <f t="shared" si="5"/>
        <v>N/A</v>
      </c>
      <c r="I30" s="125"/>
      <c r="J30" s="125" t="str">
        <f t="shared" si="23"/>
        <v>N/A</v>
      </c>
      <c r="K30" s="125" t="str">
        <f t="shared" si="24"/>
        <v>N/A</v>
      </c>
      <c r="L30" s="125" t="str">
        <f t="shared" ca="1" si="26"/>
        <v>N/A</v>
      </c>
      <c r="M30" s="125" t="str">
        <f t="shared" ca="1" si="26"/>
        <v>N/A</v>
      </c>
      <c r="N30" s="125" t="str">
        <f t="shared" ca="1" si="26"/>
        <v>N/A</v>
      </c>
      <c r="O30" s="125" t="str">
        <f t="shared" ca="1" si="25"/>
        <v>N/A</v>
      </c>
      <c r="P30" s="125" t="str">
        <f t="shared" ca="1" si="25"/>
        <v>N/A</v>
      </c>
      <c r="Q30" s="125" t="str">
        <f t="shared" ca="1" si="25"/>
        <v>N/A</v>
      </c>
      <c r="R30" s="125" t="str">
        <f t="shared" ca="1" si="25"/>
        <v>N/A</v>
      </c>
      <c r="S30" s="125" t="str">
        <f t="shared" ca="1" si="25"/>
        <v>N/A</v>
      </c>
      <c r="T30" s="125" t="str">
        <f t="shared" ca="1" si="25"/>
        <v>N/A</v>
      </c>
      <c r="U30" s="125" t="str">
        <f t="shared" ca="1" si="25"/>
        <v>N/A</v>
      </c>
      <c r="V30" s="125" t="str">
        <f t="shared" ca="1" si="25"/>
        <v>N/A</v>
      </c>
      <c r="W30" s="125" t="str">
        <f t="shared" ca="1" si="25"/>
        <v>N/A</v>
      </c>
      <c r="X30" s="125" t="str">
        <f t="shared" ca="1" si="25"/>
        <v>N/A</v>
      </c>
      <c r="Y30" s="77" t="str">
        <f t="shared" ca="1" si="15"/>
        <v>N/A</v>
      </c>
      <c r="Z30" s="77" t="str">
        <f t="shared" ca="1" si="16"/>
        <v>N/A</v>
      </c>
      <c r="AA30" s="125" t="e">
        <f t="shared" ca="1" si="17"/>
        <v>#VALUE!</v>
      </c>
      <c r="AB30" s="77" t="e">
        <f t="shared" ca="1" si="18"/>
        <v>#VALUE!</v>
      </c>
      <c r="AC30" s="77"/>
      <c r="AD30" s="184">
        <f t="shared" ca="1" si="22"/>
        <v>-1</v>
      </c>
      <c r="AE30" s="181" t="str">
        <f t="shared" si="9"/>
        <v>N/A</v>
      </c>
      <c r="AF30" s="190">
        <v>43100</v>
      </c>
      <c r="AG30" s="186" t="e">
        <f t="shared" si="10"/>
        <v>#VALUE!</v>
      </c>
      <c r="AH30" s="187" t="e">
        <f t="shared" si="19"/>
        <v>#VALUE!</v>
      </c>
      <c r="AI30" s="187" t="e">
        <f t="shared" ca="1" si="11"/>
        <v>#VALUE!</v>
      </c>
      <c r="AJ30" s="188" t="e">
        <f t="shared" ca="1" si="12"/>
        <v>#VALUE!</v>
      </c>
      <c r="AO30" t="b">
        <f t="shared" ca="1" si="13"/>
        <v>0</v>
      </c>
      <c r="AP30" t="b">
        <f t="shared" ca="1" si="13"/>
        <v>0</v>
      </c>
      <c r="AQ30" t="b">
        <f t="shared" ca="1" si="13"/>
        <v>0</v>
      </c>
      <c r="AR30" t="b">
        <f t="shared" ca="1" si="13"/>
        <v>0</v>
      </c>
      <c r="AS30" t="b">
        <f t="shared" ca="1" si="13"/>
        <v>0</v>
      </c>
      <c r="AT30" t="b">
        <f t="shared" ca="1" si="13"/>
        <v>0</v>
      </c>
      <c r="AU30" t="b">
        <f t="shared" ca="1" si="13"/>
        <v>0</v>
      </c>
      <c r="AV30" t="b">
        <f t="shared" ca="1" si="13"/>
        <v>0</v>
      </c>
      <c r="AW30" t="b">
        <f t="shared" ca="1" si="13"/>
        <v>0</v>
      </c>
      <c r="AX30" t="b">
        <f t="shared" ca="1" si="13"/>
        <v>0</v>
      </c>
      <c r="AY30" t="b">
        <f t="shared" ca="1" si="13"/>
        <v>0</v>
      </c>
      <c r="AZ30" t="b">
        <f t="shared" ca="1" si="13"/>
        <v>0</v>
      </c>
      <c r="BA30" t="b">
        <f t="shared" ca="1" si="13"/>
        <v>0</v>
      </c>
      <c r="BB30">
        <f t="shared" ca="1" si="20"/>
        <v>1</v>
      </c>
      <c r="BC30">
        <f t="shared" ca="1" si="21"/>
        <v>7</v>
      </c>
    </row>
    <row r="31" spans="1:55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25" t="str">
        <f t="shared" ca="1" si="14"/>
        <v>N/A</v>
      </c>
      <c r="G31" s="125" t="str">
        <f t="shared" si="4"/>
        <v>N/A</v>
      </c>
      <c r="H31" s="125" t="str">
        <f t="shared" si="5"/>
        <v>N/A</v>
      </c>
      <c r="I31" s="125"/>
      <c r="J31" s="125" t="str">
        <f t="shared" si="23"/>
        <v>N/A</v>
      </c>
      <c r="K31" s="125" t="str">
        <f t="shared" si="24"/>
        <v>N/A</v>
      </c>
      <c r="L31" s="125" t="str">
        <f t="shared" ca="1" si="26"/>
        <v>N/A</v>
      </c>
      <c r="M31" s="125" t="str">
        <f t="shared" ca="1" si="26"/>
        <v>N/A</v>
      </c>
      <c r="N31" s="125" t="str">
        <f t="shared" ca="1" si="26"/>
        <v>N/A</v>
      </c>
      <c r="O31" s="125" t="str">
        <f t="shared" ca="1" si="25"/>
        <v>N/A</v>
      </c>
      <c r="P31" s="125" t="str">
        <f t="shared" ca="1" si="25"/>
        <v>N/A</v>
      </c>
      <c r="Q31" s="125" t="str">
        <f t="shared" ca="1" si="25"/>
        <v>N/A</v>
      </c>
      <c r="R31" s="125" t="str">
        <f t="shared" ca="1" si="25"/>
        <v>N/A</v>
      </c>
      <c r="S31" s="125" t="str">
        <f t="shared" ca="1" si="25"/>
        <v>N/A</v>
      </c>
      <c r="T31" s="125" t="str">
        <f t="shared" ca="1" si="25"/>
        <v>N/A</v>
      </c>
      <c r="U31" s="125" t="str">
        <f t="shared" ca="1" si="25"/>
        <v>N/A</v>
      </c>
      <c r="V31" s="125" t="str">
        <f t="shared" ca="1" si="25"/>
        <v>N/A</v>
      </c>
      <c r="W31" s="125" t="str">
        <f t="shared" ca="1" si="25"/>
        <v>N/A</v>
      </c>
      <c r="X31" s="125" t="str">
        <f t="shared" ca="1" si="25"/>
        <v>N/A</v>
      </c>
      <c r="Y31" s="77" t="str">
        <f t="shared" ca="1" si="15"/>
        <v>N/A</v>
      </c>
      <c r="Z31" s="77" t="str">
        <f t="shared" ca="1" si="16"/>
        <v>N/A</v>
      </c>
      <c r="AA31" s="125" t="e">
        <f t="shared" ca="1" si="17"/>
        <v>#VALUE!</v>
      </c>
      <c r="AB31" s="77" t="e">
        <f t="shared" ca="1" si="18"/>
        <v>#VALUE!</v>
      </c>
      <c r="AC31" s="77"/>
      <c r="AD31" s="184">
        <f t="shared" ca="1" si="22"/>
        <v>-1</v>
      </c>
      <c r="AE31" s="181" t="str">
        <f t="shared" si="9"/>
        <v>N/A</v>
      </c>
      <c r="AF31" s="190">
        <v>43100</v>
      </c>
      <c r="AG31" s="186" t="e">
        <f t="shared" si="10"/>
        <v>#VALUE!</v>
      </c>
      <c r="AH31" s="187" t="e">
        <f t="shared" si="19"/>
        <v>#VALUE!</v>
      </c>
      <c r="AI31" s="187" t="e">
        <f t="shared" ca="1" si="11"/>
        <v>#VALUE!</v>
      </c>
      <c r="AJ31" s="188" t="e">
        <f t="shared" ca="1" si="12"/>
        <v>#VALUE!</v>
      </c>
      <c r="AO31" t="b">
        <f t="shared" ca="1" si="13"/>
        <v>0</v>
      </c>
      <c r="AP31" t="b">
        <f t="shared" ca="1" si="13"/>
        <v>0</v>
      </c>
      <c r="AQ31" t="b">
        <f t="shared" ca="1" si="13"/>
        <v>0</v>
      </c>
      <c r="AR31" t="b">
        <f t="shared" ca="1" si="13"/>
        <v>0</v>
      </c>
      <c r="AS31" t="b">
        <f t="shared" ca="1" si="13"/>
        <v>0</v>
      </c>
      <c r="AT31" t="b">
        <f t="shared" ca="1" si="13"/>
        <v>0</v>
      </c>
      <c r="AU31" t="b">
        <f t="shared" ca="1" si="13"/>
        <v>0</v>
      </c>
      <c r="AV31" t="b">
        <f t="shared" ca="1" si="13"/>
        <v>0</v>
      </c>
      <c r="AW31" t="b">
        <f t="shared" ca="1" si="13"/>
        <v>0</v>
      </c>
      <c r="AX31" t="b">
        <f t="shared" ca="1" si="13"/>
        <v>0</v>
      </c>
      <c r="AY31" t="b">
        <f t="shared" ca="1" si="13"/>
        <v>0</v>
      </c>
      <c r="AZ31" t="b">
        <f t="shared" ca="1" si="13"/>
        <v>0</v>
      </c>
      <c r="BA31" t="b">
        <f t="shared" ca="1" si="13"/>
        <v>0</v>
      </c>
      <c r="BB31">
        <f t="shared" ca="1" si="20"/>
        <v>1</v>
      </c>
      <c r="BC31">
        <f t="shared" ca="1" si="21"/>
        <v>7</v>
      </c>
    </row>
    <row r="32" spans="1:55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25" t="str">
        <f t="shared" ca="1" si="14"/>
        <v>N/A</v>
      </c>
      <c r="G32" s="125" t="str">
        <f t="shared" si="4"/>
        <v>N/A</v>
      </c>
      <c r="H32" s="125" t="str">
        <f t="shared" si="5"/>
        <v>N/A</v>
      </c>
      <c r="I32" s="125"/>
      <c r="J32" s="125" t="str">
        <f t="shared" si="23"/>
        <v>N/A</v>
      </c>
      <c r="K32" s="125" t="str">
        <f t="shared" si="24"/>
        <v>N/A</v>
      </c>
      <c r="L32" s="125" t="str">
        <f t="shared" ca="1" si="26"/>
        <v>N/A</v>
      </c>
      <c r="M32" s="125" t="str">
        <f t="shared" ca="1" si="26"/>
        <v>N/A</v>
      </c>
      <c r="N32" s="125" t="str">
        <f t="shared" ca="1" si="26"/>
        <v>N/A</v>
      </c>
      <c r="O32" s="125" t="str">
        <f t="shared" ca="1" si="25"/>
        <v>N/A</v>
      </c>
      <c r="P32" s="125" t="str">
        <f t="shared" ca="1" si="25"/>
        <v>N/A</v>
      </c>
      <c r="Q32" s="125" t="str">
        <f t="shared" ca="1" si="25"/>
        <v>N/A</v>
      </c>
      <c r="R32" s="125" t="str">
        <f t="shared" ca="1" si="25"/>
        <v>N/A</v>
      </c>
      <c r="S32" s="125" t="str">
        <f t="shared" ca="1" si="25"/>
        <v>N/A</v>
      </c>
      <c r="T32" s="125" t="str">
        <f t="shared" ca="1" si="25"/>
        <v>N/A</v>
      </c>
      <c r="U32" s="125" t="str">
        <f t="shared" ca="1" si="25"/>
        <v>N/A</v>
      </c>
      <c r="V32" s="125" t="str">
        <f t="shared" ca="1" si="25"/>
        <v>N/A</v>
      </c>
      <c r="W32" s="125" t="str">
        <f t="shared" ca="1" si="25"/>
        <v>N/A</v>
      </c>
      <c r="X32" s="125" t="str">
        <f t="shared" ca="1" si="25"/>
        <v>N/A</v>
      </c>
      <c r="Y32" s="77" t="str">
        <f t="shared" ca="1" si="15"/>
        <v>N/A</v>
      </c>
      <c r="Z32" s="77" t="str">
        <f t="shared" ca="1" si="16"/>
        <v>N/A</v>
      </c>
      <c r="AA32" s="125" t="e">
        <f t="shared" ca="1" si="17"/>
        <v>#VALUE!</v>
      </c>
      <c r="AB32" s="77" t="e">
        <f t="shared" ca="1" si="18"/>
        <v>#VALUE!</v>
      </c>
      <c r="AC32" s="77"/>
      <c r="AD32" s="184">
        <f t="shared" ca="1" si="22"/>
        <v>-1</v>
      </c>
      <c r="AE32" s="181" t="str">
        <f t="shared" si="9"/>
        <v>N/A</v>
      </c>
      <c r="AF32" s="190">
        <v>43100</v>
      </c>
      <c r="AG32" s="186" t="e">
        <f t="shared" si="10"/>
        <v>#VALUE!</v>
      </c>
      <c r="AH32" s="187" t="e">
        <f t="shared" si="19"/>
        <v>#VALUE!</v>
      </c>
      <c r="AI32" s="187" t="e">
        <f t="shared" ca="1" si="11"/>
        <v>#VALUE!</v>
      </c>
      <c r="AJ32" s="188" t="e">
        <f t="shared" ca="1" si="12"/>
        <v>#VALUE!</v>
      </c>
      <c r="AO32" t="b">
        <f t="shared" ca="1" si="13"/>
        <v>0</v>
      </c>
      <c r="AP32" t="b">
        <f t="shared" ca="1" si="13"/>
        <v>0</v>
      </c>
      <c r="AQ32" t="b">
        <f t="shared" ca="1" si="13"/>
        <v>0</v>
      </c>
      <c r="AR32" t="b">
        <f t="shared" ca="1" si="13"/>
        <v>0</v>
      </c>
      <c r="AS32" t="b">
        <f t="shared" ca="1" si="13"/>
        <v>0</v>
      </c>
      <c r="AT32" t="b">
        <f t="shared" ca="1" si="13"/>
        <v>0</v>
      </c>
      <c r="AU32" t="b">
        <f t="shared" ca="1" si="13"/>
        <v>0</v>
      </c>
      <c r="AV32" t="b">
        <f t="shared" ca="1" si="13"/>
        <v>0</v>
      </c>
      <c r="AW32" t="b">
        <f t="shared" ref="AW32:BA53" ca="1" si="27">ISNUMBER(T32)</f>
        <v>0</v>
      </c>
      <c r="AX32" t="b">
        <f t="shared" ca="1" si="27"/>
        <v>0</v>
      </c>
      <c r="AY32" t="b">
        <f t="shared" ca="1" si="27"/>
        <v>0</v>
      </c>
      <c r="AZ32" t="b">
        <f t="shared" ca="1" si="27"/>
        <v>0</v>
      </c>
      <c r="BA32" t="b">
        <f t="shared" ca="1" si="27"/>
        <v>0</v>
      </c>
      <c r="BB32">
        <f t="shared" ca="1" si="20"/>
        <v>1</v>
      </c>
      <c r="BC32">
        <f t="shared" ca="1" si="21"/>
        <v>7</v>
      </c>
    </row>
    <row r="33" spans="1:55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25" t="str">
        <f t="shared" ca="1" si="14"/>
        <v>N/A</v>
      </c>
      <c r="G33" s="125" t="str">
        <f t="shared" si="4"/>
        <v>N/A</v>
      </c>
      <c r="H33" s="125" t="str">
        <f t="shared" si="5"/>
        <v>N/A</v>
      </c>
      <c r="I33" s="125"/>
      <c r="J33" s="125" t="str">
        <f t="shared" si="23"/>
        <v>N/A</v>
      </c>
      <c r="K33" s="125" t="str">
        <f t="shared" si="24"/>
        <v>N/A</v>
      </c>
      <c r="L33" s="125" t="str">
        <f t="shared" ca="1" si="26"/>
        <v>N/A</v>
      </c>
      <c r="M33" s="125" t="str">
        <f t="shared" ca="1" si="26"/>
        <v>N/A</v>
      </c>
      <c r="N33" s="125" t="str">
        <f t="shared" ca="1" si="26"/>
        <v>N/A</v>
      </c>
      <c r="O33" s="125" t="str">
        <f t="shared" ref="O33:X42" ca="1" si="28">IFERROR(IF(INDEX(Earnings,$B33,O$12)=0,"N/A",INDEX(Earnings,$B33,O$12)),"N/A")</f>
        <v>N/A</v>
      </c>
      <c r="P33" s="125" t="str">
        <f t="shared" ca="1" si="28"/>
        <v>N/A</v>
      </c>
      <c r="Q33" s="125" t="str">
        <f t="shared" ca="1" si="28"/>
        <v>N/A</v>
      </c>
      <c r="R33" s="125" t="str">
        <f t="shared" ca="1" si="28"/>
        <v>N/A</v>
      </c>
      <c r="S33" s="125" t="str">
        <f t="shared" ca="1" si="28"/>
        <v>N/A</v>
      </c>
      <c r="T33" s="125" t="str">
        <f t="shared" ca="1" si="28"/>
        <v>N/A</v>
      </c>
      <c r="U33" s="125" t="str">
        <f t="shared" ca="1" si="28"/>
        <v>N/A</v>
      </c>
      <c r="V33" s="125" t="str">
        <f t="shared" ca="1" si="28"/>
        <v>N/A</v>
      </c>
      <c r="W33" s="125" t="str">
        <f t="shared" ca="1" si="28"/>
        <v>N/A</v>
      </c>
      <c r="X33" s="125" t="str">
        <f t="shared" ca="1" si="28"/>
        <v>N/A</v>
      </c>
      <c r="Y33" s="77" t="str">
        <f t="shared" ca="1" si="15"/>
        <v>N/A</v>
      </c>
      <c r="Z33" s="77" t="str">
        <f t="shared" ca="1" si="16"/>
        <v>N/A</v>
      </c>
      <c r="AA33" s="125" t="e">
        <f ca="1">(M33/X33)^(1/10)-1</f>
        <v>#VALUE!</v>
      </c>
      <c r="AB33" s="77" t="e">
        <f t="shared" ca="1" si="18"/>
        <v>#VALUE!</v>
      </c>
      <c r="AC33" s="77"/>
      <c r="AD33" s="184">
        <v>10</v>
      </c>
      <c r="AE33" s="181" t="str">
        <f t="shared" si="9"/>
        <v>N/A</v>
      </c>
      <c r="AF33" s="190">
        <v>43100</v>
      </c>
      <c r="AG33" s="186" t="e">
        <f t="shared" si="10"/>
        <v>#VALUE!</v>
      </c>
      <c r="AH33" s="187" t="e">
        <f t="shared" si="19"/>
        <v>#VALUE!</v>
      </c>
      <c r="AI33" s="187" t="e">
        <f t="shared" si="11"/>
        <v>#VALUE!</v>
      </c>
      <c r="AJ33" s="188" t="e">
        <f t="shared" ca="1" si="12"/>
        <v>#VALUE!</v>
      </c>
      <c r="AO33" t="b">
        <f t="shared" ref="AO33:AV53" ca="1" si="29">ISNUMBER(L33)</f>
        <v>0</v>
      </c>
      <c r="AP33" t="b">
        <f t="shared" ca="1" si="29"/>
        <v>0</v>
      </c>
      <c r="AQ33" t="b">
        <f t="shared" ca="1" si="29"/>
        <v>0</v>
      </c>
      <c r="AR33" t="b">
        <f t="shared" ca="1" si="29"/>
        <v>0</v>
      </c>
      <c r="AS33" t="b">
        <f t="shared" ca="1" si="29"/>
        <v>0</v>
      </c>
      <c r="AT33" t="b">
        <f t="shared" ca="1" si="29"/>
        <v>0</v>
      </c>
      <c r="AU33" t="b">
        <f t="shared" ca="1" si="29"/>
        <v>0</v>
      </c>
      <c r="AV33" t="b">
        <f t="shared" ca="1" si="29"/>
        <v>0</v>
      </c>
      <c r="AW33" t="b">
        <f t="shared" ca="1" si="27"/>
        <v>0</v>
      </c>
      <c r="AX33" t="b">
        <f t="shared" ca="1" si="27"/>
        <v>0</v>
      </c>
      <c r="AY33" t="b">
        <f t="shared" ca="1" si="27"/>
        <v>0</v>
      </c>
      <c r="AZ33" t="b">
        <f t="shared" ca="1" si="27"/>
        <v>0</v>
      </c>
      <c r="BA33" t="b">
        <f t="shared" ca="1" si="27"/>
        <v>0</v>
      </c>
      <c r="BB33">
        <f t="shared" ca="1" si="20"/>
        <v>1</v>
      </c>
      <c r="BC33">
        <f t="shared" ca="1" si="21"/>
        <v>7</v>
      </c>
    </row>
    <row r="34" spans="1:55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25" t="str">
        <f t="shared" ca="1" si="14"/>
        <v>N/A</v>
      </c>
      <c r="G34" s="125" t="str">
        <f t="shared" si="4"/>
        <v>N/A</v>
      </c>
      <c r="H34" s="125" t="str">
        <f t="shared" si="5"/>
        <v>N/A</v>
      </c>
      <c r="I34" s="125"/>
      <c r="J34" s="125" t="str">
        <f t="shared" si="23"/>
        <v>N/A</v>
      </c>
      <c r="K34" s="125" t="str">
        <f t="shared" si="24"/>
        <v>N/A</v>
      </c>
      <c r="L34" s="125" t="str">
        <f t="shared" ca="1" si="26"/>
        <v>N/A</v>
      </c>
      <c r="M34" s="125" t="str">
        <f t="shared" ca="1" si="26"/>
        <v>N/A</v>
      </c>
      <c r="N34" s="125" t="str">
        <f t="shared" ca="1" si="26"/>
        <v>N/A</v>
      </c>
      <c r="O34" s="125" t="str">
        <f t="shared" ca="1" si="28"/>
        <v>N/A</v>
      </c>
      <c r="P34" s="125" t="str">
        <f t="shared" ca="1" si="28"/>
        <v>N/A</v>
      </c>
      <c r="Q34" s="125" t="str">
        <f t="shared" ca="1" si="28"/>
        <v>N/A</v>
      </c>
      <c r="R34" s="125" t="str">
        <f t="shared" ca="1" si="28"/>
        <v>N/A</v>
      </c>
      <c r="S34" s="125" t="str">
        <f t="shared" ca="1" si="28"/>
        <v>N/A</v>
      </c>
      <c r="T34" s="125" t="str">
        <f t="shared" ca="1" si="28"/>
        <v>N/A</v>
      </c>
      <c r="U34" s="125" t="str">
        <f t="shared" ca="1" si="28"/>
        <v>N/A</v>
      </c>
      <c r="V34" s="125" t="str">
        <f t="shared" ca="1" si="28"/>
        <v>N/A</v>
      </c>
      <c r="W34" s="125" t="str">
        <f t="shared" ca="1" si="28"/>
        <v>N/A</v>
      </c>
      <c r="X34" s="125" t="str">
        <f t="shared" ca="1" si="28"/>
        <v>N/A</v>
      </c>
      <c r="Y34" s="77" t="str">
        <f t="shared" ca="1" si="15"/>
        <v>N/A</v>
      </c>
      <c r="Z34" s="77" t="str">
        <f t="shared" ca="1" si="16"/>
        <v>N/A</v>
      </c>
      <c r="AA34" s="125" t="e">
        <f t="shared" ca="1" si="17"/>
        <v>#VALUE!</v>
      </c>
      <c r="AB34" s="77" t="e">
        <f t="shared" ca="1" si="18"/>
        <v>#VALUE!</v>
      </c>
      <c r="AC34" s="77"/>
      <c r="AD34" s="184">
        <f t="shared" ref="AD34:AD57" ca="1" si="30">BB34-2</f>
        <v>-1</v>
      </c>
      <c r="AE34" s="181" t="str">
        <f t="shared" si="9"/>
        <v>N/A</v>
      </c>
      <c r="AF34" s="190">
        <v>43100</v>
      </c>
      <c r="AG34" s="186" t="e">
        <f t="shared" si="10"/>
        <v>#VALUE!</v>
      </c>
      <c r="AH34" s="187" t="e">
        <f t="shared" si="19"/>
        <v>#VALUE!</v>
      </c>
      <c r="AI34" s="187" t="e">
        <f t="shared" ca="1" si="11"/>
        <v>#VALUE!</v>
      </c>
      <c r="AJ34" s="188" t="e">
        <f t="shared" ca="1" si="12"/>
        <v>#VALUE!</v>
      </c>
      <c r="AO34" t="b">
        <f t="shared" ca="1" si="29"/>
        <v>0</v>
      </c>
      <c r="AP34" t="b">
        <f t="shared" ca="1" si="29"/>
        <v>0</v>
      </c>
      <c r="AQ34" t="b">
        <f t="shared" ca="1" si="29"/>
        <v>0</v>
      </c>
      <c r="AR34" t="b">
        <f t="shared" ca="1" si="29"/>
        <v>0</v>
      </c>
      <c r="AS34" t="b">
        <f t="shared" ca="1" si="29"/>
        <v>0</v>
      </c>
      <c r="AT34" t="b">
        <f t="shared" ca="1" si="29"/>
        <v>0</v>
      </c>
      <c r="AU34" t="b">
        <f t="shared" ca="1" si="29"/>
        <v>0</v>
      </c>
      <c r="AV34" t="b">
        <f t="shared" ca="1" si="29"/>
        <v>0</v>
      </c>
      <c r="AW34" t="b">
        <f t="shared" ca="1" si="27"/>
        <v>0</v>
      </c>
      <c r="AX34" t="b">
        <f t="shared" ca="1" si="27"/>
        <v>0</v>
      </c>
      <c r="AY34" t="b">
        <f t="shared" ca="1" si="27"/>
        <v>0</v>
      </c>
      <c r="AZ34" t="b">
        <f t="shared" ca="1" si="27"/>
        <v>0</v>
      </c>
      <c r="BA34" t="b">
        <f t="shared" ca="1" si="27"/>
        <v>0</v>
      </c>
      <c r="BB34">
        <f t="shared" ca="1" si="20"/>
        <v>1</v>
      </c>
      <c r="BC34">
        <f t="shared" ca="1" si="21"/>
        <v>7</v>
      </c>
    </row>
    <row r="35" spans="1:55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25" t="str">
        <f t="shared" ca="1" si="14"/>
        <v>N/A</v>
      </c>
      <c r="G35" s="125" t="str">
        <f t="shared" si="4"/>
        <v>N/A</v>
      </c>
      <c r="H35" s="125" t="str">
        <f t="shared" si="5"/>
        <v>N/A</v>
      </c>
      <c r="I35" s="125"/>
      <c r="J35" s="125" t="str">
        <f t="shared" si="23"/>
        <v>N/A</v>
      </c>
      <c r="K35" s="125" t="str">
        <f t="shared" si="24"/>
        <v>N/A</v>
      </c>
      <c r="L35" s="125" t="str">
        <f t="shared" ca="1" si="26"/>
        <v>N/A</v>
      </c>
      <c r="M35" s="125" t="str">
        <f t="shared" ca="1" si="26"/>
        <v>N/A</v>
      </c>
      <c r="N35" s="125" t="str">
        <f t="shared" ca="1" si="26"/>
        <v>N/A</v>
      </c>
      <c r="O35" s="125" t="str">
        <f t="shared" ca="1" si="28"/>
        <v>N/A</v>
      </c>
      <c r="P35" s="125" t="str">
        <f t="shared" ca="1" si="28"/>
        <v>N/A</v>
      </c>
      <c r="Q35" s="125" t="str">
        <f t="shared" ca="1" si="28"/>
        <v>N/A</v>
      </c>
      <c r="R35" s="125" t="str">
        <f t="shared" ca="1" si="28"/>
        <v>N/A</v>
      </c>
      <c r="S35" s="125" t="str">
        <f t="shared" ca="1" si="28"/>
        <v>N/A</v>
      </c>
      <c r="T35" s="125" t="str">
        <f t="shared" ca="1" si="28"/>
        <v>N/A</v>
      </c>
      <c r="U35" s="125" t="str">
        <f t="shared" ca="1" si="28"/>
        <v>N/A</v>
      </c>
      <c r="V35" s="125" t="str">
        <f t="shared" ca="1" si="28"/>
        <v>N/A</v>
      </c>
      <c r="W35" s="125" t="str">
        <f t="shared" ca="1" si="28"/>
        <v>N/A</v>
      </c>
      <c r="X35" s="125" t="str">
        <f t="shared" ca="1" si="28"/>
        <v>N/A</v>
      </c>
      <c r="Y35" s="77" t="str">
        <f t="shared" ca="1" si="15"/>
        <v>N/A</v>
      </c>
      <c r="Z35" s="77" t="str">
        <f t="shared" ca="1" si="16"/>
        <v>N/A</v>
      </c>
      <c r="AA35" s="125" t="e">
        <f t="shared" ca="1" si="17"/>
        <v>#VALUE!</v>
      </c>
      <c r="AB35" s="77" t="e">
        <f t="shared" ca="1" si="18"/>
        <v>#VALUE!</v>
      </c>
      <c r="AC35" s="77"/>
      <c r="AD35" s="184">
        <f t="shared" ca="1" si="30"/>
        <v>-1</v>
      </c>
      <c r="AE35" s="181" t="str">
        <f t="shared" si="9"/>
        <v>N/A</v>
      </c>
      <c r="AF35" s="190">
        <v>43100</v>
      </c>
      <c r="AG35" s="186" t="e">
        <f t="shared" si="10"/>
        <v>#VALUE!</v>
      </c>
      <c r="AH35" s="187" t="e">
        <f t="shared" si="19"/>
        <v>#VALUE!</v>
      </c>
      <c r="AI35" s="187" t="e">
        <f t="shared" ca="1" si="11"/>
        <v>#VALUE!</v>
      </c>
      <c r="AJ35" s="188" t="e">
        <f t="shared" ca="1" si="12"/>
        <v>#VALUE!</v>
      </c>
      <c r="AO35" t="b">
        <f t="shared" ca="1" si="29"/>
        <v>0</v>
      </c>
      <c r="AP35" t="b">
        <f t="shared" ca="1" si="29"/>
        <v>0</v>
      </c>
      <c r="AQ35" t="b">
        <f t="shared" ca="1" si="29"/>
        <v>0</v>
      </c>
      <c r="AR35" t="b">
        <f t="shared" ca="1" si="29"/>
        <v>0</v>
      </c>
      <c r="AS35" t="b">
        <f t="shared" ca="1" si="29"/>
        <v>0</v>
      </c>
      <c r="AT35" t="b">
        <f t="shared" ca="1" si="29"/>
        <v>0</v>
      </c>
      <c r="AU35" t="b">
        <f t="shared" ca="1" si="29"/>
        <v>0</v>
      </c>
      <c r="AV35" t="b">
        <f t="shared" ca="1" si="29"/>
        <v>0</v>
      </c>
      <c r="AW35" t="b">
        <f t="shared" ca="1" si="27"/>
        <v>0</v>
      </c>
      <c r="AX35" t="b">
        <f t="shared" ca="1" si="27"/>
        <v>0</v>
      </c>
      <c r="AY35" t="b">
        <f t="shared" ca="1" si="27"/>
        <v>0</v>
      </c>
      <c r="AZ35" t="b">
        <f t="shared" ca="1" si="27"/>
        <v>0</v>
      </c>
      <c r="BA35" t="b">
        <f t="shared" ca="1" si="27"/>
        <v>0</v>
      </c>
      <c r="BB35">
        <f t="shared" ca="1" si="20"/>
        <v>1</v>
      </c>
      <c r="BC35">
        <f t="shared" ca="1" si="21"/>
        <v>7</v>
      </c>
    </row>
    <row r="36" spans="1:55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25" t="str">
        <f t="shared" ca="1" si="14"/>
        <v>N/A</v>
      </c>
      <c r="G36" s="125" t="str">
        <f t="shared" si="4"/>
        <v>N/A</v>
      </c>
      <c r="H36" s="125" t="str">
        <f t="shared" si="5"/>
        <v>N/A</v>
      </c>
      <c r="I36" s="125"/>
      <c r="J36" s="125" t="str">
        <f t="shared" si="23"/>
        <v>N/A</v>
      </c>
      <c r="K36" s="125" t="str">
        <f t="shared" si="24"/>
        <v>N/A</v>
      </c>
      <c r="L36" s="125" t="str">
        <f t="shared" ca="1" si="26"/>
        <v>N/A</v>
      </c>
      <c r="M36" s="125" t="str">
        <f t="shared" ca="1" si="26"/>
        <v>N/A</v>
      </c>
      <c r="N36" s="125" t="str">
        <f t="shared" ca="1" si="26"/>
        <v>N/A</v>
      </c>
      <c r="O36" s="125" t="str">
        <f t="shared" ca="1" si="28"/>
        <v>N/A</v>
      </c>
      <c r="P36" s="125" t="str">
        <f t="shared" ca="1" si="28"/>
        <v>N/A</v>
      </c>
      <c r="Q36" s="125" t="str">
        <f t="shared" ca="1" si="28"/>
        <v>N/A</v>
      </c>
      <c r="R36" s="125" t="str">
        <f t="shared" ca="1" si="28"/>
        <v>N/A</v>
      </c>
      <c r="S36" s="125" t="str">
        <f t="shared" ca="1" si="28"/>
        <v>N/A</v>
      </c>
      <c r="T36" s="125" t="str">
        <f t="shared" ca="1" si="28"/>
        <v>N/A</v>
      </c>
      <c r="U36" s="125" t="str">
        <f t="shared" ca="1" si="28"/>
        <v>N/A</v>
      </c>
      <c r="V36" s="125" t="str">
        <f t="shared" ca="1" si="28"/>
        <v>N/A</v>
      </c>
      <c r="W36" s="125" t="str">
        <f t="shared" ca="1" si="28"/>
        <v>N/A</v>
      </c>
      <c r="X36" s="125" t="str">
        <f t="shared" ca="1" si="28"/>
        <v>N/A</v>
      </c>
      <c r="Y36" s="77" t="str">
        <f t="shared" ca="1" si="15"/>
        <v>N/A</v>
      </c>
      <c r="Z36" s="77" t="str">
        <f t="shared" ca="1" si="16"/>
        <v>N/A</v>
      </c>
      <c r="AA36" s="125" t="e">
        <f t="shared" ca="1" si="17"/>
        <v>#VALUE!</v>
      </c>
      <c r="AB36" s="77" t="e">
        <f t="shared" ca="1" si="18"/>
        <v>#VALUE!</v>
      </c>
      <c r="AC36" s="77"/>
      <c r="AD36" s="184">
        <f t="shared" ca="1" si="30"/>
        <v>-1</v>
      </c>
      <c r="AE36" s="181" t="str">
        <f t="shared" si="9"/>
        <v>N/A</v>
      </c>
      <c r="AF36" s="190">
        <v>43100</v>
      </c>
      <c r="AG36" s="186" t="e">
        <f t="shared" si="10"/>
        <v>#VALUE!</v>
      </c>
      <c r="AH36" s="187" t="e">
        <f t="shared" si="19"/>
        <v>#VALUE!</v>
      </c>
      <c r="AI36" s="187" t="e">
        <f t="shared" ca="1" si="11"/>
        <v>#VALUE!</v>
      </c>
      <c r="AJ36" s="188" t="e">
        <f t="shared" ca="1" si="12"/>
        <v>#VALUE!</v>
      </c>
      <c r="AO36" t="b">
        <f t="shared" ca="1" si="29"/>
        <v>0</v>
      </c>
      <c r="AP36" t="b">
        <f t="shared" ca="1" si="29"/>
        <v>0</v>
      </c>
      <c r="AQ36" t="b">
        <f t="shared" ca="1" si="29"/>
        <v>0</v>
      </c>
      <c r="AR36" t="b">
        <f t="shared" ca="1" si="29"/>
        <v>0</v>
      </c>
      <c r="AS36" t="b">
        <f t="shared" ca="1" si="29"/>
        <v>0</v>
      </c>
      <c r="AT36" t="b">
        <f t="shared" ca="1" si="29"/>
        <v>0</v>
      </c>
      <c r="AU36" t="b">
        <f t="shared" ca="1" si="29"/>
        <v>0</v>
      </c>
      <c r="AV36" t="b">
        <f t="shared" ca="1" si="29"/>
        <v>0</v>
      </c>
      <c r="AW36" t="b">
        <f t="shared" ca="1" si="27"/>
        <v>0</v>
      </c>
      <c r="AX36" t="b">
        <f t="shared" ca="1" si="27"/>
        <v>0</v>
      </c>
      <c r="AY36" t="b">
        <f t="shared" ca="1" si="27"/>
        <v>0</v>
      </c>
      <c r="AZ36" t="b">
        <f t="shared" ca="1" si="27"/>
        <v>0</v>
      </c>
      <c r="BA36" t="b">
        <f t="shared" ca="1" si="27"/>
        <v>0</v>
      </c>
      <c r="BB36">
        <f t="shared" ca="1" si="20"/>
        <v>1</v>
      </c>
      <c r="BC36">
        <f t="shared" ca="1" si="21"/>
        <v>7</v>
      </c>
    </row>
    <row r="37" spans="1:55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25" t="str">
        <f t="shared" ca="1" si="14"/>
        <v>N/A</v>
      </c>
      <c r="G37" s="125" t="str">
        <f t="shared" si="4"/>
        <v>N/A</v>
      </c>
      <c r="H37" s="125" t="str">
        <f t="shared" si="5"/>
        <v>N/A</v>
      </c>
      <c r="I37" s="125"/>
      <c r="J37" s="125" t="str">
        <f t="shared" si="23"/>
        <v>N/A</v>
      </c>
      <c r="K37" s="125" t="str">
        <f t="shared" si="24"/>
        <v>N/A</v>
      </c>
      <c r="L37" s="125" t="str">
        <f t="shared" ca="1" si="26"/>
        <v>N/A</v>
      </c>
      <c r="M37" s="125" t="str">
        <f t="shared" ca="1" si="26"/>
        <v>N/A</v>
      </c>
      <c r="N37" s="125" t="str">
        <f t="shared" ca="1" si="26"/>
        <v>N/A</v>
      </c>
      <c r="O37" s="125" t="str">
        <f t="shared" ca="1" si="28"/>
        <v>N/A</v>
      </c>
      <c r="P37" s="125" t="str">
        <f t="shared" ca="1" si="28"/>
        <v>N/A</v>
      </c>
      <c r="Q37" s="125" t="str">
        <f t="shared" ca="1" si="28"/>
        <v>N/A</v>
      </c>
      <c r="R37" s="125" t="str">
        <f t="shared" ca="1" si="28"/>
        <v>N/A</v>
      </c>
      <c r="S37" s="125" t="str">
        <f t="shared" ca="1" si="28"/>
        <v>N/A</v>
      </c>
      <c r="T37" s="125" t="str">
        <f t="shared" ca="1" si="28"/>
        <v>N/A</v>
      </c>
      <c r="U37" s="125" t="str">
        <f t="shared" ca="1" si="28"/>
        <v>N/A</v>
      </c>
      <c r="V37" s="125" t="str">
        <f t="shared" ca="1" si="28"/>
        <v>N/A</v>
      </c>
      <c r="W37" s="125" t="str">
        <f t="shared" ca="1" si="28"/>
        <v>N/A</v>
      </c>
      <c r="X37" s="125" t="str">
        <f t="shared" ca="1" si="28"/>
        <v>N/A</v>
      </c>
      <c r="Y37" s="77" t="str">
        <f t="shared" ca="1" si="15"/>
        <v>N/A</v>
      </c>
      <c r="Z37" s="77" t="str">
        <f t="shared" ca="1" si="16"/>
        <v>N/A</v>
      </c>
      <c r="AA37" s="125" t="e">
        <f ca="1">+X37*(1+Z37)^11</f>
        <v>#VALUE!</v>
      </c>
      <c r="AB37" s="77" t="e">
        <f t="shared" ca="1" si="18"/>
        <v>#VALUE!</v>
      </c>
      <c r="AC37" s="77"/>
      <c r="AD37" s="184">
        <f t="shared" ca="1" si="30"/>
        <v>-1</v>
      </c>
      <c r="AE37" s="181" t="str">
        <f t="shared" si="9"/>
        <v>N/A</v>
      </c>
      <c r="AF37" s="190">
        <v>43100</v>
      </c>
      <c r="AG37" s="186" t="e">
        <f t="shared" si="10"/>
        <v>#VALUE!</v>
      </c>
      <c r="AH37" s="187" t="e">
        <f t="shared" si="19"/>
        <v>#VALUE!</v>
      </c>
      <c r="AI37" s="187" t="e">
        <f t="shared" ca="1" si="11"/>
        <v>#VALUE!</v>
      </c>
      <c r="AJ37" s="188" t="e">
        <f t="shared" ca="1" si="12"/>
        <v>#VALUE!</v>
      </c>
      <c r="AO37" t="b">
        <f t="shared" ca="1" si="29"/>
        <v>0</v>
      </c>
      <c r="AP37" t="b">
        <f t="shared" ca="1" si="29"/>
        <v>0</v>
      </c>
      <c r="AQ37" t="b">
        <f t="shared" ca="1" si="29"/>
        <v>0</v>
      </c>
      <c r="AR37" t="b">
        <f t="shared" ca="1" si="29"/>
        <v>0</v>
      </c>
      <c r="AS37" t="b">
        <f t="shared" ca="1" si="29"/>
        <v>0</v>
      </c>
      <c r="AT37" t="b">
        <f t="shared" ca="1" si="29"/>
        <v>0</v>
      </c>
      <c r="AU37" t="b">
        <f t="shared" ca="1" si="29"/>
        <v>0</v>
      </c>
      <c r="AV37" t="b">
        <f t="shared" ca="1" si="29"/>
        <v>0</v>
      </c>
      <c r="AW37" t="b">
        <f t="shared" ca="1" si="27"/>
        <v>0</v>
      </c>
      <c r="AX37" t="b">
        <f t="shared" ca="1" si="27"/>
        <v>0</v>
      </c>
      <c r="AY37" t="b">
        <f t="shared" ca="1" si="27"/>
        <v>0</v>
      </c>
      <c r="AZ37" t="b">
        <f t="shared" ca="1" si="27"/>
        <v>0</v>
      </c>
      <c r="BA37" t="b">
        <f t="shared" ca="1" si="27"/>
        <v>0</v>
      </c>
      <c r="BB37">
        <f t="shared" ca="1" si="20"/>
        <v>1</v>
      </c>
      <c r="BC37">
        <f t="shared" ca="1" si="21"/>
        <v>7</v>
      </c>
    </row>
    <row r="38" spans="1:55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25" t="str">
        <f t="shared" ca="1" si="14"/>
        <v>N/A</v>
      </c>
      <c r="G38" s="125" t="str">
        <f t="shared" si="4"/>
        <v>N/A</v>
      </c>
      <c r="H38" s="125" t="str">
        <f t="shared" si="5"/>
        <v>N/A</v>
      </c>
      <c r="I38" s="125"/>
      <c r="J38" s="125" t="str">
        <f t="shared" si="23"/>
        <v>N/A</v>
      </c>
      <c r="K38" s="125" t="str">
        <f t="shared" si="24"/>
        <v>N/A</v>
      </c>
      <c r="L38" s="125" t="str">
        <f t="shared" ca="1" si="26"/>
        <v>N/A</v>
      </c>
      <c r="M38" s="125" t="str">
        <f t="shared" ca="1" si="26"/>
        <v>N/A</v>
      </c>
      <c r="N38" s="125" t="str">
        <f t="shared" ca="1" si="26"/>
        <v>N/A</v>
      </c>
      <c r="O38" s="125" t="str">
        <f t="shared" ca="1" si="28"/>
        <v>N/A</v>
      </c>
      <c r="P38" s="125" t="str">
        <f t="shared" ca="1" si="28"/>
        <v>N/A</v>
      </c>
      <c r="Q38" s="125" t="str">
        <f t="shared" ca="1" si="28"/>
        <v>N/A</v>
      </c>
      <c r="R38" s="125" t="str">
        <f t="shared" ca="1" si="28"/>
        <v>N/A</v>
      </c>
      <c r="S38" s="125" t="str">
        <f t="shared" ca="1" si="28"/>
        <v>N/A</v>
      </c>
      <c r="T38" s="125" t="str">
        <f t="shared" ca="1" si="28"/>
        <v>N/A</v>
      </c>
      <c r="U38" s="125" t="str">
        <f t="shared" ca="1" si="28"/>
        <v>N/A</v>
      </c>
      <c r="V38" s="125" t="str">
        <f t="shared" ca="1" si="28"/>
        <v>N/A</v>
      </c>
      <c r="W38" s="125" t="str">
        <f t="shared" ca="1" si="28"/>
        <v>N/A</v>
      </c>
      <c r="X38" s="125" t="str">
        <f t="shared" ca="1" si="28"/>
        <v>N/A</v>
      </c>
      <c r="Y38" s="77" t="str">
        <f t="shared" ca="1" si="15"/>
        <v>N/A</v>
      </c>
      <c r="Z38" s="77" t="str">
        <f t="shared" ca="1" si="16"/>
        <v>N/A</v>
      </c>
      <c r="AA38" s="125" t="e">
        <f t="shared" ca="1" si="17"/>
        <v>#VALUE!</v>
      </c>
      <c r="AB38" s="77" t="e">
        <f t="shared" ca="1" si="18"/>
        <v>#VALUE!</v>
      </c>
      <c r="AC38" s="77"/>
      <c r="AD38" s="184">
        <f t="shared" ca="1" si="30"/>
        <v>-1</v>
      </c>
      <c r="AE38" s="181" t="str">
        <f t="shared" si="9"/>
        <v>N/A</v>
      </c>
      <c r="AF38" s="190">
        <v>43100</v>
      </c>
      <c r="AG38" s="186" t="e">
        <f t="shared" si="10"/>
        <v>#VALUE!</v>
      </c>
      <c r="AH38" s="187" t="e">
        <f t="shared" si="19"/>
        <v>#VALUE!</v>
      </c>
      <c r="AI38" s="187" t="e">
        <f t="shared" ca="1" si="11"/>
        <v>#VALUE!</v>
      </c>
      <c r="AJ38" s="188" t="e">
        <f t="shared" ca="1" si="12"/>
        <v>#VALUE!</v>
      </c>
      <c r="AO38" t="b">
        <f t="shared" ca="1" si="29"/>
        <v>0</v>
      </c>
      <c r="AP38" t="b">
        <f t="shared" ca="1" si="29"/>
        <v>0</v>
      </c>
      <c r="AQ38" t="b">
        <f t="shared" ca="1" si="29"/>
        <v>0</v>
      </c>
      <c r="AR38" t="b">
        <f t="shared" ca="1" si="29"/>
        <v>0</v>
      </c>
      <c r="AS38" t="b">
        <f t="shared" ca="1" si="29"/>
        <v>0</v>
      </c>
      <c r="AT38" t="b">
        <f t="shared" ca="1" si="29"/>
        <v>0</v>
      </c>
      <c r="AU38" t="b">
        <f t="shared" ca="1" si="29"/>
        <v>0</v>
      </c>
      <c r="AV38" t="b">
        <f t="shared" ca="1" si="29"/>
        <v>0</v>
      </c>
      <c r="AW38" t="b">
        <f t="shared" ca="1" si="27"/>
        <v>0</v>
      </c>
      <c r="AX38" t="b">
        <f t="shared" ca="1" si="27"/>
        <v>0</v>
      </c>
      <c r="AY38" t="b">
        <f t="shared" ca="1" si="27"/>
        <v>0</v>
      </c>
      <c r="AZ38" t="b">
        <f t="shared" ca="1" si="27"/>
        <v>0</v>
      </c>
      <c r="BA38" t="b">
        <f t="shared" ca="1" si="27"/>
        <v>0</v>
      </c>
      <c r="BB38">
        <f t="shared" ca="1" si="20"/>
        <v>1</v>
      </c>
      <c r="BC38">
        <f t="shared" ca="1" si="21"/>
        <v>7</v>
      </c>
    </row>
    <row r="39" spans="1:55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25" t="str">
        <f t="shared" ca="1" si="14"/>
        <v>N/A</v>
      </c>
      <c r="G39" s="125" t="str">
        <f t="shared" si="4"/>
        <v>N/A</v>
      </c>
      <c r="H39" s="125" t="str">
        <f t="shared" si="5"/>
        <v>N/A</v>
      </c>
      <c r="I39" s="125"/>
      <c r="J39" s="125" t="str">
        <f t="shared" si="23"/>
        <v>N/A</v>
      </c>
      <c r="K39" s="125" t="str">
        <f t="shared" si="24"/>
        <v>N/A</v>
      </c>
      <c r="L39" s="125" t="str">
        <f t="shared" ca="1" si="26"/>
        <v>N/A</v>
      </c>
      <c r="M39" s="125" t="str">
        <f t="shared" ca="1" si="26"/>
        <v>N/A</v>
      </c>
      <c r="N39" s="125" t="str">
        <f t="shared" ca="1" si="26"/>
        <v>N/A</v>
      </c>
      <c r="O39" s="125" t="str">
        <f t="shared" ca="1" si="28"/>
        <v>N/A</v>
      </c>
      <c r="P39" s="125" t="str">
        <f t="shared" ca="1" si="28"/>
        <v>N/A</v>
      </c>
      <c r="Q39" s="125" t="str">
        <f t="shared" ca="1" si="28"/>
        <v>N/A</v>
      </c>
      <c r="R39" s="125" t="str">
        <f t="shared" ca="1" si="28"/>
        <v>N/A</v>
      </c>
      <c r="S39" s="125" t="str">
        <f t="shared" ca="1" si="28"/>
        <v>N/A</v>
      </c>
      <c r="T39" s="125" t="str">
        <f t="shared" ca="1" si="28"/>
        <v>N/A</v>
      </c>
      <c r="U39" s="125" t="str">
        <f t="shared" ca="1" si="28"/>
        <v>N/A</v>
      </c>
      <c r="V39" s="125" t="str">
        <f t="shared" ca="1" si="28"/>
        <v>N/A</v>
      </c>
      <c r="W39" s="125" t="str">
        <f t="shared" ca="1" si="28"/>
        <v>N/A</v>
      </c>
      <c r="X39" s="125" t="str">
        <f t="shared" ca="1" si="28"/>
        <v>N/A</v>
      </c>
      <c r="Y39" s="77" t="str">
        <f t="shared" ca="1" si="15"/>
        <v>N/A</v>
      </c>
      <c r="Z39" s="77" t="str">
        <f t="shared" ca="1" si="16"/>
        <v>N/A</v>
      </c>
      <c r="AA39" s="125" t="e">
        <f t="shared" ca="1" si="17"/>
        <v>#VALUE!</v>
      </c>
      <c r="AB39" s="77" t="e">
        <f t="shared" ca="1" si="18"/>
        <v>#VALUE!</v>
      </c>
      <c r="AC39" s="77"/>
      <c r="AD39" s="184">
        <f t="shared" ca="1" si="30"/>
        <v>-1</v>
      </c>
      <c r="AE39" s="181" t="str">
        <f t="shared" si="9"/>
        <v>N/A</v>
      </c>
      <c r="AF39" s="190">
        <v>43100</v>
      </c>
      <c r="AG39" s="186" t="e">
        <f t="shared" si="10"/>
        <v>#VALUE!</v>
      </c>
      <c r="AH39" s="187" t="e">
        <f t="shared" si="19"/>
        <v>#VALUE!</v>
      </c>
      <c r="AI39" s="187" t="e">
        <f t="shared" ca="1" si="11"/>
        <v>#VALUE!</v>
      </c>
      <c r="AJ39" s="188" t="e">
        <f t="shared" ca="1" si="12"/>
        <v>#VALUE!</v>
      </c>
      <c r="AO39" t="b">
        <f t="shared" ca="1" si="29"/>
        <v>0</v>
      </c>
      <c r="AP39" t="b">
        <f t="shared" ca="1" si="29"/>
        <v>0</v>
      </c>
      <c r="AQ39" t="b">
        <f t="shared" ca="1" si="29"/>
        <v>0</v>
      </c>
      <c r="AR39" t="b">
        <f t="shared" ca="1" si="29"/>
        <v>0</v>
      </c>
      <c r="AS39" t="b">
        <f t="shared" ca="1" si="29"/>
        <v>0</v>
      </c>
      <c r="AT39" t="b">
        <f t="shared" ca="1" si="29"/>
        <v>0</v>
      </c>
      <c r="AU39" t="b">
        <f t="shared" ca="1" si="29"/>
        <v>0</v>
      </c>
      <c r="AV39" t="b">
        <f t="shared" ca="1" si="29"/>
        <v>0</v>
      </c>
      <c r="AW39" t="b">
        <f t="shared" ca="1" si="27"/>
        <v>0</v>
      </c>
      <c r="AX39" t="b">
        <f t="shared" ca="1" si="27"/>
        <v>0</v>
      </c>
      <c r="AY39" t="b">
        <f t="shared" ca="1" si="27"/>
        <v>0</v>
      </c>
      <c r="AZ39" t="b">
        <f t="shared" ca="1" si="27"/>
        <v>0</v>
      </c>
      <c r="BA39" t="b">
        <f t="shared" ca="1" si="27"/>
        <v>0</v>
      </c>
      <c r="BB39">
        <f t="shared" ca="1" si="20"/>
        <v>1</v>
      </c>
      <c r="BC39">
        <f t="shared" ca="1" si="21"/>
        <v>7</v>
      </c>
    </row>
    <row r="40" spans="1:55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25" t="str">
        <f t="shared" ca="1" si="14"/>
        <v>N/A</v>
      </c>
      <c r="G40" s="125" t="str">
        <f t="shared" si="4"/>
        <v>N/A</v>
      </c>
      <c r="H40" s="125" t="str">
        <f t="shared" si="5"/>
        <v>N/A</v>
      </c>
      <c r="I40" s="125"/>
      <c r="J40" s="125" t="str">
        <f t="shared" si="23"/>
        <v>N/A</v>
      </c>
      <c r="K40" s="125" t="str">
        <f t="shared" si="24"/>
        <v>N/A</v>
      </c>
      <c r="L40" s="125" t="str">
        <f t="shared" ca="1" si="26"/>
        <v>N/A</v>
      </c>
      <c r="M40" s="125" t="str">
        <f t="shared" ca="1" si="26"/>
        <v>N/A</v>
      </c>
      <c r="N40" s="125" t="str">
        <f t="shared" ca="1" si="26"/>
        <v>N/A</v>
      </c>
      <c r="O40" s="125" t="str">
        <f t="shared" ca="1" si="28"/>
        <v>N/A</v>
      </c>
      <c r="P40" s="125" t="str">
        <f t="shared" ca="1" si="28"/>
        <v>N/A</v>
      </c>
      <c r="Q40" s="125" t="str">
        <f t="shared" ca="1" si="28"/>
        <v>N/A</v>
      </c>
      <c r="R40" s="125" t="str">
        <f t="shared" ca="1" si="28"/>
        <v>N/A</v>
      </c>
      <c r="S40" s="125" t="str">
        <f t="shared" ca="1" si="28"/>
        <v>N/A</v>
      </c>
      <c r="T40" s="125" t="str">
        <f t="shared" ca="1" si="28"/>
        <v>N/A</v>
      </c>
      <c r="U40" s="125" t="str">
        <f t="shared" ca="1" si="28"/>
        <v>N/A</v>
      </c>
      <c r="V40" s="125" t="str">
        <f t="shared" ca="1" si="28"/>
        <v>N/A</v>
      </c>
      <c r="W40" s="125" t="str">
        <f t="shared" ca="1" si="28"/>
        <v>N/A</v>
      </c>
      <c r="X40" s="125" t="str">
        <f t="shared" ca="1" si="28"/>
        <v>N/A</v>
      </c>
      <c r="Y40" s="77" t="str">
        <f t="shared" ca="1" si="15"/>
        <v>N/A</v>
      </c>
      <c r="Z40" s="77" t="str">
        <f t="shared" ca="1" si="16"/>
        <v>N/A</v>
      </c>
      <c r="AA40" s="125" t="e">
        <f t="shared" ca="1" si="17"/>
        <v>#VALUE!</v>
      </c>
      <c r="AB40" s="77" t="e">
        <f t="shared" ca="1" si="18"/>
        <v>#VALUE!</v>
      </c>
      <c r="AC40" s="77"/>
      <c r="AD40" s="184">
        <f t="shared" ca="1" si="30"/>
        <v>-1</v>
      </c>
      <c r="AE40" s="181" t="str">
        <f t="shared" si="9"/>
        <v>N/A</v>
      </c>
      <c r="AF40" s="190">
        <v>43100</v>
      </c>
      <c r="AG40" s="186" t="e">
        <f t="shared" si="10"/>
        <v>#VALUE!</v>
      </c>
      <c r="AH40" s="187" t="e">
        <f t="shared" si="19"/>
        <v>#VALUE!</v>
      </c>
      <c r="AI40" s="187" t="e">
        <f t="shared" ca="1" si="11"/>
        <v>#VALUE!</v>
      </c>
      <c r="AJ40" s="188" t="e">
        <f t="shared" ca="1" si="12"/>
        <v>#VALUE!</v>
      </c>
      <c r="AO40" t="b">
        <f t="shared" ca="1" si="29"/>
        <v>0</v>
      </c>
      <c r="AP40" t="b">
        <f t="shared" ca="1" si="29"/>
        <v>0</v>
      </c>
      <c r="AQ40" t="b">
        <f t="shared" ca="1" si="29"/>
        <v>0</v>
      </c>
      <c r="AR40" t="b">
        <f t="shared" ca="1" si="29"/>
        <v>0</v>
      </c>
      <c r="AS40" t="b">
        <f t="shared" ca="1" si="29"/>
        <v>0</v>
      </c>
      <c r="AT40" t="b">
        <f t="shared" ca="1" si="29"/>
        <v>0</v>
      </c>
      <c r="AU40" t="b">
        <f t="shared" ca="1" si="29"/>
        <v>0</v>
      </c>
      <c r="AV40" t="b">
        <f t="shared" ca="1" si="29"/>
        <v>0</v>
      </c>
      <c r="AW40" t="b">
        <f t="shared" ca="1" si="27"/>
        <v>0</v>
      </c>
      <c r="AX40" t="b">
        <f t="shared" ca="1" si="27"/>
        <v>0</v>
      </c>
      <c r="AY40" t="b">
        <f t="shared" ca="1" si="27"/>
        <v>0</v>
      </c>
      <c r="AZ40" t="b">
        <f t="shared" ca="1" si="27"/>
        <v>0</v>
      </c>
      <c r="BA40" t="b">
        <f t="shared" ca="1" si="27"/>
        <v>0</v>
      </c>
      <c r="BB40">
        <f t="shared" ca="1" si="20"/>
        <v>1</v>
      </c>
      <c r="BC40">
        <f t="shared" ca="1" si="21"/>
        <v>7</v>
      </c>
    </row>
    <row r="41" spans="1:55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25" t="str">
        <f t="shared" ca="1" si="14"/>
        <v>N/A</v>
      </c>
      <c r="G41" s="125" t="str">
        <f t="shared" si="4"/>
        <v>N/A</v>
      </c>
      <c r="H41" s="125" t="str">
        <f t="shared" si="5"/>
        <v>N/A</v>
      </c>
      <c r="I41" s="125"/>
      <c r="J41" s="125" t="str">
        <f t="shared" si="23"/>
        <v>N/A</v>
      </c>
      <c r="K41" s="125" t="str">
        <f t="shared" si="24"/>
        <v>N/A</v>
      </c>
      <c r="L41" s="125" t="str">
        <f t="shared" ca="1" si="26"/>
        <v>N/A</v>
      </c>
      <c r="M41" s="125" t="str">
        <f t="shared" ca="1" si="26"/>
        <v>N/A</v>
      </c>
      <c r="N41" s="125" t="str">
        <f t="shared" ca="1" si="26"/>
        <v>N/A</v>
      </c>
      <c r="O41" s="125" t="str">
        <f t="shared" ca="1" si="28"/>
        <v>N/A</v>
      </c>
      <c r="P41" s="125" t="str">
        <f t="shared" ca="1" si="28"/>
        <v>N/A</v>
      </c>
      <c r="Q41" s="125" t="str">
        <f t="shared" ca="1" si="28"/>
        <v>N/A</v>
      </c>
      <c r="R41" s="125" t="str">
        <f t="shared" ca="1" si="28"/>
        <v>N/A</v>
      </c>
      <c r="S41" s="125" t="str">
        <f t="shared" ca="1" si="28"/>
        <v>N/A</v>
      </c>
      <c r="T41" s="125" t="str">
        <f t="shared" ca="1" si="28"/>
        <v>N/A</v>
      </c>
      <c r="U41" s="125" t="str">
        <f t="shared" ca="1" si="28"/>
        <v>N/A</v>
      </c>
      <c r="V41" s="125" t="str">
        <f t="shared" ca="1" si="28"/>
        <v>N/A</v>
      </c>
      <c r="W41" s="125" t="str">
        <f t="shared" ca="1" si="28"/>
        <v>N/A</v>
      </c>
      <c r="X41" s="125" t="str">
        <f t="shared" ca="1" si="28"/>
        <v>N/A</v>
      </c>
      <c r="Y41" s="77" t="str">
        <f t="shared" ca="1" si="15"/>
        <v>N/A</v>
      </c>
      <c r="Z41" s="77" t="str">
        <f t="shared" ca="1" si="16"/>
        <v>N/A</v>
      </c>
      <c r="AA41" s="125" t="e">
        <f t="shared" ca="1" si="17"/>
        <v>#VALUE!</v>
      </c>
      <c r="AB41" s="77" t="e">
        <f t="shared" ca="1" si="18"/>
        <v>#VALUE!</v>
      </c>
      <c r="AC41" s="77"/>
      <c r="AD41" s="184">
        <f t="shared" ca="1" si="30"/>
        <v>-1</v>
      </c>
      <c r="AE41" s="181" t="str">
        <f t="shared" si="9"/>
        <v>N/A</v>
      </c>
      <c r="AF41" s="190">
        <v>43100</v>
      </c>
      <c r="AG41" s="186" t="e">
        <f t="shared" si="10"/>
        <v>#VALUE!</v>
      </c>
      <c r="AH41" s="187" t="e">
        <f t="shared" si="19"/>
        <v>#VALUE!</v>
      </c>
      <c r="AI41" s="187" t="e">
        <f t="shared" ca="1" si="11"/>
        <v>#VALUE!</v>
      </c>
      <c r="AJ41" s="188" t="e">
        <f t="shared" ca="1" si="12"/>
        <v>#VALUE!</v>
      </c>
      <c r="AO41" t="b">
        <f t="shared" ca="1" si="29"/>
        <v>0</v>
      </c>
      <c r="AP41" t="b">
        <f t="shared" ca="1" si="29"/>
        <v>0</v>
      </c>
      <c r="AQ41" t="b">
        <f t="shared" ca="1" si="29"/>
        <v>0</v>
      </c>
      <c r="AR41" t="b">
        <f t="shared" ca="1" si="29"/>
        <v>0</v>
      </c>
      <c r="AS41" t="b">
        <f t="shared" ca="1" si="29"/>
        <v>0</v>
      </c>
      <c r="AT41" t="b">
        <f t="shared" ca="1" si="29"/>
        <v>0</v>
      </c>
      <c r="AU41" t="b">
        <f t="shared" ca="1" si="29"/>
        <v>0</v>
      </c>
      <c r="AV41" t="b">
        <f t="shared" ca="1" si="29"/>
        <v>0</v>
      </c>
      <c r="AW41" t="b">
        <f t="shared" ca="1" si="27"/>
        <v>0</v>
      </c>
      <c r="AX41" t="b">
        <f t="shared" ca="1" si="27"/>
        <v>0</v>
      </c>
      <c r="AY41" t="b">
        <f t="shared" ca="1" si="27"/>
        <v>0</v>
      </c>
      <c r="AZ41" t="b">
        <f t="shared" ca="1" si="27"/>
        <v>0</v>
      </c>
      <c r="BA41" t="b">
        <f t="shared" ca="1" si="27"/>
        <v>0</v>
      </c>
      <c r="BB41">
        <f t="shared" ca="1" si="20"/>
        <v>1</v>
      </c>
      <c r="BC41">
        <f t="shared" ca="1" si="21"/>
        <v>7</v>
      </c>
    </row>
    <row r="42" spans="1:55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25" t="str">
        <f t="shared" ca="1" si="14"/>
        <v>N/A</v>
      </c>
      <c r="G42" s="125" t="str">
        <f t="shared" si="4"/>
        <v>N/A</v>
      </c>
      <c r="H42" s="125" t="str">
        <f t="shared" si="5"/>
        <v>N/A</v>
      </c>
      <c r="I42" s="125"/>
      <c r="J42" s="125" t="str">
        <f t="shared" si="23"/>
        <v>N/A</v>
      </c>
      <c r="K42" s="125" t="str">
        <f t="shared" si="24"/>
        <v>N/A</v>
      </c>
      <c r="L42" s="125" t="str">
        <f t="shared" ca="1" si="26"/>
        <v>N/A</v>
      </c>
      <c r="M42" s="125" t="str">
        <f t="shared" ca="1" si="26"/>
        <v>N/A</v>
      </c>
      <c r="N42" s="125" t="str">
        <f t="shared" ca="1" si="26"/>
        <v>N/A</v>
      </c>
      <c r="O42" s="125" t="str">
        <f t="shared" ca="1" si="28"/>
        <v>N/A</v>
      </c>
      <c r="P42" s="125" t="str">
        <f t="shared" ca="1" si="28"/>
        <v>N/A</v>
      </c>
      <c r="Q42" s="125" t="str">
        <f t="shared" ca="1" si="28"/>
        <v>N/A</v>
      </c>
      <c r="R42" s="125" t="str">
        <f t="shared" ca="1" si="28"/>
        <v>N/A</v>
      </c>
      <c r="S42" s="125" t="str">
        <f t="shared" ca="1" si="28"/>
        <v>N/A</v>
      </c>
      <c r="T42" s="125" t="str">
        <f t="shared" ca="1" si="28"/>
        <v>N/A</v>
      </c>
      <c r="U42" s="125" t="str">
        <f t="shared" ca="1" si="28"/>
        <v>N/A</v>
      </c>
      <c r="V42" s="125" t="str">
        <f t="shared" ca="1" si="28"/>
        <v>N/A</v>
      </c>
      <c r="W42" s="125" t="str">
        <f t="shared" ca="1" si="28"/>
        <v>N/A</v>
      </c>
      <c r="X42" s="125" t="str">
        <f t="shared" ca="1" si="28"/>
        <v>N/A</v>
      </c>
      <c r="Y42" s="77" t="str">
        <f t="shared" ca="1" si="15"/>
        <v>N/A</v>
      </c>
      <c r="Z42" s="77" t="str">
        <f t="shared" ca="1" si="16"/>
        <v>N/A</v>
      </c>
      <c r="AA42" s="125" t="e">
        <f t="shared" ca="1" si="17"/>
        <v>#VALUE!</v>
      </c>
      <c r="AB42" s="77" t="e">
        <f t="shared" ca="1" si="18"/>
        <v>#VALUE!</v>
      </c>
      <c r="AC42" s="77"/>
      <c r="AD42" s="184">
        <f t="shared" ca="1" si="30"/>
        <v>-1</v>
      </c>
      <c r="AE42" s="181" t="str">
        <f t="shared" si="9"/>
        <v>N/A</v>
      </c>
      <c r="AF42" s="190">
        <v>43100</v>
      </c>
      <c r="AG42" s="186" t="e">
        <f t="shared" si="10"/>
        <v>#VALUE!</v>
      </c>
      <c r="AH42" s="187" t="e">
        <f t="shared" si="19"/>
        <v>#VALUE!</v>
      </c>
      <c r="AI42" s="187" t="e">
        <f t="shared" ca="1" si="11"/>
        <v>#VALUE!</v>
      </c>
      <c r="AJ42" s="188" t="e">
        <f t="shared" ca="1" si="12"/>
        <v>#VALUE!</v>
      </c>
      <c r="AO42" t="b">
        <f t="shared" ca="1" si="29"/>
        <v>0</v>
      </c>
      <c r="AP42" t="b">
        <f t="shared" ca="1" si="29"/>
        <v>0</v>
      </c>
      <c r="AQ42" t="b">
        <f t="shared" ca="1" si="29"/>
        <v>0</v>
      </c>
      <c r="AR42" t="b">
        <f t="shared" ca="1" si="29"/>
        <v>0</v>
      </c>
      <c r="AS42" t="b">
        <f t="shared" ca="1" si="29"/>
        <v>0</v>
      </c>
      <c r="AT42" t="b">
        <f t="shared" ca="1" si="29"/>
        <v>0</v>
      </c>
      <c r="AU42" t="b">
        <f t="shared" ca="1" si="29"/>
        <v>0</v>
      </c>
      <c r="AV42" t="b">
        <f t="shared" ca="1" si="29"/>
        <v>0</v>
      </c>
      <c r="AW42" t="b">
        <f t="shared" ca="1" si="27"/>
        <v>0</v>
      </c>
      <c r="AX42" t="b">
        <f t="shared" ca="1" si="27"/>
        <v>0</v>
      </c>
      <c r="AY42" t="b">
        <f t="shared" ca="1" si="27"/>
        <v>0</v>
      </c>
      <c r="AZ42" t="b">
        <f t="shared" ca="1" si="27"/>
        <v>0</v>
      </c>
      <c r="BA42" t="b">
        <f t="shared" ca="1" si="27"/>
        <v>0</v>
      </c>
      <c r="BB42">
        <f t="shared" ca="1" si="20"/>
        <v>1</v>
      </c>
      <c r="BC42">
        <f t="shared" ca="1" si="21"/>
        <v>7</v>
      </c>
    </row>
    <row r="43" spans="1:55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25" t="str">
        <f t="shared" ca="1" si="14"/>
        <v>N/A</v>
      </c>
      <c r="G43" s="125" t="str">
        <f t="shared" si="4"/>
        <v>N/A</v>
      </c>
      <c r="H43" s="125" t="str">
        <f t="shared" si="5"/>
        <v>N/A</v>
      </c>
      <c r="I43" s="125"/>
      <c r="J43" s="125" t="str">
        <f t="shared" si="23"/>
        <v>N/A</v>
      </c>
      <c r="K43" s="125" t="str">
        <f t="shared" si="24"/>
        <v>N/A</v>
      </c>
      <c r="L43" s="125" t="str">
        <f t="shared" ca="1" si="26"/>
        <v>N/A</v>
      </c>
      <c r="M43" s="125" t="str">
        <f t="shared" ca="1" si="26"/>
        <v>N/A</v>
      </c>
      <c r="N43" s="125" t="str">
        <f t="shared" ca="1" si="26"/>
        <v>N/A</v>
      </c>
      <c r="O43" s="125" t="str">
        <f t="shared" ref="O43:X53" ca="1" si="31">IFERROR(IF(INDEX(Earnings,$B43,O$12)=0,"N/A",INDEX(Earnings,$B43,O$12)),"N/A")</f>
        <v>N/A</v>
      </c>
      <c r="P43" s="125" t="str">
        <f t="shared" ca="1" si="31"/>
        <v>N/A</v>
      </c>
      <c r="Q43" s="125" t="str">
        <f t="shared" ca="1" si="31"/>
        <v>N/A</v>
      </c>
      <c r="R43" s="125" t="str">
        <f t="shared" ca="1" si="31"/>
        <v>N/A</v>
      </c>
      <c r="S43" s="125" t="str">
        <f t="shared" ca="1" si="31"/>
        <v>N/A</v>
      </c>
      <c r="T43" s="125" t="str">
        <f t="shared" ca="1" si="31"/>
        <v>N/A</v>
      </c>
      <c r="U43" s="125" t="str">
        <f t="shared" ca="1" si="31"/>
        <v>N/A</v>
      </c>
      <c r="V43" s="125" t="str">
        <f t="shared" ca="1" si="31"/>
        <v>N/A</v>
      </c>
      <c r="W43" s="125" t="str">
        <f t="shared" ca="1" si="31"/>
        <v>N/A</v>
      </c>
      <c r="X43" s="125" t="str">
        <f t="shared" ca="1" si="31"/>
        <v>N/A</v>
      </c>
      <c r="Y43" s="77" t="str">
        <f t="shared" ca="1" si="15"/>
        <v>N/A</v>
      </c>
      <c r="Z43" s="77" t="str">
        <f t="shared" ca="1" si="16"/>
        <v>N/A</v>
      </c>
      <c r="AA43" s="125" t="e">
        <f t="shared" ca="1" si="17"/>
        <v>#VALUE!</v>
      </c>
      <c r="AB43" s="77" t="e">
        <f t="shared" ca="1" si="18"/>
        <v>#VALUE!</v>
      </c>
      <c r="AC43" s="77"/>
      <c r="AD43" s="184">
        <f t="shared" ca="1" si="30"/>
        <v>-1</v>
      </c>
      <c r="AE43" s="181" t="str">
        <f t="shared" si="9"/>
        <v>N/A</v>
      </c>
      <c r="AF43" s="190">
        <v>43100</v>
      </c>
      <c r="AG43" s="186" t="e">
        <f t="shared" si="10"/>
        <v>#VALUE!</v>
      </c>
      <c r="AH43" s="187" t="e">
        <f t="shared" si="19"/>
        <v>#VALUE!</v>
      </c>
      <c r="AI43" s="187" t="e">
        <f t="shared" ca="1" si="11"/>
        <v>#VALUE!</v>
      </c>
      <c r="AJ43" s="188" t="e">
        <f t="shared" ca="1" si="12"/>
        <v>#VALUE!</v>
      </c>
      <c r="AO43" t="b">
        <f t="shared" ca="1" si="29"/>
        <v>0</v>
      </c>
      <c r="AP43" t="b">
        <f t="shared" ca="1" si="29"/>
        <v>0</v>
      </c>
      <c r="AQ43" t="b">
        <f t="shared" ca="1" si="29"/>
        <v>0</v>
      </c>
      <c r="AR43" t="b">
        <f t="shared" ca="1" si="29"/>
        <v>0</v>
      </c>
      <c r="AS43" t="b">
        <f t="shared" ca="1" si="29"/>
        <v>0</v>
      </c>
      <c r="AT43" t="b">
        <f t="shared" ca="1" si="29"/>
        <v>0</v>
      </c>
      <c r="AU43" t="b">
        <f t="shared" ca="1" si="29"/>
        <v>0</v>
      </c>
      <c r="AV43" t="b">
        <f t="shared" ca="1" si="29"/>
        <v>0</v>
      </c>
      <c r="AW43" t="b">
        <f t="shared" ca="1" si="27"/>
        <v>0</v>
      </c>
      <c r="AX43" t="b">
        <f t="shared" ca="1" si="27"/>
        <v>0</v>
      </c>
      <c r="AY43" t="b">
        <f t="shared" ca="1" si="27"/>
        <v>0</v>
      </c>
      <c r="AZ43" t="b">
        <f t="shared" ca="1" si="27"/>
        <v>0</v>
      </c>
      <c r="BA43" t="b">
        <f t="shared" ca="1" si="27"/>
        <v>0</v>
      </c>
      <c r="BB43">
        <f t="shared" ca="1" si="20"/>
        <v>1</v>
      </c>
      <c r="BC43">
        <f t="shared" ca="1" si="21"/>
        <v>7</v>
      </c>
    </row>
    <row r="44" spans="1:55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25" t="str">
        <f t="shared" ca="1" si="14"/>
        <v>N/A</v>
      </c>
      <c r="G44" s="125" t="str">
        <f t="shared" si="4"/>
        <v>N/A</v>
      </c>
      <c r="H44" s="125" t="str">
        <f t="shared" si="5"/>
        <v>N/A</v>
      </c>
      <c r="I44" s="125"/>
      <c r="J44" s="125" t="str">
        <f t="shared" si="23"/>
        <v>N/A</v>
      </c>
      <c r="K44" s="125" t="str">
        <f t="shared" si="24"/>
        <v>N/A</v>
      </c>
      <c r="L44" s="125" t="str">
        <f t="shared" ca="1" si="26"/>
        <v>N/A</v>
      </c>
      <c r="M44" s="125" t="str">
        <f t="shared" ca="1" si="26"/>
        <v>N/A</v>
      </c>
      <c r="N44" s="125" t="str">
        <f t="shared" ca="1" si="26"/>
        <v>N/A</v>
      </c>
      <c r="O44" s="125" t="str">
        <f t="shared" ca="1" si="31"/>
        <v>N/A</v>
      </c>
      <c r="P44" s="125" t="str">
        <f t="shared" ca="1" si="31"/>
        <v>N/A</v>
      </c>
      <c r="Q44" s="125" t="str">
        <f t="shared" ca="1" si="31"/>
        <v>N/A</v>
      </c>
      <c r="R44" s="125" t="str">
        <f t="shared" ca="1" si="31"/>
        <v>N/A</v>
      </c>
      <c r="S44" s="125" t="str">
        <f t="shared" ca="1" si="31"/>
        <v>N/A</v>
      </c>
      <c r="T44" s="125" t="str">
        <f t="shared" ca="1" si="31"/>
        <v>N/A</v>
      </c>
      <c r="U44" s="125" t="str">
        <f t="shared" ca="1" si="31"/>
        <v>N/A</v>
      </c>
      <c r="V44" s="125" t="str">
        <f t="shared" ca="1" si="31"/>
        <v>N/A</v>
      </c>
      <c r="W44" s="125" t="str">
        <f t="shared" ca="1" si="31"/>
        <v>N/A</v>
      </c>
      <c r="X44" s="125" t="str">
        <f t="shared" ca="1" si="31"/>
        <v>N/A</v>
      </c>
      <c r="Y44" s="77" t="str">
        <f t="shared" ca="1" si="15"/>
        <v>N/A</v>
      </c>
      <c r="Z44" s="77" t="str">
        <f t="shared" ca="1" si="16"/>
        <v>N/A</v>
      </c>
      <c r="AA44" s="125" t="e">
        <f t="shared" ca="1" si="17"/>
        <v>#VALUE!</v>
      </c>
      <c r="AB44" s="77" t="e">
        <f t="shared" ca="1" si="18"/>
        <v>#VALUE!</v>
      </c>
      <c r="AC44" s="77"/>
      <c r="AD44" s="184">
        <f t="shared" ca="1" si="30"/>
        <v>-1</v>
      </c>
      <c r="AE44" s="181" t="str">
        <f t="shared" si="9"/>
        <v>N/A</v>
      </c>
      <c r="AF44" s="190">
        <v>43100</v>
      </c>
      <c r="AG44" s="186" t="e">
        <f t="shared" si="10"/>
        <v>#VALUE!</v>
      </c>
      <c r="AH44" s="187" t="e">
        <f t="shared" si="19"/>
        <v>#VALUE!</v>
      </c>
      <c r="AI44" s="187" t="e">
        <f t="shared" ca="1" si="11"/>
        <v>#VALUE!</v>
      </c>
      <c r="AJ44" s="188" t="e">
        <f t="shared" ca="1" si="12"/>
        <v>#VALUE!</v>
      </c>
      <c r="AO44" t="b">
        <f t="shared" ca="1" si="29"/>
        <v>0</v>
      </c>
      <c r="AP44" t="b">
        <f t="shared" ca="1" si="29"/>
        <v>0</v>
      </c>
      <c r="AQ44" t="b">
        <f t="shared" ca="1" si="29"/>
        <v>0</v>
      </c>
      <c r="AR44" t="b">
        <f t="shared" ca="1" si="29"/>
        <v>0</v>
      </c>
      <c r="AS44" t="b">
        <f t="shared" ca="1" si="29"/>
        <v>0</v>
      </c>
      <c r="AT44" t="b">
        <f t="shared" ca="1" si="29"/>
        <v>0</v>
      </c>
      <c r="AU44" t="b">
        <f t="shared" ca="1" si="29"/>
        <v>0</v>
      </c>
      <c r="AV44" t="b">
        <f t="shared" ca="1" si="29"/>
        <v>0</v>
      </c>
      <c r="AW44" t="b">
        <f t="shared" ca="1" si="27"/>
        <v>0</v>
      </c>
      <c r="AX44" t="b">
        <f t="shared" ca="1" si="27"/>
        <v>0</v>
      </c>
      <c r="AY44" t="b">
        <f t="shared" ca="1" si="27"/>
        <v>0</v>
      </c>
      <c r="AZ44" t="b">
        <f t="shared" ca="1" si="27"/>
        <v>0</v>
      </c>
      <c r="BA44" t="b">
        <f t="shared" ca="1" si="27"/>
        <v>0</v>
      </c>
      <c r="BB44">
        <f t="shared" ca="1" si="20"/>
        <v>1</v>
      </c>
      <c r="BC44">
        <f t="shared" ca="1" si="21"/>
        <v>7</v>
      </c>
    </row>
    <row r="45" spans="1:55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25" t="str">
        <f t="shared" ca="1" si="14"/>
        <v>N/A</v>
      </c>
      <c r="G45" s="125" t="str">
        <f t="shared" si="4"/>
        <v>N/A</v>
      </c>
      <c r="H45" s="125" t="str">
        <f t="shared" si="5"/>
        <v>N/A</v>
      </c>
      <c r="I45" s="125"/>
      <c r="J45" s="125" t="str">
        <f t="shared" si="23"/>
        <v>N/A</v>
      </c>
      <c r="K45" s="125" t="str">
        <f t="shared" si="24"/>
        <v>N/A</v>
      </c>
      <c r="L45" s="125" t="str">
        <f t="shared" ca="1" si="26"/>
        <v>N/A</v>
      </c>
      <c r="M45" s="125" t="str">
        <f t="shared" ca="1" si="26"/>
        <v>N/A</v>
      </c>
      <c r="N45" s="125" t="str">
        <f t="shared" ca="1" si="26"/>
        <v>N/A</v>
      </c>
      <c r="O45" s="125" t="str">
        <f t="shared" ca="1" si="31"/>
        <v>N/A</v>
      </c>
      <c r="P45" s="125" t="str">
        <f t="shared" ca="1" si="31"/>
        <v>N/A</v>
      </c>
      <c r="Q45" s="125" t="str">
        <f t="shared" ca="1" si="31"/>
        <v>N/A</v>
      </c>
      <c r="R45" s="125" t="str">
        <f t="shared" ca="1" si="31"/>
        <v>N/A</v>
      </c>
      <c r="S45" s="125" t="str">
        <f t="shared" ca="1" si="31"/>
        <v>N/A</v>
      </c>
      <c r="T45" s="125" t="str">
        <f t="shared" ca="1" si="31"/>
        <v>N/A</v>
      </c>
      <c r="U45" s="125" t="str">
        <f t="shared" ca="1" si="31"/>
        <v>N/A</v>
      </c>
      <c r="V45" s="125" t="str">
        <f t="shared" ca="1" si="31"/>
        <v>N/A</v>
      </c>
      <c r="W45" s="125" t="str">
        <f t="shared" ca="1" si="31"/>
        <v>N/A</v>
      </c>
      <c r="X45" s="125" t="str">
        <f t="shared" ca="1" si="31"/>
        <v>N/A</v>
      </c>
      <c r="Y45" s="77" t="str">
        <f t="shared" ca="1" si="15"/>
        <v>N/A</v>
      </c>
      <c r="Z45" s="77" t="str">
        <f t="shared" ca="1" si="16"/>
        <v>N/A</v>
      </c>
      <c r="AA45" s="125" t="e">
        <f t="shared" ca="1" si="17"/>
        <v>#VALUE!</v>
      </c>
      <c r="AB45" s="77" t="e">
        <f t="shared" ca="1" si="18"/>
        <v>#VALUE!</v>
      </c>
      <c r="AC45" s="77"/>
      <c r="AD45" s="184">
        <f t="shared" ca="1" si="30"/>
        <v>-1</v>
      </c>
      <c r="AE45" s="181" t="str">
        <f t="shared" si="9"/>
        <v>N/A</v>
      </c>
      <c r="AF45" s="190">
        <v>43100</v>
      </c>
      <c r="AG45" s="186" t="e">
        <f t="shared" si="10"/>
        <v>#VALUE!</v>
      </c>
      <c r="AH45" s="187" t="e">
        <f t="shared" si="19"/>
        <v>#VALUE!</v>
      </c>
      <c r="AI45" s="187" t="e">
        <f t="shared" ca="1" si="11"/>
        <v>#VALUE!</v>
      </c>
      <c r="AJ45" s="188" t="e">
        <f t="shared" ca="1" si="12"/>
        <v>#VALUE!</v>
      </c>
      <c r="AO45" t="b">
        <f t="shared" ca="1" si="29"/>
        <v>0</v>
      </c>
      <c r="AP45" t="b">
        <f t="shared" ca="1" si="29"/>
        <v>0</v>
      </c>
      <c r="AQ45" t="b">
        <f t="shared" ca="1" si="29"/>
        <v>0</v>
      </c>
      <c r="AR45" t="b">
        <f t="shared" ca="1" si="29"/>
        <v>0</v>
      </c>
      <c r="AS45" t="b">
        <f t="shared" ca="1" si="29"/>
        <v>0</v>
      </c>
      <c r="AT45" t="b">
        <f t="shared" ca="1" si="29"/>
        <v>0</v>
      </c>
      <c r="AU45" t="b">
        <f t="shared" ca="1" si="29"/>
        <v>0</v>
      </c>
      <c r="AV45" t="b">
        <f t="shared" ca="1" si="29"/>
        <v>0</v>
      </c>
      <c r="AW45" t="b">
        <f t="shared" ca="1" si="27"/>
        <v>0</v>
      </c>
      <c r="AX45" t="b">
        <f t="shared" ca="1" si="27"/>
        <v>0</v>
      </c>
      <c r="AY45" t="b">
        <f t="shared" ca="1" si="27"/>
        <v>0</v>
      </c>
      <c r="AZ45" t="b">
        <f t="shared" ca="1" si="27"/>
        <v>0</v>
      </c>
      <c r="BA45" t="b">
        <f t="shared" ca="1" si="27"/>
        <v>0</v>
      </c>
      <c r="BB45">
        <f t="shared" ca="1" si="20"/>
        <v>1</v>
      </c>
      <c r="BC45">
        <f t="shared" ca="1" si="21"/>
        <v>7</v>
      </c>
    </row>
    <row r="46" spans="1:55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25" t="str">
        <f t="shared" ca="1" si="14"/>
        <v>N/A</v>
      </c>
      <c r="G46" s="125" t="str">
        <f t="shared" si="4"/>
        <v>N/A</v>
      </c>
      <c r="H46" s="125" t="str">
        <f t="shared" si="5"/>
        <v>N/A</v>
      </c>
      <c r="I46" s="125"/>
      <c r="J46" s="125" t="str">
        <f t="shared" si="23"/>
        <v>N/A</v>
      </c>
      <c r="K46" s="125" t="str">
        <f t="shared" si="24"/>
        <v>N/A</v>
      </c>
      <c r="L46" s="125" t="str">
        <f t="shared" ca="1" si="26"/>
        <v>N/A</v>
      </c>
      <c r="M46" s="125" t="str">
        <f t="shared" ca="1" si="26"/>
        <v>N/A</v>
      </c>
      <c r="N46" s="125" t="str">
        <f t="shared" ca="1" si="26"/>
        <v>N/A</v>
      </c>
      <c r="O46" s="125" t="str">
        <f t="shared" ca="1" si="31"/>
        <v>N/A</v>
      </c>
      <c r="P46" s="125" t="str">
        <f t="shared" ca="1" si="31"/>
        <v>N/A</v>
      </c>
      <c r="Q46" s="125" t="str">
        <f t="shared" ca="1" si="31"/>
        <v>N/A</v>
      </c>
      <c r="R46" s="125" t="str">
        <f t="shared" ca="1" si="31"/>
        <v>N/A</v>
      </c>
      <c r="S46" s="125" t="str">
        <f t="shared" ca="1" si="31"/>
        <v>N/A</v>
      </c>
      <c r="T46" s="125" t="str">
        <f t="shared" ca="1" si="31"/>
        <v>N/A</v>
      </c>
      <c r="U46" s="125" t="str">
        <f t="shared" ca="1" si="31"/>
        <v>N/A</v>
      </c>
      <c r="V46" s="125" t="str">
        <f t="shared" ca="1" si="31"/>
        <v>N/A</v>
      </c>
      <c r="W46" s="125" t="str">
        <f t="shared" ca="1" si="31"/>
        <v>N/A</v>
      </c>
      <c r="X46" s="125" t="str">
        <f t="shared" ca="1" si="31"/>
        <v>N/A</v>
      </c>
      <c r="Y46" s="77" t="str">
        <f t="shared" ca="1" si="15"/>
        <v>N/A</v>
      </c>
      <c r="Z46" s="77" t="str">
        <f t="shared" ca="1" si="16"/>
        <v>N/A</v>
      </c>
      <c r="AA46" s="125" t="e">
        <f t="shared" ca="1" si="17"/>
        <v>#VALUE!</v>
      </c>
      <c r="AB46" s="77" t="e">
        <f t="shared" ca="1" si="18"/>
        <v>#VALUE!</v>
      </c>
      <c r="AC46" s="77"/>
      <c r="AD46" s="184">
        <f t="shared" ca="1" si="30"/>
        <v>-1</v>
      </c>
      <c r="AE46" s="181" t="str">
        <f t="shared" si="9"/>
        <v>N/A</v>
      </c>
      <c r="AF46" s="190">
        <v>43100</v>
      </c>
      <c r="AG46" s="186" t="e">
        <f t="shared" si="10"/>
        <v>#VALUE!</v>
      </c>
      <c r="AH46" s="187" t="e">
        <f t="shared" si="19"/>
        <v>#VALUE!</v>
      </c>
      <c r="AI46" s="187" t="e">
        <f t="shared" ca="1" si="11"/>
        <v>#VALUE!</v>
      </c>
      <c r="AJ46" s="188" t="e">
        <f t="shared" ca="1" si="12"/>
        <v>#VALUE!</v>
      </c>
      <c r="AO46" t="b">
        <f t="shared" ca="1" si="29"/>
        <v>0</v>
      </c>
      <c r="AP46" t="b">
        <f t="shared" ca="1" si="29"/>
        <v>0</v>
      </c>
      <c r="AQ46" t="b">
        <f t="shared" ca="1" si="29"/>
        <v>0</v>
      </c>
      <c r="AR46" t="b">
        <f t="shared" ca="1" si="29"/>
        <v>0</v>
      </c>
      <c r="AS46" t="b">
        <f t="shared" ca="1" si="29"/>
        <v>0</v>
      </c>
      <c r="AT46" t="b">
        <f t="shared" ca="1" si="29"/>
        <v>0</v>
      </c>
      <c r="AU46" t="b">
        <f t="shared" ca="1" si="29"/>
        <v>0</v>
      </c>
      <c r="AV46" t="b">
        <f t="shared" ca="1" si="29"/>
        <v>0</v>
      </c>
      <c r="AW46" t="b">
        <f t="shared" ca="1" si="27"/>
        <v>0</v>
      </c>
      <c r="AX46" t="b">
        <f t="shared" ca="1" si="27"/>
        <v>0</v>
      </c>
      <c r="AY46" t="b">
        <f t="shared" ca="1" si="27"/>
        <v>0</v>
      </c>
      <c r="AZ46" t="b">
        <f t="shared" ca="1" si="27"/>
        <v>0</v>
      </c>
      <c r="BA46" t="b">
        <f t="shared" ca="1" si="27"/>
        <v>0</v>
      </c>
      <c r="BB46">
        <f t="shared" ca="1" si="20"/>
        <v>1</v>
      </c>
      <c r="BC46">
        <f t="shared" ca="1" si="21"/>
        <v>7</v>
      </c>
    </row>
    <row r="47" spans="1:55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25" t="str">
        <f t="shared" ca="1" si="14"/>
        <v>N/A</v>
      </c>
      <c r="G47" s="125" t="str">
        <f t="shared" si="4"/>
        <v>N/A</v>
      </c>
      <c r="H47" s="125" t="str">
        <f t="shared" si="5"/>
        <v>N/A</v>
      </c>
      <c r="I47" s="125"/>
      <c r="J47" s="125" t="str">
        <f t="shared" si="23"/>
        <v>N/A</v>
      </c>
      <c r="K47" s="125" t="str">
        <f t="shared" si="24"/>
        <v>N/A</v>
      </c>
      <c r="L47" s="125" t="str">
        <f t="shared" ca="1" si="26"/>
        <v>N/A</v>
      </c>
      <c r="M47" s="125" t="str">
        <f t="shared" ca="1" si="26"/>
        <v>N/A</v>
      </c>
      <c r="N47" s="125" t="str">
        <f t="shared" ca="1" si="26"/>
        <v>N/A</v>
      </c>
      <c r="O47" s="125" t="str">
        <f t="shared" ca="1" si="31"/>
        <v>N/A</v>
      </c>
      <c r="P47" s="125" t="str">
        <f t="shared" ca="1" si="31"/>
        <v>N/A</v>
      </c>
      <c r="Q47" s="125" t="str">
        <f t="shared" ca="1" si="31"/>
        <v>N/A</v>
      </c>
      <c r="R47" s="125" t="str">
        <f t="shared" ca="1" si="31"/>
        <v>N/A</v>
      </c>
      <c r="S47" s="125" t="str">
        <f t="shared" ca="1" si="31"/>
        <v>N/A</v>
      </c>
      <c r="T47" s="125" t="str">
        <f t="shared" ca="1" si="31"/>
        <v>N/A</v>
      </c>
      <c r="U47" s="125" t="str">
        <f t="shared" ca="1" si="31"/>
        <v>N/A</v>
      </c>
      <c r="V47" s="125" t="str">
        <f t="shared" ca="1" si="31"/>
        <v>N/A</v>
      </c>
      <c r="W47" s="125" t="str">
        <f t="shared" ca="1" si="31"/>
        <v>N/A</v>
      </c>
      <c r="X47" s="125" t="str">
        <f t="shared" ca="1" si="31"/>
        <v>N/A</v>
      </c>
      <c r="Y47" s="77" t="str">
        <f t="shared" ca="1" si="15"/>
        <v>N/A</v>
      </c>
      <c r="Z47" s="77" t="str">
        <f t="shared" ca="1" si="16"/>
        <v>N/A</v>
      </c>
      <c r="AA47" s="125" t="e">
        <f t="shared" ca="1" si="17"/>
        <v>#VALUE!</v>
      </c>
      <c r="AB47" s="77" t="e">
        <f t="shared" ca="1" si="18"/>
        <v>#VALUE!</v>
      </c>
      <c r="AC47" s="77"/>
      <c r="AD47" s="184">
        <f t="shared" ca="1" si="30"/>
        <v>-1</v>
      </c>
      <c r="AE47" s="181" t="str">
        <f t="shared" si="9"/>
        <v>N/A</v>
      </c>
      <c r="AF47" s="190">
        <v>43100</v>
      </c>
      <c r="AG47" s="186" t="e">
        <f t="shared" si="10"/>
        <v>#VALUE!</v>
      </c>
      <c r="AH47" s="187" t="e">
        <f t="shared" si="19"/>
        <v>#VALUE!</v>
      </c>
      <c r="AI47" s="187" t="e">
        <f t="shared" ca="1" si="11"/>
        <v>#VALUE!</v>
      </c>
      <c r="AJ47" s="188" t="e">
        <f t="shared" ca="1" si="12"/>
        <v>#VALUE!</v>
      </c>
      <c r="AO47" t="b">
        <f t="shared" ca="1" si="29"/>
        <v>0</v>
      </c>
      <c r="AP47" t="b">
        <f t="shared" ca="1" si="29"/>
        <v>0</v>
      </c>
      <c r="AQ47" t="b">
        <f t="shared" ca="1" si="29"/>
        <v>0</v>
      </c>
      <c r="AR47" t="b">
        <f t="shared" ca="1" si="29"/>
        <v>0</v>
      </c>
      <c r="AS47" t="b">
        <f t="shared" ca="1" si="29"/>
        <v>0</v>
      </c>
      <c r="AT47" t="b">
        <f t="shared" ca="1" si="29"/>
        <v>0</v>
      </c>
      <c r="AU47" t="b">
        <f t="shared" ca="1" si="29"/>
        <v>0</v>
      </c>
      <c r="AV47" t="b">
        <f t="shared" ca="1" si="29"/>
        <v>0</v>
      </c>
      <c r="AW47" t="b">
        <f t="shared" ca="1" si="27"/>
        <v>0</v>
      </c>
      <c r="AX47" t="b">
        <f t="shared" ca="1" si="27"/>
        <v>0</v>
      </c>
      <c r="AY47" t="b">
        <f t="shared" ca="1" si="27"/>
        <v>0</v>
      </c>
      <c r="AZ47" t="b">
        <f t="shared" ca="1" si="27"/>
        <v>0</v>
      </c>
      <c r="BA47" t="b">
        <f t="shared" ca="1" si="27"/>
        <v>0</v>
      </c>
      <c r="BB47">
        <f t="shared" ca="1" si="20"/>
        <v>1</v>
      </c>
      <c r="BC47">
        <f t="shared" ca="1" si="21"/>
        <v>7</v>
      </c>
    </row>
    <row r="48" spans="1:55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25" t="str">
        <f t="shared" ca="1" si="14"/>
        <v>N/A</v>
      </c>
      <c r="G48" s="125" t="str">
        <f t="shared" si="4"/>
        <v>N/A</v>
      </c>
      <c r="H48" s="125" t="str">
        <f t="shared" si="5"/>
        <v>N/A</v>
      </c>
      <c r="I48" s="125"/>
      <c r="J48" s="125" t="str">
        <f t="shared" si="23"/>
        <v>N/A</v>
      </c>
      <c r="K48" s="125" t="str">
        <f t="shared" si="24"/>
        <v>N/A</v>
      </c>
      <c r="L48" s="125" t="str">
        <f t="shared" ca="1" si="26"/>
        <v>N/A</v>
      </c>
      <c r="M48" s="125" t="str">
        <f t="shared" ca="1" si="26"/>
        <v>N/A</v>
      </c>
      <c r="N48" s="125" t="str">
        <f t="shared" ca="1" si="26"/>
        <v>N/A</v>
      </c>
      <c r="O48" s="125" t="str">
        <f t="shared" ca="1" si="31"/>
        <v>N/A</v>
      </c>
      <c r="P48" s="125" t="str">
        <f t="shared" ca="1" si="31"/>
        <v>N/A</v>
      </c>
      <c r="Q48" s="125" t="str">
        <f t="shared" ca="1" si="31"/>
        <v>N/A</v>
      </c>
      <c r="R48" s="125" t="str">
        <f t="shared" ca="1" si="31"/>
        <v>N/A</v>
      </c>
      <c r="S48" s="125" t="str">
        <f t="shared" ca="1" si="31"/>
        <v>N/A</v>
      </c>
      <c r="T48" s="125" t="str">
        <f t="shared" ca="1" si="31"/>
        <v>N/A</v>
      </c>
      <c r="U48" s="125" t="str">
        <f t="shared" ca="1" si="31"/>
        <v>N/A</v>
      </c>
      <c r="V48" s="125" t="str">
        <f t="shared" ca="1" si="31"/>
        <v>N/A</v>
      </c>
      <c r="W48" s="125" t="str">
        <f t="shared" ca="1" si="31"/>
        <v>N/A</v>
      </c>
      <c r="X48" s="125" t="str">
        <f t="shared" ca="1" si="31"/>
        <v>N/A</v>
      </c>
      <c r="Y48" s="77" t="str">
        <f t="shared" ca="1" si="15"/>
        <v>N/A</v>
      </c>
      <c r="Z48" s="77" t="str">
        <f t="shared" ca="1" si="16"/>
        <v>N/A</v>
      </c>
      <c r="AA48" s="125" t="e">
        <f t="shared" ca="1" si="17"/>
        <v>#VALUE!</v>
      </c>
      <c r="AB48" s="77" t="e">
        <f t="shared" ca="1" si="18"/>
        <v>#VALUE!</v>
      </c>
      <c r="AC48" s="77"/>
      <c r="AD48" s="184">
        <f t="shared" ca="1" si="30"/>
        <v>-1</v>
      </c>
      <c r="AE48" s="181" t="str">
        <f t="shared" si="9"/>
        <v>N/A</v>
      </c>
      <c r="AF48" s="190">
        <v>43100</v>
      </c>
      <c r="AG48" s="186" t="e">
        <f t="shared" si="10"/>
        <v>#VALUE!</v>
      </c>
      <c r="AH48" s="187" t="e">
        <f t="shared" si="19"/>
        <v>#VALUE!</v>
      </c>
      <c r="AI48" s="187" t="e">
        <f t="shared" ca="1" si="11"/>
        <v>#VALUE!</v>
      </c>
      <c r="AJ48" s="188" t="e">
        <f t="shared" ca="1" si="12"/>
        <v>#VALUE!</v>
      </c>
      <c r="AO48" t="b">
        <f t="shared" ca="1" si="29"/>
        <v>0</v>
      </c>
      <c r="AP48" t="b">
        <f t="shared" ca="1" si="29"/>
        <v>0</v>
      </c>
      <c r="AQ48" t="b">
        <f t="shared" ca="1" si="29"/>
        <v>0</v>
      </c>
      <c r="AR48" t="b">
        <f t="shared" ca="1" si="29"/>
        <v>0</v>
      </c>
      <c r="AS48" t="b">
        <f t="shared" ca="1" si="29"/>
        <v>0</v>
      </c>
      <c r="AT48" t="b">
        <f t="shared" ca="1" si="29"/>
        <v>0</v>
      </c>
      <c r="AU48" t="b">
        <f t="shared" ca="1" si="29"/>
        <v>0</v>
      </c>
      <c r="AV48" t="b">
        <f t="shared" ca="1" si="29"/>
        <v>0</v>
      </c>
      <c r="AW48" t="b">
        <f t="shared" ca="1" si="27"/>
        <v>0</v>
      </c>
      <c r="AX48" t="b">
        <f t="shared" ca="1" si="27"/>
        <v>0</v>
      </c>
      <c r="AY48" t="b">
        <f t="shared" ca="1" si="27"/>
        <v>0</v>
      </c>
      <c r="AZ48" t="b">
        <f t="shared" ca="1" si="27"/>
        <v>0</v>
      </c>
      <c r="BA48" t="b">
        <f t="shared" ca="1" si="27"/>
        <v>0</v>
      </c>
      <c r="BB48">
        <f t="shared" ca="1" si="20"/>
        <v>1</v>
      </c>
      <c r="BC48">
        <f t="shared" ca="1" si="21"/>
        <v>7</v>
      </c>
    </row>
    <row r="49" spans="1:55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25" t="str">
        <f t="shared" ca="1" si="14"/>
        <v>N/A</v>
      </c>
      <c r="G49" s="125" t="str">
        <f t="shared" si="4"/>
        <v>N/A</v>
      </c>
      <c r="H49" s="125" t="str">
        <f t="shared" si="5"/>
        <v>N/A</v>
      </c>
      <c r="I49" s="125"/>
      <c r="J49" s="125" t="str">
        <f t="shared" si="23"/>
        <v>N/A</v>
      </c>
      <c r="K49" s="125" t="str">
        <f t="shared" si="24"/>
        <v>N/A</v>
      </c>
      <c r="L49" s="125" t="str">
        <f t="shared" ca="1" si="26"/>
        <v>N/A</v>
      </c>
      <c r="M49" s="125" t="str">
        <f t="shared" ca="1" si="26"/>
        <v>N/A</v>
      </c>
      <c r="N49" s="125" t="str">
        <f t="shared" ca="1" si="26"/>
        <v>N/A</v>
      </c>
      <c r="O49" s="125" t="str">
        <f t="shared" ca="1" si="31"/>
        <v>N/A</v>
      </c>
      <c r="P49" s="125" t="str">
        <f t="shared" ca="1" si="31"/>
        <v>N/A</v>
      </c>
      <c r="Q49" s="125" t="str">
        <f t="shared" ca="1" si="31"/>
        <v>N/A</v>
      </c>
      <c r="R49" s="125" t="str">
        <f t="shared" ca="1" si="31"/>
        <v>N/A</v>
      </c>
      <c r="S49" s="125" t="str">
        <f t="shared" ca="1" si="31"/>
        <v>N/A</v>
      </c>
      <c r="T49" s="125" t="str">
        <f t="shared" ca="1" si="31"/>
        <v>N/A</v>
      </c>
      <c r="U49" s="125" t="str">
        <f t="shared" ca="1" si="31"/>
        <v>N/A</v>
      </c>
      <c r="V49" s="125" t="str">
        <f t="shared" ca="1" si="31"/>
        <v>N/A</v>
      </c>
      <c r="W49" s="125" t="str">
        <f t="shared" ca="1" si="31"/>
        <v>N/A</v>
      </c>
      <c r="X49" s="125" t="str">
        <f t="shared" ca="1" si="31"/>
        <v>N/A</v>
      </c>
      <c r="Y49" s="77" t="str">
        <f t="shared" ca="1" si="15"/>
        <v>N/A</v>
      </c>
      <c r="Z49" s="77" t="str">
        <f t="shared" ca="1" si="16"/>
        <v>N/A</v>
      </c>
      <c r="AA49" s="125" t="e">
        <f t="shared" ca="1" si="17"/>
        <v>#VALUE!</v>
      </c>
      <c r="AB49" s="77" t="e">
        <f t="shared" ca="1" si="18"/>
        <v>#VALUE!</v>
      </c>
      <c r="AC49" s="77"/>
      <c r="AD49" s="184">
        <f t="shared" ca="1" si="30"/>
        <v>-1</v>
      </c>
      <c r="AE49" s="181" t="str">
        <f t="shared" si="9"/>
        <v>N/A</v>
      </c>
      <c r="AF49" s="190">
        <v>43100</v>
      </c>
      <c r="AG49" s="186" t="e">
        <f t="shared" si="10"/>
        <v>#VALUE!</v>
      </c>
      <c r="AH49" s="187" t="e">
        <f t="shared" si="19"/>
        <v>#VALUE!</v>
      </c>
      <c r="AI49" s="187" t="e">
        <f t="shared" ca="1" si="11"/>
        <v>#VALUE!</v>
      </c>
      <c r="AJ49" s="188" t="e">
        <f t="shared" ca="1" si="12"/>
        <v>#VALUE!</v>
      </c>
      <c r="AO49" t="b">
        <f t="shared" ca="1" si="29"/>
        <v>0</v>
      </c>
      <c r="AP49" t="b">
        <f t="shared" ca="1" si="29"/>
        <v>0</v>
      </c>
      <c r="AQ49" t="b">
        <f t="shared" ca="1" si="29"/>
        <v>0</v>
      </c>
      <c r="AR49" t="b">
        <f t="shared" ca="1" si="29"/>
        <v>0</v>
      </c>
      <c r="AS49" t="b">
        <f t="shared" ca="1" si="29"/>
        <v>0</v>
      </c>
      <c r="AT49" t="b">
        <f t="shared" ca="1" si="29"/>
        <v>0</v>
      </c>
      <c r="AU49" t="b">
        <f t="shared" ca="1" si="29"/>
        <v>0</v>
      </c>
      <c r="AV49" t="b">
        <f t="shared" ca="1" si="29"/>
        <v>0</v>
      </c>
      <c r="AW49" t="b">
        <f t="shared" ca="1" si="27"/>
        <v>0</v>
      </c>
      <c r="AX49" t="b">
        <f t="shared" ca="1" si="27"/>
        <v>0</v>
      </c>
      <c r="AY49" t="b">
        <f t="shared" ca="1" si="27"/>
        <v>0</v>
      </c>
      <c r="AZ49" t="b">
        <f t="shared" ca="1" si="27"/>
        <v>0</v>
      </c>
      <c r="BA49" t="b">
        <f t="shared" ca="1" si="27"/>
        <v>0</v>
      </c>
      <c r="BB49">
        <f t="shared" ca="1" si="20"/>
        <v>1</v>
      </c>
      <c r="BC49">
        <f t="shared" ca="1" si="21"/>
        <v>7</v>
      </c>
    </row>
    <row r="50" spans="1:55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25" t="str">
        <f t="shared" ca="1" si="14"/>
        <v>N/A</v>
      </c>
      <c r="G50" s="125" t="str">
        <f t="shared" si="4"/>
        <v>N/A</v>
      </c>
      <c r="H50" s="125" t="str">
        <f t="shared" si="5"/>
        <v>N/A</v>
      </c>
      <c r="I50" s="125"/>
      <c r="J50" s="125" t="str">
        <f t="shared" si="23"/>
        <v>N/A</v>
      </c>
      <c r="K50" s="125" t="str">
        <f t="shared" si="24"/>
        <v>N/A</v>
      </c>
      <c r="L50" s="125" t="str">
        <f t="shared" ca="1" si="26"/>
        <v>N/A</v>
      </c>
      <c r="M50" s="125" t="str">
        <f t="shared" ca="1" si="26"/>
        <v>N/A</v>
      </c>
      <c r="N50" s="125" t="str">
        <f t="shared" ca="1" si="26"/>
        <v>N/A</v>
      </c>
      <c r="O50" s="125" t="str">
        <f t="shared" ca="1" si="31"/>
        <v>N/A</v>
      </c>
      <c r="P50" s="125" t="str">
        <f t="shared" ca="1" si="31"/>
        <v>N/A</v>
      </c>
      <c r="Q50" s="125" t="str">
        <f t="shared" ca="1" si="31"/>
        <v>N/A</v>
      </c>
      <c r="R50" s="125" t="str">
        <f t="shared" ca="1" si="31"/>
        <v>N/A</v>
      </c>
      <c r="S50" s="125" t="str">
        <f t="shared" ca="1" si="31"/>
        <v>N/A</v>
      </c>
      <c r="T50" s="125" t="str">
        <f t="shared" ca="1" si="31"/>
        <v>N/A</v>
      </c>
      <c r="U50" s="125" t="str">
        <f t="shared" ca="1" si="31"/>
        <v>N/A</v>
      </c>
      <c r="V50" s="125" t="str">
        <f t="shared" ca="1" si="31"/>
        <v>N/A</v>
      </c>
      <c r="W50" s="125" t="str">
        <f t="shared" ca="1" si="31"/>
        <v>N/A</v>
      </c>
      <c r="X50" s="125" t="str">
        <f t="shared" ca="1" si="31"/>
        <v>N/A</v>
      </c>
      <c r="Y50" s="77" t="str">
        <f t="shared" ca="1" si="15"/>
        <v>N/A</v>
      </c>
      <c r="Z50" s="77" t="str">
        <f t="shared" ca="1" si="16"/>
        <v>N/A</v>
      </c>
      <c r="AA50" s="125" t="e">
        <f t="shared" ca="1" si="17"/>
        <v>#VALUE!</v>
      </c>
      <c r="AB50" s="77" t="e">
        <f t="shared" ca="1" si="18"/>
        <v>#VALUE!</v>
      </c>
      <c r="AC50" s="77"/>
      <c r="AD50" s="184">
        <f t="shared" ca="1" si="30"/>
        <v>-1</v>
      </c>
      <c r="AE50" s="181" t="str">
        <f t="shared" si="9"/>
        <v>N/A</v>
      </c>
      <c r="AF50" s="190">
        <v>43100</v>
      </c>
      <c r="AG50" s="186" t="e">
        <f t="shared" si="10"/>
        <v>#VALUE!</v>
      </c>
      <c r="AH50" s="187" t="e">
        <f t="shared" si="19"/>
        <v>#VALUE!</v>
      </c>
      <c r="AI50" s="187" t="e">
        <f t="shared" ca="1" si="11"/>
        <v>#VALUE!</v>
      </c>
      <c r="AJ50" s="188" t="e">
        <f t="shared" ca="1" si="12"/>
        <v>#VALUE!</v>
      </c>
      <c r="AO50" t="b">
        <f t="shared" ca="1" si="29"/>
        <v>0</v>
      </c>
      <c r="AP50" t="b">
        <f t="shared" ca="1" si="29"/>
        <v>0</v>
      </c>
      <c r="AQ50" t="b">
        <f t="shared" ca="1" si="29"/>
        <v>0</v>
      </c>
      <c r="AR50" t="b">
        <f t="shared" ca="1" si="29"/>
        <v>0</v>
      </c>
      <c r="AS50" t="b">
        <f t="shared" ca="1" si="29"/>
        <v>0</v>
      </c>
      <c r="AT50" t="b">
        <f t="shared" ca="1" si="29"/>
        <v>0</v>
      </c>
      <c r="AU50" t="b">
        <f t="shared" ca="1" si="29"/>
        <v>0</v>
      </c>
      <c r="AV50" t="b">
        <f t="shared" ca="1" si="29"/>
        <v>0</v>
      </c>
      <c r="AW50" t="b">
        <f t="shared" ca="1" si="27"/>
        <v>0</v>
      </c>
      <c r="AX50" t="b">
        <f t="shared" ca="1" si="27"/>
        <v>0</v>
      </c>
      <c r="AY50" t="b">
        <f t="shared" ca="1" si="27"/>
        <v>0</v>
      </c>
      <c r="AZ50" t="b">
        <f t="shared" ca="1" si="27"/>
        <v>0</v>
      </c>
      <c r="BA50" t="b">
        <f t="shared" ca="1" si="27"/>
        <v>0</v>
      </c>
      <c r="BB50">
        <f t="shared" ca="1" si="20"/>
        <v>1</v>
      </c>
      <c r="BC50">
        <f t="shared" ca="1" si="21"/>
        <v>7</v>
      </c>
    </row>
    <row r="51" spans="1:55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25" t="str">
        <f t="shared" ca="1" si="14"/>
        <v>N/A</v>
      </c>
      <c r="G51" s="125" t="str">
        <f t="shared" si="4"/>
        <v>N/A</v>
      </c>
      <c r="H51" s="125" t="str">
        <f t="shared" si="5"/>
        <v>N/A</v>
      </c>
      <c r="I51" s="125"/>
      <c r="J51" s="125" t="str">
        <f t="shared" si="23"/>
        <v>N/A</v>
      </c>
      <c r="K51" s="125" t="str">
        <f t="shared" si="24"/>
        <v>N/A</v>
      </c>
      <c r="L51" s="125" t="str">
        <f t="shared" ca="1" si="26"/>
        <v>N/A</v>
      </c>
      <c r="M51" s="125" t="str">
        <f t="shared" ca="1" si="26"/>
        <v>N/A</v>
      </c>
      <c r="N51" s="125" t="str">
        <f t="shared" ca="1" si="26"/>
        <v>N/A</v>
      </c>
      <c r="O51" s="125" t="str">
        <f t="shared" ca="1" si="31"/>
        <v>N/A</v>
      </c>
      <c r="P51" s="125" t="str">
        <f t="shared" ca="1" si="31"/>
        <v>N/A</v>
      </c>
      <c r="Q51" s="125" t="str">
        <f t="shared" ca="1" si="31"/>
        <v>N/A</v>
      </c>
      <c r="R51" s="125" t="str">
        <f t="shared" ca="1" si="31"/>
        <v>N/A</v>
      </c>
      <c r="S51" s="125" t="str">
        <f t="shared" ca="1" si="31"/>
        <v>N/A</v>
      </c>
      <c r="T51" s="125" t="str">
        <f t="shared" ca="1" si="31"/>
        <v>N/A</v>
      </c>
      <c r="U51" s="125" t="str">
        <f t="shared" ca="1" si="31"/>
        <v>N/A</v>
      </c>
      <c r="V51" s="125" t="str">
        <f t="shared" ca="1" si="31"/>
        <v>N/A</v>
      </c>
      <c r="W51" s="125" t="str">
        <f t="shared" ca="1" si="31"/>
        <v>N/A</v>
      </c>
      <c r="X51" s="125" t="str">
        <f t="shared" ca="1" si="31"/>
        <v>N/A</v>
      </c>
      <c r="Y51" s="77" t="str">
        <f t="shared" ca="1" si="15"/>
        <v>N/A</v>
      </c>
      <c r="Z51" s="77" t="str">
        <f t="shared" ca="1" si="16"/>
        <v>N/A</v>
      </c>
      <c r="AA51" s="125" t="e">
        <f t="shared" ca="1" si="17"/>
        <v>#VALUE!</v>
      </c>
      <c r="AB51" s="77" t="e">
        <f t="shared" ca="1" si="18"/>
        <v>#VALUE!</v>
      </c>
      <c r="AC51" s="77"/>
      <c r="AD51" s="184">
        <f t="shared" ca="1" si="30"/>
        <v>-1</v>
      </c>
      <c r="AE51" s="181" t="str">
        <f t="shared" si="9"/>
        <v>N/A</v>
      </c>
      <c r="AF51" s="190">
        <v>43100</v>
      </c>
      <c r="AG51" s="186" t="e">
        <f t="shared" si="10"/>
        <v>#VALUE!</v>
      </c>
      <c r="AH51" s="187" t="e">
        <f t="shared" si="19"/>
        <v>#VALUE!</v>
      </c>
      <c r="AI51" s="187" t="e">
        <f t="shared" ca="1" si="11"/>
        <v>#VALUE!</v>
      </c>
      <c r="AJ51" s="188" t="e">
        <f t="shared" ca="1" si="12"/>
        <v>#VALUE!</v>
      </c>
      <c r="AO51" t="b">
        <f t="shared" ca="1" si="29"/>
        <v>0</v>
      </c>
      <c r="AP51" t="b">
        <f t="shared" ca="1" si="29"/>
        <v>0</v>
      </c>
      <c r="AQ51" t="b">
        <f t="shared" ca="1" si="29"/>
        <v>0</v>
      </c>
      <c r="AR51" t="b">
        <f t="shared" ca="1" si="29"/>
        <v>0</v>
      </c>
      <c r="AS51" t="b">
        <f t="shared" ca="1" si="29"/>
        <v>0</v>
      </c>
      <c r="AT51" t="b">
        <f t="shared" ca="1" si="29"/>
        <v>0</v>
      </c>
      <c r="AU51" t="b">
        <f t="shared" ca="1" si="29"/>
        <v>0</v>
      </c>
      <c r="AV51" t="b">
        <f t="shared" ca="1" si="29"/>
        <v>0</v>
      </c>
      <c r="AW51" t="b">
        <f t="shared" ca="1" si="27"/>
        <v>0</v>
      </c>
      <c r="AX51" t="b">
        <f t="shared" ca="1" si="27"/>
        <v>0</v>
      </c>
      <c r="AY51" t="b">
        <f t="shared" ca="1" si="27"/>
        <v>0</v>
      </c>
      <c r="AZ51" t="b">
        <f t="shared" ca="1" si="27"/>
        <v>0</v>
      </c>
      <c r="BA51" t="b">
        <f t="shared" ca="1" si="27"/>
        <v>0</v>
      </c>
      <c r="BB51">
        <f t="shared" ca="1" si="20"/>
        <v>1</v>
      </c>
      <c r="BC51">
        <f t="shared" ca="1" si="21"/>
        <v>7</v>
      </c>
    </row>
    <row r="52" spans="1:55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25" t="str">
        <f t="shared" ca="1" si="14"/>
        <v>N/A</v>
      </c>
      <c r="G52" s="125" t="str">
        <f t="shared" si="4"/>
        <v>N/A</v>
      </c>
      <c r="H52" s="125" t="str">
        <f t="shared" si="5"/>
        <v>N/A</v>
      </c>
      <c r="I52" s="125"/>
      <c r="J52" s="125" t="str">
        <f t="shared" si="23"/>
        <v>N/A</v>
      </c>
      <c r="K52" s="125" t="str">
        <f t="shared" si="24"/>
        <v>N/A</v>
      </c>
      <c r="L52" s="125" t="str">
        <f t="shared" ca="1" si="26"/>
        <v>N/A</v>
      </c>
      <c r="M52" s="125" t="str">
        <f t="shared" ca="1" si="26"/>
        <v>N/A</v>
      </c>
      <c r="N52" s="125" t="str">
        <f t="shared" ca="1" si="26"/>
        <v>N/A</v>
      </c>
      <c r="O52" s="125" t="str">
        <f t="shared" ca="1" si="31"/>
        <v>N/A</v>
      </c>
      <c r="P52" s="125" t="str">
        <f t="shared" ca="1" si="31"/>
        <v>N/A</v>
      </c>
      <c r="Q52" s="125" t="str">
        <f t="shared" ca="1" si="31"/>
        <v>N/A</v>
      </c>
      <c r="R52" s="125" t="str">
        <f t="shared" ca="1" si="31"/>
        <v>N/A</v>
      </c>
      <c r="S52" s="125" t="str">
        <f t="shared" ca="1" si="31"/>
        <v>N/A</v>
      </c>
      <c r="T52" s="125" t="str">
        <f t="shared" ca="1" si="31"/>
        <v>N/A</v>
      </c>
      <c r="U52" s="125" t="str">
        <f t="shared" ca="1" si="31"/>
        <v>N/A</v>
      </c>
      <c r="V52" s="125" t="str">
        <f t="shared" ca="1" si="31"/>
        <v>N/A</v>
      </c>
      <c r="W52" s="125" t="str">
        <f t="shared" ca="1" si="31"/>
        <v>N/A</v>
      </c>
      <c r="X52" s="125" t="str">
        <f t="shared" ca="1" si="31"/>
        <v>N/A</v>
      </c>
      <c r="Y52" s="77" t="str">
        <f t="shared" ca="1" si="15"/>
        <v>N/A</v>
      </c>
      <c r="Z52" s="77" t="str">
        <f t="shared" ca="1" si="16"/>
        <v>N/A</v>
      </c>
      <c r="AA52" s="125" t="e">
        <f t="shared" ca="1" si="17"/>
        <v>#VALUE!</v>
      </c>
      <c r="AB52" s="77" t="e">
        <f t="shared" ca="1" si="18"/>
        <v>#VALUE!</v>
      </c>
      <c r="AC52" s="77"/>
      <c r="AD52" s="184">
        <f t="shared" ca="1" si="30"/>
        <v>-1</v>
      </c>
      <c r="AE52" s="181" t="str">
        <f t="shared" si="9"/>
        <v>N/A</v>
      </c>
      <c r="AF52" s="190">
        <v>43100</v>
      </c>
      <c r="AG52" s="186" t="e">
        <f t="shared" si="10"/>
        <v>#VALUE!</v>
      </c>
      <c r="AH52" s="187" t="e">
        <f t="shared" si="19"/>
        <v>#VALUE!</v>
      </c>
      <c r="AI52" s="187" t="e">
        <f t="shared" ca="1" si="11"/>
        <v>#VALUE!</v>
      </c>
      <c r="AJ52" s="188" t="e">
        <f t="shared" ca="1" si="12"/>
        <v>#VALUE!</v>
      </c>
      <c r="AO52" t="b">
        <f t="shared" ca="1" si="29"/>
        <v>0</v>
      </c>
      <c r="AP52" t="b">
        <f t="shared" ca="1" si="29"/>
        <v>0</v>
      </c>
      <c r="AQ52" t="b">
        <f t="shared" ca="1" si="29"/>
        <v>0</v>
      </c>
      <c r="AR52" t="b">
        <f t="shared" ca="1" si="29"/>
        <v>0</v>
      </c>
      <c r="AS52" t="b">
        <f t="shared" ca="1" si="29"/>
        <v>0</v>
      </c>
      <c r="AT52" t="b">
        <f t="shared" ca="1" si="29"/>
        <v>0</v>
      </c>
      <c r="AU52" t="b">
        <f t="shared" ca="1" si="29"/>
        <v>0</v>
      </c>
      <c r="AV52" t="b">
        <f t="shared" ca="1" si="29"/>
        <v>0</v>
      </c>
      <c r="AW52" t="b">
        <f t="shared" ca="1" si="27"/>
        <v>0</v>
      </c>
      <c r="AX52" t="b">
        <f t="shared" ca="1" si="27"/>
        <v>0</v>
      </c>
      <c r="AY52" t="b">
        <f t="shared" ca="1" si="27"/>
        <v>0</v>
      </c>
      <c r="AZ52" t="b">
        <f t="shared" ca="1" si="27"/>
        <v>0</v>
      </c>
      <c r="BA52" t="b">
        <f t="shared" ca="1" si="27"/>
        <v>0</v>
      </c>
      <c r="BB52">
        <f t="shared" ca="1" si="20"/>
        <v>1</v>
      </c>
      <c r="BC52">
        <f t="shared" ca="1" si="21"/>
        <v>7</v>
      </c>
    </row>
    <row r="53" spans="1:55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25" t="str">
        <f t="shared" ca="1" si="14"/>
        <v>N/A</v>
      </c>
      <c r="G53" s="125" t="str">
        <f t="shared" si="4"/>
        <v>N/A</v>
      </c>
      <c r="H53" s="125" t="str">
        <f t="shared" si="5"/>
        <v>N/A</v>
      </c>
      <c r="I53" s="125"/>
      <c r="J53" s="125" t="str">
        <f t="shared" si="23"/>
        <v>N/A</v>
      </c>
      <c r="K53" s="125" t="str">
        <f t="shared" si="24"/>
        <v>N/A</v>
      </c>
      <c r="L53" s="125" t="str">
        <f t="shared" ca="1" si="26"/>
        <v>N/A</v>
      </c>
      <c r="M53" s="125" t="str">
        <f t="shared" ca="1" si="26"/>
        <v>N/A</v>
      </c>
      <c r="N53" s="125" t="str">
        <f t="shared" ca="1" si="26"/>
        <v>N/A</v>
      </c>
      <c r="O53" s="125" t="str">
        <f t="shared" ca="1" si="31"/>
        <v>N/A</v>
      </c>
      <c r="P53" s="125" t="str">
        <f t="shared" ca="1" si="31"/>
        <v>N/A</v>
      </c>
      <c r="Q53" s="125" t="str">
        <f t="shared" ca="1" si="31"/>
        <v>N/A</v>
      </c>
      <c r="R53" s="125" t="str">
        <f t="shared" ca="1" si="31"/>
        <v>N/A</v>
      </c>
      <c r="S53" s="125" t="str">
        <f t="shared" ca="1" si="31"/>
        <v>N/A</v>
      </c>
      <c r="T53" s="125" t="str">
        <f t="shared" ca="1" si="31"/>
        <v>N/A</v>
      </c>
      <c r="U53" s="125" t="str">
        <f t="shared" ca="1" si="31"/>
        <v>N/A</v>
      </c>
      <c r="V53" s="125" t="str">
        <f t="shared" ca="1" si="31"/>
        <v>N/A</v>
      </c>
      <c r="W53" s="125" t="str">
        <f t="shared" ca="1" si="31"/>
        <v>N/A</v>
      </c>
      <c r="X53" s="125" t="str">
        <f t="shared" ca="1" si="31"/>
        <v>N/A</v>
      </c>
      <c r="Y53" s="77" t="str">
        <f t="shared" ca="1" si="15"/>
        <v>N/A</v>
      </c>
      <c r="Z53" s="77" t="str">
        <f t="shared" ca="1" si="16"/>
        <v>N/A</v>
      </c>
      <c r="AA53" s="125" t="e">
        <f t="shared" ca="1" si="17"/>
        <v>#VALUE!</v>
      </c>
      <c r="AB53" s="77" t="e">
        <f t="shared" ca="1" si="18"/>
        <v>#VALUE!</v>
      </c>
      <c r="AC53" s="77"/>
      <c r="AD53" s="184">
        <f t="shared" ca="1" si="30"/>
        <v>-1</v>
      </c>
      <c r="AE53" s="181" t="str">
        <f t="shared" si="9"/>
        <v>N/A</v>
      </c>
      <c r="AF53" s="190">
        <v>43100</v>
      </c>
      <c r="AG53" s="186" t="e">
        <f t="shared" si="10"/>
        <v>#VALUE!</v>
      </c>
      <c r="AH53" s="187" t="e">
        <f t="shared" si="19"/>
        <v>#VALUE!</v>
      </c>
      <c r="AI53" s="187" t="e">
        <f t="shared" ca="1" si="11"/>
        <v>#VALUE!</v>
      </c>
      <c r="AJ53" s="188" t="e">
        <f t="shared" ca="1" si="12"/>
        <v>#VALUE!</v>
      </c>
      <c r="AO53" t="b">
        <f t="shared" ca="1" si="29"/>
        <v>0</v>
      </c>
      <c r="AP53" t="b">
        <f t="shared" ca="1" si="29"/>
        <v>0</v>
      </c>
      <c r="AQ53" t="b">
        <f t="shared" ca="1" si="29"/>
        <v>0</v>
      </c>
      <c r="AR53" t="b">
        <f t="shared" ca="1" si="29"/>
        <v>0</v>
      </c>
      <c r="AS53" t="b">
        <f t="shared" ca="1" si="29"/>
        <v>0</v>
      </c>
      <c r="AT53" t="b">
        <f t="shared" ca="1" si="29"/>
        <v>0</v>
      </c>
      <c r="AU53" t="b">
        <f t="shared" ca="1" si="29"/>
        <v>0</v>
      </c>
      <c r="AV53" t="b">
        <f t="shared" ca="1" si="29"/>
        <v>0</v>
      </c>
      <c r="AW53" t="b">
        <f t="shared" ca="1" si="27"/>
        <v>0</v>
      </c>
      <c r="AX53" t="b">
        <f t="shared" ca="1" si="27"/>
        <v>0</v>
      </c>
      <c r="AY53" t="b">
        <f t="shared" ca="1" si="27"/>
        <v>0</v>
      </c>
      <c r="AZ53" t="b">
        <f t="shared" ca="1" si="27"/>
        <v>0</v>
      </c>
      <c r="BA53" t="b">
        <f t="shared" ca="1" si="27"/>
        <v>0</v>
      </c>
      <c r="BB53">
        <f t="shared" ca="1" si="20"/>
        <v>1</v>
      </c>
      <c r="BC53">
        <f t="shared" ca="1" si="21"/>
        <v>7</v>
      </c>
    </row>
    <row r="54" spans="1:55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14"/>
        <v>N/A</v>
      </c>
      <c r="G54" s="125" t="str">
        <f t="shared" si="4"/>
        <v>N/A</v>
      </c>
      <c r="H54" s="125" t="str">
        <f t="shared" si="5"/>
        <v>N/A</v>
      </c>
      <c r="I54" s="125"/>
      <c r="J54" s="125" t="str">
        <f t="shared" si="23"/>
        <v>N/A</v>
      </c>
      <c r="K54" s="125" t="str">
        <f t="shared" si="24"/>
        <v>N/A</v>
      </c>
      <c r="L54" s="125" t="str">
        <f t="shared" ca="1" si="26"/>
        <v>N/A</v>
      </c>
      <c r="M54" s="125" t="str">
        <f t="shared" ca="1" si="26"/>
        <v>N/A</v>
      </c>
      <c r="N54" s="125" t="str">
        <f t="shared" ca="1" si="26"/>
        <v>N/A</v>
      </c>
      <c r="O54" s="125" t="str">
        <f t="shared" ref="O54:X57" ca="1" si="32">IFERROR(IF(INDEX(Dividends,$B54,O$12)=0,"N/A",INDEX(Dividends,$B54,O$12)),"N/A")</f>
        <v>N/A</v>
      </c>
      <c r="P54" s="125" t="str">
        <f t="shared" ca="1" si="32"/>
        <v>N/A</v>
      </c>
      <c r="Q54" s="125" t="str">
        <f t="shared" ca="1" si="32"/>
        <v>N/A</v>
      </c>
      <c r="R54" s="125" t="str">
        <f t="shared" ca="1" si="32"/>
        <v>N/A</v>
      </c>
      <c r="S54" s="125" t="str">
        <f t="shared" ca="1" si="32"/>
        <v>N/A</v>
      </c>
      <c r="T54" s="125" t="str">
        <f t="shared" ca="1" si="32"/>
        <v>N/A</v>
      </c>
      <c r="U54" s="125" t="str">
        <f t="shared" ca="1" si="32"/>
        <v>N/A</v>
      </c>
      <c r="V54" s="125" t="str">
        <f t="shared" ca="1" si="32"/>
        <v>N/A</v>
      </c>
      <c r="W54" s="125" t="str">
        <f t="shared" ca="1" si="32"/>
        <v>N/A</v>
      </c>
      <c r="X54" s="125" t="str">
        <f t="shared" ca="1" si="32"/>
        <v>N/A</v>
      </c>
      <c r="Y54" s="77" t="str">
        <f t="shared" ca="1" si="15"/>
        <v>N/A</v>
      </c>
      <c r="Z54" s="77" t="str">
        <f t="shared" ca="1" si="16"/>
        <v>N/A</v>
      </c>
      <c r="AA54" s="125" t="e">
        <f t="shared" ca="1" si="17"/>
        <v>#VALUE!</v>
      </c>
      <c r="AB54" s="77" t="e">
        <f t="shared" ca="1" si="18"/>
        <v>#VALUE!</v>
      </c>
      <c r="AC54" s="77"/>
      <c r="AD54" s="184">
        <f t="shared" si="30"/>
        <v>-2</v>
      </c>
      <c r="AE54" s="184">
        <v>43100</v>
      </c>
      <c r="AF54" s="182" t="str">
        <f>IFERROR(IF(VLOOKUP(A54,LUCurYr,16,FALSE)=0,"",VLOOKUP(A54,LUCurYr,16,FALSE)),"N/A")</f>
        <v>N/A</v>
      </c>
      <c r="AG54" s="186" t="e">
        <f t="shared" si="10"/>
        <v>#VALUE!</v>
      </c>
      <c r="AH54" s="187" t="e">
        <f t="shared" si="19"/>
        <v>#VALUE!</v>
      </c>
      <c r="AI54" s="187" t="e">
        <f t="shared" si="11"/>
        <v>#VALUE!</v>
      </c>
      <c r="AJ54" s="188" t="e">
        <f t="shared" ca="1" si="12"/>
        <v>#VALUE!</v>
      </c>
      <c r="AK54" s="62"/>
      <c r="AL54" s="62"/>
      <c r="AM54" s="62"/>
      <c r="AN54" s="62"/>
    </row>
    <row r="55" spans="1:55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14"/>
        <v>N/A</v>
      </c>
      <c r="G55" s="125" t="str">
        <f t="shared" si="4"/>
        <v>N/A</v>
      </c>
      <c r="H55" s="125" t="str">
        <f t="shared" si="5"/>
        <v>N/A</v>
      </c>
      <c r="I55" s="125"/>
      <c r="J55" s="125" t="str">
        <f t="shared" si="23"/>
        <v>N/A</v>
      </c>
      <c r="K55" s="125" t="str">
        <f t="shared" si="24"/>
        <v>N/A</v>
      </c>
      <c r="L55" s="125" t="str">
        <f t="shared" ca="1" si="26"/>
        <v>N/A</v>
      </c>
      <c r="M55" s="125" t="str">
        <f t="shared" ca="1" si="26"/>
        <v>N/A</v>
      </c>
      <c r="N55" s="125" t="str">
        <f t="shared" ca="1" si="26"/>
        <v>N/A</v>
      </c>
      <c r="O55" s="125" t="str">
        <f t="shared" ca="1" si="32"/>
        <v>N/A</v>
      </c>
      <c r="P55" s="125" t="str">
        <f t="shared" ca="1" si="32"/>
        <v>N/A</v>
      </c>
      <c r="Q55" s="125" t="str">
        <f t="shared" ca="1" si="32"/>
        <v>N/A</v>
      </c>
      <c r="R55" s="125" t="str">
        <f t="shared" ca="1" si="32"/>
        <v>N/A</v>
      </c>
      <c r="S55" s="125" t="str">
        <f t="shared" ca="1" si="32"/>
        <v>N/A</v>
      </c>
      <c r="T55" s="125" t="str">
        <f t="shared" ca="1" si="32"/>
        <v>N/A</v>
      </c>
      <c r="U55" s="125" t="str">
        <f t="shared" ca="1" si="32"/>
        <v>N/A</v>
      </c>
      <c r="V55" s="125" t="str">
        <f t="shared" ca="1" si="32"/>
        <v>N/A</v>
      </c>
      <c r="W55" s="125" t="str">
        <f t="shared" ca="1" si="32"/>
        <v>N/A</v>
      </c>
      <c r="X55" s="125" t="str">
        <f t="shared" ca="1" si="32"/>
        <v>N/A</v>
      </c>
      <c r="Y55" s="77" t="str">
        <f t="shared" ca="1" si="15"/>
        <v>N/A</v>
      </c>
      <c r="Z55" s="77" t="str">
        <f t="shared" ca="1" si="16"/>
        <v>N/A</v>
      </c>
      <c r="AA55" s="125" t="e">
        <f t="shared" ca="1" si="17"/>
        <v>#VALUE!</v>
      </c>
      <c r="AB55" s="77" t="e">
        <f t="shared" ca="1" si="18"/>
        <v>#VALUE!</v>
      </c>
      <c r="AC55" s="77"/>
      <c r="AD55" s="184">
        <f t="shared" si="30"/>
        <v>-2</v>
      </c>
      <c r="AE55" s="184">
        <v>43100</v>
      </c>
      <c r="AF55" s="182" t="str">
        <f>IFERROR(IF(VLOOKUP(A55,LUCurYr,16,FALSE)=0,"",VLOOKUP(A55,LUCurYr,16,FALSE)),"N/A")</f>
        <v>N/A</v>
      </c>
      <c r="AG55" s="186" t="e">
        <f t="shared" si="10"/>
        <v>#VALUE!</v>
      </c>
      <c r="AH55" s="187" t="e">
        <f t="shared" si="19"/>
        <v>#VALUE!</v>
      </c>
      <c r="AI55" s="187" t="e">
        <f t="shared" si="11"/>
        <v>#VALUE!</v>
      </c>
      <c r="AJ55" s="188" t="e">
        <f t="shared" ca="1" si="12"/>
        <v>#VALUE!</v>
      </c>
      <c r="AK55" s="62"/>
      <c r="AL55" s="62"/>
      <c r="AM55" s="62"/>
      <c r="AN55" s="62"/>
    </row>
    <row r="56" spans="1:55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14"/>
        <v>N/A</v>
      </c>
      <c r="G56" s="125" t="str">
        <f t="shared" si="4"/>
        <v>N/A</v>
      </c>
      <c r="H56" s="125" t="str">
        <f t="shared" si="5"/>
        <v>N/A</v>
      </c>
      <c r="I56" s="125"/>
      <c r="J56" s="125" t="str">
        <f t="shared" si="23"/>
        <v>N/A</v>
      </c>
      <c r="K56" s="125" t="str">
        <f t="shared" si="24"/>
        <v>N/A</v>
      </c>
      <c r="L56" s="125" t="str">
        <f t="shared" ca="1" si="26"/>
        <v>N/A</v>
      </c>
      <c r="M56" s="125" t="str">
        <f t="shared" ca="1" si="26"/>
        <v>N/A</v>
      </c>
      <c r="N56" s="125" t="str">
        <f t="shared" ca="1" si="26"/>
        <v>N/A</v>
      </c>
      <c r="O56" s="125" t="str">
        <f t="shared" ca="1" si="32"/>
        <v>N/A</v>
      </c>
      <c r="P56" s="125" t="str">
        <f t="shared" ca="1" si="32"/>
        <v>N/A</v>
      </c>
      <c r="Q56" s="125" t="str">
        <f t="shared" ca="1" si="32"/>
        <v>N/A</v>
      </c>
      <c r="R56" s="125" t="str">
        <f t="shared" ca="1" si="32"/>
        <v>N/A</v>
      </c>
      <c r="S56" s="125" t="str">
        <f t="shared" ca="1" si="32"/>
        <v>N/A</v>
      </c>
      <c r="T56" s="125" t="str">
        <f t="shared" ca="1" si="32"/>
        <v>N/A</v>
      </c>
      <c r="U56" s="125" t="str">
        <f t="shared" ca="1" si="32"/>
        <v>N/A</v>
      </c>
      <c r="V56" s="125" t="str">
        <f t="shared" ca="1" si="32"/>
        <v>N/A</v>
      </c>
      <c r="W56" s="125" t="str">
        <f t="shared" ca="1" si="32"/>
        <v>N/A</v>
      </c>
      <c r="X56" s="125" t="str">
        <f t="shared" ca="1" si="32"/>
        <v>N/A</v>
      </c>
      <c r="Y56" s="77" t="str">
        <f t="shared" ca="1" si="15"/>
        <v>N/A</v>
      </c>
      <c r="Z56" s="77" t="str">
        <f t="shared" ca="1" si="16"/>
        <v>N/A</v>
      </c>
      <c r="AA56" s="125" t="e">
        <f t="shared" ca="1" si="17"/>
        <v>#VALUE!</v>
      </c>
      <c r="AB56" s="77" t="e">
        <f t="shared" ca="1" si="18"/>
        <v>#VALUE!</v>
      </c>
      <c r="AC56" s="77"/>
      <c r="AD56" s="184">
        <f t="shared" si="30"/>
        <v>-2</v>
      </c>
      <c r="AE56" s="184">
        <v>43100</v>
      </c>
      <c r="AF56" s="182" t="str">
        <f>IFERROR(IF(VLOOKUP(A56,LUCurYr,16,FALSE)=0,"",VLOOKUP(A56,LUCurYr,16,FALSE)),"N/A")</f>
        <v>N/A</v>
      </c>
      <c r="AG56" s="186" t="e">
        <f t="shared" si="10"/>
        <v>#VALUE!</v>
      </c>
      <c r="AH56" s="187" t="e">
        <f t="shared" si="19"/>
        <v>#VALUE!</v>
      </c>
      <c r="AI56" s="187" t="e">
        <f t="shared" si="11"/>
        <v>#VALUE!</v>
      </c>
      <c r="AJ56" s="188" t="e">
        <f t="shared" ca="1" si="12"/>
        <v>#VALUE!</v>
      </c>
      <c r="AK56" s="62"/>
      <c r="AL56" s="62"/>
      <c r="AM56" s="62"/>
      <c r="AN56" s="62"/>
    </row>
    <row r="57" spans="1:55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14"/>
        <v>N/A</v>
      </c>
      <c r="G57" s="125" t="str">
        <f t="shared" si="4"/>
        <v>N/A</v>
      </c>
      <c r="H57" s="125" t="str">
        <f t="shared" si="5"/>
        <v>N/A</v>
      </c>
      <c r="I57" s="125"/>
      <c r="J57" s="125" t="str">
        <f t="shared" si="23"/>
        <v>N/A</v>
      </c>
      <c r="K57" s="125" t="str">
        <f t="shared" si="24"/>
        <v>N/A</v>
      </c>
      <c r="L57" s="125" t="str">
        <f t="shared" ca="1" si="26"/>
        <v>N/A</v>
      </c>
      <c r="M57" s="125" t="str">
        <f t="shared" ca="1" si="26"/>
        <v>N/A</v>
      </c>
      <c r="N57" s="125" t="str">
        <f t="shared" ca="1" si="26"/>
        <v>N/A</v>
      </c>
      <c r="O57" s="125" t="str">
        <f t="shared" ca="1" si="32"/>
        <v>N/A</v>
      </c>
      <c r="P57" s="125" t="str">
        <f t="shared" ca="1" si="32"/>
        <v>N/A</v>
      </c>
      <c r="Q57" s="125" t="str">
        <f t="shared" ca="1" si="32"/>
        <v>N/A</v>
      </c>
      <c r="R57" s="125" t="str">
        <f t="shared" ca="1" si="32"/>
        <v>N/A</v>
      </c>
      <c r="S57" s="125" t="str">
        <f t="shared" ca="1" si="32"/>
        <v>N/A</v>
      </c>
      <c r="T57" s="125" t="str">
        <f t="shared" ca="1" si="32"/>
        <v>N/A</v>
      </c>
      <c r="U57" s="125" t="str">
        <f t="shared" ca="1" si="32"/>
        <v>N/A</v>
      </c>
      <c r="V57" s="125" t="str">
        <f t="shared" ca="1" si="32"/>
        <v>N/A</v>
      </c>
      <c r="W57" s="125" t="str">
        <f t="shared" ca="1" si="32"/>
        <v>N/A</v>
      </c>
      <c r="X57" s="125" t="str">
        <f t="shared" ca="1" si="32"/>
        <v>N/A</v>
      </c>
      <c r="Y57" s="77" t="str">
        <f t="shared" ca="1" si="15"/>
        <v>N/A</v>
      </c>
      <c r="Z57" s="77" t="str">
        <f t="shared" ca="1" si="16"/>
        <v>N/A</v>
      </c>
      <c r="AA57" s="125" t="e">
        <f t="shared" ca="1" si="17"/>
        <v>#VALUE!</v>
      </c>
      <c r="AB57" s="77" t="e">
        <f t="shared" ca="1" si="18"/>
        <v>#VALUE!</v>
      </c>
      <c r="AC57" s="77"/>
      <c r="AD57" s="184">
        <f t="shared" si="30"/>
        <v>-2</v>
      </c>
      <c r="AE57" s="184">
        <v>43100</v>
      </c>
      <c r="AF57" s="182" t="str">
        <f>IFERROR(IF(VLOOKUP(A57,LUCurYr,16,FALSE)=0,"",VLOOKUP(A57,LUCurYr,16,FALSE)),"N/A")</f>
        <v>N/A</v>
      </c>
      <c r="AG57" s="186" t="e">
        <f t="shared" si="10"/>
        <v>#VALUE!</v>
      </c>
      <c r="AH57" s="187" t="e">
        <f t="shared" si="19"/>
        <v>#VALUE!</v>
      </c>
      <c r="AI57" s="187" t="e">
        <f t="shared" si="11"/>
        <v>#VALUE!</v>
      </c>
      <c r="AJ57" s="188" t="e">
        <f t="shared" ca="1" si="12"/>
        <v>#VALUE!</v>
      </c>
      <c r="AK57" s="62"/>
      <c r="AL57" s="62"/>
      <c r="AM57" s="62"/>
      <c r="AN57" s="62"/>
    </row>
    <row r="58" spans="1:55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125"/>
      <c r="K58" s="77"/>
      <c r="L58" s="77"/>
      <c r="M58" s="77"/>
      <c r="N58" s="125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125"/>
      <c r="AB58" s="77"/>
      <c r="AC58" s="77"/>
      <c r="AD58" s="184"/>
      <c r="AE58" s="184"/>
      <c r="AF58" s="182"/>
      <c r="AG58" s="186"/>
      <c r="AH58" s="187"/>
      <c r="AI58" s="187"/>
      <c r="AJ58" s="188" t="e">
        <f t="shared" si="12"/>
        <v>#DIV/0!</v>
      </c>
      <c r="AK58" s="62"/>
      <c r="AL58" s="62"/>
      <c r="AM58" s="62"/>
      <c r="AN58" s="62"/>
    </row>
    <row r="59" spans="1:55" x14ac:dyDescent="0.25">
      <c r="A59" s="31"/>
      <c r="B59" s="31"/>
      <c r="C59" s="1">
        <f ca="1">IF(ISERROR(D59),"",IF(D59="","",MAX($C$12:C58)+1))</f>
        <v>10</v>
      </c>
      <c r="D59" s="104" t="s">
        <v>98</v>
      </c>
      <c r="E59" s="104"/>
      <c r="F59" s="127">
        <f ca="1">AVERAGE(G59:X59)</f>
        <v>2.4108896604938272</v>
      </c>
      <c r="G59" s="127">
        <f>AVERAGE(G13:G58)</f>
        <v>3.51</v>
      </c>
      <c r="H59" s="127">
        <f>AVERAGE(H13:H58)</f>
        <v>3.456666666666667</v>
      </c>
      <c r="I59" s="127">
        <f>AVERAGE(I13:I58)</f>
        <v>3.4888888888888889</v>
      </c>
      <c r="J59" s="127">
        <f t="shared" ref="J59:W59" ca="1" si="33">AVERAGE(J13:J58)</f>
        <v>2.9500000000000006</v>
      </c>
      <c r="K59" s="127">
        <f t="shared" ca="1" si="33"/>
        <v>2.9755555555555557</v>
      </c>
      <c r="L59" s="127">
        <f t="shared" ca="1" si="33"/>
        <v>3.0888888888888895</v>
      </c>
      <c r="M59" s="127">
        <f t="shared" ca="1" si="33"/>
        <v>2.0911111111111111</v>
      </c>
      <c r="N59" s="127">
        <f t="shared" ca="1" si="33"/>
        <v>2.4544444444444453</v>
      </c>
      <c r="O59" s="127">
        <f t="shared" ca="1" si="33"/>
        <v>2.2744444444444443</v>
      </c>
      <c r="P59" s="127">
        <f t="shared" ca="1" si="33"/>
        <v>2.2988888888888894</v>
      </c>
      <c r="Q59" s="127">
        <f t="shared" ca="1" si="33"/>
        <v>2.0822500000000002</v>
      </c>
      <c r="R59" s="127">
        <f t="shared" ca="1" si="33"/>
        <v>1.9826249999999999</v>
      </c>
      <c r="S59" s="127">
        <f t="shared" ca="1" si="33"/>
        <v>1.9457499999999999</v>
      </c>
      <c r="T59" s="127">
        <f t="shared" ca="1" si="33"/>
        <v>1.9108750000000001</v>
      </c>
      <c r="U59" s="127">
        <f t="shared" ca="1" si="33"/>
        <v>1.8382499999999999</v>
      </c>
      <c r="V59" s="127">
        <f t="shared" ca="1" si="33"/>
        <v>1.751125</v>
      </c>
      <c r="W59" s="127">
        <f t="shared" ca="1" si="33"/>
        <v>1.66875</v>
      </c>
      <c r="X59" s="127">
        <f ca="1">AVERAGE(X13:X58)</f>
        <v>1.6275000000000002</v>
      </c>
      <c r="Y59" s="108">
        <f ca="1">AVERAGE(Y13:Y58)</f>
        <v>2.9561255690272101E-2</v>
      </c>
      <c r="Z59" s="108">
        <f ca="1">AVERAGE(Z13:Z58)</f>
        <v>8.4463654627021517E-3</v>
      </c>
      <c r="AA59" s="128"/>
      <c r="AB59" s="128"/>
      <c r="AC59" s="128"/>
      <c r="AD59" s="128"/>
      <c r="AE59" s="128"/>
      <c r="AF59" s="62"/>
      <c r="AG59" s="62"/>
      <c r="AH59" s="62"/>
      <c r="AI59" s="62"/>
      <c r="AJ59" s="62"/>
      <c r="AK59" s="62"/>
      <c r="AL59" s="62"/>
      <c r="AM59" s="62"/>
      <c r="AN59" s="62"/>
    </row>
    <row r="60" spans="1:55" x14ac:dyDescent="0.25">
      <c r="A60" s="31"/>
      <c r="B60" s="31"/>
      <c r="C60" s="1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125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</row>
    <row r="61" spans="1:55" x14ac:dyDescent="0.25">
      <c r="A61" s="31"/>
      <c r="B61" s="31"/>
      <c r="C61" s="1">
        <f ca="1">C59+1</f>
        <v>11</v>
      </c>
      <c r="D61" s="104" t="s">
        <v>446</v>
      </c>
      <c r="E61" s="104"/>
      <c r="F61" s="108">
        <f ca="1">AVERAGE(G61:W61)</f>
        <v>5.2745837608201881E-2</v>
      </c>
      <c r="G61" s="108">
        <f t="shared" ref="G61:V61" si="34">G59/H59-1</f>
        <v>1.5429122468659351E-2</v>
      </c>
      <c r="H61" s="108">
        <f t="shared" si="34"/>
        <v>-9.2356687898088596E-3</v>
      </c>
      <c r="I61" s="108">
        <f t="shared" ca="1" si="34"/>
        <v>0.18267419962335185</v>
      </c>
      <c r="J61" s="108">
        <f t="shared" ca="1" si="34"/>
        <v>-8.5884988797608752E-3</v>
      </c>
      <c r="K61" s="108">
        <f t="shared" ca="1" si="34"/>
        <v>-3.669064748201456E-2</v>
      </c>
      <c r="L61" s="108">
        <f t="shared" ca="1" si="34"/>
        <v>0.47715196599362408</v>
      </c>
      <c r="M61" s="108">
        <f t="shared" ca="1" si="34"/>
        <v>-0.14803078315980112</v>
      </c>
      <c r="N61" s="108">
        <f t="shared" ca="1" si="34"/>
        <v>7.9140205178310108E-2</v>
      </c>
      <c r="O61" s="108">
        <f t="shared" ca="1" si="34"/>
        <v>-1.0633156114065123E-2</v>
      </c>
      <c r="P61" s="108">
        <f t="shared" ca="1" si="34"/>
        <v>0.10404076786595717</v>
      </c>
      <c r="Q61" s="108">
        <f t="shared" ca="1" si="34"/>
        <v>5.0249038522161449E-2</v>
      </c>
      <c r="R61" s="108">
        <f t="shared" ca="1" si="34"/>
        <v>1.8951561094693536E-2</v>
      </c>
      <c r="S61" s="108">
        <f t="shared" ca="1" si="34"/>
        <v>1.8250801334467104E-2</v>
      </c>
      <c r="T61" s="108">
        <f t="shared" ca="1" si="34"/>
        <v>3.9507683938528659E-2</v>
      </c>
      <c r="U61" s="108">
        <f t="shared" ca="1" si="34"/>
        <v>4.9753729745163788E-2</v>
      </c>
      <c r="V61" s="108">
        <f t="shared" ca="1" si="34"/>
        <v>4.936329588014976E-2</v>
      </c>
      <c r="W61" s="108">
        <f ca="1">W59/X59-1</f>
        <v>2.5345622119815614E-2</v>
      </c>
    </row>
    <row r="62" spans="1:55" s="97" customFormat="1" x14ac:dyDescent="0.25">
      <c r="C62" s="10"/>
      <c r="D62" s="10"/>
      <c r="E62" s="10"/>
      <c r="F62" s="12"/>
      <c r="G62" s="12"/>
      <c r="H62" s="12"/>
      <c r="I62" s="12"/>
      <c r="J62" s="12"/>
      <c r="K62" s="12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"/>
      <c r="Z62" s="77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</row>
    <row r="63" spans="1:55" s="97" customFormat="1" x14ac:dyDescent="0.25">
      <c r="B63" s="100"/>
      <c r="C63" s="101"/>
      <c r="E63" s="20"/>
      <c r="F63" s="99"/>
      <c r="G63" s="99"/>
      <c r="H63" s="99"/>
      <c r="I63" s="99"/>
      <c r="J63" s="99"/>
      <c r="K63" s="99"/>
      <c r="L63" s="99"/>
      <c r="M63" s="99"/>
      <c r="N63" s="99"/>
      <c r="O63" s="17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</row>
    <row r="64" spans="1:55" s="97" customFormat="1" x14ac:dyDescent="0.25">
      <c r="B64" s="100"/>
      <c r="C64" s="101"/>
      <c r="E64" s="20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</row>
    <row r="65" spans="1:40" s="97" customFormat="1" x14ac:dyDescent="0.25">
      <c r="B65" s="100"/>
      <c r="C65" s="101"/>
      <c r="D65" s="18"/>
      <c r="E65" s="88"/>
      <c r="F65"/>
      <c r="G65"/>
      <c r="H65"/>
      <c r="I65"/>
      <c r="J65"/>
      <c r="K65"/>
      <c r="L65"/>
      <c r="M65"/>
      <c r="N65"/>
      <c r="O65" s="99"/>
      <c r="P65" s="99"/>
      <c r="Q65" s="99"/>
      <c r="R65" s="99"/>
      <c r="S65" s="99"/>
      <c r="T65" s="180"/>
      <c r="U65" s="99"/>
      <c r="V65" s="99"/>
      <c r="W65" s="99"/>
      <c r="X65" s="99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</row>
    <row r="66" spans="1:40" s="97" customFormat="1" x14ac:dyDescent="0.25">
      <c r="B66" s="100"/>
      <c r="C66" s="1"/>
      <c r="D66" s="20" t="s">
        <v>107</v>
      </c>
      <c r="E66"/>
      <c r="F66"/>
      <c r="G66"/>
      <c r="H66"/>
      <c r="I66"/>
      <c r="J66"/>
      <c r="K66"/>
      <c r="L66"/>
      <c r="M66"/>
      <c r="N66"/>
      <c r="O66" s="99"/>
      <c r="P66" s="99"/>
      <c r="Q66" s="99"/>
      <c r="R66" s="99"/>
      <c r="S66" s="99"/>
      <c r="T66" s="180"/>
      <c r="U66" s="99"/>
      <c r="V66" s="99"/>
      <c r="W66" s="99"/>
      <c r="X66" s="99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</row>
    <row r="67" spans="1:40" s="97" customFormat="1" ht="16.2" x14ac:dyDescent="0.25">
      <c r="B67" s="100"/>
      <c r="C67"/>
      <c r="D67" s="76">
        <v>1</v>
      </c>
      <c r="E67" s="21" t="str">
        <f>'CCW-1, pg 13'!E67</f>
        <v>Data for years 2019 and prior were retrieved from the Value Line Investment Survey Investment Analyzer Software, downloaded on June 18, 2021.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2"/>
      <c r="U67"/>
      <c r="V67"/>
      <c r="W67"/>
      <c r="X67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</row>
    <row r="68" spans="1:40" s="97" customFormat="1" ht="16.2" x14ac:dyDescent="0.25">
      <c r="B68" s="100"/>
      <c r="C68"/>
      <c r="D68" s="76"/>
      <c r="E68" s="21" t="str">
        <f>'CCW-1, pg 13'!E68</f>
        <v>Data for the years 2020 - 2022 was retrieved from Value Line Investment Surveys.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2"/>
      <c r="U68"/>
      <c r="V68"/>
      <c r="W68"/>
      <c r="X6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</row>
    <row r="69" spans="1:40" ht="16.2" x14ac:dyDescent="0.25">
      <c r="A69" s="31"/>
      <c r="B69" s="31"/>
      <c r="D69" s="76">
        <v>2</v>
      </c>
      <c r="E69" s="21" t="str">
        <f>"The Value Line Investment Survey, "&amp;'2023 Data (WP)'!$D$2</f>
        <v>The Value Line Investment Survey, February 23, 2024.</v>
      </c>
    </row>
    <row r="70" spans="1:40" x14ac:dyDescent="0.25">
      <c r="A70" s="31"/>
      <c r="B70" s="31"/>
      <c r="D70" s="20"/>
    </row>
  </sheetData>
  <mergeCells count="5">
    <mergeCell ref="C1:X1"/>
    <mergeCell ref="C4:X4"/>
    <mergeCell ref="C5:X5"/>
    <mergeCell ref="F8:X8"/>
    <mergeCell ref="D10:E10"/>
  </mergeCells>
  <printOptions horizontalCentered="1"/>
  <pageMargins left="0.7" right="0.7" top="1.25" bottom="0.75" header="0.55000000000000004" footer="0.51"/>
  <pageSetup scale="52" firstPageNumber="14" orientation="landscape" useFirstPageNumber="1" r:id="rId1"/>
  <headerFooter scaleWithDoc="0">
    <oddHeader>&amp;R&amp;"Arial,Bold"&amp;10Docket Nos. 20240026-EI, 20230139-EI, and 20230090-EI
Valuation Metrics
Exhibit CCW-1, Page &amp;P of 16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C71"/>
  <sheetViews>
    <sheetView view="pageLayout" topLeftCell="C8" zoomScale="90" zoomScaleNormal="80" zoomScalePageLayoutView="90" workbookViewId="0">
      <selection activeCell="Q13" sqref="Q13"/>
    </sheetView>
  </sheetViews>
  <sheetFormatPr defaultRowHeight="13.8" x14ac:dyDescent="0.25"/>
  <cols>
    <col min="1" max="2" width="8" hidden="1" customWidth="1"/>
    <col min="3" max="3" width="11" customWidth="1"/>
    <col min="4" max="4" width="4.69921875" bestFit="1" customWidth="1"/>
    <col min="5" max="5" width="2.09765625" customWidth="1"/>
    <col min="6" max="6" width="18.69921875" customWidth="1"/>
    <col min="7" max="8" width="9" hidden="1" customWidth="1"/>
    <col min="9" max="14" width="9" customWidth="1"/>
    <col min="15" max="15" width="3.59765625" customWidth="1"/>
    <col min="16" max="16" width="9" customWidth="1"/>
    <col min="17" max="17" width="11" customWidth="1"/>
    <col min="18" max="25" width="9" customWidth="1"/>
    <col min="26" max="26" width="9" hidden="1" customWidth="1"/>
    <col min="27" max="29" width="0" hidden="1" customWidth="1"/>
  </cols>
  <sheetData>
    <row r="1" spans="1:29" ht="28.2" x14ac:dyDescent="0.5">
      <c r="C1" s="277" t="str">
        <f>'CCW-1, pg 14'!C1:X1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</row>
    <row r="2" spans="1:29" x14ac:dyDescent="0.25">
      <c r="D2" s="4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7"/>
      <c r="W2" s="7"/>
      <c r="X2" s="7"/>
      <c r="Y2" s="7"/>
      <c r="Z2" s="7"/>
      <c r="AA2" s="7"/>
      <c r="AB2" s="7"/>
    </row>
    <row r="3" spans="1:29" x14ac:dyDescent="0.25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7"/>
      <c r="W3" s="7"/>
      <c r="X3" s="7"/>
      <c r="Y3" s="7"/>
      <c r="Z3" s="7"/>
      <c r="AA3" s="7"/>
      <c r="AB3" s="7"/>
    </row>
    <row r="4" spans="1:29" ht="21" x14ac:dyDescent="0.4">
      <c r="D4" s="278" t="s">
        <v>520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ht="17.399999999999999" x14ac:dyDescent="0.3">
      <c r="D5" s="279" t="s">
        <v>273</v>
      </c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</row>
    <row r="6" spans="1:29" x14ac:dyDescent="0.25"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9" x14ac:dyDescent="0.25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9" x14ac:dyDescent="0.25">
      <c r="A8" s="31"/>
      <c r="B8" s="31"/>
      <c r="C8" s="3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</row>
    <row r="9" spans="1:29" ht="16.2" x14ac:dyDescent="0.25">
      <c r="A9" s="31"/>
      <c r="B9" s="31"/>
      <c r="C9" s="31"/>
      <c r="D9" s="6"/>
      <c r="E9" s="6"/>
      <c r="F9" s="19"/>
      <c r="G9" s="281" t="s">
        <v>568</v>
      </c>
      <c r="H9" s="281"/>
      <c r="I9" s="281"/>
      <c r="J9" s="281"/>
      <c r="K9" s="281"/>
      <c r="L9" s="281"/>
      <c r="M9" s="281"/>
      <c r="N9" s="281"/>
      <c r="O9" s="281"/>
      <c r="P9" s="28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pans="1:29" ht="16.2" x14ac:dyDescent="0.25">
      <c r="A10" s="31"/>
      <c r="B10" s="31"/>
      <c r="C10" s="31"/>
      <c r="D10" s="6"/>
      <c r="E10" s="7"/>
      <c r="F10" s="7"/>
      <c r="G10" s="8"/>
      <c r="H10" s="8"/>
      <c r="I10" s="8"/>
      <c r="J10" s="8"/>
      <c r="K10" s="8"/>
      <c r="L10" s="8"/>
      <c r="M10" s="8"/>
      <c r="N10" s="8"/>
      <c r="O10" s="8"/>
      <c r="P10" s="8" t="s">
        <v>569</v>
      </c>
      <c r="Q10" s="8"/>
      <c r="R10" s="8"/>
      <c r="S10" s="8"/>
      <c r="T10" s="8"/>
      <c r="U10" s="8"/>
      <c r="V10" s="7"/>
      <c r="W10" s="7"/>
      <c r="X10" s="7"/>
      <c r="Y10" s="7"/>
      <c r="Z10" s="7"/>
      <c r="AA10" s="7"/>
      <c r="AB10" s="7"/>
    </row>
    <row r="11" spans="1:29" ht="16.2" x14ac:dyDescent="0.25">
      <c r="A11" s="31"/>
      <c r="B11" s="31"/>
      <c r="C11" s="31"/>
      <c r="D11" s="9" t="s">
        <v>96</v>
      </c>
      <c r="E11" s="275" t="s">
        <v>97</v>
      </c>
      <c r="F11" s="275"/>
      <c r="G11" s="10" t="s">
        <v>371</v>
      </c>
      <c r="H11" s="40">
        <v>2018</v>
      </c>
      <c r="I11" s="10" t="s">
        <v>440</v>
      </c>
      <c r="J11" s="10" t="s">
        <v>536</v>
      </c>
      <c r="K11" s="10" t="s">
        <v>541</v>
      </c>
      <c r="L11" s="10" t="s">
        <v>565</v>
      </c>
      <c r="M11" s="10" t="s">
        <v>566</v>
      </c>
      <c r="N11" s="10" t="s">
        <v>567</v>
      </c>
      <c r="O11" s="40"/>
      <c r="P11" s="40" t="s">
        <v>370</v>
      </c>
      <c r="Q11" s="40"/>
      <c r="R11" s="40"/>
      <c r="S11" s="40"/>
      <c r="T11" s="40"/>
      <c r="U11" s="40"/>
      <c r="V11" s="40"/>
      <c r="W11" s="40"/>
      <c r="X11" s="40"/>
      <c r="Y11" s="40"/>
      <c r="Z11" s="40">
        <v>2005</v>
      </c>
      <c r="AA11" s="40"/>
      <c r="AB11" s="40"/>
      <c r="AC11" s="40"/>
    </row>
    <row r="12" spans="1:29" x14ac:dyDescent="0.25">
      <c r="A12" s="41"/>
      <c r="B12" s="41"/>
      <c r="C12" s="41"/>
      <c r="D12" s="9"/>
      <c r="E12" s="11"/>
      <c r="F12" s="11"/>
      <c r="G12" s="12">
        <f>0-1</f>
        <v>-1</v>
      </c>
      <c r="H12" s="12">
        <f>+G12-1</f>
        <v>-2</v>
      </c>
      <c r="I12" s="12">
        <f>-1</f>
        <v>-1</v>
      </c>
      <c r="J12" s="12">
        <f>+I12-1</f>
        <v>-2</v>
      </c>
      <c r="K12" s="12">
        <f>+J12-1</f>
        <v>-3</v>
      </c>
      <c r="L12" s="12">
        <f>+K12-1</f>
        <v>-4</v>
      </c>
      <c r="M12" s="12">
        <f>+L12-1</f>
        <v>-5</v>
      </c>
      <c r="N12" s="12">
        <f>+M12-1</f>
        <v>-6</v>
      </c>
      <c r="O12" s="12"/>
      <c r="P12" s="12">
        <f>+N12-1</f>
        <v>-7</v>
      </c>
      <c r="Q12" s="12"/>
      <c r="R12" s="12"/>
      <c r="S12" s="12"/>
      <c r="T12" s="12"/>
      <c r="U12" s="12"/>
      <c r="V12" s="12"/>
      <c r="W12" s="12"/>
      <c r="X12" s="12"/>
      <c r="Y12" s="12"/>
      <c r="Z12" s="12">
        <f>+Y12-1</f>
        <v>-1</v>
      </c>
      <c r="AA12" s="12"/>
      <c r="AB12" s="12"/>
      <c r="AC12" s="12"/>
    </row>
    <row r="13" spans="1:29" x14ac:dyDescent="0.25">
      <c r="A13" s="42"/>
      <c r="B13" s="43"/>
      <c r="C13" s="43"/>
      <c r="D13" s="6"/>
      <c r="F13" s="22"/>
      <c r="G13" s="3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 t="e">
        <f ca="1">MATCH(VALUE(LEFT(Z11,4)),OFFSET(CF_CAP_WP,-1,0,1,),0)</f>
        <v>#N/A</v>
      </c>
      <c r="AA13" s="16" t="e">
        <f ca="1">MATCH(VALUE(LEFT(AA11,4)),OFFSET(CF_CAP_WP,-1,0,1,),0)</f>
        <v>#VALUE!</v>
      </c>
      <c r="AB13" s="16" t="e">
        <f ca="1">MATCH(VALUE(LEFT(AB11,4)),OFFSET(CF_CAP_WP,-1,0,1,),0)</f>
        <v>#VALUE!</v>
      </c>
      <c r="AC13" s="16" t="e">
        <f ca="1">MATCH(VALUE(LEFT(AC11,4)),OFFSET(CF_CAP_WP,-1,0,1,),0)</f>
        <v>#VALUE!</v>
      </c>
    </row>
    <row r="14" spans="1:29" x14ac:dyDescent="0.25">
      <c r="A14" s="44" t="s">
        <v>175</v>
      </c>
      <c r="B14" s="45">
        <f t="shared" ref="B14:B58" si="0">MATCH(A14,CapCashTic,0)</f>
        <v>14</v>
      </c>
      <c r="C14" s="45"/>
      <c r="D14" s="1">
        <f>IF(ISERROR(E14),"",IF(E14="","",MAX($D$12:D13)+1))</f>
        <v>1</v>
      </c>
      <c r="E14" t="s">
        <v>174</v>
      </c>
      <c r="F14" s="22"/>
      <c r="G14" s="117">
        <f t="shared" ref="G14:G58" si="1">IFERROR(INDEX(CapCash,$B14,7)/INDEX(CapCash,$B14,3),"N/A")</f>
        <v>0.61752356069795655</v>
      </c>
      <c r="H14" s="117">
        <f t="shared" ref="H14:H58" si="2">IFERROR(INDEX(CapCash,$B14,8)/INDEX(CapCash,$B14,4),"N/A")</f>
        <v>0.54879065888240208</v>
      </c>
      <c r="I14" s="117">
        <f t="shared" ref="I14:I58" si="3">IFERROR(INDEX(CapCash,$B14,9)/INDEX(CapCash,$B14,5),"N/A")</f>
        <v>0.53003533568904593</v>
      </c>
      <c r="J14" s="117">
        <f t="shared" ref="J14:J58" si="4">IFERROR(VLOOKUP($A14,LUCurYr,23,0),"N/A")</f>
        <v>0.52631578947368418</v>
      </c>
      <c r="K14" s="117">
        <f t="shared" ref="K14:K58" si="5">IFERROR(VLOOKUP($A14,lucyr,23,0),"N/A")</f>
        <v>0.53164556962025311</v>
      </c>
      <c r="L14" s="117">
        <f t="shared" ref="L14:L58" si="6">IFERROR(VLOOKUP($A14,Data2022,21,0),"N/A")</f>
        <v>0.53602305475504319</v>
      </c>
      <c r="M14" s="117">
        <f t="shared" ref="M14:M58" si="7">IFERROR(VLOOKUP($A14,Data2022,23,0),"N/A")</f>
        <v>0.54495912806539504</v>
      </c>
      <c r="N14" s="117">
        <f t="shared" ref="N14:N58" si="8">IFERROR(VLOOKUP($A14,Data2023,25,0),"N/A")</f>
        <v>0.57486631016042788</v>
      </c>
      <c r="O14" s="117"/>
      <c r="P14" s="117">
        <f t="shared" ref="P14:P58" si="9">IFERROR(VLOOKUP($A14,Data2023,26,0),"N/A")</f>
        <v>0.6825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17"/>
      <c r="AB14" s="17"/>
      <c r="AC14" s="17"/>
    </row>
    <row r="15" spans="1:29" x14ac:dyDescent="0.25">
      <c r="A15" s="44" t="s">
        <v>178</v>
      </c>
      <c r="B15" s="45">
        <f t="shared" si="0"/>
        <v>20</v>
      </c>
      <c r="C15" s="45"/>
      <c r="D15" s="1">
        <f>IF(ISERROR(E15),"",IF(E15="","",MAX($D$12:D14)+1))</f>
        <v>2</v>
      </c>
      <c r="E15" t="s">
        <v>215</v>
      </c>
      <c r="F15" s="22"/>
      <c r="G15" s="117">
        <f t="shared" si="1"/>
        <v>0.50498741493427801</v>
      </c>
      <c r="H15" s="117">
        <f t="shared" si="2"/>
        <v>0.39262946997753623</v>
      </c>
      <c r="I15" s="117">
        <f t="shared" si="3"/>
        <v>0.66161616161616155</v>
      </c>
      <c r="J15" s="117">
        <f t="shared" si="4"/>
        <v>0.64253393665158365</v>
      </c>
      <c r="K15" s="117">
        <f t="shared" si="5"/>
        <v>0.81730769230769229</v>
      </c>
      <c r="L15" s="117">
        <f t="shared" si="6"/>
        <v>1.226832641770401</v>
      </c>
      <c r="M15" s="117">
        <f t="shared" si="7"/>
        <v>0.83796296296296302</v>
      </c>
      <c r="N15" s="117">
        <f t="shared" si="8"/>
        <v>0.80952380952380942</v>
      </c>
      <c r="O15" s="117"/>
      <c r="P15" s="117">
        <f t="shared" si="9"/>
        <v>0.95510204081632644</v>
      </c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17"/>
      <c r="AB15" s="17"/>
      <c r="AC15" s="17"/>
    </row>
    <row r="16" spans="1:29" x14ac:dyDescent="0.25">
      <c r="A16" s="44" t="s">
        <v>190</v>
      </c>
      <c r="B16" s="45">
        <f t="shared" si="0"/>
        <v>40</v>
      </c>
      <c r="C16" s="45"/>
      <c r="D16" s="1">
        <f>IF(ISERROR(E16),"",IF(E16="","",MAX($D$12:D15)+1))</f>
        <v>3</v>
      </c>
      <c r="E16" t="s">
        <v>189</v>
      </c>
      <c r="F16" s="22"/>
      <c r="G16" s="117">
        <f t="shared" si="1"/>
        <v>0.70481452249408039</v>
      </c>
      <c r="H16" s="117">
        <f t="shared" si="2"/>
        <v>0.84815321477428185</v>
      </c>
      <c r="I16" s="117">
        <f t="shared" si="3"/>
        <v>1.4090909090909089</v>
      </c>
      <c r="J16" s="117">
        <f t="shared" si="4"/>
        <v>0.64893617021276595</v>
      </c>
      <c r="K16" s="117">
        <f t="shared" si="5"/>
        <v>0.7195121951219513</v>
      </c>
      <c r="L16" s="117">
        <f t="shared" si="6"/>
        <v>0.5938461538461538</v>
      </c>
      <c r="M16" s="117">
        <f t="shared" si="7"/>
        <v>0.67741935483870974</v>
      </c>
      <c r="N16" s="117">
        <f t="shared" si="8"/>
        <v>0.85436893203883502</v>
      </c>
      <c r="O16" s="117"/>
      <c r="P16" s="117">
        <f t="shared" si="9"/>
        <v>0.84</v>
      </c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17"/>
      <c r="AB16" s="17"/>
      <c r="AC16" s="17"/>
    </row>
    <row r="17" spans="1:29" x14ac:dyDescent="0.25">
      <c r="A17" s="44" t="s">
        <v>26</v>
      </c>
      <c r="B17" s="45">
        <f t="shared" si="0"/>
        <v>42</v>
      </c>
      <c r="C17" s="45"/>
      <c r="D17" s="1">
        <f>IF(ISERROR(E17),"",IF(E17="","",MAX($D$12:D16)+1))</f>
        <v>4</v>
      </c>
      <c r="E17" t="s">
        <v>142</v>
      </c>
      <c r="F17" s="22"/>
      <c r="G17" s="117">
        <f t="shared" si="1"/>
        <v>0.41216216216216212</v>
      </c>
      <c r="H17" s="117">
        <f t="shared" si="2"/>
        <v>0.57812819987712472</v>
      </c>
      <c r="I17" s="117">
        <f t="shared" si="3"/>
        <v>0.66304347826086962</v>
      </c>
      <c r="J17" s="117">
        <f t="shared" si="4"/>
        <v>0.65217391304347827</v>
      </c>
      <c r="K17" s="117">
        <f t="shared" si="5"/>
        <v>0.6914893617021276</v>
      </c>
      <c r="L17" s="117">
        <f t="shared" si="6"/>
        <v>0.54905063291139244</v>
      </c>
      <c r="M17" s="117">
        <f t="shared" si="7"/>
        <v>0.43292682926829268</v>
      </c>
      <c r="N17" s="117">
        <f t="shared" si="8"/>
        <v>0.54285714285714282</v>
      </c>
      <c r="O17" s="117"/>
      <c r="P17" s="117">
        <f t="shared" si="9"/>
        <v>0.62962962962962965</v>
      </c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17"/>
      <c r="AB17" s="17"/>
      <c r="AC17" s="17"/>
    </row>
    <row r="18" spans="1:29" x14ac:dyDescent="0.25">
      <c r="A18" s="44" t="s">
        <v>192</v>
      </c>
      <c r="B18" s="45">
        <f t="shared" si="0"/>
        <v>43</v>
      </c>
      <c r="C18" s="45"/>
      <c r="D18" s="1">
        <f>IF(ISERROR(E18),"",IF(E18="","",MAX($D$12:D17)+1))</f>
        <v>5</v>
      </c>
      <c r="E18" t="s">
        <v>191</v>
      </c>
      <c r="F18" s="22"/>
      <c r="G18" s="117">
        <f t="shared" si="1"/>
        <v>0.14018565854971077</v>
      </c>
      <c r="H18" s="117">
        <f t="shared" si="2"/>
        <v>0.71030678148546822</v>
      </c>
      <c r="I18" s="117">
        <f t="shared" si="3"/>
        <v>0.77443609022556392</v>
      </c>
      <c r="J18" s="117">
        <f t="shared" si="4"/>
        <v>0.75384615384615394</v>
      </c>
      <c r="K18" s="117">
        <f t="shared" si="5"/>
        <v>0.61309523809523814</v>
      </c>
      <c r="L18" s="117">
        <f t="shared" si="6"/>
        <v>0.59916054564533061</v>
      </c>
      <c r="M18" s="117">
        <f t="shared" si="7"/>
        <v>0.6795580110497238</v>
      </c>
      <c r="N18" s="117">
        <f t="shared" si="8"/>
        <v>0.66486486486486496</v>
      </c>
      <c r="O18" s="117"/>
      <c r="P18" s="117">
        <f t="shared" si="9"/>
        <v>0.755</v>
      </c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17"/>
      <c r="AB18" s="17"/>
      <c r="AC18" s="17"/>
    </row>
    <row r="19" spans="1:29" x14ac:dyDescent="0.25">
      <c r="A19" s="44" t="s">
        <v>345</v>
      </c>
      <c r="B19" s="45">
        <f t="shared" si="0"/>
        <v>46</v>
      </c>
      <c r="C19" s="45"/>
      <c r="D19" s="1">
        <f>IF(ISERROR(E19),"",IF(E19="","",MAX($D$12:D18)+1))</f>
        <v>6</v>
      </c>
      <c r="E19" t="s">
        <v>348</v>
      </c>
      <c r="F19" s="22"/>
      <c r="G19" s="117">
        <f t="shared" si="1"/>
        <v>0.87492660011743972</v>
      </c>
      <c r="H19" s="117">
        <f t="shared" si="2"/>
        <v>0.84248400852878469</v>
      </c>
      <c r="I19" s="117">
        <f t="shared" si="3"/>
        <v>0.77647058823529402</v>
      </c>
      <c r="J19" s="117">
        <f t="shared" si="4"/>
        <v>0.88095238095238093</v>
      </c>
      <c r="K19" s="117">
        <f t="shared" si="5"/>
        <v>0.86033519553072635</v>
      </c>
      <c r="L19" s="117">
        <f t="shared" si="6"/>
        <v>0.73841961852861049</v>
      </c>
      <c r="M19" s="117">
        <f t="shared" si="7"/>
        <v>0.83111111111111113</v>
      </c>
      <c r="N19" s="117">
        <f t="shared" si="8"/>
        <v>0.82426778242677823</v>
      </c>
      <c r="O19" s="117"/>
      <c r="P19" s="117">
        <f t="shared" si="9"/>
        <v>1.1071428571428572</v>
      </c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17"/>
      <c r="AB19" s="17"/>
      <c r="AC19" s="17"/>
    </row>
    <row r="20" spans="1:29" hidden="1" x14ac:dyDescent="0.25">
      <c r="A20" s="44" t="s">
        <v>198</v>
      </c>
      <c r="B20" s="45">
        <f t="shared" si="0"/>
        <v>57</v>
      </c>
      <c r="C20" s="45"/>
      <c r="D20" s="1" t="str">
        <f>IF(ISERROR(E20),"",IF(E20="","",MAX($D$12:D19)+1))</f>
        <v/>
      </c>
      <c r="F20" s="22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17"/>
      <c r="AB20" s="17"/>
      <c r="AC20" s="17"/>
    </row>
    <row r="21" spans="1:29" x14ac:dyDescent="0.25">
      <c r="A21" s="44" t="s">
        <v>200</v>
      </c>
      <c r="B21" s="45">
        <f t="shared" si="0"/>
        <v>59</v>
      </c>
      <c r="C21" s="45"/>
      <c r="D21" s="1">
        <f>IF(ISERROR(E21),"",IF(E21="","",MAX($D$12:D20)+1))</f>
        <v>7</v>
      </c>
      <c r="E21" t="s">
        <v>199</v>
      </c>
      <c r="F21" s="22"/>
      <c r="G21" s="117">
        <f t="shared" si="1"/>
        <v>0.6811381863047502</v>
      </c>
      <c r="H21" s="117">
        <f t="shared" si="2"/>
        <v>0.56334810301855442</v>
      </c>
      <c r="I21" s="117">
        <f t="shared" si="3"/>
        <v>0.61587301587301579</v>
      </c>
      <c r="J21" s="117">
        <f t="shared" si="4"/>
        <v>0.52989130434782616</v>
      </c>
      <c r="K21" s="117">
        <f t="shared" si="5"/>
        <v>0.61061946902654862</v>
      </c>
      <c r="L21" s="117">
        <f t="shared" si="6"/>
        <v>0.30546875000000001</v>
      </c>
      <c r="M21" s="117">
        <f t="shared" si="7"/>
        <v>0.83599999999999997</v>
      </c>
      <c r="N21" s="117">
        <f t="shared" si="8"/>
        <v>0.752</v>
      </c>
      <c r="O21" s="117"/>
      <c r="P21" s="117">
        <f t="shared" si="9"/>
        <v>0.7931034482758621</v>
      </c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17"/>
      <c r="AB21" s="17"/>
      <c r="AC21" s="17"/>
    </row>
    <row r="22" spans="1:29" x14ac:dyDescent="0.25">
      <c r="A22" s="44" t="s">
        <v>244</v>
      </c>
      <c r="B22" s="45">
        <f t="shared" si="0"/>
        <v>60</v>
      </c>
      <c r="C22" s="45"/>
      <c r="D22" s="1">
        <f>IF(ISERROR(E22),"",IF(E22="","",MAX($D$12:D21)+1))</f>
        <v>8</v>
      </c>
      <c r="E22" t="s">
        <v>243</v>
      </c>
      <c r="F22" s="22"/>
      <c r="G22" s="117">
        <f t="shared" si="1"/>
        <v>0.72061253718188834</v>
      </c>
      <c r="H22" s="117">
        <f t="shared" si="2"/>
        <v>0.76613230519480524</v>
      </c>
      <c r="I22" s="117">
        <f t="shared" si="3"/>
        <v>0.6517857142857143</v>
      </c>
      <c r="J22" s="117">
        <f t="shared" si="4"/>
        <v>0.64680851063829781</v>
      </c>
      <c r="K22" s="117">
        <f t="shared" si="5"/>
        <v>0.69777777777777772</v>
      </c>
      <c r="L22" s="117">
        <f t="shared" si="6"/>
        <v>0.80228136882129275</v>
      </c>
      <c r="M22" s="117">
        <f t="shared" si="7"/>
        <v>0.70833333333333337</v>
      </c>
      <c r="N22" s="117">
        <f t="shared" si="8"/>
        <v>0.65579710144927539</v>
      </c>
      <c r="O22" s="117"/>
      <c r="P22" s="117">
        <f t="shared" si="9"/>
        <v>0.75862068965517238</v>
      </c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17"/>
      <c r="AB22" s="17"/>
      <c r="AC22" s="17"/>
    </row>
    <row r="23" spans="1:29" x14ac:dyDescent="0.25">
      <c r="A23" s="44" t="s">
        <v>204</v>
      </c>
      <c r="B23" s="45">
        <f t="shared" si="0"/>
        <v>62</v>
      </c>
      <c r="C23" s="45"/>
      <c r="D23" s="1">
        <f>IF(ISERROR(E23),"",IF(E23="","",MAX($D$12:D22)+1))</f>
        <v>9</v>
      </c>
      <c r="E23" t="s">
        <v>203</v>
      </c>
      <c r="F23" s="22"/>
      <c r="G23" s="117">
        <f t="shared" si="1"/>
        <v>1.2878540305010893</v>
      </c>
      <c r="H23" s="117">
        <f t="shared" si="2"/>
        <v>1.6379624014554275</v>
      </c>
      <c r="I23" s="117">
        <f t="shared" si="3"/>
        <v>1.3333333333333335</v>
      </c>
      <c r="J23" s="117">
        <f t="shared" si="4"/>
        <v>1.5373134328358209</v>
      </c>
      <c r="K23" s="117">
        <f t="shared" si="5"/>
        <v>1.6562499999999998</v>
      </c>
      <c r="L23" s="117">
        <f t="shared" si="6"/>
        <v>1.4214659685863875</v>
      </c>
      <c r="M23" s="117">
        <f t="shared" si="7"/>
        <v>1.3333333333333335</v>
      </c>
      <c r="N23" s="117">
        <f t="shared" si="8"/>
        <v>1.2444444444444445</v>
      </c>
      <c r="O23" s="117"/>
      <c r="P23" s="117">
        <f t="shared" si="9"/>
        <v>1.2</v>
      </c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17"/>
      <c r="AB23" s="17"/>
      <c r="AC23" s="17"/>
    </row>
    <row r="24" spans="1:29" hidden="1" x14ac:dyDescent="0.25">
      <c r="A24" s="44"/>
      <c r="B24" s="45" t="e">
        <f t="shared" si="0"/>
        <v>#N/A</v>
      </c>
      <c r="C24" s="45"/>
      <c r="D24" s="1"/>
      <c r="F24" s="22"/>
      <c r="G24" s="117" t="str">
        <f t="shared" si="1"/>
        <v>N/A</v>
      </c>
      <c r="H24" s="117" t="str">
        <f t="shared" si="2"/>
        <v>N/A</v>
      </c>
      <c r="I24" s="117" t="str">
        <f t="shared" si="3"/>
        <v>N/A</v>
      </c>
      <c r="J24" s="117" t="str">
        <f t="shared" si="4"/>
        <v>N/A</v>
      </c>
      <c r="K24" s="117" t="str">
        <f t="shared" si="5"/>
        <v>N/A</v>
      </c>
      <c r="L24" s="117" t="str">
        <f t="shared" si="6"/>
        <v>N/A</v>
      </c>
      <c r="M24" s="117" t="str">
        <f t="shared" si="7"/>
        <v>N/A</v>
      </c>
      <c r="N24" s="117" t="str">
        <f t="shared" si="8"/>
        <v>N/A</v>
      </c>
      <c r="O24" s="117"/>
      <c r="P24" s="117" t="str">
        <f t="shared" si="9"/>
        <v>N/A</v>
      </c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17"/>
      <c r="AB24" s="17"/>
      <c r="AC24" s="17"/>
    </row>
    <row r="25" spans="1:29" hidden="1" x14ac:dyDescent="0.25">
      <c r="A25" s="50"/>
      <c r="B25" s="45" t="e">
        <f t="shared" si="0"/>
        <v>#N/A</v>
      </c>
      <c r="C25" s="45"/>
      <c r="D25" s="1" t="str">
        <f>IF(ISERROR(E25),"",IF(E25="","",MAX($D$12:D24)+1))</f>
        <v/>
      </c>
      <c r="F25" s="22"/>
      <c r="G25" s="117" t="str">
        <f t="shared" si="1"/>
        <v>N/A</v>
      </c>
      <c r="H25" s="117" t="str">
        <f t="shared" si="2"/>
        <v>N/A</v>
      </c>
      <c r="I25" s="117" t="str">
        <f t="shared" si="3"/>
        <v>N/A</v>
      </c>
      <c r="J25" s="117" t="str">
        <f t="shared" si="4"/>
        <v>N/A</v>
      </c>
      <c r="K25" s="117" t="str">
        <f t="shared" si="5"/>
        <v>N/A</v>
      </c>
      <c r="L25" s="117" t="str">
        <f t="shared" si="6"/>
        <v>N/A</v>
      </c>
      <c r="M25" s="117" t="str">
        <f t="shared" si="7"/>
        <v>N/A</v>
      </c>
      <c r="N25" s="117" t="str">
        <f t="shared" si="8"/>
        <v>N/A</v>
      </c>
      <c r="O25" s="117"/>
      <c r="P25" s="117" t="str">
        <f t="shared" si="9"/>
        <v>N/A</v>
      </c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17"/>
      <c r="AB25" s="17"/>
      <c r="AC25" s="17"/>
    </row>
    <row r="26" spans="1:29" hidden="1" x14ac:dyDescent="0.25">
      <c r="A26" s="50"/>
      <c r="B26" s="45" t="e">
        <f t="shared" si="0"/>
        <v>#N/A</v>
      </c>
      <c r="C26" s="45"/>
      <c r="D26" s="1" t="str">
        <f>IF(ISERROR(E26),"",IF(E26="","",MAX($D$12:D25)+1))</f>
        <v/>
      </c>
      <c r="F26" s="22"/>
      <c r="G26" s="117" t="str">
        <f t="shared" si="1"/>
        <v>N/A</v>
      </c>
      <c r="H26" s="117" t="str">
        <f t="shared" si="2"/>
        <v>N/A</v>
      </c>
      <c r="I26" s="117" t="str">
        <f t="shared" si="3"/>
        <v>N/A</v>
      </c>
      <c r="J26" s="117" t="str">
        <f t="shared" si="4"/>
        <v>N/A</v>
      </c>
      <c r="K26" s="117" t="str">
        <f t="shared" si="5"/>
        <v>N/A</v>
      </c>
      <c r="L26" s="117" t="str">
        <f t="shared" si="6"/>
        <v>N/A</v>
      </c>
      <c r="M26" s="117" t="str">
        <f t="shared" si="7"/>
        <v>N/A</v>
      </c>
      <c r="N26" s="117" t="str">
        <f t="shared" si="8"/>
        <v>N/A</v>
      </c>
      <c r="O26" s="117"/>
      <c r="P26" s="117" t="str">
        <f t="shared" si="9"/>
        <v>N/A</v>
      </c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17"/>
      <c r="AB26" s="17"/>
      <c r="AC26" s="17"/>
    </row>
    <row r="27" spans="1:29" hidden="1" x14ac:dyDescent="0.25">
      <c r="A27" s="50"/>
      <c r="B27" s="45" t="e">
        <f t="shared" si="0"/>
        <v>#N/A</v>
      </c>
      <c r="C27" s="45"/>
      <c r="D27" s="1" t="str">
        <f>IF(ISERROR(E27),"",IF(E27="","",MAX($D$12:D26)+1))</f>
        <v/>
      </c>
      <c r="F27" s="22"/>
      <c r="G27" s="117" t="str">
        <f t="shared" si="1"/>
        <v>N/A</v>
      </c>
      <c r="H27" s="117" t="str">
        <f t="shared" si="2"/>
        <v>N/A</v>
      </c>
      <c r="I27" s="117" t="str">
        <f t="shared" si="3"/>
        <v>N/A</v>
      </c>
      <c r="J27" s="117" t="str">
        <f t="shared" si="4"/>
        <v>N/A</v>
      </c>
      <c r="K27" s="117" t="str">
        <f t="shared" si="5"/>
        <v>N/A</v>
      </c>
      <c r="L27" s="117" t="str">
        <f t="shared" si="6"/>
        <v>N/A</v>
      </c>
      <c r="M27" s="117" t="str">
        <f t="shared" si="7"/>
        <v>N/A</v>
      </c>
      <c r="N27" s="117" t="str">
        <f t="shared" si="8"/>
        <v>N/A</v>
      </c>
      <c r="O27" s="117"/>
      <c r="P27" s="117" t="str">
        <f t="shared" si="9"/>
        <v>N/A</v>
      </c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17"/>
      <c r="AB27" s="17"/>
      <c r="AC27" s="17"/>
    </row>
    <row r="28" spans="1:29" hidden="1" x14ac:dyDescent="0.25">
      <c r="A28" s="50"/>
      <c r="B28" s="45" t="e">
        <f t="shared" si="0"/>
        <v>#N/A</v>
      </c>
      <c r="C28" s="45"/>
      <c r="D28" s="1" t="str">
        <f>IF(ISERROR(E28),"",IF(E28="","",MAX($D$12:D27)+1))</f>
        <v/>
      </c>
      <c r="F28" s="22"/>
      <c r="G28" s="117" t="str">
        <f t="shared" si="1"/>
        <v>N/A</v>
      </c>
      <c r="H28" s="117" t="str">
        <f t="shared" si="2"/>
        <v>N/A</v>
      </c>
      <c r="I28" s="117" t="str">
        <f t="shared" si="3"/>
        <v>N/A</v>
      </c>
      <c r="J28" s="117" t="str">
        <f t="shared" si="4"/>
        <v>N/A</v>
      </c>
      <c r="K28" s="117" t="str">
        <f t="shared" si="5"/>
        <v>N/A</v>
      </c>
      <c r="L28" s="117" t="str">
        <f t="shared" si="6"/>
        <v>N/A</v>
      </c>
      <c r="M28" s="117" t="str">
        <f t="shared" si="7"/>
        <v>N/A</v>
      </c>
      <c r="N28" s="117" t="str">
        <f t="shared" si="8"/>
        <v>N/A</v>
      </c>
      <c r="O28" s="117"/>
      <c r="P28" s="117" t="str">
        <f t="shared" si="9"/>
        <v>N/A</v>
      </c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17"/>
      <c r="AB28" s="17"/>
      <c r="AC28" s="17"/>
    </row>
    <row r="29" spans="1:29" hidden="1" x14ac:dyDescent="0.25">
      <c r="A29" s="50"/>
      <c r="B29" s="45" t="e">
        <f t="shared" si="0"/>
        <v>#N/A</v>
      </c>
      <c r="C29" s="45"/>
      <c r="D29" s="1" t="str">
        <f>IF(ISERROR(E29),"",IF(E29="","",MAX($D$12:D28)+1))</f>
        <v/>
      </c>
      <c r="F29" s="22"/>
      <c r="G29" s="117" t="str">
        <f t="shared" si="1"/>
        <v>N/A</v>
      </c>
      <c r="H29" s="117" t="str">
        <f t="shared" si="2"/>
        <v>N/A</v>
      </c>
      <c r="I29" s="117" t="str">
        <f t="shared" si="3"/>
        <v>N/A</v>
      </c>
      <c r="J29" s="117" t="str">
        <f t="shared" si="4"/>
        <v>N/A</v>
      </c>
      <c r="K29" s="117" t="str">
        <f t="shared" si="5"/>
        <v>N/A</v>
      </c>
      <c r="L29" s="117" t="str">
        <f t="shared" si="6"/>
        <v>N/A</v>
      </c>
      <c r="M29" s="117" t="str">
        <f t="shared" si="7"/>
        <v>N/A</v>
      </c>
      <c r="N29" s="117" t="str">
        <f t="shared" si="8"/>
        <v>N/A</v>
      </c>
      <c r="O29" s="117"/>
      <c r="P29" s="117" t="str">
        <f t="shared" si="9"/>
        <v>N/A</v>
      </c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17"/>
      <c r="AB29" s="17"/>
      <c r="AC29" s="17"/>
    </row>
    <row r="30" spans="1:29" hidden="1" x14ac:dyDescent="0.25">
      <c r="A30" s="50"/>
      <c r="B30" s="45" t="e">
        <f t="shared" si="0"/>
        <v>#N/A</v>
      </c>
      <c r="C30" s="45"/>
      <c r="D30" s="1" t="str">
        <f>IF(ISERROR(E30),"",IF(E30="","",MAX($D$12:D29)+1))</f>
        <v/>
      </c>
      <c r="F30" s="22"/>
      <c r="G30" s="117" t="str">
        <f t="shared" si="1"/>
        <v>N/A</v>
      </c>
      <c r="H30" s="117" t="str">
        <f t="shared" si="2"/>
        <v>N/A</v>
      </c>
      <c r="I30" s="117" t="str">
        <f t="shared" si="3"/>
        <v>N/A</v>
      </c>
      <c r="J30" s="117" t="str">
        <f t="shared" si="4"/>
        <v>N/A</v>
      </c>
      <c r="K30" s="117" t="str">
        <f t="shared" si="5"/>
        <v>N/A</v>
      </c>
      <c r="L30" s="117" t="str">
        <f t="shared" si="6"/>
        <v>N/A</v>
      </c>
      <c r="M30" s="117" t="str">
        <f t="shared" si="7"/>
        <v>N/A</v>
      </c>
      <c r="N30" s="117" t="str">
        <f t="shared" si="8"/>
        <v>N/A</v>
      </c>
      <c r="O30" s="117"/>
      <c r="P30" s="117" t="str">
        <f t="shared" si="9"/>
        <v>N/A</v>
      </c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17"/>
      <c r="AB30" s="17"/>
      <c r="AC30" s="17"/>
    </row>
    <row r="31" spans="1:29" hidden="1" x14ac:dyDescent="0.25">
      <c r="A31" s="50"/>
      <c r="B31" s="45" t="e">
        <f t="shared" si="0"/>
        <v>#N/A</v>
      </c>
      <c r="C31" s="45"/>
      <c r="D31" s="1" t="str">
        <f>IF(ISERROR(E31),"",IF(E31="","",MAX($D$12:D30)+1))</f>
        <v/>
      </c>
      <c r="F31" s="22"/>
      <c r="G31" s="117" t="str">
        <f t="shared" si="1"/>
        <v>N/A</v>
      </c>
      <c r="H31" s="117" t="str">
        <f t="shared" si="2"/>
        <v>N/A</v>
      </c>
      <c r="I31" s="117" t="str">
        <f t="shared" si="3"/>
        <v>N/A</v>
      </c>
      <c r="J31" s="117" t="str">
        <f t="shared" si="4"/>
        <v>N/A</v>
      </c>
      <c r="K31" s="117" t="str">
        <f t="shared" si="5"/>
        <v>N/A</v>
      </c>
      <c r="L31" s="117" t="str">
        <f t="shared" si="6"/>
        <v>N/A</v>
      </c>
      <c r="M31" s="117" t="str">
        <f t="shared" si="7"/>
        <v>N/A</v>
      </c>
      <c r="N31" s="117" t="str">
        <f t="shared" si="8"/>
        <v>N/A</v>
      </c>
      <c r="O31" s="117"/>
      <c r="P31" s="117" t="str">
        <f t="shared" si="9"/>
        <v>N/A</v>
      </c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17"/>
      <c r="AB31" s="17"/>
      <c r="AC31" s="17"/>
    </row>
    <row r="32" spans="1:29" hidden="1" x14ac:dyDescent="0.25">
      <c r="A32" s="50"/>
      <c r="B32" s="45" t="e">
        <f t="shared" si="0"/>
        <v>#N/A</v>
      </c>
      <c r="C32" s="45"/>
      <c r="D32" s="1" t="str">
        <f>IF(ISERROR(E32),"",IF(E32="","",MAX($D$12:D31)+1))</f>
        <v/>
      </c>
      <c r="F32" s="22"/>
      <c r="G32" s="117" t="str">
        <f t="shared" si="1"/>
        <v>N/A</v>
      </c>
      <c r="H32" s="117" t="str">
        <f t="shared" si="2"/>
        <v>N/A</v>
      </c>
      <c r="I32" s="117" t="str">
        <f t="shared" si="3"/>
        <v>N/A</v>
      </c>
      <c r="J32" s="117" t="str">
        <f t="shared" si="4"/>
        <v>N/A</v>
      </c>
      <c r="K32" s="117" t="str">
        <f t="shared" si="5"/>
        <v>N/A</v>
      </c>
      <c r="L32" s="117" t="str">
        <f t="shared" si="6"/>
        <v>N/A</v>
      </c>
      <c r="M32" s="117" t="str">
        <f t="shared" si="7"/>
        <v>N/A</v>
      </c>
      <c r="N32" s="117" t="str">
        <f t="shared" si="8"/>
        <v>N/A</v>
      </c>
      <c r="O32" s="117"/>
      <c r="P32" s="117" t="str">
        <f t="shared" si="9"/>
        <v>N/A</v>
      </c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17"/>
      <c r="AB32" s="17"/>
      <c r="AC32" s="17"/>
    </row>
    <row r="33" spans="1:29" hidden="1" x14ac:dyDescent="0.25">
      <c r="A33" s="50"/>
      <c r="B33" s="45" t="e">
        <f t="shared" si="0"/>
        <v>#N/A</v>
      </c>
      <c r="C33" s="45"/>
      <c r="D33" s="1" t="str">
        <f>IF(ISERROR(E33),"",IF(E33="","",MAX($D$12:D32)+1))</f>
        <v/>
      </c>
      <c r="F33" s="22"/>
      <c r="G33" s="117" t="str">
        <f t="shared" si="1"/>
        <v>N/A</v>
      </c>
      <c r="H33" s="117" t="str">
        <f t="shared" si="2"/>
        <v>N/A</v>
      </c>
      <c r="I33" s="117" t="str">
        <f t="shared" si="3"/>
        <v>N/A</v>
      </c>
      <c r="J33" s="117" t="str">
        <f t="shared" si="4"/>
        <v>N/A</v>
      </c>
      <c r="K33" s="117" t="str">
        <f t="shared" si="5"/>
        <v>N/A</v>
      </c>
      <c r="L33" s="117" t="str">
        <f t="shared" si="6"/>
        <v>N/A</v>
      </c>
      <c r="M33" s="117" t="str">
        <f t="shared" si="7"/>
        <v>N/A</v>
      </c>
      <c r="N33" s="117" t="str">
        <f t="shared" si="8"/>
        <v>N/A</v>
      </c>
      <c r="O33" s="117"/>
      <c r="P33" s="117" t="str">
        <f t="shared" si="9"/>
        <v>N/A</v>
      </c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17"/>
      <c r="AB33" s="17"/>
      <c r="AC33" s="17"/>
    </row>
    <row r="34" spans="1:29" hidden="1" x14ac:dyDescent="0.25">
      <c r="A34" s="50"/>
      <c r="B34" s="45" t="e">
        <f t="shared" si="0"/>
        <v>#N/A</v>
      </c>
      <c r="C34" s="45"/>
      <c r="D34" s="1" t="str">
        <f>IF(ISERROR(E34),"",IF(E34="","",MAX($D$12:D33)+1))</f>
        <v/>
      </c>
      <c r="F34" s="22"/>
      <c r="G34" s="117" t="str">
        <f t="shared" si="1"/>
        <v>N/A</v>
      </c>
      <c r="H34" s="117" t="str">
        <f t="shared" si="2"/>
        <v>N/A</v>
      </c>
      <c r="I34" s="117" t="str">
        <f t="shared" si="3"/>
        <v>N/A</v>
      </c>
      <c r="J34" s="117" t="str">
        <f t="shared" si="4"/>
        <v>N/A</v>
      </c>
      <c r="K34" s="117" t="str">
        <f t="shared" si="5"/>
        <v>N/A</v>
      </c>
      <c r="L34" s="117" t="str">
        <f t="shared" si="6"/>
        <v>N/A</v>
      </c>
      <c r="M34" s="117" t="str">
        <f t="shared" si="7"/>
        <v>N/A</v>
      </c>
      <c r="N34" s="117" t="str">
        <f t="shared" si="8"/>
        <v>N/A</v>
      </c>
      <c r="O34" s="117"/>
      <c r="P34" s="117" t="str">
        <f t="shared" si="9"/>
        <v>N/A</v>
      </c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17"/>
      <c r="AB34" s="17"/>
      <c r="AC34" s="17"/>
    </row>
    <row r="35" spans="1:29" hidden="1" x14ac:dyDescent="0.25">
      <c r="A35" s="50"/>
      <c r="B35" s="45" t="e">
        <f t="shared" si="0"/>
        <v>#N/A</v>
      </c>
      <c r="C35" s="45"/>
      <c r="D35" s="1" t="str">
        <f>IF(ISERROR(E35),"",IF(E35="","",MAX($D$12:D34)+1))</f>
        <v/>
      </c>
      <c r="F35" s="22"/>
      <c r="G35" s="117" t="str">
        <f t="shared" si="1"/>
        <v>N/A</v>
      </c>
      <c r="H35" s="117" t="str">
        <f t="shared" si="2"/>
        <v>N/A</v>
      </c>
      <c r="I35" s="117" t="str">
        <f t="shared" si="3"/>
        <v>N/A</v>
      </c>
      <c r="J35" s="117" t="str">
        <f t="shared" si="4"/>
        <v>N/A</v>
      </c>
      <c r="K35" s="117" t="str">
        <f t="shared" si="5"/>
        <v>N/A</v>
      </c>
      <c r="L35" s="117" t="str">
        <f t="shared" si="6"/>
        <v>N/A</v>
      </c>
      <c r="M35" s="117" t="str">
        <f t="shared" si="7"/>
        <v>N/A</v>
      </c>
      <c r="N35" s="117" t="str">
        <f t="shared" si="8"/>
        <v>N/A</v>
      </c>
      <c r="O35" s="117"/>
      <c r="P35" s="117" t="str">
        <f t="shared" si="9"/>
        <v>N/A</v>
      </c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17"/>
      <c r="AB35" s="17"/>
      <c r="AC35" s="17"/>
    </row>
    <row r="36" spans="1:29" hidden="1" x14ac:dyDescent="0.25">
      <c r="A36" s="50"/>
      <c r="B36" s="45" t="e">
        <f t="shared" si="0"/>
        <v>#N/A</v>
      </c>
      <c r="C36" s="45"/>
      <c r="D36" s="1" t="str">
        <f>IF(ISERROR(E36),"",IF(E36="","",MAX($D$12:D35)+1))</f>
        <v/>
      </c>
      <c r="F36" s="22"/>
      <c r="G36" s="117" t="str">
        <f t="shared" si="1"/>
        <v>N/A</v>
      </c>
      <c r="H36" s="117" t="str">
        <f t="shared" si="2"/>
        <v>N/A</v>
      </c>
      <c r="I36" s="117" t="str">
        <f t="shared" si="3"/>
        <v>N/A</v>
      </c>
      <c r="J36" s="117" t="str">
        <f t="shared" si="4"/>
        <v>N/A</v>
      </c>
      <c r="K36" s="117" t="str">
        <f t="shared" si="5"/>
        <v>N/A</v>
      </c>
      <c r="L36" s="117" t="str">
        <f t="shared" si="6"/>
        <v>N/A</v>
      </c>
      <c r="M36" s="117" t="str">
        <f t="shared" si="7"/>
        <v>N/A</v>
      </c>
      <c r="N36" s="117" t="str">
        <f t="shared" si="8"/>
        <v>N/A</v>
      </c>
      <c r="O36" s="117"/>
      <c r="P36" s="117" t="str">
        <f t="shared" si="9"/>
        <v>N/A</v>
      </c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17"/>
      <c r="AB36" s="17"/>
      <c r="AC36" s="17"/>
    </row>
    <row r="37" spans="1:29" hidden="1" x14ac:dyDescent="0.25">
      <c r="A37" s="50"/>
      <c r="B37" s="45" t="e">
        <f t="shared" si="0"/>
        <v>#N/A</v>
      </c>
      <c r="C37" s="45"/>
      <c r="D37" s="1" t="str">
        <f>IF(ISERROR(E37),"",IF(E37="","",MAX($D$12:D36)+1))</f>
        <v/>
      </c>
      <c r="F37" s="22"/>
      <c r="G37" s="117" t="str">
        <f t="shared" si="1"/>
        <v>N/A</v>
      </c>
      <c r="H37" s="117" t="str">
        <f t="shared" si="2"/>
        <v>N/A</v>
      </c>
      <c r="I37" s="117" t="str">
        <f t="shared" si="3"/>
        <v>N/A</v>
      </c>
      <c r="J37" s="117" t="str">
        <f t="shared" si="4"/>
        <v>N/A</v>
      </c>
      <c r="K37" s="117" t="str">
        <f t="shared" si="5"/>
        <v>N/A</v>
      </c>
      <c r="L37" s="117" t="str">
        <f t="shared" si="6"/>
        <v>N/A</v>
      </c>
      <c r="M37" s="117" t="str">
        <f t="shared" si="7"/>
        <v>N/A</v>
      </c>
      <c r="N37" s="117" t="str">
        <f t="shared" si="8"/>
        <v>N/A</v>
      </c>
      <c r="O37" s="117"/>
      <c r="P37" s="117" t="str">
        <f t="shared" si="9"/>
        <v>N/A</v>
      </c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17"/>
      <c r="AB37" s="17"/>
      <c r="AC37" s="17"/>
    </row>
    <row r="38" spans="1:29" hidden="1" x14ac:dyDescent="0.25">
      <c r="A38" s="50"/>
      <c r="B38" s="45" t="e">
        <f t="shared" si="0"/>
        <v>#N/A</v>
      </c>
      <c r="C38" s="45"/>
      <c r="D38" s="1" t="str">
        <f>IF(ISERROR(E38),"",IF(E38="","",MAX($D$12:D37)+1))</f>
        <v/>
      </c>
      <c r="F38" s="22"/>
      <c r="G38" s="117" t="str">
        <f t="shared" si="1"/>
        <v>N/A</v>
      </c>
      <c r="H38" s="117" t="str">
        <f t="shared" si="2"/>
        <v>N/A</v>
      </c>
      <c r="I38" s="117" t="str">
        <f t="shared" si="3"/>
        <v>N/A</v>
      </c>
      <c r="J38" s="117" t="str">
        <f t="shared" si="4"/>
        <v>N/A</v>
      </c>
      <c r="K38" s="117" t="str">
        <f t="shared" si="5"/>
        <v>N/A</v>
      </c>
      <c r="L38" s="117" t="str">
        <f t="shared" si="6"/>
        <v>N/A</v>
      </c>
      <c r="M38" s="117" t="str">
        <f t="shared" si="7"/>
        <v>N/A</v>
      </c>
      <c r="N38" s="117" t="str">
        <f t="shared" si="8"/>
        <v>N/A</v>
      </c>
      <c r="O38" s="117"/>
      <c r="P38" s="117" t="str">
        <f t="shared" si="9"/>
        <v>N/A</v>
      </c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17"/>
      <c r="AB38" s="17"/>
      <c r="AC38" s="17"/>
    </row>
    <row r="39" spans="1:29" hidden="1" x14ac:dyDescent="0.25">
      <c r="A39" s="50"/>
      <c r="B39" s="45" t="e">
        <f t="shared" si="0"/>
        <v>#N/A</v>
      </c>
      <c r="C39" s="45"/>
      <c r="D39" s="1" t="str">
        <f>IF(ISERROR(E39),"",IF(E39="","",MAX($D$12:D38)+1))</f>
        <v/>
      </c>
      <c r="F39" s="22"/>
      <c r="G39" s="117" t="str">
        <f t="shared" si="1"/>
        <v>N/A</v>
      </c>
      <c r="H39" s="117" t="str">
        <f t="shared" si="2"/>
        <v>N/A</v>
      </c>
      <c r="I39" s="117" t="str">
        <f t="shared" si="3"/>
        <v>N/A</v>
      </c>
      <c r="J39" s="117" t="str">
        <f t="shared" si="4"/>
        <v>N/A</v>
      </c>
      <c r="K39" s="117" t="str">
        <f t="shared" si="5"/>
        <v>N/A</v>
      </c>
      <c r="L39" s="117" t="str">
        <f t="shared" si="6"/>
        <v>N/A</v>
      </c>
      <c r="M39" s="117" t="str">
        <f t="shared" si="7"/>
        <v>N/A</v>
      </c>
      <c r="N39" s="117" t="str">
        <f t="shared" si="8"/>
        <v>N/A</v>
      </c>
      <c r="O39" s="117"/>
      <c r="P39" s="117" t="str">
        <f t="shared" si="9"/>
        <v>N/A</v>
      </c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17"/>
      <c r="AB39" s="17"/>
      <c r="AC39" s="17"/>
    </row>
    <row r="40" spans="1:29" hidden="1" x14ac:dyDescent="0.25">
      <c r="A40" s="50"/>
      <c r="B40" s="45" t="e">
        <f t="shared" si="0"/>
        <v>#N/A</v>
      </c>
      <c r="C40" s="45"/>
      <c r="D40" s="1" t="str">
        <f>IF(ISERROR(E40),"",IF(E40="","",MAX($D$12:D39)+1))</f>
        <v/>
      </c>
      <c r="F40" s="22"/>
      <c r="G40" s="117" t="str">
        <f t="shared" si="1"/>
        <v>N/A</v>
      </c>
      <c r="H40" s="117" t="str">
        <f t="shared" si="2"/>
        <v>N/A</v>
      </c>
      <c r="I40" s="117" t="str">
        <f t="shared" si="3"/>
        <v>N/A</v>
      </c>
      <c r="J40" s="117" t="str">
        <f t="shared" si="4"/>
        <v>N/A</v>
      </c>
      <c r="K40" s="117" t="str">
        <f t="shared" si="5"/>
        <v>N/A</v>
      </c>
      <c r="L40" s="117" t="str">
        <f t="shared" si="6"/>
        <v>N/A</v>
      </c>
      <c r="M40" s="117" t="str">
        <f t="shared" si="7"/>
        <v>N/A</v>
      </c>
      <c r="N40" s="117" t="str">
        <f t="shared" si="8"/>
        <v>N/A</v>
      </c>
      <c r="O40" s="117"/>
      <c r="P40" s="117" t="str">
        <f t="shared" si="9"/>
        <v>N/A</v>
      </c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17"/>
      <c r="AB40" s="17"/>
      <c r="AC40" s="17"/>
    </row>
    <row r="41" spans="1:29" hidden="1" x14ac:dyDescent="0.25">
      <c r="A41" s="50"/>
      <c r="B41" s="45" t="e">
        <f t="shared" si="0"/>
        <v>#N/A</v>
      </c>
      <c r="C41" s="45"/>
      <c r="D41" s="1" t="str">
        <f>IF(ISERROR(E41),"",IF(E41="","",MAX($D$12:D40)+1))</f>
        <v/>
      </c>
      <c r="F41" s="22"/>
      <c r="G41" s="117" t="str">
        <f t="shared" si="1"/>
        <v>N/A</v>
      </c>
      <c r="H41" s="117" t="str">
        <f t="shared" si="2"/>
        <v>N/A</v>
      </c>
      <c r="I41" s="117" t="str">
        <f t="shared" si="3"/>
        <v>N/A</v>
      </c>
      <c r="J41" s="117" t="str">
        <f t="shared" si="4"/>
        <v>N/A</v>
      </c>
      <c r="K41" s="117" t="str">
        <f t="shared" si="5"/>
        <v>N/A</v>
      </c>
      <c r="L41" s="117" t="str">
        <f t="shared" si="6"/>
        <v>N/A</v>
      </c>
      <c r="M41" s="117" t="str">
        <f t="shared" si="7"/>
        <v>N/A</v>
      </c>
      <c r="N41" s="117" t="str">
        <f t="shared" si="8"/>
        <v>N/A</v>
      </c>
      <c r="O41" s="117"/>
      <c r="P41" s="117" t="str">
        <f t="shared" si="9"/>
        <v>N/A</v>
      </c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17"/>
      <c r="AB41" s="17"/>
      <c r="AC41" s="17"/>
    </row>
    <row r="42" spans="1:29" hidden="1" x14ac:dyDescent="0.25">
      <c r="A42" s="50"/>
      <c r="B42" s="45" t="e">
        <f t="shared" si="0"/>
        <v>#N/A</v>
      </c>
      <c r="C42" s="45"/>
      <c r="D42" s="1" t="str">
        <f>IF(ISERROR(E42),"",IF(E42="","",MAX($D$12:D41)+1))</f>
        <v/>
      </c>
      <c r="F42" s="22"/>
      <c r="G42" s="117" t="str">
        <f t="shared" si="1"/>
        <v>N/A</v>
      </c>
      <c r="H42" s="117" t="str">
        <f t="shared" si="2"/>
        <v>N/A</v>
      </c>
      <c r="I42" s="117" t="str">
        <f t="shared" si="3"/>
        <v>N/A</v>
      </c>
      <c r="J42" s="117" t="str">
        <f t="shared" si="4"/>
        <v>N/A</v>
      </c>
      <c r="K42" s="117" t="str">
        <f t="shared" si="5"/>
        <v>N/A</v>
      </c>
      <c r="L42" s="117" t="str">
        <f t="shared" si="6"/>
        <v>N/A</v>
      </c>
      <c r="M42" s="117" t="str">
        <f t="shared" si="7"/>
        <v>N/A</v>
      </c>
      <c r="N42" s="117" t="str">
        <f t="shared" si="8"/>
        <v>N/A</v>
      </c>
      <c r="O42" s="117"/>
      <c r="P42" s="117" t="str">
        <f t="shared" si="9"/>
        <v>N/A</v>
      </c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17"/>
      <c r="AB42" s="17"/>
      <c r="AC42" s="17"/>
    </row>
    <row r="43" spans="1:29" hidden="1" x14ac:dyDescent="0.25">
      <c r="A43" s="50"/>
      <c r="B43" s="45" t="e">
        <f t="shared" si="0"/>
        <v>#N/A</v>
      </c>
      <c r="C43" s="45"/>
      <c r="D43" s="1" t="str">
        <f>IF(ISERROR(E43),"",IF(E43="","",MAX($D$12:D42)+1))</f>
        <v/>
      </c>
      <c r="F43" s="22"/>
      <c r="G43" s="117" t="str">
        <f t="shared" si="1"/>
        <v>N/A</v>
      </c>
      <c r="H43" s="117" t="str">
        <f t="shared" si="2"/>
        <v>N/A</v>
      </c>
      <c r="I43" s="117" t="str">
        <f t="shared" si="3"/>
        <v>N/A</v>
      </c>
      <c r="J43" s="117" t="str">
        <f t="shared" si="4"/>
        <v>N/A</v>
      </c>
      <c r="K43" s="117" t="str">
        <f t="shared" si="5"/>
        <v>N/A</v>
      </c>
      <c r="L43" s="117" t="str">
        <f t="shared" si="6"/>
        <v>N/A</v>
      </c>
      <c r="M43" s="117" t="str">
        <f t="shared" si="7"/>
        <v>N/A</v>
      </c>
      <c r="N43" s="117" t="str">
        <f t="shared" si="8"/>
        <v>N/A</v>
      </c>
      <c r="O43" s="117"/>
      <c r="P43" s="117" t="str">
        <f t="shared" si="9"/>
        <v>N/A</v>
      </c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17"/>
      <c r="AB43" s="17"/>
      <c r="AC43" s="17"/>
    </row>
    <row r="44" spans="1:29" hidden="1" x14ac:dyDescent="0.25">
      <c r="A44" s="50"/>
      <c r="B44" s="45" t="e">
        <f t="shared" si="0"/>
        <v>#N/A</v>
      </c>
      <c r="C44" s="45"/>
      <c r="D44" s="1" t="str">
        <f>IF(ISERROR(E44),"",IF(E44="","",MAX($D$12:D43)+1))</f>
        <v/>
      </c>
      <c r="F44" s="22"/>
      <c r="G44" s="117" t="str">
        <f t="shared" si="1"/>
        <v>N/A</v>
      </c>
      <c r="H44" s="117" t="str">
        <f t="shared" si="2"/>
        <v>N/A</v>
      </c>
      <c r="I44" s="117" t="str">
        <f t="shared" si="3"/>
        <v>N/A</v>
      </c>
      <c r="J44" s="117" t="str">
        <f t="shared" si="4"/>
        <v>N/A</v>
      </c>
      <c r="K44" s="117" t="str">
        <f t="shared" si="5"/>
        <v>N/A</v>
      </c>
      <c r="L44" s="117" t="str">
        <f t="shared" si="6"/>
        <v>N/A</v>
      </c>
      <c r="M44" s="117" t="str">
        <f t="shared" si="7"/>
        <v>N/A</v>
      </c>
      <c r="N44" s="117" t="str">
        <f t="shared" si="8"/>
        <v>N/A</v>
      </c>
      <c r="O44" s="117"/>
      <c r="P44" s="117" t="str">
        <f t="shared" si="9"/>
        <v>N/A</v>
      </c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17"/>
      <c r="AB44" s="17"/>
      <c r="AC44" s="17"/>
    </row>
    <row r="45" spans="1:29" hidden="1" x14ac:dyDescent="0.25">
      <c r="A45" s="50"/>
      <c r="B45" s="45" t="e">
        <f t="shared" si="0"/>
        <v>#N/A</v>
      </c>
      <c r="C45" s="45"/>
      <c r="D45" s="1" t="str">
        <f>IF(ISERROR(E45),"",IF(E45="","",MAX($D$12:D44)+1))</f>
        <v/>
      </c>
      <c r="F45" s="22"/>
      <c r="G45" s="117" t="str">
        <f t="shared" si="1"/>
        <v>N/A</v>
      </c>
      <c r="H45" s="117" t="str">
        <f t="shared" si="2"/>
        <v>N/A</v>
      </c>
      <c r="I45" s="117" t="str">
        <f t="shared" si="3"/>
        <v>N/A</v>
      </c>
      <c r="J45" s="117" t="str">
        <f t="shared" si="4"/>
        <v>N/A</v>
      </c>
      <c r="K45" s="117" t="str">
        <f t="shared" si="5"/>
        <v>N/A</v>
      </c>
      <c r="L45" s="117" t="str">
        <f t="shared" si="6"/>
        <v>N/A</v>
      </c>
      <c r="M45" s="117" t="str">
        <f t="shared" si="7"/>
        <v>N/A</v>
      </c>
      <c r="N45" s="117" t="str">
        <f t="shared" si="8"/>
        <v>N/A</v>
      </c>
      <c r="O45" s="117"/>
      <c r="P45" s="117" t="str">
        <f t="shared" si="9"/>
        <v>N/A</v>
      </c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17"/>
      <c r="AB45" s="17"/>
      <c r="AC45" s="17"/>
    </row>
    <row r="46" spans="1:29" hidden="1" x14ac:dyDescent="0.25">
      <c r="A46" s="50"/>
      <c r="B46" s="45" t="e">
        <f t="shared" si="0"/>
        <v>#N/A</v>
      </c>
      <c r="C46" s="45"/>
      <c r="D46" s="1" t="str">
        <f>IF(ISERROR(E46),"",IF(E46="","",MAX($D$12:D45)+1))</f>
        <v/>
      </c>
      <c r="F46" s="22"/>
      <c r="G46" s="117" t="str">
        <f t="shared" si="1"/>
        <v>N/A</v>
      </c>
      <c r="H46" s="117" t="str">
        <f t="shared" si="2"/>
        <v>N/A</v>
      </c>
      <c r="I46" s="117" t="str">
        <f t="shared" si="3"/>
        <v>N/A</v>
      </c>
      <c r="J46" s="117" t="str">
        <f t="shared" si="4"/>
        <v>N/A</v>
      </c>
      <c r="K46" s="117" t="str">
        <f t="shared" si="5"/>
        <v>N/A</v>
      </c>
      <c r="L46" s="117" t="str">
        <f t="shared" si="6"/>
        <v>N/A</v>
      </c>
      <c r="M46" s="117" t="str">
        <f t="shared" si="7"/>
        <v>N/A</v>
      </c>
      <c r="N46" s="117" t="str">
        <f t="shared" si="8"/>
        <v>N/A</v>
      </c>
      <c r="O46" s="117"/>
      <c r="P46" s="117" t="str">
        <f t="shared" si="9"/>
        <v>N/A</v>
      </c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17"/>
      <c r="AB46" s="17"/>
      <c r="AC46" s="17"/>
    </row>
    <row r="47" spans="1:29" hidden="1" x14ac:dyDescent="0.25">
      <c r="A47" s="50"/>
      <c r="B47" s="45" t="e">
        <f t="shared" si="0"/>
        <v>#N/A</v>
      </c>
      <c r="C47" s="45"/>
      <c r="D47" s="1" t="str">
        <f>IF(ISERROR(E47),"",IF(E47="","",MAX($D$12:D46)+1))</f>
        <v/>
      </c>
      <c r="F47" s="22"/>
      <c r="G47" s="117" t="str">
        <f t="shared" si="1"/>
        <v>N/A</v>
      </c>
      <c r="H47" s="117" t="str">
        <f t="shared" si="2"/>
        <v>N/A</v>
      </c>
      <c r="I47" s="117" t="str">
        <f t="shared" si="3"/>
        <v>N/A</v>
      </c>
      <c r="J47" s="117" t="str">
        <f t="shared" si="4"/>
        <v>N/A</v>
      </c>
      <c r="K47" s="117" t="str">
        <f t="shared" si="5"/>
        <v>N/A</v>
      </c>
      <c r="L47" s="117" t="str">
        <f t="shared" si="6"/>
        <v>N/A</v>
      </c>
      <c r="M47" s="117" t="str">
        <f t="shared" si="7"/>
        <v>N/A</v>
      </c>
      <c r="N47" s="117" t="str">
        <f t="shared" si="8"/>
        <v>N/A</v>
      </c>
      <c r="O47" s="117"/>
      <c r="P47" s="117" t="str">
        <f t="shared" si="9"/>
        <v>N/A</v>
      </c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17"/>
      <c r="AB47" s="17"/>
      <c r="AC47" s="17"/>
    </row>
    <row r="48" spans="1:29" hidden="1" x14ac:dyDescent="0.25">
      <c r="A48" s="50"/>
      <c r="B48" s="45" t="e">
        <f t="shared" si="0"/>
        <v>#N/A</v>
      </c>
      <c r="C48" s="45"/>
      <c r="D48" s="1" t="str">
        <f>IF(ISERROR(E48),"",IF(E48="","",MAX($D$12:D47)+1))</f>
        <v/>
      </c>
      <c r="F48" s="22"/>
      <c r="G48" s="117" t="str">
        <f t="shared" si="1"/>
        <v>N/A</v>
      </c>
      <c r="H48" s="117" t="str">
        <f t="shared" si="2"/>
        <v>N/A</v>
      </c>
      <c r="I48" s="117" t="str">
        <f t="shared" si="3"/>
        <v>N/A</v>
      </c>
      <c r="J48" s="117" t="str">
        <f t="shared" si="4"/>
        <v>N/A</v>
      </c>
      <c r="K48" s="117" t="str">
        <f t="shared" si="5"/>
        <v>N/A</v>
      </c>
      <c r="L48" s="117" t="str">
        <f t="shared" si="6"/>
        <v>N/A</v>
      </c>
      <c r="M48" s="117" t="str">
        <f t="shared" si="7"/>
        <v>N/A</v>
      </c>
      <c r="N48" s="117" t="str">
        <f t="shared" si="8"/>
        <v>N/A</v>
      </c>
      <c r="O48" s="117"/>
      <c r="P48" s="117" t="str">
        <f t="shared" si="9"/>
        <v>N/A</v>
      </c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17"/>
      <c r="AB48" s="17"/>
      <c r="AC48" s="17"/>
    </row>
    <row r="49" spans="1:29" hidden="1" x14ac:dyDescent="0.25">
      <c r="A49" s="50"/>
      <c r="B49" s="45" t="e">
        <f t="shared" si="0"/>
        <v>#N/A</v>
      </c>
      <c r="C49" s="45"/>
      <c r="D49" s="1" t="str">
        <f>IF(ISERROR(E49),"",IF(E49="","",MAX($D$12:D48)+1))</f>
        <v/>
      </c>
      <c r="F49" s="22"/>
      <c r="G49" s="117" t="str">
        <f t="shared" si="1"/>
        <v>N/A</v>
      </c>
      <c r="H49" s="117" t="str">
        <f t="shared" si="2"/>
        <v>N/A</v>
      </c>
      <c r="I49" s="117" t="str">
        <f t="shared" si="3"/>
        <v>N/A</v>
      </c>
      <c r="J49" s="117" t="str">
        <f t="shared" si="4"/>
        <v>N/A</v>
      </c>
      <c r="K49" s="117" t="str">
        <f t="shared" si="5"/>
        <v>N/A</v>
      </c>
      <c r="L49" s="117" t="str">
        <f t="shared" si="6"/>
        <v>N/A</v>
      </c>
      <c r="M49" s="117" t="str">
        <f t="shared" si="7"/>
        <v>N/A</v>
      </c>
      <c r="N49" s="117" t="str">
        <f t="shared" si="8"/>
        <v>N/A</v>
      </c>
      <c r="O49" s="117"/>
      <c r="P49" s="117" t="str">
        <f t="shared" si="9"/>
        <v>N/A</v>
      </c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17"/>
      <c r="AB49" s="17"/>
      <c r="AC49" s="17"/>
    </row>
    <row r="50" spans="1:29" hidden="1" x14ac:dyDescent="0.25">
      <c r="A50" s="50"/>
      <c r="B50" s="45" t="e">
        <f t="shared" si="0"/>
        <v>#N/A</v>
      </c>
      <c r="C50" s="45"/>
      <c r="D50" s="1" t="str">
        <f>IF(ISERROR(E50),"",IF(E50="","",MAX($D$12:D49)+1))</f>
        <v/>
      </c>
      <c r="F50" s="22"/>
      <c r="G50" s="117" t="str">
        <f t="shared" si="1"/>
        <v>N/A</v>
      </c>
      <c r="H50" s="117" t="str">
        <f t="shared" si="2"/>
        <v>N/A</v>
      </c>
      <c r="I50" s="117" t="str">
        <f t="shared" si="3"/>
        <v>N/A</v>
      </c>
      <c r="J50" s="117" t="str">
        <f t="shared" si="4"/>
        <v>N/A</v>
      </c>
      <c r="K50" s="117" t="str">
        <f t="shared" si="5"/>
        <v>N/A</v>
      </c>
      <c r="L50" s="117" t="str">
        <f t="shared" si="6"/>
        <v>N/A</v>
      </c>
      <c r="M50" s="117" t="str">
        <f t="shared" si="7"/>
        <v>N/A</v>
      </c>
      <c r="N50" s="117" t="str">
        <f t="shared" si="8"/>
        <v>N/A</v>
      </c>
      <c r="O50" s="117"/>
      <c r="P50" s="117" t="str">
        <f t="shared" si="9"/>
        <v>N/A</v>
      </c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17"/>
      <c r="AB50" s="17"/>
      <c r="AC50" s="17"/>
    </row>
    <row r="51" spans="1:29" hidden="1" x14ac:dyDescent="0.25">
      <c r="A51" s="50"/>
      <c r="B51" s="45" t="e">
        <f t="shared" si="0"/>
        <v>#N/A</v>
      </c>
      <c r="C51" s="45"/>
      <c r="D51" s="1" t="str">
        <f>IF(ISERROR(E51),"",IF(E51="","",MAX($D$12:D50)+1))</f>
        <v/>
      </c>
      <c r="F51" s="22"/>
      <c r="G51" s="117" t="str">
        <f t="shared" si="1"/>
        <v>N/A</v>
      </c>
      <c r="H51" s="117" t="str">
        <f t="shared" si="2"/>
        <v>N/A</v>
      </c>
      <c r="I51" s="117" t="str">
        <f t="shared" si="3"/>
        <v>N/A</v>
      </c>
      <c r="J51" s="117" t="str">
        <f t="shared" si="4"/>
        <v>N/A</v>
      </c>
      <c r="K51" s="117" t="str">
        <f t="shared" si="5"/>
        <v>N/A</v>
      </c>
      <c r="L51" s="117" t="str">
        <f t="shared" si="6"/>
        <v>N/A</v>
      </c>
      <c r="M51" s="117" t="str">
        <f t="shared" si="7"/>
        <v>N/A</v>
      </c>
      <c r="N51" s="117" t="str">
        <f t="shared" si="8"/>
        <v>N/A</v>
      </c>
      <c r="O51" s="117"/>
      <c r="P51" s="117" t="str">
        <f t="shared" si="9"/>
        <v>N/A</v>
      </c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17"/>
      <c r="AB51" s="17"/>
      <c r="AC51" s="17"/>
    </row>
    <row r="52" spans="1:29" hidden="1" x14ac:dyDescent="0.25">
      <c r="A52" s="50"/>
      <c r="B52" s="45" t="e">
        <f t="shared" si="0"/>
        <v>#N/A</v>
      </c>
      <c r="C52" s="45"/>
      <c r="D52" s="1" t="str">
        <f>IF(ISERROR(E52),"",IF(E52="","",MAX($D$12:D51)+1))</f>
        <v/>
      </c>
      <c r="F52" s="22"/>
      <c r="G52" s="117" t="str">
        <f t="shared" si="1"/>
        <v>N/A</v>
      </c>
      <c r="H52" s="117" t="str">
        <f t="shared" si="2"/>
        <v>N/A</v>
      </c>
      <c r="I52" s="117" t="str">
        <f t="shared" si="3"/>
        <v>N/A</v>
      </c>
      <c r="J52" s="117" t="str">
        <f t="shared" si="4"/>
        <v>N/A</v>
      </c>
      <c r="K52" s="117" t="str">
        <f t="shared" si="5"/>
        <v>N/A</v>
      </c>
      <c r="L52" s="117" t="str">
        <f t="shared" si="6"/>
        <v>N/A</v>
      </c>
      <c r="M52" s="117" t="str">
        <f t="shared" si="7"/>
        <v>N/A</v>
      </c>
      <c r="N52" s="117" t="str">
        <f t="shared" si="8"/>
        <v>N/A</v>
      </c>
      <c r="O52" s="117"/>
      <c r="P52" s="117" t="str">
        <f t="shared" si="9"/>
        <v>N/A</v>
      </c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17"/>
      <c r="AB52" s="17"/>
      <c r="AC52" s="17"/>
    </row>
    <row r="53" spans="1:29" hidden="1" x14ac:dyDescent="0.25">
      <c r="A53" s="50"/>
      <c r="B53" s="45" t="e">
        <f t="shared" si="0"/>
        <v>#N/A</v>
      </c>
      <c r="C53" s="45"/>
      <c r="D53" s="1" t="str">
        <f>IF(ISERROR(E53),"",IF(E53="","",MAX($D$12:D52)+1))</f>
        <v/>
      </c>
      <c r="F53" s="22"/>
      <c r="G53" s="117" t="str">
        <f t="shared" si="1"/>
        <v>N/A</v>
      </c>
      <c r="H53" s="117" t="str">
        <f t="shared" si="2"/>
        <v>N/A</v>
      </c>
      <c r="I53" s="117" t="str">
        <f t="shared" si="3"/>
        <v>N/A</v>
      </c>
      <c r="J53" s="117" t="str">
        <f t="shared" si="4"/>
        <v>N/A</v>
      </c>
      <c r="K53" s="117" t="str">
        <f t="shared" si="5"/>
        <v>N/A</v>
      </c>
      <c r="L53" s="117" t="str">
        <f t="shared" si="6"/>
        <v>N/A</v>
      </c>
      <c r="M53" s="117" t="str">
        <f t="shared" si="7"/>
        <v>N/A</v>
      </c>
      <c r="N53" s="117" t="str">
        <f t="shared" si="8"/>
        <v>N/A</v>
      </c>
      <c r="O53" s="117"/>
      <c r="P53" s="117" t="str">
        <f t="shared" si="9"/>
        <v>N/A</v>
      </c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17"/>
      <c r="AB53" s="17"/>
      <c r="AC53" s="17"/>
    </row>
    <row r="54" spans="1:29" hidden="1" x14ac:dyDescent="0.25">
      <c r="A54" s="50"/>
      <c r="B54" s="45" t="e">
        <f t="shared" si="0"/>
        <v>#N/A</v>
      </c>
      <c r="C54" s="45"/>
      <c r="D54" s="1" t="str">
        <f>IF(ISERROR(E54),"",IF(E54="","",MAX($D$12:D53)+1))</f>
        <v/>
      </c>
      <c r="F54" s="22"/>
      <c r="G54" s="117" t="str">
        <f t="shared" si="1"/>
        <v>N/A</v>
      </c>
      <c r="H54" s="117" t="str">
        <f t="shared" si="2"/>
        <v>N/A</v>
      </c>
      <c r="I54" s="117" t="str">
        <f t="shared" si="3"/>
        <v>N/A</v>
      </c>
      <c r="J54" s="117" t="str">
        <f t="shared" si="4"/>
        <v>N/A</v>
      </c>
      <c r="K54" s="117" t="str">
        <f t="shared" si="5"/>
        <v>N/A</v>
      </c>
      <c r="L54" s="117" t="str">
        <f t="shared" si="6"/>
        <v>N/A</v>
      </c>
      <c r="M54" s="117" t="str">
        <f t="shared" si="7"/>
        <v>N/A</v>
      </c>
      <c r="N54" s="117" t="str">
        <f t="shared" si="8"/>
        <v>N/A</v>
      </c>
      <c r="O54" s="117"/>
      <c r="P54" s="117" t="str">
        <f t="shared" si="9"/>
        <v>N/A</v>
      </c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17"/>
      <c r="AB54" s="17"/>
      <c r="AC54" s="17"/>
    </row>
    <row r="55" spans="1:29" hidden="1" x14ac:dyDescent="0.25">
      <c r="A55" s="50" t="e">
        <f>#REF!</f>
        <v>#REF!</v>
      </c>
      <c r="B55" s="45" t="e">
        <f t="shared" si="0"/>
        <v>#REF!</v>
      </c>
      <c r="C55" s="45"/>
      <c r="D55" s="1" t="str">
        <f>IF(ISERROR(E55),"",IF(E55="","",MAX($D$12:D54)+1))</f>
        <v/>
      </c>
      <c r="E55" t="e">
        <f>#REF!</f>
        <v>#REF!</v>
      </c>
      <c r="F55" s="22"/>
      <c r="G55" s="117" t="str">
        <f t="shared" si="1"/>
        <v>N/A</v>
      </c>
      <c r="H55" s="117" t="str">
        <f t="shared" si="2"/>
        <v>N/A</v>
      </c>
      <c r="I55" s="117" t="str">
        <f t="shared" si="3"/>
        <v>N/A</v>
      </c>
      <c r="J55" s="117" t="str">
        <f t="shared" si="4"/>
        <v>N/A</v>
      </c>
      <c r="K55" s="117" t="str">
        <f t="shared" si="5"/>
        <v>N/A</v>
      </c>
      <c r="L55" s="117" t="str">
        <f t="shared" si="6"/>
        <v>N/A</v>
      </c>
      <c r="M55" s="117" t="str">
        <f t="shared" si="7"/>
        <v>N/A</v>
      </c>
      <c r="N55" s="117" t="str">
        <f t="shared" si="8"/>
        <v>N/A</v>
      </c>
      <c r="O55" s="94"/>
      <c r="P55" s="117" t="str">
        <f t="shared" si="9"/>
        <v>N/A</v>
      </c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17"/>
      <c r="AB55" s="17"/>
      <c r="AC55" s="17"/>
    </row>
    <row r="56" spans="1:29" hidden="1" x14ac:dyDescent="0.25">
      <c r="A56" s="50" t="e">
        <f>#REF!</f>
        <v>#REF!</v>
      </c>
      <c r="B56" s="45" t="e">
        <f t="shared" si="0"/>
        <v>#REF!</v>
      </c>
      <c r="C56" s="45"/>
      <c r="D56" s="1" t="str">
        <f>IF(ISERROR(E56),"",IF(E56="","",MAX($D$12:D55)+1))</f>
        <v/>
      </c>
      <c r="E56" t="e">
        <f>#REF!</f>
        <v>#REF!</v>
      </c>
      <c r="G56" s="117" t="str">
        <f t="shared" si="1"/>
        <v>N/A</v>
      </c>
      <c r="H56" s="117" t="str">
        <f t="shared" si="2"/>
        <v>N/A</v>
      </c>
      <c r="I56" s="117" t="str">
        <f t="shared" si="3"/>
        <v>N/A</v>
      </c>
      <c r="J56" s="117" t="str">
        <f t="shared" si="4"/>
        <v>N/A</v>
      </c>
      <c r="K56" s="117" t="str">
        <f t="shared" si="5"/>
        <v>N/A</v>
      </c>
      <c r="L56" s="117" t="str">
        <f t="shared" si="6"/>
        <v>N/A</v>
      </c>
      <c r="M56" s="117" t="str">
        <f t="shared" si="7"/>
        <v>N/A</v>
      </c>
      <c r="N56" s="117" t="str">
        <f t="shared" si="8"/>
        <v>N/A</v>
      </c>
      <c r="O56" s="94"/>
      <c r="P56" s="117" t="str">
        <f t="shared" si="9"/>
        <v>N/A</v>
      </c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17"/>
      <c r="AB56" s="17"/>
      <c r="AC56" s="17"/>
    </row>
    <row r="57" spans="1:29" hidden="1" x14ac:dyDescent="0.25">
      <c r="A57" s="50" t="e">
        <f>#REF!</f>
        <v>#REF!</v>
      </c>
      <c r="B57" s="45" t="e">
        <f t="shared" si="0"/>
        <v>#REF!</v>
      </c>
      <c r="C57" s="45"/>
      <c r="D57" s="1" t="str">
        <f>IF(ISERROR(E57),"",IF(E57="","",MAX($D$12:D56)+1))</f>
        <v/>
      </c>
      <c r="E57" t="e">
        <f>#REF!</f>
        <v>#REF!</v>
      </c>
      <c r="G57" s="117" t="str">
        <f t="shared" si="1"/>
        <v>N/A</v>
      </c>
      <c r="H57" s="117" t="str">
        <f t="shared" si="2"/>
        <v>N/A</v>
      </c>
      <c r="I57" s="117" t="str">
        <f t="shared" si="3"/>
        <v>N/A</v>
      </c>
      <c r="J57" s="117" t="str">
        <f t="shared" si="4"/>
        <v>N/A</v>
      </c>
      <c r="K57" s="117" t="str">
        <f t="shared" si="5"/>
        <v>N/A</v>
      </c>
      <c r="L57" s="117" t="str">
        <f t="shared" si="6"/>
        <v>N/A</v>
      </c>
      <c r="M57" s="117" t="str">
        <f t="shared" si="7"/>
        <v>N/A</v>
      </c>
      <c r="N57" s="117" t="str">
        <f t="shared" si="8"/>
        <v>N/A</v>
      </c>
      <c r="O57" s="94"/>
      <c r="P57" s="117" t="str">
        <f t="shared" si="9"/>
        <v>N/A</v>
      </c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17"/>
      <c r="AB57" s="17"/>
      <c r="AC57" s="17"/>
    </row>
    <row r="58" spans="1:29" hidden="1" x14ac:dyDescent="0.25">
      <c r="A58" s="50" t="e">
        <f>#REF!</f>
        <v>#REF!</v>
      </c>
      <c r="B58" s="45" t="e">
        <f t="shared" si="0"/>
        <v>#REF!</v>
      </c>
      <c r="C58" s="45"/>
      <c r="D58" s="1" t="str">
        <f>IF(ISERROR(E58),"",IF(E58="","",MAX($D$12:D57)+1))</f>
        <v/>
      </c>
      <c r="E58" t="e">
        <f>#REF!</f>
        <v>#REF!</v>
      </c>
      <c r="G58" s="117" t="str">
        <f t="shared" si="1"/>
        <v>N/A</v>
      </c>
      <c r="H58" s="117" t="str">
        <f t="shared" si="2"/>
        <v>N/A</v>
      </c>
      <c r="I58" s="117" t="str">
        <f t="shared" si="3"/>
        <v>N/A</v>
      </c>
      <c r="J58" s="117" t="str">
        <f t="shared" si="4"/>
        <v>N/A</v>
      </c>
      <c r="K58" s="117" t="str">
        <f t="shared" si="5"/>
        <v>N/A</v>
      </c>
      <c r="L58" s="117" t="str">
        <f t="shared" si="6"/>
        <v>N/A</v>
      </c>
      <c r="M58" s="117" t="str">
        <f t="shared" si="7"/>
        <v>N/A</v>
      </c>
      <c r="N58" s="117" t="str">
        <f t="shared" si="8"/>
        <v>N/A</v>
      </c>
      <c r="O58" s="94"/>
      <c r="P58" s="117" t="str">
        <f t="shared" si="9"/>
        <v>N/A</v>
      </c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17"/>
      <c r="AB58" s="17"/>
      <c r="AC58" s="17"/>
    </row>
    <row r="59" spans="1:29" x14ac:dyDescent="0.25">
      <c r="A59" s="31"/>
      <c r="B59" s="31"/>
      <c r="C59" s="31"/>
      <c r="D59" s="1" t="str">
        <f>IF(ISERROR(E59),"",IF(E59="","",MAX($D$12:D58)+1))</f>
        <v/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17"/>
      <c r="AB59" s="17"/>
    </row>
    <row r="60" spans="1:29" x14ac:dyDescent="0.25">
      <c r="A60" s="31"/>
      <c r="B60" s="31"/>
      <c r="C60" s="31"/>
      <c r="D60" s="1">
        <f>IF(ISERROR(E60),"",IF(E60="","",MAX($D$12:D59)+1))</f>
        <v>10</v>
      </c>
      <c r="E60" t="s">
        <v>98</v>
      </c>
      <c r="G60" s="117">
        <f t="shared" ref="G60:L60" si="10">AVERAGE(G14:G59)</f>
        <v>0.66046718588259501</v>
      </c>
      <c r="H60" s="117">
        <f t="shared" si="10"/>
        <v>0.7653261270215983</v>
      </c>
      <c r="I60" s="117">
        <f t="shared" si="10"/>
        <v>0.82396495851221196</v>
      </c>
      <c r="J60" s="117">
        <f t="shared" si="10"/>
        <v>0.75764128800022124</v>
      </c>
      <c r="K60" s="117">
        <f t="shared" si="10"/>
        <v>0.79978138879803506</v>
      </c>
      <c r="L60" s="117">
        <f t="shared" si="10"/>
        <v>0.75250541498495682</v>
      </c>
      <c r="M60" s="117">
        <f>AVERAGE(M14:M59)</f>
        <v>0.76462267377365145</v>
      </c>
      <c r="N60" s="117">
        <f>AVERAGE(N14:N59)</f>
        <v>0.76922115419617532</v>
      </c>
      <c r="O60" s="117"/>
      <c r="P60" s="117">
        <f>AVERAGE(P14:P59)</f>
        <v>0.85789985172442762</v>
      </c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17"/>
      <c r="AB60" s="17"/>
      <c r="AC60" s="17"/>
    </row>
    <row r="61" spans="1:29" x14ac:dyDescent="0.25">
      <c r="A61" s="31"/>
      <c r="B61" s="31"/>
      <c r="C61" s="31"/>
      <c r="D61" s="1">
        <f>IF(ISERROR(E61),"",IF(E61="","",MAX($D$12:D60)+1))</f>
        <v>11</v>
      </c>
      <c r="E61" t="s">
        <v>257</v>
      </c>
      <c r="G61" s="117">
        <f>MEDIAN(G14:G59)</f>
        <v>0.6811381863047502</v>
      </c>
      <c r="H61" s="117">
        <f t="shared" ref="H61:P61" si="11">MEDIAN(H14:H59)</f>
        <v>0.71030678148546822</v>
      </c>
      <c r="I61" s="117">
        <f t="shared" si="11"/>
        <v>0.66304347826086962</v>
      </c>
      <c r="J61" s="117">
        <f t="shared" si="11"/>
        <v>0.64893617021276595</v>
      </c>
      <c r="K61" s="117">
        <f>MEDIAN(K14:K59)</f>
        <v>0.69777777777777772</v>
      </c>
      <c r="L61" s="117">
        <f>MEDIAN(L14:L59)</f>
        <v>0.59916054564533061</v>
      </c>
      <c r="M61" s="117">
        <f>MEDIAN(M14:M59)</f>
        <v>0.70833333333333337</v>
      </c>
      <c r="N61" s="117">
        <f>MEDIAN(N14:N59)</f>
        <v>0.752</v>
      </c>
      <c r="O61" s="117"/>
      <c r="P61" s="117">
        <f t="shared" si="11"/>
        <v>0.7931034482758621</v>
      </c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17"/>
      <c r="AB61" s="17"/>
      <c r="AC61" s="17"/>
    </row>
    <row r="62" spans="1:29" x14ac:dyDescent="0.25">
      <c r="A62" s="31"/>
      <c r="B62" s="31"/>
      <c r="C62" s="31"/>
      <c r="D62" s="1"/>
    </row>
    <row r="63" spans="1:29" x14ac:dyDescent="0.25">
      <c r="A63" s="31"/>
      <c r="B63" s="31"/>
      <c r="C63" s="31"/>
      <c r="E63" s="18"/>
      <c r="F63" s="88"/>
    </row>
    <row r="64" spans="1:29" x14ac:dyDescent="0.25">
      <c r="A64" s="31"/>
      <c r="B64" s="31"/>
      <c r="C64" s="31"/>
      <c r="E64" s="20" t="s">
        <v>107</v>
      </c>
    </row>
    <row r="65" spans="1:6" ht="16.2" x14ac:dyDescent="0.25">
      <c r="A65" s="31"/>
      <c r="B65" s="31"/>
      <c r="C65" s="31"/>
      <c r="E65" s="76">
        <v>1</v>
      </c>
      <c r="F65" t="s">
        <v>573</v>
      </c>
    </row>
    <row r="66" spans="1:6" ht="16.2" x14ac:dyDescent="0.25">
      <c r="A66" s="31"/>
      <c r="B66" s="31"/>
      <c r="C66" s="31"/>
      <c r="E66" s="76">
        <v>2</v>
      </c>
      <c r="F66" s="21" t="str">
        <f>"The Value Line Investment Survey, "&amp;'2023 Data (WP)'!$D$2</f>
        <v>The Value Line Investment Survey, February 23, 2024.</v>
      </c>
    </row>
    <row r="67" spans="1:6" x14ac:dyDescent="0.25">
      <c r="A67" s="31"/>
      <c r="B67" s="31"/>
      <c r="C67" s="31"/>
      <c r="E67" s="20" t="s">
        <v>328</v>
      </c>
    </row>
    <row r="68" spans="1:6" ht="16.2" x14ac:dyDescent="0.25">
      <c r="A68" s="31"/>
      <c r="B68" s="31"/>
      <c r="C68" s="31"/>
      <c r="E68" s="89"/>
      <c r="F68" s="21" t="s">
        <v>372</v>
      </c>
    </row>
    <row r="69" spans="1:6" x14ac:dyDescent="0.25">
      <c r="A69" s="31"/>
      <c r="B69" s="31"/>
      <c r="C69" s="31"/>
      <c r="F69" s="23"/>
    </row>
    <row r="70" spans="1:6" x14ac:dyDescent="0.25">
      <c r="A70" s="31"/>
      <c r="B70" s="31"/>
      <c r="C70" s="31"/>
      <c r="E70" s="21"/>
    </row>
    <row r="71" spans="1:6" x14ac:dyDescent="0.25">
      <c r="E71" s="23"/>
    </row>
  </sheetData>
  <mergeCells count="5">
    <mergeCell ref="C1:Q1"/>
    <mergeCell ref="D4:P4"/>
    <mergeCell ref="D5:P5"/>
    <mergeCell ref="G9:P9"/>
    <mergeCell ref="E11:F11"/>
  </mergeCells>
  <printOptions horizontalCentered="1"/>
  <pageMargins left="0.7" right="0.7" top="1.25" bottom="0.75" header="0.55000000000000004" footer="0.51"/>
  <pageSetup scale="72" firstPageNumber="15" orientation="portrait" useFirstPageNumber="1" r:id="rId1"/>
  <headerFooter>
    <oddHeader>&amp;R&amp;"Arial,Bold"&amp;10Docket Nos. 20240026-EI, 20230139-EI, and 20230090-EI
Valuation Metrics
Exhibit CCW-1, Page &amp;P of 16</oddHeader>
  </headerFooter>
  <rowBreaks count="1" manualBreakCount="1">
    <brk id="7" min="2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B181"/>
  <sheetViews>
    <sheetView view="pageLayout" topLeftCell="C1" zoomScaleNormal="80" workbookViewId="0">
      <selection activeCell="U6" sqref="U6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19.8984375" customWidth="1"/>
    <col min="6" max="24" width="9" customWidth="1"/>
    <col min="25" max="25" width="9" hidden="1" customWidth="1"/>
    <col min="26" max="28" width="0" hidden="1" customWidth="1"/>
  </cols>
  <sheetData>
    <row r="1" spans="1:28" ht="28.2" x14ac:dyDescent="0.5">
      <c r="C1" s="277" t="str">
        <f>'CCW-1, pg 15'!C1:Q1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8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28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28" ht="21" x14ac:dyDescent="0.4">
      <c r="C4" s="278" t="s">
        <v>520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</row>
    <row r="5" spans="1:28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</row>
    <row r="6" spans="1:28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 ht="16.2" x14ac:dyDescent="0.25">
      <c r="C8" s="6"/>
      <c r="D8" s="7"/>
      <c r="E8" s="7"/>
      <c r="F8" s="280" t="s">
        <v>329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</row>
    <row r="9" spans="1:28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28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560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>
        <v>2005</v>
      </c>
      <c r="Z10" s="40">
        <v>2004</v>
      </c>
      <c r="AA10" s="40">
        <v>2003</v>
      </c>
      <c r="AB10" s="40">
        <v>2002</v>
      </c>
    </row>
    <row r="11" spans="1:28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X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>
        <f>+W11-1</f>
        <v>-19</v>
      </c>
      <c r="Z11" s="12">
        <f>+Y11-1</f>
        <v>-20</v>
      </c>
      <c r="AA11" s="12">
        <f>+Z11-1</f>
        <v>-21</v>
      </c>
      <c r="AB11" s="12">
        <f>+AA11-1</f>
        <v>-22</v>
      </c>
    </row>
    <row r="12" spans="1:28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16">
        <f t="shared" ref="J12:AB12" ca="1" si="1">MATCH(J10,OFFSET(DIV_BV_WP,-1,0,1,),0)</f>
        <v>6</v>
      </c>
      <c r="K12" s="16">
        <f t="shared" ca="1" si="1"/>
        <v>7</v>
      </c>
      <c r="L12" s="16">
        <f t="shared" ca="1" si="1"/>
        <v>8</v>
      </c>
      <c r="M12" s="16">
        <f t="shared" ca="1" si="1"/>
        <v>9</v>
      </c>
      <c r="N12" s="16">
        <f t="shared" ca="1" si="1"/>
        <v>10</v>
      </c>
      <c r="O12" s="16">
        <f t="shared" ca="1" si="1"/>
        <v>11</v>
      </c>
      <c r="P12" s="16">
        <f t="shared" ca="1" si="1"/>
        <v>12</v>
      </c>
      <c r="Q12" s="16">
        <f t="shared" ca="1" si="1"/>
        <v>13</v>
      </c>
      <c r="R12" s="16">
        <f t="shared" ca="1" si="1"/>
        <v>14</v>
      </c>
      <c r="S12" s="16">
        <f t="shared" ca="1" si="1"/>
        <v>15</v>
      </c>
      <c r="T12" s="16">
        <f t="shared" ca="1" si="1"/>
        <v>16</v>
      </c>
      <c r="U12" s="16">
        <f t="shared" ca="1" si="1"/>
        <v>17</v>
      </c>
      <c r="V12" s="16">
        <f t="shared" ca="1" si="1"/>
        <v>18</v>
      </c>
      <c r="W12" s="16">
        <f t="shared" ca="1" si="1"/>
        <v>19</v>
      </c>
      <c r="X12" s="16">
        <f t="shared" ca="1" si="1"/>
        <v>20</v>
      </c>
      <c r="Y12" s="16" t="e">
        <f t="shared" ca="1" si="1"/>
        <v>#N/A</v>
      </c>
      <c r="Z12" s="16" t="e">
        <f t="shared" ca="1" si="1"/>
        <v>#N/A</v>
      </c>
      <c r="AA12" s="16" t="e">
        <f t="shared" ca="1" si="1"/>
        <v>#N/A</v>
      </c>
      <c r="AB12" s="16" t="e">
        <f t="shared" ca="1" si="1"/>
        <v>#N/A</v>
      </c>
    </row>
    <row r="13" spans="1:28" x14ac:dyDescent="0.25">
      <c r="A13" s="44" t="s">
        <v>175</v>
      </c>
      <c r="B13" s="45">
        <f t="shared" ref="B13:B57" ca="1" si="2">IFERROR(MATCH(A13,OFFSET(DIV_BV_WP,0,0,,1),0),"")</f>
        <v>9</v>
      </c>
      <c r="C13" s="1">
        <f ca="1">IF(ISERROR(D13),"",IF(D13="","",MAX($C$12:C12)+1))</f>
        <v>1</v>
      </c>
      <c r="D13" t="str">
        <f t="shared" ref="D13:D57" ca="1" si="3">VLOOKUP(A13,LUCurYr,2,FALSE)</f>
        <v>Atmos Energy</v>
      </c>
      <c r="E13" s="15"/>
      <c r="F13" s="77">
        <f ca="1">IFERROR(AVERAGE(G13:X13),"N/A")</f>
        <v>4.987439951153394E-2</v>
      </c>
      <c r="G13" s="77">
        <f t="shared" ref="G13:G22" si="4">IFERROR(IF(VLOOKUP($A13,Data2023,21,FALSE)=0,"",VLOOKUP($A13,Data2023,21,FALSE)),"N/A")</f>
        <v>4.0437158469945354E-2</v>
      </c>
      <c r="H13" s="77">
        <f t="shared" ref="H13:H22" si="5">IFERROR(IF(VLOOKUP($A13,Data2022,19,FALSE)=0,"",VLOOKUP($A13,Data2022,19,FALSE)),"N/A")</f>
        <v>4.0688107703814515E-2</v>
      </c>
      <c r="I13" s="77">
        <f t="shared" ref="I13:I22" si="6">IFERROR(IF(VLOOKUP(A13,lucyyr,19,FALSE)=0,"",VLOOKUP(A13,lucyyr,19,FALSE)),"N/A")</f>
        <v>4.1869033662703066E-2</v>
      </c>
      <c r="J13" s="77">
        <f t="shared" ref="J13:X28" ca="1" si="7">IFERROR(INDEX(DIV_BV_WP,$B13,J$12),"N/A")</f>
        <v>4.2632856957496891E-2</v>
      </c>
      <c r="K13" s="77">
        <f t="shared" ca="1" si="7"/>
        <v>4.3582932093641044E-2</v>
      </c>
      <c r="L13" s="77">
        <f t="shared" ca="1" si="7"/>
        <v>4.5256257727389372E-2</v>
      </c>
      <c r="M13" s="77">
        <f t="shared" ca="1" si="7"/>
        <v>4.8987589810581322E-2</v>
      </c>
      <c r="N13" s="77">
        <f t="shared" ca="1" si="7"/>
        <v>5.0418654902313856E-2</v>
      </c>
      <c r="O13" s="77">
        <f t="shared" ca="1" si="7"/>
        <v>4.955212502382314E-2</v>
      </c>
      <c r="P13" s="77">
        <f t="shared" ca="1" si="7"/>
        <v>4.8141040236801873E-2</v>
      </c>
      <c r="Q13" s="77">
        <f t="shared" ca="1" si="7"/>
        <v>4.9176297024834024E-2</v>
      </c>
      <c r="R13" s="77">
        <f t="shared" ca="1" si="7"/>
        <v>5.2784577723378211E-2</v>
      </c>
      <c r="S13" s="77">
        <f t="shared" ca="1" si="7"/>
        <v>5.4447914164464727E-2</v>
      </c>
      <c r="T13" s="77">
        <f t="shared" ca="1" si="7"/>
        <v>5.5463576158940403E-2</v>
      </c>
      <c r="U13" s="77">
        <f t="shared" ca="1" si="7"/>
        <v>5.6124835239593523E-2</v>
      </c>
      <c r="V13" s="77">
        <f t="shared" ca="1" si="7"/>
        <v>5.7519578779700015E-2</v>
      </c>
      <c r="W13" s="77">
        <f t="shared" ca="1" si="7"/>
        <v>5.8165954739616471E-2</v>
      </c>
      <c r="X13" s="77">
        <f t="shared" ca="1" si="7"/>
        <v>6.2490700788573127E-2</v>
      </c>
      <c r="Y13" s="62"/>
      <c r="Z13" s="62"/>
      <c r="AA13" s="62"/>
      <c r="AB13" s="62"/>
    </row>
    <row r="14" spans="1:28" x14ac:dyDescent="0.25">
      <c r="A14" s="44" t="s">
        <v>178</v>
      </c>
      <c r="B14" s="45">
        <f t="shared" ca="1" si="2"/>
        <v>16</v>
      </c>
      <c r="C14" s="1">
        <f ca="1">IF(ISERROR(D14),"",IF(D14="","",MAX($C$12:C13)+1))</f>
        <v>2</v>
      </c>
      <c r="D14" t="str">
        <f t="shared" ca="1" si="3"/>
        <v>Chesapeake Utilities</v>
      </c>
      <c r="E14" s="15"/>
      <c r="F14" s="77">
        <f t="shared" ref="F14:F57" ca="1" si="8">IFERROR(AVERAGE(G14:X14),"N/A")</f>
        <v>5.1225810395154753E-2</v>
      </c>
      <c r="G14" s="77">
        <f t="shared" si="4"/>
        <v>4.5638945233265719E-2</v>
      </c>
      <c r="H14" s="77">
        <f t="shared" si="5"/>
        <v>4.3246697912228377E-2</v>
      </c>
      <c r="I14" s="77">
        <f t="shared" si="6"/>
        <v>4.1488162344983093E-2</v>
      </c>
      <c r="J14" s="77">
        <f t="shared" ca="1" si="7"/>
        <v>4.2334669338677348E-2</v>
      </c>
      <c r="K14" s="77">
        <f t="shared" ca="1" si="7"/>
        <v>4.5275303052431722E-2</v>
      </c>
      <c r="L14" s="77">
        <f t="shared" ca="1" si="7"/>
        <v>4.3912301762810385E-2</v>
      </c>
      <c r="M14" s="77">
        <f t="shared" ca="1" si="7"/>
        <v>4.2348670722280109E-2</v>
      </c>
      <c r="N14" s="77">
        <f t="shared" ca="1" si="7"/>
        <v>4.3492562406344797E-2</v>
      </c>
      <c r="O14" s="77">
        <f t="shared" ca="1" si="7"/>
        <v>4.7755084637359835E-2</v>
      </c>
      <c r="P14" s="77">
        <f t="shared" ca="1" si="7"/>
        <v>5.1831341688526184E-2</v>
      </c>
      <c r="Q14" s="77">
        <f t="shared" ca="1" si="7"/>
        <v>5.2536043978840367E-2</v>
      </c>
      <c r="R14" s="77">
        <f t="shared" ca="1" si="7"/>
        <v>5.3859964093357263E-2</v>
      </c>
      <c r="S14" s="77">
        <f t="shared" ca="1" si="7"/>
        <v>5.4237692215997148E-2</v>
      </c>
      <c r="T14" s="77">
        <f t="shared" ca="1" si="7"/>
        <v>5.4938115685779235E-2</v>
      </c>
      <c r="U14" s="77">
        <f t="shared" ca="1" si="7"/>
        <v>5.5954859944918382E-2</v>
      </c>
      <c r="V14" s="77">
        <f t="shared" ca="1" si="7"/>
        <v>6.7149276085871193E-2</v>
      </c>
      <c r="W14" s="77">
        <f t="shared" ca="1" si="7"/>
        <v>6.657031117156946E-2</v>
      </c>
      <c r="X14" s="77">
        <f t="shared" ca="1" si="7"/>
        <v>6.9494584837545129E-2</v>
      </c>
      <c r="Y14" s="62"/>
      <c r="Z14" s="62"/>
      <c r="AA14" s="62"/>
      <c r="AB14" s="62"/>
    </row>
    <row r="15" spans="1:28" x14ac:dyDescent="0.25">
      <c r="A15" s="44" t="s">
        <v>190</v>
      </c>
      <c r="B15" s="45">
        <f t="shared" ca="1" si="2"/>
        <v>43</v>
      </c>
      <c r="C15" s="1">
        <f ca="1">IF(ISERROR(D15),"",IF(D15="","",MAX($C$12:C14)+1))</f>
        <v>3</v>
      </c>
      <c r="D15" t="str">
        <f t="shared" ca="1" si="3"/>
        <v>New Jersey Resources</v>
      </c>
      <c r="E15" s="15"/>
      <c r="F15" s="77">
        <f t="shared" ca="1" si="8"/>
        <v>7.2392379848090133E-2</v>
      </c>
      <c r="G15" s="77">
        <f t="shared" si="4"/>
        <v>7.6470588235294124E-2</v>
      </c>
      <c r="H15" s="77">
        <f t="shared" si="5"/>
        <v>7.6315789473684212E-2</v>
      </c>
      <c r="I15" s="77">
        <f t="shared" si="6"/>
        <v>7.9161816065192098E-2</v>
      </c>
      <c r="J15" s="77">
        <f t="shared" ca="1" si="7"/>
        <v>6.5956894313165412E-2</v>
      </c>
      <c r="K15" s="77">
        <f t="shared" ca="1" si="7"/>
        <v>6.8512867752893086E-2</v>
      </c>
      <c r="L15" s="77">
        <f t="shared" ca="1" si="7"/>
        <v>6.8718329007539256E-2</v>
      </c>
      <c r="M15" s="77">
        <f t="shared" ca="1" si="7"/>
        <v>7.2595281306715068E-2</v>
      </c>
      <c r="N15" s="77">
        <f t="shared" ca="1" si="7"/>
        <v>7.2149009791651328E-2</v>
      </c>
      <c r="O15" s="77">
        <f t="shared" ca="1" si="7"/>
        <v>7.1565986918045416E-2</v>
      </c>
      <c r="P15" s="77">
        <f t="shared" ca="1" si="7"/>
        <v>7.4509803921568626E-2</v>
      </c>
      <c r="Q15" s="77">
        <f t="shared" ca="1" si="7"/>
        <v>7.6049197258473394E-2</v>
      </c>
      <c r="R15" s="77">
        <f t="shared" ca="1" si="7"/>
        <v>7.8579446882334938E-2</v>
      </c>
      <c r="S15" s="77">
        <f t="shared" ca="1" si="7"/>
        <v>7.6882007474639608E-2</v>
      </c>
      <c r="T15" s="77">
        <f t="shared" ca="1" si="7"/>
        <v>7.7185017026106695E-2</v>
      </c>
      <c r="U15" s="77">
        <f t="shared" ca="1" si="7"/>
        <v>7.4761847341131074E-2</v>
      </c>
      <c r="V15" s="77">
        <f t="shared" ca="1" si="7"/>
        <v>6.4221245082156916E-2</v>
      </c>
      <c r="W15" s="77">
        <f t="shared" ca="1" si="7"/>
        <v>6.5436241610738258E-2</v>
      </c>
      <c r="X15" s="77">
        <f t="shared" ca="1" si="7"/>
        <v>6.3991467804292754E-2</v>
      </c>
      <c r="Y15" s="62"/>
      <c r="Z15" s="62"/>
      <c r="AA15" s="62"/>
      <c r="AB15" s="62"/>
    </row>
    <row r="16" spans="1:28" x14ac:dyDescent="0.25">
      <c r="A16" s="44" t="s">
        <v>26</v>
      </c>
      <c r="B16" s="45">
        <f t="shared" ca="1" si="2"/>
        <v>45</v>
      </c>
      <c r="C16" s="1">
        <f ca="1">IF(ISERROR(D16),"",IF(D16="","",MAX($C$12:C15)+1))</f>
        <v>4</v>
      </c>
      <c r="D16" t="str">
        <f t="shared" ca="1" si="3"/>
        <v>NiSource Inc.</v>
      </c>
      <c r="E16" s="15"/>
      <c r="F16" s="77">
        <f t="shared" ca="1" si="8"/>
        <v>5.6491877975862193E-2</v>
      </c>
      <c r="G16" s="77">
        <f t="shared" si="4"/>
        <v>5.1413881748071981E-2</v>
      </c>
      <c r="H16" s="77">
        <f t="shared" si="5"/>
        <v>7.1537290715372903E-2</v>
      </c>
      <c r="I16" s="77">
        <f t="shared" si="6"/>
        <v>6.692015209125475E-2</v>
      </c>
      <c r="J16" s="77">
        <f t="shared" ca="1" si="7"/>
        <v>6.6376926116159626E-2</v>
      </c>
      <c r="K16" s="77">
        <f t="shared" ca="1" si="7"/>
        <v>5.9862316671655195E-2</v>
      </c>
      <c r="L16" s="77">
        <f t="shared" ca="1" si="7"/>
        <v>5.9628468771500652E-2</v>
      </c>
      <c r="M16" s="77">
        <f t="shared" ca="1" si="7"/>
        <v>5.4606443560340112E-2</v>
      </c>
      <c r="N16" s="77">
        <f t="shared" ca="1" si="7"/>
        <v>5.0801714557866327E-2</v>
      </c>
      <c r="O16" s="77">
        <f t="shared" ca="1" si="7"/>
        <v>6.8913982065758883E-2</v>
      </c>
      <c r="P16" s="77">
        <f t="shared" ca="1" si="7"/>
        <v>5.2200614124872063E-2</v>
      </c>
      <c r="Q16" s="77">
        <f t="shared" ca="1" si="7"/>
        <v>5.2219321148825062E-2</v>
      </c>
      <c r="R16" s="77">
        <f t="shared" ca="1" si="7"/>
        <v>5.2511032903189765E-2</v>
      </c>
      <c r="S16" s="77">
        <f t="shared" ca="1" si="7"/>
        <v>5.1948051948051945E-2</v>
      </c>
      <c r="T16" s="77">
        <f t="shared" ca="1" si="7"/>
        <v>5.2192658989050893E-2</v>
      </c>
      <c r="U16" s="77">
        <f t="shared" ca="1" si="7"/>
        <v>5.2460512060215549E-2</v>
      </c>
      <c r="V16" s="77">
        <f t="shared" ca="1" si="7"/>
        <v>5.3358079109152072E-2</v>
      </c>
      <c r="W16" s="77">
        <f t="shared" ca="1" si="7"/>
        <v>4.9686757399006271E-2</v>
      </c>
      <c r="X16" s="77">
        <f t="shared" ca="1" si="7"/>
        <v>5.0215599585175477E-2</v>
      </c>
      <c r="Y16" s="62"/>
      <c r="Z16" s="62"/>
      <c r="AA16" s="62"/>
      <c r="AB16" s="62"/>
    </row>
    <row r="17" spans="1:28" x14ac:dyDescent="0.25">
      <c r="A17" s="44" t="s">
        <v>192</v>
      </c>
      <c r="B17" s="45">
        <f t="shared" ca="1" si="2"/>
        <v>46</v>
      </c>
      <c r="C17" s="1">
        <f ca="1">IF(ISERROR(D17),"",IF(D17="","",MAX($C$12:C16)+1))</f>
        <v>5</v>
      </c>
      <c r="D17" t="str">
        <f t="shared" ca="1" si="3"/>
        <v>Northwest Nat. Gas</v>
      </c>
      <c r="E17" s="15"/>
      <c r="F17" s="77">
        <f t="shared" ca="1" si="8"/>
        <v>6.4674025165675691E-2</v>
      </c>
      <c r="G17" s="77">
        <f t="shared" si="4"/>
        <v>6.1198738170347003E-2</v>
      </c>
      <c r="H17" s="77">
        <f t="shared" si="5"/>
        <v>5.8343409915356713E-2</v>
      </c>
      <c r="I17" s="77">
        <f t="shared" si="6"/>
        <v>5.6553755522827681E-2</v>
      </c>
      <c r="J17" s="77">
        <f t="shared" ca="1" si="7"/>
        <v>6.5739657190059891E-2</v>
      </c>
      <c r="K17" s="77">
        <f t="shared" ca="1" si="7"/>
        <v>6.6856680389880005E-2</v>
      </c>
      <c r="L17" s="77">
        <f t="shared" ca="1" si="7"/>
        <v>7.1571931684780543E-2</v>
      </c>
      <c r="M17" s="77">
        <f t="shared" ca="1" si="7"/>
        <v>7.2732900030950162E-2</v>
      </c>
      <c r="N17" s="77">
        <f t="shared" ca="1" si="7"/>
        <v>6.2950245741601032E-2</v>
      </c>
      <c r="O17" s="77">
        <f t="shared" ca="1" si="7"/>
        <v>6.5320456540825286E-2</v>
      </c>
      <c r="P17" s="77">
        <f t="shared" ca="1" si="7"/>
        <v>6.5782455641290052E-2</v>
      </c>
      <c r="Q17" s="77">
        <f t="shared" ca="1" si="7"/>
        <v>6.5898451566438601E-2</v>
      </c>
      <c r="R17" s="77">
        <f t="shared" ca="1" si="7"/>
        <v>6.5729078691293658E-2</v>
      </c>
      <c r="S17" s="77">
        <f t="shared" ca="1" si="7"/>
        <v>6.5533253445176756E-2</v>
      </c>
      <c r="T17" s="77">
        <f t="shared" ca="1" si="7"/>
        <v>6.4417177914110432E-2</v>
      </c>
      <c r="U17" s="77">
        <f t="shared" ca="1" si="7"/>
        <v>6.4311266530005226E-2</v>
      </c>
      <c r="V17" s="77">
        <f t="shared" ca="1" si="7"/>
        <v>6.4105267597317703E-2</v>
      </c>
      <c r="W17" s="77">
        <f t="shared" ca="1" si="7"/>
        <v>6.3937483349613716E-2</v>
      </c>
      <c r="X17" s="77">
        <f t="shared" ca="1" si="7"/>
        <v>6.3150243060288033E-2</v>
      </c>
      <c r="Y17" s="62"/>
      <c r="Z17" s="62"/>
      <c r="AA17" s="62"/>
      <c r="AB17" s="62"/>
    </row>
    <row r="18" spans="1:28" x14ac:dyDescent="0.25">
      <c r="A18" s="44" t="s">
        <v>345</v>
      </c>
      <c r="B18" s="45">
        <f t="shared" ca="1" si="2"/>
        <v>49</v>
      </c>
      <c r="C18" s="1">
        <f ca="1">IF(ISERROR(D18),"",IF(D18="","",MAX($C$12:C17)+1))</f>
        <v>6</v>
      </c>
      <c r="D18" t="str">
        <f t="shared" ca="1" si="3"/>
        <v>ONE Gas Inc.</v>
      </c>
      <c r="E18" s="15"/>
      <c r="F18" s="77">
        <f t="shared" ca="1" si="8"/>
        <v>4.4912989844111753E-2</v>
      </c>
      <c r="G18" s="77">
        <f t="shared" si="4"/>
        <v>5.526036131774708E-2</v>
      </c>
      <c r="H18" s="77">
        <f t="shared" si="5"/>
        <v>5.3116298993360463E-2</v>
      </c>
      <c r="I18" s="77">
        <f t="shared" si="6"/>
        <v>5.03800217155266E-2</v>
      </c>
      <c r="J18" s="77">
        <f t="shared" ca="1" si="7"/>
        <v>5.1421225539208686E-2</v>
      </c>
      <c r="K18" s="77">
        <f t="shared" ca="1" si="7"/>
        <v>4.9565066541101835E-2</v>
      </c>
      <c r="L18" s="77">
        <f t="shared" ca="1" si="7"/>
        <v>4.7349459598558935E-2</v>
      </c>
      <c r="M18" s="77">
        <f t="shared" ca="1" si="7"/>
        <v>4.4834672146459933E-2</v>
      </c>
      <c r="N18" s="77">
        <f t="shared" ca="1" si="7"/>
        <v>3.8762909433230887E-2</v>
      </c>
      <c r="O18" s="77">
        <f t="shared" ca="1" si="7"/>
        <v>3.4053179715655954E-2</v>
      </c>
      <c r="P18" s="77">
        <f t="shared" ca="1" si="7"/>
        <v>2.4386703440267093E-2</v>
      </c>
      <c r="Q18" s="77" t="str">
        <f t="shared" ca="1" si="7"/>
        <v>N/A</v>
      </c>
      <c r="R18" s="77" t="str">
        <f t="shared" ca="1" si="7"/>
        <v>N/A</v>
      </c>
      <c r="S18" s="77" t="str">
        <f t="shared" ca="1" si="7"/>
        <v>N/A</v>
      </c>
      <c r="T18" s="77" t="str">
        <f t="shared" ca="1" si="7"/>
        <v>N/A</v>
      </c>
      <c r="U18" s="77" t="str">
        <f t="shared" ca="1" si="7"/>
        <v>N/A</v>
      </c>
      <c r="V18" s="77" t="str">
        <f t="shared" ca="1" si="7"/>
        <v>N/A</v>
      </c>
      <c r="W18" s="77" t="str">
        <f t="shared" ca="1" si="7"/>
        <v>N/A</v>
      </c>
      <c r="X18" s="77" t="str">
        <f t="shared" ca="1" si="7"/>
        <v>N/A</v>
      </c>
      <c r="Y18" s="62"/>
      <c r="Z18" s="62"/>
      <c r="AA18" s="62"/>
      <c r="AB18" s="62"/>
    </row>
    <row r="19" spans="1:28" hidden="1" x14ac:dyDescent="0.25">
      <c r="A19" s="44" t="s">
        <v>198</v>
      </c>
      <c r="B19" s="45">
        <f t="shared" ca="1" si="2"/>
        <v>62</v>
      </c>
      <c r="C19" s="1" t="str">
        <f>IF(ISERROR(D19),"",IF(D19="","",MAX($C$12:C18)+1))</f>
        <v/>
      </c>
      <c r="E19" s="15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62"/>
      <c r="Z19" s="62"/>
      <c r="AA19" s="62"/>
      <c r="AB19" s="62"/>
    </row>
    <row r="20" spans="1:28" x14ac:dyDescent="0.25">
      <c r="A20" s="44" t="s">
        <v>200</v>
      </c>
      <c r="B20" s="45">
        <f t="shared" ca="1" si="2"/>
        <v>64</v>
      </c>
      <c r="C20" s="1">
        <f ca="1">IF(ISERROR(D20),"",IF(D20="","",MAX($C$12:C19)+1))</f>
        <v>7</v>
      </c>
      <c r="D20" t="str">
        <f t="shared" ca="1" si="3"/>
        <v>Southwest Gas</v>
      </c>
      <c r="E20" s="15"/>
      <c r="F20" s="77">
        <f t="shared" ca="1" si="8"/>
        <v>4.4943651840023656E-2</v>
      </c>
      <c r="G20" s="77">
        <f t="shared" si="4"/>
        <v>4.9599999999999998E-2</v>
      </c>
      <c r="H20" s="77">
        <f t="shared" si="5"/>
        <v>5.1720542231491133E-2</v>
      </c>
      <c r="I20" s="77">
        <f t="shared" si="6"/>
        <v>4.7983870967741933E-2</v>
      </c>
      <c r="J20" s="77">
        <f t="shared" ca="1" si="7"/>
        <v>4.874815590857582E-2</v>
      </c>
      <c r="K20" s="77">
        <f t="shared" ca="1" si="7"/>
        <v>4.7853191676178776E-2</v>
      </c>
      <c r="L20" s="77">
        <f t="shared" ca="1" si="7"/>
        <v>4.897574758653167E-2</v>
      </c>
      <c r="M20" s="77">
        <f t="shared" ca="1" si="7"/>
        <v>5.2468399713808726E-2</v>
      </c>
      <c r="N20" s="77">
        <f t="shared" ca="1" si="7"/>
        <v>5.1378660729576982E-2</v>
      </c>
      <c r="O20" s="77">
        <f t="shared" ca="1" si="7"/>
        <v>4.8201374631795059E-2</v>
      </c>
      <c r="P20" s="77">
        <f t="shared" ca="1" si="7"/>
        <v>4.5700691770745296E-2</v>
      </c>
      <c r="Q20" s="77">
        <f t="shared" ca="1" si="7"/>
        <v>4.3324143363528952E-2</v>
      </c>
      <c r="R20" s="77">
        <f t="shared" ca="1" si="7"/>
        <v>4.1615235408217245E-2</v>
      </c>
      <c r="S20" s="77">
        <f t="shared" ca="1" si="7"/>
        <v>3.9764414600292605E-2</v>
      </c>
      <c r="T20" s="77">
        <f t="shared" ca="1" si="7"/>
        <v>3.9039625219597897E-2</v>
      </c>
      <c r="U20" s="77">
        <f t="shared" ca="1" si="7"/>
        <v>3.8869113375066489E-2</v>
      </c>
      <c r="V20" s="77">
        <f t="shared" ca="1" si="7"/>
        <v>3.8322333404300621E-2</v>
      </c>
      <c r="W20" s="77">
        <f t="shared" ca="1" si="7"/>
        <v>3.7423846823324627E-2</v>
      </c>
      <c r="X20" s="77">
        <f t="shared" ca="1" si="7"/>
        <v>3.7996385709652004E-2</v>
      </c>
      <c r="Y20" s="62"/>
      <c r="Z20" s="62"/>
      <c r="AA20" s="62"/>
      <c r="AB20" s="62"/>
    </row>
    <row r="21" spans="1:28" x14ac:dyDescent="0.25">
      <c r="A21" s="44" t="s">
        <v>244</v>
      </c>
      <c r="B21" s="45">
        <f t="shared" ca="1" si="2"/>
        <v>65</v>
      </c>
      <c r="C21" s="1">
        <f ca="1">IF(ISERROR(D21),"",IF(D21="","",MAX($C$12:C20)+1))</f>
        <v>8</v>
      </c>
      <c r="D21" t="str">
        <f t="shared" ca="1" si="3"/>
        <v>Spire Inc.</v>
      </c>
      <c r="E21" s="15"/>
      <c r="F21" s="77">
        <f t="shared" ca="1" si="8"/>
        <v>5.8606276957715205E-2</v>
      </c>
      <c r="G21" s="77">
        <f t="shared" si="4"/>
        <v>5.7267846490355934E-2</v>
      </c>
      <c r="H21" s="77">
        <f t="shared" si="5"/>
        <v>5.5827220863895688E-2</v>
      </c>
      <c r="I21" s="77">
        <f t="shared" si="6"/>
        <v>5.5626872058194263E-2</v>
      </c>
      <c r="J21" s="77">
        <f t="shared" ca="1" si="7"/>
        <v>5.6345039826212896E-2</v>
      </c>
      <c r="K21" s="77">
        <f t="shared" ca="1" si="7"/>
        <v>5.2502159898983193E-2</v>
      </c>
      <c r="L21" s="77">
        <f t="shared" ca="1" si="7"/>
        <v>5.0550438103796905E-2</v>
      </c>
      <c r="M21" s="77">
        <f t="shared" ca="1" si="7"/>
        <v>5.0897985893986766E-2</v>
      </c>
      <c r="N21" s="77">
        <f t="shared" ca="1" si="7"/>
        <v>5.0602845119149052E-2</v>
      </c>
      <c r="O21" s="77">
        <f t="shared" ca="1" si="7"/>
        <v>5.0694291381970472E-2</v>
      </c>
      <c r="P21" s="77">
        <f t="shared" ca="1" si="7"/>
        <v>5.0386487260234758E-2</v>
      </c>
      <c r="Q21" s="77">
        <f t="shared" ca="1" si="7"/>
        <v>5.3126660208131504E-2</v>
      </c>
      <c r="R21" s="77">
        <f t="shared" ca="1" si="7"/>
        <v>6.2232885956361998E-2</v>
      </c>
      <c r="S21" s="77">
        <f t="shared" ca="1" si="7"/>
        <v>6.2989045383411588E-2</v>
      </c>
      <c r="T21" s="77">
        <f t="shared" ca="1" si="7"/>
        <v>6.5348595213319469E-2</v>
      </c>
      <c r="U21" s="77">
        <f t="shared" ca="1" si="7"/>
        <v>6.560048021266561E-2</v>
      </c>
      <c r="V21" s="77">
        <f t="shared" ca="1" si="7"/>
        <v>6.7362900673629003E-2</v>
      </c>
      <c r="W21" s="77">
        <f t="shared" ca="1" si="7"/>
        <v>7.3276733373761879E-2</v>
      </c>
      <c r="X21" s="77">
        <f t="shared" ca="1" si="7"/>
        <v>7.4274497320812774E-2</v>
      </c>
      <c r="Y21" s="62"/>
      <c r="Z21" s="62"/>
      <c r="AA21" s="62"/>
      <c r="AB21" s="62"/>
    </row>
    <row r="22" spans="1:28" x14ac:dyDescent="0.25">
      <c r="A22" s="44" t="s">
        <v>204</v>
      </c>
      <c r="B22" s="45">
        <f t="shared" ca="1" si="2"/>
        <v>67</v>
      </c>
      <c r="C22" s="1">
        <f ca="1">IF(ISERROR(D22),"",IF(D22="","",MAX($C$12:C21)+1))</f>
        <v>9</v>
      </c>
      <c r="D22" t="str">
        <f t="shared" ca="1" si="3"/>
        <v>UGI Corp.</v>
      </c>
      <c r="E22" s="15"/>
      <c r="F22" s="77">
        <f t="shared" ca="1" si="8"/>
        <v>5.6836389974941351E-2</v>
      </c>
      <c r="G22" s="77">
        <f t="shared" si="4"/>
        <v>7.3499999999999996E-2</v>
      </c>
      <c r="H22" s="77">
        <f t="shared" si="5"/>
        <v>5.0213675213675216E-2</v>
      </c>
      <c r="I22" s="77">
        <f t="shared" si="6"/>
        <v>5.3423031262366444E-2</v>
      </c>
      <c r="J22" s="77">
        <f t="shared" ca="1" si="7"/>
        <v>6.6487336953763396E-2</v>
      </c>
      <c r="K22" s="77">
        <f t="shared" ca="1" si="7"/>
        <v>6.2961949082945515E-2</v>
      </c>
      <c r="L22" s="77">
        <f t="shared" ca="1" si="7"/>
        <v>4.8249763481551564E-2</v>
      </c>
      <c r="M22" s="77">
        <f t="shared" ca="1" si="7"/>
        <v>5.2802376106924807E-2</v>
      </c>
      <c r="N22" s="77">
        <f t="shared" ca="1" si="7"/>
        <v>5.6483449741876711E-2</v>
      </c>
      <c r="O22" s="77">
        <f t="shared" ca="1" si="7"/>
        <v>5.7234726688102894E-2</v>
      </c>
      <c r="P22" s="77">
        <f t="shared" ca="1" si="7"/>
        <v>5.1383655969858388E-2</v>
      </c>
      <c r="Q22" s="77">
        <f t="shared" ca="1" si="7"/>
        <v>5.0733580145344848E-2</v>
      </c>
      <c r="R22" s="77">
        <f t="shared" ca="1" si="7"/>
        <v>5.3524112347641761E-2</v>
      </c>
      <c r="S22" s="77">
        <f t="shared" ca="1" si="7"/>
        <v>5.7680888964288753E-2</v>
      </c>
      <c r="T22" s="77">
        <f t="shared" ca="1" si="7"/>
        <v>5.4058924227407872E-2</v>
      </c>
      <c r="U22" s="77">
        <f t="shared" ca="1" si="7"/>
        <v>5.3498363338788872E-2</v>
      </c>
      <c r="V22" s="77">
        <f t="shared" ca="1" si="7"/>
        <v>5.7159090909090902E-2</v>
      </c>
      <c r="W22" s="77">
        <f t="shared" ca="1" si="7"/>
        <v>5.8211303400701922E-2</v>
      </c>
      <c r="X22" s="77">
        <f t="shared" ca="1" si="7"/>
        <v>6.5448791714614499E-2</v>
      </c>
      <c r="Y22" s="62"/>
      <c r="Z22" s="62"/>
      <c r="AA22" s="62"/>
      <c r="AB22" s="62"/>
    </row>
    <row r="23" spans="1:28" hidden="1" x14ac:dyDescent="0.25">
      <c r="A23" s="44" t="s">
        <v>206</v>
      </c>
      <c r="B23" s="45">
        <f t="shared" ca="1" si="2"/>
        <v>74</v>
      </c>
      <c r="C23" s="1" t="str">
        <f>IF(ISERROR(D23),"",IF(D23="","",MAX($C$12:C22)+1))</f>
        <v/>
      </c>
      <c r="E23" s="15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62"/>
      <c r="Z23" s="62"/>
      <c r="AA23" s="62"/>
      <c r="AB23" s="62"/>
    </row>
    <row r="24" spans="1:28" hidden="1" x14ac:dyDescent="0.25">
      <c r="A24" s="44"/>
      <c r="B24" s="45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77" t="str">
        <f t="shared" ca="1" si="8"/>
        <v>N/A</v>
      </c>
      <c r="G24" s="77"/>
      <c r="H24" s="77"/>
      <c r="I24" s="77"/>
      <c r="J24" s="77" t="str">
        <f t="shared" ref="J24:J57" si="9">IFERROR(IF(VLOOKUP(A24,lucyr,19,FALSE)=0,"",VLOOKUP(A24,lucyr,19,FALSE)),"N/A")</f>
        <v>N/A</v>
      </c>
      <c r="K24" s="77" t="str">
        <f t="shared" ref="K24:K57" si="10">IFERROR(IF(VLOOKUP(A24,LUCurYr,19,FALSE)=0,"",VLOOKUP(A24,LUCurYr,19,FALSE)),"N/A")</f>
        <v>N/A</v>
      </c>
      <c r="L24" s="77" t="str">
        <f t="shared" ref="L24:L57" ca="1" si="11">IFERROR(INDEX(DIV_BV_WP,$B24,L$12),"N/A")</f>
        <v>N/A</v>
      </c>
      <c r="M24" s="77" t="str">
        <f ca="1">IFERROR(VLOOKUP($A24,LASTYR,'[3]2017'!$N$3,FALSE),"N/A")</f>
        <v>N/A</v>
      </c>
      <c r="N24" s="77" t="str">
        <f t="shared" ca="1" si="7"/>
        <v>N/A</v>
      </c>
      <c r="O24" s="77" t="str">
        <f t="shared" ref="O24:X32" ca="1" si="12">IFERROR(INDEX(DIV_BV_WP,$B24,O$12),"N/A")</f>
        <v>N/A</v>
      </c>
      <c r="P24" s="77" t="str">
        <f t="shared" ca="1" si="12"/>
        <v>N/A</v>
      </c>
      <c r="Q24" s="77" t="str">
        <f t="shared" ca="1" si="12"/>
        <v>N/A</v>
      </c>
      <c r="R24" s="77" t="str">
        <f t="shared" ca="1" si="12"/>
        <v>N/A</v>
      </c>
      <c r="S24" s="77" t="str">
        <f t="shared" ca="1" si="12"/>
        <v>N/A</v>
      </c>
      <c r="T24" s="77" t="str">
        <f t="shared" ca="1" si="12"/>
        <v>N/A</v>
      </c>
      <c r="U24" s="77" t="str">
        <f t="shared" ca="1" si="12"/>
        <v>N/A</v>
      </c>
      <c r="V24" s="77" t="str">
        <f t="shared" ca="1" si="12"/>
        <v>N/A</v>
      </c>
      <c r="W24" s="77" t="str">
        <f t="shared" ca="1" si="12"/>
        <v>N/A</v>
      </c>
      <c r="X24" s="77" t="str">
        <f t="shared" ca="1" si="12"/>
        <v>N/A</v>
      </c>
      <c r="Y24" s="62"/>
      <c r="Z24" s="62"/>
      <c r="AA24" s="62"/>
      <c r="AB24" s="62"/>
    </row>
    <row r="25" spans="1:28" hidden="1" x14ac:dyDescent="0.25">
      <c r="A25" s="44"/>
      <c r="B25" s="45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77" t="str">
        <f t="shared" ca="1" si="8"/>
        <v>N/A</v>
      </c>
      <c r="G25" s="77"/>
      <c r="H25" s="77"/>
      <c r="I25" s="77"/>
      <c r="J25" s="77" t="str">
        <f t="shared" si="9"/>
        <v>N/A</v>
      </c>
      <c r="K25" s="77" t="str">
        <f t="shared" si="10"/>
        <v>N/A</v>
      </c>
      <c r="L25" s="77" t="str">
        <f t="shared" ca="1" si="11"/>
        <v>N/A</v>
      </c>
      <c r="M25" s="77" t="str">
        <f ca="1">IFERROR(VLOOKUP($A25,LASTYR,'[3]2017'!$N$3,FALSE),"N/A")</f>
        <v>N/A</v>
      </c>
      <c r="N25" s="77" t="str">
        <f t="shared" ca="1" si="7"/>
        <v>N/A</v>
      </c>
      <c r="O25" s="77" t="str">
        <f t="shared" ca="1" si="12"/>
        <v>N/A</v>
      </c>
      <c r="P25" s="77" t="str">
        <f t="shared" ca="1" si="12"/>
        <v>N/A</v>
      </c>
      <c r="Q25" s="77" t="str">
        <f t="shared" ca="1" si="12"/>
        <v>N/A</v>
      </c>
      <c r="R25" s="77" t="str">
        <f t="shared" ca="1" si="12"/>
        <v>N/A</v>
      </c>
      <c r="S25" s="77" t="str">
        <f t="shared" ca="1" si="12"/>
        <v>N/A</v>
      </c>
      <c r="T25" s="77" t="str">
        <f t="shared" ca="1" si="12"/>
        <v>N/A</v>
      </c>
      <c r="U25" s="77" t="str">
        <f t="shared" ca="1" si="12"/>
        <v>N/A</v>
      </c>
      <c r="V25" s="77" t="str">
        <f t="shared" ca="1" si="12"/>
        <v>N/A</v>
      </c>
      <c r="W25" s="77" t="str">
        <f t="shared" ca="1" si="12"/>
        <v>N/A</v>
      </c>
      <c r="X25" s="77" t="str">
        <f t="shared" ca="1" si="12"/>
        <v>N/A</v>
      </c>
      <c r="Y25" s="62"/>
      <c r="Z25" s="62"/>
      <c r="AA25" s="62"/>
      <c r="AB25" s="62"/>
    </row>
    <row r="26" spans="1:28" hidden="1" x14ac:dyDescent="0.25">
      <c r="A26" s="44"/>
      <c r="B26" s="45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77" t="str">
        <f t="shared" ca="1" si="8"/>
        <v>N/A</v>
      </c>
      <c r="G26" s="77"/>
      <c r="H26" s="77"/>
      <c r="I26" s="77"/>
      <c r="J26" s="77" t="str">
        <f t="shared" si="9"/>
        <v>N/A</v>
      </c>
      <c r="K26" s="77" t="str">
        <f t="shared" si="10"/>
        <v>N/A</v>
      </c>
      <c r="L26" s="77" t="str">
        <f t="shared" ca="1" si="11"/>
        <v>N/A</v>
      </c>
      <c r="M26" s="77" t="str">
        <f ca="1">IFERROR(VLOOKUP($A26,LASTYR,'[3]2017'!$N$3,FALSE),"N/A")</f>
        <v>N/A</v>
      </c>
      <c r="N26" s="77" t="str">
        <f t="shared" ca="1" si="7"/>
        <v>N/A</v>
      </c>
      <c r="O26" s="77" t="str">
        <f t="shared" ca="1" si="12"/>
        <v>N/A</v>
      </c>
      <c r="P26" s="77" t="str">
        <f t="shared" ca="1" si="12"/>
        <v>N/A</v>
      </c>
      <c r="Q26" s="77" t="str">
        <f t="shared" ca="1" si="12"/>
        <v>N/A</v>
      </c>
      <c r="R26" s="77" t="str">
        <f t="shared" ca="1" si="12"/>
        <v>N/A</v>
      </c>
      <c r="S26" s="77" t="str">
        <f t="shared" ca="1" si="12"/>
        <v>N/A</v>
      </c>
      <c r="T26" s="77" t="str">
        <f t="shared" ca="1" si="12"/>
        <v>N/A</v>
      </c>
      <c r="U26" s="77" t="str">
        <f t="shared" ca="1" si="12"/>
        <v>N/A</v>
      </c>
      <c r="V26" s="77" t="str">
        <f t="shared" ca="1" si="12"/>
        <v>N/A</v>
      </c>
      <c r="W26" s="77" t="str">
        <f t="shared" ca="1" si="12"/>
        <v>N/A</v>
      </c>
      <c r="X26" s="77" t="str">
        <f t="shared" ca="1" si="12"/>
        <v>N/A</v>
      </c>
      <c r="Y26" s="62"/>
      <c r="Z26" s="62"/>
      <c r="AA26" s="62"/>
      <c r="AB26" s="62"/>
    </row>
    <row r="27" spans="1:28" hidden="1" x14ac:dyDescent="0.25">
      <c r="A27" s="44"/>
      <c r="B27" s="45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77" t="str">
        <f t="shared" ca="1" si="8"/>
        <v>N/A</v>
      </c>
      <c r="G27" s="77"/>
      <c r="H27" s="77"/>
      <c r="I27" s="77"/>
      <c r="J27" s="77" t="str">
        <f t="shared" si="9"/>
        <v>N/A</v>
      </c>
      <c r="K27" s="77" t="str">
        <f t="shared" si="10"/>
        <v>N/A</v>
      </c>
      <c r="L27" s="77" t="str">
        <f t="shared" ca="1" si="11"/>
        <v>N/A</v>
      </c>
      <c r="M27" s="77" t="str">
        <f ca="1">IFERROR(VLOOKUP($A27,LASTYR,'[3]2017'!$N$3,FALSE),"N/A")</f>
        <v>N/A</v>
      </c>
      <c r="N27" s="77" t="str">
        <f t="shared" ca="1" si="7"/>
        <v>N/A</v>
      </c>
      <c r="O27" s="77" t="str">
        <f t="shared" ca="1" si="12"/>
        <v>N/A</v>
      </c>
      <c r="P27" s="77" t="str">
        <f t="shared" ca="1" si="12"/>
        <v>N/A</v>
      </c>
      <c r="Q27" s="77" t="str">
        <f t="shared" ca="1" si="12"/>
        <v>N/A</v>
      </c>
      <c r="R27" s="77" t="str">
        <f t="shared" ca="1" si="12"/>
        <v>N/A</v>
      </c>
      <c r="S27" s="77" t="str">
        <f t="shared" ca="1" si="12"/>
        <v>N/A</v>
      </c>
      <c r="T27" s="77" t="str">
        <f t="shared" ca="1" si="12"/>
        <v>N/A</v>
      </c>
      <c r="U27" s="77" t="str">
        <f t="shared" ca="1" si="12"/>
        <v>N/A</v>
      </c>
      <c r="V27" s="77" t="str">
        <f t="shared" ca="1" si="12"/>
        <v>N/A</v>
      </c>
      <c r="W27" s="77" t="str">
        <f t="shared" ca="1" si="12"/>
        <v>N/A</v>
      </c>
      <c r="X27" s="77" t="str">
        <f t="shared" ca="1" si="12"/>
        <v>N/A</v>
      </c>
      <c r="Y27" s="62"/>
      <c r="Z27" s="62"/>
      <c r="AA27" s="62"/>
      <c r="AB27" s="62"/>
    </row>
    <row r="28" spans="1:28" hidden="1" x14ac:dyDescent="0.25">
      <c r="A28" s="44"/>
      <c r="B28" s="45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77" t="str">
        <f t="shared" ca="1" si="8"/>
        <v>N/A</v>
      </c>
      <c r="G28" s="77"/>
      <c r="H28" s="77"/>
      <c r="I28" s="77"/>
      <c r="J28" s="77" t="str">
        <f t="shared" si="9"/>
        <v>N/A</v>
      </c>
      <c r="K28" s="77" t="str">
        <f t="shared" si="10"/>
        <v>N/A</v>
      </c>
      <c r="L28" s="77" t="str">
        <f t="shared" ca="1" si="11"/>
        <v>N/A</v>
      </c>
      <c r="M28" s="77" t="str">
        <f ca="1">IFERROR(VLOOKUP($A28,LASTYR,'[3]2017'!$N$3,FALSE),"N/A")</f>
        <v>N/A</v>
      </c>
      <c r="N28" s="77" t="str">
        <f t="shared" ca="1" si="7"/>
        <v>N/A</v>
      </c>
      <c r="O28" s="77" t="str">
        <f t="shared" ca="1" si="12"/>
        <v>N/A</v>
      </c>
      <c r="P28" s="77" t="str">
        <f t="shared" ca="1" si="12"/>
        <v>N/A</v>
      </c>
      <c r="Q28" s="77" t="str">
        <f t="shared" ca="1" si="12"/>
        <v>N/A</v>
      </c>
      <c r="R28" s="77" t="str">
        <f t="shared" ca="1" si="12"/>
        <v>N/A</v>
      </c>
      <c r="S28" s="77" t="str">
        <f t="shared" ca="1" si="12"/>
        <v>N/A</v>
      </c>
      <c r="T28" s="77" t="str">
        <f t="shared" ca="1" si="12"/>
        <v>N/A</v>
      </c>
      <c r="U28" s="77" t="str">
        <f t="shared" ca="1" si="12"/>
        <v>N/A</v>
      </c>
      <c r="V28" s="77" t="str">
        <f t="shared" ca="1" si="12"/>
        <v>N/A</v>
      </c>
      <c r="W28" s="77" t="str">
        <f t="shared" ca="1" si="12"/>
        <v>N/A</v>
      </c>
      <c r="X28" s="77" t="str">
        <f t="shared" ca="1" si="12"/>
        <v>N/A</v>
      </c>
      <c r="Y28" s="62"/>
      <c r="Z28" s="62"/>
      <c r="AA28" s="62"/>
      <c r="AB28" s="62"/>
    </row>
    <row r="29" spans="1:28" hidden="1" x14ac:dyDescent="0.25">
      <c r="A29" s="44"/>
      <c r="B29" s="45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77" t="str">
        <f t="shared" ca="1" si="8"/>
        <v>N/A</v>
      </c>
      <c r="G29" s="77"/>
      <c r="H29" s="77"/>
      <c r="I29" s="77"/>
      <c r="J29" s="77" t="str">
        <f t="shared" si="9"/>
        <v>N/A</v>
      </c>
      <c r="K29" s="77" t="str">
        <f t="shared" si="10"/>
        <v>N/A</v>
      </c>
      <c r="L29" s="77" t="str">
        <f t="shared" ca="1" si="11"/>
        <v>N/A</v>
      </c>
      <c r="M29" s="77" t="str">
        <f ca="1">IFERROR(VLOOKUP($A29,LASTYR,'[3]2017'!$N$3,FALSE),"N/A")</f>
        <v>N/A</v>
      </c>
      <c r="N29" s="77" t="str">
        <f t="shared" ref="N29:N57" ca="1" si="13">IFERROR(INDEX(DIV_BV_WP,$B29,N$12),"N/A")</f>
        <v>N/A</v>
      </c>
      <c r="O29" s="77" t="str">
        <f t="shared" ca="1" si="12"/>
        <v>N/A</v>
      </c>
      <c r="P29" s="77" t="str">
        <f t="shared" ca="1" si="12"/>
        <v>N/A</v>
      </c>
      <c r="Q29" s="77" t="str">
        <f t="shared" ca="1" si="12"/>
        <v>N/A</v>
      </c>
      <c r="R29" s="77" t="str">
        <f t="shared" ca="1" si="12"/>
        <v>N/A</v>
      </c>
      <c r="S29" s="77" t="str">
        <f t="shared" ca="1" si="12"/>
        <v>N/A</v>
      </c>
      <c r="T29" s="77" t="str">
        <f t="shared" ca="1" si="12"/>
        <v>N/A</v>
      </c>
      <c r="U29" s="77" t="str">
        <f t="shared" ca="1" si="12"/>
        <v>N/A</v>
      </c>
      <c r="V29" s="77" t="str">
        <f t="shared" ca="1" si="12"/>
        <v>N/A</v>
      </c>
      <c r="W29" s="77" t="str">
        <f t="shared" ca="1" si="12"/>
        <v>N/A</v>
      </c>
      <c r="X29" s="77" t="str">
        <f t="shared" ca="1" si="12"/>
        <v>N/A</v>
      </c>
      <c r="Y29" s="62"/>
      <c r="Z29" s="62"/>
      <c r="AA29" s="62"/>
      <c r="AB29" s="62"/>
    </row>
    <row r="30" spans="1:28" hidden="1" x14ac:dyDescent="0.25">
      <c r="A30" s="44"/>
      <c r="B30" s="45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77" t="str">
        <f t="shared" ca="1" si="8"/>
        <v>N/A</v>
      </c>
      <c r="G30" s="77"/>
      <c r="H30" s="77"/>
      <c r="I30" s="77"/>
      <c r="J30" s="77" t="str">
        <f t="shared" si="9"/>
        <v>N/A</v>
      </c>
      <c r="K30" s="77" t="str">
        <f t="shared" si="10"/>
        <v>N/A</v>
      </c>
      <c r="L30" s="77" t="str">
        <f t="shared" ca="1" si="11"/>
        <v>N/A</v>
      </c>
      <c r="M30" s="77" t="str">
        <f ca="1">IFERROR(VLOOKUP($A30,LASTYR,'[3]2017'!$N$3,FALSE),"N/A")</f>
        <v>N/A</v>
      </c>
      <c r="N30" s="77" t="str">
        <f t="shared" ca="1" si="13"/>
        <v>N/A</v>
      </c>
      <c r="O30" s="77" t="str">
        <f t="shared" ca="1" si="12"/>
        <v>N/A</v>
      </c>
      <c r="P30" s="77" t="str">
        <f t="shared" ca="1" si="12"/>
        <v>N/A</v>
      </c>
      <c r="Q30" s="77" t="str">
        <f t="shared" ca="1" si="12"/>
        <v>N/A</v>
      </c>
      <c r="R30" s="77" t="str">
        <f t="shared" ca="1" si="12"/>
        <v>N/A</v>
      </c>
      <c r="S30" s="77" t="str">
        <f t="shared" ca="1" si="12"/>
        <v>N/A</v>
      </c>
      <c r="T30" s="77" t="str">
        <f t="shared" ca="1" si="12"/>
        <v>N/A</v>
      </c>
      <c r="U30" s="77" t="str">
        <f t="shared" ca="1" si="12"/>
        <v>N/A</v>
      </c>
      <c r="V30" s="77" t="str">
        <f t="shared" ca="1" si="12"/>
        <v>N/A</v>
      </c>
      <c r="W30" s="77" t="str">
        <f t="shared" ca="1" si="12"/>
        <v>N/A</v>
      </c>
      <c r="X30" s="77" t="str">
        <f t="shared" ca="1" si="12"/>
        <v>N/A</v>
      </c>
      <c r="Y30" s="62"/>
      <c r="Z30" s="62"/>
      <c r="AA30" s="62"/>
      <c r="AB30" s="62"/>
    </row>
    <row r="31" spans="1:28" hidden="1" x14ac:dyDescent="0.25">
      <c r="A31" s="44"/>
      <c r="B31" s="45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77" t="str">
        <f t="shared" ca="1" si="8"/>
        <v>N/A</v>
      </c>
      <c r="G31" s="77"/>
      <c r="H31" s="77"/>
      <c r="I31" s="77"/>
      <c r="J31" s="77" t="str">
        <f t="shared" si="9"/>
        <v>N/A</v>
      </c>
      <c r="K31" s="77" t="str">
        <f t="shared" si="10"/>
        <v>N/A</v>
      </c>
      <c r="L31" s="77" t="str">
        <f t="shared" ca="1" si="11"/>
        <v>N/A</v>
      </c>
      <c r="M31" s="77" t="str">
        <f ca="1">IFERROR(VLOOKUP($A31,LASTYR,'[3]2017'!$N$3,FALSE),"N/A")</f>
        <v>N/A</v>
      </c>
      <c r="N31" s="77" t="str">
        <f t="shared" ca="1" si="13"/>
        <v>N/A</v>
      </c>
      <c r="O31" s="77" t="str">
        <f t="shared" ca="1" si="12"/>
        <v>N/A</v>
      </c>
      <c r="P31" s="77" t="str">
        <f t="shared" ca="1" si="12"/>
        <v>N/A</v>
      </c>
      <c r="Q31" s="77" t="str">
        <f t="shared" ca="1" si="12"/>
        <v>N/A</v>
      </c>
      <c r="R31" s="77" t="str">
        <f t="shared" ca="1" si="12"/>
        <v>N/A</v>
      </c>
      <c r="S31" s="77" t="str">
        <f t="shared" ca="1" si="12"/>
        <v>N/A</v>
      </c>
      <c r="T31" s="77" t="str">
        <f t="shared" ca="1" si="12"/>
        <v>N/A</v>
      </c>
      <c r="U31" s="77" t="str">
        <f t="shared" ca="1" si="12"/>
        <v>N/A</v>
      </c>
      <c r="V31" s="77" t="str">
        <f t="shared" ca="1" si="12"/>
        <v>N/A</v>
      </c>
      <c r="W31" s="77" t="str">
        <f t="shared" ca="1" si="12"/>
        <v>N/A</v>
      </c>
      <c r="X31" s="77" t="str">
        <f t="shared" ca="1" si="12"/>
        <v>N/A</v>
      </c>
      <c r="Y31" s="62"/>
      <c r="Z31" s="62"/>
      <c r="AA31" s="62"/>
      <c r="AB31" s="62"/>
    </row>
    <row r="32" spans="1:28" hidden="1" x14ac:dyDescent="0.25">
      <c r="A32" s="44"/>
      <c r="B32" s="45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77" t="str">
        <f t="shared" ca="1" si="8"/>
        <v>N/A</v>
      </c>
      <c r="G32" s="77"/>
      <c r="H32" s="77"/>
      <c r="I32" s="77"/>
      <c r="J32" s="77" t="str">
        <f t="shared" si="9"/>
        <v>N/A</v>
      </c>
      <c r="K32" s="77" t="str">
        <f t="shared" si="10"/>
        <v>N/A</v>
      </c>
      <c r="L32" s="77" t="str">
        <f t="shared" ca="1" si="11"/>
        <v>N/A</v>
      </c>
      <c r="M32" s="77" t="str">
        <f ca="1">IFERROR(VLOOKUP($A32,LASTYR,'[3]2017'!$N$3,FALSE),"N/A")</f>
        <v>N/A</v>
      </c>
      <c r="N32" s="77" t="str">
        <f t="shared" ca="1" si="13"/>
        <v>N/A</v>
      </c>
      <c r="O32" s="77" t="str">
        <f t="shared" ca="1" si="12"/>
        <v>N/A</v>
      </c>
      <c r="P32" s="77" t="str">
        <f t="shared" ca="1" si="12"/>
        <v>N/A</v>
      </c>
      <c r="Q32" s="77" t="str">
        <f t="shared" ca="1" si="12"/>
        <v>N/A</v>
      </c>
      <c r="R32" s="77" t="str">
        <f t="shared" ca="1" si="12"/>
        <v>N/A</v>
      </c>
      <c r="S32" s="77" t="str">
        <f t="shared" ca="1" si="12"/>
        <v>N/A</v>
      </c>
      <c r="T32" s="77" t="str">
        <f t="shared" ca="1" si="12"/>
        <v>N/A</v>
      </c>
      <c r="U32" s="77" t="str">
        <f t="shared" ca="1" si="12"/>
        <v>N/A</v>
      </c>
      <c r="V32" s="77" t="str">
        <f t="shared" ca="1" si="12"/>
        <v>N/A</v>
      </c>
      <c r="W32" s="77" t="str">
        <f t="shared" ca="1" si="12"/>
        <v>N/A</v>
      </c>
      <c r="X32" s="77" t="str">
        <f t="shared" ca="1" si="12"/>
        <v>N/A</v>
      </c>
      <c r="Y32" s="62"/>
      <c r="Z32" s="62"/>
      <c r="AA32" s="62"/>
      <c r="AB32" s="62"/>
    </row>
    <row r="33" spans="1:28" hidden="1" x14ac:dyDescent="0.25">
      <c r="A33" s="44"/>
      <c r="B33" s="45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77" t="str">
        <f t="shared" ca="1" si="8"/>
        <v>N/A</v>
      </c>
      <c r="G33" s="77"/>
      <c r="H33" s="77"/>
      <c r="I33" s="77"/>
      <c r="J33" s="77" t="str">
        <f t="shared" si="9"/>
        <v>N/A</v>
      </c>
      <c r="K33" s="77" t="str">
        <f t="shared" si="10"/>
        <v>N/A</v>
      </c>
      <c r="L33" s="77" t="str">
        <f t="shared" ca="1" si="11"/>
        <v>N/A</v>
      </c>
      <c r="M33" s="77" t="str">
        <f ca="1">IFERROR(VLOOKUP($A33,LASTYR,'[3]2017'!$N$3,FALSE),"N/A")</f>
        <v>N/A</v>
      </c>
      <c r="N33" s="77" t="str">
        <f t="shared" ca="1" si="13"/>
        <v>N/A</v>
      </c>
      <c r="O33" s="77" t="str">
        <f t="shared" ref="O33:X42" ca="1" si="14">IFERROR(INDEX(DIV_BV_WP,$B33,O$12),"N/A")</f>
        <v>N/A</v>
      </c>
      <c r="P33" s="77" t="str">
        <f t="shared" ca="1" si="14"/>
        <v>N/A</v>
      </c>
      <c r="Q33" s="77" t="str">
        <f t="shared" ca="1" si="14"/>
        <v>N/A</v>
      </c>
      <c r="R33" s="77" t="str">
        <f t="shared" ca="1" si="14"/>
        <v>N/A</v>
      </c>
      <c r="S33" s="77" t="str">
        <f t="shared" ca="1" si="14"/>
        <v>N/A</v>
      </c>
      <c r="T33" s="77" t="str">
        <f t="shared" ca="1" si="14"/>
        <v>N/A</v>
      </c>
      <c r="U33" s="77" t="str">
        <f t="shared" ca="1" si="14"/>
        <v>N/A</v>
      </c>
      <c r="V33" s="77" t="str">
        <f t="shared" ca="1" si="14"/>
        <v>N/A</v>
      </c>
      <c r="W33" s="77" t="str">
        <f t="shared" ca="1" si="14"/>
        <v>N/A</v>
      </c>
      <c r="X33" s="77" t="str">
        <f t="shared" ca="1" si="14"/>
        <v>N/A</v>
      </c>
      <c r="Y33" s="62"/>
      <c r="Z33" s="62"/>
      <c r="AA33" s="62"/>
      <c r="AB33" s="62"/>
    </row>
    <row r="34" spans="1:28" hidden="1" x14ac:dyDescent="0.25">
      <c r="A34" s="44"/>
      <c r="B34" s="45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77" t="str">
        <f t="shared" ca="1" si="8"/>
        <v>N/A</v>
      </c>
      <c r="G34" s="77"/>
      <c r="H34" s="77"/>
      <c r="I34" s="77"/>
      <c r="J34" s="77" t="str">
        <f t="shared" si="9"/>
        <v>N/A</v>
      </c>
      <c r="K34" s="77" t="str">
        <f t="shared" si="10"/>
        <v>N/A</v>
      </c>
      <c r="L34" s="77" t="str">
        <f t="shared" ca="1" si="11"/>
        <v>N/A</v>
      </c>
      <c r="M34" s="77" t="str">
        <f ca="1">IFERROR(VLOOKUP($A34,LASTYR,'[3]2017'!$N$3,FALSE),"N/A")</f>
        <v>N/A</v>
      </c>
      <c r="N34" s="77" t="str">
        <f t="shared" ca="1" si="13"/>
        <v>N/A</v>
      </c>
      <c r="O34" s="77" t="str">
        <f t="shared" ca="1" si="14"/>
        <v>N/A</v>
      </c>
      <c r="P34" s="77" t="str">
        <f t="shared" ca="1" si="14"/>
        <v>N/A</v>
      </c>
      <c r="Q34" s="77" t="str">
        <f t="shared" ca="1" si="14"/>
        <v>N/A</v>
      </c>
      <c r="R34" s="77" t="str">
        <f t="shared" ca="1" si="14"/>
        <v>N/A</v>
      </c>
      <c r="S34" s="77" t="str">
        <f t="shared" ca="1" si="14"/>
        <v>N/A</v>
      </c>
      <c r="T34" s="77" t="str">
        <f t="shared" ca="1" si="14"/>
        <v>N/A</v>
      </c>
      <c r="U34" s="77" t="str">
        <f t="shared" ca="1" si="14"/>
        <v>N/A</v>
      </c>
      <c r="V34" s="77" t="str">
        <f t="shared" ca="1" si="14"/>
        <v>N/A</v>
      </c>
      <c r="W34" s="77" t="str">
        <f t="shared" ca="1" si="14"/>
        <v>N/A</v>
      </c>
      <c r="X34" s="77" t="str">
        <f t="shared" ca="1" si="14"/>
        <v>N/A</v>
      </c>
      <c r="Y34" s="62"/>
      <c r="Z34" s="62"/>
      <c r="AA34" s="62"/>
      <c r="AB34" s="62"/>
    </row>
    <row r="35" spans="1:28" hidden="1" x14ac:dyDescent="0.25">
      <c r="A35" s="44"/>
      <c r="B35" s="45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77" t="str">
        <f t="shared" ca="1" si="8"/>
        <v>N/A</v>
      </c>
      <c r="G35" s="77"/>
      <c r="H35" s="77"/>
      <c r="I35" s="77"/>
      <c r="J35" s="77" t="str">
        <f t="shared" si="9"/>
        <v>N/A</v>
      </c>
      <c r="K35" s="77" t="str">
        <f t="shared" si="10"/>
        <v>N/A</v>
      </c>
      <c r="L35" s="77" t="str">
        <f t="shared" ca="1" si="11"/>
        <v>N/A</v>
      </c>
      <c r="M35" s="77" t="str">
        <f ca="1">IFERROR(VLOOKUP($A35,LASTYR,'[3]2017'!$N$3,FALSE),"N/A")</f>
        <v>N/A</v>
      </c>
      <c r="N35" s="77" t="str">
        <f t="shared" ca="1" si="13"/>
        <v>N/A</v>
      </c>
      <c r="O35" s="77" t="str">
        <f t="shared" ca="1" si="14"/>
        <v>N/A</v>
      </c>
      <c r="P35" s="77" t="str">
        <f t="shared" ca="1" si="14"/>
        <v>N/A</v>
      </c>
      <c r="Q35" s="77" t="str">
        <f t="shared" ca="1" si="14"/>
        <v>N/A</v>
      </c>
      <c r="R35" s="77" t="str">
        <f t="shared" ca="1" si="14"/>
        <v>N/A</v>
      </c>
      <c r="S35" s="77" t="str">
        <f t="shared" ca="1" si="14"/>
        <v>N/A</v>
      </c>
      <c r="T35" s="77" t="str">
        <f t="shared" ca="1" si="14"/>
        <v>N/A</v>
      </c>
      <c r="U35" s="77" t="str">
        <f t="shared" ca="1" si="14"/>
        <v>N/A</v>
      </c>
      <c r="V35" s="77" t="str">
        <f t="shared" ca="1" si="14"/>
        <v>N/A</v>
      </c>
      <c r="W35" s="77" t="str">
        <f t="shared" ca="1" si="14"/>
        <v>N/A</v>
      </c>
      <c r="X35" s="77" t="str">
        <f t="shared" ca="1" si="14"/>
        <v>N/A</v>
      </c>
      <c r="Y35" s="62"/>
      <c r="Z35" s="62"/>
      <c r="AA35" s="62"/>
      <c r="AB35" s="62"/>
    </row>
    <row r="36" spans="1:28" hidden="1" x14ac:dyDescent="0.25">
      <c r="A36" s="44"/>
      <c r="B36" s="45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77" t="str">
        <f t="shared" ca="1" si="8"/>
        <v>N/A</v>
      </c>
      <c r="G36" s="77"/>
      <c r="H36" s="77"/>
      <c r="I36" s="77"/>
      <c r="J36" s="77" t="str">
        <f t="shared" si="9"/>
        <v>N/A</v>
      </c>
      <c r="K36" s="77" t="str">
        <f t="shared" si="10"/>
        <v>N/A</v>
      </c>
      <c r="L36" s="77" t="str">
        <f t="shared" ca="1" si="11"/>
        <v>N/A</v>
      </c>
      <c r="M36" s="77" t="str">
        <f ca="1">IFERROR(VLOOKUP($A36,LASTYR,'[3]2017'!$N$3,FALSE),"N/A")</f>
        <v>N/A</v>
      </c>
      <c r="N36" s="77" t="str">
        <f t="shared" ca="1" si="13"/>
        <v>N/A</v>
      </c>
      <c r="O36" s="77" t="str">
        <f t="shared" ca="1" si="14"/>
        <v>N/A</v>
      </c>
      <c r="P36" s="77" t="str">
        <f t="shared" ca="1" si="14"/>
        <v>N/A</v>
      </c>
      <c r="Q36" s="77" t="str">
        <f t="shared" ca="1" si="14"/>
        <v>N/A</v>
      </c>
      <c r="R36" s="77" t="str">
        <f t="shared" ca="1" si="14"/>
        <v>N/A</v>
      </c>
      <c r="S36" s="77" t="str">
        <f t="shared" ca="1" si="14"/>
        <v>N/A</v>
      </c>
      <c r="T36" s="77" t="str">
        <f t="shared" ca="1" si="14"/>
        <v>N/A</v>
      </c>
      <c r="U36" s="77" t="str">
        <f t="shared" ca="1" si="14"/>
        <v>N/A</v>
      </c>
      <c r="V36" s="77" t="str">
        <f t="shared" ca="1" si="14"/>
        <v>N/A</v>
      </c>
      <c r="W36" s="77" t="str">
        <f t="shared" ca="1" si="14"/>
        <v>N/A</v>
      </c>
      <c r="X36" s="77" t="str">
        <f t="shared" ca="1" si="14"/>
        <v>N/A</v>
      </c>
      <c r="Y36" s="62"/>
      <c r="Z36" s="62"/>
      <c r="AA36" s="62"/>
      <c r="AB36" s="62"/>
    </row>
    <row r="37" spans="1:28" hidden="1" x14ac:dyDescent="0.25">
      <c r="A37" s="44"/>
      <c r="B37" s="45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77" t="str">
        <f t="shared" ca="1" si="8"/>
        <v>N/A</v>
      </c>
      <c r="G37" s="77"/>
      <c r="H37" s="77"/>
      <c r="I37" s="77"/>
      <c r="J37" s="77" t="str">
        <f t="shared" si="9"/>
        <v>N/A</v>
      </c>
      <c r="K37" s="77" t="str">
        <f t="shared" si="10"/>
        <v>N/A</v>
      </c>
      <c r="L37" s="77" t="str">
        <f t="shared" ca="1" si="11"/>
        <v>N/A</v>
      </c>
      <c r="M37" s="77" t="str">
        <f ca="1">IFERROR(VLOOKUP($A37,LASTYR,'[3]2017'!$N$3,FALSE),"N/A")</f>
        <v>N/A</v>
      </c>
      <c r="N37" s="77" t="str">
        <f t="shared" ca="1" si="13"/>
        <v>N/A</v>
      </c>
      <c r="O37" s="77" t="str">
        <f t="shared" ca="1" si="14"/>
        <v>N/A</v>
      </c>
      <c r="P37" s="77" t="str">
        <f t="shared" ca="1" si="14"/>
        <v>N/A</v>
      </c>
      <c r="Q37" s="77" t="str">
        <f t="shared" ca="1" si="14"/>
        <v>N/A</v>
      </c>
      <c r="R37" s="77" t="str">
        <f t="shared" ca="1" si="14"/>
        <v>N/A</v>
      </c>
      <c r="S37" s="77" t="str">
        <f t="shared" ca="1" si="14"/>
        <v>N/A</v>
      </c>
      <c r="T37" s="77" t="str">
        <f t="shared" ca="1" si="14"/>
        <v>N/A</v>
      </c>
      <c r="U37" s="77" t="str">
        <f t="shared" ca="1" si="14"/>
        <v>N/A</v>
      </c>
      <c r="V37" s="77" t="str">
        <f t="shared" ca="1" si="14"/>
        <v>N/A</v>
      </c>
      <c r="W37" s="77" t="str">
        <f t="shared" ca="1" si="14"/>
        <v>N/A</v>
      </c>
      <c r="X37" s="77" t="str">
        <f t="shared" ca="1" si="14"/>
        <v>N/A</v>
      </c>
      <c r="Y37" s="62"/>
      <c r="Z37" s="62"/>
      <c r="AA37" s="62"/>
      <c r="AB37" s="62"/>
    </row>
    <row r="38" spans="1:28" hidden="1" x14ac:dyDescent="0.25">
      <c r="A38" s="44"/>
      <c r="B38" s="45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77" t="str">
        <f t="shared" ca="1" si="8"/>
        <v>N/A</v>
      </c>
      <c r="G38" s="77"/>
      <c r="H38" s="77"/>
      <c r="I38" s="77"/>
      <c r="J38" s="77" t="str">
        <f t="shared" si="9"/>
        <v>N/A</v>
      </c>
      <c r="K38" s="77" t="str">
        <f t="shared" si="10"/>
        <v>N/A</v>
      </c>
      <c r="L38" s="77" t="str">
        <f t="shared" ca="1" si="11"/>
        <v>N/A</v>
      </c>
      <c r="M38" s="77" t="str">
        <f ca="1">IFERROR(VLOOKUP($A38,LASTYR,'[3]2017'!$N$3,FALSE),"N/A")</f>
        <v>N/A</v>
      </c>
      <c r="N38" s="77" t="str">
        <f t="shared" ca="1" si="13"/>
        <v>N/A</v>
      </c>
      <c r="O38" s="77" t="str">
        <f t="shared" ca="1" si="14"/>
        <v>N/A</v>
      </c>
      <c r="P38" s="77" t="str">
        <f t="shared" ca="1" si="14"/>
        <v>N/A</v>
      </c>
      <c r="Q38" s="77" t="str">
        <f t="shared" ca="1" si="14"/>
        <v>N/A</v>
      </c>
      <c r="R38" s="77" t="str">
        <f t="shared" ca="1" si="14"/>
        <v>N/A</v>
      </c>
      <c r="S38" s="77" t="str">
        <f t="shared" ca="1" si="14"/>
        <v>N/A</v>
      </c>
      <c r="T38" s="77" t="str">
        <f t="shared" ca="1" si="14"/>
        <v>N/A</v>
      </c>
      <c r="U38" s="77" t="str">
        <f t="shared" ca="1" si="14"/>
        <v>N/A</v>
      </c>
      <c r="V38" s="77" t="str">
        <f t="shared" ca="1" si="14"/>
        <v>N/A</v>
      </c>
      <c r="W38" s="77" t="str">
        <f t="shared" ca="1" si="14"/>
        <v>N/A</v>
      </c>
      <c r="X38" s="77" t="str">
        <f t="shared" ca="1" si="14"/>
        <v>N/A</v>
      </c>
      <c r="Y38" s="62"/>
      <c r="Z38" s="62"/>
      <c r="AA38" s="62"/>
      <c r="AB38" s="62"/>
    </row>
    <row r="39" spans="1:28" hidden="1" x14ac:dyDescent="0.25">
      <c r="A39" s="44"/>
      <c r="B39" s="45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77" t="str">
        <f t="shared" ca="1" si="8"/>
        <v>N/A</v>
      </c>
      <c r="G39" s="77"/>
      <c r="H39" s="77"/>
      <c r="I39" s="77"/>
      <c r="J39" s="77" t="str">
        <f t="shared" si="9"/>
        <v>N/A</v>
      </c>
      <c r="K39" s="77" t="str">
        <f t="shared" si="10"/>
        <v>N/A</v>
      </c>
      <c r="L39" s="77" t="str">
        <f t="shared" ca="1" si="11"/>
        <v>N/A</v>
      </c>
      <c r="M39" s="77" t="str">
        <f ca="1">IFERROR(VLOOKUP($A39,LASTYR,'[3]2017'!$N$3,FALSE),"N/A")</f>
        <v>N/A</v>
      </c>
      <c r="N39" s="77" t="str">
        <f t="shared" ca="1" si="13"/>
        <v>N/A</v>
      </c>
      <c r="O39" s="77" t="str">
        <f t="shared" ca="1" si="14"/>
        <v>N/A</v>
      </c>
      <c r="P39" s="77" t="str">
        <f t="shared" ca="1" si="14"/>
        <v>N/A</v>
      </c>
      <c r="Q39" s="77" t="str">
        <f t="shared" ca="1" si="14"/>
        <v>N/A</v>
      </c>
      <c r="R39" s="77" t="str">
        <f t="shared" ca="1" si="14"/>
        <v>N/A</v>
      </c>
      <c r="S39" s="77" t="str">
        <f t="shared" ca="1" si="14"/>
        <v>N/A</v>
      </c>
      <c r="T39" s="77" t="str">
        <f t="shared" ca="1" si="14"/>
        <v>N/A</v>
      </c>
      <c r="U39" s="77" t="str">
        <f t="shared" ca="1" si="14"/>
        <v>N/A</v>
      </c>
      <c r="V39" s="77" t="str">
        <f t="shared" ca="1" si="14"/>
        <v>N/A</v>
      </c>
      <c r="W39" s="77" t="str">
        <f t="shared" ca="1" si="14"/>
        <v>N/A</v>
      </c>
      <c r="X39" s="77" t="str">
        <f t="shared" ca="1" si="14"/>
        <v>N/A</v>
      </c>
      <c r="Y39" s="62"/>
      <c r="Z39" s="62"/>
      <c r="AA39" s="62"/>
      <c r="AB39" s="62"/>
    </row>
    <row r="40" spans="1:28" hidden="1" x14ac:dyDescent="0.25">
      <c r="A40" s="44"/>
      <c r="B40" s="45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77" t="str">
        <f t="shared" ca="1" si="8"/>
        <v>N/A</v>
      </c>
      <c r="G40" s="77"/>
      <c r="H40" s="77"/>
      <c r="I40" s="77"/>
      <c r="J40" s="77" t="str">
        <f t="shared" si="9"/>
        <v>N/A</v>
      </c>
      <c r="K40" s="77" t="str">
        <f t="shared" si="10"/>
        <v>N/A</v>
      </c>
      <c r="L40" s="77" t="str">
        <f t="shared" ca="1" si="11"/>
        <v>N/A</v>
      </c>
      <c r="M40" s="77" t="str">
        <f ca="1">IFERROR(VLOOKUP($A40,LASTYR,'[3]2017'!$N$3,FALSE),"N/A")</f>
        <v>N/A</v>
      </c>
      <c r="N40" s="77" t="str">
        <f t="shared" ca="1" si="13"/>
        <v>N/A</v>
      </c>
      <c r="O40" s="77" t="str">
        <f t="shared" ca="1" si="14"/>
        <v>N/A</v>
      </c>
      <c r="P40" s="77" t="str">
        <f t="shared" ca="1" si="14"/>
        <v>N/A</v>
      </c>
      <c r="Q40" s="77" t="str">
        <f t="shared" ca="1" si="14"/>
        <v>N/A</v>
      </c>
      <c r="R40" s="77" t="str">
        <f t="shared" ca="1" si="14"/>
        <v>N/A</v>
      </c>
      <c r="S40" s="77" t="str">
        <f t="shared" ca="1" si="14"/>
        <v>N/A</v>
      </c>
      <c r="T40" s="77" t="str">
        <f t="shared" ca="1" si="14"/>
        <v>N/A</v>
      </c>
      <c r="U40" s="77" t="str">
        <f t="shared" ca="1" si="14"/>
        <v>N/A</v>
      </c>
      <c r="V40" s="77" t="str">
        <f t="shared" ca="1" si="14"/>
        <v>N/A</v>
      </c>
      <c r="W40" s="77" t="str">
        <f t="shared" ca="1" si="14"/>
        <v>N/A</v>
      </c>
      <c r="X40" s="77" t="str">
        <f t="shared" ca="1" si="14"/>
        <v>N/A</v>
      </c>
      <c r="Y40" s="62"/>
      <c r="Z40" s="62"/>
      <c r="AA40" s="62"/>
      <c r="AB40" s="62"/>
    </row>
    <row r="41" spans="1:28" hidden="1" x14ac:dyDescent="0.25">
      <c r="A41" s="44"/>
      <c r="B41" s="45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77" t="str">
        <f t="shared" ca="1" si="8"/>
        <v>N/A</v>
      </c>
      <c r="G41" s="77"/>
      <c r="H41" s="77"/>
      <c r="I41" s="77"/>
      <c r="J41" s="77" t="str">
        <f t="shared" si="9"/>
        <v>N/A</v>
      </c>
      <c r="K41" s="77" t="str">
        <f t="shared" si="10"/>
        <v>N/A</v>
      </c>
      <c r="L41" s="77" t="str">
        <f t="shared" ca="1" si="11"/>
        <v>N/A</v>
      </c>
      <c r="M41" s="77" t="str">
        <f ca="1">IFERROR(VLOOKUP($A41,LASTYR,'[3]2017'!$N$3,FALSE),"N/A")</f>
        <v>N/A</v>
      </c>
      <c r="N41" s="77" t="str">
        <f t="shared" ca="1" si="13"/>
        <v>N/A</v>
      </c>
      <c r="O41" s="77" t="str">
        <f t="shared" ca="1" si="14"/>
        <v>N/A</v>
      </c>
      <c r="P41" s="77" t="str">
        <f t="shared" ca="1" si="14"/>
        <v>N/A</v>
      </c>
      <c r="Q41" s="77" t="str">
        <f t="shared" ca="1" si="14"/>
        <v>N/A</v>
      </c>
      <c r="R41" s="77" t="str">
        <f t="shared" ca="1" si="14"/>
        <v>N/A</v>
      </c>
      <c r="S41" s="77" t="str">
        <f t="shared" ca="1" si="14"/>
        <v>N/A</v>
      </c>
      <c r="T41" s="77" t="str">
        <f t="shared" ca="1" si="14"/>
        <v>N/A</v>
      </c>
      <c r="U41" s="77" t="str">
        <f t="shared" ca="1" si="14"/>
        <v>N/A</v>
      </c>
      <c r="V41" s="77" t="str">
        <f t="shared" ca="1" si="14"/>
        <v>N/A</v>
      </c>
      <c r="W41" s="77" t="str">
        <f t="shared" ca="1" si="14"/>
        <v>N/A</v>
      </c>
      <c r="X41" s="77" t="str">
        <f t="shared" ca="1" si="14"/>
        <v>N/A</v>
      </c>
      <c r="Y41" s="62"/>
      <c r="Z41" s="62"/>
      <c r="AA41" s="62"/>
      <c r="AB41" s="62"/>
    </row>
    <row r="42" spans="1:28" hidden="1" x14ac:dyDescent="0.25">
      <c r="A42" s="44"/>
      <c r="B42" s="45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77" t="str">
        <f t="shared" ca="1" si="8"/>
        <v>N/A</v>
      </c>
      <c r="G42" s="77"/>
      <c r="H42" s="77"/>
      <c r="I42" s="77"/>
      <c r="J42" s="77" t="str">
        <f t="shared" si="9"/>
        <v>N/A</v>
      </c>
      <c r="K42" s="77" t="str">
        <f t="shared" si="10"/>
        <v>N/A</v>
      </c>
      <c r="L42" s="77" t="str">
        <f t="shared" ca="1" si="11"/>
        <v>N/A</v>
      </c>
      <c r="M42" s="77" t="str">
        <f ca="1">IFERROR(VLOOKUP($A42,LASTYR,'[3]2017'!$N$3,FALSE),"N/A")</f>
        <v>N/A</v>
      </c>
      <c r="N42" s="77" t="str">
        <f t="shared" ca="1" si="13"/>
        <v>N/A</v>
      </c>
      <c r="O42" s="77" t="str">
        <f t="shared" ca="1" si="14"/>
        <v>N/A</v>
      </c>
      <c r="P42" s="77" t="str">
        <f t="shared" ca="1" si="14"/>
        <v>N/A</v>
      </c>
      <c r="Q42" s="77" t="str">
        <f t="shared" ca="1" si="14"/>
        <v>N/A</v>
      </c>
      <c r="R42" s="77" t="str">
        <f t="shared" ca="1" si="14"/>
        <v>N/A</v>
      </c>
      <c r="S42" s="77" t="str">
        <f t="shared" ca="1" si="14"/>
        <v>N/A</v>
      </c>
      <c r="T42" s="77" t="str">
        <f t="shared" ca="1" si="14"/>
        <v>N/A</v>
      </c>
      <c r="U42" s="77" t="str">
        <f t="shared" ca="1" si="14"/>
        <v>N/A</v>
      </c>
      <c r="V42" s="77" t="str">
        <f t="shared" ca="1" si="14"/>
        <v>N/A</v>
      </c>
      <c r="W42" s="77" t="str">
        <f t="shared" ca="1" si="14"/>
        <v>N/A</v>
      </c>
      <c r="X42" s="77" t="str">
        <f t="shared" ca="1" si="14"/>
        <v>N/A</v>
      </c>
      <c r="Y42" s="62"/>
      <c r="Z42" s="62"/>
      <c r="AA42" s="62"/>
      <c r="AB42" s="62"/>
    </row>
    <row r="43" spans="1:28" hidden="1" x14ac:dyDescent="0.25">
      <c r="A43" s="44"/>
      <c r="B43" s="45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77" t="str">
        <f t="shared" ca="1" si="8"/>
        <v>N/A</v>
      </c>
      <c r="G43" s="77"/>
      <c r="H43" s="77"/>
      <c r="I43" s="77"/>
      <c r="J43" s="77" t="str">
        <f t="shared" si="9"/>
        <v>N/A</v>
      </c>
      <c r="K43" s="77" t="str">
        <f t="shared" si="10"/>
        <v>N/A</v>
      </c>
      <c r="L43" s="77" t="str">
        <f t="shared" ca="1" si="11"/>
        <v>N/A</v>
      </c>
      <c r="M43" s="77" t="str">
        <f ca="1">IFERROR(VLOOKUP($A43,LASTYR,'[3]2017'!$N$3,FALSE),"N/A")</f>
        <v>N/A</v>
      </c>
      <c r="N43" s="77" t="str">
        <f t="shared" ca="1" si="13"/>
        <v>N/A</v>
      </c>
      <c r="O43" s="77" t="str">
        <f t="shared" ref="O43:X57" ca="1" si="15">IFERROR(INDEX(DIV_BV_WP,$B43,O$12),"N/A")</f>
        <v>N/A</v>
      </c>
      <c r="P43" s="77" t="str">
        <f t="shared" ca="1" si="15"/>
        <v>N/A</v>
      </c>
      <c r="Q43" s="77" t="str">
        <f t="shared" ca="1" si="15"/>
        <v>N/A</v>
      </c>
      <c r="R43" s="77" t="str">
        <f t="shared" ca="1" si="15"/>
        <v>N/A</v>
      </c>
      <c r="S43" s="77" t="str">
        <f t="shared" ca="1" si="15"/>
        <v>N/A</v>
      </c>
      <c r="T43" s="77" t="str">
        <f t="shared" ca="1" si="15"/>
        <v>N/A</v>
      </c>
      <c r="U43" s="77" t="str">
        <f t="shared" ca="1" si="15"/>
        <v>N/A</v>
      </c>
      <c r="V43" s="77" t="str">
        <f t="shared" ca="1" si="15"/>
        <v>N/A</v>
      </c>
      <c r="W43" s="77" t="str">
        <f t="shared" ca="1" si="15"/>
        <v>N/A</v>
      </c>
      <c r="X43" s="77" t="str">
        <f t="shared" ca="1" si="15"/>
        <v>N/A</v>
      </c>
      <c r="Y43" s="62"/>
      <c r="Z43" s="62"/>
      <c r="AA43" s="62"/>
      <c r="AB43" s="62"/>
    </row>
    <row r="44" spans="1:28" hidden="1" x14ac:dyDescent="0.25">
      <c r="A44" s="44"/>
      <c r="B44" s="45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77" t="str">
        <f t="shared" ca="1" si="8"/>
        <v>N/A</v>
      </c>
      <c r="G44" s="77"/>
      <c r="H44" s="77"/>
      <c r="I44" s="77"/>
      <c r="J44" s="77" t="str">
        <f t="shared" si="9"/>
        <v>N/A</v>
      </c>
      <c r="K44" s="77" t="str">
        <f t="shared" si="10"/>
        <v>N/A</v>
      </c>
      <c r="L44" s="77" t="str">
        <f t="shared" ca="1" si="11"/>
        <v>N/A</v>
      </c>
      <c r="M44" s="77" t="str">
        <f ca="1">IFERROR(VLOOKUP($A44,LASTYR,'[3]2017'!$N$3,FALSE),"N/A")</f>
        <v>N/A</v>
      </c>
      <c r="N44" s="77" t="str">
        <f t="shared" ca="1" si="13"/>
        <v>N/A</v>
      </c>
      <c r="O44" s="77" t="str">
        <f t="shared" ca="1" si="15"/>
        <v>N/A</v>
      </c>
      <c r="P44" s="77" t="str">
        <f t="shared" ca="1" si="15"/>
        <v>N/A</v>
      </c>
      <c r="Q44" s="77" t="str">
        <f t="shared" ca="1" si="15"/>
        <v>N/A</v>
      </c>
      <c r="R44" s="77" t="str">
        <f t="shared" ca="1" si="15"/>
        <v>N/A</v>
      </c>
      <c r="S44" s="77" t="str">
        <f t="shared" ca="1" si="15"/>
        <v>N/A</v>
      </c>
      <c r="T44" s="77" t="str">
        <f t="shared" ca="1" si="15"/>
        <v>N/A</v>
      </c>
      <c r="U44" s="77" t="str">
        <f t="shared" ca="1" si="15"/>
        <v>N/A</v>
      </c>
      <c r="V44" s="77" t="str">
        <f t="shared" ca="1" si="15"/>
        <v>N/A</v>
      </c>
      <c r="W44" s="77" t="str">
        <f t="shared" ca="1" si="15"/>
        <v>N/A</v>
      </c>
      <c r="X44" s="77" t="str">
        <f t="shared" ca="1" si="15"/>
        <v>N/A</v>
      </c>
      <c r="Y44" s="62"/>
      <c r="Z44" s="62"/>
      <c r="AA44" s="62"/>
      <c r="AB44" s="62"/>
    </row>
    <row r="45" spans="1:28" hidden="1" x14ac:dyDescent="0.25">
      <c r="A45" s="44"/>
      <c r="B45" s="45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77" t="str">
        <f t="shared" ca="1" si="8"/>
        <v>N/A</v>
      </c>
      <c r="G45" s="77"/>
      <c r="H45" s="77"/>
      <c r="I45" s="77"/>
      <c r="J45" s="77" t="str">
        <f t="shared" si="9"/>
        <v>N/A</v>
      </c>
      <c r="K45" s="77" t="str">
        <f t="shared" si="10"/>
        <v>N/A</v>
      </c>
      <c r="L45" s="77" t="str">
        <f t="shared" ca="1" si="11"/>
        <v>N/A</v>
      </c>
      <c r="M45" s="77" t="str">
        <f ca="1">IFERROR(VLOOKUP($A45,LASTYR,'[3]2017'!$N$3,FALSE),"N/A")</f>
        <v>N/A</v>
      </c>
      <c r="N45" s="77" t="str">
        <f t="shared" ca="1" si="13"/>
        <v>N/A</v>
      </c>
      <c r="O45" s="77" t="str">
        <f t="shared" ca="1" si="15"/>
        <v>N/A</v>
      </c>
      <c r="P45" s="77" t="str">
        <f t="shared" ca="1" si="15"/>
        <v>N/A</v>
      </c>
      <c r="Q45" s="77" t="str">
        <f t="shared" ca="1" si="15"/>
        <v>N/A</v>
      </c>
      <c r="R45" s="77" t="str">
        <f t="shared" ca="1" si="15"/>
        <v>N/A</v>
      </c>
      <c r="S45" s="77" t="str">
        <f t="shared" ca="1" si="15"/>
        <v>N/A</v>
      </c>
      <c r="T45" s="77" t="str">
        <f t="shared" ca="1" si="15"/>
        <v>N/A</v>
      </c>
      <c r="U45" s="77" t="str">
        <f t="shared" ca="1" si="15"/>
        <v>N/A</v>
      </c>
      <c r="V45" s="77" t="str">
        <f t="shared" ca="1" si="15"/>
        <v>N/A</v>
      </c>
      <c r="W45" s="77" t="str">
        <f t="shared" ca="1" si="15"/>
        <v>N/A</v>
      </c>
      <c r="X45" s="77" t="str">
        <f t="shared" ca="1" si="15"/>
        <v>N/A</v>
      </c>
      <c r="Y45" s="62"/>
      <c r="Z45" s="62"/>
      <c r="AA45" s="62"/>
      <c r="AB45" s="62"/>
    </row>
    <row r="46" spans="1:28" hidden="1" x14ac:dyDescent="0.25">
      <c r="A46" s="44"/>
      <c r="B46" s="45" t="str">
        <f t="shared" ca="1" si="2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77" t="str">
        <f t="shared" ca="1" si="8"/>
        <v>N/A</v>
      </c>
      <c r="G46" s="77"/>
      <c r="H46" s="77"/>
      <c r="I46" s="77"/>
      <c r="J46" s="77" t="str">
        <f t="shared" si="9"/>
        <v>N/A</v>
      </c>
      <c r="K46" s="77" t="str">
        <f t="shared" si="10"/>
        <v>N/A</v>
      </c>
      <c r="L46" s="77" t="str">
        <f t="shared" ca="1" si="11"/>
        <v>N/A</v>
      </c>
      <c r="M46" s="77" t="str">
        <f ca="1">IFERROR(VLOOKUP($A46,LASTYR,'[3]2017'!$N$3,FALSE),"N/A")</f>
        <v>N/A</v>
      </c>
      <c r="N46" s="77" t="str">
        <f t="shared" ca="1" si="13"/>
        <v>N/A</v>
      </c>
      <c r="O46" s="77" t="str">
        <f t="shared" ca="1" si="15"/>
        <v>N/A</v>
      </c>
      <c r="P46" s="77" t="str">
        <f t="shared" ca="1" si="15"/>
        <v>N/A</v>
      </c>
      <c r="Q46" s="77" t="str">
        <f t="shared" ca="1" si="15"/>
        <v>N/A</v>
      </c>
      <c r="R46" s="77" t="str">
        <f t="shared" ca="1" si="15"/>
        <v>N/A</v>
      </c>
      <c r="S46" s="77" t="str">
        <f t="shared" ca="1" si="15"/>
        <v>N/A</v>
      </c>
      <c r="T46" s="77" t="str">
        <f t="shared" ca="1" si="15"/>
        <v>N/A</v>
      </c>
      <c r="U46" s="77" t="str">
        <f t="shared" ca="1" si="15"/>
        <v>N/A</v>
      </c>
      <c r="V46" s="77" t="str">
        <f t="shared" ca="1" si="15"/>
        <v>N/A</v>
      </c>
      <c r="W46" s="77" t="str">
        <f t="shared" ca="1" si="15"/>
        <v>N/A</v>
      </c>
      <c r="X46" s="77" t="str">
        <f t="shared" ca="1" si="15"/>
        <v>N/A</v>
      </c>
      <c r="Y46" s="62"/>
      <c r="Z46" s="62"/>
      <c r="AA46" s="62"/>
      <c r="AB46" s="62"/>
    </row>
    <row r="47" spans="1:28" hidden="1" x14ac:dyDescent="0.25">
      <c r="A47" s="44"/>
      <c r="B47" s="45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77" t="str">
        <f t="shared" ca="1" si="8"/>
        <v>N/A</v>
      </c>
      <c r="G47" s="77"/>
      <c r="H47" s="77"/>
      <c r="I47" s="77"/>
      <c r="J47" s="77" t="str">
        <f t="shared" si="9"/>
        <v>N/A</v>
      </c>
      <c r="K47" s="77" t="str">
        <f t="shared" si="10"/>
        <v>N/A</v>
      </c>
      <c r="L47" s="77" t="str">
        <f t="shared" ca="1" si="11"/>
        <v>N/A</v>
      </c>
      <c r="M47" s="77" t="str">
        <f ca="1">IFERROR(VLOOKUP($A47,LASTYR,'[3]2017'!$N$3,FALSE),"N/A")</f>
        <v>N/A</v>
      </c>
      <c r="N47" s="77" t="str">
        <f t="shared" ca="1" si="13"/>
        <v>N/A</v>
      </c>
      <c r="O47" s="77" t="str">
        <f t="shared" ca="1" si="15"/>
        <v>N/A</v>
      </c>
      <c r="P47" s="77" t="str">
        <f t="shared" ca="1" si="15"/>
        <v>N/A</v>
      </c>
      <c r="Q47" s="77" t="str">
        <f t="shared" ca="1" si="15"/>
        <v>N/A</v>
      </c>
      <c r="R47" s="77" t="str">
        <f t="shared" ca="1" si="15"/>
        <v>N/A</v>
      </c>
      <c r="S47" s="77" t="str">
        <f t="shared" ca="1" si="15"/>
        <v>N/A</v>
      </c>
      <c r="T47" s="77" t="str">
        <f t="shared" ca="1" si="15"/>
        <v>N/A</v>
      </c>
      <c r="U47" s="77" t="str">
        <f t="shared" ca="1" si="15"/>
        <v>N/A</v>
      </c>
      <c r="V47" s="77" t="str">
        <f t="shared" ca="1" si="15"/>
        <v>N/A</v>
      </c>
      <c r="W47" s="77" t="str">
        <f t="shared" ca="1" si="15"/>
        <v>N/A</v>
      </c>
      <c r="X47" s="77" t="str">
        <f t="shared" ca="1" si="15"/>
        <v>N/A</v>
      </c>
      <c r="Y47" s="62"/>
      <c r="Z47" s="62"/>
      <c r="AA47" s="62"/>
      <c r="AB47" s="62"/>
    </row>
    <row r="48" spans="1:28" hidden="1" x14ac:dyDescent="0.25">
      <c r="A48" s="44"/>
      <c r="B48" s="45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77" t="str">
        <f t="shared" ca="1" si="8"/>
        <v>N/A</v>
      </c>
      <c r="G48" s="77"/>
      <c r="H48" s="77"/>
      <c r="I48" s="77"/>
      <c r="J48" s="77" t="str">
        <f t="shared" si="9"/>
        <v>N/A</v>
      </c>
      <c r="K48" s="77" t="str">
        <f t="shared" si="10"/>
        <v>N/A</v>
      </c>
      <c r="L48" s="77" t="str">
        <f t="shared" ca="1" si="11"/>
        <v>N/A</v>
      </c>
      <c r="M48" s="77" t="str">
        <f ca="1">IFERROR(VLOOKUP($A48,LASTYR,'[3]2017'!$N$3,FALSE),"N/A")</f>
        <v>N/A</v>
      </c>
      <c r="N48" s="77" t="str">
        <f t="shared" ca="1" si="13"/>
        <v>N/A</v>
      </c>
      <c r="O48" s="77" t="str">
        <f t="shared" ca="1" si="15"/>
        <v>N/A</v>
      </c>
      <c r="P48" s="77" t="str">
        <f t="shared" ca="1" si="15"/>
        <v>N/A</v>
      </c>
      <c r="Q48" s="77" t="str">
        <f t="shared" ca="1" si="15"/>
        <v>N/A</v>
      </c>
      <c r="R48" s="77" t="str">
        <f t="shared" ca="1" si="15"/>
        <v>N/A</v>
      </c>
      <c r="S48" s="77" t="str">
        <f t="shared" ca="1" si="15"/>
        <v>N/A</v>
      </c>
      <c r="T48" s="77" t="str">
        <f t="shared" ca="1" si="15"/>
        <v>N/A</v>
      </c>
      <c r="U48" s="77" t="str">
        <f t="shared" ca="1" si="15"/>
        <v>N/A</v>
      </c>
      <c r="V48" s="77" t="str">
        <f t="shared" ca="1" si="15"/>
        <v>N/A</v>
      </c>
      <c r="W48" s="77" t="str">
        <f t="shared" ca="1" si="15"/>
        <v>N/A</v>
      </c>
      <c r="X48" s="77" t="str">
        <f t="shared" ca="1" si="15"/>
        <v>N/A</v>
      </c>
      <c r="Y48" s="62"/>
      <c r="Z48" s="62"/>
      <c r="AA48" s="62"/>
      <c r="AB48" s="62"/>
    </row>
    <row r="49" spans="1:28" hidden="1" x14ac:dyDescent="0.25">
      <c r="A49" s="44"/>
      <c r="B49" s="45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77" t="str">
        <f t="shared" ca="1" si="8"/>
        <v>N/A</v>
      </c>
      <c r="G49" s="77"/>
      <c r="H49" s="77"/>
      <c r="I49" s="77"/>
      <c r="J49" s="77" t="str">
        <f t="shared" si="9"/>
        <v>N/A</v>
      </c>
      <c r="K49" s="77" t="str">
        <f t="shared" si="10"/>
        <v>N/A</v>
      </c>
      <c r="L49" s="77" t="str">
        <f t="shared" ca="1" si="11"/>
        <v>N/A</v>
      </c>
      <c r="M49" s="77" t="str">
        <f ca="1">IFERROR(VLOOKUP($A49,LASTYR,'[3]2017'!$N$3,FALSE),"N/A")</f>
        <v>N/A</v>
      </c>
      <c r="N49" s="77" t="str">
        <f t="shared" ca="1" si="13"/>
        <v>N/A</v>
      </c>
      <c r="O49" s="77" t="str">
        <f t="shared" ca="1" si="15"/>
        <v>N/A</v>
      </c>
      <c r="P49" s="77" t="str">
        <f t="shared" ca="1" si="15"/>
        <v>N/A</v>
      </c>
      <c r="Q49" s="77" t="str">
        <f t="shared" ca="1" si="15"/>
        <v>N/A</v>
      </c>
      <c r="R49" s="77" t="str">
        <f t="shared" ca="1" si="15"/>
        <v>N/A</v>
      </c>
      <c r="S49" s="77" t="str">
        <f t="shared" ca="1" si="15"/>
        <v>N/A</v>
      </c>
      <c r="T49" s="77" t="str">
        <f t="shared" ca="1" si="15"/>
        <v>N/A</v>
      </c>
      <c r="U49" s="77" t="str">
        <f t="shared" ca="1" si="15"/>
        <v>N/A</v>
      </c>
      <c r="V49" s="77" t="str">
        <f t="shared" ca="1" si="15"/>
        <v>N/A</v>
      </c>
      <c r="W49" s="77" t="str">
        <f t="shared" ca="1" si="15"/>
        <v>N/A</v>
      </c>
      <c r="X49" s="77" t="str">
        <f t="shared" ca="1" si="15"/>
        <v>N/A</v>
      </c>
      <c r="Y49" s="62"/>
      <c r="Z49" s="62"/>
      <c r="AA49" s="62"/>
      <c r="AB49" s="62"/>
    </row>
    <row r="50" spans="1:28" hidden="1" x14ac:dyDescent="0.25">
      <c r="A50" s="44"/>
      <c r="B50" s="45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77" t="str">
        <f t="shared" ca="1" si="8"/>
        <v>N/A</v>
      </c>
      <c r="G50" s="77"/>
      <c r="H50" s="77"/>
      <c r="I50" s="77"/>
      <c r="J50" s="77" t="str">
        <f t="shared" si="9"/>
        <v>N/A</v>
      </c>
      <c r="K50" s="77" t="str">
        <f t="shared" si="10"/>
        <v>N/A</v>
      </c>
      <c r="L50" s="77" t="str">
        <f t="shared" ca="1" si="11"/>
        <v>N/A</v>
      </c>
      <c r="M50" s="77" t="str">
        <f ca="1">IFERROR(VLOOKUP($A50,LASTYR,'[3]2017'!$N$3,FALSE),"N/A")</f>
        <v>N/A</v>
      </c>
      <c r="N50" s="77" t="str">
        <f t="shared" ca="1" si="13"/>
        <v>N/A</v>
      </c>
      <c r="O50" s="77" t="str">
        <f t="shared" ca="1" si="15"/>
        <v>N/A</v>
      </c>
      <c r="P50" s="77" t="str">
        <f t="shared" ca="1" si="15"/>
        <v>N/A</v>
      </c>
      <c r="Q50" s="77" t="str">
        <f t="shared" ca="1" si="15"/>
        <v>N/A</v>
      </c>
      <c r="R50" s="77" t="str">
        <f t="shared" ca="1" si="15"/>
        <v>N/A</v>
      </c>
      <c r="S50" s="77" t="str">
        <f t="shared" ca="1" si="15"/>
        <v>N/A</v>
      </c>
      <c r="T50" s="77" t="str">
        <f t="shared" ca="1" si="15"/>
        <v>N/A</v>
      </c>
      <c r="U50" s="77" t="str">
        <f t="shared" ca="1" si="15"/>
        <v>N/A</v>
      </c>
      <c r="V50" s="77" t="str">
        <f t="shared" ca="1" si="15"/>
        <v>N/A</v>
      </c>
      <c r="W50" s="77" t="str">
        <f t="shared" ca="1" si="15"/>
        <v>N/A</v>
      </c>
      <c r="X50" s="77" t="str">
        <f t="shared" ca="1" si="15"/>
        <v>N/A</v>
      </c>
      <c r="Y50" s="62"/>
      <c r="Z50" s="62"/>
      <c r="AA50" s="62"/>
      <c r="AB50" s="62"/>
    </row>
    <row r="51" spans="1:28" hidden="1" x14ac:dyDescent="0.25">
      <c r="A51" s="44"/>
      <c r="B51" s="45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77" t="str">
        <f t="shared" ca="1" si="8"/>
        <v>N/A</v>
      </c>
      <c r="G51" s="77"/>
      <c r="H51" s="77"/>
      <c r="I51" s="77"/>
      <c r="J51" s="77" t="str">
        <f t="shared" si="9"/>
        <v>N/A</v>
      </c>
      <c r="K51" s="77" t="str">
        <f t="shared" si="10"/>
        <v>N/A</v>
      </c>
      <c r="L51" s="77" t="str">
        <f t="shared" ca="1" si="11"/>
        <v>N/A</v>
      </c>
      <c r="M51" s="77" t="str">
        <f ca="1">IFERROR(VLOOKUP($A51,LASTYR,'[3]2017'!$N$3,FALSE),"N/A")</f>
        <v>N/A</v>
      </c>
      <c r="N51" s="77" t="str">
        <f t="shared" ca="1" si="13"/>
        <v>N/A</v>
      </c>
      <c r="O51" s="77" t="str">
        <f t="shared" ca="1" si="15"/>
        <v>N/A</v>
      </c>
      <c r="P51" s="77" t="str">
        <f t="shared" ca="1" si="15"/>
        <v>N/A</v>
      </c>
      <c r="Q51" s="77" t="str">
        <f t="shared" ca="1" si="15"/>
        <v>N/A</v>
      </c>
      <c r="R51" s="77" t="str">
        <f t="shared" ca="1" si="15"/>
        <v>N/A</v>
      </c>
      <c r="S51" s="77" t="str">
        <f t="shared" ca="1" si="15"/>
        <v>N/A</v>
      </c>
      <c r="T51" s="77" t="str">
        <f t="shared" ca="1" si="15"/>
        <v>N/A</v>
      </c>
      <c r="U51" s="77" t="str">
        <f t="shared" ca="1" si="15"/>
        <v>N/A</v>
      </c>
      <c r="V51" s="77" t="str">
        <f t="shared" ca="1" si="15"/>
        <v>N/A</v>
      </c>
      <c r="W51" s="77" t="str">
        <f t="shared" ca="1" si="15"/>
        <v>N/A</v>
      </c>
      <c r="X51" s="77" t="str">
        <f t="shared" ca="1" si="15"/>
        <v>N/A</v>
      </c>
      <c r="Y51" s="62"/>
      <c r="Z51" s="62"/>
      <c r="AA51" s="62"/>
      <c r="AB51" s="62"/>
    </row>
    <row r="52" spans="1:28" hidden="1" x14ac:dyDescent="0.25">
      <c r="A52" s="44"/>
      <c r="B52" s="45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77" t="str">
        <f t="shared" ca="1" si="8"/>
        <v>N/A</v>
      </c>
      <c r="G52" s="77"/>
      <c r="H52" s="77"/>
      <c r="I52" s="77"/>
      <c r="J52" s="77" t="str">
        <f t="shared" si="9"/>
        <v>N/A</v>
      </c>
      <c r="K52" s="77" t="str">
        <f t="shared" si="10"/>
        <v>N/A</v>
      </c>
      <c r="L52" s="77" t="str">
        <f t="shared" ca="1" si="11"/>
        <v>N/A</v>
      </c>
      <c r="M52" s="77" t="str">
        <f ca="1">IFERROR(VLOOKUP($A52,LASTYR,'[3]2017'!$N$3,FALSE),"N/A")</f>
        <v>N/A</v>
      </c>
      <c r="N52" s="77" t="str">
        <f t="shared" ca="1" si="13"/>
        <v>N/A</v>
      </c>
      <c r="O52" s="77" t="str">
        <f t="shared" ca="1" si="15"/>
        <v>N/A</v>
      </c>
      <c r="P52" s="77" t="str">
        <f t="shared" ca="1" si="15"/>
        <v>N/A</v>
      </c>
      <c r="Q52" s="77" t="str">
        <f t="shared" ca="1" si="15"/>
        <v>N/A</v>
      </c>
      <c r="R52" s="77" t="str">
        <f t="shared" ca="1" si="15"/>
        <v>N/A</v>
      </c>
      <c r="S52" s="77" t="str">
        <f t="shared" ca="1" si="15"/>
        <v>N/A</v>
      </c>
      <c r="T52" s="77" t="str">
        <f t="shared" ca="1" si="15"/>
        <v>N/A</v>
      </c>
      <c r="U52" s="77" t="str">
        <f t="shared" ca="1" si="15"/>
        <v>N/A</v>
      </c>
      <c r="V52" s="77" t="str">
        <f t="shared" ca="1" si="15"/>
        <v>N/A</v>
      </c>
      <c r="W52" s="77" t="str">
        <f t="shared" ca="1" si="15"/>
        <v>N/A</v>
      </c>
      <c r="X52" s="77" t="str">
        <f t="shared" ca="1" si="15"/>
        <v>N/A</v>
      </c>
      <c r="Y52" s="62"/>
      <c r="Z52" s="62"/>
      <c r="AA52" s="62"/>
      <c r="AB52" s="62"/>
    </row>
    <row r="53" spans="1:28" hidden="1" x14ac:dyDescent="0.25">
      <c r="A53" s="44"/>
      <c r="B53" s="45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77" t="str">
        <f t="shared" ca="1" si="8"/>
        <v>N/A</v>
      </c>
      <c r="G53" s="77"/>
      <c r="H53" s="77"/>
      <c r="I53" s="77"/>
      <c r="J53" s="77" t="str">
        <f t="shared" si="9"/>
        <v>N/A</v>
      </c>
      <c r="K53" s="77" t="str">
        <f t="shared" si="10"/>
        <v>N/A</v>
      </c>
      <c r="L53" s="77" t="str">
        <f t="shared" ca="1" si="11"/>
        <v>N/A</v>
      </c>
      <c r="M53" s="77" t="str">
        <f ca="1">IFERROR(VLOOKUP($A53,LASTYR,'[3]2017'!$N$3,FALSE),"N/A")</f>
        <v>N/A</v>
      </c>
      <c r="N53" s="77" t="str">
        <f t="shared" ca="1" si="13"/>
        <v>N/A</v>
      </c>
      <c r="O53" s="77" t="str">
        <f t="shared" ca="1" si="15"/>
        <v>N/A</v>
      </c>
      <c r="P53" s="77" t="str">
        <f t="shared" ca="1" si="15"/>
        <v>N/A</v>
      </c>
      <c r="Q53" s="77" t="str">
        <f t="shared" ca="1" si="15"/>
        <v>N/A</v>
      </c>
      <c r="R53" s="77" t="str">
        <f t="shared" ca="1" si="15"/>
        <v>N/A</v>
      </c>
      <c r="S53" s="77" t="str">
        <f t="shared" ca="1" si="15"/>
        <v>N/A</v>
      </c>
      <c r="T53" s="77" t="str">
        <f t="shared" ca="1" si="15"/>
        <v>N/A</v>
      </c>
      <c r="U53" s="77" t="str">
        <f t="shared" ca="1" si="15"/>
        <v>N/A</v>
      </c>
      <c r="V53" s="77" t="str">
        <f t="shared" ca="1" si="15"/>
        <v>N/A</v>
      </c>
      <c r="W53" s="77" t="str">
        <f t="shared" ca="1" si="15"/>
        <v>N/A</v>
      </c>
      <c r="X53" s="77" t="str">
        <f t="shared" ca="1" si="15"/>
        <v>N/A</v>
      </c>
      <c r="Y53" s="62"/>
      <c r="Z53" s="62"/>
      <c r="AA53" s="62"/>
      <c r="AB53" s="62"/>
    </row>
    <row r="54" spans="1:28" hidden="1" x14ac:dyDescent="0.25">
      <c r="A54" s="44"/>
      <c r="B54" s="45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77" t="str">
        <f t="shared" ca="1" si="8"/>
        <v>N/A</v>
      </c>
      <c r="G54" s="77"/>
      <c r="H54" s="77"/>
      <c r="I54" s="77"/>
      <c r="J54" s="77" t="str">
        <f t="shared" si="9"/>
        <v>N/A</v>
      </c>
      <c r="K54" s="77" t="str">
        <f t="shared" si="10"/>
        <v>N/A</v>
      </c>
      <c r="L54" s="77" t="str">
        <f t="shared" ca="1" si="11"/>
        <v>N/A</v>
      </c>
      <c r="M54" s="77" t="str">
        <f ca="1">IFERROR(VLOOKUP($A54,LASTYR,'[3]2017'!$N$3,FALSE),"N/A")</f>
        <v>N/A</v>
      </c>
      <c r="N54" s="77" t="str">
        <f t="shared" ca="1" si="13"/>
        <v>N/A</v>
      </c>
      <c r="O54" s="77" t="str">
        <f t="shared" ca="1" si="15"/>
        <v>N/A</v>
      </c>
      <c r="P54" s="77" t="str">
        <f t="shared" ca="1" si="15"/>
        <v>N/A</v>
      </c>
      <c r="Q54" s="77" t="str">
        <f t="shared" ca="1" si="15"/>
        <v>N/A</v>
      </c>
      <c r="R54" s="77" t="str">
        <f t="shared" ca="1" si="15"/>
        <v>N/A</v>
      </c>
      <c r="S54" s="77" t="str">
        <f t="shared" ca="1" si="15"/>
        <v>N/A</v>
      </c>
      <c r="T54" s="77" t="str">
        <f t="shared" ca="1" si="15"/>
        <v>N/A</v>
      </c>
      <c r="U54" s="77" t="str">
        <f t="shared" ca="1" si="15"/>
        <v>N/A</v>
      </c>
      <c r="V54" s="77" t="str">
        <f t="shared" ca="1" si="15"/>
        <v>N/A</v>
      </c>
      <c r="W54" s="77" t="str">
        <f t="shared" ca="1" si="15"/>
        <v>N/A</v>
      </c>
      <c r="X54" s="77" t="str">
        <f t="shared" ca="1" si="15"/>
        <v>N/A</v>
      </c>
      <c r="Y54" s="62"/>
      <c r="Z54" s="62"/>
      <c r="AA54" s="62"/>
      <c r="AB54" s="62"/>
    </row>
    <row r="55" spans="1:28" hidden="1" x14ac:dyDescent="0.25">
      <c r="A55" s="50"/>
      <c r="B55" s="45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77" t="str">
        <f t="shared" ca="1" si="8"/>
        <v>N/A</v>
      </c>
      <c r="G55" s="77"/>
      <c r="H55" s="77"/>
      <c r="I55" s="77"/>
      <c r="J55" s="77" t="str">
        <f t="shared" si="9"/>
        <v>N/A</v>
      </c>
      <c r="K55" s="77" t="str">
        <f t="shared" si="10"/>
        <v>N/A</v>
      </c>
      <c r="L55" s="77" t="str">
        <f t="shared" ca="1" si="11"/>
        <v>N/A</v>
      </c>
      <c r="M55" s="77" t="str">
        <f ca="1">IFERROR(VLOOKUP($A55,LASTYR,'[3]2017'!$N$3,FALSE),"N/A")</f>
        <v>N/A</v>
      </c>
      <c r="N55" s="77" t="str">
        <f t="shared" ca="1" si="13"/>
        <v>N/A</v>
      </c>
      <c r="O55" s="77" t="str">
        <f t="shared" ca="1" si="15"/>
        <v>N/A</v>
      </c>
      <c r="P55" s="77" t="str">
        <f t="shared" ca="1" si="15"/>
        <v>N/A</v>
      </c>
      <c r="Q55" s="77" t="str">
        <f t="shared" ca="1" si="15"/>
        <v>N/A</v>
      </c>
      <c r="R55" s="77" t="str">
        <f t="shared" ca="1" si="15"/>
        <v>N/A</v>
      </c>
      <c r="S55" s="77" t="str">
        <f t="shared" ca="1" si="15"/>
        <v>N/A</v>
      </c>
      <c r="T55" s="77" t="str">
        <f t="shared" ca="1" si="15"/>
        <v>N/A</v>
      </c>
      <c r="U55" s="77" t="str">
        <f t="shared" ca="1" si="15"/>
        <v>N/A</v>
      </c>
      <c r="V55" s="77" t="str">
        <f t="shared" ca="1" si="15"/>
        <v>N/A</v>
      </c>
      <c r="W55" s="77" t="str">
        <f t="shared" ca="1" si="15"/>
        <v>N/A</v>
      </c>
      <c r="X55" s="77" t="str">
        <f t="shared" ca="1" si="15"/>
        <v>N/A</v>
      </c>
      <c r="Y55" s="62"/>
      <c r="Z55" s="62"/>
      <c r="AA55" s="62"/>
      <c r="AB55" s="62"/>
    </row>
    <row r="56" spans="1:28" hidden="1" x14ac:dyDescent="0.25">
      <c r="A56" s="50"/>
      <c r="B56" s="45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77" t="str">
        <f t="shared" ca="1" si="8"/>
        <v>N/A</v>
      </c>
      <c r="G56" s="77"/>
      <c r="H56" s="77"/>
      <c r="I56" s="77"/>
      <c r="J56" s="77" t="str">
        <f t="shared" si="9"/>
        <v>N/A</v>
      </c>
      <c r="K56" s="77" t="str">
        <f t="shared" si="10"/>
        <v>N/A</v>
      </c>
      <c r="L56" s="77" t="str">
        <f t="shared" ca="1" si="11"/>
        <v>N/A</v>
      </c>
      <c r="M56" s="77" t="str">
        <f ca="1">IFERROR(VLOOKUP($A56,LASTYR,'[3]2017'!$N$3,FALSE),"N/A")</f>
        <v>N/A</v>
      </c>
      <c r="N56" s="77" t="str">
        <f t="shared" ca="1" si="13"/>
        <v>N/A</v>
      </c>
      <c r="O56" s="77" t="str">
        <f t="shared" ca="1" si="15"/>
        <v>N/A</v>
      </c>
      <c r="P56" s="77" t="str">
        <f t="shared" ca="1" si="15"/>
        <v>N/A</v>
      </c>
      <c r="Q56" s="77" t="str">
        <f t="shared" ca="1" si="15"/>
        <v>N/A</v>
      </c>
      <c r="R56" s="77" t="str">
        <f t="shared" ca="1" si="15"/>
        <v>N/A</v>
      </c>
      <c r="S56" s="77" t="str">
        <f t="shared" ca="1" si="15"/>
        <v>N/A</v>
      </c>
      <c r="T56" s="77" t="str">
        <f t="shared" ca="1" si="15"/>
        <v>N/A</v>
      </c>
      <c r="U56" s="77" t="str">
        <f t="shared" ca="1" si="15"/>
        <v>N/A</v>
      </c>
      <c r="V56" s="77" t="str">
        <f t="shared" ca="1" si="15"/>
        <v>N/A</v>
      </c>
      <c r="W56" s="77" t="str">
        <f t="shared" ca="1" si="15"/>
        <v>N/A</v>
      </c>
      <c r="X56" s="77" t="str">
        <f t="shared" ca="1" si="15"/>
        <v>N/A</v>
      </c>
      <c r="Y56" s="62"/>
      <c r="Z56" s="62"/>
      <c r="AA56" s="62"/>
      <c r="AB56" s="62"/>
    </row>
    <row r="57" spans="1:28" hidden="1" x14ac:dyDescent="0.25">
      <c r="A57" s="50"/>
      <c r="B57" s="45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77" t="str">
        <f t="shared" ca="1" si="8"/>
        <v>N/A</v>
      </c>
      <c r="G57" s="77"/>
      <c r="H57" s="77"/>
      <c r="I57" s="77"/>
      <c r="J57" s="77" t="str">
        <f t="shared" si="9"/>
        <v>N/A</v>
      </c>
      <c r="K57" s="77" t="str">
        <f t="shared" si="10"/>
        <v>N/A</v>
      </c>
      <c r="L57" s="77" t="str">
        <f t="shared" ca="1" si="11"/>
        <v>N/A</v>
      </c>
      <c r="M57" s="77" t="str">
        <f ca="1">IFERROR(VLOOKUP($A57,LASTYR,'[3]2017'!$N$3,FALSE),"N/A")</f>
        <v>N/A</v>
      </c>
      <c r="N57" s="77" t="str">
        <f t="shared" ca="1" si="13"/>
        <v>N/A</v>
      </c>
      <c r="O57" s="77" t="str">
        <f t="shared" ca="1" si="15"/>
        <v>N/A</v>
      </c>
      <c r="P57" s="77" t="str">
        <f t="shared" ca="1" si="15"/>
        <v>N/A</v>
      </c>
      <c r="Q57" s="77" t="str">
        <f t="shared" ca="1" si="15"/>
        <v>N/A</v>
      </c>
      <c r="R57" s="77" t="str">
        <f t="shared" ca="1" si="15"/>
        <v>N/A</v>
      </c>
      <c r="S57" s="77" t="str">
        <f t="shared" ca="1" si="15"/>
        <v>N/A</v>
      </c>
      <c r="T57" s="77" t="str">
        <f t="shared" ca="1" si="15"/>
        <v>N/A</v>
      </c>
      <c r="U57" s="77" t="str">
        <f t="shared" ca="1" si="15"/>
        <v>N/A</v>
      </c>
      <c r="V57" s="77" t="str">
        <f t="shared" ca="1" si="15"/>
        <v>N/A</v>
      </c>
      <c r="W57" s="77" t="str">
        <f t="shared" ca="1" si="15"/>
        <v>N/A</v>
      </c>
      <c r="X57" s="77" t="str">
        <f t="shared" ca="1" si="15"/>
        <v>N/A</v>
      </c>
      <c r="Y57" s="62"/>
      <c r="Z57" s="62"/>
      <c r="AA57" s="62"/>
      <c r="AB57" s="62"/>
    </row>
    <row r="58" spans="1:28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62"/>
      <c r="Z58" s="62"/>
      <c r="AA58" s="62"/>
      <c r="AB58" s="62"/>
    </row>
    <row r="59" spans="1:28" x14ac:dyDescent="0.25">
      <c r="A59" s="31"/>
      <c r="B59" s="31"/>
      <c r="C59" s="1">
        <f ca="1">IF(ISERROR(D59),"",IF(D59="","",MAX($C$12:C58)+1))</f>
        <v>10</v>
      </c>
      <c r="D59" t="s">
        <v>98</v>
      </c>
      <c r="F59" s="77">
        <f t="shared" ref="F59" ca="1" si="16">IFERROR(AVERAGE(G59:X59),"N/A")</f>
        <v>5.6203756950284123E-2</v>
      </c>
      <c r="G59" s="77">
        <f>AVERAGE(G13:G58)</f>
        <v>5.675416885166968E-2</v>
      </c>
      <c r="H59" s="77">
        <f>AVERAGE(H13:H58)</f>
        <v>5.5667670335875469E-2</v>
      </c>
      <c r="I59" s="77">
        <f>AVERAGE(I13:I58)</f>
        <v>5.4822968410087776E-2</v>
      </c>
      <c r="J59" s="77">
        <f ca="1">AVERAGE(J13:J58)</f>
        <v>5.6226973571480002E-2</v>
      </c>
      <c r="K59" s="77">
        <f t="shared" ref="K59:X59" ca="1" si="17">AVERAGE(K13:K58)</f>
        <v>5.5219163017745598E-2</v>
      </c>
      <c r="L59" s="77">
        <f t="shared" ca="1" si="17"/>
        <v>5.3801410858273259E-2</v>
      </c>
      <c r="M59" s="77">
        <f t="shared" ca="1" si="17"/>
        <v>5.4697146588005216E-2</v>
      </c>
      <c r="N59" s="77">
        <f t="shared" ca="1" si="17"/>
        <v>5.3004450269290106E-2</v>
      </c>
      <c r="O59" s="77">
        <f t="shared" ca="1" si="17"/>
        <v>5.4810134178148555E-2</v>
      </c>
      <c r="P59" s="77">
        <f t="shared" ca="1" si="17"/>
        <v>5.1591421561573821E-2</v>
      </c>
      <c r="Q59" s="77">
        <f t="shared" ca="1" si="17"/>
        <v>5.5382961836802094E-2</v>
      </c>
      <c r="R59" s="77">
        <f t="shared" ca="1" si="17"/>
        <v>5.7604541750721862E-2</v>
      </c>
      <c r="S59" s="77">
        <f t="shared" ca="1" si="17"/>
        <v>5.7935408524540391E-2</v>
      </c>
      <c r="T59" s="77">
        <f t="shared" ca="1" si="17"/>
        <v>5.7830461304289121E-2</v>
      </c>
      <c r="U59" s="77">
        <f t="shared" ca="1" si="17"/>
        <v>5.7697659755298093E-2</v>
      </c>
      <c r="V59" s="77">
        <f t="shared" ca="1" si="17"/>
        <v>5.86497214551523E-2</v>
      </c>
      <c r="W59" s="77">
        <f t="shared" ca="1" si="17"/>
        <v>5.908857898354157E-2</v>
      </c>
      <c r="X59" s="77">
        <f t="shared" ca="1" si="17"/>
        <v>6.0882783852619221E-2</v>
      </c>
      <c r="Y59" s="62"/>
      <c r="Z59" s="62"/>
      <c r="AA59" s="62"/>
      <c r="AB59" s="62"/>
    </row>
    <row r="60" spans="1:28" x14ac:dyDescent="0.25">
      <c r="A60" s="31"/>
      <c r="B60" s="31"/>
      <c r="C60" s="1">
        <f ca="1">IF(ISERROR(D60),"",IF(D60="","",MAX($C$12:C59)+1))</f>
        <v>11</v>
      </c>
      <c r="D60" t="s">
        <v>257</v>
      </c>
      <c r="F60" s="77">
        <f ca="1">MEDIAN(G60:X60)</f>
        <v>5.3557534741432974E-2</v>
      </c>
      <c r="G60" s="77">
        <f t="shared" ref="G60:L60" si="18">MEDIAN(G13:G58)</f>
        <v>5.526036131774708E-2</v>
      </c>
      <c r="H60" s="77">
        <f t="shared" si="18"/>
        <v>5.3116298993360463E-2</v>
      </c>
      <c r="I60" s="77">
        <f t="shared" si="18"/>
        <v>5.3423031262366444E-2</v>
      </c>
      <c r="J60" s="77">
        <f t="shared" ca="1" si="18"/>
        <v>5.6345039826212896E-2</v>
      </c>
      <c r="K60" s="77">
        <f t="shared" ca="1" si="18"/>
        <v>5.2502159898983193E-2</v>
      </c>
      <c r="L60" s="77">
        <f t="shared" ca="1" si="18"/>
        <v>4.897574758653167E-2</v>
      </c>
      <c r="M60" s="77">
        <f t="shared" ref="M60:X60" ca="1" si="19">MEDIAN(M13:M58)</f>
        <v>5.2468399713808726E-2</v>
      </c>
      <c r="N60" s="77">
        <f t="shared" ca="1" si="19"/>
        <v>5.0801714557866327E-2</v>
      </c>
      <c r="O60" s="77">
        <f t="shared" ca="1" si="19"/>
        <v>5.0694291381970472E-2</v>
      </c>
      <c r="P60" s="77">
        <f t="shared" ca="1" si="19"/>
        <v>5.1383655969858388E-2</v>
      </c>
      <c r="Q60" s="77">
        <f t="shared" ca="1" si="19"/>
        <v>5.2377682563832711E-2</v>
      </c>
      <c r="R60" s="77">
        <f t="shared" ca="1" si="19"/>
        <v>5.3692038220499512E-2</v>
      </c>
      <c r="S60" s="77">
        <f t="shared" ca="1" si="19"/>
        <v>5.606440156437674E-2</v>
      </c>
      <c r="T60" s="77">
        <f t="shared" ca="1" si="19"/>
        <v>5.5200845922359819E-2</v>
      </c>
      <c r="U60" s="77">
        <f t="shared" ca="1" si="19"/>
        <v>5.6039847592255956E-2</v>
      </c>
      <c r="V60" s="77">
        <f t="shared" ca="1" si="19"/>
        <v>6.0812423188508859E-2</v>
      </c>
      <c r="W60" s="77">
        <f t="shared" ca="1" si="19"/>
        <v>6.1074393375157819E-2</v>
      </c>
      <c r="X60" s="77">
        <f t="shared" ca="1" si="19"/>
        <v>6.3570855432290393E-2</v>
      </c>
      <c r="Y60" s="62"/>
      <c r="Z60" s="62"/>
      <c r="AA60" s="62"/>
      <c r="AB60" s="62"/>
    </row>
    <row r="61" spans="1:28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 spans="1:28" x14ac:dyDescent="0.25">
      <c r="A62" s="31"/>
      <c r="B62" s="31"/>
      <c r="C62" s="1"/>
    </row>
    <row r="63" spans="1:28" ht="16.2" x14ac:dyDescent="0.25">
      <c r="A63" s="31"/>
      <c r="B63" s="31"/>
      <c r="C63" s="6"/>
      <c r="D63" s="6"/>
      <c r="E63" s="19"/>
      <c r="F63" s="276" t="s">
        <v>326</v>
      </c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</row>
    <row r="64" spans="1:28" x14ac:dyDescent="0.25">
      <c r="A64" s="31"/>
      <c r="B64" s="31"/>
      <c r="C64" s="6"/>
      <c r="D64" s="7"/>
      <c r="E64" s="7"/>
      <c r="F64" s="8" t="str">
        <f>F9</f>
        <v>18-Year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7"/>
      <c r="V64" s="7"/>
      <c r="W64" s="7"/>
      <c r="X64" s="7"/>
      <c r="Y64" s="7"/>
      <c r="Z64" s="7"/>
      <c r="AA64" s="7"/>
    </row>
    <row r="65" spans="1:28" ht="16.2" x14ac:dyDescent="0.25">
      <c r="A65" s="31"/>
      <c r="B65" s="31"/>
      <c r="C65" s="9" t="s">
        <v>96</v>
      </c>
      <c r="D65" s="275" t="s">
        <v>97</v>
      </c>
      <c r="E65" s="275"/>
      <c r="F65" s="10" t="s">
        <v>98</v>
      </c>
      <c r="G65" s="40" t="s">
        <v>560</v>
      </c>
      <c r="H65" s="40">
        <v>2022</v>
      </c>
      <c r="I65" s="40">
        <v>2021</v>
      </c>
      <c r="J65" s="40">
        <v>2020</v>
      </c>
      <c r="K65" s="40">
        <v>2019</v>
      </c>
      <c r="L65" s="10" t="s">
        <v>476</v>
      </c>
      <c r="M65" s="40">
        <v>2017</v>
      </c>
      <c r="N65" s="40">
        <v>2016</v>
      </c>
      <c r="O65" s="40">
        <v>2015</v>
      </c>
      <c r="P65" s="40">
        <v>2014</v>
      </c>
      <c r="Q65" s="40">
        <v>2013</v>
      </c>
      <c r="R65" s="40">
        <v>2012</v>
      </c>
      <c r="S65" s="40">
        <v>2011</v>
      </c>
      <c r="T65" s="40">
        <v>2010</v>
      </c>
      <c r="U65" s="40">
        <v>2009</v>
      </c>
      <c r="V65" s="40">
        <v>2008</v>
      </c>
      <c r="W65" s="40">
        <v>2007</v>
      </c>
      <c r="X65" s="40">
        <v>2006</v>
      </c>
      <c r="Y65" s="40">
        <v>2005</v>
      </c>
      <c r="Z65" s="40">
        <v>2004</v>
      </c>
      <c r="AA65" s="40">
        <v>2003</v>
      </c>
      <c r="AB65" s="40">
        <v>2002</v>
      </c>
    </row>
    <row r="66" spans="1:28" x14ac:dyDescent="0.25">
      <c r="A66" s="41"/>
      <c r="B66" s="41"/>
      <c r="C66" s="9"/>
      <c r="D66" s="11"/>
      <c r="E66" s="11"/>
      <c r="F66" s="12">
        <v>-1</v>
      </c>
      <c r="G66" s="12">
        <f>+F66-1</f>
        <v>-2</v>
      </c>
      <c r="H66" s="12">
        <f>+G66-1</f>
        <v>-3</v>
      </c>
      <c r="I66" s="12">
        <f>+H66-1</f>
        <v>-4</v>
      </c>
      <c r="J66" s="12">
        <f>+I66-1</f>
        <v>-5</v>
      </c>
      <c r="K66" s="12">
        <f>+J66-1</f>
        <v>-6</v>
      </c>
      <c r="L66" s="12">
        <f t="shared" ref="L66:X66" si="20">+K66-1</f>
        <v>-7</v>
      </c>
      <c r="M66" s="12">
        <f t="shared" si="20"/>
        <v>-8</v>
      </c>
      <c r="N66" s="12">
        <f t="shared" si="20"/>
        <v>-9</v>
      </c>
      <c r="O66" s="12">
        <f t="shared" si="20"/>
        <v>-10</v>
      </c>
      <c r="P66" s="12">
        <f t="shared" si="20"/>
        <v>-11</v>
      </c>
      <c r="Q66" s="12">
        <f t="shared" si="20"/>
        <v>-12</v>
      </c>
      <c r="R66" s="12">
        <f t="shared" si="20"/>
        <v>-13</v>
      </c>
      <c r="S66" s="12">
        <f t="shared" si="20"/>
        <v>-14</v>
      </c>
      <c r="T66" s="12">
        <f t="shared" si="20"/>
        <v>-15</v>
      </c>
      <c r="U66" s="12">
        <f t="shared" si="20"/>
        <v>-16</v>
      </c>
      <c r="V66" s="12">
        <f t="shared" si="20"/>
        <v>-17</v>
      </c>
      <c r="W66" s="12">
        <f t="shared" si="20"/>
        <v>-18</v>
      </c>
      <c r="X66" s="12">
        <f t="shared" si="20"/>
        <v>-19</v>
      </c>
      <c r="Y66" s="12">
        <f>+W66-1</f>
        <v>-19</v>
      </c>
      <c r="Z66" s="12">
        <f>+Y66-1</f>
        <v>-20</v>
      </c>
      <c r="AA66" s="12">
        <f>+Z66-1</f>
        <v>-21</v>
      </c>
      <c r="AB66" s="12">
        <f>+AA66-1</f>
        <v>-22</v>
      </c>
    </row>
    <row r="67" spans="1:28" x14ac:dyDescent="0.25">
      <c r="A67" s="42"/>
      <c r="B67" s="43"/>
      <c r="C67" s="6"/>
      <c r="E67" s="22"/>
      <c r="F67" s="36"/>
      <c r="G67" s="36"/>
      <c r="H67" s="36"/>
      <c r="I67" s="36"/>
      <c r="J67" s="16">
        <f ca="1">MATCH(VALUE(LEFT(J65,4)),OFFSET(DIV_EARN_WP,-1,0,1,),0)</f>
        <v>6</v>
      </c>
      <c r="K67" s="16">
        <f ca="1">MATCH(VALUE(LEFT(K65,4)),OFFSET(DIV_EARN_WP,-1,0,1,),0)</f>
        <v>7</v>
      </c>
      <c r="L67" s="16">
        <f t="shared" ref="L67:X67" ca="1" si="21">MATCH(VALUE(LEFT(L65,4)),OFFSET(DIV_EARN_WP,-1,0,1,),0)</f>
        <v>8</v>
      </c>
      <c r="M67" s="16">
        <f t="shared" ca="1" si="21"/>
        <v>9</v>
      </c>
      <c r="N67" s="16">
        <f t="shared" ca="1" si="21"/>
        <v>10</v>
      </c>
      <c r="O67" s="16">
        <f t="shared" ca="1" si="21"/>
        <v>11</v>
      </c>
      <c r="P67" s="16">
        <f t="shared" ca="1" si="21"/>
        <v>12</v>
      </c>
      <c r="Q67" s="16">
        <f t="shared" ca="1" si="21"/>
        <v>13</v>
      </c>
      <c r="R67" s="16">
        <f t="shared" ca="1" si="21"/>
        <v>14</v>
      </c>
      <c r="S67" s="16">
        <f t="shared" ca="1" si="21"/>
        <v>15</v>
      </c>
      <c r="T67" s="16">
        <f t="shared" ca="1" si="21"/>
        <v>16</v>
      </c>
      <c r="U67" s="16">
        <f t="shared" ca="1" si="21"/>
        <v>17</v>
      </c>
      <c r="V67" s="16">
        <f t="shared" ca="1" si="21"/>
        <v>18</v>
      </c>
      <c r="W67" s="16">
        <f t="shared" ca="1" si="21"/>
        <v>19</v>
      </c>
      <c r="X67" s="16">
        <f t="shared" ca="1" si="21"/>
        <v>20</v>
      </c>
      <c r="Y67" s="16">
        <f ca="1">MATCH(VALUE(LEFT(Y65,4)),OFFSET(MP_CF_WP,-1,0,1,),0)</f>
        <v>22</v>
      </c>
      <c r="Z67" s="16">
        <f ca="1">MATCH(VALUE(LEFT(Z65,4)),OFFSET(MP_CF_WP,-1,0,1,),0)</f>
        <v>23</v>
      </c>
      <c r="AA67" s="16">
        <f ca="1">MATCH(VALUE(LEFT(AA65,4)),OFFSET(MP_CF_WP,-1,0,1,),0)</f>
        <v>24</v>
      </c>
      <c r="AB67" s="16">
        <f ca="1">MATCH(VALUE(LEFT(AB65,4)),OFFSET(MP_CF_WP,-1,0,1,),0)</f>
        <v>25</v>
      </c>
    </row>
    <row r="68" spans="1:28" x14ac:dyDescent="0.25">
      <c r="A68" s="50" t="str">
        <f t="shared" ref="A68:A112" si="22">A13</f>
        <v>ATO</v>
      </c>
      <c r="B68" s="45">
        <f t="shared" ref="B68:B112" ca="1" si="23">IFERROR(MATCH(A68,OFFSET(DIV_EARN_WP,0,0,,1),0),"")</f>
        <v>9</v>
      </c>
      <c r="C68" s="1">
        <f ca="1">IF(ISERROR(D68),"",IF(D68="","",MAX($C$66:C67,C13:C60)+1))</f>
        <v>12</v>
      </c>
      <c r="D68" t="str">
        <f t="shared" ref="D68:D112" ca="1" si="24">D13</f>
        <v>Atmos Energy</v>
      </c>
      <c r="E68" s="22"/>
      <c r="F68" s="62">
        <f ca="1">IFERROR(AVERAGE(G68:X68),"N/A")</f>
        <v>0.55362842764215836</v>
      </c>
      <c r="G68" s="62">
        <f t="shared" ref="G68:G112" si="25">IFERROR(IF(VLOOKUP($A68,Data2023,22,FALSE)=0,"",VLOOKUP($A68,Data2023,22,FALSE)),"N/A")</f>
        <v>0.48524590163934428</v>
      </c>
      <c r="H68" s="62">
        <f t="shared" ref="H68:H112" si="26">IFERROR(IF(VLOOKUP($A68,Data2022,20,FALSE)=0,"",VLOOKUP($A68,Data2022,20,FALSE)),"N/A")</f>
        <v>0.48571428571428577</v>
      </c>
      <c r="I68" s="62">
        <f t="shared" ref="I68:I112" si="27">IFERROR(IF(VLOOKUP($A68,lucyyr,20,FALSE)=0,"",VLOOKUP($A68,lucyyr,20,FALSE)),"N/A")</f>
        <v>0.48828125</v>
      </c>
      <c r="J68" s="62">
        <f t="shared" ref="J68:X83" ca="1" si="28">IFERROR(IF(INDEX(DIV_EARN_WP,$B68,J$67)=0,"N/A",INDEX(DIV_EARN_WP,$B68,J$67)),"N/A")</f>
        <v>0.48728813559322032</v>
      </c>
      <c r="K68" s="62">
        <f t="shared" ca="1" si="28"/>
        <v>0.48275862068965525</v>
      </c>
      <c r="L68" s="62">
        <f t="shared" ca="1" si="28"/>
        <v>0.48499999999999999</v>
      </c>
      <c r="M68" s="62">
        <f t="shared" ca="1" si="28"/>
        <v>0.5</v>
      </c>
      <c r="N68" s="62">
        <f t="shared" ca="1" si="28"/>
        <v>0.49704142011834318</v>
      </c>
      <c r="O68" s="62">
        <f t="shared" ca="1" si="28"/>
        <v>0.50485436893203883</v>
      </c>
      <c r="P68" s="62">
        <f t="shared" ca="1" si="28"/>
        <v>0.5</v>
      </c>
      <c r="Q68" s="62">
        <f t="shared" ca="1" si="28"/>
        <v>0.55999999999999994</v>
      </c>
      <c r="R68" s="62">
        <f t="shared" ca="1" si="28"/>
        <v>0.65714285714285703</v>
      </c>
      <c r="S68" s="62">
        <f t="shared" ca="1" si="28"/>
        <v>0.60176991150442483</v>
      </c>
      <c r="T68" s="62">
        <f t="shared" ca="1" si="28"/>
        <v>0.62037037037037035</v>
      </c>
      <c r="U68" s="62">
        <f t="shared" ca="1" si="28"/>
        <v>0.67005076142131981</v>
      </c>
      <c r="V68" s="62">
        <f t="shared" ca="1" si="28"/>
        <v>0.65</v>
      </c>
      <c r="W68" s="62">
        <f t="shared" ca="1" si="28"/>
        <v>0.65979381443298968</v>
      </c>
      <c r="X68" s="62">
        <f t="shared" ca="1" si="28"/>
        <v>0.63</v>
      </c>
      <c r="Y68" s="62"/>
      <c r="Z68" s="62"/>
      <c r="AA68" s="62"/>
      <c r="AB68" s="62"/>
    </row>
    <row r="69" spans="1:28" x14ac:dyDescent="0.25">
      <c r="A69" s="50" t="str">
        <f t="shared" si="22"/>
        <v>CPK</v>
      </c>
      <c r="B69" s="45">
        <f t="shared" ca="1" si="23"/>
        <v>16</v>
      </c>
      <c r="C69" s="1">
        <f ca="1">IF(ISERROR(D69),"",IF(D69="","",MAX($C$66:C68)+1))</f>
        <v>13</v>
      </c>
      <c r="D69" t="str">
        <f t="shared" ca="1" si="24"/>
        <v>Chesapeake Utilities</v>
      </c>
      <c r="E69" s="22"/>
      <c r="F69" s="62">
        <f t="shared" ref="F69:F112" ca="1" si="29">IFERROR(AVERAGE(G69:X69),"N/A")</f>
        <v>0.47458501588106228</v>
      </c>
      <c r="G69" s="62">
        <f t="shared" si="25"/>
        <v>0.46391752577319589</v>
      </c>
      <c r="H69" s="62">
        <f t="shared" si="26"/>
        <v>0.40845070422535207</v>
      </c>
      <c r="I69" s="62">
        <f t="shared" si="27"/>
        <v>0.39148936170212767</v>
      </c>
      <c r="J69" s="62">
        <f t="shared" ca="1" si="28"/>
        <v>0.40142517814726841</v>
      </c>
      <c r="K69" s="62">
        <f t="shared" ca="1" si="28"/>
        <v>0.41666666666666663</v>
      </c>
      <c r="L69" s="62">
        <f t="shared" ca="1" si="28"/>
        <v>0.40289855072463765</v>
      </c>
      <c r="M69" s="62">
        <f t="shared" ca="1" si="28"/>
        <v>0.47014925373134325</v>
      </c>
      <c r="N69" s="62">
        <f t="shared" ca="1" si="28"/>
        <v>0.41608391608391609</v>
      </c>
      <c r="O69" s="62">
        <f t="shared" ca="1" si="28"/>
        <v>0.41791044776119407</v>
      </c>
      <c r="P69" s="62">
        <f t="shared" ca="1" si="28"/>
        <v>0.43198380566801614</v>
      </c>
      <c r="Q69" s="62">
        <f t="shared" ca="1" si="28"/>
        <v>0.44823008849557522</v>
      </c>
      <c r="R69" s="62">
        <f t="shared" ca="1" si="28"/>
        <v>0.48168590065228295</v>
      </c>
      <c r="S69" s="62">
        <f t="shared" ca="1" si="28"/>
        <v>0.47569262937794043</v>
      </c>
      <c r="T69" s="62">
        <f t="shared" ca="1" si="28"/>
        <v>0.47802197802197799</v>
      </c>
      <c r="U69" s="62">
        <f t="shared" ca="1" si="28"/>
        <v>0.58129797627355195</v>
      </c>
      <c r="V69" s="62">
        <f t="shared" ca="1" si="28"/>
        <v>0.57974137931034486</v>
      </c>
      <c r="W69" s="62">
        <f t="shared" ca="1" si="28"/>
        <v>0.60556844547563815</v>
      </c>
      <c r="X69" s="62">
        <f t="shared" ca="1" si="28"/>
        <v>0.67131647776809067</v>
      </c>
      <c r="Y69" s="62"/>
      <c r="Z69" s="62"/>
      <c r="AA69" s="62"/>
      <c r="AB69" s="62"/>
    </row>
    <row r="70" spans="1:28" x14ac:dyDescent="0.25">
      <c r="A70" s="50" t="str">
        <f t="shared" si="22"/>
        <v>NJR</v>
      </c>
      <c r="B70" s="45">
        <f t="shared" ca="1" si="23"/>
        <v>42</v>
      </c>
      <c r="C70" s="1">
        <f ca="1">IF(ISERROR(D70),"",IF(D70="","",MAX($C$66:C69)+1))</f>
        <v>14</v>
      </c>
      <c r="D70" t="str">
        <f t="shared" ca="1" si="24"/>
        <v>New Jersey Resources</v>
      </c>
      <c r="E70" s="22"/>
      <c r="F70" s="62">
        <f t="shared" ca="1" si="29"/>
        <v>0.55153866172414034</v>
      </c>
      <c r="G70" s="62">
        <f t="shared" si="25"/>
        <v>0.57777777777777772</v>
      </c>
      <c r="H70" s="62">
        <f t="shared" si="26"/>
        <v>0.57999999999999996</v>
      </c>
      <c r="I70" s="62">
        <f t="shared" si="27"/>
        <v>0.62962962962962965</v>
      </c>
      <c r="J70" s="62">
        <f t="shared" ca="1" si="28"/>
        <v>0.61352657004830924</v>
      </c>
      <c r="K70" s="62">
        <f t="shared" ca="1" si="28"/>
        <v>0.6071428571428571</v>
      </c>
      <c r="L70" s="62">
        <f t="shared" ca="1" si="28"/>
        <v>0.4088235294117647</v>
      </c>
      <c r="M70" s="62">
        <f t="shared" ca="1" si="28"/>
        <v>0.60115606936416188</v>
      </c>
      <c r="N70" s="62">
        <f t="shared" ca="1" si="28"/>
        <v>0.60869565217391297</v>
      </c>
      <c r="O70" s="62">
        <f t="shared" ca="1" si="28"/>
        <v>0.52247191011235961</v>
      </c>
      <c r="P70" s="62">
        <f t="shared" ca="1" si="28"/>
        <v>0.41105769230769229</v>
      </c>
      <c r="Q70" s="62">
        <f t="shared" ca="1" si="28"/>
        <v>0.59340659340659341</v>
      </c>
      <c r="R70" s="62">
        <f t="shared" ca="1" si="28"/>
        <v>0.56826568265682664</v>
      </c>
      <c r="S70" s="62">
        <f t="shared" ca="1" si="28"/>
        <v>0.55813953488372092</v>
      </c>
      <c r="T70" s="62">
        <f t="shared" ca="1" si="28"/>
        <v>0.55284552845528456</v>
      </c>
      <c r="U70" s="62">
        <f t="shared" ca="1" si="28"/>
        <v>0.51666666666666672</v>
      </c>
      <c r="V70" s="62">
        <f t="shared" ca="1" si="28"/>
        <v>0.41111111111111109</v>
      </c>
      <c r="W70" s="62">
        <f t="shared" ca="1" si="28"/>
        <v>0.65250965250965254</v>
      </c>
      <c r="X70" s="62">
        <f t="shared" ca="1" si="28"/>
        <v>0.51446945337620575</v>
      </c>
      <c r="Y70" s="62"/>
      <c r="Z70" s="62"/>
      <c r="AA70" s="62"/>
      <c r="AB70" s="62"/>
    </row>
    <row r="71" spans="1:28" x14ac:dyDescent="0.25">
      <c r="A71" s="50" t="str">
        <f t="shared" si="22"/>
        <v>NI</v>
      </c>
      <c r="B71" s="45">
        <f t="shared" ca="1" si="23"/>
        <v>44</v>
      </c>
      <c r="C71" s="1">
        <f ca="1">IF(ISERROR(D71),"",IF(D71="","",MAX($C$66:C70)+1))</f>
        <v>15</v>
      </c>
      <c r="D71" t="str">
        <f t="shared" ca="1" si="24"/>
        <v>NiSource Inc.</v>
      </c>
      <c r="E71" s="22"/>
      <c r="F71" s="62">
        <f t="shared" ca="1" si="29"/>
        <v>0.80981996716784932</v>
      </c>
      <c r="G71" s="62">
        <f t="shared" si="25"/>
        <v>0.625</v>
      </c>
      <c r="H71" s="62">
        <f t="shared" si="26"/>
        <v>0.6394557823129251</v>
      </c>
      <c r="I71" s="62">
        <f t="shared" si="27"/>
        <v>0.65185185185185179</v>
      </c>
      <c r="J71" s="62">
        <f t="shared" ca="1" si="28"/>
        <v>0.63636363636363635</v>
      </c>
      <c r="K71" s="62">
        <f t="shared" ca="1" si="28"/>
        <v>0.61068702290076338</v>
      </c>
      <c r="L71" s="62">
        <f t="shared" ca="1" si="28"/>
        <v>0.6</v>
      </c>
      <c r="M71" s="62">
        <f t="shared" ca="1" si="28"/>
        <v>1.7948717948717947</v>
      </c>
      <c r="N71" s="62">
        <f t="shared" ca="1" si="28"/>
        <v>0.64</v>
      </c>
      <c r="O71" s="62">
        <f t="shared" ca="1" si="28"/>
        <v>1.3174603174603174</v>
      </c>
      <c r="P71" s="62">
        <f t="shared" ca="1" si="28"/>
        <v>0.6107784431137725</v>
      </c>
      <c r="Q71" s="62">
        <f t="shared" ca="1" si="28"/>
        <v>0.62420382165605093</v>
      </c>
      <c r="R71" s="62">
        <f t="shared" ca="1" si="28"/>
        <v>0.68613138686131381</v>
      </c>
      <c r="S71" s="62">
        <f t="shared" ca="1" si="28"/>
        <v>0.87619047619047619</v>
      </c>
      <c r="T71" s="62">
        <f t="shared" ca="1" si="28"/>
        <v>0.86792452830188682</v>
      </c>
      <c r="U71" s="62">
        <f t="shared" ca="1" si="28"/>
        <v>1.0952380952380953</v>
      </c>
      <c r="V71" s="62">
        <f t="shared" ca="1" si="28"/>
        <v>0.68656716417910446</v>
      </c>
      <c r="W71" s="62">
        <f t="shared" ca="1" si="28"/>
        <v>0.80701754385964919</v>
      </c>
      <c r="X71" s="62">
        <f t="shared" ca="1" si="28"/>
        <v>0.80701754385964919</v>
      </c>
      <c r="Y71" s="62"/>
      <c r="Z71" s="62"/>
      <c r="AA71" s="62"/>
      <c r="AB71" s="62"/>
    </row>
    <row r="72" spans="1:28" x14ac:dyDescent="0.25">
      <c r="A72" s="50" t="str">
        <f t="shared" si="22"/>
        <v>NWN</v>
      </c>
      <c r="B72" s="45">
        <f t="shared" ca="1" si="23"/>
        <v>45</v>
      </c>
      <c r="C72" s="1">
        <f ca="1">IF(ISERROR(D72),"",IF(D72="","",MAX($C$66:C71)+1))</f>
        <v>16</v>
      </c>
      <c r="D72" t="str">
        <f t="shared" ca="1" si="24"/>
        <v>Northwest Nat. Gas</v>
      </c>
      <c r="E72" s="22"/>
      <c r="F72" s="62">
        <f t="shared" ca="1" si="29"/>
        <v>0.651581547068533</v>
      </c>
      <c r="G72" s="62">
        <f t="shared" si="25"/>
        <v>0.73207547169811327</v>
      </c>
      <c r="H72" s="62">
        <f t="shared" si="26"/>
        <v>0.75984251968503935</v>
      </c>
      <c r="I72" s="62">
        <f t="shared" si="27"/>
        <v>0.76800000000000002</v>
      </c>
      <c r="J72" s="62">
        <f t="shared" ca="1" si="28"/>
        <v>0.83043478260869563</v>
      </c>
      <c r="K72" s="62">
        <f t="shared" ca="1" si="28"/>
        <v>0.86757990867579904</v>
      </c>
      <c r="L72" s="62">
        <f t="shared" ca="1" si="28"/>
        <v>0.81115879828326176</v>
      </c>
      <c r="M72" s="62">
        <f t="shared" ca="1" si="28"/>
        <v>-0.96907216494845361</v>
      </c>
      <c r="N72" s="62">
        <f t="shared" ca="1" si="28"/>
        <v>0.88207547169811318</v>
      </c>
      <c r="O72" s="62">
        <f t="shared" ca="1" si="28"/>
        <v>0.94897959183673475</v>
      </c>
      <c r="P72" s="62">
        <f t="shared" ca="1" si="28"/>
        <v>0.85648148148148151</v>
      </c>
      <c r="Q72" s="62">
        <f t="shared" ca="1" si="28"/>
        <v>0.8169642857142857</v>
      </c>
      <c r="R72" s="62">
        <f t="shared" ca="1" si="28"/>
        <v>0.80630630630630629</v>
      </c>
      <c r="S72" s="62">
        <f t="shared" ca="1" si="28"/>
        <v>0.73221757322175729</v>
      </c>
      <c r="T72" s="62">
        <f t="shared" ca="1" si="28"/>
        <v>0.61538461538461542</v>
      </c>
      <c r="U72" s="62">
        <f t="shared" ca="1" si="28"/>
        <v>0.56537102473498235</v>
      </c>
      <c r="V72" s="62">
        <f t="shared" ca="1" si="28"/>
        <v>0.59143968871595332</v>
      </c>
      <c r="W72" s="62">
        <f t="shared" ca="1" si="28"/>
        <v>0.52173913043478259</v>
      </c>
      <c r="X72" s="62">
        <f t="shared" ca="1" si="28"/>
        <v>0.59148936170212763</v>
      </c>
      <c r="Y72" s="62"/>
      <c r="Z72" s="62"/>
      <c r="AA72" s="62"/>
      <c r="AB72" s="62"/>
    </row>
    <row r="73" spans="1:28" x14ac:dyDescent="0.25">
      <c r="A73" s="50" t="str">
        <f t="shared" si="22"/>
        <v>OGS</v>
      </c>
      <c r="B73" s="45">
        <f t="shared" ca="1" si="23"/>
        <v>48</v>
      </c>
      <c r="C73" s="1">
        <f ca="1">IF(ISERROR(D73),"",IF(D73="","",MAX($C$66:C72)+1))</f>
        <v>17</v>
      </c>
      <c r="D73" t="str">
        <f t="shared" ca="1" si="24"/>
        <v>ONE Gas Inc.</v>
      </c>
      <c r="E73" s="22"/>
      <c r="F73" s="62">
        <f t="shared" ca="1" si="29"/>
        <v>0.55859621663267267</v>
      </c>
      <c r="G73" s="62">
        <f t="shared" si="25"/>
        <v>0.62650602409638556</v>
      </c>
      <c r="H73" s="62">
        <f t="shared" si="26"/>
        <v>0.60784313725490191</v>
      </c>
      <c r="I73" s="62">
        <f t="shared" si="27"/>
        <v>0.60259740259740258</v>
      </c>
      <c r="J73" s="62">
        <f t="shared" ca="1" si="28"/>
        <v>0.58695652173913049</v>
      </c>
      <c r="K73" s="62">
        <f t="shared" ca="1" si="28"/>
        <v>0.56980056980056981</v>
      </c>
      <c r="L73" s="62">
        <f t="shared" ca="1" si="28"/>
        <v>0.56615384615384623</v>
      </c>
      <c r="M73" s="62">
        <f t="shared" ca="1" si="28"/>
        <v>0.55629139072847678</v>
      </c>
      <c r="N73" s="62">
        <f t="shared" ca="1" si="28"/>
        <v>0.52830188679245282</v>
      </c>
      <c r="O73" s="62">
        <f t="shared" ca="1" si="28"/>
        <v>0.5357142857142857</v>
      </c>
      <c r="P73" s="62">
        <f t="shared" ca="1" si="28"/>
        <v>0.40579710144927539</v>
      </c>
      <c r="Q73" s="62" t="str">
        <f t="shared" ca="1" si="28"/>
        <v>N/A</v>
      </c>
      <c r="R73" s="62" t="str">
        <f t="shared" ca="1" si="28"/>
        <v>N/A</v>
      </c>
      <c r="S73" s="62" t="str">
        <f t="shared" ca="1" si="28"/>
        <v>N/A</v>
      </c>
      <c r="T73" s="62" t="str">
        <f t="shared" ca="1" si="28"/>
        <v>N/A</v>
      </c>
      <c r="U73" s="62" t="str">
        <f t="shared" ca="1" si="28"/>
        <v>N/A</v>
      </c>
      <c r="V73" s="62" t="str">
        <f t="shared" ca="1" si="28"/>
        <v>N/A</v>
      </c>
      <c r="W73" s="62" t="str">
        <f t="shared" ca="1" si="28"/>
        <v>N/A</v>
      </c>
      <c r="X73" s="62" t="str">
        <f t="shared" ca="1" si="28"/>
        <v>N/A</v>
      </c>
      <c r="Y73" s="62"/>
      <c r="Z73" s="62"/>
      <c r="AA73" s="62"/>
      <c r="AB73" s="62"/>
    </row>
    <row r="74" spans="1:28" hidden="1" x14ac:dyDescent="0.25">
      <c r="A74" s="50" t="str">
        <f t="shared" si="22"/>
        <v>SJI</v>
      </c>
      <c r="B74" s="45">
        <f t="shared" ca="1" si="23"/>
        <v>61</v>
      </c>
      <c r="C74" s="1" t="str">
        <f>IF(ISERROR(D74),"",IF(D74="","",MAX($C$66:C73)+1))</f>
        <v/>
      </c>
      <c r="E74" s="2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x14ac:dyDescent="0.25">
      <c r="A75" s="50" t="str">
        <f t="shared" si="22"/>
        <v>SWX</v>
      </c>
      <c r="B75" s="45">
        <f t="shared" ca="1" si="23"/>
        <v>63</v>
      </c>
      <c r="C75" s="1">
        <f ca="1">IF(ISERROR(D75),"",IF(D75="","",MAX($C$66:C74)+1))</f>
        <v>18</v>
      </c>
      <c r="D75" t="str">
        <f t="shared" ca="1" si="24"/>
        <v>Southwest Gas</v>
      </c>
      <c r="E75" s="22"/>
      <c r="F75" s="62">
        <f t="shared" ca="1" si="29"/>
        <v>0.54581573859171983</v>
      </c>
      <c r="G75" s="62">
        <f t="shared" si="25"/>
        <v>0.87017543859649116</v>
      </c>
      <c r="H75" s="62">
        <f t="shared" si="26"/>
        <v>0.79999999999999993</v>
      </c>
      <c r="I75" s="62">
        <f t="shared" si="27"/>
        <v>0.62631578947368416</v>
      </c>
      <c r="J75" s="62">
        <f t="shared" ca="1" si="28"/>
        <v>0.55072463768115942</v>
      </c>
      <c r="K75" s="62">
        <f t="shared" ca="1" si="28"/>
        <v>0.5532994923857868</v>
      </c>
      <c r="L75" s="62">
        <f t="shared" ca="1" si="28"/>
        <v>0.56521739130434778</v>
      </c>
      <c r="M75" s="62">
        <f t="shared" ca="1" si="28"/>
        <v>0.54696132596685076</v>
      </c>
      <c r="N75" s="62">
        <f t="shared" ca="1" si="28"/>
        <v>0.56603773584905659</v>
      </c>
      <c r="O75" s="62">
        <f t="shared" ca="1" si="28"/>
        <v>0.5547945205479452</v>
      </c>
      <c r="P75" s="62">
        <f t="shared" ca="1" si="28"/>
        <v>0.4850498338870432</v>
      </c>
      <c r="Q75" s="62">
        <f t="shared" ca="1" si="28"/>
        <v>0.42443729903536981</v>
      </c>
      <c r="R75" s="62">
        <f t="shared" ca="1" si="28"/>
        <v>0.41258741258741261</v>
      </c>
      <c r="S75" s="62">
        <f t="shared" ca="1" si="28"/>
        <v>0.43621399176954734</v>
      </c>
      <c r="T75" s="62">
        <f t="shared" ca="1" si="28"/>
        <v>0.44052863436123346</v>
      </c>
      <c r="U75" s="62">
        <f t="shared" ca="1" si="28"/>
        <v>0.48969072164948452</v>
      </c>
      <c r="V75" s="62">
        <f t="shared" ca="1" si="28"/>
        <v>0.64748201438848929</v>
      </c>
      <c r="W75" s="62">
        <f t="shared" ca="1" si="28"/>
        <v>0.44102564102564101</v>
      </c>
      <c r="X75" s="62">
        <f t="shared" ca="1" si="28"/>
        <v>0.41414141414141414</v>
      </c>
      <c r="Y75" s="62"/>
      <c r="Z75" s="62"/>
      <c r="AA75" s="62"/>
      <c r="AB75" s="62"/>
    </row>
    <row r="76" spans="1:28" x14ac:dyDescent="0.25">
      <c r="A76" s="50" t="str">
        <f t="shared" si="22"/>
        <v>SR</v>
      </c>
      <c r="B76" s="45">
        <f t="shared" ca="1" si="23"/>
        <v>64</v>
      </c>
      <c r="C76" s="1">
        <f ca="1">IF(ISERROR(D76),"",IF(D76="","",MAX($C$66:C75)+1))</f>
        <v>19</v>
      </c>
      <c r="D76" t="str">
        <f t="shared" ca="1" si="24"/>
        <v>Spire Inc.</v>
      </c>
      <c r="E76" s="22"/>
      <c r="F76" s="62">
        <f t="shared" ca="1" si="29"/>
        <v>0.68826611745043564</v>
      </c>
      <c r="G76" s="62">
        <f t="shared" si="25"/>
        <v>0.74805194805194797</v>
      </c>
      <c r="H76" s="62">
        <f t="shared" si="26"/>
        <v>0.6936708860759494</v>
      </c>
      <c r="I76" s="62">
        <f t="shared" si="27"/>
        <v>0.52419354838709675</v>
      </c>
      <c r="J76" s="62">
        <f t="shared" ca="1" si="28"/>
        <v>1.729166666666667</v>
      </c>
      <c r="K76" s="62">
        <f t="shared" ca="1" si="28"/>
        <v>0.67329545454545459</v>
      </c>
      <c r="L76" s="62">
        <f t="shared" ca="1" si="28"/>
        <v>0.51963048498845266</v>
      </c>
      <c r="M76" s="62">
        <f t="shared" ca="1" si="28"/>
        <v>0.61224489795918369</v>
      </c>
      <c r="N76" s="62">
        <f t="shared" ca="1" si="28"/>
        <v>0.60493827160493818</v>
      </c>
      <c r="O76" s="62">
        <f t="shared" ca="1" si="28"/>
        <v>0.58227848101265822</v>
      </c>
      <c r="P76" s="62">
        <f t="shared" ca="1" si="28"/>
        <v>0.74893617021276593</v>
      </c>
      <c r="Q76" s="62">
        <f t="shared" ca="1" si="28"/>
        <v>0.84158415841584155</v>
      </c>
      <c r="R76" s="62">
        <f t="shared" ca="1" si="28"/>
        <v>0.59498207885304655</v>
      </c>
      <c r="S76" s="62">
        <f t="shared" ca="1" si="28"/>
        <v>0.56293706293706303</v>
      </c>
      <c r="T76" s="62">
        <f t="shared" ca="1" si="28"/>
        <v>0.64609053497942381</v>
      </c>
      <c r="U76" s="62">
        <f t="shared" ca="1" si="28"/>
        <v>0.52397260273972601</v>
      </c>
      <c r="V76" s="62">
        <f t="shared" ca="1" si="28"/>
        <v>0.56439393939393934</v>
      </c>
      <c r="W76" s="62">
        <f t="shared" ca="1" si="28"/>
        <v>0.62770562770562766</v>
      </c>
      <c r="X76" s="62">
        <f t="shared" ca="1" si="28"/>
        <v>0.59071729957805896</v>
      </c>
      <c r="Y76" s="62"/>
      <c r="Z76" s="62"/>
      <c r="AA76" s="62"/>
      <c r="AB76" s="62"/>
    </row>
    <row r="77" spans="1:28" x14ac:dyDescent="0.25">
      <c r="A77" s="50" t="str">
        <f t="shared" si="22"/>
        <v>UGI</v>
      </c>
      <c r="B77" s="45">
        <f t="shared" ca="1" si="23"/>
        <v>66</v>
      </c>
      <c r="C77" s="1">
        <f ca="1">IF(ISERROR(D77),"",IF(D77="","",MAX($C$66:C76)+1))</f>
        <v>20</v>
      </c>
      <c r="D77" t="str">
        <f t="shared" ca="1" si="24"/>
        <v>UGI Corp.</v>
      </c>
      <c r="E77" s="22"/>
      <c r="F77" s="62">
        <f t="shared" ca="1" si="29"/>
        <v>0.44601191781524363</v>
      </c>
      <c r="G77" s="62">
        <f t="shared" si="25"/>
        <v>0.51760563380281688</v>
      </c>
      <c r="H77" s="62">
        <f t="shared" si="26"/>
        <v>0.48620689655172411</v>
      </c>
      <c r="I77" s="62">
        <f t="shared" si="27"/>
        <v>0.45608108108108114</v>
      </c>
      <c r="J77" s="62">
        <f t="shared" ca="1" si="28"/>
        <v>0.49063670411985022</v>
      </c>
      <c r="K77" s="62">
        <f t="shared" ca="1" si="28"/>
        <v>0.50438596491228072</v>
      </c>
      <c r="L77" s="62">
        <f t="shared" ca="1" si="28"/>
        <v>0.37226277372262773</v>
      </c>
      <c r="M77" s="62">
        <f t="shared" ca="1" si="28"/>
        <v>0.41921397379912662</v>
      </c>
      <c r="N77" s="62">
        <f t="shared" ca="1" si="28"/>
        <v>0.45365853658536592</v>
      </c>
      <c r="O77" s="62">
        <f t="shared" ca="1" si="28"/>
        <v>0.44278606965174133</v>
      </c>
      <c r="P77" s="62">
        <f t="shared" ca="1" si="28"/>
        <v>0.41197916666666667</v>
      </c>
      <c r="Q77" s="62">
        <f t="shared" ca="1" si="28"/>
        <v>0.46453232893910862</v>
      </c>
      <c r="R77" s="62">
        <f t="shared" ca="1" si="28"/>
        <v>0.60272804774083544</v>
      </c>
      <c r="S77" s="62">
        <f t="shared" ca="1" si="28"/>
        <v>0.49526584122359801</v>
      </c>
      <c r="T77" s="62">
        <f t="shared" ca="1" si="28"/>
        <v>0.3780718336483932</v>
      </c>
      <c r="U77" s="62">
        <f t="shared" ca="1" si="28"/>
        <v>0.3324856961220598</v>
      </c>
      <c r="V77" s="62">
        <f t="shared" ca="1" si="28"/>
        <v>0.37905048982667672</v>
      </c>
      <c r="W77" s="62">
        <f t="shared" ca="1" si="28"/>
        <v>0.40762711864406781</v>
      </c>
      <c r="X77" s="62">
        <f t="shared" ca="1" si="28"/>
        <v>0.41363636363636364</v>
      </c>
      <c r="Y77" s="62"/>
      <c r="Z77" s="62"/>
      <c r="AA77" s="62"/>
      <c r="AB77" s="62"/>
    </row>
    <row r="78" spans="1:28" hidden="1" x14ac:dyDescent="0.25">
      <c r="A78" s="50" t="str">
        <f t="shared" si="22"/>
        <v>WGL</v>
      </c>
      <c r="B78" s="45">
        <f t="shared" ca="1" si="23"/>
        <v>73</v>
      </c>
      <c r="C78" s="1" t="str">
        <f>IF(ISERROR(D78),"",IF(D78="","",MAX($C$66:C77)+1))</f>
        <v/>
      </c>
      <c r="E78" s="2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hidden="1" x14ac:dyDescent="0.25">
      <c r="A79" s="50">
        <f t="shared" si="22"/>
        <v>0</v>
      </c>
      <c r="B79" s="45" t="str">
        <f t="shared" ca="1" si="23"/>
        <v/>
      </c>
      <c r="C79" s="1" t="str">
        <f>IF(ISERROR(D79),"",IF(D79="","",MAX($C$66:C78)+1))</f>
        <v/>
      </c>
      <c r="D79" t="e">
        <f t="shared" si="24"/>
        <v>#N/A</v>
      </c>
      <c r="E79" s="22"/>
      <c r="F79" s="62" t="str">
        <f t="shared" ca="1" si="29"/>
        <v>N/A</v>
      </c>
      <c r="G79" s="62" t="str">
        <f t="shared" si="25"/>
        <v>N/A</v>
      </c>
      <c r="H79" s="62" t="str">
        <f t="shared" si="26"/>
        <v>N/A</v>
      </c>
      <c r="I79" s="62" t="str">
        <f t="shared" si="27"/>
        <v>N/A</v>
      </c>
      <c r="J79" s="62" t="str">
        <f t="shared" ref="J79:J112" si="30">IFERROR(IF(VLOOKUP(A79,lucyr,20,FALSE)=0,"",VLOOKUP(A79,lucyr,20,FALSE)),"N/A")</f>
        <v>N/A</v>
      </c>
      <c r="K79" s="62" t="str">
        <f t="shared" ref="K79:K112" si="31">IFERROR(IF(VLOOKUP(A79,LUCurYr,20,FALSE)=0,"",VLOOKUP(A79,LUCurYr,20,FALSE)),"N/A")</f>
        <v>N/A</v>
      </c>
      <c r="L79" s="62" t="str">
        <f t="shared" ref="L79:L112" si="32">IFERROR(IF(VLOOKUP(A79,LUCurYr,20,FALSE)=0,"",VLOOKUP(A79,LUCurYr,20,FALSE)),"N/A")</f>
        <v>N/A</v>
      </c>
      <c r="M79" s="62" t="str">
        <f ca="1">IFERROR(VLOOKUP($A79,LASTYR,'[3]2017'!$O$3,FALSE),"N/A")</f>
        <v>N/A</v>
      </c>
      <c r="N79" s="62" t="str">
        <f t="shared" ca="1" si="28"/>
        <v>N/A</v>
      </c>
      <c r="O79" s="62" t="str">
        <f t="shared" ref="O79:X87" ca="1" si="33">IFERROR(IF(INDEX(DIV_EARN_WP,$B79,O$67)=0,"N/A",INDEX(DIV_EARN_WP,$B79,O$67)),"N/A")</f>
        <v>N/A</v>
      </c>
      <c r="P79" s="62" t="str">
        <f t="shared" ca="1" si="33"/>
        <v>N/A</v>
      </c>
      <c r="Q79" s="62" t="str">
        <f t="shared" ca="1" si="33"/>
        <v>N/A</v>
      </c>
      <c r="R79" s="62" t="str">
        <f t="shared" ca="1" si="33"/>
        <v>N/A</v>
      </c>
      <c r="S79" s="62" t="str">
        <f t="shared" ca="1" si="33"/>
        <v>N/A</v>
      </c>
      <c r="T79" s="62" t="str">
        <f t="shared" ca="1" si="33"/>
        <v>N/A</v>
      </c>
      <c r="U79" s="62" t="str">
        <f t="shared" ca="1" si="33"/>
        <v>N/A</v>
      </c>
      <c r="V79" s="62" t="str">
        <f t="shared" ca="1" si="33"/>
        <v>N/A</v>
      </c>
      <c r="W79" s="62" t="str">
        <f t="shared" ca="1" si="33"/>
        <v>N/A</v>
      </c>
      <c r="X79" s="62" t="str">
        <f t="shared" ca="1" si="33"/>
        <v>N/A</v>
      </c>
      <c r="Y79" s="62" t="str">
        <f t="shared" ref="Y79:AB83" ca="1" si="34">IFERROR(IF(INDEX(MP_CF_WP,$B79,Y$67)=0,"N/A",INDEX(MP_CF_WP,$B79,Y$67)),"N/A")</f>
        <v>N/A</v>
      </c>
      <c r="Z79" s="62" t="str">
        <f t="shared" ca="1" si="34"/>
        <v>N/A</v>
      </c>
      <c r="AA79" s="62" t="str">
        <f t="shared" ca="1" si="34"/>
        <v>N/A</v>
      </c>
      <c r="AB79" s="62" t="str">
        <f t="shared" ca="1" si="34"/>
        <v>N/A</v>
      </c>
    </row>
    <row r="80" spans="1:28" hidden="1" x14ac:dyDescent="0.25">
      <c r="A80" s="50">
        <f t="shared" si="22"/>
        <v>0</v>
      </c>
      <c r="B80" s="45" t="str">
        <f t="shared" ca="1" si="23"/>
        <v/>
      </c>
      <c r="C80" s="1" t="str">
        <f>IF(ISERROR(D80),"",IF(D80="","",MAX($C$66:C79)+1))</f>
        <v/>
      </c>
      <c r="D80" t="e">
        <f t="shared" si="24"/>
        <v>#N/A</v>
      </c>
      <c r="E80" s="22"/>
      <c r="F80" s="62" t="str">
        <f t="shared" ca="1" si="29"/>
        <v>N/A</v>
      </c>
      <c r="G80" s="62" t="str">
        <f t="shared" si="25"/>
        <v>N/A</v>
      </c>
      <c r="H80" s="62" t="str">
        <f t="shared" si="26"/>
        <v>N/A</v>
      </c>
      <c r="I80" s="62" t="str">
        <f t="shared" si="27"/>
        <v>N/A</v>
      </c>
      <c r="J80" s="62" t="str">
        <f t="shared" si="30"/>
        <v>N/A</v>
      </c>
      <c r="K80" s="62" t="str">
        <f t="shared" si="31"/>
        <v>N/A</v>
      </c>
      <c r="L80" s="62" t="str">
        <f t="shared" si="32"/>
        <v>N/A</v>
      </c>
      <c r="M80" s="62" t="str">
        <f ca="1">IFERROR(VLOOKUP($A80,LASTYR,'[3]2017'!$O$3,FALSE),"N/A")</f>
        <v>N/A</v>
      </c>
      <c r="N80" s="62" t="str">
        <f t="shared" ca="1" si="28"/>
        <v>N/A</v>
      </c>
      <c r="O80" s="62" t="str">
        <f t="shared" ca="1" si="33"/>
        <v>N/A</v>
      </c>
      <c r="P80" s="62" t="str">
        <f t="shared" ca="1" si="33"/>
        <v>N/A</v>
      </c>
      <c r="Q80" s="62" t="str">
        <f t="shared" ca="1" si="33"/>
        <v>N/A</v>
      </c>
      <c r="R80" s="62" t="str">
        <f t="shared" ca="1" si="33"/>
        <v>N/A</v>
      </c>
      <c r="S80" s="62" t="str">
        <f t="shared" ca="1" si="33"/>
        <v>N/A</v>
      </c>
      <c r="T80" s="62" t="str">
        <f t="shared" ca="1" si="33"/>
        <v>N/A</v>
      </c>
      <c r="U80" s="62" t="str">
        <f t="shared" ca="1" si="33"/>
        <v>N/A</v>
      </c>
      <c r="V80" s="62" t="str">
        <f t="shared" ca="1" si="33"/>
        <v>N/A</v>
      </c>
      <c r="W80" s="62" t="str">
        <f t="shared" ca="1" si="33"/>
        <v>N/A</v>
      </c>
      <c r="X80" s="62" t="str">
        <f t="shared" ca="1" si="33"/>
        <v>N/A</v>
      </c>
      <c r="Y80" s="62" t="str">
        <f t="shared" ca="1" si="34"/>
        <v>N/A</v>
      </c>
      <c r="Z80" s="62" t="str">
        <f t="shared" ca="1" si="34"/>
        <v>N/A</v>
      </c>
      <c r="AA80" s="62" t="str">
        <f t="shared" ca="1" si="34"/>
        <v>N/A</v>
      </c>
      <c r="AB80" s="62" t="str">
        <f t="shared" ca="1" si="34"/>
        <v>N/A</v>
      </c>
    </row>
    <row r="81" spans="1:28" hidden="1" x14ac:dyDescent="0.25">
      <c r="A81" s="50">
        <f t="shared" si="22"/>
        <v>0</v>
      </c>
      <c r="B81" s="45" t="str">
        <f t="shared" ca="1" si="23"/>
        <v/>
      </c>
      <c r="C81" s="1" t="str">
        <f>IF(ISERROR(D81),"",IF(D81="","",MAX($C$66:C80)+1))</f>
        <v/>
      </c>
      <c r="D81" t="e">
        <f t="shared" si="24"/>
        <v>#N/A</v>
      </c>
      <c r="E81" s="22"/>
      <c r="F81" s="62" t="str">
        <f t="shared" ca="1" si="29"/>
        <v>N/A</v>
      </c>
      <c r="G81" s="62" t="str">
        <f t="shared" si="25"/>
        <v>N/A</v>
      </c>
      <c r="H81" s="62" t="str">
        <f t="shared" si="26"/>
        <v>N/A</v>
      </c>
      <c r="I81" s="62" t="str">
        <f t="shared" si="27"/>
        <v>N/A</v>
      </c>
      <c r="J81" s="62" t="str">
        <f t="shared" si="30"/>
        <v>N/A</v>
      </c>
      <c r="K81" s="62" t="str">
        <f t="shared" si="31"/>
        <v>N/A</v>
      </c>
      <c r="L81" s="62" t="str">
        <f t="shared" si="32"/>
        <v>N/A</v>
      </c>
      <c r="M81" s="62" t="str">
        <f ca="1">IFERROR(VLOOKUP($A81,LASTYR,'[3]2017'!$O$3,FALSE),"N/A")</f>
        <v>N/A</v>
      </c>
      <c r="N81" s="62" t="str">
        <f t="shared" ca="1" si="28"/>
        <v>N/A</v>
      </c>
      <c r="O81" s="62" t="str">
        <f t="shared" ca="1" si="33"/>
        <v>N/A</v>
      </c>
      <c r="P81" s="62" t="str">
        <f t="shared" ca="1" si="33"/>
        <v>N/A</v>
      </c>
      <c r="Q81" s="62" t="str">
        <f t="shared" ca="1" si="33"/>
        <v>N/A</v>
      </c>
      <c r="R81" s="62" t="str">
        <f t="shared" ca="1" si="33"/>
        <v>N/A</v>
      </c>
      <c r="S81" s="62" t="str">
        <f t="shared" ca="1" si="33"/>
        <v>N/A</v>
      </c>
      <c r="T81" s="62" t="str">
        <f t="shared" ca="1" si="33"/>
        <v>N/A</v>
      </c>
      <c r="U81" s="62" t="str">
        <f t="shared" ca="1" si="33"/>
        <v>N/A</v>
      </c>
      <c r="V81" s="62" t="str">
        <f t="shared" ca="1" si="33"/>
        <v>N/A</v>
      </c>
      <c r="W81" s="62" t="str">
        <f t="shared" ca="1" si="33"/>
        <v>N/A</v>
      </c>
      <c r="X81" s="62" t="str">
        <f t="shared" ca="1" si="33"/>
        <v>N/A</v>
      </c>
      <c r="Y81" s="62" t="str">
        <f t="shared" ca="1" si="34"/>
        <v>N/A</v>
      </c>
      <c r="Z81" s="62" t="str">
        <f t="shared" ca="1" si="34"/>
        <v>N/A</v>
      </c>
      <c r="AA81" s="62" t="str">
        <f t="shared" ca="1" si="34"/>
        <v>N/A</v>
      </c>
      <c r="AB81" s="62" t="str">
        <f t="shared" ca="1" si="34"/>
        <v>N/A</v>
      </c>
    </row>
    <row r="82" spans="1:28" hidden="1" x14ac:dyDescent="0.25">
      <c r="A82" s="50">
        <f t="shared" si="22"/>
        <v>0</v>
      </c>
      <c r="B82" s="45" t="str">
        <f t="shared" ca="1" si="23"/>
        <v/>
      </c>
      <c r="C82" s="1" t="str">
        <f>IF(ISERROR(D82),"",IF(D82="","",MAX($C$66:C81)+1))</f>
        <v/>
      </c>
      <c r="D82" t="e">
        <f t="shared" si="24"/>
        <v>#N/A</v>
      </c>
      <c r="E82" s="22"/>
      <c r="F82" s="62" t="str">
        <f t="shared" ca="1" si="29"/>
        <v>N/A</v>
      </c>
      <c r="G82" s="62" t="str">
        <f t="shared" si="25"/>
        <v>N/A</v>
      </c>
      <c r="H82" s="62" t="str">
        <f t="shared" si="26"/>
        <v>N/A</v>
      </c>
      <c r="I82" s="62" t="str">
        <f t="shared" si="27"/>
        <v>N/A</v>
      </c>
      <c r="J82" s="62" t="str">
        <f t="shared" si="30"/>
        <v>N/A</v>
      </c>
      <c r="K82" s="62" t="str">
        <f t="shared" si="31"/>
        <v>N/A</v>
      </c>
      <c r="L82" s="62" t="str">
        <f t="shared" si="32"/>
        <v>N/A</v>
      </c>
      <c r="M82" s="62" t="str">
        <f ca="1">IFERROR(VLOOKUP($A82,LASTYR,'[3]2017'!$O$3,FALSE),"N/A")</f>
        <v>N/A</v>
      </c>
      <c r="N82" s="62" t="str">
        <f t="shared" ca="1" si="28"/>
        <v>N/A</v>
      </c>
      <c r="O82" s="62" t="str">
        <f t="shared" ca="1" si="33"/>
        <v>N/A</v>
      </c>
      <c r="P82" s="62" t="str">
        <f t="shared" ca="1" si="33"/>
        <v>N/A</v>
      </c>
      <c r="Q82" s="62" t="str">
        <f t="shared" ca="1" si="33"/>
        <v>N/A</v>
      </c>
      <c r="R82" s="62" t="str">
        <f t="shared" ca="1" si="33"/>
        <v>N/A</v>
      </c>
      <c r="S82" s="62" t="str">
        <f t="shared" ca="1" si="33"/>
        <v>N/A</v>
      </c>
      <c r="T82" s="62" t="str">
        <f t="shared" ca="1" si="33"/>
        <v>N/A</v>
      </c>
      <c r="U82" s="62" t="str">
        <f t="shared" ca="1" si="33"/>
        <v>N/A</v>
      </c>
      <c r="V82" s="62" t="str">
        <f t="shared" ca="1" si="33"/>
        <v>N/A</v>
      </c>
      <c r="W82" s="62" t="str">
        <f t="shared" ca="1" si="33"/>
        <v>N/A</v>
      </c>
      <c r="X82" s="62" t="str">
        <f t="shared" ca="1" si="33"/>
        <v>N/A</v>
      </c>
      <c r="Y82" s="62" t="str">
        <f t="shared" ca="1" si="34"/>
        <v>N/A</v>
      </c>
      <c r="Z82" s="62" t="str">
        <f t="shared" ca="1" si="34"/>
        <v>N/A</v>
      </c>
      <c r="AA82" s="62" t="str">
        <f t="shared" ca="1" si="34"/>
        <v>N/A</v>
      </c>
      <c r="AB82" s="62" t="str">
        <f t="shared" ca="1" si="34"/>
        <v>N/A</v>
      </c>
    </row>
    <row r="83" spans="1:28" hidden="1" x14ac:dyDescent="0.25">
      <c r="A83" s="50">
        <f t="shared" si="22"/>
        <v>0</v>
      </c>
      <c r="B83" s="45" t="str">
        <f t="shared" ca="1" si="23"/>
        <v/>
      </c>
      <c r="C83" s="1" t="str">
        <f>IF(ISERROR(D83),"",IF(D83="","",MAX($C$66:C82)+1))</f>
        <v/>
      </c>
      <c r="D83" t="e">
        <f t="shared" si="24"/>
        <v>#N/A</v>
      </c>
      <c r="E83" s="22"/>
      <c r="F83" s="62" t="str">
        <f t="shared" ca="1" si="29"/>
        <v>N/A</v>
      </c>
      <c r="G83" s="62" t="str">
        <f t="shared" si="25"/>
        <v>N/A</v>
      </c>
      <c r="H83" s="62" t="str">
        <f t="shared" si="26"/>
        <v>N/A</v>
      </c>
      <c r="I83" s="62" t="str">
        <f t="shared" si="27"/>
        <v>N/A</v>
      </c>
      <c r="J83" s="62" t="str">
        <f t="shared" si="30"/>
        <v>N/A</v>
      </c>
      <c r="K83" s="62" t="str">
        <f t="shared" si="31"/>
        <v>N/A</v>
      </c>
      <c r="L83" s="62" t="str">
        <f t="shared" si="32"/>
        <v>N/A</v>
      </c>
      <c r="M83" s="62" t="str">
        <f ca="1">IFERROR(VLOOKUP($A83,LASTYR,'[3]2017'!$O$3,FALSE),"N/A")</f>
        <v>N/A</v>
      </c>
      <c r="N83" s="62" t="str">
        <f t="shared" ca="1" si="28"/>
        <v>N/A</v>
      </c>
      <c r="O83" s="62" t="str">
        <f t="shared" ca="1" si="33"/>
        <v>N/A</v>
      </c>
      <c r="P83" s="62" t="str">
        <f t="shared" ca="1" si="33"/>
        <v>N/A</v>
      </c>
      <c r="Q83" s="62" t="str">
        <f t="shared" ca="1" si="33"/>
        <v>N/A</v>
      </c>
      <c r="R83" s="62" t="str">
        <f t="shared" ca="1" si="33"/>
        <v>N/A</v>
      </c>
      <c r="S83" s="62" t="str">
        <f t="shared" ca="1" si="33"/>
        <v>N/A</v>
      </c>
      <c r="T83" s="62" t="str">
        <f t="shared" ca="1" si="33"/>
        <v>N/A</v>
      </c>
      <c r="U83" s="62" t="str">
        <f t="shared" ca="1" si="33"/>
        <v>N/A</v>
      </c>
      <c r="V83" s="62" t="str">
        <f t="shared" ca="1" si="33"/>
        <v>N/A</v>
      </c>
      <c r="W83" s="62" t="str">
        <f t="shared" ca="1" si="33"/>
        <v>N/A</v>
      </c>
      <c r="X83" s="62" t="str">
        <f t="shared" ca="1" si="33"/>
        <v>N/A</v>
      </c>
      <c r="Y83" s="62" t="str">
        <f t="shared" ca="1" si="34"/>
        <v>N/A</v>
      </c>
      <c r="Z83" s="62" t="str">
        <f t="shared" ca="1" si="34"/>
        <v>N/A</v>
      </c>
      <c r="AA83" s="62" t="str">
        <f t="shared" ca="1" si="34"/>
        <v>N/A</v>
      </c>
      <c r="AB83" s="62" t="str">
        <f t="shared" ca="1" si="34"/>
        <v>N/A</v>
      </c>
    </row>
    <row r="84" spans="1:28" hidden="1" x14ac:dyDescent="0.25">
      <c r="A84" s="50">
        <f t="shared" si="22"/>
        <v>0</v>
      </c>
      <c r="B84" s="45" t="str">
        <f t="shared" ca="1" si="23"/>
        <v/>
      </c>
      <c r="C84" s="1" t="str">
        <f>IF(ISERROR(D84),"",IF(D84="","",MAX($C$66:C83)+1))</f>
        <v/>
      </c>
      <c r="D84" t="e">
        <f t="shared" si="24"/>
        <v>#N/A</v>
      </c>
      <c r="E84" s="22"/>
      <c r="F84" s="62" t="str">
        <f t="shared" ca="1" si="29"/>
        <v>N/A</v>
      </c>
      <c r="G84" s="62" t="str">
        <f t="shared" si="25"/>
        <v>N/A</v>
      </c>
      <c r="H84" s="62" t="str">
        <f t="shared" si="26"/>
        <v>N/A</v>
      </c>
      <c r="I84" s="62" t="str">
        <f t="shared" si="27"/>
        <v>N/A</v>
      </c>
      <c r="J84" s="62" t="str">
        <f t="shared" si="30"/>
        <v>N/A</v>
      </c>
      <c r="K84" s="62" t="str">
        <f t="shared" si="31"/>
        <v>N/A</v>
      </c>
      <c r="L84" s="62" t="str">
        <f t="shared" si="32"/>
        <v>N/A</v>
      </c>
      <c r="M84" s="62" t="str">
        <f ca="1">IFERROR(VLOOKUP($A84,LASTYR,'[3]2017'!$O$3,FALSE),"N/A")</f>
        <v>N/A</v>
      </c>
      <c r="N84" s="62" t="str">
        <f t="shared" ref="N84:N112" ca="1" si="35">IFERROR(IF(INDEX(DIV_EARN_WP,$B84,N$67)=0,"N/A",INDEX(DIV_EARN_WP,$B84,N$67)),"N/A")</f>
        <v>N/A</v>
      </c>
      <c r="O84" s="62" t="str">
        <f t="shared" ca="1" si="33"/>
        <v>N/A</v>
      </c>
      <c r="P84" s="62" t="str">
        <f t="shared" ca="1" si="33"/>
        <v>N/A</v>
      </c>
      <c r="Q84" s="62" t="str">
        <f t="shared" ca="1" si="33"/>
        <v>N/A</v>
      </c>
      <c r="R84" s="62" t="str">
        <f t="shared" ca="1" si="33"/>
        <v>N/A</v>
      </c>
      <c r="S84" s="62" t="str">
        <f t="shared" ca="1" si="33"/>
        <v>N/A</v>
      </c>
      <c r="T84" s="62" t="str">
        <f t="shared" ca="1" si="33"/>
        <v>N/A</v>
      </c>
      <c r="U84" s="62" t="str">
        <f t="shared" ca="1" si="33"/>
        <v>N/A</v>
      </c>
      <c r="V84" s="62" t="str">
        <f t="shared" ca="1" si="33"/>
        <v>N/A</v>
      </c>
      <c r="W84" s="62" t="str">
        <f t="shared" ca="1" si="33"/>
        <v>N/A</v>
      </c>
      <c r="X84" s="62" t="str">
        <f t="shared" ca="1" si="33"/>
        <v>N/A</v>
      </c>
      <c r="Y84" s="62" t="str">
        <f t="shared" ref="Y84:AB101" ca="1" si="36">IFERROR(IF(INDEX(MP_CF_WP,$B84,Y$67)=0,"N/A",INDEX(MP_CF_WP,$B84,Y$67)),"N/A")</f>
        <v>N/A</v>
      </c>
      <c r="Z84" s="62" t="str">
        <f t="shared" ca="1" si="36"/>
        <v>N/A</v>
      </c>
      <c r="AA84" s="62" t="str">
        <f t="shared" ca="1" si="36"/>
        <v>N/A</v>
      </c>
      <c r="AB84" s="62" t="str">
        <f t="shared" ca="1" si="36"/>
        <v>N/A</v>
      </c>
    </row>
    <row r="85" spans="1:28" hidden="1" x14ac:dyDescent="0.25">
      <c r="A85" s="50">
        <f t="shared" si="22"/>
        <v>0</v>
      </c>
      <c r="B85" s="45" t="str">
        <f t="shared" ca="1" si="23"/>
        <v/>
      </c>
      <c r="C85" s="1" t="str">
        <f>IF(ISERROR(D85),"",IF(D85="","",MAX($C$66:C84)+1))</f>
        <v/>
      </c>
      <c r="D85" t="e">
        <f t="shared" si="24"/>
        <v>#N/A</v>
      </c>
      <c r="E85" s="22"/>
      <c r="F85" s="62" t="str">
        <f t="shared" ca="1" si="29"/>
        <v>N/A</v>
      </c>
      <c r="G85" s="62" t="str">
        <f t="shared" si="25"/>
        <v>N/A</v>
      </c>
      <c r="H85" s="62" t="str">
        <f t="shared" si="26"/>
        <v>N/A</v>
      </c>
      <c r="I85" s="62" t="str">
        <f t="shared" si="27"/>
        <v>N/A</v>
      </c>
      <c r="J85" s="62" t="str">
        <f t="shared" si="30"/>
        <v>N/A</v>
      </c>
      <c r="K85" s="62" t="str">
        <f t="shared" si="31"/>
        <v>N/A</v>
      </c>
      <c r="L85" s="62" t="str">
        <f t="shared" si="32"/>
        <v>N/A</v>
      </c>
      <c r="M85" s="62" t="str">
        <f ca="1">IFERROR(VLOOKUP($A85,LASTYR,'[3]2017'!$O$3,FALSE),"N/A")</f>
        <v>N/A</v>
      </c>
      <c r="N85" s="62" t="str">
        <f t="shared" ca="1" si="35"/>
        <v>N/A</v>
      </c>
      <c r="O85" s="62" t="str">
        <f t="shared" ca="1" si="33"/>
        <v>N/A</v>
      </c>
      <c r="P85" s="62" t="str">
        <f t="shared" ca="1" si="33"/>
        <v>N/A</v>
      </c>
      <c r="Q85" s="62" t="str">
        <f t="shared" ca="1" si="33"/>
        <v>N/A</v>
      </c>
      <c r="R85" s="62" t="str">
        <f t="shared" ca="1" si="33"/>
        <v>N/A</v>
      </c>
      <c r="S85" s="62" t="str">
        <f t="shared" ca="1" si="33"/>
        <v>N/A</v>
      </c>
      <c r="T85" s="62" t="str">
        <f t="shared" ca="1" si="33"/>
        <v>N/A</v>
      </c>
      <c r="U85" s="62" t="str">
        <f t="shared" ca="1" si="33"/>
        <v>N/A</v>
      </c>
      <c r="V85" s="62" t="str">
        <f t="shared" ca="1" si="33"/>
        <v>N/A</v>
      </c>
      <c r="W85" s="62" t="str">
        <f t="shared" ca="1" si="33"/>
        <v>N/A</v>
      </c>
      <c r="X85" s="62" t="str">
        <f t="shared" ca="1" si="33"/>
        <v>N/A</v>
      </c>
      <c r="Y85" s="62" t="str">
        <f t="shared" ca="1" si="36"/>
        <v>N/A</v>
      </c>
      <c r="Z85" s="62" t="str">
        <f t="shared" ca="1" si="36"/>
        <v>N/A</v>
      </c>
      <c r="AA85" s="62" t="str">
        <f t="shared" ca="1" si="36"/>
        <v>N/A</v>
      </c>
      <c r="AB85" s="62" t="str">
        <f t="shared" ca="1" si="36"/>
        <v>N/A</v>
      </c>
    </row>
    <row r="86" spans="1:28" hidden="1" x14ac:dyDescent="0.25">
      <c r="A86" s="50">
        <f t="shared" si="22"/>
        <v>0</v>
      </c>
      <c r="B86" s="45" t="str">
        <f t="shared" ca="1" si="23"/>
        <v/>
      </c>
      <c r="C86" s="1" t="str">
        <f>IF(ISERROR(D86),"",IF(D86="","",MAX($C$66:C85)+1))</f>
        <v/>
      </c>
      <c r="D86" t="e">
        <f t="shared" si="24"/>
        <v>#N/A</v>
      </c>
      <c r="E86" s="22"/>
      <c r="F86" s="62" t="str">
        <f t="shared" ca="1" si="29"/>
        <v>N/A</v>
      </c>
      <c r="G86" s="62" t="str">
        <f t="shared" si="25"/>
        <v>N/A</v>
      </c>
      <c r="H86" s="62" t="str">
        <f t="shared" si="26"/>
        <v>N/A</v>
      </c>
      <c r="I86" s="62" t="str">
        <f t="shared" si="27"/>
        <v>N/A</v>
      </c>
      <c r="J86" s="62" t="str">
        <f t="shared" si="30"/>
        <v>N/A</v>
      </c>
      <c r="K86" s="62" t="str">
        <f t="shared" si="31"/>
        <v>N/A</v>
      </c>
      <c r="L86" s="62" t="str">
        <f t="shared" si="32"/>
        <v>N/A</v>
      </c>
      <c r="M86" s="62" t="str">
        <f ca="1">IFERROR(VLOOKUP($A86,LASTYR,'[3]2017'!$O$3,FALSE),"N/A")</f>
        <v>N/A</v>
      </c>
      <c r="N86" s="62" t="str">
        <f t="shared" ca="1" si="35"/>
        <v>N/A</v>
      </c>
      <c r="O86" s="62" t="str">
        <f t="shared" ca="1" si="33"/>
        <v>N/A</v>
      </c>
      <c r="P86" s="62" t="str">
        <f t="shared" ca="1" si="33"/>
        <v>N/A</v>
      </c>
      <c r="Q86" s="62" t="str">
        <f t="shared" ca="1" si="33"/>
        <v>N/A</v>
      </c>
      <c r="R86" s="62" t="str">
        <f t="shared" ca="1" si="33"/>
        <v>N/A</v>
      </c>
      <c r="S86" s="62" t="str">
        <f t="shared" ca="1" si="33"/>
        <v>N/A</v>
      </c>
      <c r="T86" s="62" t="str">
        <f t="shared" ca="1" si="33"/>
        <v>N/A</v>
      </c>
      <c r="U86" s="62" t="str">
        <f t="shared" ca="1" si="33"/>
        <v>N/A</v>
      </c>
      <c r="V86" s="62" t="str">
        <f t="shared" ca="1" si="33"/>
        <v>N/A</v>
      </c>
      <c r="W86" s="62" t="str">
        <f t="shared" ca="1" si="33"/>
        <v>N/A</v>
      </c>
      <c r="X86" s="62" t="str">
        <f t="shared" ca="1" si="33"/>
        <v>N/A</v>
      </c>
      <c r="Y86" s="62" t="str">
        <f t="shared" ca="1" si="36"/>
        <v>N/A</v>
      </c>
      <c r="Z86" s="62" t="str">
        <f t="shared" ca="1" si="36"/>
        <v>N/A</v>
      </c>
      <c r="AA86" s="62" t="str">
        <f t="shared" ca="1" si="36"/>
        <v>N/A</v>
      </c>
      <c r="AB86" s="62" t="str">
        <f t="shared" ca="1" si="36"/>
        <v>N/A</v>
      </c>
    </row>
    <row r="87" spans="1:28" hidden="1" x14ac:dyDescent="0.25">
      <c r="A87" s="50">
        <f t="shared" si="22"/>
        <v>0</v>
      </c>
      <c r="B87" s="45" t="str">
        <f t="shared" ca="1" si="23"/>
        <v/>
      </c>
      <c r="C87" s="1" t="str">
        <f>IF(ISERROR(D87),"",IF(D87="","",MAX($C$66:C86)+1))</f>
        <v/>
      </c>
      <c r="D87" t="e">
        <f t="shared" si="24"/>
        <v>#N/A</v>
      </c>
      <c r="E87" s="22"/>
      <c r="F87" s="62" t="str">
        <f t="shared" ca="1" si="29"/>
        <v>N/A</v>
      </c>
      <c r="G87" s="62" t="str">
        <f t="shared" si="25"/>
        <v>N/A</v>
      </c>
      <c r="H87" s="62" t="str">
        <f t="shared" si="26"/>
        <v>N/A</v>
      </c>
      <c r="I87" s="62" t="str">
        <f t="shared" si="27"/>
        <v>N/A</v>
      </c>
      <c r="J87" s="62" t="str">
        <f t="shared" si="30"/>
        <v>N/A</v>
      </c>
      <c r="K87" s="62" t="str">
        <f t="shared" si="31"/>
        <v>N/A</v>
      </c>
      <c r="L87" s="62" t="str">
        <f t="shared" si="32"/>
        <v>N/A</v>
      </c>
      <c r="M87" s="62" t="str">
        <f ca="1">IFERROR(VLOOKUP($A87,LASTYR,'[3]2017'!$O$3,FALSE),"N/A")</f>
        <v>N/A</v>
      </c>
      <c r="N87" s="62" t="str">
        <f t="shared" ca="1" si="35"/>
        <v>N/A</v>
      </c>
      <c r="O87" s="62" t="str">
        <f t="shared" ca="1" si="33"/>
        <v>N/A</v>
      </c>
      <c r="P87" s="62" t="str">
        <f t="shared" ca="1" si="33"/>
        <v>N/A</v>
      </c>
      <c r="Q87" s="62" t="str">
        <f t="shared" ca="1" si="33"/>
        <v>N/A</v>
      </c>
      <c r="R87" s="62" t="str">
        <f t="shared" ca="1" si="33"/>
        <v>N/A</v>
      </c>
      <c r="S87" s="62" t="str">
        <f t="shared" ca="1" si="33"/>
        <v>N/A</v>
      </c>
      <c r="T87" s="62" t="str">
        <f t="shared" ca="1" si="33"/>
        <v>N/A</v>
      </c>
      <c r="U87" s="62" t="str">
        <f t="shared" ca="1" si="33"/>
        <v>N/A</v>
      </c>
      <c r="V87" s="62" t="str">
        <f t="shared" ca="1" si="33"/>
        <v>N/A</v>
      </c>
      <c r="W87" s="62" t="str">
        <f t="shared" ca="1" si="33"/>
        <v>N/A</v>
      </c>
      <c r="X87" s="62" t="str">
        <f t="shared" ca="1" si="33"/>
        <v>N/A</v>
      </c>
      <c r="Y87" s="62" t="str">
        <f t="shared" ca="1" si="36"/>
        <v>N/A</v>
      </c>
      <c r="Z87" s="62" t="str">
        <f t="shared" ca="1" si="36"/>
        <v>N/A</v>
      </c>
      <c r="AA87" s="62" t="str">
        <f t="shared" ca="1" si="36"/>
        <v>N/A</v>
      </c>
      <c r="AB87" s="62" t="str">
        <f t="shared" ca="1" si="36"/>
        <v>N/A</v>
      </c>
    </row>
    <row r="88" spans="1:28" hidden="1" x14ac:dyDescent="0.25">
      <c r="A88" s="50">
        <f t="shared" si="22"/>
        <v>0</v>
      </c>
      <c r="B88" s="45" t="str">
        <f t="shared" ca="1" si="23"/>
        <v/>
      </c>
      <c r="C88" s="1" t="str">
        <f>IF(ISERROR(D88),"",IF(D88="","",MAX($C$66:C87)+1))</f>
        <v/>
      </c>
      <c r="D88" t="e">
        <f t="shared" si="24"/>
        <v>#N/A</v>
      </c>
      <c r="E88" s="22"/>
      <c r="F88" s="62" t="str">
        <f t="shared" ca="1" si="29"/>
        <v>N/A</v>
      </c>
      <c r="G88" s="62" t="str">
        <f t="shared" si="25"/>
        <v>N/A</v>
      </c>
      <c r="H88" s="62" t="str">
        <f t="shared" si="26"/>
        <v>N/A</v>
      </c>
      <c r="I88" s="62" t="str">
        <f t="shared" si="27"/>
        <v>N/A</v>
      </c>
      <c r="J88" s="62" t="str">
        <f t="shared" si="30"/>
        <v>N/A</v>
      </c>
      <c r="K88" s="62" t="str">
        <f t="shared" si="31"/>
        <v>N/A</v>
      </c>
      <c r="L88" s="62" t="str">
        <f t="shared" si="32"/>
        <v>N/A</v>
      </c>
      <c r="M88" s="62" t="str">
        <f ca="1">IFERROR(VLOOKUP($A88,LASTYR,'[3]2017'!$O$3,FALSE),"N/A")</f>
        <v>N/A</v>
      </c>
      <c r="N88" s="62" t="str">
        <f t="shared" ca="1" si="35"/>
        <v>N/A</v>
      </c>
      <c r="O88" s="62" t="str">
        <f t="shared" ref="O88:X97" ca="1" si="37">IFERROR(IF(INDEX(DIV_EARN_WP,$B88,O$67)=0,"N/A",INDEX(DIV_EARN_WP,$B88,O$67)),"N/A")</f>
        <v>N/A</v>
      </c>
      <c r="P88" s="62" t="str">
        <f t="shared" ca="1" si="37"/>
        <v>N/A</v>
      </c>
      <c r="Q88" s="62" t="str">
        <f t="shared" ca="1" si="37"/>
        <v>N/A</v>
      </c>
      <c r="R88" s="62" t="str">
        <f t="shared" ca="1" si="37"/>
        <v>N/A</v>
      </c>
      <c r="S88" s="62" t="str">
        <f t="shared" ca="1" si="37"/>
        <v>N/A</v>
      </c>
      <c r="T88" s="62" t="str">
        <f t="shared" ca="1" si="37"/>
        <v>N/A</v>
      </c>
      <c r="U88" s="62" t="str">
        <f t="shared" ca="1" si="37"/>
        <v>N/A</v>
      </c>
      <c r="V88" s="62" t="str">
        <f t="shared" ca="1" si="37"/>
        <v>N/A</v>
      </c>
      <c r="W88" s="62" t="str">
        <f t="shared" ca="1" si="37"/>
        <v>N/A</v>
      </c>
      <c r="X88" s="62" t="str">
        <f t="shared" ca="1" si="37"/>
        <v>N/A</v>
      </c>
      <c r="Y88" s="62" t="str">
        <f t="shared" ca="1" si="36"/>
        <v>N/A</v>
      </c>
      <c r="Z88" s="62" t="str">
        <f t="shared" ca="1" si="36"/>
        <v>N/A</v>
      </c>
      <c r="AA88" s="62" t="str">
        <f t="shared" ca="1" si="36"/>
        <v>N/A</v>
      </c>
      <c r="AB88" s="62" t="str">
        <f t="shared" ca="1" si="36"/>
        <v>N/A</v>
      </c>
    </row>
    <row r="89" spans="1:28" hidden="1" x14ac:dyDescent="0.25">
      <c r="A89" s="50">
        <f t="shared" si="22"/>
        <v>0</v>
      </c>
      <c r="B89" s="45" t="str">
        <f t="shared" ca="1" si="23"/>
        <v/>
      </c>
      <c r="C89" s="1" t="str">
        <f>IF(ISERROR(D89),"",IF(D89="","",MAX($C$66:C88)+1))</f>
        <v/>
      </c>
      <c r="D89" t="e">
        <f t="shared" si="24"/>
        <v>#N/A</v>
      </c>
      <c r="E89" s="22"/>
      <c r="F89" s="62" t="str">
        <f t="shared" ca="1" si="29"/>
        <v>N/A</v>
      </c>
      <c r="G89" s="62" t="str">
        <f t="shared" si="25"/>
        <v>N/A</v>
      </c>
      <c r="H89" s="62" t="str">
        <f t="shared" si="26"/>
        <v>N/A</v>
      </c>
      <c r="I89" s="62" t="str">
        <f t="shared" si="27"/>
        <v>N/A</v>
      </c>
      <c r="J89" s="62" t="str">
        <f t="shared" si="30"/>
        <v>N/A</v>
      </c>
      <c r="K89" s="62" t="str">
        <f t="shared" si="31"/>
        <v>N/A</v>
      </c>
      <c r="L89" s="62" t="str">
        <f t="shared" si="32"/>
        <v>N/A</v>
      </c>
      <c r="M89" s="62" t="str">
        <f ca="1">IFERROR(VLOOKUP($A89,LASTYR,'[3]2017'!$O$3,FALSE),"N/A")</f>
        <v>N/A</v>
      </c>
      <c r="N89" s="62" t="str">
        <f t="shared" ca="1" si="35"/>
        <v>N/A</v>
      </c>
      <c r="O89" s="62" t="str">
        <f t="shared" ca="1" si="37"/>
        <v>N/A</v>
      </c>
      <c r="P89" s="62" t="str">
        <f t="shared" ca="1" si="37"/>
        <v>N/A</v>
      </c>
      <c r="Q89" s="62" t="str">
        <f t="shared" ca="1" si="37"/>
        <v>N/A</v>
      </c>
      <c r="R89" s="62" t="str">
        <f t="shared" ca="1" si="37"/>
        <v>N/A</v>
      </c>
      <c r="S89" s="62" t="str">
        <f t="shared" ca="1" si="37"/>
        <v>N/A</v>
      </c>
      <c r="T89" s="62" t="str">
        <f t="shared" ca="1" si="37"/>
        <v>N/A</v>
      </c>
      <c r="U89" s="62" t="str">
        <f t="shared" ca="1" si="37"/>
        <v>N/A</v>
      </c>
      <c r="V89" s="62" t="str">
        <f t="shared" ca="1" si="37"/>
        <v>N/A</v>
      </c>
      <c r="W89" s="62" t="str">
        <f t="shared" ca="1" si="37"/>
        <v>N/A</v>
      </c>
      <c r="X89" s="62" t="str">
        <f t="shared" ca="1" si="37"/>
        <v>N/A</v>
      </c>
      <c r="Y89" s="62" t="str">
        <f t="shared" ca="1" si="36"/>
        <v>N/A</v>
      </c>
      <c r="Z89" s="62" t="str">
        <f t="shared" ca="1" si="36"/>
        <v>N/A</v>
      </c>
      <c r="AA89" s="62" t="str">
        <f t="shared" ca="1" si="36"/>
        <v>N/A</v>
      </c>
      <c r="AB89" s="62" t="str">
        <f t="shared" ca="1" si="36"/>
        <v>N/A</v>
      </c>
    </row>
    <row r="90" spans="1:28" hidden="1" x14ac:dyDescent="0.25">
      <c r="A90" s="50">
        <f t="shared" si="22"/>
        <v>0</v>
      </c>
      <c r="B90" s="45" t="str">
        <f t="shared" ca="1" si="23"/>
        <v/>
      </c>
      <c r="C90" s="1" t="str">
        <f>IF(ISERROR(D90),"",IF(D90="","",MAX($C$66:C89)+1))</f>
        <v/>
      </c>
      <c r="D90" t="e">
        <f t="shared" si="24"/>
        <v>#N/A</v>
      </c>
      <c r="E90" s="22"/>
      <c r="F90" s="62" t="str">
        <f t="shared" ca="1" si="29"/>
        <v>N/A</v>
      </c>
      <c r="G90" s="62" t="str">
        <f t="shared" si="25"/>
        <v>N/A</v>
      </c>
      <c r="H90" s="62" t="str">
        <f t="shared" si="26"/>
        <v>N/A</v>
      </c>
      <c r="I90" s="62" t="str">
        <f t="shared" si="27"/>
        <v>N/A</v>
      </c>
      <c r="J90" s="62" t="str">
        <f t="shared" si="30"/>
        <v>N/A</v>
      </c>
      <c r="K90" s="62" t="str">
        <f t="shared" si="31"/>
        <v>N/A</v>
      </c>
      <c r="L90" s="62" t="str">
        <f t="shared" si="32"/>
        <v>N/A</v>
      </c>
      <c r="M90" s="62" t="str">
        <f ca="1">IFERROR(VLOOKUP($A90,LASTYR,'[3]2017'!$O$3,FALSE),"N/A")</f>
        <v>N/A</v>
      </c>
      <c r="N90" s="62" t="str">
        <f t="shared" ca="1" si="35"/>
        <v>N/A</v>
      </c>
      <c r="O90" s="62" t="str">
        <f t="shared" ca="1" si="37"/>
        <v>N/A</v>
      </c>
      <c r="P90" s="62" t="str">
        <f t="shared" ca="1" si="37"/>
        <v>N/A</v>
      </c>
      <c r="Q90" s="62" t="str">
        <f t="shared" ca="1" si="37"/>
        <v>N/A</v>
      </c>
      <c r="R90" s="62" t="str">
        <f t="shared" ca="1" si="37"/>
        <v>N/A</v>
      </c>
      <c r="S90" s="62" t="str">
        <f t="shared" ca="1" si="37"/>
        <v>N/A</v>
      </c>
      <c r="T90" s="62" t="str">
        <f t="shared" ca="1" si="37"/>
        <v>N/A</v>
      </c>
      <c r="U90" s="62" t="str">
        <f t="shared" ca="1" si="37"/>
        <v>N/A</v>
      </c>
      <c r="V90" s="62" t="str">
        <f t="shared" ca="1" si="37"/>
        <v>N/A</v>
      </c>
      <c r="W90" s="62" t="str">
        <f t="shared" ca="1" si="37"/>
        <v>N/A</v>
      </c>
      <c r="X90" s="62" t="str">
        <f t="shared" ca="1" si="37"/>
        <v>N/A</v>
      </c>
      <c r="Y90" s="62" t="str">
        <f t="shared" ca="1" si="36"/>
        <v>N/A</v>
      </c>
      <c r="Z90" s="62" t="str">
        <f t="shared" ca="1" si="36"/>
        <v>N/A</v>
      </c>
      <c r="AA90" s="62" t="str">
        <f t="shared" ca="1" si="36"/>
        <v>N/A</v>
      </c>
      <c r="AB90" s="62" t="str">
        <f t="shared" ca="1" si="36"/>
        <v>N/A</v>
      </c>
    </row>
    <row r="91" spans="1:28" hidden="1" x14ac:dyDescent="0.25">
      <c r="A91" s="50">
        <f t="shared" si="22"/>
        <v>0</v>
      </c>
      <c r="B91" s="45" t="str">
        <f t="shared" ca="1" si="23"/>
        <v/>
      </c>
      <c r="C91" s="1" t="str">
        <f>IF(ISERROR(D91),"",IF(D91="","",MAX($C$66:C90)+1))</f>
        <v/>
      </c>
      <c r="D91" t="e">
        <f t="shared" si="24"/>
        <v>#N/A</v>
      </c>
      <c r="E91" s="22"/>
      <c r="F91" s="62" t="str">
        <f t="shared" ca="1" si="29"/>
        <v>N/A</v>
      </c>
      <c r="G91" s="62" t="str">
        <f t="shared" si="25"/>
        <v>N/A</v>
      </c>
      <c r="H91" s="62" t="str">
        <f t="shared" si="26"/>
        <v>N/A</v>
      </c>
      <c r="I91" s="62" t="str">
        <f t="shared" si="27"/>
        <v>N/A</v>
      </c>
      <c r="J91" s="62" t="str">
        <f t="shared" si="30"/>
        <v>N/A</v>
      </c>
      <c r="K91" s="62" t="str">
        <f t="shared" si="31"/>
        <v>N/A</v>
      </c>
      <c r="L91" s="62" t="str">
        <f t="shared" si="32"/>
        <v>N/A</v>
      </c>
      <c r="M91" s="62" t="str">
        <f ca="1">IFERROR(VLOOKUP($A91,LASTYR,'[3]2017'!$O$3,FALSE),"N/A")</f>
        <v>N/A</v>
      </c>
      <c r="N91" s="62" t="str">
        <f t="shared" ca="1" si="35"/>
        <v>N/A</v>
      </c>
      <c r="O91" s="62" t="str">
        <f t="shared" ca="1" si="37"/>
        <v>N/A</v>
      </c>
      <c r="P91" s="62" t="str">
        <f t="shared" ca="1" si="37"/>
        <v>N/A</v>
      </c>
      <c r="Q91" s="62" t="str">
        <f t="shared" ca="1" si="37"/>
        <v>N/A</v>
      </c>
      <c r="R91" s="62" t="str">
        <f t="shared" ca="1" si="37"/>
        <v>N/A</v>
      </c>
      <c r="S91" s="62" t="str">
        <f t="shared" ca="1" si="37"/>
        <v>N/A</v>
      </c>
      <c r="T91" s="62" t="str">
        <f t="shared" ca="1" si="37"/>
        <v>N/A</v>
      </c>
      <c r="U91" s="62" t="str">
        <f t="shared" ca="1" si="37"/>
        <v>N/A</v>
      </c>
      <c r="V91" s="62" t="str">
        <f t="shared" ca="1" si="37"/>
        <v>N/A</v>
      </c>
      <c r="W91" s="62" t="str">
        <f t="shared" ca="1" si="37"/>
        <v>N/A</v>
      </c>
      <c r="X91" s="62" t="str">
        <f t="shared" ca="1" si="37"/>
        <v>N/A</v>
      </c>
      <c r="Y91" s="62" t="str">
        <f t="shared" ca="1" si="36"/>
        <v>N/A</v>
      </c>
      <c r="Z91" s="62" t="str">
        <f t="shared" ca="1" si="36"/>
        <v>N/A</v>
      </c>
      <c r="AA91" s="62" t="str">
        <f t="shared" ca="1" si="36"/>
        <v>N/A</v>
      </c>
      <c r="AB91" s="62" t="str">
        <f t="shared" ca="1" si="36"/>
        <v>N/A</v>
      </c>
    </row>
    <row r="92" spans="1:28" hidden="1" x14ac:dyDescent="0.25">
      <c r="A92" s="50">
        <f t="shared" si="22"/>
        <v>0</v>
      </c>
      <c r="B92" s="45" t="str">
        <f t="shared" ca="1" si="23"/>
        <v/>
      </c>
      <c r="C92" s="1" t="str">
        <f>IF(ISERROR(D92),"",IF(D92="","",MAX($C$66:C91)+1))</f>
        <v/>
      </c>
      <c r="D92" t="e">
        <f t="shared" si="24"/>
        <v>#N/A</v>
      </c>
      <c r="E92" s="22"/>
      <c r="F92" s="62" t="str">
        <f t="shared" ca="1" si="29"/>
        <v>N/A</v>
      </c>
      <c r="G92" s="62" t="str">
        <f t="shared" si="25"/>
        <v>N/A</v>
      </c>
      <c r="H92" s="62" t="str">
        <f t="shared" si="26"/>
        <v>N/A</v>
      </c>
      <c r="I92" s="62" t="str">
        <f t="shared" si="27"/>
        <v>N/A</v>
      </c>
      <c r="J92" s="62" t="str">
        <f t="shared" si="30"/>
        <v>N/A</v>
      </c>
      <c r="K92" s="62" t="str">
        <f t="shared" si="31"/>
        <v>N/A</v>
      </c>
      <c r="L92" s="62" t="str">
        <f t="shared" si="32"/>
        <v>N/A</v>
      </c>
      <c r="M92" s="62" t="str">
        <f ca="1">IFERROR(VLOOKUP($A92,LASTYR,'[3]2017'!$O$3,FALSE),"N/A")</f>
        <v>N/A</v>
      </c>
      <c r="N92" s="62" t="str">
        <f t="shared" ca="1" si="35"/>
        <v>N/A</v>
      </c>
      <c r="O92" s="62" t="str">
        <f t="shared" ca="1" si="37"/>
        <v>N/A</v>
      </c>
      <c r="P92" s="62" t="str">
        <f t="shared" ca="1" si="37"/>
        <v>N/A</v>
      </c>
      <c r="Q92" s="62" t="str">
        <f t="shared" ca="1" si="37"/>
        <v>N/A</v>
      </c>
      <c r="R92" s="62" t="str">
        <f t="shared" ca="1" si="37"/>
        <v>N/A</v>
      </c>
      <c r="S92" s="62" t="str">
        <f t="shared" ca="1" si="37"/>
        <v>N/A</v>
      </c>
      <c r="T92" s="62" t="str">
        <f t="shared" ca="1" si="37"/>
        <v>N/A</v>
      </c>
      <c r="U92" s="62" t="str">
        <f t="shared" ca="1" si="37"/>
        <v>N/A</v>
      </c>
      <c r="V92" s="62" t="str">
        <f t="shared" ca="1" si="37"/>
        <v>N/A</v>
      </c>
      <c r="W92" s="62" t="str">
        <f t="shared" ca="1" si="37"/>
        <v>N/A</v>
      </c>
      <c r="X92" s="62" t="str">
        <f t="shared" ca="1" si="37"/>
        <v>N/A</v>
      </c>
      <c r="Y92" s="62" t="str">
        <f t="shared" ca="1" si="36"/>
        <v>N/A</v>
      </c>
      <c r="Z92" s="62" t="str">
        <f t="shared" ca="1" si="36"/>
        <v>N/A</v>
      </c>
      <c r="AA92" s="62" t="str">
        <f t="shared" ca="1" si="36"/>
        <v>N/A</v>
      </c>
      <c r="AB92" s="62" t="str">
        <f t="shared" ca="1" si="36"/>
        <v>N/A</v>
      </c>
    </row>
    <row r="93" spans="1:28" hidden="1" x14ac:dyDescent="0.25">
      <c r="A93" s="50">
        <f t="shared" si="22"/>
        <v>0</v>
      </c>
      <c r="B93" s="45" t="str">
        <f t="shared" ca="1" si="23"/>
        <v/>
      </c>
      <c r="C93" s="1" t="str">
        <f>IF(ISERROR(D93),"",IF(D93="","",MAX($C$66:C92)+1))</f>
        <v/>
      </c>
      <c r="D93" t="e">
        <f t="shared" si="24"/>
        <v>#N/A</v>
      </c>
      <c r="E93" s="22"/>
      <c r="F93" s="62" t="str">
        <f t="shared" ca="1" si="29"/>
        <v>N/A</v>
      </c>
      <c r="G93" s="62" t="str">
        <f t="shared" si="25"/>
        <v>N/A</v>
      </c>
      <c r="H93" s="62" t="str">
        <f t="shared" si="26"/>
        <v>N/A</v>
      </c>
      <c r="I93" s="62" t="str">
        <f t="shared" si="27"/>
        <v>N/A</v>
      </c>
      <c r="J93" s="62" t="str">
        <f t="shared" si="30"/>
        <v>N/A</v>
      </c>
      <c r="K93" s="62" t="str">
        <f t="shared" si="31"/>
        <v>N/A</v>
      </c>
      <c r="L93" s="62" t="str">
        <f t="shared" si="32"/>
        <v>N/A</v>
      </c>
      <c r="M93" s="62" t="str">
        <f ca="1">IFERROR(VLOOKUP($A93,LASTYR,'[3]2017'!$O$3,FALSE),"N/A")</f>
        <v>N/A</v>
      </c>
      <c r="N93" s="62" t="str">
        <f t="shared" ca="1" si="35"/>
        <v>N/A</v>
      </c>
      <c r="O93" s="62" t="str">
        <f t="shared" ca="1" si="37"/>
        <v>N/A</v>
      </c>
      <c r="P93" s="62" t="str">
        <f t="shared" ca="1" si="37"/>
        <v>N/A</v>
      </c>
      <c r="Q93" s="62" t="str">
        <f t="shared" ca="1" si="37"/>
        <v>N/A</v>
      </c>
      <c r="R93" s="62" t="str">
        <f t="shared" ca="1" si="37"/>
        <v>N/A</v>
      </c>
      <c r="S93" s="62" t="str">
        <f t="shared" ca="1" si="37"/>
        <v>N/A</v>
      </c>
      <c r="T93" s="62" t="str">
        <f t="shared" ca="1" si="37"/>
        <v>N/A</v>
      </c>
      <c r="U93" s="62" t="str">
        <f t="shared" ca="1" si="37"/>
        <v>N/A</v>
      </c>
      <c r="V93" s="62" t="str">
        <f t="shared" ca="1" si="37"/>
        <v>N/A</v>
      </c>
      <c r="W93" s="62" t="str">
        <f t="shared" ca="1" si="37"/>
        <v>N/A</v>
      </c>
      <c r="X93" s="62" t="str">
        <f t="shared" ca="1" si="37"/>
        <v>N/A</v>
      </c>
      <c r="Y93" s="62" t="str">
        <f t="shared" ca="1" si="36"/>
        <v>N/A</v>
      </c>
      <c r="Z93" s="62" t="str">
        <f t="shared" ca="1" si="36"/>
        <v>N/A</v>
      </c>
      <c r="AA93" s="62" t="str">
        <f t="shared" ca="1" si="36"/>
        <v>N/A</v>
      </c>
      <c r="AB93" s="62" t="str">
        <f t="shared" ca="1" si="36"/>
        <v>N/A</v>
      </c>
    </row>
    <row r="94" spans="1:28" hidden="1" x14ac:dyDescent="0.25">
      <c r="A94" s="50">
        <f t="shared" si="22"/>
        <v>0</v>
      </c>
      <c r="B94" s="45" t="str">
        <f t="shared" ca="1" si="23"/>
        <v/>
      </c>
      <c r="C94" s="1" t="str">
        <f>IF(ISERROR(D94),"",IF(D94="","",MAX($C$66:C93)+1))</f>
        <v/>
      </c>
      <c r="D94" t="e">
        <f t="shared" si="24"/>
        <v>#N/A</v>
      </c>
      <c r="E94" s="22"/>
      <c r="F94" s="62" t="str">
        <f t="shared" ca="1" si="29"/>
        <v>N/A</v>
      </c>
      <c r="G94" s="62" t="str">
        <f t="shared" si="25"/>
        <v>N/A</v>
      </c>
      <c r="H94" s="62" t="str">
        <f t="shared" si="26"/>
        <v>N/A</v>
      </c>
      <c r="I94" s="62" t="str">
        <f t="shared" si="27"/>
        <v>N/A</v>
      </c>
      <c r="J94" s="62" t="str">
        <f t="shared" si="30"/>
        <v>N/A</v>
      </c>
      <c r="K94" s="62" t="str">
        <f t="shared" si="31"/>
        <v>N/A</v>
      </c>
      <c r="L94" s="62" t="str">
        <f t="shared" si="32"/>
        <v>N/A</v>
      </c>
      <c r="M94" s="62" t="str">
        <f ca="1">IFERROR(VLOOKUP($A94,LASTYR,'[3]2017'!$O$3,FALSE),"N/A")</f>
        <v>N/A</v>
      </c>
      <c r="N94" s="62" t="str">
        <f t="shared" ca="1" si="35"/>
        <v>N/A</v>
      </c>
      <c r="O94" s="62" t="str">
        <f t="shared" ca="1" si="37"/>
        <v>N/A</v>
      </c>
      <c r="P94" s="62" t="str">
        <f t="shared" ca="1" si="37"/>
        <v>N/A</v>
      </c>
      <c r="Q94" s="62" t="str">
        <f t="shared" ca="1" si="37"/>
        <v>N/A</v>
      </c>
      <c r="R94" s="62" t="str">
        <f t="shared" ca="1" si="37"/>
        <v>N/A</v>
      </c>
      <c r="S94" s="62" t="str">
        <f t="shared" ca="1" si="37"/>
        <v>N/A</v>
      </c>
      <c r="T94" s="62" t="str">
        <f t="shared" ca="1" si="37"/>
        <v>N/A</v>
      </c>
      <c r="U94" s="62" t="str">
        <f t="shared" ca="1" si="37"/>
        <v>N/A</v>
      </c>
      <c r="V94" s="62" t="str">
        <f t="shared" ca="1" si="37"/>
        <v>N/A</v>
      </c>
      <c r="W94" s="62" t="str">
        <f t="shared" ca="1" si="37"/>
        <v>N/A</v>
      </c>
      <c r="X94" s="62" t="str">
        <f t="shared" ca="1" si="37"/>
        <v>N/A</v>
      </c>
      <c r="Y94" s="62" t="str">
        <f t="shared" ca="1" si="36"/>
        <v>N/A</v>
      </c>
      <c r="Z94" s="62" t="str">
        <f t="shared" ca="1" si="36"/>
        <v>N/A</v>
      </c>
      <c r="AA94" s="62" t="str">
        <f t="shared" ca="1" si="36"/>
        <v>N/A</v>
      </c>
      <c r="AB94" s="62" t="str">
        <f t="shared" ca="1" si="36"/>
        <v>N/A</v>
      </c>
    </row>
    <row r="95" spans="1:28" hidden="1" x14ac:dyDescent="0.25">
      <c r="A95" s="50">
        <f t="shared" si="22"/>
        <v>0</v>
      </c>
      <c r="B95" s="45" t="str">
        <f t="shared" ca="1" si="23"/>
        <v/>
      </c>
      <c r="C95" s="1" t="str">
        <f>IF(ISERROR(D95),"",IF(D95="","",MAX($C$66:C94)+1))</f>
        <v/>
      </c>
      <c r="D95" t="e">
        <f t="shared" si="24"/>
        <v>#N/A</v>
      </c>
      <c r="E95" s="22"/>
      <c r="F95" s="62" t="str">
        <f t="shared" ca="1" si="29"/>
        <v>N/A</v>
      </c>
      <c r="G95" s="62" t="str">
        <f t="shared" si="25"/>
        <v>N/A</v>
      </c>
      <c r="H95" s="62" t="str">
        <f t="shared" si="26"/>
        <v>N/A</v>
      </c>
      <c r="I95" s="62" t="str">
        <f t="shared" si="27"/>
        <v>N/A</v>
      </c>
      <c r="J95" s="62" t="str">
        <f t="shared" si="30"/>
        <v>N/A</v>
      </c>
      <c r="K95" s="62" t="str">
        <f t="shared" si="31"/>
        <v>N/A</v>
      </c>
      <c r="L95" s="62" t="str">
        <f t="shared" si="32"/>
        <v>N/A</v>
      </c>
      <c r="M95" s="62" t="str">
        <f ca="1">IFERROR(VLOOKUP($A95,LASTYR,'[3]2017'!$O$3,FALSE),"N/A")</f>
        <v>N/A</v>
      </c>
      <c r="N95" s="62" t="str">
        <f t="shared" ca="1" si="35"/>
        <v>N/A</v>
      </c>
      <c r="O95" s="62" t="str">
        <f t="shared" ca="1" si="37"/>
        <v>N/A</v>
      </c>
      <c r="P95" s="62" t="str">
        <f t="shared" ca="1" si="37"/>
        <v>N/A</v>
      </c>
      <c r="Q95" s="62" t="str">
        <f t="shared" ca="1" si="37"/>
        <v>N/A</v>
      </c>
      <c r="R95" s="62" t="str">
        <f t="shared" ca="1" si="37"/>
        <v>N/A</v>
      </c>
      <c r="S95" s="62" t="str">
        <f t="shared" ca="1" si="37"/>
        <v>N/A</v>
      </c>
      <c r="T95" s="62" t="str">
        <f t="shared" ca="1" si="37"/>
        <v>N/A</v>
      </c>
      <c r="U95" s="62" t="str">
        <f t="shared" ca="1" si="37"/>
        <v>N/A</v>
      </c>
      <c r="V95" s="62" t="str">
        <f t="shared" ca="1" si="37"/>
        <v>N/A</v>
      </c>
      <c r="W95" s="62" t="str">
        <f t="shared" ca="1" si="37"/>
        <v>N/A</v>
      </c>
      <c r="X95" s="62" t="str">
        <f t="shared" ca="1" si="37"/>
        <v>N/A</v>
      </c>
      <c r="Y95" s="62" t="str">
        <f t="shared" ca="1" si="36"/>
        <v>N/A</v>
      </c>
      <c r="Z95" s="62" t="str">
        <f t="shared" ca="1" si="36"/>
        <v>N/A</v>
      </c>
      <c r="AA95" s="62" t="str">
        <f t="shared" ca="1" si="36"/>
        <v>N/A</v>
      </c>
      <c r="AB95" s="62" t="str">
        <f t="shared" ca="1" si="36"/>
        <v>N/A</v>
      </c>
    </row>
    <row r="96" spans="1:28" hidden="1" x14ac:dyDescent="0.25">
      <c r="A96" s="50">
        <f t="shared" si="22"/>
        <v>0</v>
      </c>
      <c r="B96" s="45" t="str">
        <f t="shared" ca="1" si="23"/>
        <v/>
      </c>
      <c r="C96" s="1" t="str">
        <f>IF(ISERROR(D96),"",IF(D96="","",MAX($C$66:C95)+1))</f>
        <v/>
      </c>
      <c r="D96" t="e">
        <f t="shared" si="24"/>
        <v>#N/A</v>
      </c>
      <c r="E96" s="22"/>
      <c r="F96" s="62" t="str">
        <f t="shared" ca="1" si="29"/>
        <v>N/A</v>
      </c>
      <c r="G96" s="62" t="str">
        <f t="shared" si="25"/>
        <v>N/A</v>
      </c>
      <c r="H96" s="62" t="str">
        <f t="shared" si="26"/>
        <v>N/A</v>
      </c>
      <c r="I96" s="62" t="str">
        <f t="shared" si="27"/>
        <v>N/A</v>
      </c>
      <c r="J96" s="62" t="str">
        <f t="shared" si="30"/>
        <v>N/A</v>
      </c>
      <c r="K96" s="62" t="str">
        <f t="shared" si="31"/>
        <v>N/A</v>
      </c>
      <c r="L96" s="62" t="str">
        <f t="shared" si="32"/>
        <v>N/A</v>
      </c>
      <c r="M96" s="62" t="str">
        <f ca="1">IFERROR(VLOOKUP($A96,LASTYR,'[3]2017'!$O$3,FALSE),"N/A")</f>
        <v>N/A</v>
      </c>
      <c r="N96" s="62" t="str">
        <f t="shared" ca="1" si="35"/>
        <v>N/A</v>
      </c>
      <c r="O96" s="62" t="str">
        <f t="shared" ca="1" si="37"/>
        <v>N/A</v>
      </c>
      <c r="P96" s="62" t="str">
        <f t="shared" ca="1" si="37"/>
        <v>N/A</v>
      </c>
      <c r="Q96" s="62" t="str">
        <f t="shared" ca="1" si="37"/>
        <v>N/A</v>
      </c>
      <c r="R96" s="62" t="str">
        <f t="shared" ca="1" si="37"/>
        <v>N/A</v>
      </c>
      <c r="S96" s="62" t="str">
        <f t="shared" ca="1" si="37"/>
        <v>N/A</v>
      </c>
      <c r="T96" s="62" t="str">
        <f t="shared" ca="1" si="37"/>
        <v>N/A</v>
      </c>
      <c r="U96" s="62" t="str">
        <f t="shared" ca="1" si="37"/>
        <v>N/A</v>
      </c>
      <c r="V96" s="62" t="str">
        <f t="shared" ca="1" si="37"/>
        <v>N/A</v>
      </c>
      <c r="W96" s="62" t="str">
        <f t="shared" ca="1" si="37"/>
        <v>N/A</v>
      </c>
      <c r="X96" s="62" t="str">
        <f t="shared" ca="1" si="37"/>
        <v>N/A</v>
      </c>
      <c r="Y96" s="62" t="str">
        <f t="shared" ca="1" si="36"/>
        <v>N/A</v>
      </c>
      <c r="Z96" s="62" t="str">
        <f t="shared" ca="1" si="36"/>
        <v>N/A</v>
      </c>
      <c r="AA96" s="62" t="str">
        <f t="shared" ca="1" si="36"/>
        <v>N/A</v>
      </c>
      <c r="AB96" s="62" t="str">
        <f t="shared" ca="1" si="36"/>
        <v>N/A</v>
      </c>
    </row>
    <row r="97" spans="1:28" hidden="1" x14ac:dyDescent="0.25">
      <c r="A97" s="50">
        <f t="shared" si="22"/>
        <v>0</v>
      </c>
      <c r="B97" s="45" t="str">
        <f t="shared" ca="1" si="23"/>
        <v/>
      </c>
      <c r="C97" s="1" t="str">
        <f>IF(ISERROR(D97),"",IF(D97="","",MAX($C$66:C96)+1))</f>
        <v/>
      </c>
      <c r="D97" t="e">
        <f t="shared" si="24"/>
        <v>#N/A</v>
      </c>
      <c r="E97" s="22"/>
      <c r="F97" s="62" t="str">
        <f t="shared" ca="1" si="29"/>
        <v>N/A</v>
      </c>
      <c r="G97" s="62" t="str">
        <f t="shared" si="25"/>
        <v>N/A</v>
      </c>
      <c r="H97" s="62" t="str">
        <f t="shared" si="26"/>
        <v>N/A</v>
      </c>
      <c r="I97" s="62" t="str">
        <f t="shared" si="27"/>
        <v>N/A</v>
      </c>
      <c r="J97" s="62" t="str">
        <f t="shared" si="30"/>
        <v>N/A</v>
      </c>
      <c r="K97" s="62" t="str">
        <f t="shared" si="31"/>
        <v>N/A</v>
      </c>
      <c r="L97" s="62" t="str">
        <f t="shared" si="32"/>
        <v>N/A</v>
      </c>
      <c r="M97" s="62" t="str">
        <f ca="1">IFERROR(VLOOKUP($A97,LASTYR,'[3]2017'!$O$3,FALSE),"N/A")</f>
        <v>N/A</v>
      </c>
      <c r="N97" s="62" t="str">
        <f t="shared" ca="1" si="35"/>
        <v>N/A</v>
      </c>
      <c r="O97" s="62" t="str">
        <f t="shared" ca="1" si="37"/>
        <v>N/A</v>
      </c>
      <c r="P97" s="62" t="str">
        <f t="shared" ca="1" si="37"/>
        <v>N/A</v>
      </c>
      <c r="Q97" s="62" t="str">
        <f t="shared" ca="1" si="37"/>
        <v>N/A</v>
      </c>
      <c r="R97" s="62" t="str">
        <f t="shared" ca="1" si="37"/>
        <v>N/A</v>
      </c>
      <c r="S97" s="62" t="str">
        <f t="shared" ca="1" si="37"/>
        <v>N/A</v>
      </c>
      <c r="T97" s="62" t="str">
        <f t="shared" ca="1" si="37"/>
        <v>N/A</v>
      </c>
      <c r="U97" s="62" t="str">
        <f t="shared" ca="1" si="37"/>
        <v>N/A</v>
      </c>
      <c r="V97" s="62" t="str">
        <f t="shared" ca="1" si="37"/>
        <v>N/A</v>
      </c>
      <c r="W97" s="62" t="str">
        <f t="shared" ca="1" si="37"/>
        <v>N/A</v>
      </c>
      <c r="X97" s="62" t="str">
        <f t="shared" ca="1" si="37"/>
        <v>N/A</v>
      </c>
      <c r="Y97" s="62" t="str">
        <f t="shared" ca="1" si="36"/>
        <v>N/A</v>
      </c>
      <c r="Z97" s="62" t="str">
        <f t="shared" ca="1" si="36"/>
        <v>N/A</v>
      </c>
      <c r="AA97" s="62" t="str">
        <f t="shared" ca="1" si="36"/>
        <v>N/A</v>
      </c>
      <c r="AB97" s="62" t="str">
        <f t="shared" ca="1" si="36"/>
        <v>N/A</v>
      </c>
    </row>
    <row r="98" spans="1:28" hidden="1" x14ac:dyDescent="0.25">
      <c r="A98" s="50">
        <f t="shared" si="22"/>
        <v>0</v>
      </c>
      <c r="B98" s="45" t="str">
        <f t="shared" ca="1" si="23"/>
        <v/>
      </c>
      <c r="C98" s="1" t="str">
        <f>IF(ISERROR(D98),"",IF(D98="","",MAX($C$66:C97)+1))</f>
        <v/>
      </c>
      <c r="D98" t="e">
        <f t="shared" si="24"/>
        <v>#N/A</v>
      </c>
      <c r="E98" s="22"/>
      <c r="F98" s="62" t="str">
        <f t="shared" ca="1" si="29"/>
        <v>N/A</v>
      </c>
      <c r="G98" s="62" t="str">
        <f t="shared" si="25"/>
        <v>N/A</v>
      </c>
      <c r="H98" s="62" t="str">
        <f t="shared" si="26"/>
        <v>N/A</v>
      </c>
      <c r="I98" s="62" t="str">
        <f t="shared" si="27"/>
        <v>N/A</v>
      </c>
      <c r="J98" s="62" t="str">
        <f t="shared" si="30"/>
        <v>N/A</v>
      </c>
      <c r="K98" s="62" t="str">
        <f t="shared" si="31"/>
        <v>N/A</v>
      </c>
      <c r="L98" s="62" t="str">
        <f t="shared" si="32"/>
        <v>N/A</v>
      </c>
      <c r="M98" s="62" t="str">
        <f ca="1">IFERROR(VLOOKUP($A98,LASTYR,'[3]2017'!$O$3,FALSE),"N/A")</f>
        <v>N/A</v>
      </c>
      <c r="N98" s="62" t="str">
        <f t="shared" ca="1" si="35"/>
        <v>N/A</v>
      </c>
      <c r="O98" s="62" t="str">
        <f t="shared" ref="O98:X112" ca="1" si="38">IFERROR(IF(INDEX(DIV_EARN_WP,$B98,O$67)=0,"N/A",INDEX(DIV_EARN_WP,$B98,O$67)),"N/A")</f>
        <v>N/A</v>
      </c>
      <c r="P98" s="62" t="str">
        <f t="shared" ca="1" si="38"/>
        <v>N/A</v>
      </c>
      <c r="Q98" s="62" t="str">
        <f t="shared" ca="1" si="38"/>
        <v>N/A</v>
      </c>
      <c r="R98" s="62" t="str">
        <f t="shared" ca="1" si="38"/>
        <v>N/A</v>
      </c>
      <c r="S98" s="62" t="str">
        <f t="shared" ca="1" si="38"/>
        <v>N/A</v>
      </c>
      <c r="T98" s="62" t="str">
        <f t="shared" ca="1" si="38"/>
        <v>N/A</v>
      </c>
      <c r="U98" s="62" t="str">
        <f t="shared" ca="1" si="38"/>
        <v>N/A</v>
      </c>
      <c r="V98" s="62" t="str">
        <f t="shared" ca="1" si="38"/>
        <v>N/A</v>
      </c>
      <c r="W98" s="62" t="str">
        <f t="shared" ca="1" si="38"/>
        <v>N/A</v>
      </c>
      <c r="X98" s="62" t="str">
        <f t="shared" ca="1" si="38"/>
        <v>N/A</v>
      </c>
      <c r="Y98" s="62" t="str">
        <f t="shared" ca="1" si="36"/>
        <v>N/A</v>
      </c>
      <c r="Z98" s="62" t="str">
        <f t="shared" ca="1" si="36"/>
        <v>N/A</v>
      </c>
      <c r="AA98" s="62" t="str">
        <f t="shared" ca="1" si="36"/>
        <v>N/A</v>
      </c>
      <c r="AB98" s="62" t="str">
        <f t="shared" ca="1" si="36"/>
        <v>N/A</v>
      </c>
    </row>
    <row r="99" spans="1:28" hidden="1" x14ac:dyDescent="0.25">
      <c r="A99" s="50">
        <f t="shared" si="22"/>
        <v>0</v>
      </c>
      <c r="B99" s="45" t="str">
        <f t="shared" ca="1" si="23"/>
        <v/>
      </c>
      <c r="C99" s="1" t="str">
        <f>IF(ISERROR(D99),"",IF(D99="","",MAX($C$66:C98)+1))</f>
        <v/>
      </c>
      <c r="D99" t="e">
        <f t="shared" si="24"/>
        <v>#N/A</v>
      </c>
      <c r="E99" s="22"/>
      <c r="F99" s="62" t="str">
        <f t="shared" ca="1" si="29"/>
        <v>N/A</v>
      </c>
      <c r="G99" s="62" t="str">
        <f t="shared" si="25"/>
        <v>N/A</v>
      </c>
      <c r="H99" s="62" t="str">
        <f t="shared" si="26"/>
        <v>N/A</v>
      </c>
      <c r="I99" s="62" t="str">
        <f t="shared" si="27"/>
        <v>N/A</v>
      </c>
      <c r="J99" s="62" t="str">
        <f t="shared" si="30"/>
        <v>N/A</v>
      </c>
      <c r="K99" s="62" t="str">
        <f t="shared" si="31"/>
        <v>N/A</v>
      </c>
      <c r="L99" s="62" t="str">
        <f t="shared" si="32"/>
        <v>N/A</v>
      </c>
      <c r="M99" s="62" t="str">
        <f ca="1">IFERROR(VLOOKUP($A99,LASTYR,'[3]2017'!$O$3,FALSE),"N/A")</f>
        <v>N/A</v>
      </c>
      <c r="N99" s="62" t="str">
        <f t="shared" ca="1" si="35"/>
        <v>N/A</v>
      </c>
      <c r="O99" s="62" t="str">
        <f t="shared" ca="1" si="38"/>
        <v>N/A</v>
      </c>
      <c r="P99" s="62" t="str">
        <f t="shared" ca="1" si="38"/>
        <v>N/A</v>
      </c>
      <c r="Q99" s="62" t="str">
        <f t="shared" ca="1" si="38"/>
        <v>N/A</v>
      </c>
      <c r="R99" s="62" t="str">
        <f t="shared" ca="1" si="38"/>
        <v>N/A</v>
      </c>
      <c r="S99" s="62" t="str">
        <f t="shared" ca="1" si="38"/>
        <v>N/A</v>
      </c>
      <c r="T99" s="62" t="str">
        <f t="shared" ca="1" si="38"/>
        <v>N/A</v>
      </c>
      <c r="U99" s="62" t="str">
        <f t="shared" ca="1" si="38"/>
        <v>N/A</v>
      </c>
      <c r="V99" s="62" t="str">
        <f t="shared" ca="1" si="38"/>
        <v>N/A</v>
      </c>
      <c r="W99" s="62" t="str">
        <f t="shared" ca="1" si="38"/>
        <v>N/A</v>
      </c>
      <c r="X99" s="62" t="str">
        <f t="shared" ca="1" si="38"/>
        <v>N/A</v>
      </c>
      <c r="Y99" s="62" t="str">
        <f t="shared" ca="1" si="36"/>
        <v>N/A</v>
      </c>
      <c r="Z99" s="62" t="str">
        <f t="shared" ca="1" si="36"/>
        <v>N/A</v>
      </c>
      <c r="AA99" s="62" t="str">
        <f t="shared" ca="1" si="36"/>
        <v>N/A</v>
      </c>
      <c r="AB99" s="62" t="str">
        <f t="shared" ca="1" si="36"/>
        <v>N/A</v>
      </c>
    </row>
    <row r="100" spans="1:28" hidden="1" x14ac:dyDescent="0.25">
      <c r="A100" s="50">
        <f t="shared" si="22"/>
        <v>0</v>
      </c>
      <c r="B100" s="45" t="str">
        <f t="shared" ca="1" si="23"/>
        <v/>
      </c>
      <c r="C100" s="1" t="str">
        <f>IF(ISERROR(D100),"",IF(D100="","",MAX($C$66:C99)+1))</f>
        <v/>
      </c>
      <c r="D100" t="e">
        <f t="shared" si="24"/>
        <v>#N/A</v>
      </c>
      <c r="E100" s="22"/>
      <c r="F100" s="62" t="str">
        <f t="shared" ca="1" si="29"/>
        <v>N/A</v>
      </c>
      <c r="G100" s="62" t="str">
        <f t="shared" si="25"/>
        <v>N/A</v>
      </c>
      <c r="H100" s="62" t="str">
        <f t="shared" si="26"/>
        <v>N/A</v>
      </c>
      <c r="I100" s="62" t="str">
        <f t="shared" si="27"/>
        <v>N/A</v>
      </c>
      <c r="J100" s="62" t="str">
        <f t="shared" si="30"/>
        <v>N/A</v>
      </c>
      <c r="K100" s="62" t="str">
        <f t="shared" si="31"/>
        <v>N/A</v>
      </c>
      <c r="L100" s="62" t="str">
        <f t="shared" si="32"/>
        <v>N/A</v>
      </c>
      <c r="M100" s="62" t="str">
        <f ca="1">IFERROR(VLOOKUP($A100,LASTYR,'[3]2017'!$O$3,FALSE),"N/A")</f>
        <v>N/A</v>
      </c>
      <c r="N100" s="62" t="str">
        <f t="shared" ca="1" si="35"/>
        <v>N/A</v>
      </c>
      <c r="O100" s="62" t="str">
        <f t="shared" ca="1" si="38"/>
        <v>N/A</v>
      </c>
      <c r="P100" s="62" t="str">
        <f t="shared" ca="1" si="38"/>
        <v>N/A</v>
      </c>
      <c r="Q100" s="62" t="str">
        <f t="shared" ca="1" si="38"/>
        <v>N/A</v>
      </c>
      <c r="R100" s="62" t="str">
        <f t="shared" ca="1" si="38"/>
        <v>N/A</v>
      </c>
      <c r="S100" s="62" t="str">
        <f t="shared" ca="1" si="38"/>
        <v>N/A</v>
      </c>
      <c r="T100" s="62" t="str">
        <f t="shared" ca="1" si="38"/>
        <v>N/A</v>
      </c>
      <c r="U100" s="62" t="str">
        <f t="shared" ca="1" si="38"/>
        <v>N/A</v>
      </c>
      <c r="V100" s="62" t="str">
        <f t="shared" ca="1" si="38"/>
        <v>N/A</v>
      </c>
      <c r="W100" s="62" t="str">
        <f t="shared" ca="1" si="38"/>
        <v>N/A</v>
      </c>
      <c r="X100" s="62" t="str">
        <f t="shared" ca="1" si="38"/>
        <v>N/A</v>
      </c>
      <c r="Y100" s="62" t="str">
        <f t="shared" ca="1" si="36"/>
        <v>N/A</v>
      </c>
      <c r="Z100" s="62" t="str">
        <f t="shared" ca="1" si="36"/>
        <v>N/A</v>
      </c>
      <c r="AA100" s="62" t="str">
        <f t="shared" ca="1" si="36"/>
        <v>N/A</v>
      </c>
      <c r="AB100" s="62" t="str">
        <f t="shared" ca="1" si="36"/>
        <v>N/A</v>
      </c>
    </row>
    <row r="101" spans="1:28" hidden="1" x14ac:dyDescent="0.25">
      <c r="A101" s="50">
        <f t="shared" si="22"/>
        <v>0</v>
      </c>
      <c r="B101" s="45" t="str">
        <f t="shared" ca="1" si="23"/>
        <v/>
      </c>
      <c r="C101" s="1" t="str">
        <f>IF(ISERROR(D101),"",IF(D101="","",MAX($C$66:C100)+1))</f>
        <v/>
      </c>
      <c r="D101" t="e">
        <f t="shared" si="24"/>
        <v>#N/A</v>
      </c>
      <c r="E101" s="22"/>
      <c r="F101" s="62" t="str">
        <f t="shared" ca="1" si="29"/>
        <v>N/A</v>
      </c>
      <c r="G101" s="62" t="str">
        <f t="shared" si="25"/>
        <v>N/A</v>
      </c>
      <c r="H101" s="62" t="str">
        <f t="shared" si="26"/>
        <v>N/A</v>
      </c>
      <c r="I101" s="62" t="str">
        <f t="shared" si="27"/>
        <v>N/A</v>
      </c>
      <c r="J101" s="62" t="str">
        <f t="shared" si="30"/>
        <v>N/A</v>
      </c>
      <c r="K101" s="62" t="str">
        <f t="shared" si="31"/>
        <v>N/A</v>
      </c>
      <c r="L101" s="62" t="str">
        <f t="shared" si="32"/>
        <v>N/A</v>
      </c>
      <c r="M101" s="62" t="str">
        <f ca="1">IFERROR(VLOOKUP($A101,LASTYR,'[3]2017'!$O$3,FALSE),"N/A")</f>
        <v>N/A</v>
      </c>
      <c r="N101" s="62" t="str">
        <f t="shared" ca="1" si="35"/>
        <v>N/A</v>
      </c>
      <c r="O101" s="62" t="str">
        <f t="shared" ca="1" si="38"/>
        <v>N/A</v>
      </c>
      <c r="P101" s="62" t="str">
        <f t="shared" ca="1" si="38"/>
        <v>N/A</v>
      </c>
      <c r="Q101" s="62" t="str">
        <f t="shared" ca="1" si="38"/>
        <v>N/A</v>
      </c>
      <c r="R101" s="62" t="str">
        <f t="shared" ca="1" si="38"/>
        <v>N/A</v>
      </c>
      <c r="S101" s="62" t="str">
        <f t="shared" ca="1" si="38"/>
        <v>N/A</v>
      </c>
      <c r="T101" s="62" t="str">
        <f t="shared" ca="1" si="38"/>
        <v>N/A</v>
      </c>
      <c r="U101" s="62" t="str">
        <f t="shared" ca="1" si="38"/>
        <v>N/A</v>
      </c>
      <c r="V101" s="62" t="str">
        <f t="shared" ca="1" si="38"/>
        <v>N/A</v>
      </c>
      <c r="W101" s="62" t="str">
        <f t="shared" ca="1" si="38"/>
        <v>N/A</v>
      </c>
      <c r="X101" s="62" t="str">
        <f t="shared" ca="1" si="38"/>
        <v>N/A</v>
      </c>
      <c r="Y101" s="62" t="str">
        <f t="shared" ca="1" si="36"/>
        <v>N/A</v>
      </c>
      <c r="Z101" s="62" t="str">
        <f t="shared" ca="1" si="36"/>
        <v>N/A</v>
      </c>
      <c r="AA101" s="62" t="str">
        <f t="shared" ca="1" si="36"/>
        <v>N/A</v>
      </c>
      <c r="AB101" s="62" t="str">
        <f t="shared" ca="1" si="36"/>
        <v>N/A</v>
      </c>
    </row>
    <row r="102" spans="1:28" hidden="1" x14ac:dyDescent="0.25">
      <c r="A102" s="50">
        <f t="shared" si="22"/>
        <v>0</v>
      </c>
      <c r="B102" s="45" t="str">
        <f t="shared" ca="1" si="23"/>
        <v/>
      </c>
      <c r="C102" s="1" t="str">
        <f>IF(ISERROR(D102),"",IF(D102="","",MAX($C$66:C101)+1))</f>
        <v/>
      </c>
      <c r="D102" t="e">
        <f t="shared" si="24"/>
        <v>#N/A</v>
      </c>
      <c r="E102" s="22"/>
      <c r="F102" s="62" t="str">
        <f t="shared" ca="1" si="29"/>
        <v>N/A</v>
      </c>
      <c r="G102" s="62" t="str">
        <f t="shared" si="25"/>
        <v>N/A</v>
      </c>
      <c r="H102" s="62" t="str">
        <f t="shared" si="26"/>
        <v>N/A</v>
      </c>
      <c r="I102" s="62" t="str">
        <f t="shared" si="27"/>
        <v>N/A</v>
      </c>
      <c r="J102" s="62" t="str">
        <f t="shared" si="30"/>
        <v>N/A</v>
      </c>
      <c r="K102" s="62" t="str">
        <f t="shared" si="31"/>
        <v>N/A</v>
      </c>
      <c r="L102" s="62" t="str">
        <f t="shared" si="32"/>
        <v>N/A</v>
      </c>
      <c r="M102" s="62" t="str">
        <f ca="1">IFERROR(VLOOKUP($A102,LASTYR,'[3]2017'!$O$3,FALSE),"N/A")</f>
        <v>N/A</v>
      </c>
      <c r="N102" s="62" t="str">
        <f t="shared" ca="1" si="35"/>
        <v>N/A</v>
      </c>
      <c r="O102" s="62" t="str">
        <f t="shared" ca="1" si="38"/>
        <v>N/A</v>
      </c>
      <c r="P102" s="62" t="str">
        <f t="shared" ca="1" si="38"/>
        <v>N/A</v>
      </c>
      <c r="Q102" s="62" t="str">
        <f t="shared" ca="1" si="38"/>
        <v>N/A</v>
      </c>
      <c r="R102" s="62" t="str">
        <f t="shared" ca="1" si="38"/>
        <v>N/A</v>
      </c>
      <c r="S102" s="62" t="str">
        <f t="shared" ca="1" si="38"/>
        <v>N/A</v>
      </c>
      <c r="T102" s="62" t="str">
        <f t="shared" ca="1" si="38"/>
        <v>N/A</v>
      </c>
      <c r="U102" s="62" t="str">
        <f t="shared" ca="1" si="38"/>
        <v>N/A</v>
      </c>
      <c r="V102" s="62" t="str">
        <f t="shared" ca="1" si="38"/>
        <v>N/A</v>
      </c>
      <c r="W102" s="62" t="str">
        <f t="shared" ca="1" si="38"/>
        <v>N/A</v>
      </c>
      <c r="X102" s="62" t="str">
        <f t="shared" ca="1" si="38"/>
        <v>N/A</v>
      </c>
      <c r="Y102" s="62" t="str">
        <f ca="1">IFERROR(IF(INDEX(MP_CF_WP,$B102,Y$67)=0,"N/A",INDEX(MP_CF_WP,$B102,Y$67)),"N/A")</f>
        <v>N/A</v>
      </c>
      <c r="Z102" s="62" t="str">
        <f ca="1">IFERROR(IF(INDEX(MP_CF_WP,$B102,Z$67)=0,"N/A",INDEX(MP_CF_WP,$B102,Z$67)),"N/A")</f>
        <v>N/A</v>
      </c>
      <c r="AA102" s="62" t="str">
        <f ca="1">IFERROR(IF(INDEX(MP_CF_WP,$B102,AA$67)=0,"N/A",INDEX(MP_CF_WP,$B102,AA$67)),"N/A")</f>
        <v>N/A</v>
      </c>
      <c r="AB102" s="62" t="str">
        <f ca="1">IFERROR(IF(INDEX(MP_CF_WP,$B102,AB$67)=0,"N/A",INDEX(MP_CF_WP,$B102,AB$67)),"N/A")</f>
        <v>N/A</v>
      </c>
    </row>
    <row r="103" spans="1:28" hidden="1" x14ac:dyDescent="0.25">
      <c r="A103" s="50">
        <f t="shared" si="22"/>
        <v>0</v>
      </c>
      <c r="B103" s="45" t="str">
        <f t="shared" ca="1" si="23"/>
        <v/>
      </c>
      <c r="C103" s="1" t="str">
        <f>IF(ISERROR(D103),"",IF(D103="","",MAX($C$66:C102)+1))</f>
        <v/>
      </c>
      <c r="D103" t="e">
        <f t="shared" si="24"/>
        <v>#N/A</v>
      </c>
      <c r="E103" s="22"/>
      <c r="F103" s="62" t="str">
        <f t="shared" ca="1" si="29"/>
        <v>N/A</v>
      </c>
      <c r="G103" s="62" t="str">
        <f t="shared" si="25"/>
        <v>N/A</v>
      </c>
      <c r="H103" s="62" t="str">
        <f t="shared" si="26"/>
        <v>N/A</v>
      </c>
      <c r="I103" s="62" t="str">
        <f t="shared" si="27"/>
        <v>N/A</v>
      </c>
      <c r="J103" s="62" t="str">
        <f t="shared" si="30"/>
        <v>N/A</v>
      </c>
      <c r="K103" s="62" t="str">
        <f t="shared" si="31"/>
        <v>N/A</v>
      </c>
      <c r="L103" s="62" t="str">
        <f t="shared" si="32"/>
        <v>N/A</v>
      </c>
      <c r="M103" s="62" t="str">
        <f ca="1">IFERROR(VLOOKUP($A103,LASTYR,'[3]2017'!$O$3,FALSE),"N/A")</f>
        <v>N/A</v>
      </c>
      <c r="N103" s="62" t="str">
        <f t="shared" ca="1" si="35"/>
        <v>N/A</v>
      </c>
      <c r="O103" s="62" t="str">
        <f t="shared" ca="1" si="38"/>
        <v>N/A</v>
      </c>
      <c r="P103" s="62" t="str">
        <f t="shared" ca="1" si="38"/>
        <v>N/A</v>
      </c>
      <c r="Q103" s="62" t="str">
        <f t="shared" ca="1" si="38"/>
        <v>N/A</v>
      </c>
      <c r="R103" s="62" t="str">
        <f t="shared" ca="1" si="38"/>
        <v>N/A</v>
      </c>
      <c r="S103" s="62" t="str">
        <f t="shared" ca="1" si="38"/>
        <v>N/A</v>
      </c>
      <c r="T103" s="62" t="str">
        <f t="shared" ca="1" si="38"/>
        <v>N/A</v>
      </c>
      <c r="U103" s="62" t="str">
        <f t="shared" ca="1" si="38"/>
        <v>N/A</v>
      </c>
      <c r="V103" s="62" t="str">
        <f t="shared" ca="1" si="38"/>
        <v>N/A</v>
      </c>
      <c r="W103" s="62" t="str">
        <f t="shared" ca="1" si="38"/>
        <v>N/A</v>
      </c>
      <c r="X103" s="62" t="str">
        <f t="shared" ca="1" si="38"/>
        <v>N/A</v>
      </c>
      <c r="Y103" s="62" t="str">
        <f t="shared" ref="Y103:AB112" ca="1" si="39">IFERROR(IF(INDEX(MP_CF_WP,$B103,Y$67)=0,"N/A",INDEX(MP_CF_WP,$B103,Y$67)),"N/A")</f>
        <v>N/A</v>
      </c>
      <c r="Z103" s="62" t="str">
        <f t="shared" ca="1" si="39"/>
        <v>N/A</v>
      </c>
      <c r="AA103" s="62" t="str">
        <f t="shared" ca="1" si="39"/>
        <v>N/A</v>
      </c>
      <c r="AB103" s="62" t="str">
        <f t="shared" ca="1" si="39"/>
        <v>N/A</v>
      </c>
    </row>
    <row r="104" spans="1:28" hidden="1" x14ac:dyDescent="0.25">
      <c r="A104" s="50">
        <f t="shared" si="22"/>
        <v>0</v>
      </c>
      <c r="B104" s="45" t="str">
        <f t="shared" ca="1" si="23"/>
        <v/>
      </c>
      <c r="C104" s="1" t="str">
        <f>IF(ISERROR(D104),"",IF(D104="","",MAX($C$66:C103)+1))</f>
        <v/>
      </c>
      <c r="D104" t="e">
        <f t="shared" si="24"/>
        <v>#N/A</v>
      </c>
      <c r="E104" s="22"/>
      <c r="F104" s="62" t="str">
        <f t="shared" ca="1" si="29"/>
        <v>N/A</v>
      </c>
      <c r="G104" s="62" t="str">
        <f t="shared" si="25"/>
        <v>N/A</v>
      </c>
      <c r="H104" s="62" t="str">
        <f t="shared" si="26"/>
        <v>N/A</v>
      </c>
      <c r="I104" s="62" t="str">
        <f t="shared" si="27"/>
        <v>N/A</v>
      </c>
      <c r="J104" s="62" t="str">
        <f t="shared" si="30"/>
        <v>N/A</v>
      </c>
      <c r="K104" s="62" t="str">
        <f t="shared" si="31"/>
        <v>N/A</v>
      </c>
      <c r="L104" s="62" t="str">
        <f t="shared" si="32"/>
        <v>N/A</v>
      </c>
      <c r="M104" s="62" t="str">
        <f ca="1">IFERROR(VLOOKUP($A104,LASTYR,'[3]2017'!$O$3,FALSE),"N/A")</f>
        <v>N/A</v>
      </c>
      <c r="N104" s="62" t="str">
        <f t="shared" ca="1" si="35"/>
        <v>N/A</v>
      </c>
      <c r="O104" s="62" t="str">
        <f t="shared" ca="1" si="38"/>
        <v>N/A</v>
      </c>
      <c r="P104" s="62" t="str">
        <f t="shared" ca="1" si="38"/>
        <v>N/A</v>
      </c>
      <c r="Q104" s="62" t="str">
        <f t="shared" ca="1" si="38"/>
        <v>N/A</v>
      </c>
      <c r="R104" s="62" t="str">
        <f t="shared" ca="1" si="38"/>
        <v>N/A</v>
      </c>
      <c r="S104" s="62" t="str">
        <f t="shared" ca="1" si="38"/>
        <v>N/A</v>
      </c>
      <c r="T104" s="62" t="str">
        <f t="shared" ca="1" si="38"/>
        <v>N/A</v>
      </c>
      <c r="U104" s="62" t="str">
        <f t="shared" ca="1" si="38"/>
        <v>N/A</v>
      </c>
      <c r="V104" s="62" t="str">
        <f t="shared" ca="1" si="38"/>
        <v>N/A</v>
      </c>
      <c r="W104" s="62" t="str">
        <f t="shared" ca="1" si="38"/>
        <v>N/A</v>
      </c>
      <c r="X104" s="62" t="str">
        <f t="shared" ca="1" si="38"/>
        <v>N/A</v>
      </c>
      <c r="Y104" s="62" t="str">
        <f t="shared" ca="1" si="39"/>
        <v>N/A</v>
      </c>
      <c r="Z104" s="62" t="str">
        <f t="shared" ca="1" si="39"/>
        <v>N/A</v>
      </c>
      <c r="AA104" s="62" t="str">
        <f t="shared" ca="1" si="39"/>
        <v>N/A</v>
      </c>
      <c r="AB104" s="62" t="str">
        <f t="shared" ca="1" si="39"/>
        <v>N/A</v>
      </c>
    </row>
    <row r="105" spans="1:28" hidden="1" x14ac:dyDescent="0.25">
      <c r="A105" s="50">
        <f t="shared" si="22"/>
        <v>0</v>
      </c>
      <c r="B105" s="45" t="str">
        <f t="shared" ca="1" si="23"/>
        <v/>
      </c>
      <c r="C105" s="1" t="str">
        <f>IF(ISERROR(D105),"",IF(D105="","",MAX($C$66:C104)+1))</f>
        <v/>
      </c>
      <c r="D105" t="e">
        <f t="shared" si="24"/>
        <v>#N/A</v>
      </c>
      <c r="E105" s="22"/>
      <c r="F105" s="62" t="str">
        <f t="shared" ca="1" si="29"/>
        <v>N/A</v>
      </c>
      <c r="G105" s="62" t="str">
        <f t="shared" si="25"/>
        <v>N/A</v>
      </c>
      <c r="H105" s="62" t="str">
        <f t="shared" si="26"/>
        <v>N/A</v>
      </c>
      <c r="I105" s="62" t="str">
        <f t="shared" si="27"/>
        <v>N/A</v>
      </c>
      <c r="J105" s="62" t="str">
        <f t="shared" si="30"/>
        <v>N/A</v>
      </c>
      <c r="K105" s="62" t="str">
        <f t="shared" si="31"/>
        <v>N/A</v>
      </c>
      <c r="L105" s="62" t="str">
        <f t="shared" si="32"/>
        <v>N/A</v>
      </c>
      <c r="M105" s="62" t="str">
        <f ca="1">IFERROR(VLOOKUP($A105,LASTYR,'[3]2017'!$O$3,FALSE),"N/A")</f>
        <v>N/A</v>
      </c>
      <c r="N105" s="62" t="str">
        <f t="shared" ca="1" si="35"/>
        <v>N/A</v>
      </c>
      <c r="O105" s="62" t="str">
        <f t="shared" ca="1" si="38"/>
        <v>N/A</v>
      </c>
      <c r="P105" s="62" t="str">
        <f t="shared" ca="1" si="38"/>
        <v>N/A</v>
      </c>
      <c r="Q105" s="62" t="str">
        <f t="shared" ca="1" si="38"/>
        <v>N/A</v>
      </c>
      <c r="R105" s="62" t="str">
        <f t="shared" ca="1" si="38"/>
        <v>N/A</v>
      </c>
      <c r="S105" s="62" t="str">
        <f t="shared" ca="1" si="38"/>
        <v>N/A</v>
      </c>
      <c r="T105" s="62" t="str">
        <f t="shared" ca="1" si="38"/>
        <v>N/A</v>
      </c>
      <c r="U105" s="62" t="str">
        <f t="shared" ca="1" si="38"/>
        <v>N/A</v>
      </c>
      <c r="V105" s="62" t="str">
        <f t="shared" ca="1" si="38"/>
        <v>N/A</v>
      </c>
      <c r="W105" s="62" t="str">
        <f t="shared" ca="1" si="38"/>
        <v>N/A</v>
      </c>
      <c r="X105" s="62" t="str">
        <f t="shared" ca="1" si="38"/>
        <v>N/A</v>
      </c>
      <c r="Y105" s="62" t="str">
        <f t="shared" ca="1" si="39"/>
        <v>N/A</v>
      </c>
      <c r="Z105" s="62" t="str">
        <f t="shared" ca="1" si="39"/>
        <v>N/A</v>
      </c>
      <c r="AA105" s="62" t="str">
        <f t="shared" ca="1" si="39"/>
        <v>N/A</v>
      </c>
      <c r="AB105" s="62" t="str">
        <f t="shared" ca="1" si="39"/>
        <v>N/A</v>
      </c>
    </row>
    <row r="106" spans="1:28" hidden="1" x14ac:dyDescent="0.25">
      <c r="A106" s="50">
        <f t="shared" si="22"/>
        <v>0</v>
      </c>
      <c r="B106" s="45" t="str">
        <f t="shared" ca="1" si="23"/>
        <v/>
      </c>
      <c r="C106" s="1" t="str">
        <f>IF(ISERROR(D106),"",IF(D106="","",MAX($C$66:C105)+1))</f>
        <v/>
      </c>
      <c r="D106" t="e">
        <f t="shared" si="24"/>
        <v>#N/A</v>
      </c>
      <c r="E106" s="22"/>
      <c r="F106" s="62" t="str">
        <f t="shared" ca="1" si="29"/>
        <v>N/A</v>
      </c>
      <c r="G106" s="62" t="str">
        <f t="shared" si="25"/>
        <v>N/A</v>
      </c>
      <c r="H106" s="62" t="str">
        <f t="shared" si="26"/>
        <v>N/A</v>
      </c>
      <c r="I106" s="62" t="str">
        <f t="shared" si="27"/>
        <v>N/A</v>
      </c>
      <c r="J106" s="62" t="str">
        <f t="shared" si="30"/>
        <v>N/A</v>
      </c>
      <c r="K106" s="62" t="str">
        <f t="shared" si="31"/>
        <v>N/A</v>
      </c>
      <c r="L106" s="62" t="str">
        <f t="shared" si="32"/>
        <v>N/A</v>
      </c>
      <c r="M106" s="62" t="str">
        <f ca="1">IFERROR(VLOOKUP($A106,LASTYR,'[3]2017'!$O$3,FALSE),"N/A")</f>
        <v>N/A</v>
      </c>
      <c r="N106" s="62" t="str">
        <f t="shared" ca="1" si="35"/>
        <v>N/A</v>
      </c>
      <c r="O106" s="62" t="str">
        <f t="shared" ca="1" si="38"/>
        <v>N/A</v>
      </c>
      <c r="P106" s="62" t="str">
        <f t="shared" ca="1" si="38"/>
        <v>N/A</v>
      </c>
      <c r="Q106" s="62" t="str">
        <f t="shared" ca="1" si="38"/>
        <v>N/A</v>
      </c>
      <c r="R106" s="62" t="str">
        <f t="shared" ca="1" si="38"/>
        <v>N/A</v>
      </c>
      <c r="S106" s="62" t="str">
        <f t="shared" ca="1" si="38"/>
        <v>N/A</v>
      </c>
      <c r="T106" s="62" t="str">
        <f t="shared" ca="1" si="38"/>
        <v>N/A</v>
      </c>
      <c r="U106" s="62" t="str">
        <f t="shared" ca="1" si="38"/>
        <v>N/A</v>
      </c>
      <c r="V106" s="62" t="str">
        <f t="shared" ca="1" si="38"/>
        <v>N/A</v>
      </c>
      <c r="W106" s="62" t="str">
        <f t="shared" ca="1" si="38"/>
        <v>N/A</v>
      </c>
      <c r="X106" s="62" t="str">
        <f t="shared" ca="1" si="38"/>
        <v>N/A</v>
      </c>
      <c r="Y106" s="62" t="str">
        <f t="shared" ca="1" si="39"/>
        <v>N/A</v>
      </c>
      <c r="Z106" s="62" t="str">
        <f t="shared" ca="1" si="39"/>
        <v>N/A</v>
      </c>
      <c r="AA106" s="62" t="str">
        <f t="shared" ca="1" si="39"/>
        <v>N/A</v>
      </c>
      <c r="AB106" s="62" t="str">
        <f t="shared" ca="1" si="39"/>
        <v>N/A</v>
      </c>
    </row>
    <row r="107" spans="1:28" hidden="1" x14ac:dyDescent="0.25">
      <c r="A107" s="50">
        <f t="shared" si="22"/>
        <v>0</v>
      </c>
      <c r="B107" s="45" t="str">
        <f t="shared" ca="1" si="23"/>
        <v/>
      </c>
      <c r="C107" s="1" t="str">
        <f>IF(ISERROR(D107),"",IF(D107="","",MAX($C$66:C106)+1))</f>
        <v/>
      </c>
      <c r="D107" t="e">
        <f t="shared" si="24"/>
        <v>#N/A</v>
      </c>
      <c r="E107" s="22"/>
      <c r="F107" s="62" t="str">
        <f t="shared" ca="1" si="29"/>
        <v>N/A</v>
      </c>
      <c r="G107" s="62" t="str">
        <f t="shared" si="25"/>
        <v>N/A</v>
      </c>
      <c r="H107" s="62" t="str">
        <f t="shared" si="26"/>
        <v>N/A</v>
      </c>
      <c r="I107" s="62" t="str">
        <f t="shared" si="27"/>
        <v>N/A</v>
      </c>
      <c r="J107" s="62" t="str">
        <f t="shared" si="30"/>
        <v>N/A</v>
      </c>
      <c r="K107" s="62" t="str">
        <f t="shared" si="31"/>
        <v>N/A</v>
      </c>
      <c r="L107" s="62" t="str">
        <f t="shared" si="32"/>
        <v>N/A</v>
      </c>
      <c r="M107" s="62" t="str">
        <f ca="1">IFERROR(VLOOKUP($A107,LASTYR,'[3]2017'!$O$3,FALSE),"N/A")</f>
        <v>N/A</v>
      </c>
      <c r="N107" s="62" t="str">
        <f t="shared" ca="1" si="35"/>
        <v>N/A</v>
      </c>
      <c r="O107" s="62" t="str">
        <f t="shared" ca="1" si="38"/>
        <v>N/A</v>
      </c>
      <c r="P107" s="62" t="str">
        <f t="shared" ca="1" si="38"/>
        <v>N/A</v>
      </c>
      <c r="Q107" s="62" t="str">
        <f t="shared" ca="1" si="38"/>
        <v>N/A</v>
      </c>
      <c r="R107" s="62" t="str">
        <f t="shared" ca="1" si="38"/>
        <v>N/A</v>
      </c>
      <c r="S107" s="62" t="str">
        <f t="shared" ca="1" si="38"/>
        <v>N/A</v>
      </c>
      <c r="T107" s="62" t="str">
        <f t="shared" ca="1" si="38"/>
        <v>N/A</v>
      </c>
      <c r="U107" s="62" t="str">
        <f t="shared" ca="1" si="38"/>
        <v>N/A</v>
      </c>
      <c r="V107" s="62" t="str">
        <f t="shared" ca="1" si="38"/>
        <v>N/A</v>
      </c>
      <c r="W107" s="62" t="str">
        <f t="shared" ca="1" si="38"/>
        <v>N/A</v>
      </c>
      <c r="X107" s="62" t="str">
        <f t="shared" ca="1" si="38"/>
        <v>N/A</v>
      </c>
      <c r="Y107" s="62" t="str">
        <f t="shared" ca="1" si="39"/>
        <v>N/A</v>
      </c>
      <c r="Z107" s="62" t="str">
        <f t="shared" ca="1" si="39"/>
        <v>N/A</v>
      </c>
      <c r="AA107" s="62" t="str">
        <f t="shared" ca="1" si="39"/>
        <v>N/A</v>
      </c>
      <c r="AB107" s="62" t="str">
        <f t="shared" ca="1" si="39"/>
        <v>N/A</v>
      </c>
    </row>
    <row r="108" spans="1:28" hidden="1" x14ac:dyDescent="0.25">
      <c r="A108" s="50">
        <f t="shared" si="22"/>
        <v>0</v>
      </c>
      <c r="B108" s="45" t="str">
        <f t="shared" ca="1" si="23"/>
        <v/>
      </c>
      <c r="C108" s="1" t="str">
        <f>IF(ISERROR(D108),"",IF(D108="","",MAX($C$66:C107)+1))</f>
        <v/>
      </c>
      <c r="D108" t="e">
        <f t="shared" si="24"/>
        <v>#N/A</v>
      </c>
      <c r="E108" s="22"/>
      <c r="F108" s="62" t="str">
        <f t="shared" ca="1" si="29"/>
        <v>N/A</v>
      </c>
      <c r="G108" s="62" t="str">
        <f t="shared" si="25"/>
        <v>N/A</v>
      </c>
      <c r="H108" s="62" t="str">
        <f t="shared" si="26"/>
        <v>N/A</v>
      </c>
      <c r="I108" s="62" t="str">
        <f t="shared" si="27"/>
        <v>N/A</v>
      </c>
      <c r="J108" s="62" t="str">
        <f t="shared" si="30"/>
        <v>N/A</v>
      </c>
      <c r="K108" s="62" t="str">
        <f t="shared" si="31"/>
        <v>N/A</v>
      </c>
      <c r="L108" s="62" t="str">
        <f t="shared" si="32"/>
        <v>N/A</v>
      </c>
      <c r="M108" s="62" t="str">
        <f ca="1">IFERROR(VLOOKUP($A108,LASTYR,'[3]2017'!$O$3,FALSE),"N/A")</f>
        <v>N/A</v>
      </c>
      <c r="N108" s="62" t="str">
        <f t="shared" ca="1" si="35"/>
        <v>N/A</v>
      </c>
      <c r="O108" s="62" t="str">
        <f t="shared" ca="1" si="38"/>
        <v>N/A</v>
      </c>
      <c r="P108" s="62" t="str">
        <f t="shared" ca="1" si="38"/>
        <v>N/A</v>
      </c>
      <c r="Q108" s="62" t="str">
        <f t="shared" ca="1" si="38"/>
        <v>N/A</v>
      </c>
      <c r="R108" s="62" t="str">
        <f t="shared" ca="1" si="38"/>
        <v>N/A</v>
      </c>
      <c r="S108" s="62" t="str">
        <f t="shared" ca="1" si="38"/>
        <v>N/A</v>
      </c>
      <c r="T108" s="62" t="str">
        <f t="shared" ca="1" si="38"/>
        <v>N/A</v>
      </c>
      <c r="U108" s="62" t="str">
        <f t="shared" ca="1" si="38"/>
        <v>N/A</v>
      </c>
      <c r="V108" s="62" t="str">
        <f t="shared" ca="1" si="38"/>
        <v>N/A</v>
      </c>
      <c r="W108" s="62" t="str">
        <f t="shared" ca="1" si="38"/>
        <v>N/A</v>
      </c>
      <c r="X108" s="62" t="str">
        <f t="shared" ca="1" si="38"/>
        <v>N/A</v>
      </c>
      <c r="Y108" s="62" t="str">
        <f t="shared" ca="1" si="39"/>
        <v>N/A</v>
      </c>
      <c r="Z108" s="62" t="str">
        <f t="shared" ca="1" si="39"/>
        <v>N/A</v>
      </c>
      <c r="AA108" s="62" t="str">
        <f t="shared" ca="1" si="39"/>
        <v>N/A</v>
      </c>
      <c r="AB108" s="62" t="str">
        <f t="shared" ca="1" si="39"/>
        <v>N/A</v>
      </c>
    </row>
    <row r="109" spans="1:28" hidden="1" x14ac:dyDescent="0.25">
      <c r="A109" s="50">
        <f t="shared" si="22"/>
        <v>0</v>
      </c>
      <c r="B109" s="45" t="str">
        <f t="shared" ca="1" si="23"/>
        <v/>
      </c>
      <c r="C109" s="1" t="str">
        <f>IF(ISERROR(D109),"",IF(D109="","",MAX($C$66:C108)+1))</f>
        <v/>
      </c>
      <c r="D109" t="e">
        <f t="shared" si="24"/>
        <v>#N/A</v>
      </c>
      <c r="E109" s="22"/>
      <c r="F109" s="62" t="str">
        <f t="shared" ca="1" si="29"/>
        <v>N/A</v>
      </c>
      <c r="G109" s="62" t="str">
        <f t="shared" si="25"/>
        <v>N/A</v>
      </c>
      <c r="H109" s="62" t="str">
        <f t="shared" si="26"/>
        <v>N/A</v>
      </c>
      <c r="I109" s="62" t="str">
        <f t="shared" si="27"/>
        <v>N/A</v>
      </c>
      <c r="J109" s="62" t="str">
        <f t="shared" si="30"/>
        <v>N/A</v>
      </c>
      <c r="K109" s="62" t="str">
        <f t="shared" si="31"/>
        <v>N/A</v>
      </c>
      <c r="L109" s="62" t="str">
        <f t="shared" si="32"/>
        <v>N/A</v>
      </c>
      <c r="M109" s="62" t="str">
        <f ca="1">IFERROR(VLOOKUP($A109,LASTYR,'[3]2017'!$O$3,FALSE),"N/A")</f>
        <v>N/A</v>
      </c>
      <c r="N109" s="62" t="str">
        <f t="shared" ca="1" si="35"/>
        <v>N/A</v>
      </c>
      <c r="O109" s="62" t="str">
        <f t="shared" ca="1" si="38"/>
        <v>N/A</v>
      </c>
      <c r="P109" s="62" t="str">
        <f t="shared" ca="1" si="38"/>
        <v>N/A</v>
      </c>
      <c r="Q109" s="62" t="str">
        <f t="shared" ca="1" si="38"/>
        <v>N/A</v>
      </c>
      <c r="R109" s="62" t="str">
        <f t="shared" ca="1" si="38"/>
        <v>N/A</v>
      </c>
      <c r="S109" s="62" t="str">
        <f t="shared" ca="1" si="38"/>
        <v>N/A</v>
      </c>
      <c r="T109" s="62" t="str">
        <f t="shared" ca="1" si="38"/>
        <v>N/A</v>
      </c>
      <c r="U109" s="62" t="str">
        <f t="shared" ca="1" si="38"/>
        <v>N/A</v>
      </c>
      <c r="V109" s="62" t="str">
        <f t="shared" ca="1" si="38"/>
        <v>N/A</v>
      </c>
      <c r="W109" s="62" t="str">
        <f t="shared" ca="1" si="38"/>
        <v>N/A</v>
      </c>
      <c r="X109" s="62" t="str">
        <f t="shared" ca="1" si="38"/>
        <v>N/A</v>
      </c>
      <c r="Y109" s="62" t="str">
        <f t="shared" ca="1" si="39"/>
        <v>N/A</v>
      </c>
      <c r="Z109" s="62" t="str">
        <f t="shared" ca="1" si="39"/>
        <v>N/A</v>
      </c>
      <c r="AA109" s="62" t="str">
        <f t="shared" ca="1" si="39"/>
        <v>N/A</v>
      </c>
      <c r="AB109" s="62" t="str">
        <f t="shared" ca="1" si="39"/>
        <v>N/A</v>
      </c>
    </row>
    <row r="110" spans="1:28" hidden="1" x14ac:dyDescent="0.25">
      <c r="A110" s="50">
        <f t="shared" si="22"/>
        <v>0</v>
      </c>
      <c r="B110" s="45" t="str">
        <f t="shared" ca="1" si="23"/>
        <v/>
      </c>
      <c r="C110" s="1" t="str">
        <f>IF(ISERROR(D110),"",IF(D110="","",MAX($C$66:C109)+1))</f>
        <v/>
      </c>
      <c r="D110" t="e">
        <f t="shared" si="24"/>
        <v>#N/A</v>
      </c>
      <c r="F110" s="62" t="str">
        <f t="shared" ca="1" si="29"/>
        <v>N/A</v>
      </c>
      <c r="G110" s="62" t="str">
        <f t="shared" si="25"/>
        <v>N/A</v>
      </c>
      <c r="H110" s="62" t="str">
        <f t="shared" si="26"/>
        <v>N/A</v>
      </c>
      <c r="I110" s="62" t="str">
        <f t="shared" si="27"/>
        <v>N/A</v>
      </c>
      <c r="J110" s="62" t="str">
        <f t="shared" si="30"/>
        <v>N/A</v>
      </c>
      <c r="K110" s="62" t="str">
        <f t="shared" si="31"/>
        <v>N/A</v>
      </c>
      <c r="L110" s="62" t="str">
        <f t="shared" si="32"/>
        <v>N/A</v>
      </c>
      <c r="M110" s="62" t="str">
        <f ca="1">IFERROR(VLOOKUP($A110,LASTYR,'[3]2017'!$O$3,FALSE),"N/A")</f>
        <v>N/A</v>
      </c>
      <c r="N110" s="62" t="str">
        <f t="shared" ca="1" si="35"/>
        <v>N/A</v>
      </c>
      <c r="O110" s="62" t="str">
        <f t="shared" ca="1" si="38"/>
        <v>N/A</v>
      </c>
      <c r="P110" s="62" t="str">
        <f t="shared" ca="1" si="38"/>
        <v>N/A</v>
      </c>
      <c r="Q110" s="62" t="str">
        <f t="shared" ca="1" si="38"/>
        <v>N/A</v>
      </c>
      <c r="R110" s="62" t="str">
        <f t="shared" ca="1" si="38"/>
        <v>N/A</v>
      </c>
      <c r="S110" s="62" t="str">
        <f t="shared" ca="1" si="38"/>
        <v>N/A</v>
      </c>
      <c r="T110" s="62" t="str">
        <f t="shared" ca="1" si="38"/>
        <v>N/A</v>
      </c>
      <c r="U110" s="62" t="str">
        <f t="shared" ca="1" si="38"/>
        <v>N/A</v>
      </c>
      <c r="V110" s="62" t="str">
        <f t="shared" ca="1" si="38"/>
        <v>N/A</v>
      </c>
      <c r="W110" s="62" t="str">
        <f t="shared" ca="1" si="38"/>
        <v>N/A</v>
      </c>
      <c r="X110" s="62" t="str">
        <f t="shared" ca="1" si="38"/>
        <v>N/A</v>
      </c>
      <c r="Y110" s="62" t="str">
        <f t="shared" ca="1" si="39"/>
        <v>N/A</v>
      </c>
      <c r="Z110" s="62" t="str">
        <f t="shared" ca="1" si="39"/>
        <v>N/A</v>
      </c>
      <c r="AA110" s="62" t="str">
        <f t="shared" ca="1" si="39"/>
        <v>N/A</v>
      </c>
      <c r="AB110" s="62" t="str">
        <f t="shared" ca="1" si="39"/>
        <v>N/A</v>
      </c>
    </row>
    <row r="111" spans="1:28" hidden="1" x14ac:dyDescent="0.25">
      <c r="A111" s="50">
        <f t="shared" si="22"/>
        <v>0</v>
      </c>
      <c r="B111" s="45" t="str">
        <f t="shared" ca="1" si="23"/>
        <v/>
      </c>
      <c r="C111" s="1" t="str">
        <f>IF(ISERROR(D111),"",IF(D111="","",MAX($C$66:C110)+1))</f>
        <v/>
      </c>
      <c r="D111" t="e">
        <f t="shared" si="24"/>
        <v>#N/A</v>
      </c>
      <c r="F111" s="62" t="str">
        <f t="shared" ca="1" si="29"/>
        <v>N/A</v>
      </c>
      <c r="G111" s="62" t="str">
        <f t="shared" si="25"/>
        <v>N/A</v>
      </c>
      <c r="H111" s="62" t="str">
        <f t="shared" si="26"/>
        <v>N/A</v>
      </c>
      <c r="I111" s="62" t="str">
        <f t="shared" si="27"/>
        <v>N/A</v>
      </c>
      <c r="J111" s="62" t="str">
        <f t="shared" si="30"/>
        <v>N/A</v>
      </c>
      <c r="K111" s="62" t="str">
        <f t="shared" si="31"/>
        <v>N/A</v>
      </c>
      <c r="L111" s="62" t="str">
        <f t="shared" si="32"/>
        <v>N/A</v>
      </c>
      <c r="M111" s="62" t="str">
        <f ca="1">IFERROR(VLOOKUP($A111,LASTYR,'[3]2017'!$O$3,FALSE),"N/A")</f>
        <v>N/A</v>
      </c>
      <c r="N111" s="62" t="str">
        <f t="shared" ca="1" si="35"/>
        <v>N/A</v>
      </c>
      <c r="O111" s="62" t="str">
        <f t="shared" ca="1" si="38"/>
        <v>N/A</v>
      </c>
      <c r="P111" s="62" t="str">
        <f t="shared" ca="1" si="38"/>
        <v>N/A</v>
      </c>
      <c r="Q111" s="62" t="str">
        <f t="shared" ca="1" si="38"/>
        <v>N/A</v>
      </c>
      <c r="R111" s="62" t="str">
        <f t="shared" ca="1" si="38"/>
        <v>N/A</v>
      </c>
      <c r="S111" s="62" t="str">
        <f t="shared" ca="1" si="38"/>
        <v>N/A</v>
      </c>
      <c r="T111" s="62" t="str">
        <f t="shared" ca="1" si="38"/>
        <v>N/A</v>
      </c>
      <c r="U111" s="62" t="str">
        <f t="shared" ca="1" si="38"/>
        <v>N/A</v>
      </c>
      <c r="V111" s="62" t="str">
        <f t="shared" ca="1" si="38"/>
        <v>N/A</v>
      </c>
      <c r="W111" s="62" t="str">
        <f t="shared" ca="1" si="38"/>
        <v>N/A</v>
      </c>
      <c r="X111" s="62" t="str">
        <f t="shared" ca="1" si="38"/>
        <v>N/A</v>
      </c>
      <c r="Y111" s="62" t="str">
        <f t="shared" ca="1" si="39"/>
        <v>N/A</v>
      </c>
      <c r="Z111" s="62" t="str">
        <f t="shared" ca="1" si="39"/>
        <v>N/A</v>
      </c>
      <c r="AA111" s="62" t="str">
        <f t="shared" ca="1" si="39"/>
        <v>N/A</v>
      </c>
      <c r="AB111" s="62" t="str">
        <f t="shared" ca="1" si="39"/>
        <v>N/A</v>
      </c>
    </row>
    <row r="112" spans="1:28" hidden="1" x14ac:dyDescent="0.25">
      <c r="A112" s="50">
        <f t="shared" si="22"/>
        <v>0</v>
      </c>
      <c r="B112" s="45" t="str">
        <f t="shared" ca="1" si="23"/>
        <v/>
      </c>
      <c r="C112" s="1" t="str">
        <f>IF(ISERROR(D112),"",IF(D112="","",MAX($C$66:C111)+1))</f>
        <v/>
      </c>
      <c r="D112" t="e">
        <f t="shared" si="24"/>
        <v>#N/A</v>
      </c>
      <c r="F112" s="62" t="str">
        <f t="shared" ca="1" si="29"/>
        <v>N/A</v>
      </c>
      <c r="G112" s="62" t="str">
        <f t="shared" si="25"/>
        <v>N/A</v>
      </c>
      <c r="H112" s="62" t="str">
        <f t="shared" si="26"/>
        <v>N/A</v>
      </c>
      <c r="I112" s="62" t="str">
        <f t="shared" si="27"/>
        <v>N/A</v>
      </c>
      <c r="J112" s="62" t="str">
        <f t="shared" si="30"/>
        <v>N/A</v>
      </c>
      <c r="K112" s="62" t="str">
        <f t="shared" si="31"/>
        <v>N/A</v>
      </c>
      <c r="L112" s="62" t="str">
        <f t="shared" si="32"/>
        <v>N/A</v>
      </c>
      <c r="M112" s="62" t="str">
        <f ca="1">IFERROR(VLOOKUP($A112,LASTYR,'[3]2017'!$O$3,FALSE),"N/A")</f>
        <v>N/A</v>
      </c>
      <c r="N112" s="62" t="str">
        <f t="shared" ca="1" si="35"/>
        <v>N/A</v>
      </c>
      <c r="O112" s="62" t="str">
        <f t="shared" ca="1" si="38"/>
        <v>N/A</v>
      </c>
      <c r="P112" s="62" t="str">
        <f t="shared" ca="1" si="38"/>
        <v>N/A</v>
      </c>
      <c r="Q112" s="62" t="str">
        <f t="shared" ca="1" si="38"/>
        <v>N/A</v>
      </c>
      <c r="R112" s="62" t="str">
        <f t="shared" ca="1" si="38"/>
        <v>N/A</v>
      </c>
      <c r="S112" s="62" t="str">
        <f t="shared" ca="1" si="38"/>
        <v>N/A</v>
      </c>
      <c r="T112" s="62" t="str">
        <f t="shared" ca="1" si="38"/>
        <v>N/A</v>
      </c>
      <c r="U112" s="62" t="str">
        <f t="shared" ca="1" si="38"/>
        <v>N/A</v>
      </c>
      <c r="V112" s="62" t="str">
        <f t="shared" ca="1" si="38"/>
        <v>N/A</v>
      </c>
      <c r="W112" s="62" t="str">
        <f t="shared" ca="1" si="38"/>
        <v>N/A</v>
      </c>
      <c r="X112" s="62" t="str">
        <f t="shared" ca="1" si="38"/>
        <v>N/A</v>
      </c>
      <c r="Y112" s="62" t="str">
        <f t="shared" ca="1" si="39"/>
        <v>N/A</v>
      </c>
      <c r="Z112" s="62" t="str">
        <f t="shared" ca="1" si="39"/>
        <v>N/A</v>
      </c>
      <c r="AA112" s="62" t="str">
        <f t="shared" ca="1" si="39"/>
        <v>N/A</v>
      </c>
      <c r="AB112" s="62" t="str">
        <f t="shared" ca="1" si="39"/>
        <v>N/A</v>
      </c>
    </row>
    <row r="113" spans="1:28" x14ac:dyDescent="0.25">
      <c r="A113" s="31"/>
      <c r="B113" s="31"/>
      <c r="C113" s="1" t="str">
        <f>IF(ISERROR(D113),"",IF(D113="","",MAX($C$66:C112)+1))</f>
        <v/>
      </c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x14ac:dyDescent="0.25">
      <c r="A114" s="31"/>
      <c r="B114" s="31"/>
      <c r="C114" s="1">
        <f ca="1">IF(ISERROR(D114),"",IF(D114="","",MAX($C$66:C113)+1))</f>
        <v>21</v>
      </c>
      <c r="D114" t="s">
        <v>98</v>
      </c>
      <c r="F114" s="62">
        <f ca="1">IFERROR(AVERAGE(G114:X114),"N/A")</f>
        <v>0.58804668941724936</v>
      </c>
      <c r="G114" s="62">
        <f>AVERAGE(G68:G113)</f>
        <v>0.62737285793734143</v>
      </c>
      <c r="H114" s="62">
        <f>AVERAGE(H68:H113)</f>
        <v>0.60679824575779762</v>
      </c>
      <c r="I114" s="62">
        <f>AVERAGE(I68:I113)</f>
        <v>0.57093776830254173</v>
      </c>
      <c r="J114" s="62">
        <f ca="1">AVERAGE(J68:J113)</f>
        <v>0.70294698144088175</v>
      </c>
      <c r="K114" s="62">
        <f t="shared" ref="K114:X114" ca="1" si="40">AVERAGE(K68:K113)</f>
        <v>0.58729072863553711</v>
      </c>
      <c r="L114" s="62">
        <f t="shared" ca="1" si="40"/>
        <v>0.52568281939877093</v>
      </c>
      <c r="M114" s="62">
        <f t="shared" ca="1" si="40"/>
        <v>0.50353517127472047</v>
      </c>
      <c r="N114" s="62">
        <f t="shared" ca="1" si="40"/>
        <v>0.57742587676734436</v>
      </c>
      <c r="O114" s="62">
        <f t="shared" ca="1" si="40"/>
        <v>0.64747222144769734</v>
      </c>
      <c r="P114" s="62">
        <f t="shared" ca="1" si="40"/>
        <v>0.54022929942074593</v>
      </c>
      <c r="Q114" s="62">
        <f t="shared" ca="1" si="40"/>
        <v>0.59666982195785323</v>
      </c>
      <c r="R114" s="62">
        <f t="shared" ca="1" si="40"/>
        <v>0.60122870910011006</v>
      </c>
      <c r="S114" s="62">
        <f t="shared" ca="1" si="40"/>
        <v>0.592303377638566</v>
      </c>
      <c r="T114" s="62">
        <f t="shared" ca="1" si="40"/>
        <v>0.57490475294039822</v>
      </c>
      <c r="U114" s="62">
        <f t="shared" ca="1" si="40"/>
        <v>0.59684669310573579</v>
      </c>
      <c r="V114" s="62">
        <f t="shared" ca="1" si="40"/>
        <v>0.56372322336570235</v>
      </c>
      <c r="W114" s="62">
        <f t="shared" ca="1" si="40"/>
        <v>0.59037337176100602</v>
      </c>
      <c r="X114" s="62">
        <f t="shared" ca="1" si="40"/>
        <v>0.57909848925773877</v>
      </c>
      <c r="Y114" s="62"/>
      <c r="Z114" s="62"/>
      <c r="AA114" s="62"/>
      <c r="AB114" s="62"/>
    </row>
    <row r="115" spans="1:28" x14ac:dyDescent="0.25">
      <c r="A115" s="31"/>
      <c r="B115" s="31"/>
      <c r="C115" s="1">
        <f ca="1">IF(ISERROR(D115),"",IF(D115="","",MAX($C$66:C114)+1))</f>
        <v>22</v>
      </c>
      <c r="D115" t="s">
        <v>257</v>
      </c>
      <c r="F115" s="62">
        <f ca="1">MEDIAN(G115:X115)</f>
        <v>0.58040918431162325</v>
      </c>
      <c r="G115" s="62">
        <f t="shared" ref="G115:L115" si="41">MEDIAN(G68:G113)</f>
        <v>0.625</v>
      </c>
      <c r="H115" s="62">
        <f t="shared" si="41"/>
        <v>0.60784313725490191</v>
      </c>
      <c r="I115" s="62">
        <f t="shared" si="41"/>
        <v>0.60259740259740258</v>
      </c>
      <c r="J115" s="62">
        <f t="shared" ca="1" si="41"/>
        <v>0.58695652173913049</v>
      </c>
      <c r="K115" s="62">
        <f t="shared" ca="1" si="41"/>
        <v>0.56980056980056981</v>
      </c>
      <c r="L115" s="62">
        <f t="shared" ca="1" si="41"/>
        <v>0.51963048498845266</v>
      </c>
      <c r="M115" s="62">
        <f t="shared" ref="M115:X115" ca="1" si="42">MEDIAN(M68:M113)</f>
        <v>0.54696132596685076</v>
      </c>
      <c r="N115" s="62">
        <f t="shared" ca="1" si="42"/>
        <v>0.56603773584905659</v>
      </c>
      <c r="O115" s="62">
        <f t="shared" ca="1" si="42"/>
        <v>0.5357142857142857</v>
      </c>
      <c r="P115" s="62">
        <f t="shared" ca="1" si="42"/>
        <v>0.4850498338870432</v>
      </c>
      <c r="Q115" s="62">
        <f t="shared" ca="1" si="42"/>
        <v>0.57670329670329668</v>
      </c>
      <c r="R115" s="62">
        <f t="shared" ca="1" si="42"/>
        <v>0.59885506329694094</v>
      </c>
      <c r="S115" s="62">
        <f t="shared" ca="1" si="42"/>
        <v>0.56053829891039197</v>
      </c>
      <c r="T115" s="62">
        <f t="shared" ca="1" si="42"/>
        <v>0.58411507191994994</v>
      </c>
      <c r="U115" s="62">
        <f t="shared" ca="1" si="42"/>
        <v>0.54467181373735418</v>
      </c>
      <c r="V115" s="62">
        <f t="shared" ca="1" si="42"/>
        <v>0.58559053401314909</v>
      </c>
      <c r="W115" s="62">
        <f t="shared" ca="1" si="42"/>
        <v>0.61663703659063285</v>
      </c>
      <c r="X115" s="62">
        <f t="shared" ca="1" si="42"/>
        <v>0.59110333064009324</v>
      </c>
      <c r="Y115" s="62"/>
      <c r="Z115" s="62"/>
      <c r="AA115" s="62"/>
      <c r="AB115" s="62"/>
    </row>
    <row r="116" spans="1:28" x14ac:dyDescent="0.25">
      <c r="A116" s="31"/>
      <c r="B116" s="31"/>
      <c r="C116" s="1"/>
    </row>
    <row r="117" spans="1:28" x14ac:dyDescent="0.25">
      <c r="A117" s="31"/>
      <c r="B117" s="31"/>
      <c r="C117" s="1"/>
    </row>
    <row r="118" spans="1:28" ht="16.2" x14ac:dyDescent="0.25">
      <c r="A118" s="31"/>
      <c r="B118" s="31"/>
      <c r="C118" s="6"/>
      <c r="D118" s="6"/>
      <c r="E118" s="19"/>
      <c r="F118" s="276" t="s">
        <v>327</v>
      </c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</row>
    <row r="119" spans="1:28" x14ac:dyDescent="0.25">
      <c r="A119" s="31"/>
      <c r="B119" s="31"/>
      <c r="C119" s="6"/>
      <c r="D119" s="7"/>
      <c r="E119" s="7"/>
      <c r="F119" s="8" t="str">
        <f>F64</f>
        <v>18-Year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7"/>
      <c r="V119" s="7"/>
      <c r="W119" s="7"/>
      <c r="X119" s="7"/>
      <c r="Y119" s="7"/>
      <c r="Z119" s="7"/>
      <c r="AA119" s="7"/>
    </row>
    <row r="120" spans="1:28" ht="16.2" x14ac:dyDescent="0.25">
      <c r="A120" s="31"/>
      <c r="B120" s="31"/>
      <c r="C120" s="9" t="s">
        <v>96</v>
      </c>
      <c r="D120" s="275" t="s">
        <v>97</v>
      </c>
      <c r="E120" s="275"/>
      <c r="F120" s="10" t="s">
        <v>98</v>
      </c>
      <c r="G120" s="40" t="s">
        <v>560</v>
      </c>
      <c r="H120" s="40">
        <v>2022</v>
      </c>
      <c r="I120" s="40">
        <v>2021</v>
      </c>
      <c r="J120" s="40">
        <v>2020</v>
      </c>
      <c r="K120" s="40">
        <v>2019</v>
      </c>
      <c r="L120" s="10" t="s">
        <v>476</v>
      </c>
      <c r="M120" s="40">
        <v>2017</v>
      </c>
      <c r="N120" s="40">
        <v>2016</v>
      </c>
      <c r="O120" s="40">
        <v>2015</v>
      </c>
      <c r="P120" s="40">
        <v>2014</v>
      </c>
      <c r="Q120" s="40">
        <v>2013</v>
      </c>
      <c r="R120" s="40">
        <v>2012</v>
      </c>
      <c r="S120" s="40">
        <v>2011</v>
      </c>
      <c r="T120" s="40">
        <v>2010</v>
      </c>
      <c r="U120" s="40">
        <v>2009</v>
      </c>
      <c r="V120" s="40">
        <v>2008</v>
      </c>
      <c r="W120" s="40">
        <v>2007</v>
      </c>
      <c r="X120" s="40">
        <v>2006</v>
      </c>
      <c r="Y120" s="40">
        <v>2005</v>
      </c>
      <c r="Z120" s="40"/>
      <c r="AA120" s="40"/>
      <c r="AB120" s="40"/>
    </row>
    <row r="121" spans="1:28" x14ac:dyDescent="0.25">
      <c r="A121" s="41"/>
      <c r="B121" s="41"/>
      <c r="C121" s="9"/>
      <c r="D121" s="11"/>
      <c r="E121" s="11"/>
      <c r="F121" s="12">
        <v>-1</v>
      </c>
      <c r="G121" s="12">
        <f>+F121-1</f>
        <v>-2</v>
      </c>
      <c r="H121" s="12">
        <f>+G121-1</f>
        <v>-3</v>
      </c>
      <c r="I121" s="12">
        <f>+H121-1</f>
        <v>-4</v>
      </c>
      <c r="J121" s="12">
        <f>+I121-1</f>
        <v>-5</v>
      </c>
      <c r="K121" s="12">
        <f t="shared" ref="K121:X121" si="43">+J121-1</f>
        <v>-6</v>
      </c>
      <c r="L121" s="12">
        <f t="shared" si="43"/>
        <v>-7</v>
      </c>
      <c r="M121" s="12">
        <f t="shared" si="43"/>
        <v>-8</v>
      </c>
      <c r="N121" s="12">
        <f t="shared" si="43"/>
        <v>-9</v>
      </c>
      <c r="O121" s="12">
        <f t="shared" si="43"/>
        <v>-10</v>
      </c>
      <c r="P121" s="12">
        <f t="shared" si="43"/>
        <v>-11</v>
      </c>
      <c r="Q121" s="12">
        <f t="shared" si="43"/>
        <v>-12</v>
      </c>
      <c r="R121" s="12">
        <f t="shared" si="43"/>
        <v>-13</v>
      </c>
      <c r="S121" s="12">
        <f t="shared" si="43"/>
        <v>-14</v>
      </c>
      <c r="T121" s="12">
        <f t="shared" si="43"/>
        <v>-15</v>
      </c>
      <c r="U121" s="12">
        <f t="shared" si="43"/>
        <v>-16</v>
      </c>
      <c r="V121" s="12">
        <f t="shared" si="43"/>
        <v>-17</v>
      </c>
      <c r="W121" s="12">
        <f t="shared" si="43"/>
        <v>-18</v>
      </c>
      <c r="X121" s="12">
        <f t="shared" si="43"/>
        <v>-19</v>
      </c>
      <c r="Y121" s="12">
        <f>+W121-1</f>
        <v>-19</v>
      </c>
      <c r="Z121" s="12"/>
      <c r="AA121" s="12"/>
      <c r="AB121" s="12"/>
    </row>
    <row r="122" spans="1:28" x14ac:dyDescent="0.25">
      <c r="A122" s="42"/>
      <c r="B122" s="43"/>
      <c r="C122" s="6"/>
      <c r="E122" s="22"/>
      <c r="F122" s="36"/>
      <c r="G122" s="36"/>
      <c r="H122" s="36"/>
      <c r="I122" s="36"/>
      <c r="J122" s="36"/>
      <c r="K122" s="36"/>
      <c r="L122" s="16">
        <f t="shared" ref="L122:AB122" ca="1" si="44">MATCH(VALUE(LEFT(L120,4)),OFFSET(CF_CAP_WP,-1,0,1,),0)</f>
        <v>8</v>
      </c>
      <c r="M122" s="16">
        <f t="shared" ca="1" si="44"/>
        <v>9</v>
      </c>
      <c r="N122" s="16">
        <f t="shared" ca="1" si="44"/>
        <v>10</v>
      </c>
      <c r="O122" s="16">
        <f t="shared" ca="1" si="44"/>
        <v>11</v>
      </c>
      <c r="P122" s="16">
        <f t="shared" ca="1" si="44"/>
        <v>12</v>
      </c>
      <c r="Q122" s="16">
        <f t="shared" ca="1" si="44"/>
        <v>13</v>
      </c>
      <c r="R122" s="16">
        <f t="shared" ca="1" si="44"/>
        <v>14</v>
      </c>
      <c r="S122" s="16">
        <f t="shared" ca="1" si="44"/>
        <v>15</v>
      </c>
      <c r="T122" s="16">
        <f t="shared" ca="1" si="44"/>
        <v>16</v>
      </c>
      <c r="U122" s="16">
        <f t="shared" ca="1" si="44"/>
        <v>17</v>
      </c>
      <c r="V122" s="16">
        <f t="shared" ca="1" si="44"/>
        <v>18</v>
      </c>
      <c r="W122" s="16">
        <f t="shared" ca="1" si="44"/>
        <v>19</v>
      </c>
      <c r="X122" s="16">
        <f t="shared" ca="1" si="44"/>
        <v>20</v>
      </c>
      <c r="Y122" s="16" t="e">
        <f t="shared" ca="1" si="44"/>
        <v>#N/A</v>
      </c>
      <c r="Z122" s="16" t="e">
        <f t="shared" ca="1" si="44"/>
        <v>#VALUE!</v>
      </c>
      <c r="AA122" s="16" t="e">
        <f t="shared" ca="1" si="44"/>
        <v>#VALUE!</v>
      </c>
      <c r="AB122" s="16" t="e">
        <f t="shared" ca="1" si="44"/>
        <v>#VALUE!</v>
      </c>
    </row>
    <row r="123" spans="1:28" x14ac:dyDescent="0.25">
      <c r="A123" s="50" t="str">
        <f t="shared" ref="A123:A167" si="45">A13</f>
        <v>ATO</v>
      </c>
      <c r="B123" s="45">
        <f t="shared" ref="B123:B167" ca="1" si="46">MATCH(A123,OFFSET(CF_CAP_WP,0,0,,1),0)</f>
        <v>9</v>
      </c>
      <c r="C123" s="1">
        <f ca="1">IF(ISERROR(D123),"",IF(D123="","",MAX($C$121:C122,C68:C115)+1))</f>
        <v>23</v>
      </c>
      <c r="D123" t="str">
        <f t="shared" ref="D123:D167" ca="1" si="47">D13</f>
        <v>Atmos Energy</v>
      </c>
      <c r="E123" s="22"/>
      <c r="F123" s="62">
        <f ca="1">AVERAGE(G123:X123)</f>
        <v>0.64751497339496722</v>
      </c>
      <c r="G123" s="62">
        <f t="shared" ref="G123:G132" si="48">IFERROR(IF(VLOOKUP($A123,Data2023,23,FALSE)=0,"",VLOOKUP($A123,Data2023,23,FALSE)),"N/A")</f>
        <v>0.53121693121693125</v>
      </c>
      <c r="H123" s="62">
        <f t="shared" ref="H123:H132" si="49">IFERROR(IF(VLOOKUP($A123,Data2022,21,FALSE)=0,"",VLOOKUP($A123,Data2022,21,FALSE)),"N/A")</f>
        <v>0.53602305475504319</v>
      </c>
      <c r="I123" s="62">
        <f t="shared" ref="I123:I132" si="50">IFERROR(IF(VLOOKUP($A123,lucyyr,21,FALSE)=0,"",VLOOKUP($A123,lucyyr,21,FALSE)),"N/A")</f>
        <v>0.58103564223268334</v>
      </c>
      <c r="J123" s="62">
        <f t="shared" ref="J123:J167" si="51">IFERROR(IF(VLOOKUP(A123,lucyr,21,FALSE)=0,"",VLOOKUP(A123,lucyr,21,FALSE)),"N/A")</f>
        <v>0.52210663198959684</v>
      </c>
      <c r="K123" s="62">
        <f>IFERROR(IF(VLOOKUP(A123,LUCurYr,21,FALSE)=0,"",VLOOKUP(A123,LUCurYr,21,FALSE)),"N/A")</f>
        <v>0.53347427766032418</v>
      </c>
      <c r="L123" s="62">
        <f t="shared" ref="L123:X138" ca="1" si="52">IFERROR(IF(INDEX(CF_CAP_WP,$B123,L$122)=0,"N/A",INDEX(CF_CAP_WP,$B123,L$122)),"N/A")</f>
        <v>0.54879065888240208</v>
      </c>
      <c r="M123" s="62">
        <f t="shared" ca="1" si="52"/>
        <v>0.61752356069795655</v>
      </c>
      <c r="N123" s="62">
        <f t="shared" ca="1" si="52"/>
        <v>0.5917957544463569</v>
      </c>
      <c r="O123" s="62">
        <f t="shared" ca="1" si="52"/>
        <v>0.60495368924966175</v>
      </c>
      <c r="P123" s="62">
        <f t="shared" ca="1" si="52"/>
        <v>0.6510817307692307</v>
      </c>
      <c r="Q123" s="62">
        <f t="shared" ca="1" si="52"/>
        <v>0.55121741928563772</v>
      </c>
      <c r="R123" s="62">
        <f t="shared" ca="1" si="52"/>
        <v>0.58638098756310786</v>
      </c>
      <c r="S123" s="62">
        <f t="shared" ca="1" si="52"/>
        <v>0.68444702130743595</v>
      </c>
      <c r="T123" s="62">
        <f t="shared" ca="1" si="52"/>
        <v>0.77068793619142573</v>
      </c>
      <c r="U123" s="62">
        <f t="shared" ca="1" si="52"/>
        <v>0.77892824704813812</v>
      </c>
      <c r="V123" s="62">
        <f t="shared" ca="1" si="52"/>
        <v>0.80634615384615371</v>
      </c>
      <c r="W123" s="62">
        <f t="shared" ca="1" si="52"/>
        <v>0.94127020259503758</v>
      </c>
      <c r="X123" s="62">
        <f t="shared" ca="1" si="52"/>
        <v>0.81798962137228526</v>
      </c>
      <c r="Y123" s="62"/>
      <c r="Z123" s="17"/>
      <c r="AA123" s="17"/>
      <c r="AB123" s="17"/>
    </row>
    <row r="124" spans="1:28" x14ac:dyDescent="0.25">
      <c r="A124" s="50" t="str">
        <f t="shared" si="45"/>
        <v>CPK</v>
      </c>
      <c r="B124" s="45">
        <f t="shared" ca="1" si="46"/>
        <v>16</v>
      </c>
      <c r="C124" s="1">
        <f ca="1">IF(ISERROR(D124),"",IF(D124="","",MAX($C$121:C123)+1))</f>
        <v>24</v>
      </c>
      <c r="D124" t="str">
        <f t="shared" ca="1" si="47"/>
        <v>Chesapeake Utilities</v>
      </c>
      <c r="E124" s="22"/>
      <c r="F124" s="62">
        <f t="shared" ref="F124:F167" ca="1" si="53">AVERAGE(G124:X124)</f>
        <v>0.76562898227318588</v>
      </c>
      <c r="G124" s="62">
        <f t="shared" si="48"/>
        <v>0.81481481481481488</v>
      </c>
      <c r="H124" s="62">
        <f t="shared" si="49"/>
        <v>1.226832641770401</v>
      </c>
      <c r="I124" s="62">
        <f t="shared" si="50"/>
        <v>0.80841121495327106</v>
      </c>
      <c r="J124" s="62">
        <f t="shared" si="51"/>
        <v>0.77742616033755274</v>
      </c>
      <c r="K124" s="62">
        <f t="shared" ref="K124:K167" si="54">IFERROR(IF(VLOOKUP(A124,LUCurYr,21,FALSE)=0,"",VLOOKUP(A124,LUCurYr,21,FALSE)),"N/A")</f>
        <v>0.61860465116279073</v>
      </c>
      <c r="L124" s="62">
        <f t="shared" ca="1" si="52"/>
        <v>0.39262946997753623</v>
      </c>
      <c r="M124" s="62">
        <f t="shared" ca="1" si="52"/>
        <v>0.50498741493427801</v>
      </c>
      <c r="N124" s="62">
        <f t="shared" ca="1" si="52"/>
        <v>0.4955369997120645</v>
      </c>
      <c r="O124" s="62">
        <f t="shared" ca="1" si="52"/>
        <v>0.53347412882787748</v>
      </c>
      <c r="P124" s="62">
        <f t="shared" ca="1" si="52"/>
        <v>0.71006006006006006</v>
      </c>
      <c r="Q124" s="62">
        <f t="shared" ca="1" si="52"/>
        <v>0.64736528728788334</v>
      </c>
      <c r="R124" s="62">
        <f t="shared" ca="1" si="52"/>
        <v>0.79048380647740912</v>
      </c>
      <c r="S124" s="62">
        <f t="shared" ca="1" si="52"/>
        <v>1.1244661378889567</v>
      </c>
      <c r="T124" s="62">
        <f t="shared" ca="1" si="52"/>
        <v>1.0997168921044354</v>
      </c>
      <c r="U124" s="62">
        <f t="shared" ca="1" si="52"/>
        <v>1.1377118644067798</v>
      </c>
      <c r="V124" s="62">
        <f t="shared" ca="1" si="52"/>
        <v>0.83250083250083251</v>
      </c>
      <c r="W124" s="62">
        <f t="shared" ca="1" si="52"/>
        <v>0.81897952551186226</v>
      </c>
      <c r="X124" s="62">
        <f t="shared" ca="1" si="52"/>
        <v>0.44731977818853974</v>
      </c>
      <c r="Y124" s="62"/>
      <c r="Z124" s="17"/>
      <c r="AA124" s="17"/>
      <c r="AB124" s="17"/>
    </row>
    <row r="125" spans="1:28" x14ac:dyDescent="0.25">
      <c r="A125" s="50" t="str">
        <f t="shared" si="45"/>
        <v>NJR</v>
      </c>
      <c r="B125" s="45">
        <f t="shared" ca="1" si="46"/>
        <v>42</v>
      </c>
      <c r="C125" s="1">
        <f ca="1">IF(ISERROR(D125),"",IF(D125="","",MAX($C$121:C124)+1))</f>
        <v>25</v>
      </c>
      <c r="D125" t="str">
        <f t="shared" ca="1" si="47"/>
        <v>New Jersey Resources</v>
      </c>
      <c r="E125" s="22"/>
      <c r="F125" s="62">
        <f t="shared" ca="1" si="53"/>
        <v>1.1950927815886194</v>
      </c>
      <c r="G125" s="62">
        <f t="shared" si="48"/>
        <v>0.82261208576998046</v>
      </c>
      <c r="H125" s="62">
        <f t="shared" si="49"/>
        <v>0.5938461538461538</v>
      </c>
      <c r="I125" s="62">
        <f t="shared" si="50"/>
        <v>0.61992619926199255</v>
      </c>
      <c r="J125" s="62">
        <f t="shared" si="51"/>
        <v>0.70512820512820518</v>
      </c>
      <c r="K125" s="62">
        <f t="shared" si="54"/>
        <v>0.51286449399656953</v>
      </c>
      <c r="L125" s="62">
        <f t="shared" ca="1" si="52"/>
        <v>0.84815321477428185</v>
      </c>
      <c r="M125" s="62">
        <f t="shared" ca="1" si="52"/>
        <v>0.70481452249408039</v>
      </c>
      <c r="N125" s="62">
        <f t="shared" ca="1" si="52"/>
        <v>0.59213699951760734</v>
      </c>
      <c r="O125" s="62">
        <f t="shared" ca="1" si="52"/>
        <v>0.67207878626563744</v>
      </c>
      <c r="P125" s="62">
        <f t="shared" ca="1" si="52"/>
        <v>1.7905449770190414</v>
      </c>
      <c r="Q125" s="62">
        <f t="shared" ca="1" si="52"/>
        <v>1.4577677224736048</v>
      </c>
      <c r="R125" s="62">
        <f t="shared" ca="1" si="52"/>
        <v>1.4769108280254777</v>
      </c>
      <c r="S125" s="62">
        <f t="shared" ca="1" si="52"/>
        <v>1.5057573073516386</v>
      </c>
      <c r="T125" s="62">
        <f t="shared" ca="1" si="52"/>
        <v>1.547528517110266</v>
      </c>
      <c r="U125" s="62">
        <f t="shared" ca="1" si="52"/>
        <v>1.7486157253599113</v>
      </c>
      <c r="V125" s="62">
        <f t="shared" ca="1" si="52"/>
        <v>2.1058139534883722</v>
      </c>
      <c r="W125" s="62">
        <f t="shared" ca="1" si="52"/>
        <v>1.6712328767123288</v>
      </c>
      <c r="X125" s="62">
        <f t="shared" ca="1" si="52"/>
        <v>2.1359374999999998</v>
      </c>
      <c r="Y125" s="62"/>
      <c r="Z125" s="17"/>
      <c r="AA125" s="17"/>
      <c r="AB125" s="17"/>
    </row>
    <row r="126" spans="1:28" x14ac:dyDescent="0.25">
      <c r="A126" s="50" t="str">
        <f t="shared" si="45"/>
        <v>NI</v>
      </c>
      <c r="B126" s="45">
        <f t="shared" ca="1" si="46"/>
        <v>44</v>
      </c>
      <c r="C126" s="1">
        <f ca="1">IF(ISERROR(D126),"",IF(D126="","",MAX($C$121:C125)+1))</f>
        <v>26</v>
      </c>
      <c r="D126" t="str">
        <f t="shared" ca="1" si="47"/>
        <v>NiSource Inc.</v>
      </c>
      <c r="E126" s="22"/>
      <c r="F126" s="62">
        <f t="shared" ca="1" si="53"/>
        <v>0.73188519568559163</v>
      </c>
      <c r="G126" s="62">
        <f t="shared" si="48"/>
        <v>0.45283018867924529</v>
      </c>
      <c r="H126" s="62">
        <f t="shared" si="49"/>
        <v>0.54905063291139244</v>
      </c>
      <c r="I126" s="62">
        <f t="shared" si="50"/>
        <v>0.68131868131868134</v>
      </c>
      <c r="J126" s="62">
        <f t="shared" si="51"/>
        <v>0.65957446808510634</v>
      </c>
      <c r="K126" s="62">
        <f t="shared" si="54"/>
        <v>0.60869565217391308</v>
      </c>
      <c r="L126" s="62">
        <f t="shared" ca="1" si="52"/>
        <v>0.57812819987712472</v>
      </c>
      <c r="M126" s="62">
        <f t="shared" ca="1" si="52"/>
        <v>0.41216216216216212</v>
      </c>
      <c r="N126" s="62">
        <f t="shared" ca="1" si="52"/>
        <v>0.59320920043811609</v>
      </c>
      <c r="O126" s="62">
        <f t="shared" ca="1" si="52"/>
        <v>0.53142589118198869</v>
      </c>
      <c r="P126" s="62">
        <f t="shared" ca="1" si="52"/>
        <v>0.56005608350210323</v>
      </c>
      <c r="Q126" s="62">
        <f t="shared" ca="1" si="52"/>
        <v>0.56816285666611044</v>
      </c>
      <c r="R126" s="62">
        <f t="shared" ca="1" si="52"/>
        <v>0.64886128364389228</v>
      </c>
      <c r="S126" s="62">
        <f t="shared" ca="1" si="52"/>
        <v>0.74824473420260784</v>
      </c>
      <c r="T126" s="62">
        <f t="shared" ca="1" si="52"/>
        <v>1.108408617095205</v>
      </c>
      <c r="U126" s="62">
        <f t="shared" ca="1" si="52"/>
        <v>1.0551994301994303</v>
      </c>
      <c r="V126" s="62">
        <f t="shared" ca="1" si="52"/>
        <v>0.93834841628959276</v>
      </c>
      <c r="W126" s="62">
        <f t="shared" ca="1" si="52"/>
        <v>1.1144347826086958</v>
      </c>
      <c r="X126" s="62">
        <f t="shared" ca="1" si="52"/>
        <v>1.3658222413052812</v>
      </c>
      <c r="Y126" s="62"/>
      <c r="Z126" s="17"/>
      <c r="AA126" s="17"/>
      <c r="AB126" s="17"/>
    </row>
    <row r="127" spans="1:28" x14ac:dyDescent="0.25">
      <c r="A127" s="50" t="str">
        <f t="shared" si="45"/>
        <v>NWN</v>
      </c>
      <c r="B127" s="45">
        <f t="shared" ca="1" si="46"/>
        <v>45</v>
      </c>
      <c r="C127" s="1">
        <f ca="1">IF(ISERROR(D127),"",IF(D127="","",MAX($C$121:C126)+1))</f>
        <v>27</v>
      </c>
      <c r="D127" t="str">
        <f t="shared" ca="1" si="47"/>
        <v>Northwest Nat. Gas</v>
      </c>
      <c r="E127" s="22"/>
      <c r="F127" s="62">
        <f t="shared" ca="1" si="53"/>
        <v>0.90057198737437949</v>
      </c>
      <c r="G127" s="62">
        <f t="shared" si="48"/>
        <v>0.64999999999999991</v>
      </c>
      <c r="H127" s="62">
        <f t="shared" si="49"/>
        <v>0.59916054564533061</v>
      </c>
      <c r="I127" s="62">
        <f t="shared" si="50"/>
        <v>0.68452380952380953</v>
      </c>
      <c r="J127" s="62">
        <f t="shared" si="51"/>
        <v>0.65838509316770177</v>
      </c>
      <c r="K127" s="62">
        <f t="shared" si="54"/>
        <v>0.69230769230769229</v>
      </c>
      <c r="L127" s="62">
        <f t="shared" ca="1" si="52"/>
        <v>0.71030678148546822</v>
      </c>
      <c r="M127" s="62">
        <f t="shared" ca="1" si="52"/>
        <v>0.14018565854971077</v>
      </c>
      <c r="N127" s="62">
        <f t="shared" ca="1" si="52"/>
        <v>1.0119023189000615</v>
      </c>
      <c r="O127" s="62">
        <f t="shared" ca="1" si="52"/>
        <v>1.1233409610983982</v>
      </c>
      <c r="P127" s="62">
        <f t="shared" ca="1" si="52"/>
        <v>1.1481144934120855</v>
      </c>
      <c r="Q127" s="62">
        <f t="shared" ca="1" si="52"/>
        <v>0.98206977197427392</v>
      </c>
      <c r="R127" s="62">
        <f t="shared" ca="1" si="52"/>
        <v>1.0063200815494393</v>
      </c>
      <c r="S127" s="62">
        <f t="shared" ca="1" si="52"/>
        <v>1.3321799307958477</v>
      </c>
      <c r="T127" s="62">
        <f t="shared" ca="1" si="52"/>
        <v>0.55448615121377387</v>
      </c>
      <c r="U127" s="62">
        <f t="shared" ca="1" si="52"/>
        <v>1.0208128804241114</v>
      </c>
      <c r="V127" s="62">
        <f t="shared" ca="1" si="52"/>
        <v>1.3524464831804281</v>
      </c>
      <c r="W127" s="62">
        <f t="shared" ca="1" si="52"/>
        <v>1.2081751172660262</v>
      </c>
      <c r="X127" s="62">
        <f t="shared" ca="1" si="52"/>
        <v>1.3355780022446688</v>
      </c>
      <c r="Y127" s="62"/>
      <c r="Z127" s="17"/>
      <c r="AA127" s="17"/>
      <c r="AB127" s="17"/>
    </row>
    <row r="128" spans="1:28" x14ac:dyDescent="0.25">
      <c r="A128" s="50" t="str">
        <f t="shared" si="45"/>
        <v>OGS</v>
      </c>
      <c r="B128" s="45">
        <f t="shared" ca="1" si="46"/>
        <v>48</v>
      </c>
      <c r="C128" s="1">
        <f ca="1">IF(ISERROR(D128),"",IF(D128="","",MAX($C$121:C127)+1))</f>
        <v>28</v>
      </c>
      <c r="D128" t="str">
        <f t="shared" ca="1" si="47"/>
        <v>ONE Gas Inc.</v>
      </c>
      <c r="E128" s="22"/>
      <c r="F128" s="62">
        <f t="shared" ca="1" si="53"/>
        <v>0.83740787832247032</v>
      </c>
      <c r="G128" s="62">
        <f t="shared" si="48"/>
        <v>0.77446808510638299</v>
      </c>
      <c r="H128" s="62">
        <f t="shared" si="49"/>
        <v>0.73841961852861049</v>
      </c>
      <c r="I128" s="62">
        <f t="shared" si="50"/>
        <v>0.86111111111111116</v>
      </c>
      <c r="J128" s="62">
        <f t="shared" si="51"/>
        <v>0.82954545454545447</v>
      </c>
      <c r="K128" s="62">
        <f t="shared" si="54"/>
        <v>0.88535031847133761</v>
      </c>
      <c r="L128" s="62">
        <f t="shared" ca="1" si="52"/>
        <v>0.84248400852878469</v>
      </c>
      <c r="M128" s="62">
        <f t="shared" ca="1" si="52"/>
        <v>0.87492660011743972</v>
      </c>
      <c r="N128" s="62">
        <f t="shared" ca="1" si="52"/>
        <v>0.91864005412719896</v>
      </c>
      <c r="O128" s="62">
        <f t="shared" ca="1" si="52"/>
        <v>0.85635653409090917</v>
      </c>
      <c r="P128" s="62">
        <f t="shared" ca="1" si="52"/>
        <v>0.79277699859747552</v>
      </c>
      <c r="Q128" s="62" t="str">
        <f t="shared" ca="1" si="52"/>
        <v>N/A</v>
      </c>
      <c r="R128" s="62" t="str">
        <f t="shared" ca="1" si="52"/>
        <v>N/A</v>
      </c>
      <c r="S128" s="62" t="str">
        <f t="shared" ca="1" si="52"/>
        <v>N/A</v>
      </c>
      <c r="T128" s="62" t="str">
        <f t="shared" ca="1" si="52"/>
        <v>N/A</v>
      </c>
      <c r="U128" s="62" t="str">
        <f t="shared" ca="1" si="52"/>
        <v>N/A</v>
      </c>
      <c r="V128" s="62" t="str">
        <f t="shared" ca="1" si="52"/>
        <v>N/A</v>
      </c>
      <c r="W128" s="62" t="str">
        <f t="shared" ca="1" si="52"/>
        <v>N/A</v>
      </c>
      <c r="X128" s="62" t="str">
        <f t="shared" ca="1" si="52"/>
        <v>N/A</v>
      </c>
      <c r="Y128" s="62"/>
      <c r="Z128" s="17"/>
      <c r="AA128" s="17"/>
      <c r="AB128" s="17"/>
    </row>
    <row r="129" spans="1:28" hidden="1" x14ac:dyDescent="0.25">
      <c r="A129" s="50" t="str">
        <f t="shared" si="45"/>
        <v>SJI</v>
      </c>
      <c r="B129" s="45">
        <f t="shared" ca="1" si="46"/>
        <v>61</v>
      </c>
      <c r="C129" s="1" t="str">
        <f>IF(ISERROR(D129),"",IF(D129="","",MAX($C$121:C128)+1))</f>
        <v/>
      </c>
      <c r="E129" s="2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17"/>
      <c r="AA129" s="17"/>
      <c r="AB129" s="17"/>
    </row>
    <row r="130" spans="1:28" x14ac:dyDescent="0.25">
      <c r="A130" s="50" t="str">
        <f t="shared" si="45"/>
        <v>SWX</v>
      </c>
      <c r="B130" s="45">
        <f t="shared" ca="1" si="46"/>
        <v>63</v>
      </c>
      <c r="C130" s="1">
        <f ca="1">IF(ISERROR(D130),"",IF(D130="","",MAX($C$121:C129)+1))</f>
        <v>29</v>
      </c>
      <c r="D130" t="str">
        <f t="shared" ca="1" si="47"/>
        <v>Southwest Gas</v>
      </c>
      <c r="E130" s="22"/>
      <c r="F130" s="62">
        <f t="shared" ca="1" si="53"/>
        <v>0.82069984625137338</v>
      </c>
      <c r="G130" s="62">
        <f t="shared" si="48"/>
        <v>0.71206225680933855</v>
      </c>
      <c r="H130" s="62">
        <f t="shared" si="49"/>
        <v>0.30546875000000001</v>
      </c>
      <c r="I130" s="62">
        <f t="shared" si="50"/>
        <v>0.85972850678733026</v>
      </c>
      <c r="J130" s="62">
        <f t="shared" si="51"/>
        <v>0.68683274021352314</v>
      </c>
      <c r="K130" s="62">
        <f t="shared" si="54"/>
        <v>0.53333333333333333</v>
      </c>
      <c r="L130" s="62">
        <f t="shared" ca="1" si="52"/>
        <v>0.56334810301855442</v>
      </c>
      <c r="M130" s="62">
        <f t="shared" ca="1" si="52"/>
        <v>0.6811381863047502</v>
      </c>
      <c r="N130" s="62">
        <f t="shared" ca="1" si="52"/>
        <v>0.83312410329985664</v>
      </c>
      <c r="O130" s="62">
        <f t="shared" ca="1" si="52"/>
        <v>0.83699029126213587</v>
      </c>
      <c r="P130" s="62">
        <f t="shared" ca="1" si="52"/>
        <v>0.99308404641894255</v>
      </c>
      <c r="Q130" s="62">
        <f t="shared" ca="1" si="52"/>
        <v>1.0491219139730212</v>
      </c>
      <c r="R130" s="62">
        <f t="shared" ca="1" si="52"/>
        <v>0.9015743440233237</v>
      </c>
      <c r="S130" s="62">
        <f t="shared" ca="1" si="52"/>
        <v>0.82098914354644159</v>
      </c>
      <c r="T130" s="62">
        <f t="shared" ca="1" si="52"/>
        <v>1.3662507929794883</v>
      </c>
      <c r="U130" s="62">
        <f t="shared" ca="1" si="52"/>
        <v>1.2793017456359101</v>
      </c>
      <c r="V130" s="62">
        <f t="shared" ca="1" si="52"/>
        <v>0.84824845451869302</v>
      </c>
      <c r="W130" s="62">
        <f t="shared" ca="1" si="52"/>
        <v>0.77973125706392055</v>
      </c>
      <c r="X130" s="62">
        <f t="shared" ca="1" si="52"/>
        <v>0.72226926333615582</v>
      </c>
      <c r="Y130" s="62"/>
      <c r="Z130" s="17"/>
      <c r="AA130" s="17"/>
      <c r="AB130" s="17"/>
    </row>
    <row r="131" spans="1:28" x14ac:dyDescent="0.25">
      <c r="A131" s="50" t="str">
        <f t="shared" si="45"/>
        <v>SR</v>
      </c>
      <c r="B131" s="45">
        <f t="shared" ca="1" si="46"/>
        <v>64</v>
      </c>
      <c r="C131" s="1">
        <f ca="1">IF(ISERROR(D131),"",IF(D131="","",MAX($C$121:C130)+1))</f>
        <v>30</v>
      </c>
      <c r="D131" t="str">
        <f t="shared" ca="1" si="47"/>
        <v>Spire Inc.</v>
      </c>
      <c r="E131" s="22"/>
      <c r="F131" s="62">
        <f t="shared" ca="1" si="53"/>
        <v>1.0331592392218363</v>
      </c>
      <c r="G131" s="62">
        <f t="shared" si="48"/>
        <v>0.69076305220883538</v>
      </c>
      <c r="H131" s="62">
        <f t="shared" si="49"/>
        <v>0.80228136882129275</v>
      </c>
      <c r="I131" s="62">
        <f t="shared" si="50"/>
        <v>0.75186104218362282</v>
      </c>
      <c r="J131" s="62">
        <f t="shared" si="51"/>
        <v>0.42441390460792244</v>
      </c>
      <c r="K131" s="62">
        <f t="shared" si="54"/>
        <v>0.44086687306501554</v>
      </c>
      <c r="L131" s="62">
        <f t="shared" ca="1" si="52"/>
        <v>0.76613230519480524</v>
      </c>
      <c r="M131" s="62">
        <f t="shared" ca="1" si="52"/>
        <v>0.72061253718188834</v>
      </c>
      <c r="N131" s="62">
        <f t="shared" ca="1" si="52"/>
        <v>0.95844357976653705</v>
      </c>
      <c r="O131" s="62">
        <f t="shared" ca="1" si="52"/>
        <v>0.92070616397366845</v>
      </c>
      <c r="P131" s="62">
        <f t="shared" ca="1" si="52"/>
        <v>0.97651515151515156</v>
      </c>
      <c r="Q131" s="62">
        <f t="shared" ca="1" si="52"/>
        <v>0.78025</v>
      </c>
      <c r="R131" s="62">
        <f t="shared" ca="1" si="52"/>
        <v>0.94985495234148365</v>
      </c>
      <c r="S131" s="62">
        <f t="shared" ca="1" si="52"/>
        <v>1.5316749585406302</v>
      </c>
      <c r="T131" s="62">
        <f t="shared" ca="1" si="52"/>
        <v>1.6069612827532265</v>
      </c>
      <c r="U131" s="62">
        <f t="shared" ca="1" si="52"/>
        <v>1.9284807448159123</v>
      </c>
      <c r="V131" s="62">
        <f t="shared" ca="1" si="52"/>
        <v>1.63986013986014</v>
      </c>
      <c r="W131" s="62">
        <f t="shared" ca="1" si="52"/>
        <v>1.424264705882353</v>
      </c>
      <c r="X131" s="62">
        <f t="shared" ca="1" si="52"/>
        <v>1.2829235432805659</v>
      </c>
      <c r="Y131" s="62"/>
      <c r="Z131" s="17"/>
      <c r="AA131" s="17"/>
      <c r="AB131" s="17"/>
    </row>
    <row r="132" spans="1:28" x14ac:dyDescent="0.25">
      <c r="A132" s="50" t="str">
        <f t="shared" si="45"/>
        <v>UGI</v>
      </c>
      <c r="B132" s="45">
        <f t="shared" ca="1" si="46"/>
        <v>66</v>
      </c>
      <c r="C132" s="1">
        <f ca="1">IF(ISERROR(D132),"",IF(D132="","",MAX($C$121:C131)+1))</f>
        <v>31</v>
      </c>
      <c r="D132" t="str">
        <f t="shared" ca="1" si="47"/>
        <v>UGI Corp.</v>
      </c>
      <c r="E132" s="22"/>
      <c r="F132" s="62">
        <f t="shared" ca="1" si="53"/>
        <v>1.4472605897237745</v>
      </c>
      <c r="G132" s="62">
        <f t="shared" si="48"/>
        <v>1.1753246753246753</v>
      </c>
      <c r="H132" s="62">
        <f t="shared" si="49"/>
        <v>1.4214659685863875</v>
      </c>
      <c r="I132" s="62">
        <f t="shared" si="50"/>
        <v>1.3191489361702127</v>
      </c>
      <c r="J132" s="62">
        <f t="shared" si="51"/>
        <v>1.5910543130990418</v>
      </c>
      <c r="K132" s="62">
        <f t="shared" si="54"/>
        <v>1.2225519287833828</v>
      </c>
      <c r="L132" s="62">
        <f t="shared" ca="1" si="52"/>
        <v>1.6379624014554275</v>
      </c>
      <c r="M132" s="62">
        <f t="shared" ca="1" si="52"/>
        <v>1.2878540305010893</v>
      </c>
      <c r="N132" s="62">
        <f t="shared" ca="1" si="52"/>
        <v>1.3495085995085996</v>
      </c>
      <c r="O132" s="62">
        <f t="shared" ca="1" si="52"/>
        <v>1.4837685250529287</v>
      </c>
      <c r="P132" s="62">
        <f t="shared" ca="1" si="52"/>
        <v>1.5323251417769377</v>
      </c>
      <c r="Q132" s="62">
        <f t="shared" ca="1" si="52"/>
        <v>1.319268635724332</v>
      </c>
      <c r="R132" s="62">
        <f t="shared" ca="1" si="52"/>
        <v>1.518426294820717</v>
      </c>
      <c r="S132" s="62">
        <f t="shared" ca="1" si="52"/>
        <v>1.2776744186046511</v>
      </c>
      <c r="T132" s="62">
        <f t="shared" ca="1" si="52"/>
        <v>1.3563653573118788</v>
      </c>
      <c r="U132" s="62">
        <f t="shared" ca="1" si="52"/>
        <v>1.5229357798165137</v>
      </c>
      <c r="V132" s="62">
        <f t="shared" ca="1" si="52"/>
        <v>1.7224149895905623</v>
      </c>
      <c r="W132" s="62">
        <f t="shared" ca="1" si="52"/>
        <v>1.6179211469534052</v>
      </c>
      <c r="X132" s="62">
        <f t="shared" ca="1" si="52"/>
        <v>1.6947194719471945</v>
      </c>
      <c r="Y132" s="62"/>
      <c r="Z132" s="17"/>
      <c r="AA132" s="17"/>
      <c r="AB132" s="17"/>
    </row>
    <row r="133" spans="1:28" hidden="1" x14ac:dyDescent="0.25">
      <c r="A133" s="50" t="str">
        <f t="shared" si="45"/>
        <v>WGL</v>
      </c>
      <c r="B133" s="45">
        <f t="shared" ca="1" si="46"/>
        <v>73</v>
      </c>
      <c r="C133" s="1"/>
      <c r="E133" s="2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17"/>
      <c r="AA133" s="17"/>
      <c r="AB133" s="17"/>
    </row>
    <row r="134" spans="1:28" hidden="1" x14ac:dyDescent="0.25">
      <c r="A134" s="50">
        <f t="shared" si="45"/>
        <v>0</v>
      </c>
      <c r="B134" s="45" t="e">
        <f t="shared" ca="1" si="46"/>
        <v>#N/A</v>
      </c>
      <c r="C134" s="1" t="str">
        <f>IF(ISERROR(D134),"",IF(D134="","",MAX($C$121:C133)+1))</f>
        <v/>
      </c>
      <c r="D134" t="e">
        <f t="shared" si="47"/>
        <v>#N/A</v>
      </c>
      <c r="E134" s="22"/>
      <c r="F134" s="62" t="e">
        <f t="shared" ca="1" si="53"/>
        <v>#DIV/0!</v>
      </c>
      <c r="G134" s="62"/>
      <c r="H134" s="62"/>
      <c r="I134" s="62"/>
      <c r="J134" s="62" t="str">
        <f t="shared" si="51"/>
        <v>N/A</v>
      </c>
      <c r="K134" s="62" t="str">
        <f t="shared" si="54"/>
        <v>N/A</v>
      </c>
      <c r="L134" s="62" t="str">
        <f t="shared" ref="L134:L167" si="55">IFERROR(IF(VLOOKUP(A134,LUCurYr,21,FALSE)=0,"",VLOOKUP(A134,LUCurYr,21,FALSE)),"N/A")</f>
        <v>N/A</v>
      </c>
      <c r="M134" s="62"/>
      <c r="N134" s="62" t="str">
        <f t="shared" ca="1" si="52"/>
        <v>N/A</v>
      </c>
      <c r="O134" s="62" t="str">
        <f t="shared" ref="O134:X142" ca="1" si="56">IFERROR(IF(INDEX(CF_CAP_WP,$B134,O$122)=0,"N/A",INDEX(CF_CAP_WP,$B134,O$122)),"N/A")</f>
        <v>N/A</v>
      </c>
      <c r="P134" s="62" t="str">
        <f t="shared" ca="1" si="56"/>
        <v>N/A</v>
      </c>
      <c r="Q134" s="62" t="str">
        <f t="shared" ca="1" si="56"/>
        <v>N/A</v>
      </c>
      <c r="R134" s="62" t="str">
        <f t="shared" ca="1" si="56"/>
        <v>N/A</v>
      </c>
      <c r="S134" s="62" t="str">
        <f t="shared" ca="1" si="56"/>
        <v>N/A</v>
      </c>
      <c r="T134" s="62" t="str">
        <f t="shared" ca="1" si="56"/>
        <v>N/A</v>
      </c>
      <c r="U134" s="62" t="str">
        <f t="shared" ca="1" si="56"/>
        <v>N/A</v>
      </c>
      <c r="V134" s="62" t="str">
        <f t="shared" ca="1" si="56"/>
        <v>N/A</v>
      </c>
      <c r="W134" s="62" t="str">
        <f t="shared" ca="1" si="56"/>
        <v>N/A</v>
      </c>
      <c r="X134" s="62" t="str">
        <f t="shared" ca="1" si="56"/>
        <v>N/A</v>
      </c>
      <c r="Y134" s="62"/>
      <c r="Z134" s="17"/>
      <c r="AA134" s="17"/>
      <c r="AB134" s="17"/>
    </row>
    <row r="135" spans="1:28" hidden="1" x14ac:dyDescent="0.25">
      <c r="A135" s="50">
        <f t="shared" si="45"/>
        <v>0</v>
      </c>
      <c r="B135" s="45" t="e">
        <f t="shared" ca="1" si="46"/>
        <v>#N/A</v>
      </c>
      <c r="C135" s="1" t="str">
        <f>IF(ISERROR(D135),"",IF(D135="","",MAX($C$121:C134)+1))</f>
        <v/>
      </c>
      <c r="D135" t="e">
        <f t="shared" si="47"/>
        <v>#N/A</v>
      </c>
      <c r="E135" s="22"/>
      <c r="F135" s="62" t="e">
        <f t="shared" ca="1" si="53"/>
        <v>#DIV/0!</v>
      </c>
      <c r="G135" s="62"/>
      <c r="H135" s="62"/>
      <c r="I135" s="62"/>
      <c r="J135" s="62" t="str">
        <f t="shared" si="51"/>
        <v>N/A</v>
      </c>
      <c r="K135" s="62" t="str">
        <f t="shared" si="54"/>
        <v>N/A</v>
      </c>
      <c r="L135" s="62" t="str">
        <f t="shared" si="55"/>
        <v>N/A</v>
      </c>
      <c r="M135" s="62"/>
      <c r="N135" s="62" t="str">
        <f t="shared" ca="1" si="52"/>
        <v>N/A</v>
      </c>
      <c r="O135" s="62" t="str">
        <f t="shared" ca="1" si="56"/>
        <v>N/A</v>
      </c>
      <c r="P135" s="62" t="str">
        <f t="shared" ca="1" si="56"/>
        <v>N/A</v>
      </c>
      <c r="Q135" s="62" t="str">
        <f t="shared" ca="1" si="56"/>
        <v>N/A</v>
      </c>
      <c r="R135" s="62" t="str">
        <f t="shared" ca="1" si="56"/>
        <v>N/A</v>
      </c>
      <c r="S135" s="62" t="str">
        <f t="shared" ca="1" si="56"/>
        <v>N/A</v>
      </c>
      <c r="T135" s="62" t="str">
        <f t="shared" ca="1" si="56"/>
        <v>N/A</v>
      </c>
      <c r="U135" s="62" t="str">
        <f t="shared" ca="1" si="56"/>
        <v>N/A</v>
      </c>
      <c r="V135" s="62" t="str">
        <f t="shared" ca="1" si="56"/>
        <v>N/A</v>
      </c>
      <c r="W135" s="62" t="str">
        <f t="shared" ca="1" si="56"/>
        <v>N/A</v>
      </c>
      <c r="X135" s="62" t="str">
        <f t="shared" ca="1" si="56"/>
        <v>N/A</v>
      </c>
      <c r="Y135" s="62"/>
      <c r="Z135" s="17"/>
      <c r="AA135" s="17"/>
      <c r="AB135" s="17"/>
    </row>
    <row r="136" spans="1:28" hidden="1" x14ac:dyDescent="0.25">
      <c r="A136" s="50">
        <f t="shared" si="45"/>
        <v>0</v>
      </c>
      <c r="B136" s="45" t="e">
        <f t="shared" ca="1" si="46"/>
        <v>#N/A</v>
      </c>
      <c r="C136" s="1" t="str">
        <f>IF(ISERROR(D136),"",IF(D136="","",MAX($C$121:C135)+1))</f>
        <v/>
      </c>
      <c r="D136" t="e">
        <f t="shared" si="47"/>
        <v>#N/A</v>
      </c>
      <c r="E136" s="22"/>
      <c r="F136" s="62" t="e">
        <f t="shared" ca="1" si="53"/>
        <v>#DIV/0!</v>
      </c>
      <c r="G136" s="62"/>
      <c r="H136" s="62"/>
      <c r="I136" s="62"/>
      <c r="J136" s="62" t="str">
        <f t="shared" si="51"/>
        <v>N/A</v>
      </c>
      <c r="K136" s="62" t="str">
        <f t="shared" si="54"/>
        <v>N/A</v>
      </c>
      <c r="L136" s="62" t="str">
        <f t="shared" si="55"/>
        <v>N/A</v>
      </c>
      <c r="M136" s="62"/>
      <c r="N136" s="62" t="str">
        <f t="shared" ca="1" si="52"/>
        <v>N/A</v>
      </c>
      <c r="O136" s="62" t="str">
        <f t="shared" ca="1" si="56"/>
        <v>N/A</v>
      </c>
      <c r="P136" s="62" t="str">
        <f t="shared" ca="1" si="56"/>
        <v>N/A</v>
      </c>
      <c r="Q136" s="62" t="str">
        <f t="shared" ca="1" si="56"/>
        <v>N/A</v>
      </c>
      <c r="R136" s="62" t="str">
        <f t="shared" ca="1" si="56"/>
        <v>N/A</v>
      </c>
      <c r="S136" s="62" t="str">
        <f t="shared" ca="1" si="56"/>
        <v>N/A</v>
      </c>
      <c r="T136" s="62" t="str">
        <f t="shared" ca="1" si="56"/>
        <v>N/A</v>
      </c>
      <c r="U136" s="62" t="str">
        <f t="shared" ca="1" si="56"/>
        <v>N/A</v>
      </c>
      <c r="V136" s="62" t="str">
        <f t="shared" ca="1" si="56"/>
        <v>N/A</v>
      </c>
      <c r="W136" s="62" t="str">
        <f t="shared" ca="1" si="56"/>
        <v>N/A</v>
      </c>
      <c r="X136" s="62" t="str">
        <f t="shared" ca="1" si="56"/>
        <v>N/A</v>
      </c>
      <c r="Y136" s="62"/>
      <c r="Z136" s="17"/>
      <c r="AA136" s="17"/>
      <c r="AB136" s="17"/>
    </row>
    <row r="137" spans="1:28" hidden="1" x14ac:dyDescent="0.25">
      <c r="A137" s="50">
        <f t="shared" si="45"/>
        <v>0</v>
      </c>
      <c r="B137" s="45" t="e">
        <f t="shared" ca="1" si="46"/>
        <v>#N/A</v>
      </c>
      <c r="C137" s="1" t="str">
        <f>IF(ISERROR(D137),"",IF(D137="","",MAX($C$121:C136)+1))</f>
        <v/>
      </c>
      <c r="D137" t="e">
        <f t="shared" si="47"/>
        <v>#N/A</v>
      </c>
      <c r="E137" s="22"/>
      <c r="F137" s="62" t="e">
        <f t="shared" ca="1" si="53"/>
        <v>#DIV/0!</v>
      </c>
      <c r="G137" s="62"/>
      <c r="H137" s="62"/>
      <c r="I137" s="62"/>
      <c r="J137" s="62" t="str">
        <f t="shared" si="51"/>
        <v>N/A</v>
      </c>
      <c r="K137" s="62" t="str">
        <f t="shared" si="54"/>
        <v>N/A</v>
      </c>
      <c r="L137" s="62" t="str">
        <f t="shared" si="55"/>
        <v>N/A</v>
      </c>
      <c r="M137" s="62"/>
      <c r="N137" s="62" t="str">
        <f t="shared" ca="1" si="52"/>
        <v>N/A</v>
      </c>
      <c r="O137" s="62" t="str">
        <f t="shared" ca="1" si="56"/>
        <v>N/A</v>
      </c>
      <c r="P137" s="62" t="str">
        <f t="shared" ca="1" si="56"/>
        <v>N/A</v>
      </c>
      <c r="Q137" s="62" t="str">
        <f t="shared" ca="1" si="56"/>
        <v>N/A</v>
      </c>
      <c r="R137" s="62" t="str">
        <f t="shared" ca="1" si="56"/>
        <v>N/A</v>
      </c>
      <c r="S137" s="62" t="str">
        <f t="shared" ca="1" si="56"/>
        <v>N/A</v>
      </c>
      <c r="T137" s="62" t="str">
        <f t="shared" ca="1" si="56"/>
        <v>N/A</v>
      </c>
      <c r="U137" s="62" t="str">
        <f t="shared" ca="1" si="56"/>
        <v>N/A</v>
      </c>
      <c r="V137" s="62" t="str">
        <f t="shared" ca="1" si="56"/>
        <v>N/A</v>
      </c>
      <c r="W137" s="62" t="str">
        <f t="shared" ca="1" si="56"/>
        <v>N/A</v>
      </c>
      <c r="X137" s="62" t="str">
        <f t="shared" ca="1" si="56"/>
        <v>N/A</v>
      </c>
      <c r="Y137" s="62"/>
      <c r="Z137" s="17"/>
      <c r="AA137" s="17"/>
      <c r="AB137" s="17"/>
    </row>
    <row r="138" spans="1:28" hidden="1" x14ac:dyDescent="0.25">
      <c r="A138" s="50">
        <f t="shared" si="45"/>
        <v>0</v>
      </c>
      <c r="B138" s="45" t="e">
        <f t="shared" ca="1" si="46"/>
        <v>#N/A</v>
      </c>
      <c r="C138" s="1" t="str">
        <f>IF(ISERROR(D138),"",IF(D138="","",MAX($C$121:C137)+1))</f>
        <v/>
      </c>
      <c r="D138" t="e">
        <f t="shared" si="47"/>
        <v>#N/A</v>
      </c>
      <c r="E138" s="22"/>
      <c r="F138" s="62" t="e">
        <f t="shared" ca="1" si="53"/>
        <v>#DIV/0!</v>
      </c>
      <c r="G138" s="62"/>
      <c r="H138" s="62"/>
      <c r="I138" s="62"/>
      <c r="J138" s="62" t="str">
        <f t="shared" si="51"/>
        <v>N/A</v>
      </c>
      <c r="K138" s="62" t="str">
        <f t="shared" si="54"/>
        <v>N/A</v>
      </c>
      <c r="L138" s="62" t="str">
        <f t="shared" si="55"/>
        <v>N/A</v>
      </c>
      <c r="M138" s="62"/>
      <c r="N138" s="62" t="str">
        <f t="shared" ca="1" si="52"/>
        <v>N/A</v>
      </c>
      <c r="O138" s="62" t="str">
        <f t="shared" ca="1" si="56"/>
        <v>N/A</v>
      </c>
      <c r="P138" s="62" t="str">
        <f t="shared" ca="1" si="56"/>
        <v>N/A</v>
      </c>
      <c r="Q138" s="62" t="str">
        <f t="shared" ca="1" si="56"/>
        <v>N/A</v>
      </c>
      <c r="R138" s="62" t="str">
        <f t="shared" ca="1" si="56"/>
        <v>N/A</v>
      </c>
      <c r="S138" s="62" t="str">
        <f t="shared" ca="1" si="56"/>
        <v>N/A</v>
      </c>
      <c r="T138" s="62" t="str">
        <f t="shared" ca="1" si="56"/>
        <v>N/A</v>
      </c>
      <c r="U138" s="62" t="str">
        <f t="shared" ca="1" si="56"/>
        <v>N/A</v>
      </c>
      <c r="V138" s="62" t="str">
        <f t="shared" ca="1" si="56"/>
        <v>N/A</v>
      </c>
      <c r="W138" s="62" t="str">
        <f t="shared" ca="1" si="56"/>
        <v>N/A</v>
      </c>
      <c r="X138" s="62" t="str">
        <f t="shared" ca="1" si="56"/>
        <v>N/A</v>
      </c>
      <c r="Y138" s="62"/>
      <c r="Z138" s="17"/>
      <c r="AA138" s="17"/>
      <c r="AB138" s="17"/>
    </row>
    <row r="139" spans="1:28" hidden="1" x14ac:dyDescent="0.25">
      <c r="A139" s="50">
        <f t="shared" si="45"/>
        <v>0</v>
      </c>
      <c r="B139" s="45" t="e">
        <f t="shared" ca="1" si="46"/>
        <v>#N/A</v>
      </c>
      <c r="C139" s="1" t="str">
        <f>IF(ISERROR(D139),"",IF(D139="","",MAX($C$121:C138)+1))</f>
        <v/>
      </c>
      <c r="D139" t="e">
        <f t="shared" si="47"/>
        <v>#N/A</v>
      </c>
      <c r="E139" s="22"/>
      <c r="F139" s="62" t="e">
        <f t="shared" ca="1" si="53"/>
        <v>#DIV/0!</v>
      </c>
      <c r="G139" s="62"/>
      <c r="H139" s="62"/>
      <c r="I139" s="62"/>
      <c r="J139" s="62" t="str">
        <f t="shared" si="51"/>
        <v>N/A</v>
      </c>
      <c r="K139" s="62" t="str">
        <f t="shared" si="54"/>
        <v>N/A</v>
      </c>
      <c r="L139" s="62" t="str">
        <f t="shared" si="55"/>
        <v>N/A</v>
      </c>
      <c r="M139" s="62"/>
      <c r="N139" s="62" t="str">
        <f t="shared" ref="N139:N167" ca="1" si="57">IFERROR(IF(INDEX(CF_CAP_WP,$B139,N$122)=0,"N/A",INDEX(CF_CAP_WP,$B139,N$122)),"N/A")</f>
        <v>N/A</v>
      </c>
      <c r="O139" s="62" t="str">
        <f t="shared" ca="1" si="56"/>
        <v>N/A</v>
      </c>
      <c r="P139" s="62" t="str">
        <f t="shared" ca="1" si="56"/>
        <v>N/A</v>
      </c>
      <c r="Q139" s="62" t="str">
        <f t="shared" ca="1" si="56"/>
        <v>N/A</v>
      </c>
      <c r="R139" s="62" t="str">
        <f t="shared" ca="1" si="56"/>
        <v>N/A</v>
      </c>
      <c r="S139" s="62" t="str">
        <f t="shared" ca="1" si="56"/>
        <v>N/A</v>
      </c>
      <c r="T139" s="62" t="str">
        <f t="shared" ca="1" si="56"/>
        <v>N/A</v>
      </c>
      <c r="U139" s="62" t="str">
        <f t="shared" ca="1" si="56"/>
        <v>N/A</v>
      </c>
      <c r="V139" s="62" t="str">
        <f t="shared" ca="1" si="56"/>
        <v>N/A</v>
      </c>
      <c r="W139" s="62" t="str">
        <f t="shared" ca="1" si="56"/>
        <v>N/A</v>
      </c>
      <c r="X139" s="62" t="str">
        <f t="shared" ca="1" si="56"/>
        <v>N/A</v>
      </c>
      <c r="Y139" s="62"/>
      <c r="Z139" s="17"/>
      <c r="AA139" s="17"/>
      <c r="AB139" s="17"/>
    </row>
    <row r="140" spans="1:28" hidden="1" x14ac:dyDescent="0.25">
      <c r="A140" s="50">
        <f t="shared" si="45"/>
        <v>0</v>
      </c>
      <c r="B140" s="45" t="e">
        <f t="shared" ca="1" si="46"/>
        <v>#N/A</v>
      </c>
      <c r="C140" s="1" t="str">
        <f>IF(ISERROR(D140),"",IF(D140="","",MAX($C$121:C139)+1))</f>
        <v/>
      </c>
      <c r="D140" t="e">
        <f t="shared" si="47"/>
        <v>#N/A</v>
      </c>
      <c r="E140" s="22"/>
      <c r="F140" s="62" t="e">
        <f t="shared" ca="1" si="53"/>
        <v>#DIV/0!</v>
      </c>
      <c r="G140" s="62"/>
      <c r="H140" s="62"/>
      <c r="I140" s="62"/>
      <c r="J140" s="62" t="str">
        <f t="shared" si="51"/>
        <v>N/A</v>
      </c>
      <c r="K140" s="62" t="str">
        <f t="shared" si="54"/>
        <v>N/A</v>
      </c>
      <c r="L140" s="62" t="str">
        <f t="shared" si="55"/>
        <v>N/A</v>
      </c>
      <c r="M140" s="62"/>
      <c r="N140" s="62" t="str">
        <f t="shared" ca="1" si="57"/>
        <v>N/A</v>
      </c>
      <c r="O140" s="62" t="str">
        <f t="shared" ca="1" si="56"/>
        <v>N/A</v>
      </c>
      <c r="P140" s="62" t="str">
        <f t="shared" ca="1" si="56"/>
        <v>N/A</v>
      </c>
      <c r="Q140" s="62" t="str">
        <f t="shared" ca="1" si="56"/>
        <v>N/A</v>
      </c>
      <c r="R140" s="62" t="str">
        <f t="shared" ca="1" si="56"/>
        <v>N/A</v>
      </c>
      <c r="S140" s="62" t="str">
        <f t="shared" ca="1" si="56"/>
        <v>N/A</v>
      </c>
      <c r="T140" s="62" t="str">
        <f t="shared" ca="1" si="56"/>
        <v>N/A</v>
      </c>
      <c r="U140" s="62" t="str">
        <f t="shared" ca="1" si="56"/>
        <v>N/A</v>
      </c>
      <c r="V140" s="62" t="str">
        <f t="shared" ca="1" si="56"/>
        <v>N/A</v>
      </c>
      <c r="W140" s="62" t="str">
        <f t="shared" ca="1" si="56"/>
        <v>N/A</v>
      </c>
      <c r="X140" s="62" t="str">
        <f t="shared" ca="1" si="56"/>
        <v>N/A</v>
      </c>
      <c r="Y140" s="62"/>
      <c r="Z140" s="17"/>
      <c r="AA140" s="17"/>
      <c r="AB140" s="17"/>
    </row>
    <row r="141" spans="1:28" hidden="1" x14ac:dyDescent="0.25">
      <c r="A141" s="50">
        <f t="shared" si="45"/>
        <v>0</v>
      </c>
      <c r="B141" s="45" t="e">
        <f t="shared" ca="1" si="46"/>
        <v>#N/A</v>
      </c>
      <c r="C141" s="1" t="str">
        <f>IF(ISERROR(D141),"",IF(D141="","",MAX($C$121:C140)+1))</f>
        <v/>
      </c>
      <c r="D141" t="e">
        <f t="shared" si="47"/>
        <v>#N/A</v>
      </c>
      <c r="E141" s="22"/>
      <c r="F141" s="62" t="e">
        <f t="shared" ca="1" si="53"/>
        <v>#DIV/0!</v>
      </c>
      <c r="G141" s="62"/>
      <c r="H141" s="62"/>
      <c r="I141" s="62"/>
      <c r="J141" s="62" t="str">
        <f t="shared" si="51"/>
        <v>N/A</v>
      </c>
      <c r="K141" s="62" t="str">
        <f t="shared" si="54"/>
        <v>N/A</v>
      </c>
      <c r="L141" s="62" t="str">
        <f t="shared" si="55"/>
        <v>N/A</v>
      </c>
      <c r="M141" s="62"/>
      <c r="N141" s="62" t="str">
        <f t="shared" ca="1" si="57"/>
        <v>N/A</v>
      </c>
      <c r="O141" s="62" t="str">
        <f t="shared" ca="1" si="56"/>
        <v>N/A</v>
      </c>
      <c r="P141" s="62" t="str">
        <f t="shared" ca="1" si="56"/>
        <v>N/A</v>
      </c>
      <c r="Q141" s="62" t="str">
        <f t="shared" ca="1" si="56"/>
        <v>N/A</v>
      </c>
      <c r="R141" s="62" t="str">
        <f t="shared" ca="1" si="56"/>
        <v>N/A</v>
      </c>
      <c r="S141" s="62" t="str">
        <f t="shared" ca="1" si="56"/>
        <v>N/A</v>
      </c>
      <c r="T141" s="62" t="str">
        <f t="shared" ca="1" si="56"/>
        <v>N/A</v>
      </c>
      <c r="U141" s="62" t="str">
        <f t="shared" ca="1" si="56"/>
        <v>N/A</v>
      </c>
      <c r="V141" s="62" t="str">
        <f t="shared" ca="1" si="56"/>
        <v>N/A</v>
      </c>
      <c r="W141" s="62" t="str">
        <f t="shared" ca="1" si="56"/>
        <v>N/A</v>
      </c>
      <c r="X141" s="62" t="str">
        <f t="shared" ca="1" si="56"/>
        <v>N/A</v>
      </c>
      <c r="Y141" s="62"/>
      <c r="Z141" s="17"/>
      <c r="AA141" s="17"/>
      <c r="AB141" s="17"/>
    </row>
    <row r="142" spans="1:28" hidden="1" x14ac:dyDescent="0.25">
      <c r="A142" s="50">
        <f t="shared" si="45"/>
        <v>0</v>
      </c>
      <c r="B142" s="45" t="e">
        <f t="shared" ca="1" si="46"/>
        <v>#N/A</v>
      </c>
      <c r="C142" s="1" t="str">
        <f>IF(ISERROR(D142),"",IF(D142="","",MAX($C$121:C141)+1))</f>
        <v/>
      </c>
      <c r="D142" t="e">
        <f t="shared" si="47"/>
        <v>#N/A</v>
      </c>
      <c r="E142" s="22"/>
      <c r="F142" s="62" t="e">
        <f t="shared" ca="1" si="53"/>
        <v>#DIV/0!</v>
      </c>
      <c r="G142" s="62"/>
      <c r="H142" s="62"/>
      <c r="I142" s="62"/>
      <c r="J142" s="62" t="str">
        <f t="shared" si="51"/>
        <v>N/A</v>
      </c>
      <c r="K142" s="62" t="str">
        <f t="shared" si="54"/>
        <v>N/A</v>
      </c>
      <c r="L142" s="62" t="str">
        <f t="shared" si="55"/>
        <v>N/A</v>
      </c>
      <c r="M142" s="62"/>
      <c r="N142" s="62" t="str">
        <f t="shared" ca="1" si="57"/>
        <v>N/A</v>
      </c>
      <c r="O142" s="62" t="str">
        <f t="shared" ca="1" si="56"/>
        <v>N/A</v>
      </c>
      <c r="P142" s="62" t="str">
        <f t="shared" ca="1" si="56"/>
        <v>N/A</v>
      </c>
      <c r="Q142" s="62" t="str">
        <f t="shared" ca="1" si="56"/>
        <v>N/A</v>
      </c>
      <c r="R142" s="62" t="str">
        <f t="shared" ca="1" si="56"/>
        <v>N/A</v>
      </c>
      <c r="S142" s="62" t="str">
        <f t="shared" ca="1" si="56"/>
        <v>N/A</v>
      </c>
      <c r="T142" s="62" t="str">
        <f t="shared" ca="1" si="56"/>
        <v>N/A</v>
      </c>
      <c r="U142" s="62" t="str">
        <f t="shared" ca="1" si="56"/>
        <v>N/A</v>
      </c>
      <c r="V142" s="62" t="str">
        <f t="shared" ca="1" si="56"/>
        <v>N/A</v>
      </c>
      <c r="W142" s="62" t="str">
        <f t="shared" ca="1" si="56"/>
        <v>N/A</v>
      </c>
      <c r="X142" s="62" t="str">
        <f t="shared" ca="1" si="56"/>
        <v>N/A</v>
      </c>
      <c r="Y142" s="62"/>
      <c r="Z142" s="17"/>
      <c r="AA142" s="17"/>
      <c r="AB142" s="17"/>
    </row>
    <row r="143" spans="1:28" hidden="1" x14ac:dyDescent="0.25">
      <c r="A143" s="50">
        <f t="shared" si="45"/>
        <v>0</v>
      </c>
      <c r="B143" s="45" t="e">
        <f t="shared" ca="1" si="46"/>
        <v>#N/A</v>
      </c>
      <c r="C143" s="1" t="str">
        <f>IF(ISERROR(D143),"",IF(D143="","",MAX($C$121:C142)+1))</f>
        <v/>
      </c>
      <c r="D143" t="e">
        <f t="shared" si="47"/>
        <v>#N/A</v>
      </c>
      <c r="E143" s="22"/>
      <c r="F143" s="62" t="e">
        <f t="shared" ca="1" si="53"/>
        <v>#DIV/0!</v>
      </c>
      <c r="G143" s="62"/>
      <c r="H143" s="62"/>
      <c r="I143" s="62"/>
      <c r="J143" s="62" t="str">
        <f t="shared" si="51"/>
        <v>N/A</v>
      </c>
      <c r="K143" s="62" t="str">
        <f t="shared" si="54"/>
        <v>N/A</v>
      </c>
      <c r="L143" s="62" t="str">
        <f t="shared" si="55"/>
        <v>N/A</v>
      </c>
      <c r="M143" s="62"/>
      <c r="N143" s="62" t="str">
        <f t="shared" ca="1" si="57"/>
        <v>N/A</v>
      </c>
      <c r="O143" s="62" t="str">
        <f t="shared" ref="O143:X152" ca="1" si="58">IFERROR(IF(INDEX(CF_CAP_WP,$B143,O$122)=0,"N/A",INDEX(CF_CAP_WP,$B143,O$122)),"N/A")</f>
        <v>N/A</v>
      </c>
      <c r="P143" s="62" t="str">
        <f t="shared" ca="1" si="58"/>
        <v>N/A</v>
      </c>
      <c r="Q143" s="62" t="str">
        <f t="shared" ca="1" si="58"/>
        <v>N/A</v>
      </c>
      <c r="R143" s="62" t="str">
        <f t="shared" ca="1" si="58"/>
        <v>N/A</v>
      </c>
      <c r="S143" s="62" t="str">
        <f t="shared" ca="1" si="58"/>
        <v>N/A</v>
      </c>
      <c r="T143" s="62" t="str">
        <f t="shared" ca="1" si="58"/>
        <v>N/A</v>
      </c>
      <c r="U143" s="62" t="str">
        <f t="shared" ca="1" si="58"/>
        <v>N/A</v>
      </c>
      <c r="V143" s="62" t="str">
        <f t="shared" ca="1" si="58"/>
        <v>N/A</v>
      </c>
      <c r="W143" s="62" t="str">
        <f t="shared" ca="1" si="58"/>
        <v>N/A</v>
      </c>
      <c r="X143" s="62" t="str">
        <f t="shared" ca="1" si="58"/>
        <v>N/A</v>
      </c>
      <c r="Y143" s="62"/>
      <c r="Z143" s="17"/>
      <c r="AA143" s="17"/>
      <c r="AB143" s="17"/>
    </row>
    <row r="144" spans="1:28" hidden="1" x14ac:dyDescent="0.25">
      <c r="A144" s="50">
        <f t="shared" si="45"/>
        <v>0</v>
      </c>
      <c r="B144" s="45" t="e">
        <f t="shared" ca="1" si="46"/>
        <v>#N/A</v>
      </c>
      <c r="C144" s="1" t="str">
        <f>IF(ISERROR(D144),"",IF(D144="","",MAX($C$121:C143)+1))</f>
        <v/>
      </c>
      <c r="D144" t="e">
        <f t="shared" si="47"/>
        <v>#N/A</v>
      </c>
      <c r="E144" s="22"/>
      <c r="F144" s="62" t="e">
        <f t="shared" ca="1" si="53"/>
        <v>#DIV/0!</v>
      </c>
      <c r="G144" s="62"/>
      <c r="H144" s="62"/>
      <c r="I144" s="62"/>
      <c r="J144" s="62" t="str">
        <f t="shared" si="51"/>
        <v>N/A</v>
      </c>
      <c r="K144" s="62" t="str">
        <f t="shared" si="54"/>
        <v>N/A</v>
      </c>
      <c r="L144" s="62" t="str">
        <f t="shared" si="55"/>
        <v>N/A</v>
      </c>
      <c r="M144" s="62"/>
      <c r="N144" s="62" t="str">
        <f t="shared" ca="1" si="57"/>
        <v>N/A</v>
      </c>
      <c r="O144" s="62" t="str">
        <f t="shared" ca="1" si="58"/>
        <v>N/A</v>
      </c>
      <c r="P144" s="62" t="str">
        <f t="shared" ca="1" si="58"/>
        <v>N/A</v>
      </c>
      <c r="Q144" s="62" t="str">
        <f t="shared" ca="1" si="58"/>
        <v>N/A</v>
      </c>
      <c r="R144" s="62" t="str">
        <f t="shared" ca="1" si="58"/>
        <v>N/A</v>
      </c>
      <c r="S144" s="62" t="str">
        <f t="shared" ca="1" si="58"/>
        <v>N/A</v>
      </c>
      <c r="T144" s="62" t="str">
        <f t="shared" ca="1" si="58"/>
        <v>N/A</v>
      </c>
      <c r="U144" s="62" t="str">
        <f t="shared" ca="1" si="58"/>
        <v>N/A</v>
      </c>
      <c r="V144" s="62" t="str">
        <f t="shared" ca="1" si="58"/>
        <v>N/A</v>
      </c>
      <c r="W144" s="62" t="str">
        <f t="shared" ca="1" si="58"/>
        <v>N/A</v>
      </c>
      <c r="X144" s="62" t="str">
        <f t="shared" ca="1" si="58"/>
        <v>N/A</v>
      </c>
      <c r="Y144" s="62"/>
      <c r="Z144" s="17"/>
      <c r="AA144" s="17"/>
      <c r="AB144" s="17"/>
    </row>
    <row r="145" spans="1:28" hidden="1" x14ac:dyDescent="0.25">
      <c r="A145" s="50">
        <f t="shared" si="45"/>
        <v>0</v>
      </c>
      <c r="B145" s="45" t="e">
        <f t="shared" ca="1" si="46"/>
        <v>#N/A</v>
      </c>
      <c r="C145" s="1" t="str">
        <f>IF(ISERROR(D145),"",IF(D145="","",MAX($C$121:C144)+1))</f>
        <v/>
      </c>
      <c r="D145" t="e">
        <f t="shared" si="47"/>
        <v>#N/A</v>
      </c>
      <c r="E145" s="22"/>
      <c r="F145" s="62" t="e">
        <f t="shared" ca="1" si="53"/>
        <v>#DIV/0!</v>
      </c>
      <c r="G145" s="62"/>
      <c r="H145" s="62"/>
      <c r="I145" s="62"/>
      <c r="J145" s="62" t="str">
        <f t="shared" si="51"/>
        <v>N/A</v>
      </c>
      <c r="K145" s="62" t="str">
        <f t="shared" si="54"/>
        <v>N/A</v>
      </c>
      <c r="L145" s="62" t="str">
        <f t="shared" si="55"/>
        <v>N/A</v>
      </c>
      <c r="M145" s="62"/>
      <c r="N145" s="62" t="str">
        <f t="shared" ca="1" si="57"/>
        <v>N/A</v>
      </c>
      <c r="O145" s="62" t="str">
        <f t="shared" ca="1" si="58"/>
        <v>N/A</v>
      </c>
      <c r="P145" s="62" t="str">
        <f t="shared" ca="1" si="58"/>
        <v>N/A</v>
      </c>
      <c r="Q145" s="62" t="str">
        <f t="shared" ca="1" si="58"/>
        <v>N/A</v>
      </c>
      <c r="R145" s="62" t="str">
        <f t="shared" ca="1" si="58"/>
        <v>N/A</v>
      </c>
      <c r="S145" s="62" t="str">
        <f t="shared" ca="1" si="58"/>
        <v>N/A</v>
      </c>
      <c r="T145" s="62" t="str">
        <f t="shared" ca="1" si="58"/>
        <v>N/A</v>
      </c>
      <c r="U145" s="62" t="str">
        <f t="shared" ca="1" si="58"/>
        <v>N/A</v>
      </c>
      <c r="V145" s="62" t="str">
        <f t="shared" ca="1" si="58"/>
        <v>N/A</v>
      </c>
      <c r="W145" s="62" t="str">
        <f t="shared" ca="1" si="58"/>
        <v>N/A</v>
      </c>
      <c r="X145" s="62" t="str">
        <f t="shared" ca="1" si="58"/>
        <v>N/A</v>
      </c>
      <c r="Y145" s="62"/>
      <c r="Z145" s="17"/>
      <c r="AA145" s="17"/>
      <c r="AB145" s="17"/>
    </row>
    <row r="146" spans="1:28" hidden="1" x14ac:dyDescent="0.25">
      <c r="A146" s="50">
        <f t="shared" si="45"/>
        <v>0</v>
      </c>
      <c r="B146" s="45" t="e">
        <f t="shared" ca="1" si="46"/>
        <v>#N/A</v>
      </c>
      <c r="C146" s="1" t="str">
        <f>IF(ISERROR(D146),"",IF(D146="","",MAX($C$121:C145)+1))</f>
        <v/>
      </c>
      <c r="D146" t="e">
        <f t="shared" si="47"/>
        <v>#N/A</v>
      </c>
      <c r="E146" s="22"/>
      <c r="F146" s="62" t="e">
        <f t="shared" ca="1" si="53"/>
        <v>#DIV/0!</v>
      </c>
      <c r="G146" s="62"/>
      <c r="H146" s="62"/>
      <c r="I146" s="62"/>
      <c r="J146" s="62" t="str">
        <f t="shared" si="51"/>
        <v>N/A</v>
      </c>
      <c r="K146" s="62" t="str">
        <f t="shared" si="54"/>
        <v>N/A</v>
      </c>
      <c r="L146" s="62" t="str">
        <f t="shared" si="55"/>
        <v>N/A</v>
      </c>
      <c r="M146" s="62"/>
      <c r="N146" s="62" t="str">
        <f t="shared" ca="1" si="57"/>
        <v>N/A</v>
      </c>
      <c r="O146" s="62" t="str">
        <f t="shared" ca="1" si="58"/>
        <v>N/A</v>
      </c>
      <c r="P146" s="62" t="str">
        <f t="shared" ca="1" si="58"/>
        <v>N/A</v>
      </c>
      <c r="Q146" s="62" t="str">
        <f t="shared" ca="1" si="58"/>
        <v>N/A</v>
      </c>
      <c r="R146" s="62" t="str">
        <f t="shared" ca="1" si="58"/>
        <v>N/A</v>
      </c>
      <c r="S146" s="62" t="str">
        <f t="shared" ca="1" si="58"/>
        <v>N/A</v>
      </c>
      <c r="T146" s="62" t="str">
        <f t="shared" ca="1" si="58"/>
        <v>N/A</v>
      </c>
      <c r="U146" s="62" t="str">
        <f t="shared" ca="1" si="58"/>
        <v>N/A</v>
      </c>
      <c r="V146" s="62" t="str">
        <f t="shared" ca="1" si="58"/>
        <v>N/A</v>
      </c>
      <c r="W146" s="62" t="str">
        <f t="shared" ca="1" si="58"/>
        <v>N/A</v>
      </c>
      <c r="X146" s="62" t="str">
        <f t="shared" ca="1" si="58"/>
        <v>N/A</v>
      </c>
      <c r="Y146" s="62"/>
      <c r="Z146" s="17"/>
      <c r="AA146" s="17"/>
      <c r="AB146" s="17"/>
    </row>
    <row r="147" spans="1:28" hidden="1" x14ac:dyDescent="0.25">
      <c r="A147" s="50">
        <f t="shared" si="45"/>
        <v>0</v>
      </c>
      <c r="B147" s="45" t="e">
        <f t="shared" ca="1" si="46"/>
        <v>#N/A</v>
      </c>
      <c r="C147" s="1" t="str">
        <f>IF(ISERROR(D147),"",IF(D147="","",MAX($C$121:C146)+1))</f>
        <v/>
      </c>
      <c r="D147" t="e">
        <f t="shared" si="47"/>
        <v>#N/A</v>
      </c>
      <c r="E147" s="22"/>
      <c r="F147" s="62" t="e">
        <f t="shared" ca="1" si="53"/>
        <v>#DIV/0!</v>
      </c>
      <c r="G147" s="62"/>
      <c r="H147" s="62"/>
      <c r="I147" s="62"/>
      <c r="J147" s="62" t="str">
        <f t="shared" si="51"/>
        <v>N/A</v>
      </c>
      <c r="K147" s="62" t="str">
        <f t="shared" si="54"/>
        <v>N/A</v>
      </c>
      <c r="L147" s="62" t="str">
        <f t="shared" si="55"/>
        <v>N/A</v>
      </c>
      <c r="M147" s="62"/>
      <c r="N147" s="62" t="str">
        <f t="shared" ca="1" si="57"/>
        <v>N/A</v>
      </c>
      <c r="O147" s="62" t="str">
        <f t="shared" ca="1" si="58"/>
        <v>N/A</v>
      </c>
      <c r="P147" s="62" t="str">
        <f t="shared" ca="1" si="58"/>
        <v>N/A</v>
      </c>
      <c r="Q147" s="62" t="str">
        <f t="shared" ca="1" si="58"/>
        <v>N/A</v>
      </c>
      <c r="R147" s="62" t="str">
        <f t="shared" ca="1" si="58"/>
        <v>N/A</v>
      </c>
      <c r="S147" s="62" t="str">
        <f t="shared" ca="1" si="58"/>
        <v>N/A</v>
      </c>
      <c r="T147" s="62" t="str">
        <f t="shared" ca="1" si="58"/>
        <v>N/A</v>
      </c>
      <c r="U147" s="62" t="str">
        <f t="shared" ca="1" si="58"/>
        <v>N/A</v>
      </c>
      <c r="V147" s="62" t="str">
        <f t="shared" ca="1" si="58"/>
        <v>N/A</v>
      </c>
      <c r="W147" s="62" t="str">
        <f t="shared" ca="1" si="58"/>
        <v>N/A</v>
      </c>
      <c r="X147" s="62" t="str">
        <f t="shared" ca="1" si="58"/>
        <v>N/A</v>
      </c>
      <c r="Y147" s="62"/>
      <c r="Z147" s="17"/>
      <c r="AA147" s="17"/>
      <c r="AB147" s="17"/>
    </row>
    <row r="148" spans="1:28" hidden="1" x14ac:dyDescent="0.25">
      <c r="A148" s="50">
        <f t="shared" si="45"/>
        <v>0</v>
      </c>
      <c r="B148" s="45" t="e">
        <f t="shared" ca="1" si="46"/>
        <v>#N/A</v>
      </c>
      <c r="C148" s="1" t="str">
        <f>IF(ISERROR(D148),"",IF(D148="","",MAX($C$121:C147)+1))</f>
        <v/>
      </c>
      <c r="D148" t="e">
        <f t="shared" si="47"/>
        <v>#N/A</v>
      </c>
      <c r="E148" s="22"/>
      <c r="F148" s="62" t="e">
        <f t="shared" ca="1" si="53"/>
        <v>#DIV/0!</v>
      </c>
      <c r="G148" s="62"/>
      <c r="H148" s="62"/>
      <c r="I148" s="62"/>
      <c r="J148" s="62" t="str">
        <f t="shared" si="51"/>
        <v>N/A</v>
      </c>
      <c r="K148" s="62" t="str">
        <f t="shared" si="54"/>
        <v>N/A</v>
      </c>
      <c r="L148" s="62" t="str">
        <f t="shared" si="55"/>
        <v>N/A</v>
      </c>
      <c r="M148" s="62"/>
      <c r="N148" s="62" t="str">
        <f t="shared" ca="1" si="57"/>
        <v>N/A</v>
      </c>
      <c r="O148" s="62" t="str">
        <f t="shared" ca="1" si="58"/>
        <v>N/A</v>
      </c>
      <c r="P148" s="62" t="str">
        <f t="shared" ca="1" si="58"/>
        <v>N/A</v>
      </c>
      <c r="Q148" s="62" t="str">
        <f t="shared" ca="1" si="58"/>
        <v>N/A</v>
      </c>
      <c r="R148" s="62" t="str">
        <f t="shared" ca="1" si="58"/>
        <v>N/A</v>
      </c>
      <c r="S148" s="62" t="str">
        <f t="shared" ca="1" si="58"/>
        <v>N/A</v>
      </c>
      <c r="T148" s="62" t="str">
        <f t="shared" ca="1" si="58"/>
        <v>N/A</v>
      </c>
      <c r="U148" s="62" t="str">
        <f t="shared" ca="1" si="58"/>
        <v>N/A</v>
      </c>
      <c r="V148" s="62" t="str">
        <f t="shared" ca="1" si="58"/>
        <v>N/A</v>
      </c>
      <c r="W148" s="62" t="str">
        <f t="shared" ca="1" si="58"/>
        <v>N/A</v>
      </c>
      <c r="X148" s="62" t="str">
        <f t="shared" ca="1" si="58"/>
        <v>N/A</v>
      </c>
      <c r="Y148" s="62"/>
      <c r="Z148" s="17"/>
      <c r="AA148" s="17"/>
      <c r="AB148" s="17"/>
    </row>
    <row r="149" spans="1:28" hidden="1" x14ac:dyDescent="0.25">
      <c r="A149" s="50">
        <f t="shared" si="45"/>
        <v>0</v>
      </c>
      <c r="B149" s="45" t="e">
        <f t="shared" ca="1" si="46"/>
        <v>#N/A</v>
      </c>
      <c r="C149" s="1" t="str">
        <f>IF(ISERROR(D149),"",IF(D149="","",MAX($C$121:C148)+1))</f>
        <v/>
      </c>
      <c r="D149" t="e">
        <f t="shared" si="47"/>
        <v>#N/A</v>
      </c>
      <c r="E149" s="22"/>
      <c r="F149" s="62" t="e">
        <f t="shared" ca="1" si="53"/>
        <v>#DIV/0!</v>
      </c>
      <c r="G149" s="62"/>
      <c r="H149" s="62"/>
      <c r="I149" s="62"/>
      <c r="J149" s="62" t="str">
        <f t="shared" si="51"/>
        <v>N/A</v>
      </c>
      <c r="K149" s="62" t="str">
        <f t="shared" si="54"/>
        <v>N/A</v>
      </c>
      <c r="L149" s="62" t="str">
        <f t="shared" si="55"/>
        <v>N/A</v>
      </c>
      <c r="M149" s="62"/>
      <c r="N149" s="62" t="str">
        <f t="shared" ca="1" si="57"/>
        <v>N/A</v>
      </c>
      <c r="O149" s="62" t="str">
        <f t="shared" ca="1" si="58"/>
        <v>N/A</v>
      </c>
      <c r="P149" s="62" t="str">
        <f t="shared" ca="1" si="58"/>
        <v>N/A</v>
      </c>
      <c r="Q149" s="62" t="str">
        <f t="shared" ca="1" si="58"/>
        <v>N/A</v>
      </c>
      <c r="R149" s="62" t="str">
        <f t="shared" ca="1" si="58"/>
        <v>N/A</v>
      </c>
      <c r="S149" s="62" t="str">
        <f t="shared" ca="1" si="58"/>
        <v>N/A</v>
      </c>
      <c r="T149" s="62" t="str">
        <f t="shared" ca="1" si="58"/>
        <v>N/A</v>
      </c>
      <c r="U149" s="62" t="str">
        <f t="shared" ca="1" si="58"/>
        <v>N/A</v>
      </c>
      <c r="V149" s="62" t="str">
        <f t="shared" ca="1" si="58"/>
        <v>N/A</v>
      </c>
      <c r="W149" s="62" t="str">
        <f t="shared" ca="1" si="58"/>
        <v>N/A</v>
      </c>
      <c r="X149" s="62" t="str">
        <f t="shared" ca="1" si="58"/>
        <v>N/A</v>
      </c>
      <c r="Y149" s="62"/>
      <c r="Z149" s="17"/>
      <c r="AA149" s="17"/>
      <c r="AB149" s="17"/>
    </row>
    <row r="150" spans="1:28" hidden="1" x14ac:dyDescent="0.25">
      <c r="A150" s="50">
        <f t="shared" si="45"/>
        <v>0</v>
      </c>
      <c r="B150" s="45" t="e">
        <f t="shared" ca="1" si="46"/>
        <v>#N/A</v>
      </c>
      <c r="C150" s="1" t="str">
        <f>IF(ISERROR(D150),"",IF(D150="","",MAX($C$121:C149)+1))</f>
        <v/>
      </c>
      <c r="D150" t="e">
        <f t="shared" si="47"/>
        <v>#N/A</v>
      </c>
      <c r="E150" s="22"/>
      <c r="F150" s="62" t="e">
        <f t="shared" ca="1" si="53"/>
        <v>#DIV/0!</v>
      </c>
      <c r="G150" s="62"/>
      <c r="H150" s="62"/>
      <c r="I150" s="62"/>
      <c r="J150" s="62" t="str">
        <f t="shared" si="51"/>
        <v>N/A</v>
      </c>
      <c r="K150" s="62" t="str">
        <f t="shared" si="54"/>
        <v>N/A</v>
      </c>
      <c r="L150" s="62" t="str">
        <f t="shared" si="55"/>
        <v>N/A</v>
      </c>
      <c r="M150" s="62"/>
      <c r="N150" s="62" t="str">
        <f t="shared" ca="1" si="57"/>
        <v>N/A</v>
      </c>
      <c r="O150" s="62" t="str">
        <f t="shared" ca="1" si="58"/>
        <v>N/A</v>
      </c>
      <c r="P150" s="62" t="str">
        <f t="shared" ca="1" si="58"/>
        <v>N/A</v>
      </c>
      <c r="Q150" s="62" t="str">
        <f t="shared" ca="1" si="58"/>
        <v>N/A</v>
      </c>
      <c r="R150" s="62" t="str">
        <f t="shared" ca="1" si="58"/>
        <v>N/A</v>
      </c>
      <c r="S150" s="62" t="str">
        <f t="shared" ca="1" si="58"/>
        <v>N/A</v>
      </c>
      <c r="T150" s="62" t="str">
        <f t="shared" ca="1" si="58"/>
        <v>N/A</v>
      </c>
      <c r="U150" s="62" t="str">
        <f t="shared" ca="1" si="58"/>
        <v>N/A</v>
      </c>
      <c r="V150" s="62" t="str">
        <f t="shared" ca="1" si="58"/>
        <v>N/A</v>
      </c>
      <c r="W150" s="62" t="str">
        <f t="shared" ca="1" si="58"/>
        <v>N/A</v>
      </c>
      <c r="X150" s="62" t="str">
        <f t="shared" ca="1" si="58"/>
        <v>N/A</v>
      </c>
      <c r="Y150" s="62"/>
      <c r="Z150" s="17"/>
      <c r="AA150" s="17"/>
      <c r="AB150" s="17"/>
    </row>
    <row r="151" spans="1:28" hidden="1" x14ac:dyDescent="0.25">
      <c r="A151" s="50">
        <f t="shared" si="45"/>
        <v>0</v>
      </c>
      <c r="B151" s="45" t="e">
        <f t="shared" ca="1" si="46"/>
        <v>#N/A</v>
      </c>
      <c r="C151" s="1" t="str">
        <f>IF(ISERROR(D151),"",IF(D151="","",MAX($C$121:C150)+1))</f>
        <v/>
      </c>
      <c r="D151" t="e">
        <f t="shared" si="47"/>
        <v>#N/A</v>
      </c>
      <c r="E151" s="22"/>
      <c r="F151" s="62" t="e">
        <f t="shared" ca="1" si="53"/>
        <v>#DIV/0!</v>
      </c>
      <c r="G151" s="62"/>
      <c r="H151" s="62"/>
      <c r="I151" s="62"/>
      <c r="J151" s="62" t="str">
        <f t="shared" si="51"/>
        <v>N/A</v>
      </c>
      <c r="K151" s="62" t="str">
        <f t="shared" si="54"/>
        <v>N/A</v>
      </c>
      <c r="L151" s="62" t="str">
        <f t="shared" si="55"/>
        <v>N/A</v>
      </c>
      <c r="M151" s="62"/>
      <c r="N151" s="62" t="str">
        <f t="shared" ca="1" si="57"/>
        <v>N/A</v>
      </c>
      <c r="O151" s="62" t="str">
        <f t="shared" ca="1" si="58"/>
        <v>N/A</v>
      </c>
      <c r="P151" s="62" t="str">
        <f t="shared" ca="1" si="58"/>
        <v>N/A</v>
      </c>
      <c r="Q151" s="62" t="str">
        <f t="shared" ca="1" si="58"/>
        <v>N/A</v>
      </c>
      <c r="R151" s="62" t="str">
        <f t="shared" ca="1" si="58"/>
        <v>N/A</v>
      </c>
      <c r="S151" s="62" t="str">
        <f t="shared" ca="1" si="58"/>
        <v>N/A</v>
      </c>
      <c r="T151" s="62" t="str">
        <f t="shared" ca="1" si="58"/>
        <v>N/A</v>
      </c>
      <c r="U151" s="62" t="str">
        <f t="shared" ca="1" si="58"/>
        <v>N/A</v>
      </c>
      <c r="V151" s="62" t="str">
        <f t="shared" ca="1" si="58"/>
        <v>N/A</v>
      </c>
      <c r="W151" s="62" t="str">
        <f t="shared" ca="1" si="58"/>
        <v>N/A</v>
      </c>
      <c r="X151" s="62" t="str">
        <f t="shared" ca="1" si="58"/>
        <v>N/A</v>
      </c>
      <c r="Y151" s="62"/>
      <c r="Z151" s="17"/>
      <c r="AA151" s="17"/>
      <c r="AB151" s="17"/>
    </row>
    <row r="152" spans="1:28" hidden="1" x14ac:dyDescent="0.25">
      <c r="A152" s="50">
        <f t="shared" si="45"/>
        <v>0</v>
      </c>
      <c r="B152" s="45" t="e">
        <f t="shared" ca="1" si="46"/>
        <v>#N/A</v>
      </c>
      <c r="C152" s="1" t="str">
        <f>IF(ISERROR(D152),"",IF(D152="","",MAX($C$121:C151)+1))</f>
        <v/>
      </c>
      <c r="D152" t="e">
        <f t="shared" si="47"/>
        <v>#N/A</v>
      </c>
      <c r="E152" s="22"/>
      <c r="F152" s="62" t="e">
        <f t="shared" ca="1" si="53"/>
        <v>#DIV/0!</v>
      </c>
      <c r="G152" s="62"/>
      <c r="H152" s="62"/>
      <c r="I152" s="62"/>
      <c r="J152" s="62" t="str">
        <f t="shared" si="51"/>
        <v>N/A</v>
      </c>
      <c r="K152" s="62" t="str">
        <f t="shared" si="54"/>
        <v>N/A</v>
      </c>
      <c r="L152" s="62" t="str">
        <f t="shared" si="55"/>
        <v>N/A</v>
      </c>
      <c r="M152" s="62"/>
      <c r="N152" s="62" t="str">
        <f t="shared" ca="1" si="57"/>
        <v>N/A</v>
      </c>
      <c r="O152" s="62" t="str">
        <f t="shared" ca="1" si="58"/>
        <v>N/A</v>
      </c>
      <c r="P152" s="62" t="str">
        <f t="shared" ca="1" si="58"/>
        <v>N/A</v>
      </c>
      <c r="Q152" s="62" t="str">
        <f t="shared" ca="1" si="58"/>
        <v>N/A</v>
      </c>
      <c r="R152" s="62" t="str">
        <f t="shared" ca="1" si="58"/>
        <v>N/A</v>
      </c>
      <c r="S152" s="62" t="str">
        <f t="shared" ca="1" si="58"/>
        <v>N/A</v>
      </c>
      <c r="T152" s="62" t="str">
        <f t="shared" ca="1" si="58"/>
        <v>N/A</v>
      </c>
      <c r="U152" s="62" t="str">
        <f t="shared" ca="1" si="58"/>
        <v>N/A</v>
      </c>
      <c r="V152" s="62" t="str">
        <f t="shared" ca="1" si="58"/>
        <v>N/A</v>
      </c>
      <c r="W152" s="62" t="str">
        <f t="shared" ca="1" si="58"/>
        <v>N/A</v>
      </c>
      <c r="X152" s="62" t="str">
        <f t="shared" ca="1" si="58"/>
        <v>N/A</v>
      </c>
      <c r="Y152" s="62"/>
      <c r="Z152" s="17"/>
      <c r="AA152" s="17"/>
      <c r="AB152" s="17"/>
    </row>
    <row r="153" spans="1:28" hidden="1" x14ac:dyDescent="0.25">
      <c r="A153" s="50">
        <f t="shared" si="45"/>
        <v>0</v>
      </c>
      <c r="B153" s="45" t="e">
        <f t="shared" ca="1" si="46"/>
        <v>#N/A</v>
      </c>
      <c r="C153" s="1" t="str">
        <f>IF(ISERROR(D153),"",IF(D153="","",MAX($C$121:C152)+1))</f>
        <v/>
      </c>
      <c r="D153" t="e">
        <f t="shared" si="47"/>
        <v>#N/A</v>
      </c>
      <c r="E153" s="22"/>
      <c r="F153" s="62" t="e">
        <f t="shared" ca="1" si="53"/>
        <v>#DIV/0!</v>
      </c>
      <c r="G153" s="62"/>
      <c r="H153" s="62"/>
      <c r="I153" s="62"/>
      <c r="J153" s="62" t="str">
        <f t="shared" si="51"/>
        <v>N/A</v>
      </c>
      <c r="K153" s="62" t="str">
        <f t="shared" si="54"/>
        <v>N/A</v>
      </c>
      <c r="L153" s="62" t="str">
        <f t="shared" si="55"/>
        <v>N/A</v>
      </c>
      <c r="M153" s="62"/>
      <c r="N153" s="62" t="str">
        <f t="shared" ca="1" si="57"/>
        <v>N/A</v>
      </c>
      <c r="O153" s="62" t="str">
        <f t="shared" ref="O153:X167" ca="1" si="59">IFERROR(IF(INDEX(CF_CAP_WP,$B153,O$122)=0,"N/A",INDEX(CF_CAP_WP,$B153,O$122)),"N/A")</f>
        <v>N/A</v>
      </c>
      <c r="P153" s="62" t="str">
        <f t="shared" ca="1" si="59"/>
        <v>N/A</v>
      </c>
      <c r="Q153" s="62" t="str">
        <f t="shared" ca="1" si="59"/>
        <v>N/A</v>
      </c>
      <c r="R153" s="62" t="str">
        <f t="shared" ca="1" si="59"/>
        <v>N/A</v>
      </c>
      <c r="S153" s="62" t="str">
        <f t="shared" ca="1" si="59"/>
        <v>N/A</v>
      </c>
      <c r="T153" s="62" t="str">
        <f t="shared" ca="1" si="59"/>
        <v>N/A</v>
      </c>
      <c r="U153" s="62" t="str">
        <f t="shared" ca="1" si="59"/>
        <v>N/A</v>
      </c>
      <c r="V153" s="62" t="str">
        <f t="shared" ca="1" si="59"/>
        <v>N/A</v>
      </c>
      <c r="W153" s="62" t="str">
        <f t="shared" ca="1" si="59"/>
        <v>N/A</v>
      </c>
      <c r="X153" s="62" t="str">
        <f t="shared" ca="1" si="59"/>
        <v>N/A</v>
      </c>
      <c r="Y153" s="62"/>
      <c r="Z153" s="17"/>
      <c r="AA153" s="17"/>
      <c r="AB153" s="17"/>
    </row>
    <row r="154" spans="1:28" hidden="1" x14ac:dyDescent="0.25">
      <c r="A154" s="50">
        <f t="shared" si="45"/>
        <v>0</v>
      </c>
      <c r="B154" s="45" t="e">
        <f t="shared" ca="1" si="46"/>
        <v>#N/A</v>
      </c>
      <c r="C154" s="1" t="str">
        <f>IF(ISERROR(D154),"",IF(D154="","",MAX($C$121:C153)+1))</f>
        <v/>
      </c>
      <c r="D154" t="e">
        <f t="shared" si="47"/>
        <v>#N/A</v>
      </c>
      <c r="E154" s="22"/>
      <c r="F154" s="62" t="e">
        <f t="shared" ca="1" si="53"/>
        <v>#DIV/0!</v>
      </c>
      <c r="G154" s="62"/>
      <c r="H154" s="62"/>
      <c r="I154" s="62"/>
      <c r="J154" s="62" t="str">
        <f t="shared" si="51"/>
        <v>N/A</v>
      </c>
      <c r="K154" s="62" t="str">
        <f t="shared" si="54"/>
        <v>N/A</v>
      </c>
      <c r="L154" s="62" t="str">
        <f t="shared" si="55"/>
        <v>N/A</v>
      </c>
      <c r="M154" s="62"/>
      <c r="N154" s="62" t="str">
        <f t="shared" ca="1" si="57"/>
        <v>N/A</v>
      </c>
      <c r="O154" s="62" t="str">
        <f t="shared" ca="1" si="59"/>
        <v>N/A</v>
      </c>
      <c r="P154" s="62" t="str">
        <f t="shared" ca="1" si="59"/>
        <v>N/A</v>
      </c>
      <c r="Q154" s="62" t="str">
        <f t="shared" ca="1" si="59"/>
        <v>N/A</v>
      </c>
      <c r="R154" s="62" t="str">
        <f t="shared" ca="1" si="59"/>
        <v>N/A</v>
      </c>
      <c r="S154" s="62" t="str">
        <f t="shared" ca="1" si="59"/>
        <v>N/A</v>
      </c>
      <c r="T154" s="62" t="str">
        <f t="shared" ca="1" si="59"/>
        <v>N/A</v>
      </c>
      <c r="U154" s="62" t="str">
        <f t="shared" ca="1" si="59"/>
        <v>N/A</v>
      </c>
      <c r="V154" s="62" t="str">
        <f t="shared" ca="1" si="59"/>
        <v>N/A</v>
      </c>
      <c r="W154" s="62" t="str">
        <f t="shared" ca="1" si="59"/>
        <v>N/A</v>
      </c>
      <c r="X154" s="62" t="str">
        <f t="shared" ca="1" si="59"/>
        <v>N/A</v>
      </c>
      <c r="Y154" s="62"/>
      <c r="Z154" s="17"/>
      <c r="AA154" s="17"/>
      <c r="AB154" s="17"/>
    </row>
    <row r="155" spans="1:28" hidden="1" x14ac:dyDescent="0.25">
      <c r="A155" s="50">
        <f t="shared" si="45"/>
        <v>0</v>
      </c>
      <c r="B155" s="45" t="e">
        <f t="shared" ca="1" si="46"/>
        <v>#N/A</v>
      </c>
      <c r="C155" s="1" t="str">
        <f>IF(ISERROR(D155),"",IF(D155="","",MAX($C$121:C154)+1))</f>
        <v/>
      </c>
      <c r="D155" t="e">
        <f t="shared" si="47"/>
        <v>#N/A</v>
      </c>
      <c r="E155" s="22"/>
      <c r="F155" s="62" t="e">
        <f t="shared" ca="1" si="53"/>
        <v>#DIV/0!</v>
      </c>
      <c r="G155" s="62"/>
      <c r="H155" s="62"/>
      <c r="I155" s="62"/>
      <c r="J155" s="62" t="str">
        <f t="shared" si="51"/>
        <v>N/A</v>
      </c>
      <c r="K155" s="62" t="str">
        <f t="shared" si="54"/>
        <v>N/A</v>
      </c>
      <c r="L155" s="62" t="str">
        <f t="shared" si="55"/>
        <v>N/A</v>
      </c>
      <c r="M155" s="62"/>
      <c r="N155" s="62" t="str">
        <f t="shared" ca="1" si="57"/>
        <v>N/A</v>
      </c>
      <c r="O155" s="62" t="str">
        <f t="shared" ca="1" si="59"/>
        <v>N/A</v>
      </c>
      <c r="P155" s="62" t="str">
        <f t="shared" ca="1" si="59"/>
        <v>N/A</v>
      </c>
      <c r="Q155" s="62" t="str">
        <f t="shared" ca="1" si="59"/>
        <v>N/A</v>
      </c>
      <c r="R155" s="62" t="str">
        <f t="shared" ca="1" si="59"/>
        <v>N/A</v>
      </c>
      <c r="S155" s="62" t="str">
        <f t="shared" ca="1" si="59"/>
        <v>N/A</v>
      </c>
      <c r="T155" s="62" t="str">
        <f t="shared" ca="1" si="59"/>
        <v>N/A</v>
      </c>
      <c r="U155" s="62" t="str">
        <f t="shared" ca="1" si="59"/>
        <v>N/A</v>
      </c>
      <c r="V155" s="62" t="str">
        <f t="shared" ca="1" si="59"/>
        <v>N/A</v>
      </c>
      <c r="W155" s="62" t="str">
        <f t="shared" ca="1" si="59"/>
        <v>N/A</v>
      </c>
      <c r="X155" s="62" t="str">
        <f t="shared" ca="1" si="59"/>
        <v>N/A</v>
      </c>
      <c r="Y155" s="62"/>
      <c r="Z155" s="17"/>
      <c r="AA155" s="17"/>
      <c r="AB155" s="17"/>
    </row>
    <row r="156" spans="1:28" hidden="1" x14ac:dyDescent="0.25">
      <c r="A156" s="50">
        <f t="shared" si="45"/>
        <v>0</v>
      </c>
      <c r="B156" s="45" t="e">
        <f t="shared" ca="1" si="46"/>
        <v>#N/A</v>
      </c>
      <c r="C156" s="1" t="str">
        <f>IF(ISERROR(D156),"",IF(D156="","",MAX($C$121:C155)+1))</f>
        <v/>
      </c>
      <c r="D156" t="e">
        <f t="shared" si="47"/>
        <v>#N/A</v>
      </c>
      <c r="E156" s="22"/>
      <c r="F156" s="62" t="e">
        <f t="shared" ca="1" si="53"/>
        <v>#DIV/0!</v>
      </c>
      <c r="G156" s="62"/>
      <c r="H156" s="62"/>
      <c r="I156" s="62"/>
      <c r="J156" s="62" t="str">
        <f t="shared" si="51"/>
        <v>N/A</v>
      </c>
      <c r="K156" s="62" t="str">
        <f t="shared" si="54"/>
        <v>N/A</v>
      </c>
      <c r="L156" s="62" t="str">
        <f t="shared" si="55"/>
        <v>N/A</v>
      </c>
      <c r="M156" s="62"/>
      <c r="N156" s="62" t="str">
        <f t="shared" ca="1" si="57"/>
        <v>N/A</v>
      </c>
      <c r="O156" s="62" t="str">
        <f t="shared" ca="1" si="59"/>
        <v>N/A</v>
      </c>
      <c r="P156" s="62" t="str">
        <f t="shared" ca="1" si="59"/>
        <v>N/A</v>
      </c>
      <c r="Q156" s="62" t="str">
        <f t="shared" ca="1" si="59"/>
        <v>N/A</v>
      </c>
      <c r="R156" s="62" t="str">
        <f t="shared" ca="1" si="59"/>
        <v>N/A</v>
      </c>
      <c r="S156" s="62" t="str">
        <f t="shared" ca="1" si="59"/>
        <v>N/A</v>
      </c>
      <c r="T156" s="62" t="str">
        <f t="shared" ca="1" si="59"/>
        <v>N/A</v>
      </c>
      <c r="U156" s="62" t="str">
        <f t="shared" ca="1" si="59"/>
        <v>N/A</v>
      </c>
      <c r="V156" s="62" t="str">
        <f t="shared" ca="1" si="59"/>
        <v>N/A</v>
      </c>
      <c r="W156" s="62" t="str">
        <f t="shared" ca="1" si="59"/>
        <v>N/A</v>
      </c>
      <c r="X156" s="62" t="str">
        <f t="shared" ca="1" si="59"/>
        <v>N/A</v>
      </c>
      <c r="Y156" s="62"/>
      <c r="Z156" s="17"/>
      <c r="AA156" s="17"/>
      <c r="AB156" s="17"/>
    </row>
    <row r="157" spans="1:28" hidden="1" x14ac:dyDescent="0.25">
      <c r="A157" s="50">
        <f t="shared" si="45"/>
        <v>0</v>
      </c>
      <c r="B157" s="45" t="e">
        <f t="shared" ca="1" si="46"/>
        <v>#N/A</v>
      </c>
      <c r="C157" s="1" t="str">
        <f>IF(ISERROR(D157),"",IF(D157="","",MAX($C$121:C156)+1))</f>
        <v/>
      </c>
      <c r="D157" t="e">
        <f t="shared" si="47"/>
        <v>#N/A</v>
      </c>
      <c r="E157" s="22"/>
      <c r="F157" s="62" t="e">
        <f t="shared" ca="1" si="53"/>
        <v>#DIV/0!</v>
      </c>
      <c r="G157" s="62"/>
      <c r="H157" s="62"/>
      <c r="I157" s="62"/>
      <c r="J157" s="62" t="str">
        <f t="shared" si="51"/>
        <v>N/A</v>
      </c>
      <c r="K157" s="62" t="str">
        <f t="shared" si="54"/>
        <v>N/A</v>
      </c>
      <c r="L157" s="62" t="str">
        <f t="shared" si="55"/>
        <v>N/A</v>
      </c>
      <c r="M157" s="62"/>
      <c r="N157" s="62" t="str">
        <f t="shared" ca="1" si="57"/>
        <v>N/A</v>
      </c>
      <c r="O157" s="62" t="str">
        <f t="shared" ca="1" si="59"/>
        <v>N/A</v>
      </c>
      <c r="P157" s="62" t="str">
        <f t="shared" ca="1" si="59"/>
        <v>N/A</v>
      </c>
      <c r="Q157" s="62" t="str">
        <f t="shared" ca="1" si="59"/>
        <v>N/A</v>
      </c>
      <c r="R157" s="62" t="str">
        <f t="shared" ca="1" si="59"/>
        <v>N/A</v>
      </c>
      <c r="S157" s="62" t="str">
        <f t="shared" ca="1" si="59"/>
        <v>N/A</v>
      </c>
      <c r="T157" s="62" t="str">
        <f t="shared" ca="1" si="59"/>
        <v>N/A</v>
      </c>
      <c r="U157" s="62" t="str">
        <f t="shared" ca="1" si="59"/>
        <v>N/A</v>
      </c>
      <c r="V157" s="62" t="str">
        <f t="shared" ca="1" si="59"/>
        <v>N/A</v>
      </c>
      <c r="W157" s="62" t="str">
        <f t="shared" ca="1" si="59"/>
        <v>N/A</v>
      </c>
      <c r="X157" s="62" t="str">
        <f t="shared" ca="1" si="59"/>
        <v>N/A</v>
      </c>
      <c r="Y157" s="62"/>
      <c r="Z157" s="17"/>
      <c r="AA157" s="17"/>
      <c r="AB157" s="17"/>
    </row>
    <row r="158" spans="1:28" hidden="1" x14ac:dyDescent="0.25">
      <c r="A158" s="50">
        <f t="shared" si="45"/>
        <v>0</v>
      </c>
      <c r="B158" s="45" t="e">
        <f t="shared" ca="1" si="46"/>
        <v>#N/A</v>
      </c>
      <c r="C158" s="1" t="str">
        <f>IF(ISERROR(D158),"",IF(D158="","",MAX($C$121:C157)+1))</f>
        <v/>
      </c>
      <c r="D158" t="e">
        <f t="shared" si="47"/>
        <v>#N/A</v>
      </c>
      <c r="E158" s="22"/>
      <c r="F158" s="62" t="e">
        <f t="shared" ca="1" si="53"/>
        <v>#DIV/0!</v>
      </c>
      <c r="G158" s="62"/>
      <c r="H158" s="62"/>
      <c r="I158" s="62"/>
      <c r="J158" s="62" t="str">
        <f t="shared" si="51"/>
        <v>N/A</v>
      </c>
      <c r="K158" s="62" t="str">
        <f t="shared" si="54"/>
        <v>N/A</v>
      </c>
      <c r="L158" s="62" t="str">
        <f t="shared" si="55"/>
        <v>N/A</v>
      </c>
      <c r="M158" s="62"/>
      <c r="N158" s="62" t="str">
        <f t="shared" ca="1" si="57"/>
        <v>N/A</v>
      </c>
      <c r="O158" s="62" t="str">
        <f t="shared" ca="1" si="59"/>
        <v>N/A</v>
      </c>
      <c r="P158" s="62" t="str">
        <f t="shared" ca="1" si="59"/>
        <v>N/A</v>
      </c>
      <c r="Q158" s="62" t="str">
        <f t="shared" ca="1" si="59"/>
        <v>N/A</v>
      </c>
      <c r="R158" s="62" t="str">
        <f t="shared" ca="1" si="59"/>
        <v>N/A</v>
      </c>
      <c r="S158" s="62" t="str">
        <f t="shared" ca="1" si="59"/>
        <v>N/A</v>
      </c>
      <c r="T158" s="62" t="str">
        <f t="shared" ca="1" si="59"/>
        <v>N/A</v>
      </c>
      <c r="U158" s="62" t="str">
        <f t="shared" ca="1" si="59"/>
        <v>N/A</v>
      </c>
      <c r="V158" s="62" t="str">
        <f t="shared" ca="1" si="59"/>
        <v>N/A</v>
      </c>
      <c r="W158" s="62" t="str">
        <f t="shared" ca="1" si="59"/>
        <v>N/A</v>
      </c>
      <c r="X158" s="62" t="str">
        <f t="shared" ca="1" si="59"/>
        <v>N/A</v>
      </c>
      <c r="Y158" s="62"/>
      <c r="Z158" s="17"/>
      <c r="AA158" s="17"/>
      <c r="AB158" s="17"/>
    </row>
    <row r="159" spans="1:28" hidden="1" x14ac:dyDescent="0.25">
      <c r="A159" s="50">
        <f t="shared" si="45"/>
        <v>0</v>
      </c>
      <c r="B159" s="45" t="e">
        <f t="shared" ca="1" si="46"/>
        <v>#N/A</v>
      </c>
      <c r="C159" s="1" t="str">
        <f>IF(ISERROR(D159),"",IF(D159="","",MAX($C$121:C158)+1))</f>
        <v/>
      </c>
      <c r="D159" t="e">
        <f t="shared" si="47"/>
        <v>#N/A</v>
      </c>
      <c r="E159" s="22"/>
      <c r="F159" s="62" t="e">
        <f t="shared" ca="1" si="53"/>
        <v>#DIV/0!</v>
      </c>
      <c r="G159" s="62"/>
      <c r="H159" s="62"/>
      <c r="I159" s="62"/>
      <c r="J159" s="62" t="str">
        <f t="shared" si="51"/>
        <v>N/A</v>
      </c>
      <c r="K159" s="62" t="str">
        <f t="shared" si="54"/>
        <v>N/A</v>
      </c>
      <c r="L159" s="62" t="str">
        <f t="shared" si="55"/>
        <v>N/A</v>
      </c>
      <c r="M159" s="62"/>
      <c r="N159" s="62" t="str">
        <f t="shared" ca="1" si="57"/>
        <v>N/A</v>
      </c>
      <c r="O159" s="62" t="str">
        <f t="shared" ca="1" si="59"/>
        <v>N/A</v>
      </c>
      <c r="P159" s="62" t="str">
        <f t="shared" ca="1" si="59"/>
        <v>N/A</v>
      </c>
      <c r="Q159" s="62" t="str">
        <f t="shared" ca="1" si="59"/>
        <v>N/A</v>
      </c>
      <c r="R159" s="62" t="str">
        <f t="shared" ca="1" si="59"/>
        <v>N/A</v>
      </c>
      <c r="S159" s="62" t="str">
        <f t="shared" ca="1" si="59"/>
        <v>N/A</v>
      </c>
      <c r="T159" s="62" t="str">
        <f t="shared" ca="1" si="59"/>
        <v>N/A</v>
      </c>
      <c r="U159" s="62" t="str">
        <f t="shared" ca="1" si="59"/>
        <v>N/A</v>
      </c>
      <c r="V159" s="62" t="str">
        <f t="shared" ca="1" si="59"/>
        <v>N/A</v>
      </c>
      <c r="W159" s="62" t="str">
        <f t="shared" ca="1" si="59"/>
        <v>N/A</v>
      </c>
      <c r="X159" s="62" t="str">
        <f t="shared" ca="1" si="59"/>
        <v>N/A</v>
      </c>
      <c r="Y159" s="62"/>
      <c r="Z159" s="17"/>
      <c r="AA159" s="17"/>
      <c r="AB159" s="17"/>
    </row>
    <row r="160" spans="1:28" hidden="1" x14ac:dyDescent="0.25">
      <c r="A160" s="50">
        <f t="shared" si="45"/>
        <v>0</v>
      </c>
      <c r="B160" s="45" t="e">
        <f t="shared" ca="1" si="46"/>
        <v>#N/A</v>
      </c>
      <c r="C160" s="1" t="str">
        <f>IF(ISERROR(D160),"",IF(D160="","",MAX($C$121:C159)+1))</f>
        <v/>
      </c>
      <c r="D160" t="e">
        <f t="shared" si="47"/>
        <v>#N/A</v>
      </c>
      <c r="E160" s="22"/>
      <c r="F160" s="62" t="e">
        <f t="shared" ca="1" si="53"/>
        <v>#DIV/0!</v>
      </c>
      <c r="G160" s="62"/>
      <c r="H160" s="62"/>
      <c r="I160" s="62"/>
      <c r="J160" s="62" t="str">
        <f t="shared" si="51"/>
        <v>N/A</v>
      </c>
      <c r="K160" s="62" t="str">
        <f t="shared" si="54"/>
        <v>N/A</v>
      </c>
      <c r="L160" s="62" t="str">
        <f t="shared" si="55"/>
        <v>N/A</v>
      </c>
      <c r="M160" s="62"/>
      <c r="N160" s="62" t="str">
        <f t="shared" ca="1" si="57"/>
        <v>N/A</v>
      </c>
      <c r="O160" s="62" t="str">
        <f t="shared" ca="1" si="59"/>
        <v>N/A</v>
      </c>
      <c r="P160" s="62" t="str">
        <f t="shared" ca="1" si="59"/>
        <v>N/A</v>
      </c>
      <c r="Q160" s="62" t="str">
        <f t="shared" ca="1" si="59"/>
        <v>N/A</v>
      </c>
      <c r="R160" s="62" t="str">
        <f t="shared" ca="1" si="59"/>
        <v>N/A</v>
      </c>
      <c r="S160" s="62" t="str">
        <f t="shared" ca="1" si="59"/>
        <v>N/A</v>
      </c>
      <c r="T160" s="62" t="str">
        <f t="shared" ca="1" si="59"/>
        <v>N/A</v>
      </c>
      <c r="U160" s="62" t="str">
        <f t="shared" ca="1" si="59"/>
        <v>N/A</v>
      </c>
      <c r="V160" s="62" t="str">
        <f t="shared" ca="1" si="59"/>
        <v>N/A</v>
      </c>
      <c r="W160" s="62" t="str">
        <f t="shared" ca="1" si="59"/>
        <v>N/A</v>
      </c>
      <c r="X160" s="62" t="str">
        <f t="shared" ca="1" si="59"/>
        <v>N/A</v>
      </c>
      <c r="Y160" s="62"/>
      <c r="Z160" s="17"/>
      <c r="AA160" s="17"/>
      <c r="AB160" s="17"/>
    </row>
    <row r="161" spans="1:28" hidden="1" x14ac:dyDescent="0.25">
      <c r="A161" s="50">
        <f t="shared" si="45"/>
        <v>0</v>
      </c>
      <c r="B161" s="45" t="e">
        <f t="shared" ca="1" si="46"/>
        <v>#N/A</v>
      </c>
      <c r="C161" s="1" t="str">
        <f>IF(ISERROR(D161),"",IF(D161="","",MAX($C$121:C160)+1))</f>
        <v/>
      </c>
      <c r="D161" t="e">
        <f t="shared" si="47"/>
        <v>#N/A</v>
      </c>
      <c r="E161" s="22"/>
      <c r="F161" s="62" t="e">
        <f t="shared" ca="1" si="53"/>
        <v>#DIV/0!</v>
      </c>
      <c r="G161" s="62"/>
      <c r="H161" s="62"/>
      <c r="I161" s="62"/>
      <c r="J161" s="62" t="str">
        <f t="shared" si="51"/>
        <v>N/A</v>
      </c>
      <c r="K161" s="62" t="str">
        <f t="shared" si="54"/>
        <v>N/A</v>
      </c>
      <c r="L161" s="62" t="str">
        <f t="shared" si="55"/>
        <v>N/A</v>
      </c>
      <c r="M161" s="62"/>
      <c r="N161" s="62" t="str">
        <f t="shared" ca="1" si="57"/>
        <v>N/A</v>
      </c>
      <c r="O161" s="62" t="str">
        <f t="shared" ca="1" si="59"/>
        <v>N/A</v>
      </c>
      <c r="P161" s="62" t="str">
        <f t="shared" ca="1" si="59"/>
        <v>N/A</v>
      </c>
      <c r="Q161" s="62" t="str">
        <f t="shared" ca="1" si="59"/>
        <v>N/A</v>
      </c>
      <c r="R161" s="62" t="str">
        <f t="shared" ca="1" si="59"/>
        <v>N/A</v>
      </c>
      <c r="S161" s="62" t="str">
        <f t="shared" ca="1" si="59"/>
        <v>N/A</v>
      </c>
      <c r="T161" s="62" t="str">
        <f t="shared" ca="1" si="59"/>
        <v>N/A</v>
      </c>
      <c r="U161" s="62" t="str">
        <f t="shared" ca="1" si="59"/>
        <v>N/A</v>
      </c>
      <c r="V161" s="62" t="str">
        <f t="shared" ca="1" si="59"/>
        <v>N/A</v>
      </c>
      <c r="W161" s="62" t="str">
        <f t="shared" ca="1" si="59"/>
        <v>N/A</v>
      </c>
      <c r="X161" s="62" t="str">
        <f t="shared" ca="1" si="59"/>
        <v>N/A</v>
      </c>
      <c r="Y161" s="62"/>
      <c r="Z161" s="17"/>
      <c r="AA161" s="17"/>
      <c r="AB161" s="17"/>
    </row>
    <row r="162" spans="1:28" hidden="1" x14ac:dyDescent="0.25">
      <c r="A162" s="50">
        <f t="shared" si="45"/>
        <v>0</v>
      </c>
      <c r="B162" s="45" t="e">
        <f t="shared" ca="1" si="46"/>
        <v>#N/A</v>
      </c>
      <c r="C162" s="1" t="str">
        <f>IF(ISERROR(D162),"",IF(D162="","",MAX($C$121:C161)+1))</f>
        <v/>
      </c>
      <c r="D162" t="e">
        <f t="shared" si="47"/>
        <v>#N/A</v>
      </c>
      <c r="E162" s="22"/>
      <c r="F162" s="62" t="e">
        <f t="shared" ca="1" si="53"/>
        <v>#DIV/0!</v>
      </c>
      <c r="G162" s="62"/>
      <c r="H162" s="62"/>
      <c r="I162" s="62"/>
      <c r="J162" s="62" t="str">
        <f t="shared" si="51"/>
        <v>N/A</v>
      </c>
      <c r="K162" s="62" t="str">
        <f t="shared" si="54"/>
        <v>N/A</v>
      </c>
      <c r="L162" s="62" t="str">
        <f t="shared" si="55"/>
        <v>N/A</v>
      </c>
      <c r="M162" s="62"/>
      <c r="N162" s="62" t="str">
        <f t="shared" ca="1" si="57"/>
        <v>N/A</v>
      </c>
      <c r="O162" s="62" t="str">
        <f t="shared" ca="1" si="59"/>
        <v>N/A</v>
      </c>
      <c r="P162" s="62" t="str">
        <f t="shared" ca="1" si="59"/>
        <v>N/A</v>
      </c>
      <c r="Q162" s="62" t="str">
        <f t="shared" ca="1" si="59"/>
        <v>N/A</v>
      </c>
      <c r="R162" s="62" t="str">
        <f t="shared" ca="1" si="59"/>
        <v>N/A</v>
      </c>
      <c r="S162" s="62" t="str">
        <f t="shared" ca="1" si="59"/>
        <v>N/A</v>
      </c>
      <c r="T162" s="62" t="str">
        <f t="shared" ca="1" si="59"/>
        <v>N/A</v>
      </c>
      <c r="U162" s="62" t="str">
        <f t="shared" ca="1" si="59"/>
        <v>N/A</v>
      </c>
      <c r="V162" s="62" t="str">
        <f t="shared" ca="1" si="59"/>
        <v>N/A</v>
      </c>
      <c r="W162" s="62" t="str">
        <f t="shared" ca="1" si="59"/>
        <v>N/A</v>
      </c>
      <c r="X162" s="62" t="str">
        <f t="shared" ca="1" si="59"/>
        <v>N/A</v>
      </c>
      <c r="Y162" s="62"/>
      <c r="Z162" s="17"/>
      <c r="AA162" s="17"/>
      <c r="AB162" s="17"/>
    </row>
    <row r="163" spans="1:28" hidden="1" x14ac:dyDescent="0.25">
      <c r="A163" s="50">
        <f t="shared" si="45"/>
        <v>0</v>
      </c>
      <c r="B163" s="45" t="e">
        <f t="shared" ca="1" si="46"/>
        <v>#N/A</v>
      </c>
      <c r="C163" s="1" t="str">
        <f>IF(ISERROR(D163),"",IF(D163="","",MAX($C$121:C162)+1))</f>
        <v/>
      </c>
      <c r="D163" t="e">
        <f t="shared" si="47"/>
        <v>#N/A</v>
      </c>
      <c r="E163" s="22"/>
      <c r="F163" s="62" t="e">
        <f t="shared" ca="1" si="53"/>
        <v>#DIV/0!</v>
      </c>
      <c r="G163" s="62"/>
      <c r="H163" s="62"/>
      <c r="I163" s="62"/>
      <c r="J163" s="62" t="str">
        <f t="shared" si="51"/>
        <v>N/A</v>
      </c>
      <c r="K163" s="62" t="str">
        <f t="shared" si="54"/>
        <v>N/A</v>
      </c>
      <c r="L163" s="62" t="str">
        <f t="shared" si="55"/>
        <v>N/A</v>
      </c>
      <c r="M163" s="62"/>
      <c r="N163" s="62" t="str">
        <f t="shared" ca="1" si="57"/>
        <v>N/A</v>
      </c>
      <c r="O163" s="62" t="str">
        <f t="shared" ca="1" si="59"/>
        <v>N/A</v>
      </c>
      <c r="P163" s="62" t="str">
        <f t="shared" ca="1" si="59"/>
        <v>N/A</v>
      </c>
      <c r="Q163" s="62" t="str">
        <f t="shared" ca="1" si="59"/>
        <v>N/A</v>
      </c>
      <c r="R163" s="62" t="str">
        <f t="shared" ca="1" si="59"/>
        <v>N/A</v>
      </c>
      <c r="S163" s="62" t="str">
        <f t="shared" ca="1" si="59"/>
        <v>N/A</v>
      </c>
      <c r="T163" s="62" t="str">
        <f t="shared" ca="1" si="59"/>
        <v>N/A</v>
      </c>
      <c r="U163" s="62" t="str">
        <f t="shared" ca="1" si="59"/>
        <v>N/A</v>
      </c>
      <c r="V163" s="62" t="str">
        <f t="shared" ca="1" si="59"/>
        <v>N/A</v>
      </c>
      <c r="W163" s="62" t="str">
        <f t="shared" ca="1" si="59"/>
        <v>N/A</v>
      </c>
      <c r="X163" s="62" t="str">
        <f t="shared" ca="1" si="59"/>
        <v>N/A</v>
      </c>
      <c r="Y163" s="62"/>
      <c r="Z163" s="17"/>
      <c r="AA163" s="17"/>
      <c r="AB163" s="17"/>
    </row>
    <row r="164" spans="1:28" hidden="1" x14ac:dyDescent="0.25">
      <c r="A164" s="50">
        <f t="shared" si="45"/>
        <v>0</v>
      </c>
      <c r="B164" s="45" t="e">
        <f t="shared" ca="1" si="46"/>
        <v>#N/A</v>
      </c>
      <c r="C164" s="1" t="str">
        <f>IF(ISERROR(D164),"",IF(D164="","",MAX($C$121:C163)+1))</f>
        <v/>
      </c>
      <c r="D164" t="e">
        <f t="shared" si="47"/>
        <v>#N/A</v>
      </c>
      <c r="E164" s="22"/>
      <c r="F164" s="62" t="e">
        <f t="shared" ca="1" si="53"/>
        <v>#DIV/0!</v>
      </c>
      <c r="G164" s="62"/>
      <c r="H164" s="62"/>
      <c r="I164" s="62"/>
      <c r="J164" s="62" t="str">
        <f t="shared" si="51"/>
        <v>N/A</v>
      </c>
      <c r="K164" s="62" t="str">
        <f t="shared" si="54"/>
        <v>N/A</v>
      </c>
      <c r="L164" s="62" t="str">
        <f t="shared" si="55"/>
        <v>N/A</v>
      </c>
      <c r="M164" s="62"/>
      <c r="N164" s="62" t="str">
        <f t="shared" ca="1" si="57"/>
        <v>N/A</v>
      </c>
      <c r="O164" s="62" t="str">
        <f t="shared" ca="1" si="59"/>
        <v>N/A</v>
      </c>
      <c r="P164" s="62" t="str">
        <f t="shared" ca="1" si="59"/>
        <v>N/A</v>
      </c>
      <c r="Q164" s="62" t="str">
        <f t="shared" ca="1" si="59"/>
        <v>N/A</v>
      </c>
      <c r="R164" s="62" t="str">
        <f t="shared" ca="1" si="59"/>
        <v>N/A</v>
      </c>
      <c r="S164" s="62" t="str">
        <f t="shared" ca="1" si="59"/>
        <v>N/A</v>
      </c>
      <c r="T164" s="62" t="str">
        <f t="shared" ca="1" si="59"/>
        <v>N/A</v>
      </c>
      <c r="U164" s="62" t="str">
        <f t="shared" ca="1" si="59"/>
        <v>N/A</v>
      </c>
      <c r="V164" s="62" t="str">
        <f t="shared" ca="1" si="59"/>
        <v>N/A</v>
      </c>
      <c r="W164" s="62" t="str">
        <f t="shared" ca="1" si="59"/>
        <v>N/A</v>
      </c>
      <c r="X164" s="62" t="str">
        <f t="shared" ca="1" si="59"/>
        <v>N/A</v>
      </c>
      <c r="Y164" s="62"/>
      <c r="Z164" s="17"/>
      <c r="AA164" s="17"/>
      <c r="AB164" s="17"/>
    </row>
    <row r="165" spans="1:28" hidden="1" x14ac:dyDescent="0.25">
      <c r="A165" s="50">
        <f t="shared" si="45"/>
        <v>0</v>
      </c>
      <c r="B165" s="45" t="e">
        <f t="shared" ca="1" si="46"/>
        <v>#N/A</v>
      </c>
      <c r="C165" s="1" t="str">
        <f>IF(ISERROR(D165),"",IF(D165="","",MAX($C$121:C164)+1))</f>
        <v/>
      </c>
      <c r="D165" t="e">
        <f t="shared" si="47"/>
        <v>#N/A</v>
      </c>
      <c r="F165" s="62" t="e">
        <f t="shared" ca="1" si="53"/>
        <v>#DIV/0!</v>
      </c>
      <c r="G165" s="62"/>
      <c r="H165" s="62"/>
      <c r="I165" s="62"/>
      <c r="J165" s="62" t="str">
        <f t="shared" si="51"/>
        <v>N/A</v>
      </c>
      <c r="K165" s="62" t="str">
        <f t="shared" si="54"/>
        <v>N/A</v>
      </c>
      <c r="L165" s="62" t="str">
        <f t="shared" si="55"/>
        <v>N/A</v>
      </c>
      <c r="M165" s="62"/>
      <c r="N165" s="62" t="str">
        <f t="shared" ca="1" si="57"/>
        <v>N/A</v>
      </c>
      <c r="O165" s="62" t="str">
        <f t="shared" ca="1" si="59"/>
        <v>N/A</v>
      </c>
      <c r="P165" s="62" t="str">
        <f t="shared" ca="1" si="59"/>
        <v>N/A</v>
      </c>
      <c r="Q165" s="62" t="str">
        <f t="shared" ca="1" si="59"/>
        <v>N/A</v>
      </c>
      <c r="R165" s="62" t="str">
        <f t="shared" ca="1" si="59"/>
        <v>N/A</v>
      </c>
      <c r="S165" s="62" t="str">
        <f t="shared" ca="1" si="59"/>
        <v>N/A</v>
      </c>
      <c r="T165" s="62" t="str">
        <f t="shared" ca="1" si="59"/>
        <v>N/A</v>
      </c>
      <c r="U165" s="62" t="str">
        <f t="shared" ca="1" si="59"/>
        <v>N/A</v>
      </c>
      <c r="V165" s="62" t="str">
        <f t="shared" ca="1" si="59"/>
        <v>N/A</v>
      </c>
      <c r="W165" s="62" t="str">
        <f t="shared" ca="1" si="59"/>
        <v>N/A</v>
      </c>
      <c r="X165" s="62" t="str">
        <f t="shared" ca="1" si="59"/>
        <v>N/A</v>
      </c>
      <c r="Y165" s="62"/>
      <c r="Z165" s="17"/>
      <c r="AA165" s="17"/>
      <c r="AB165" s="17"/>
    </row>
    <row r="166" spans="1:28" hidden="1" x14ac:dyDescent="0.25">
      <c r="A166" s="50">
        <f t="shared" si="45"/>
        <v>0</v>
      </c>
      <c r="B166" s="45" t="e">
        <f t="shared" ca="1" si="46"/>
        <v>#N/A</v>
      </c>
      <c r="C166" s="1" t="str">
        <f>IF(ISERROR(D166),"",IF(D166="","",MAX($C$121:C165)+1))</f>
        <v/>
      </c>
      <c r="D166" t="e">
        <f t="shared" si="47"/>
        <v>#N/A</v>
      </c>
      <c r="F166" s="62" t="e">
        <f t="shared" ca="1" si="53"/>
        <v>#DIV/0!</v>
      </c>
      <c r="G166" s="62"/>
      <c r="H166" s="62"/>
      <c r="I166" s="62"/>
      <c r="J166" s="62" t="str">
        <f t="shared" si="51"/>
        <v>N/A</v>
      </c>
      <c r="K166" s="62" t="str">
        <f t="shared" si="54"/>
        <v>N/A</v>
      </c>
      <c r="L166" s="62" t="str">
        <f t="shared" si="55"/>
        <v>N/A</v>
      </c>
      <c r="M166" s="62"/>
      <c r="N166" s="62" t="str">
        <f t="shared" ca="1" si="57"/>
        <v>N/A</v>
      </c>
      <c r="O166" s="62" t="str">
        <f t="shared" ca="1" si="59"/>
        <v>N/A</v>
      </c>
      <c r="P166" s="62" t="str">
        <f t="shared" ca="1" si="59"/>
        <v>N/A</v>
      </c>
      <c r="Q166" s="62" t="str">
        <f t="shared" ca="1" si="59"/>
        <v>N/A</v>
      </c>
      <c r="R166" s="62" t="str">
        <f t="shared" ca="1" si="59"/>
        <v>N/A</v>
      </c>
      <c r="S166" s="62" t="str">
        <f t="shared" ca="1" si="59"/>
        <v>N/A</v>
      </c>
      <c r="T166" s="62" t="str">
        <f t="shared" ca="1" si="59"/>
        <v>N/A</v>
      </c>
      <c r="U166" s="62" t="str">
        <f t="shared" ca="1" si="59"/>
        <v>N/A</v>
      </c>
      <c r="V166" s="62" t="str">
        <f t="shared" ca="1" si="59"/>
        <v>N/A</v>
      </c>
      <c r="W166" s="62" t="str">
        <f t="shared" ca="1" si="59"/>
        <v>N/A</v>
      </c>
      <c r="X166" s="62" t="str">
        <f t="shared" ca="1" si="59"/>
        <v>N/A</v>
      </c>
      <c r="Y166" s="62"/>
      <c r="Z166" s="17"/>
      <c r="AA166" s="17"/>
      <c r="AB166" s="17"/>
    </row>
    <row r="167" spans="1:28" hidden="1" x14ac:dyDescent="0.25">
      <c r="A167" s="50">
        <f t="shared" si="45"/>
        <v>0</v>
      </c>
      <c r="B167" s="45" t="e">
        <f t="shared" ca="1" si="46"/>
        <v>#N/A</v>
      </c>
      <c r="C167" s="1" t="str">
        <f>IF(ISERROR(D167),"",IF(D167="","",MAX($C$121:C166)+1))</f>
        <v/>
      </c>
      <c r="D167" t="e">
        <f t="shared" si="47"/>
        <v>#N/A</v>
      </c>
      <c r="F167" s="62" t="e">
        <f t="shared" ca="1" si="53"/>
        <v>#DIV/0!</v>
      </c>
      <c r="G167" s="62"/>
      <c r="H167" s="62"/>
      <c r="I167" s="62"/>
      <c r="J167" s="62" t="str">
        <f t="shared" si="51"/>
        <v>N/A</v>
      </c>
      <c r="K167" s="62" t="str">
        <f t="shared" si="54"/>
        <v>N/A</v>
      </c>
      <c r="L167" s="62" t="str">
        <f t="shared" si="55"/>
        <v>N/A</v>
      </c>
      <c r="M167" s="62"/>
      <c r="N167" s="62" t="str">
        <f t="shared" ca="1" si="57"/>
        <v>N/A</v>
      </c>
      <c r="O167" s="62" t="str">
        <f t="shared" ca="1" si="59"/>
        <v>N/A</v>
      </c>
      <c r="P167" s="62" t="str">
        <f t="shared" ca="1" si="59"/>
        <v>N/A</v>
      </c>
      <c r="Q167" s="62" t="str">
        <f t="shared" ca="1" si="59"/>
        <v>N/A</v>
      </c>
      <c r="R167" s="62" t="str">
        <f t="shared" ca="1" si="59"/>
        <v>N/A</v>
      </c>
      <c r="S167" s="62" t="str">
        <f t="shared" ca="1" si="59"/>
        <v>N/A</v>
      </c>
      <c r="T167" s="62" t="str">
        <f t="shared" ca="1" si="59"/>
        <v>N/A</v>
      </c>
      <c r="U167" s="62" t="str">
        <f t="shared" ca="1" si="59"/>
        <v>N/A</v>
      </c>
      <c r="V167" s="62" t="str">
        <f t="shared" ca="1" si="59"/>
        <v>N/A</v>
      </c>
      <c r="W167" s="62" t="str">
        <f t="shared" ca="1" si="59"/>
        <v>N/A</v>
      </c>
      <c r="X167" s="62" t="str">
        <f t="shared" ca="1" si="59"/>
        <v>N/A</v>
      </c>
      <c r="Y167" s="62"/>
      <c r="Z167" s="17"/>
      <c r="AA167" s="17"/>
      <c r="AB167" s="17"/>
    </row>
    <row r="168" spans="1:28" x14ac:dyDescent="0.25">
      <c r="A168" s="31"/>
      <c r="B168" s="31"/>
      <c r="C168" s="1" t="str">
        <f>IF(ISERROR(D168),"",IF(D168="","",MAX($C$121:C167)+1))</f>
        <v/>
      </c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17"/>
      <c r="AA168" s="17"/>
    </row>
    <row r="169" spans="1:28" x14ac:dyDescent="0.25">
      <c r="A169" s="31"/>
      <c r="B169" s="31"/>
      <c r="C169" s="1">
        <f ca="1">IF(ISERROR(D169),"",IF(D169="","",MAX($C$121:C168)+1))</f>
        <v>32</v>
      </c>
      <c r="D169" t="s">
        <v>98</v>
      </c>
      <c r="F169" s="62">
        <f ca="1">AVERAGE(G169:X169)</f>
        <v>0.94658965916809557</v>
      </c>
      <c r="G169" s="62">
        <f>AVERAGE(G123:G168)</f>
        <v>0.73601023221446704</v>
      </c>
      <c r="H169" s="62">
        <f>AVERAGE(H123:H168)</f>
        <v>0.75250541498495682</v>
      </c>
      <c r="I169" s="62">
        <f>AVERAGE(I123:I168)</f>
        <v>0.79634057150474602</v>
      </c>
      <c r="J169" s="62">
        <f>AVERAGE(J123:J168)</f>
        <v>0.7616074412415671</v>
      </c>
      <c r="K169" s="62">
        <f t="shared" ref="K169:X169" si="60">AVERAGE(K123:K168)</f>
        <v>0.67200546899492886</v>
      </c>
      <c r="L169" s="62">
        <f t="shared" ca="1" si="60"/>
        <v>0.7653261270215983</v>
      </c>
      <c r="M169" s="62">
        <f t="shared" ca="1" si="60"/>
        <v>0.66046718588259501</v>
      </c>
      <c r="N169" s="62">
        <f t="shared" ca="1" si="60"/>
        <v>0.81603306774626649</v>
      </c>
      <c r="O169" s="62">
        <f t="shared" ca="1" si="60"/>
        <v>0.84034388566702278</v>
      </c>
      <c r="P169" s="62">
        <f t="shared" ca="1" si="60"/>
        <v>1.0171731870078919</v>
      </c>
      <c r="Q169" s="62">
        <f t="shared" ca="1" si="60"/>
        <v>0.91940295092310786</v>
      </c>
      <c r="R169" s="62">
        <f t="shared" ca="1" si="60"/>
        <v>0.98485157230560638</v>
      </c>
      <c r="S169" s="62">
        <f t="shared" ca="1" si="60"/>
        <v>1.128179206529776</v>
      </c>
      <c r="T169" s="62">
        <f t="shared" ca="1" si="60"/>
        <v>1.1763006933449625</v>
      </c>
      <c r="U169" s="62">
        <f t="shared" ca="1" si="60"/>
        <v>1.3089983022133385</v>
      </c>
      <c r="V169" s="62">
        <f t="shared" ca="1" si="60"/>
        <v>1.2807474279093469</v>
      </c>
      <c r="W169" s="62">
        <f t="shared" ca="1" si="60"/>
        <v>1.1970012018242036</v>
      </c>
      <c r="X169" s="62">
        <f t="shared" ca="1" si="60"/>
        <v>1.2253199277093363</v>
      </c>
      <c r="Y169" s="62"/>
      <c r="Z169" s="17"/>
      <c r="AA169" s="17"/>
      <c r="AB169" s="17"/>
    </row>
    <row r="170" spans="1:28" x14ac:dyDescent="0.25">
      <c r="A170" s="31"/>
      <c r="B170" s="31"/>
      <c r="C170" s="1">
        <f ca="1">IF(ISERROR(D170),"",IF(D170="","",MAX($C$121:C169)+1))</f>
        <v>33</v>
      </c>
      <c r="D170" t="s">
        <v>257</v>
      </c>
      <c r="F170" s="62">
        <f ca="1">MEDIAN(G170:X170)</f>
        <v>0.85907508862463644</v>
      </c>
      <c r="G170" s="62">
        <f t="shared" ref="G170:L170" si="61">MEDIAN(G123:G168)</f>
        <v>0.71206225680933855</v>
      </c>
      <c r="H170" s="62">
        <f t="shared" si="61"/>
        <v>0.59916054564533061</v>
      </c>
      <c r="I170" s="62">
        <f t="shared" si="61"/>
        <v>0.75186104218362282</v>
      </c>
      <c r="J170" s="62">
        <f t="shared" si="61"/>
        <v>0.68683274021352314</v>
      </c>
      <c r="K170" s="62">
        <f t="shared" si="61"/>
        <v>0.60869565217391308</v>
      </c>
      <c r="L170" s="62">
        <f t="shared" ca="1" si="61"/>
        <v>0.71030678148546822</v>
      </c>
      <c r="M170" s="62">
        <f t="shared" ref="M170:X170" ca="1" si="62">MEDIAN(M123:M168)</f>
        <v>0.6811381863047502</v>
      </c>
      <c r="N170" s="62">
        <f t="shared" ca="1" si="62"/>
        <v>0.83312410329985664</v>
      </c>
      <c r="O170" s="62">
        <f t="shared" ca="1" si="62"/>
        <v>0.83699029126213587</v>
      </c>
      <c r="P170" s="62">
        <f t="shared" ca="1" si="62"/>
        <v>0.97651515151515156</v>
      </c>
      <c r="Q170" s="62">
        <f t="shared" ca="1" si="62"/>
        <v>0.88115988598713701</v>
      </c>
      <c r="R170" s="62">
        <f t="shared" ca="1" si="62"/>
        <v>0.92571464818240368</v>
      </c>
      <c r="S170" s="62">
        <f t="shared" ca="1" si="62"/>
        <v>1.2010702782468039</v>
      </c>
      <c r="T170" s="62">
        <f t="shared" ca="1" si="62"/>
        <v>1.232386987203542</v>
      </c>
      <c r="U170" s="62">
        <f t="shared" ca="1" si="62"/>
        <v>1.208506805021345</v>
      </c>
      <c r="V170" s="62">
        <f t="shared" ca="1" si="62"/>
        <v>1.1453974497350106</v>
      </c>
      <c r="W170" s="62">
        <f t="shared" ca="1" si="62"/>
        <v>1.1613049499373611</v>
      </c>
      <c r="X170" s="62">
        <f t="shared" ca="1" si="62"/>
        <v>1.3092507727626175</v>
      </c>
      <c r="Y170" s="62"/>
      <c r="Z170" s="17"/>
      <c r="AA170" s="17"/>
      <c r="AB170" s="17"/>
    </row>
    <row r="171" spans="1:28" x14ac:dyDescent="0.25">
      <c r="A171" s="31"/>
      <c r="B171" s="31"/>
      <c r="C171" s="1"/>
    </row>
    <row r="172" spans="1:28" x14ac:dyDescent="0.25">
      <c r="A172" s="31"/>
      <c r="B172" s="31"/>
      <c r="D172" s="18"/>
      <c r="E172" s="88"/>
      <c r="F172" s="88"/>
      <c r="G172" s="212"/>
      <c r="H172" s="212"/>
      <c r="I172" s="212"/>
      <c r="J172" s="212"/>
    </row>
    <row r="173" spans="1:28" x14ac:dyDescent="0.25">
      <c r="A173" s="31"/>
      <c r="B173" s="31"/>
      <c r="D173" s="20" t="s">
        <v>107</v>
      </c>
    </row>
    <row r="174" spans="1:28" ht="16.2" x14ac:dyDescent="0.25">
      <c r="A174" s="31"/>
      <c r="B174" s="31"/>
      <c r="D174" s="76">
        <v>1</v>
      </c>
      <c r="E174" s="21" t="str">
        <f>'CCW-1, pg 11'!E175</f>
        <v>Data for years 2019 and prior were retrieved from the Value Line Investment Survey Investment Analyzer Software, downloaded on June 18, 2021.</v>
      </c>
    </row>
    <row r="175" spans="1:28" ht="16.2" x14ac:dyDescent="0.25">
      <c r="A175" s="31"/>
      <c r="B175" s="31"/>
      <c r="D175" s="76"/>
      <c r="E175" s="21" t="str">
        <f>'CCW-1, pg 11'!E176</f>
        <v>Data for the years 2020 - 2022 was retrieved from Value Line Investment Surveys.</v>
      </c>
    </row>
    <row r="176" spans="1:28" ht="16.2" x14ac:dyDescent="0.25">
      <c r="A176" s="31"/>
      <c r="B176" s="31"/>
      <c r="D176" s="76">
        <v>2</v>
      </c>
      <c r="E176" s="21" t="str">
        <f>"The Value Line Investment Survey, "&amp;'2023 Data (WP)'!$D$2</f>
        <v>The Value Line Investment Survey, February 23, 2024.</v>
      </c>
    </row>
    <row r="177" spans="1:5" x14ac:dyDescent="0.25">
      <c r="A177" s="31"/>
      <c r="B177" s="31"/>
      <c r="D177" s="20" t="s">
        <v>328</v>
      </c>
    </row>
    <row r="178" spans="1:5" ht="16.2" x14ac:dyDescent="0.25">
      <c r="A178" s="31"/>
      <c r="B178" s="31"/>
      <c r="D178" s="76" t="s">
        <v>354</v>
      </c>
      <c r="E178" s="21" t="s">
        <v>530</v>
      </c>
    </row>
    <row r="179" spans="1:5" ht="16.2" x14ac:dyDescent="0.25">
      <c r="A179" s="31"/>
      <c r="B179" s="31"/>
      <c r="D179" s="76" t="s">
        <v>355</v>
      </c>
      <c r="E179" s="21" t="s">
        <v>528</v>
      </c>
    </row>
    <row r="180" spans="1:5" ht="16.2" x14ac:dyDescent="0.25">
      <c r="A180" s="31"/>
      <c r="B180" s="31"/>
      <c r="D180" s="76" t="s">
        <v>356</v>
      </c>
      <c r="E180" s="21" t="s">
        <v>529</v>
      </c>
    </row>
    <row r="181" spans="1:5" x14ac:dyDescent="0.25">
      <c r="D181" s="23"/>
    </row>
  </sheetData>
  <mergeCells count="9">
    <mergeCell ref="D65:E65"/>
    <mergeCell ref="F118:AB118"/>
    <mergeCell ref="D120:E120"/>
    <mergeCell ref="C1:AB1"/>
    <mergeCell ref="C4:AB4"/>
    <mergeCell ref="C5:AB5"/>
    <mergeCell ref="F8:AB8"/>
    <mergeCell ref="D10:E10"/>
    <mergeCell ref="F63:AB63"/>
  </mergeCells>
  <printOptions horizontalCentered="1"/>
  <pageMargins left="0.7" right="0.7" top="1.25" bottom="0.75" header="0.55000000000000004" footer="0.51"/>
  <pageSetup scale="42" firstPageNumber="16" orientation="portrait" useFirstPageNumber="1" r:id="rId1"/>
  <headerFooter>
    <oddHeader>&amp;R&amp;"Arial,Bold"&amp;20Docket Nos. 20240026-EI, 20230139-EI, and 20230090-EI
Valuation Metrics
Exhibit CCW-1, Page &amp;P of 16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B2:S19"/>
  <sheetViews>
    <sheetView zoomScaleNormal="100" workbookViewId="0">
      <selection activeCell="W32" sqref="W32"/>
    </sheetView>
  </sheetViews>
  <sheetFormatPr defaultRowHeight="13.8" x14ac:dyDescent="0.25"/>
  <cols>
    <col min="2" max="2" width="1.59765625" customWidth="1"/>
    <col min="3" max="3" width="26.69921875" bestFit="1" customWidth="1"/>
    <col min="4" max="7" width="6.69921875" bestFit="1" customWidth="1"/>
    <col min="8" max="8" width="8.3984375" bestFit="1" customWidth="1"/>
    <col min="9" max="9" width="6.69921875" bestFit="1" customWidth="1"/>
    <col min="10" max="10" width="7" bestFit="1" customWidth="1"/>
    <col min="11" max="17" width="6.69921875" bestFit="1" customWidth="1"/>
    <col min="18" max="18" width="7" bestFit="1" customWidth="1"/>
    <col min="19" max="19" width="1.59765625" customWidth="1"/>
    <col min="20" max="20" width="10.3984375" customWidth="1"/>
  </cols>
  <sheetData>
    <row r="2" spans="2:19" x14ac:dyDescent="0.25">
      <c r="B2" s="207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9"/>
    </row>
    <row r="3" spans="2:19" x14ac:dyDescent="0.25">
      <c r="B3" s="210"/>
      <c r="C3" s="285" t="s">
        <v>493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11"/>
    </row>
    <row r="4" spans="2:19" x14ac:dyDescent="0.25">
      <c r="B4" s="210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1"/>
    </row>
    <row r="5" spans="2:19" x14ac:dyDescent="0.25">
      <c r="B5" s="210"/>
      <c r="C5" s="285" t="s">
        <v>494</v>
      </c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11"/>
    </row>
    <row r="6" spans="2:19" x14ac:dyDescent="0.25">
      <c r="B6" s="210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1"/>
    </row>
    <row r="7" spans="2:19" hidden="1" x14ac:dyDescent="0.25">
      <c r="B7" s="210"/>
      <c r="C7" s="212"/>
      <c r="D7" s="212">
        <f>E7+1</f>
        <v>14</v>
      </c>
      <c r="E7" s="212">
        <f>F7+1</f>
        <v>13</v>
      </c>
      <c r="F7" s="212">
        <f t="shared" ref="F7:P7" si="0">G7+1</f>
        <v>12</v>
      </c>
      <c r="G7" s="212">
        <f t="shared" si="0"/>
        <v>11</v>
      </c>
      <c r="H7" s="212">
        <f t="shared" si="0"/>
        <v>10</v>
      </c>
      <c r="I7" s="212">
        <f t="shared" si="0"/>
        <v>9</v>
      </c>
      <c r="J7" s="212">
        <f t="shared" si="0"/>
        <v>8</v>
      </c>
      <c r="K7" s="212">
        <f t="shared" si="0"/>
        <v>7</v>
      </c>
      <c r="L7" s="212">
        <f t="shared" si="0"/>
        <v>6</v>
      </c>
      <c r="M7" s="212">
        <f t="shared" si="0"/>
        <v>5</v>
      </c>
      <c r="N7" s="212">
        <f t="shared" si="0"/>
        <v>4</v>
      </c>
      <c r="O7" s="212">
        <f t="shared" si="0"/>
        <v>3</v>
      </c>
      <c r="P7" s="212">
        <f t="shared" si="0"/>
        <v>2</v>
      </c>
      <c r="Q7" s="212">
        <f>R7+1</f>
        <v>1</v>
      </c>
      <c r="R7" s="212">
        <v>0</v>
      </c>
      <c r="S7" s="211"/>
    </row>
    <row r="8" spans="2:19" x14ac:dyDescent="0.25">
      <c r="B8" s="210"/>
      <c r="C8" s="219" t="s">
        <v>498</v>
      </c>
      <c r="D8" s="213">
        <f t="shared" ref="D8:P8" si="1">E8-1</f>
        <v>2006</v>
      </c>
      <c r="E8" s="213">
        <f t="shared" si="1"/>
        <v>2007</v>
      </c>
      <c r="F8" s="213">
        <f t="shared" si="1"/>
        <v>2008</v>
      </c>
      <c r="G8" s="213">
        <f t="shared" si="1"/>
        <v>2009</v>
      </c>
      <c r="H8" s="213">
        <f t="shared" si="1"/>
        <v>2010</v>
      </c>
      <c r="I8" s="213">
        <f t="shared" si="1"/>
        <v>2011</v>
      </c>
      <c r="J8" s="213">
        <f t="shared" si="1"/>
        <v>2012</v>
      </c>
      <c r="K8" s="213">
        <f t="shared" si="1"/>
        <v>2013</v>
      </c>
      <c r="L8" s="213">
        <f t="shared" si="1"/>
        <v>2014</v>
      </c>
      <c r="M8" s="213">
        <f t="shared" si="1"/>
        <v>2015</v>
      </c>
      <c r="N8" s="213">
        <f t="shared" si="1"/>
        <v>2016</v>
      </c>
      <c r="O8" s="213">
        <f t="shared" si="1"/>
        <v>2017</v>
      </c>
      <c r="P8" s="213">
        <f t="shared" si="1"/>
        <v>2018</v>
      </c>
      <c r="Q8" s="213">
        <f>R8-1</f>
        <v>2019</v>
      </c>
      <c r="R8" s="213">
        <v>2020</v>
      </c>
      <c r="S8" s="211"/>
    </row>
    <row r="9" spans="2:19" x14ac:dyDescent="0.25">
      <c r="B9" s="210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1"/>
    </row>
    <row r="10" spans="2:19" x14ac:dyDescent="0.25">
      <c r="B10" s="210"/>
      <c r="C10" s="214" t="s">
        <v>495</v>
      </c>
      <c r="D10" s="215">
        <f ca="1">OFFSET('CCW-1, pg 4'!$J$74,0,D$7)</f>
        <v>6.3166666666666663E-2</v>
      </c>
      <c r="E10" s="215">
        <f ca="1">OFFSET('CCW-1, pg 4'!$J$74,0,E$7)</f>
        <v>6.3300000000000009E-2</v>
      </c>
      <c r="F10" s="215">
        <f ca="1">OFFSET('CCW-1, pg 4'!$J$74,0,F$7)</f>
        <v>7.2458333333333333E-2</v>
      </c>
      <c r="G10" s="215">
        <f ca="1">OFFSET('CCW-1, pg 4'!$J$74,0,G$7)</f>
        <v>7.0550000000000002E-2</v>
      </c>
      <c r="H10" s="215">
        <f ca="1">OFFSET('CCW-1, pg 4'!$J$74,0,H$7)</f>
        <v>5.9645065912329841E-2</v>
      </c>
      <c r="I10" s="215">
        <f ca="1">OFFSET('CCW-1, pg 4'!$J$74,0,I$7)</f>
        <v>5.5661813972092772E-2</v>
      </c>
      <c r="J10" s="215">
        <f ca="1">OFFSET('CCW-1, pg 4'!$J$74,0,J$7)</f>
        <v>4.8256893848182547E-2</v>
      </c>
      <c r="K10" s="215">
        <f ca="1">OFFSET('CCW-1, pg 4'!$J$74,0,K$7)</f>
        <v>4.9821343577303334E-2</v>
      </c>
      <c r="L10" s="215">
        <f ca="1">OFFSET('CCW-1, pg 4'!$J$74,0,L$7)</f>
        <v>4.7983787029963504E-2</v>
      </c>
      <c r="M10" s="215">
        <f ca="1">OFFSET('CCW-1, pg 4'!$J$74,0,M$7)</f>
        <v>5.0280741690083786E-2</v>
      </c>
      <c r="N10" s="215">
        <f ca="1">OFFSET('CCW-1, pg 4'!$J$74,0,N$7)</f>
        <v>4.6746381356058131E-2</v>
      </c>
      <c r="O10" s="215">
        <f ca="1">OFFSET('CCW-1, pg 4'!$J$74,0,O$7)</f>
        <v>4.3774266867762292E-2</v>
      </c>
      <c r="P10" s="215">
        <f ca="1">OFFSET('CCW-1, pg 4'!$J$74,0,P$7)</f>
        <v>4.6687507594744437E-2</v>
      </c>
      <c r="Q10" s="215">
        <f ca="1">OFFSET('CCW-1, pg 4'!$J$74,0,Q$7)</f>
        <v>4.19426790461001E-2</v>
      </c>
      <c r="R10" s="215">
        <f ca="1">OFFSET('CCW-1, pg 4'!$J$74,0,R$7)</f>
        <v>3.4351067393863441E-2</v>
      </c>
      <c r="S10" s="211"/>
    </row>
    <row r="11" spans="2:19" x14ac:dyDescent="0.25">
      <c r="B11" s="210"/>
      <c r="C11" s="214" t="s">
        <v>496</v>
      </c>
      <c r="D11" s="215">
        <f ca="1">OFFSET('CCW-1, pg 4'!$J$70,0,D$7)</f>
        <v>6.0683333333333332E-2</v>
      </c>
      <c r="E11" s="215">
        <f ca="1">OFFSET('CCW-1, pg 4'!$J$70,0,E$7)</f>
        <v>6.0733333333333334E-2</v>
      </c>
      <c r="F11" s="215">
        <f ca="1">OFFSET('CCW-1, pg 4'!$J$70,0,F$7)</f>
        <v>6.5283333333333332E-2</v>
      </c>
      <c r="G11" s="215">
        <f ca="1">OFFSET('CCW-1, pg 4'!$J$70,0,G$7)</f>
        <v>6.0391666666666656E-2</v>
      </c>
      <c r="H11" s="215">
        <f ca="1">OFFSET('CCW-1, pg 4'!$J$70,0,H$7)</f>
        <v>5.4644377733549555E-2</v>
      </c>
      <c r="I11" s="215">
        <f ca="1">OFFSET('CCW-1, pg 4'!$J$70,0,I$7)</f>
        <v>5.0407157265811221E-2</v>
      </c>
      <c r="J11" s="215">
        <f ca="1">OFFSET('CCW-1, pg 4'!$J$70,0,J$7)</f>
        <v>4.1308564221010043E-2</v>
      </c>
      <c r="K11" s="215">
        <f ca="1">OFFSET('CCW-1, pg 4'!$J$70,0,K$7)</f>
        <v>4.4759707479483019E-2</v>
      </c>
      <c r="L11" s="215">
        <f ca="1">OFFSET('CCW-1, pg 4'!$J$70,0,L$7)</f>
        <v>4.2774094021446961E-2</v>
      </c>
      <c r="M11" s="215">
        <f ca="1">OFFSET('CCW-1, pg 4'!$J$70,0,M$7)</f>
        <v>4.1153967589428117E-2</v>
      </c>
      <c r="N11" s="215">
        <f ca="1">OFFSET('CCW-1, pg 4'!$J$70,0,N$7)</f>
        <v>3.930199127182251E-2</v>
      </c>
      <c r="O11" s="215">
        <f ca="1">OFFSET('CCW-1, pg 4'!$J$70,0,O$7)</f>
        <v>3.9988761663160968E-2</v>
      </c>
      <c r="P11" s="215">
        <f ca="1">OFFSET('CCW-1, pg 4'!$J$70,0,P$7)</f>
        <v>4.2502293815071278E-2</v>
      </c>
      <c r="Q11" s="215">
        <f ca="1">OFFSET('CCW-1, pg 4'!$J$70,0,Q$7)</f>
        <v>3.7674047524113317E-2</v>
      </c>
      <c r="R11" s="215">
        <f ca="1">OFFSET('CCW-1, pg 4'!$J$70,0,R$7)</f>
        <v>3.0525263490164798E-2</v>
      </c>
      <c r="S11" s="211"/>
    </row>
    <row r="12" spans="2:19" x14ac:dyDescent="0.25">
      <c r="B12" s="210"/>
      <c r="C12" s="214" t="s">
        <v>489</v>
      </c>
      <c r="D12" s="215">
        <f ca="1">OFFSET('CCW-1, pg 4'!$J$78,0,D$7)</f>
        <v>2.3364658497930756E-2</v>
      </c>
      <c r="E12" s="215">
        <f ca="1">OFFSET('CCW-1, pg 4'!$J$78,0,E$7)</f>
        <v>2.5308545166679471E-2</v>
      </c>
      <c r="F12" s="215">
        <f ca="1">OFFSET('CCW-1, pg 4'!$J$78,0,F$7)</f>
        <v>2.2790223668589932E-2</v>
      </c>
      <c r="G12" s="215">
        <f ca="1">OFFSET('CCW-1, pg 4'!$J$78,0,G$7)</f>
        <v>8.8394734072188494E-3</v>
      </c>
      <c r="H12" s="215">
        <f ca="1">OFFSET('CCW-1, pg 4'!$J$78,0,H$7)</f>
        <v>8.2236385350615768E-3</v>
      </c>
      <c r="I12" s="215">
        <f ca="1">OFFSET('CCW-1, pg 4'!$J$78,0,I$7)</f>
        <v>7.3711589423494928E-3</v>
      </c>
      <c r="J12" s="215">
        <f ca="1">OFFSET('CCW-1, pg 4'!$J$78,0,J$7)</f>
        <v>-4.7269263831042907E-4</v>
      </c>
      <c r="K12" s="215">
        <f ca="1">OFFSET('CCW-1, pg 4'!$J$78,0,K$7)</f>
        <v>6.1424655521078383E-3</v>
      </c>
      <c r="L12" s="215">
        <f ca="1">OFFSET('CCW-1, pg 4'!$J$78,0,L$7)</f>
        <v>6.2196436031727725E-3</v>
      </c>
      <c r="M12" s="215">
        <f ca="1">OFFSET('CCW-1, pg 4'!$J$78,0,M$7)</f>
        <v>3.9533601877231317E-3</v>
      </c>
      <c r="N12" s="215">
        <f ca="1">OFFSET('CCW-1, pg 4'!$J$78,0,N$7)</f>
        <v>4.3784112634834144E-3</v>
      </c>
      <c r="O12" s="215">
        <f ca="1">OFFSET('CCW-1, pg 4'!$J$78,0,O$7)</f>
        <v>6.3550558892100373E-3</v>
      </c>
      <c r="P12" s="215">
        <f ca="1">OFFSET('CCW-1, pg 4'!$J$78,0,P$7)</f>
        <v>6.894311552377623E-3</v>
      </c>
      <c r="Q12" s="215">
        <f ca="1">OFFSET('CCW-1, pg 4'!$J$78,0,Q$7)</f>
        <v>5.7531298943435463E-3</v>
      </c>
      <c r="R12" s="215">
        <f ca="1">OFFSET('CCW-1, pg 4'!$J$78,0,R$7)</f>
        <v>-5.0277258376729035E-3</v>
      </c>
      <c r="S12" s="211"/>
    </row>
    <row r="13" spans="2:19" x14ac:dyDescent="0.25">
      <c r="B13" s="210"/>
      <c r="C13" s="214" t="s">
        <v>490</v>
      </c>
      <c r="D13" s="215">
        <f ca="1">OFFSET('CCW-1, pg 4'!$J$82,0,D$7)</f>
        <v>2.5847991831264086E-2</v>
      </c>
      <c r="E13" s="215">
        <f ca="1">OFFSET('CCW-1, pg 4'!$J$82,0,E$7)</f>
        <v>2.7875211833346146E-2</v>
      </c>
      <c r="F13" s="215">
        <f ca="1">OFFSET('CCW-1, pg 4'!$J$82,0,F$7)</f>
        <v>2.9965223668589933E-2</v>
      </c>
      <c r="G13" s="215">
        <f ca="1">OFFSET('CCW-1, pg 4'!$J$82,0,G$7)</f>
        <v>1.8997806740552195E-2</v>
      </c>
      <c r="H13" s="215">
        <f ca="1">OFFSET('CCW-1, pg 4'!$J$82,0,H$7)</f>
        <v>1.3224326713841862E-2</v>
      </c>
      <c r="I13" s="215">
        <f ca="1">OFFSET('CCW-1, pg 4'!$J$82,0,I$7)</f>
        <v>1.2625815648631043E-2</v>
      </c>
      <c r="J13" s="215">
        <f ca="1">OFFSET('CCW-1, pg 4'!$J$82,0,J$7)</f>
        <v>6.4756369888620754E-3</v>
      </c>
      <c r="K13" s="215">
        <f ca="1">OFFSET('CCW-1, pg 4'!$J$82,0,K$7)</f>
        <v>1.1204101649928154E-2</v>
      </c>
      <c r="L13" s="215">
        <f ca="1">OFFSET('CCW-1, pg 4'!$J$82,0,L$7)</f>
        <v>1.1429336611689316E-2</v>
      </c>
      <c r="M13" s="215">
        <f ca="1">OFFSET('CCW-1, pg 4'!$J$82,0,M$7)</f>
        <v>1.30801342883788E-2</v>
      </c>
      <c r="N13" s="215">
        <f ca="1">OFFSET('CCW-1, pg 4'!$J$82,0,N$7)</f>
        <v>1.1822801347719035E-2</v>
      </c>
      <c r="O13" s="215">
        <f ca="1">OFFSET('CCW-1, pg 4'!$J$82,0,O$7)</f>
        <v>1.0140561093811361E-2</v>
      </c>
      <c r="P13" s="215">
        <f ca="1">OFFSET('CCW-1, pg 4'!$J$82,0,P$7)</f>
        <v>1.1079525332050782E-2</v>
      </c>
      <c r="Q13" s="215">
        <f ca="1">OFFSET('CCW-1, pg 4'!$J$82,0,Q$7)</f>
        <v>1.0021761416330328E-2</v>
      </c>
      <c r="R13" s="215">
        <f ca="1">OFFSET('CCW-1, pg 4'!$J$82,0,R$7)</f>
        <v>-1.2019219339742607E-3</v>
      </c>
      <c r="S13" s="211"/>
    </row>
    <row r="14" spans="2:19" x14ac:dyDescent="0.25">
      <c r="B14" s="210"/>
      <c r="C14" s="214" t="s">
        <v>491</v>
      </c>
      <c r="D14" s="215">
        <f ca="1">OFFSET('CCW-1, pg 4'!$J$79,0,D$7)</f>
        <v>2.2767148122742498E-2</v>
      </c>
      <c r="E14" s="215">
        <f ca="1">OFFSET('CCW-1, pg 4'!$J$79,0,E$7)</f>
        <v>2.46925678659351E-2</v>
      </c>
      <c r="F14" s="215">
        <f ca="1">OFFSET('CCW-1, pg 4'!$J$79,0,F$7)</f>
        <v>2.2314710797219917E-2</v>
      </c>
      <c r="G14" s="215">
        <f ca="1">OFFSET('CCW-1, pg 4'!$J$79,0,G$7)</f>
        <v>8.6786450722877717E-3</v>
      </c>
      <c r="H14" s="215">
        <f ca="1">OFFSET('CCW-1, pg 4'!$J$79,0,H$7)</f>
        <v>8.0419538040570338E-3</v>
      </c>
      <c r="I14" s="215">
        <f ca="1">OFFSET('CCW-1, pg 4'!$J$79,0,I$7)</f>
        <v>7.1983580390806434E-3</v>
      </c>
      <c r="J14" s="215">
        <f ca="1">OFFSET('CCW-1, pg 4'!$J$79,0,J$7)</f>
        <v>-4.6194831424406502E-4</v>
      </c>
      <c r="K14" s="215">
        <f ca="1">OFFSET('CCW-1, pg 4'!$J$79,0,K$7)</f>
        <v>6.0014414567364227E-3</v>
      </c>
      <c r="L14" s="215">
        <f ca="1">OFFSET('CCW-1, pg 4'!$J$79,0,L$7)</f>
        <v>6.0863895907028454E-3</v>
      </c>
      <c r="M14" s="215">
        <f ca="1">OFFSET('CCW-1, pg 4'!$J$79,0,M$7)</f>
        <v>3.8853804861465058E-3</v>
      </c>
      <c r="N14" s="215">
        <f ca="1">OFFSET('CCW-1, pg 4'!$J$79,0,N$7)</f>
        <v>4.311273482553668E-3</v>
      </c>
      <c r="O14" s="215">
        <f ca="1">OFFSET('CCW-1, pg 4'!$J$79,0,O$7)</f>
        <v>6.2370171348811176E-3</v>
      </c>
      <c r="P14" s="215">
        <f ca="1">OFFSET('CCW-1, pg 4'!$J$79,0,P$7)</f>
        <v>6.754888319612018E-3</v>
      </c>
      <c r="Q14" s="215">
        <f ca="1">OFFSET('CCW-1, pg 4'!$J$79,0,Q$7)</f>
        <v>5.6518166795120894E-3</v>
      </c>
      <c r="R14" s="215">
        <f ca="1">OFFSET('CCW-1, pg 4'!$J$79,0,R$7)</f>
        <v>-4.945545355487857E-3</v>
      </c>
      <c r="S14" s="211"/>
    </row>
    <row r="15" spans="2:19" x14ac:dyDescent="0.25">
      <c r="B15" s="210"/>
      <c r="C15" s="214" t="s">
        <v>492</v>
      </c>
      <c r="D15" s="215">
        <f ca="1">OFFSET('CCW-1, pg 4'!$J$83,0,D$7)</f>
        <v>2.5186974538915052E-2</v>
      </c>
      <c r="E15" s="215">
        <f ca="1">OFFSET('CCW-1, pg 4'!$J$83,0,E$7)</f>
        <v>2.7196765181051408E-2</v>
      </c>
      <c r="F15" s="215">
        <f ca="1">OFFSET('CCW-1, pg 4'!$J$83,0,F$7)</f>
        <v>2.9340006042159361E-2</v>
      </c>
      <c r="G15" s="215">
        <f ca="1">OFFSET('CCW-1, pg 4'!$J$83,0,G$7)</f>
        <v>1.8652154292191137E-2</v>
      </c>
      <c r="H15" s="215">
        <f ca="1">OFFSET('CCW-1, pg 4'!$J$83,0,H$7)</f>
        <v>1.2932161848924872E-2</v>
      </c>
      <c r="I15" s="215">
        <f ca="1">OFFSET('CCW-1, pg 4'!$J$83,0,I$7)</f>
        <v>1.2329830666397923E-2</v>
      </c>
      <c r="J15" s="215">
        <f ca="1">OFFSET('CCW-1, pg 4'!$J$83,0,J$7)</f>
        <v>6.3284454806675772E-3</v>
      </c>
      <c r="K15" s="215">
        <f ca="1">OFFSET('CCW-1, pg 4'!$J$83,0,K$7)</f>
        <v>1.0946868086919137E-2</v>
      </c>
      <c r="L15" s="215">
        <f ca="1">OFFSET('CCW-1, pg 4'!$J$83,0,L$7)</f>
        <v>1.1184466477554889E-2</v>
      </c>
      <c r="M15" s="215">
        <f ca="1">OFFSET('CCW-1, pg 4'!$J$83,0,M$7)</f>
        <v>1.2855215843490253E-2</v>
      </c>
      <c r="N15" s="215">
        <f ca="1">OFFSET('CCW-1, pg 4'!$J$83,0,N$7)</f>
        <v>1.1641512610985671E-2</v>
      </c>
      <c r="O15" s="215">
        <f ca="1">OFFSET('CCW-1, pg 4'!$J$83,0,O$7)</f>
        <v>9.9522103978335608E-3</v>
      </c>
      <c r="P15" s="215">
        <f ca="1">OFFSET('CCW-1, pg 4'!$J$83,0,P$7)</f>
        <v>1.0855464781905022E-2</v>
      </c>
      <c r="Q15" s="215">
        <f ca="1">OFFSET('CCW-1, pg 4'!$J$83,0,Q$7)</f>
        <v>9.8452771571515552E-3</v>
      </c>
      <c r="R15" s="215">
        <f ca="1">OFFSET('CCW-1, pg 4'!$J$83,0,R$7)</f>
        <v>-1.1822759693231877E-3</v>
      </c>
      <c r="S15" s="211"/>
    </row>
    <row r="16" spans="2:19" x14ac:dyDescent="0.25">
      <c r="B16" s="210"/>
      <c r="C16" s="214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1"/>
    </row>
    <row r="17" spans="2:19" x14ac:dyDescent="0.25">
      <c r="B17" s="210"/>
      <c r="C17" s="214" t="s">
        <v>497</v>
      </c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1"/>
    </row>
    <row r="18" spans="2:19" x14ac:dyDescent="0.25">
      <c r="B18" s="210"/>
      <c r="C18" s="214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1"/>
    </row>
    <row r="19" spans="2:19" x14ac:dyDescent="0.25">
      <c r="B19" s="216"/>
      <c r="C19" s="217" t="s">
        <v>384</v>
      </c>
      <c r="D19" s="217"/>
      <c r="E19" s="21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218"/>
    </row>
  </sheetData>
  <mergeCells count="2">
    <mergeCell ref="C3:R3"/>
    <mergeCell ref="C5:R5"/>
  </mergeCells>
  <printOptions horizontalCentered="1"/>
  <pageMargins left="0.7" right="0.7" top="0.75" bottom="0.75" header="0.3" footer="0.3"/>
  <pageSetup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B124"/>
  <sheetViews>
    <sheetView view="pageLayout" topLeftCell="C1" zoomScale="70" zoomScaleNormal="70" zoomScalePageLayoutView="70" workbookViewId="0">
      <selection activeCell="X17" sqref="X17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40.09765625" customWidth="1"/>
    <col min="6" max="25" width="9" customWidth="1"/>
    <col min="26" max="28" width="8.69921875" customWidth="1"/>
  </cols>
  <sheetData>
    <row r="1" spans="1:28" ht="28.2" x14ac:dyDescent="0.5">
      <c r="C1" s="277" t="str">
        <f>ElectricU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91"/>
      <c r="Z1" s="91"/>
      <c r="AA1" s="91"/>
      <c r="AB1" s="91"/>
    </row>
    <row r="2" spans="1:28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28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28" ht="21" x14ac:dyDescent="0.4">
      <c r="C4" s="278" t="s">
        <v>272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92"/>
      <c r="Z4" s="92"/>
      <c r="AA4" s="92"/>
      <c r="AB4" s="92"/>
    </row>
    <row r="5" spans="1:28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93"/>
      <c r="Z5" s="93"/>
      <c r="AA5" s="93"/>
      <c r="AB5" s="93"/>
    </row>
    <row r="6" spans="1:28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 ht="16.2" x14ac:dyDescent="0.25">
      <c r="C8" s="6"/>
      <c r="D8" s="7"/>
      <c r="E8" s="7"/>
      <c r="F8" s="280" t="s">
        <v>375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</row>
    <row r="9" spans="1:28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109">
        <v>2023</v>
      </c>
      <c r="H9" s="109">
        <v>2022</v>
      </c>
      <c r="I9" s="109">
        <v>2021</v>
      </c>
      <c r="J9" s="109">
        <v>2020</v>
      </c>
      <c r="K9" s="109">
        <v>2019</v>
      </c>
      <c r="L9" s="109">
        <v>2018</v>
      </c>
      <c r="M9" s="109">
        <v>2017</v>
      </c>
      <c r="N9" s="109">
        <v>2016</v>
      </c>
      <c r="O9" s="109">
        <v>2015</v>
      </c>
      <c r="P9" s="109">
        <v>2014</v>
      </c>
      <c r="Q9" s="109">
        <v>2013</v>
      </c>
      <c r="R9" s="109">
        <v>2012</v>
      </c>
      <c r="S9" s="109">
        <v>2011</v>
      </c>
      <c r="T9" s="109">
        <v>2010</v>
      </c>
      <c r="U9" s="109">
        <v>2009</v>
      </c>
      <c r="V9" s="109">
        <v>2008</v>
      </c>
      <c r="W9" s="109">
        <v>2007</v>
      </c>
      <c r="X9" s="109">
        <v>2006</v>
      </c>
    </row>
    <row r="10" spans="1:28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560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</row>
    <row r="11" spans="1:28" hidden="1" x14ac:dyDescent="0.25">
      <c r="A11" s="41"/>
      <c r="B11" s="41"/>
      <c r="C11" s="9"/>
      <c r="D11" s="240"/>
      <c r="E11" s="240"/>
      <c r="F11" s="10"/>
      <c r="G11" s="10"/>
      <c r="H11" s="10"/>
      <c r="I11" s="40">
        <v>2021</v>
      </c>
      <c r="J11" s="40">
        <v>2020</v>
      </c>
      <c r="K11" s="40">
        <v>2019</v>
      </c>
      <c r="L11" s="40">
        <v>2018</v>
      </c>
      <c r="M11" s="40">
        <v>2017</v>
      </c>
      <c r="N11" s="40">
        <v>2016</v>
      </c>
      <c r="O11" s="40">
        <v>2015</v>
      </c>
      <c r="P11" s="40">
        <v>2014</v>
      </c>
      <c r="Q11" s="40">
        <v>2013</v>
      </c>
      <c r="R11" s="40">
        <v>2012</v>
      </c>
      <c r="S11" s="40">
        <v>2011</v>
      </c>
      <c r="T11" s="40">
        <v>2010</v>
      </c>
      <c r="U11" s="40">
        <v>2009</v>
      </c>
      <c r="V11" s="40">
        <v>2008</v>
      </c>
      <c r="W11" s="40">
        <v>2007</v>
      </c>
      <c r="X11" s="40">
        <v>2006</v>
      </c>
    </row>
    <row r="12" spans="1:28" x14ac:dyDescent="0.25">
      <c r="A12" s="41"/>
      <c r="B12" s="41"/>
      <c r="C12" s="9"/>
      <c r="D12" s="90"/>
      <c r="E12" s="90"/>
      <c r="F12" s="12">
        <v>-1</v>
      </c>
      <c r="G12" s="12">
        <f>+F12-1</f>
        <v>-2</v>
      </c>
      <c r="H12" s="12">
        <f>+G12-1</f>
        <v>-3</v>
      </c>
      <c r="I12" s="12">
        <f>+H12-1</f>
        <v>-4</v>
      </c>
      <c r="J12" s="12">
        <f t="shared" ref="J12:V12" si="0">+I12-1</f>
        <v>-5</v>
      </c>
      <c r="K12" s="12">
        <f t="shared" si="0"/>
        <v>-6</v>
      </c>
      <c r="L12" s="12">
        <f t="shared" si="0"/>
        <v>-7</v>
      </c>
      <c r="M12" s="12">
        <f t="shared" si="0"/>
        <v>-8</v>
      </c>
      <c r="N12" s="12">
        <f t="shared" si="0"/>
        <v>-9</v>
      </c>
      <c r="O12" s="12">
        <f t="shared" si="0"/>
        <v>-10</v>
      </c>
      <c r="P12" s="12">
        <f t="shared" si="0"/>
        <v>-11</v>
      </c>
      <c r="Q12" s="12">
        <f t="shared" si="0"/>
        <v>-12</v>
      </c>
      <c r="R12" s="12">
        <f t="shared" si="0"/>
        <v>-13</v>
      </c>
      <c r="S12" s="12">
        <f t="shared" si="0"/>
        <v>-14</v>
      </c>
      <c r="T12" s="12">
        <f t="shared" si="0"/>
        <v>-15</v>
      </c>
      <c r="U12" s="12">
        <f t="shared" si="0"/>
        <v>-16</v>
      </c>
      <c r="V12" s="12">
        <f t="shared" si="0"/>
        <v>-17</v>
      </c>
      <c r="W12" s="12">
        <f>+V12-1</f>
        <v>-18</v>
      </c>
      <c r="X12" s="12">
        <f>+W12-1</f>
        <v>-19</v>
      </c>
    </row>
    <row r="13" spans="1:28" x14ac:dyDescent="0.25">
      <c r="A13" s="42"/>
      <c r="B13" s="43"/>
      <c r="C13" s="9"/>
      <c r="D13" s="14" t="s">
        <v>101</v>
      </c>
      <c r="E13" s="11"/>
      <c r="F13" s="237"/>
      <c r="G13" s="237"/>
      <c r="H13" s="237"/>
      <c r="I13" s="237"/>
      <c r="J13" s="16">
        <f t="shared" ref="J13:X13" ca="1" si="1">MATCH(J10,OFFSET(DIV_MP_WP,-1,0,1,),0)</f>
        <v>6</v>
      </c>
      <c r="K13" s="16">
        <f t="shared" ca="1" si="1"/>
        <v>7</v>
      </c>
      <c r="L13" s="16">
        <f t="shared" ca="1" si="1"/>
        <v>8</v>
      </c>
      <c r="M13" s="16">
        <f t="shared" ca="1" si="1"/>
        <v>9</v>
      </c>
      <c r="N13" s="16">
        <f t="shared" ca="1" si="1"/>
        <v>10</v>
      </c>
      <c r="O13" s="16">
        <f t="shared" ca="1" si="1"/>
        <v>11</v>
      </c>
      <c r="P13" s="16">
        <f t="shared" ca="1" si="1"/>
        <v>12</v>
      </c>
      <c r="Q13" s="16">
        <f t="shared" ca="1" si="1"/>
        <v>13</v>
      </c>
      <c r="R13" s="16">
        <f t="shared" ca="1" si="1"/>
        <v>14</v>
      </c>
      <c r="S13" s="16">
        <f t="shared" ca="1" si="1"/>
        <v>15</v>
      </c>
      <c r="T13" s="16">
        <f t="shared" ca="1" si="1"/>
        <v>16</v>
      </c>
      <c r="U13" s="16">
        <f t="shared" ca="1" si="1"/>
        <v>17</v>
      </c>
      <c r="V13" s="16">
        <f t="shared" ca="1" si="1"/>
        <v>18</v>
      </c>
      <c r="W13" s="16">
        <f t="shared" ca="1" si="1"/>
        <v>19</v>
      </c>
      <c r="X13" s="16">
        <f t="shared" ca="1" si="1"/>
        <v>20</v>
      </c>
      <c r="Y13" s="16"/>
      <c r="Z13" s="16"/>
      <c r="AA13" s="16"/>
      <c r="AB13" s="16"/>
    </row>
    <row r="14" spans="1:28" x14ac:dyDescent="0.25">
      <c r="A14" s="44" t="s">
        <v>0</v>
      </c>
      <c r="B14" s="110">
        <f t="shared" ref="B14:B30" ca="1" si="2">IFERROR(MATCH(A14,OFFSET(DIV_MP_WP,0,0,,1),0),"")</f>
        <v>2</v>
      </c>
      <c r="C14" s="1">
        <f>IF(ISERROR(D14),"",IF(D14="","",MAX($C$13:C13)+1))</f>
        <v>1</v>
      </c>
      <c r="D14" t="str">
        <f t="shared" ref="D14:D58" si="3">VLOOKUP(A14,LUCurYr,2,FALSE)</f>
        <v xml:space="preserve">ALLETE                        </v>
      </c>
      <c r="E14" s="15"/>
      <c r="F14" s="77">
        <f ca="1">IFERROR(AVERAGE(G14:X14),"N/A")</f>
        <v>4.0125457983724772E-2</v>
      </c>
      <c r="G14" s="77">
        <f t="shared" ref="G14:G54" si="4">IFERROR(IF(VLOOKUP($A14,Data2023,24,FALSE)=0,"",VLOOKUP($A14,Data2023,24,FALSE)),"N/A")</f>
        <v>4.6724137931034485E-2</v>
      </c>
      <c r="H14" s="77">
        <f t="shared" ref="H14:H58" si="5">IFERROR(IF(VLOOKUP($A14,Data2022,22,FALSE)=0,"",VLOOKUP($A14,Data2022,22,FALSE)),"N/A")</f>
        <v>4.4673539518900351E-2</v>
      </c>
      <c r="I14" s="77">
        <f t="shared" ref="I14:I58" si="6">IFERROR(IF(VLOOKUP(A14,lucyyr,22,FALSE)=0,"",VLOOKUP(A14,lucyyr,22,FALSE)),"N/A")</f>
        <v>3.879907621247114E-2</v>
      </c>
      <c r="J14" s="77">
        <f t="shared" ref="J14:X29" ca="1" si="7">IFERROR(IF(INDEX(DIV_MP_WP,$B14,J$13)=0,"N/A",INDEX(DIV_MP_WP,$B14,J$13)),"N/A")</f>
        <v>4.0325872230657464E-2</v>
      </c>
      <c r="K14" s="77">
        <f t="shared" ca="1" si="7"/>
        <v>2.8519417475728153E-2</v>
      </c>
      <c r="L14" s="77">
        <f t="shared" ca="1" si="7"/>
        <v>2.9897361290925351E-2</v>
      </c>
      <c r="M14" s="77">
        <f t="shared" ca="1" si="7"/>
        <v>2.9667008622840826E-2</v>
      </c>
      <c r="N14" s="77">
        <f t="shared" ca="1" si="7"/>
        <v>3.5553124572678792E-2</v>
      </c>
      <c r="O14" s="77">
        <f t="shared" ca="1" si="7"/>
        <v>3.9693456474749457E-2</v>
      </c>
      <c r="P14" s="77">
        <f ca="1">IFERROR(IF(INDEX(DIV_MP_WP,$B14,P$13)=0,"N/A",INDEX(DIV_MP_WP,$B14,P$13)),"N/A")</f>
        <v>3.9228244335921862E-2</v>
      </c>
      <c r="Q14" s="77">
        <f t="shared" ca="1" si="7"/>
        <v>3.8852422141790889E-2</v>
      </c>
      <c r="R14" s="77">
        <f t="shared" ca="1" si="7"/>
        <v>4.4906526089715432E-2</v>
      </c>
      <c r="S14" s="77">
        <f t="shared" ca="1" si="7"/>
        <v>4.5811349890618976E-2</v>
      </c>
      <c r="T14" s="77">
        <f t="shared" ca="1" si="7"/>
        <v>5.0304398776688485E-2</v>
      </c>
      <c r="U14" s="77">
        <f t="shared" ca="1" si="7"/>
        <v>5.7909976309555147E-2</v>
      </c>
      <c r="V14" s="77">
        <f t="shared" ca="1" si="7"/>
        <v>4.3730295942235327E-2</v>
      </c>
      <c r="W14" s="77">
        <f t="shared" ca="1" si="7"/>
        <v>3.6023371260378682E-2</v>
      </c>
      <c r="X14" s="77">
        <f t="shared" ca="1" si="7"/>
        <v>3.1638664630154918E-2</v>
      </c>
      <c r="Y14" s="62"/>
      <c r="Z14" s="62"/>
      <c r="AA14" s="62"/>
      <c r="AB14" s="62"/>
    </row>
    <row r="15" spans="1:28" x14ac:dyDescent="0.25">
      <c r="A15" s="44" t="s">
        <v>1</v>
      </c>
      <c r="B15" s="110">
        <f t="shared" ca="1" si="2"/>
        <v>3</v>
      </c>
      <c r="C15" s="1">
        <f>IF(ISERROR(D15),"",IF(D15="","",MAX($C$13:C14)+1))</f>
        <v>2</v>
      </c>
      <c r="D15" t="str">
        <f t="shared" si="3"/>
        <v xml:space="preserve">Alliant Energy                </v>
      </c>
      <c r="E15" s="15"/>
      <c r="F15" s="77">
        <f t="shared" ref="F15:F58" ca="1" si="8">IFERROR(AVERAGE(G15:X15),"N/A")</f>
        <v>3.6078136841477863E-2</v>
      </c>
      <c r="G15" s="77">
        <f t="shared" si="4"/>
        <v>3.5665024630541872E-2</v>
      </c>
      <c r="H15" s="77">
        <f t="shared" si="5"/>
        <v>3.0373001776198932E-2</v>
      </c>
      <c r="I15" s="77">
        <f t="shared" si="6"/>
        <v>2.9732225300092337E-2</v>
      </c>
      <c r="J15" s="77">
        <f t="shared" ca="1" si="7"/>
        <v>2.8980533470609547E-2</v>
      </c>
      <c r="K15" s="77">
        <f t="shared" ca="1" si="7"/>
        <v>2.8807920149314287E-2</v>
      </c>
      <c r="L15" s="77">
        <f t="shared" ca="1" si="7"/>
        <v>3.1970987521771292E-2</v>
      </c>
      <c r="M15" s="77">
        <f t="shared" ca="1" si="7"/>
        <v>3.0742204655248136E-2</v>
      </c>
      <c r="N15" s="77">
        <f t="shared" ca="1" si="7"/>
        <v>3.2064346077552236E-2</v>
      </c>
      <c r="O15" s="77">
        <f t="shared" ca="1" si="7"/>
        <v>3.6017157264005763E-2</v>
      </c>
      <c r="P15" s="77">
        <f t="shared" ca="1" si="7"/>
        <v>3.5306334371754934E-2</v>
      </c>
      <c r="Q15" s="77">
        <f t="shared" ca="1" si="7"/>
        <v>3.7406979983286237E-2</v>
      </c>
      <c r="R15" s="77">
        <f t="shared" ca="1" si="7"/>
        <v>4.0707404224523951E-2</v>
      </c>
      <c r="S15" s="77">
        <f t="shared" ca="1" si="7"/>
        <v>4.2778057372924005E-2</v>
      </c>
      <c r="T15" s="77">
        <f t="shared" ca="1" si="7"/>
        <v>4.6064139941690965E-2</v>
      </c>
      <c r="U15" s="77">
        <f t="shared" ca="1" si="7"/>
        <v>5.7256279105275212E-2</v>
      </c>
      <c r="V15" s="77">
        <f t="shared" ca="1" si="7"/>
        <v>4.1031652989449004E-2</v>
      </c>
      <c r="W15" s="77">
        <f t="shared" ca="1" si="7"/>
        <v>3.131318112332955E-2</v>
      </c>
      <c r="X15" s="77">
        <f t="shared" ca="1" si="7"/>
        <v>3.3189033189033185E-2</v>
      </c>
      <c r="Y15" s="62"/>
      <c r="Z15" s="62"/>
      <c r="AA15" s="62"/>
      <c r="AB15" s="62"/>
    </row>
    <row r="16" spans="1:28" x14ac:dyDescent="0.25">
      <c r="A16" s="44" t="s">
        <v>3</v>
      </c>
      <c r="B16" s="110">
        <f t="shared" ca="1" si="2"/>
        <v>6</v>
      </c>
      <c r="C16" s="1">
        <f>IF(ISERROR(D16),"",IF(D16="","",MAX($C$13:C15)+1))</f>
        <v>3</v>
      </c>
      <c r="D16" t="str">
        <f t="shared" si="3"/>
        <v xml:space="preserve">Ameren Corp.                  </v>
      </c>
      <c r="E16" s="15"/>
      <c r="F16" s="77">
        <f t="shared" ca="1" si="8"/>
        <v>4.1128022819371252E-2</v>
      </c>
      <c r="G16" s="77">
        <f t="shared" si="4"/>
        <v>3.1323803604723428E-2</v>
      </c>
      <c r="H16" s="77">
        <f t="shared" si="5"/>
        <v>2.736231884057971E-2</v>
      </c>
      <c r="I16" s="77">
        <f t="shared" si="6"/>
        <v>2.7397260273972605E-2</v>
      </c>
      <c r="J16" s="77">
        <f t="shared" ca="1" si="7"/>
        <v>2.5701655186594015E-2</v>
      </c>
      <c r="K16" s="77">
        <f t="shared" ca="1" si="7"/>
        <v>2.5946296571575291E-2</v>
      </c>
      <c r="L16" s="77">
        <f t="shared" ca="1" si="7"/>
        <v>3.0439294361812523E-2</v>
      </c>
      <c r="M16" s="77">
        <f t="shared" ca="1" si="7"/>
        <v>3.1165644171779142E-2</v>
      </c>
      <c r="N16" s="77">
        <f t="shared" ca="1" si="7"/>
        <v>3.498001142204455E-2</v>
      </c>
      <c r="O16" s="77">
        <f t="shared" ca="1" si="7"/>
        <v>3.9633124191771632E-2</v>
      </c>
      <c r="P16" s="77">
        <f t="shared" ca="1" si="7"/>
        <v>4.0154632747225347E-2</v>
      </c>
      <c r="Q16" s="77">
        <f t="shared" ca="1" si="7"/>
        <v>4.6129450771226752E-2</v>
      </c>
      <c r="R16" s="77">
        <f t="shared" ca="1" si="7"/>
        <v>4.9724958821518478E-2</v>
      </c>
      <c r="S16" s="77">
        <f t="shared" ca="1" si="7"/>
        <v>5.275299385961936E-2</v>
      </c>
      <c r="T16" s="77">
        <f t="shared" ca="1" si="7"/>
        <v>5.7585162472422693E-2</v>
      </c>
      <c r="U16" s="77">
        <f t="shared" ca="1" si="7"/>
        <v>5.9817440279665957E-2</v>
      </c>
      <c r="V16" s="77">
        <f t="shared" ca="1" si="7"/>
        <v>6.2085991542616896E-2</v>
      </c>
      <c r="W16" s="77">
        <f t="shared" ca="1" si="7"/>
        <v>4.8846153846153845E-2</v>
      </c>
      <c r="X16" s="77">
        <f t="shared" ca="1" si="7"/>
        <v>4.9258217783380201E-2</v>
      </c>
      <c r="Y16" s="62"/>
      <c r="Z16" s="62"/>
      <c r="AA16" s="62"/>
      <c r="AB16" s="62"/>
    </row>
    <row r="17" spans="1:28" x14ac:dyDescent="0.25">
      <c r="A17" s="44" t="s">
        <v>2</v>
      </c>
      <c r="B17" s="110">
        <f t="shared" ca="1" si="2"/>
        <v>7</v>
      </c>
      <c r="C17" s="1">
        <f>IF(ISERROR(D17),"",IF(D17="","",MAX($C$13:C16)+1))</f>
        <v>4</v>
      </c>
      <c r="D17" t="str">
        <f t="shared" si="3"/>
        <v>American Electric Power</v>
      </c>
      <c r="E17" s="15"/>
      <c r="F17" s="77">
        <f t="shared" ca="1" si="8"/>
        <v>3.9688896929592453E-2</v>
      </c>
      <c r="G17" s="77">
        <f t="shared" si="4"/>
        <v>4.0190816935002989E-2</v>
      </c>
      <c r="H17" s="77">
        <f t="shared" si="5"/>
        <v>3.4104357181280263E-2</v>
      </c>
      <c r="I17" s="77">
        <f t="shared" si="6"/>
        <v>3.6079374624173176E-2</v>
      </c>
      <c r="J17" s="77">
        <f t="shared" ca="1" si="7"/>
        <v>3.2832369942196529E-2</v>
      </c>
      <c r="K17" s="77">
        <f t="shared" ca="1" si="7"/>
        <v>3.102390328784687E-2</v>
      </c>
      <c r="L17" s="77">
        <f t="shared" ca="1" si="7"/>
        <v>3.5959974984365227E-2</v>
      </c>
      <c r="M17" s="77">
        <f t="shared" ca="1" si="7"/>
        <v>3.4157007903274215E-2</v>
      </c>
      <c r="N17" s="77">
        <f t="shared" ca="1" si="7"/>
        <v>3.540457920019964E-2</v>
      </c>
      <c r="O17" s="77">
        <f t="shared" ca="1" si="7"/>
        <v>3.7978484746780658E-2</v>
      </c>
      <c r="P17" s="77">
        <f t="shared" ca="1" si="7"/>
        <v>3.8283828382838281E-2</v>
      </c>
      <c r="Q17" s="77">
        <f t="shared" ca="1" si="7"/>
        <v>4.2307608860732031E-2</v>
      </c>
      <c r="R17" s="77">
        <f t="shared" ca="1" si="7"/>
        <v>4.582459903475844E-2</v>
      </c>
      <c r="S17" s="77">
        <f t="shared" ca="1" si="7"/>
        <v>4.9593866445058046E-2</v>
      </c>
      <c r="T17" s="77">
        <f t="shared" ca="1" si="7"/>
        <v>4.9022418439309677E-2</v>
      </c>
      <c r="U17" s="77">
        <f t="shared" ca="1" si="7"/>
        <v>5.5042792414834694E-2</v>
      </c>
      <c r="V17" s="77">
        <f t="shared" ca="1" si="7"/>
        <v>4.1996363729481956E-2</v>
      </c>
      <c r="W17" s="77">
        <f t="shared" ca="1" si="7"/>
        <v>3.3959506512487643E-2</v>
      </c>
      <c r="X17" s="77">
        <f t="shared" ca="1" si="7"/>
        <v>4.0638292108043671E-2</v>
      </c>
      <c r="Y17" s="62"/>
      <c r="Z17" s="62"/>
      <c r="AA17" s="62"/>
      <c r="AB17" s="62"/>
    </row>
    <row r="18" spans="1:28" x14ac:dyDescent="0.25">
      <c r="A18" s="44" t="s">
        <v>260</v>
      </c>
      <c r="B18" s="110">
        <f t="shared" ca="1" si="2"/>
        <v>10</v>
      </c>
      <c r="C18" s="1">
        <f>IF(ISERROR(D18),"",IF(D18="","",MAX($C$13:C17)+1))</f>
        <v>5</v>
      </c>
      <c r="D18" t="str">
        <f t="shared" si="3"/>
        <v>Avangrid, Inc.</v>
      </c>
      <c r="E18" s="15"/>
      <c r="F18" s="77">
        <f t="shared" ca="1" si="8"/>
        <v>3.8869343477960144E-2</v>
      </c>
      <c r="G18" s="77">
        <f t="shared" si="4"/>
        <v>4.8686030428769018E-2</v>
      </c>
      <c r="H18" s="77">
        <f t="shared" si="5"/>
        <v>3.9417693169092938E-2</v>
      </c>
      <c r="I18" s="77">
        <f t="shared" si="6"/>
        <v>3.5341365461847393E-2</v>
      </c>
      <c r="J18" s="77">
        <f t="shared" ca="1" si="7"/>
        <v>3.6947622546446943E-2</v>
      </c>
      <c r="K18" s="77">
        <f t="shared" ca="1" si="7"/>
        <v>3.5159215310240119E-2</v>
      </c>
      <c r="L18" s="77">
        <f t="shared" ca="1" si="7"/>
        <v>3.4865356550248895E-2</v>
      </c>
      <c r="M18" s="77">
        <f t="shared" ca="1" si="7"/>
        <v>3.7949663987350113E-2</v>
      </c>
      <c r="N18" s="77">
        <f t="shared" ca="1" si="7"/>
        <v>4.2587800369685763E-2</v>
      </c>
      <c r="O18" s="77" t="str">
        <f t="shared" ca="1" si="7"/>
        <v>N/A</v>
      </c>
      <c r="P18" s="77" t="str">
        <f t="shared" ca="1" si="7"/>
        <v>N/A</v>
      </c>
      <c r="Q18" s="77" t="str">
        <f t="shared" ca="1" si="7"/>
        <v>N/A</v>
      </c>
      <c r="R18" s="77" t="str">
        <f t="shared" ca="1" si="7"/>
        <v>N/A</v>
      </c>
      <c r="S18" s="77" t="str">
        <f t="shared" ca="1" si="7"/>
        <v>N/A</v>
      </c>
      <c r="T18" s="77" t="str">
        <f t="shared" ca="1" si="7"/>
        <v>N/A</v>
      </c>
      <c r="U18" s="77" t="str">
        <f t="shared" ca="1" si="7"/>
        <v>N/A</v>
      </c>
      <c r="V18" s="77" t="str">
        <f t="shared" ca="1" si="7"/>
        <v>N/A</v>
      </c>
      <c r="W18" s="77" t="str">
        <f t="shared" ca="1" si="7"/>
        <v>N/A</v>
      </c>
      <c r="X18" s="77" t="str">
        <f t="shared" ca="1" si="7"/>
        <v>N/A</v>
      </c>
      <c r="Y18" s="62"/>
      <c r="Z18" s="62"/>
      <c r="AA18" s="62"/>
      <c r="AB18" s="62"/>
    </row>
    <row r="19" spans="1:28" x14ac:dyDescent="0.25">
      <c r="A19" s="44" t="s">
        <v>4</v>
      </c>
      <c r="B19" s="110">
        <f t="shared" ca="1" si="2"/>
        <v>11</v>
      </c>
      <c r="C19" s="1">
        <f>IF(ISERROR(D19),"",IF(D19="","",MAX($C$13:C18)+1))</f>
        <v>6</v>
      </c>
      <c r="D19" t="str">
        <f t="shared" si="3"/>
        <v xml:space="preserve">Avista Corp.                  </v>
      </c>
      <c r="E19" s="15"/>
      <c r="F19" s="77">
        <f t="shared" ca="1" si="8"/>
        <v>3.8568646757055632E-2</v>
      </c>
      <c r="G19" s="77">
        <f t="shared" si="4"/>
        <v>4.8548812664907653E-2</v>
      </c>
      <c r="H19" s="77">
        <f t="shared" si="5"/>
        <v>4.2615012106537536E-2</v>
      </c>
      <c r="I19" s="77">
        <f t="shared" si="6"/>
        <v>3.9393939393939391E-2</v>
      </c>
      <c r="J19" s="77">
        <f t="shared" ca="1" si="7"/>
        <v>4.0265453732011042E-2</v>
      </c>
      <c r="K19" s="77">
        <f t="shared" ca="1" si="7"/>
        <v>3.4833809020832864E-2</v>
      </c>
      <c r="L19" s="77">
        <f t="shared" ca="1" si="7"/>
        <v>2.932839933863475E-2</v>
      </c>
      <c r="M19" s="77">
        <f t="shared" ca="1" si="7"/>
        <v>3.137478608100399E-2</v>
      </c>
      <c r="N19" s="77">
        <f t="shared" ca="1" si="7"/>
        <v>3.3903338365215675E-2</v>
      </c>
      <c r="O19" s="77">
        <f t="shared" ca="1" si="7"/>
        <v>3.9675383228133451E-2</v>
      </c>
      <c r="P19" s="77">
        <f t="shared" ca="1" si="7"/>
        <v>3.9938362841598796E-2</v>
      </c>
      <c r="Q19" s="77">
        <f t="shared" ca="1" si="7"/>
        <v>4.5061682795301761E-2</v>
      </c>
      <c r="R19" s="77">
        <f t="shared" ca="1" si="7"/>
        <v>4.5540201005025122E-2</v>
      </c>
      <c r="S19" s="77">
        <f t="shared" ca="1" si="7"/>
        <v>4.5428264640290747E-2</v>
      </c>
      <c r="T19" s="77">
        <f t="shared" ca="1" si="7"/>
        <v>4.7573739295908662E-2</v>
      </c>
      <c r="U19" s="77">
        <f t="shared" ca="1" si="7"/>
        <v>4.4907689748849594E-2</v>
      </c>
      <c r="V19" s="77">
        <f t="shared" ca="1" si="7"/>
        <v>3.388665160593262E-2</v>
      </c>
      <c r="W19" s="77">
        <f t="shared" ca="1" si="7"/>
        <v>2.6765632028789923E-2</v>
      </c>
      <c r="X19" s="77">
        <f t="shared" ca="1" si="7"/>
        <v>2.5194483734087694E-2</v>
      </c>
      <c r="Y19" s="62"/>
      <c r="Z19" s="62"/>
      <c r="AA19" s="62"/>
      <c r="AB19" s="62"/>
    </row>
    <row r="20" spans="1:28" x14ac:dyDescent="0.25">
      <c r="A20" s="44" t="s">
        <v>5</v>
      </c>
      <c r="B20" s="110">
        <f t="shared" ca="1" si="2"/>
        <v>12</v>
      </c>
      <c r="C20" s="1">
        <f>IF(ISERROR(D20),"",IF(D20="","",MAX($C$13:C19)+1))</f>
        <v>7</v>
      </c>
      <c r="D20" t="str">
        <f t="shared" si="3"/>
        <v xml:space="preserve">Black Hills                   </v>
      </c>
      <c r="E20" s="15"/>
      <c r="F20" s="77">
        <f t="shared" ca="1" si="8"/>
        <v>3.7304129118602342E-2</v>
      </c>
      <c r="G20" s="77">
        <f t="shared" si="4"/>
        <v>4.1528239202657809E-2</v>
      </c>
      <c r="H20" s="77">
        <f t="shared" si="5"/>
        <v>3.4428571428571433E-2</v>
      </c>
      <c r="I20" s="77">
        <f t="shared" si="6"/>
        <v>3.4961832061068704E-2</v>
      </c>
      <c r="J20" s="77">
        <f t="shared" ca="1" si="7"/>
        <v>3.4230908775416839E-2</v>
      </c>
      <c r="K20" s="77">
        <f t="shared" ca="1" si="7"/>
        <v>2.7421080791867305E-2</v>
      </c>
      <c r="L20" s="77">
        <f t="shared" ca="1" si="7"/>
        <v>3.3063797711231413E-2</v>
      </c>
      <c r="M20" s="77">
        <f t="shared" ca="1" si="7"/>
        <v>2.7492557263503251E-2</v>
      </c>
      <c r="N20" s="77">
        <f t="shared" ca="1" si="7"/>
        <v>2.8659649601664988E-2</v>
      </c>
      <c r="O20" s="77">
        <f t="shared" ca="1" si="7"/>
        <v>3.5473416834544982E-2</v>
      </c>
      <c r="P20" s="77">
        <f t="shared" ca="1" si="7"/>
        <v>2.8366215110464589E-2</v>
      </c>
      <c r="Q20" s="77">
        <f t="shared" ca="1" si="7"/>
        <v>3.1932773109243695E-2</v>
      </c>
      <c r="R20" s="77">
        <f t="shared" ca="1" si="7"/>
        <v>4.3853151204480127E-2</v>
      </c>
      <c r="S20" s="77">
        <f t="shared" ca="1" si="7"/>
        <v>4.6437659033078879E-2</v>
      </c>
      <c r="T20" s="77">
        <f t="shared" ca="1" si="7"/>
        <v>4.7936085219707054E-2</v>
      </c>
      <c r="U20" s="77">
        <f t="shared" ca="1" si="7"/>
        <v>6.1664061142956403E-2</v>
      </c>
      <c r="V20" s="77">
        <f t="shared" ca="1" si="7"/>
        <v>4.2115396185548402E-2</v>
      </c>
      <c r="W20" s="77">
        <f t="shared" ca="1" si="7"/>
        <v>3.4027967511984301E-2</v>
      </c>
      <c r="X20" s="77">
        <f t="shared" ca="1" si="7"/>
        <v>3.7880961946851865E-2</v>
      </c>
      <c r="Y20" s="62"/>
      <c r="Z20" s="62"/>
      <c r="AA20" s="62"/>
      <c r="AB20" s="62"/>
    </row>
    <row r="21" spans="1:28" x14ac:dyDescent="0.25">
      <c r="A21" s="44" t="s">
        <v>6</v>
      </c>
      <c r="B21" s="110">
        <f t="shared" ca="1" si="2"/>
        <v>14</v>
      </c>
      <c r="C21" s="1">
        <f>IF(ISERROR(D21),"",IF(D21="","",MAX($C$13:C20)+1))</f>
        <v>8</v>
      </c>
      <c r="D21" t="str">
        <f t="shared" si="3"/>
        <v xml:space="preserve">CenterPoint Energy            </v>
      </c>
      <c r="E21" s="15"/>
      <c r="F21" s="77">
        <f t="shared" ca="1" si="8"/>
        <v>4.1472317662387279E-2</v>
      </c>
      <c r="G21" s="77">
        <f t="shared" si="4"/>
        <v>2.671353251318102E-2</v>
      </c>
      <c r="H21" s="77">
        <f t="shared" si="5"/>
        <v>2.4615384615384615E-2</v>
      </c>
      <c r="I21" s="77">
        <f t="shared" si="6"/>
        <v>2.7672955974842768E-2</v>
      </c>
      <c r="J21" s="77">
        <f t="shared" ca="1" si="7"/>
        <v>4.3816942551119772E-2</v>
      </c>
      <c r="K21" s="77">
        <f t="shared" ca="1" si="7"/>
        <v>2.9775048302511729E-2</v>
      </c>
      <c r="L21" s="77">
        <f t="shared" ca="1" si="7"/>
        <v>4.0922211260915636E-2</v>
      </c>
      <c r="M21" s="77">
        <f t="shared" ca="1" si="7"/>
        <v>4.7945936332918375E-2</v>
      </c>
      <c r="N21" s="77">
        <f t="shared" ca="1" si="7"/>
        <v>4.701049748973072E-2</v>
      </c>
      <c r="O21" s="77">
        <f t="shared" ca="1" si="7"/>
        <v>5.0649749309321604E-2</v>
      </c>
      <c r="P21" s="77">
        <f t="shared" ca="1" si="7"/>
        <v>3.94469127600382E-2</v>
      </c>
      <c r="Q21" s="77">
        <f t="shared" ca="1" si="7"/>
        <v>3.5705067538501251E-2</v>
      </c>
      <c r="R21" s="77">
        <f t="shared" ca="1" si="7"/>
        <v>4.0413111809609346E-2</v>
      </c>
      <c r="S21" s="77">
        <f t="shared" ca="1" si="7"/>
        <v>4.267963263101026E-2</v>
      </c>
      <c r="T21" s="77">
        <f t="shared" ca="1" si="7"/>
        <v>5.2895700528957007E-2</v>
      </c>
      <c r="U21" s="77">
        <f t="shared" ca="1" si="7"/>
        <v>6.3731656184486368E-2</v>
      </c>
      <c r="V21" s="77">
        <f t="shared" ca="1" si="7"/>
        <v>4.9815749965879626E-2</v>
      </c>
      <c r="W21" s="77">
        <f t="shared" ca="1" si="7"/>
        <v>3.8742023701002735E-2</v>
      </c>
      <c r="X21" s="77">
        <f t="shared" ca="1" si="7"/>
        <v>4.3949604453559922E-2</v>
      </c>
      <c r="Y21" s="62"/>
      <c r="Z21" s="62"/>
      <c r="AA21" s="62"/>
      <c r="AB21" s="62"/>
    </row>
    <row r="22" spans="1:28" x14ac:dyDescent="0.25">
      <c r="A22" s="44" t="s">
        <v>9</v>
      </c>
      <c r="B22" s="110">
        <f t="shared" ca="1" si="2"/>
        <v>18</v>
      </c>
      <c r="C22" s="1">
        <f>IF(ISERROR(D22),"",IF(D22="","",MAX($C$13:C21)+1))</f>
        <v>9</v>
      </c>
      <c r="D22" t="str">
        <f t="shared" si="3"/>
        <v xml:space="preserve">CMS Energy Corp.              </v>
      </c>
      <c r="E22" s="15"/>
      <c r="F22" s="77">
        <f t="shared" ca="1" si="8"/>
        <v>3.1960571045113489E-2</v>
      </c>
      <c r="G22" s="77">
        <f t="shared" si="4"/>
        <v>3.3737024221453291E-2</v>
      </c>
      <c r="H22" s="77">
        <f t="shared" si="5"/>
        <v>2.916006339144216E-2</v>
      </c>
      <c r="I22" s="77">
        <f t="shared" si="6"/>
        <v>2.9243697478991595E-2</v>
      </c>
      <c r="J22" s="77">
        <f t="shared" ca="1" si="7"/>
        <v>2.6476942319250196E-2</v>
      </c>
      <c r="K22" s="77">
        <f t="shared" ca="1" si="7"/>
        <v>2.6365218590063931E-2</v>
      </c>
      <c r="L22" s="77">
        <f t="shared" ca="1" si="7"/>
        <v>3.0344827586206897E-2</v>
      </c>
      <c r="M22" s="77">
        <f t="shared" ca="1" si="7"/>
        <v>2.8753648254242783E-2</v>
      </c>
      <c r="N22" s="77">
        <f t="shared" ca="1" si="7"/>
        <v>2.9903296597294234E-2</v>
      </c>
      <c r="O22" s="77">
        <f t="shared" ca="1" si="7"/>
        <v>3.3555105582875326E-2</v>
      </c>
      <c r="P22" s="77">
        <f t="shared" ca="1" si="7"/>
        <v>3.5880398671096346E-2</v>
      </c>
      <c r="Q22" s="77">
        <f t="shared" ca="1" si="7"/>
        <v>3.7643932683790966E-2</v>
      </c>
      <c r="R22" s="77">
        <f t="shared" ca="1" si="7"/>
        <v>4.1637751561415678E-2</v>
      </c>
      <c r="S22" s="77">
        <f t="shared" ca="1" si="7"/>
        <v>4.2548880559213853E-2</v>
      </c>
      <c r="T22" s="77">
        <f t="shared" ca="1" si="7"/>
        <v>3.9838232631134181E-2</v>
      </c>
      <c r="U22" s="77">
        <f t="shared" ca="1" si="7"/>
        <v>3.9660506068057433E-2</v>
      </c>
      <c r="V22" s="77">
        <f t="shared" ca="1" si="7"/>
        <v>2.6936026936026935E-2</v>
      </c>
      <c r="W22" s="77">
        <f t="shared" ca="1" si="7"/>
        <v>1.1644154634373547E-2</v>
      </c>
      <c r="X22" s="77" t="str">
        <f t="shared" ca="1" si="7"/>
        <v>N/A</v>
      </c>
      <c r="Y22" s="62"/>
      <c r="Z22" s="62"/>
      <c r="AA22" s="62"/>
      <c r="AB22" s="62"/>
    </row>
    <row r="23" spans="1:28" x14ac:dyDescent="0.25">
      <c r="A23" s="44" t="s">
        <v>10</v>
      </c>
      <c r="B23" s="110">
        <f t="shared" ca="1" si="2"/>
        <v>20</v>
      </c>
      <c r="C23" s="1">
        <f>IF(ISERROR(D23),"",IF(D23="","",MAX($C$13:C22)+1))</f>
        <v>10</v>
      </c>
      <c r="D23" t="str">
        <f t="shared" si="3"/>
        <v xml:space="preserve">Consol. Edison                </v>
      </c>
      <c r="E23" s="15"/>
      <c r="F23" s="77">
        <f t="shared" ca="1" si="8"/>
        <v>4.28628394037757E-2</v>
      </c>
      <c r="G23" s="77">
        <f t="shared" si="4"/>
        <v>3.5722160970231537E-2</v>
      </c>
      <c r="H23" s="77">
        <f t="shared" si="5"/>
        <v>3.5052689961175817E-2</v>
      </c>
      <c r="I23" s="77">
        <f t="shared" si="6"/>
        <v>4.100529100529101E-2</v>
      </c>
      <c r="J23" s="77">
        <f t="shared" ca="1" si="7"/>
        <v>3.8687654086857579E-2</v>
      </c>
      <c r="K23" s="77">
        <f t="shared" ca="1" si="7"/>
        <v>3.4377431680661534E-2</v>
      </c>
      <c r="L23" s="77">
        <f t="shared" ca="1" si="7"/>
        <v>3.6760925449871466E-2</v>
      </c>
      <c r="M23" s="77">
        <f t="shared" ca="1" si="7"/>
        <v>3.4042973086316201E-2</v>
      </c>
      <c r="N23" s="77">
        <f t="shared" ca="1" si="7"/>
        <v>3.6177594189986374E-2</v>
      </c>
      <c r="O23" s="77">
        <f t="shared" ca="1" si="7"/>
        <v>4.1181594994852307E-2</v>
      </c>
      <c r="P23" s="77">
        <f t="shared" ca="1" si="7"/>
        <v>4.3778121362680888E-2</v>
      </c>
      <c r="Q23" s="77">
        <f t="shared" ca="1" si="7"/>
        <v>4.2515684139575884E-2</v>
      </c>
      <c r="R23" s="77">
        <f t="shared" ca="1" si="7"/>
        <v>4.0736625930040737E-2</v>
      </c>
      <c r="S23" s="77">
        <f t="shared" ca="1" si="7"/>
        <v>4.4593916646537467E-2</v>
      </c>
      <c r="T23" s="77">
        <f t="shared" ca="1" si="7"/>
        <v>5.1581023384842113E-2</v>
      </c>
      <c r="U23" s="77">
        <f t="shared" ca="1" si="7"/>
        <v>5.990912090980631E-2</v>
      </c>
      <c r="V23" s="77">
        <f t="shared" ca="1" si="7"/>
        <v>5.6687419753385489E-2</v>
      </c>
      <c r="W23" s="77">
        <f t="shared" ca="1" si="7"/>
        <v>4.8370619018827006E-2</v>
      </c>
      <c r="X23" s="77">
        <f t="shared" ca="1" si="7"/>
        <v>5.0350262697022766E-2</v>
      </c>
      <c r="Y23" s="62"/>
      <c r="Z23" s="62"/>
      <c r="AA23" s="62"/>
      <c r="AB23" s="62"/>
    </row>
    <row r="24" spans="1:28" x14ac:dyDescent="0.25">
      <c r="A24" s="44" t="s">
        <v>11</v>
      </c>
      <c r="B24" s="110">
        <f t="shared" ca="1" si="2"/>
        <v>22</v>
      </c>
      <c r="C24" s="1">
        <f>IF(ISERROR(D24),"",IF(D24="","",MAX($C$13:C23)+1))</f>
        <v>11</v>
      </c>
      <c r="D24" t="str">
        <f t="shared" si="3"/>
        <v xml:space="preserve">Dominion Resources            </v>
      </c>
      <c r="E24" s="15"/>
      <c r="F24" s="77">
        <f t="shared" ca="1" si="8"/>
        <v>4.0593023386850217E-2</v>
      </c>
      <c r="G24" s="77">
        <f t="shared" si="4"/>
        <v>5.1794374393792433E-2</v>
      </c>
      <c r="H24" s="77">
        <f t="shared" si="5"/>
        <v>3.6575342465753426E-2</v>
      </c>
      <c r="I24" s="77">
        <f t="shared" si="6"/>
        <v>3.3825503355704702E-2</v>
      </c>
      <c r="J24" s="77">
        <f t="shared" ca="1" si="7"/>
        <v>4.3138480775242266E-2</v>
      </c>
      <c r="K24" s="77">
        <f t="shared" ca="1" si="7"/>
        <v>4.759619749179711E-2</v>
      </c>
      <c r="L24" s="77">
        <f t="shared" ca="1" si="7"/>
        <v>4.7150500444682858E-2</v>
      </c>
      <c r="M24" s="77">
        <f t="shared" ca="1" si="7"/>
        <v>3.8776527105239621E-2</v>
      </c>
      <c r="N24" s="77">
        <f t="shared" ref="N24:X34" ca="1" si="9">IFERROR(IF(INDEX(DIV_MP_WP,$B24,N$13)=0,"N/A",INDEX(DIV_MP_WP,$B24,N$13)),"N/A")</f>
        <v>3.8168979525068834E-2</v>
      </c>
      <c r="O24" s="77">
        <f t="shared" ca="1" si="9"/>
        <v>3.656281321908042E-2</v>
      </c>
      <c r="P24" s="77">
        <f t="shared" ca="1" si="9"/>
        <v>3.4253418205691777E-2</v>
      </c>
      <c r="Q24" s="77">
        <f t="shared" ca="1" si="9"/>
        <v>3.7836747048733729E-2</v>
      </c>
      <c r="R24" s="77">
        <f t="shared" ca="1" si="9"/>
        <v>4.0570681433625591E-2</v>
      </c>
      <c r="S24" s="77">
        <f t="shared" ca="1" si="9"/>
        <v>4.132924936013091E-2</v>
      </c>
      <c r="T24" s="77">
        <f t="shared" ca="1" si="9"/>
        <v>4.413147804278101E-2</v>
      </c>
      <c r="U24" s="77">
        <f t="shared" ca="1" si="9"/>
        <v>5.2022949552602629E-2</v>
      </c>
      <c r="V24" s="77">
        <f t="shared" ca="1" si="9"/>
        <v>3.7717832418238242E-2</v>
      </c>
      <c r="W24" s="77">
        <f t="shared" ca="1" si="9"/>
        <v>3.3232422097284497E-2</v>
      </c>
      <c r="X24" s="77">
        <f t="shared" ca="1" si="9"/>
        <v>3.5990924027853838E-2</v>
      </c>
      <c r="Y24" s="62"/>
      <c r="Z24" s="62"/>
      <c r="AA24" s="62"/>
      <c r="AB24" s="62"/>
    </row>
    <row r="25" spans="1:28" x14ac:dyDescent="0.25">
      <c r="A25" s="44" t="s">
        <v>12</v>
      </c>
      <c r="B25" s="110">
        <f t="shared" ca="1" si="2"/>
        <v>23</v>
      </c>
      <c r="C25" s="1">
        <f>IF(ISERROR(D25),"",IF(D25="","",MAX($C$13:C24)+1))</f>
        <v>12</v>
      </c>
      <c r="D25" t="str">
        <f t="shared" si="3"/>
        <v xml:space="preserve">DTE Energy                    </v>
      </c>
      <c r="E25" s="15"/>
      <c r="F25" s="77">
        <f t="shared" ca="1" si="8"/>
        <v>3.9810181015688312E-2</v>
      </c>
      <c r="G25" s="77">
        <f t="shared" si="4"/>
        <v>3.6707663197729425E-2</v>
      </c>
      <c r="H25" s="77">
        <f t="shared" si="5"/>
        <v>3.1663685152057246E-2</v>
      </c>
      <c r="I25" s="77">
        <f t="shared" si="6"/>
        <v>3.0599369085173498E-2</v>
      </c>
      <c r="J25" s="77">
        <f t="shared" ca="1" si="7"/>
        <v>3.5696338526053126E-2</v>
      </c>
      <c r="K25" s="77">
        <f t="shared" ca="1" si="7"/>
        <v>3.0699061485834577E-2</v>
      </c>
      <c r="L25" s="77">
        <f t="shared" ca="1" si="7"/>
        <v>3.342831070637093E-2</v>
      </c>
      <c r="M25" s="77">
        <f t="shared" ca="1" si="7"/>
        <v>3.1538338793095352E-2</v>
      </c>
      <c r="N25" s="77">
        <f t="shared" ca="1" si="9"/>
        <v>3.3403925507062858E-2</v>
      </c>
      <c r="O25" s="77">
        <f t="shared" ca="1" si="9"/>
        <v>3.5313281026571997E-2</v>
      </c>
      <c r="P25" s="77">
        <f t="shared" ca="1" si="9"/>
        <v>3.5370070871628995E-2</v>
      </c>
      <c r="Q25" s="77">
        <f t="shared" ca="1" si="9"/>
        <v>3.8449547958017243E-2</v>
      </c>
      <c r="R25" s="77">
        <f t="shared" ca="1" si="9"/>
        <v>4.1889529348635129E-2</v>
      </c>
      <c r="S25" s="77">
        <f t="shared" ca="1" si="9"/>
        <v>4.6794005526533407E-2</v>
      </c>
      <c r="T25" s="77">
        <f t="shared" ca="1" si="9"/>
        <v>4.7521471857697173E-2</v>
      </c>
      <c r="U25" s="77">
        <f t="shared" ca="1" si="9"/>
        <v>6.2855787476280831E-2</v>
      </c>
      <c r="V25" s="77">
        <f t="shared" ca="1" si="9"/>
        <v>5.2431122322797653E-2</v>
      </c>
      <c r="W25" s="77">
        <f t="shared" ca="1" si="9"/>
        <v>4.3634866728414122E-2</v>
      </c>
      <c r="X25" s="77">
        <f t="shared" ca="1" si="9"/>
        <v>4.8586882712435907E-2</v>
      </c>
      <c r="Y25" s="62"/>
      <c r="Z25" s="62"/>
      <c r="AA25" s="62"/>
      <c r="AB25" s="62"/>
    </row>
    <row r="26" spans="1:28" x14ac:dyDescent="0.25">
      <c r="A26" s="44" t="s">
        <v>13</v>
      </c>
      <c r="B26" s="110">
        <f t="shared" ca="1" si="2"/>
        <v>24</v>
      </c>
      <c r="C26" s="1">
        <f>IF(ISERROR(D26),"",IF(D26="","",MAX($C$13:C25)+1))</f>
        <v>13</v>
      </c>
      <c r="D26" t="str">
        <f t="shared" si="3"/>
        <v xml:space="preserve">Duke Energy                   </v>
      </c>
      <c r="E26" s="15"/>
      <c r="F26" s="77">
        <f t="shared" ca="1" si="8"/>
        <v>4.602652946831659E-2</v>
      </c>
      <c r="G26" s="77">
        <f t="shared" si="4"/>
        <v>4.2849604221635883E-2</v>
      </c>
      <c r="H26" s="77">
        <f t="shared" si="5"/>
        <v>3.9780109945027488E-2</v>
      </c>
      <c r="I26" s="77">
        <f t="shared" si="6"/>
        <v>4.0206185567010305E-2</v>
      </c>
      <c r="J26" s="77">
        <f t="shared" ca="1" si="7"/>
        <v>4.35109460783197E-2</v>
      </c>
      <c r="K26" s="77">
        <f t="shared" ca="1" si="7"/>
        <v>4.1715864281417783E-2</v>
      </c>
      <c r="L26" s="77">
        <f t="shared" ca="1" si="7"/>
        <v>4.5398421032938799E-2</v>
      </c>
      <c r="M26" s="77">
        <f t="shared" ca="1" si="7"/>
        <v>4.1504632107222279E-2</v>
      </c>
      <c r="N26" s="77">
        <f t="shared" ca="1" si="9"/>
        <v>4.2616338799893454E-2</v>
      </c>
      <c r="O26" s="77">
        <f t="shared" ca="1" si="9"/>
        <v>4.3376978070527754E-2</v>
      </c>
      <c r="P26" s="77">
        <f t="shared" ca="1" si="9"/>
        <v>4.2579650982035443E-2</v>
      </c>
      <c r="Q26" s="77">
        <f t="shared" ca="1" si="9"/>
        <v>4.4494362607456039E-2</v>
      </c>
      <c r="R26" s="77">
        <f t="shared" ca="1" si="9"/>
        <v>4.6766476308072229E-2</v>
      </c>
      <c r="S26" s="77">
        <f t="shared" ca="1" si="9"/>
        <v>5.2124466908861161E-2</v>
      </c>
      <c r="T26" s="77">
        <f t="shared" ca="1" si="9"/>
        <v>5.7066656207714783E-2</v>
      </c>
      <c r="U26" s="77">
        <f t="shared" ca="1" si="9"/>
        <v>6.2468156746339404E-2</v>
      </c>
      <c r="V26" s="77">
        <f t="shared" ca="1" si="9"/>
        <v>5.155918803826838E-2</v>
      </c>
      <c r="W26" s="77">
        <f t="shared" ca="1" si="9"/>
        <v>4.4432963058641181E-2</v>
      </c>
      <c r="X26" s="77" t="str">
        <f t="shared" ca="1" si="9"/>
        <v>N/A</v>
      </c>
      <c r="Y26" s="62"/>
      <c r="Z26" s="62"/>
      <c r="AA26" s="62"/>
      <c r="AB26" s="62"/>
    </row>
    <row r="27" spans="1:28" x14ac:dyDescent="0.25">
      <c r="A27" s="44" t="s">
        <v>14</v>
      </c>
      <c r="B27" s="110">
        <f t="shared" ca="1" si="2"/>
        <v>25</v>
      </c>
      <c r="C27" s="1">
        <f>IF(ISERROR(D27),"",IF(D27="","",MAX($C$13:C26)+1))</f>
        <v>14</v>
      </c>
      <c r="D27" t="str">
        <f t="shared" si="3"/>
        <v xml:space="preserve">Edison Int'l                  </v>
      </c>
      <c r="E27" s="15"/>
      <c r="F27" s="77">
        <f t="shared" ca="1" si="8"/>
        <v>3.3665986366251198E-2</v>
      </c>
      <c r="G27" s="77">
        <f t="shared" si="4"/>
        <v>4.4727000747943162E-2</v>
      </c>
      <c r="H27" s="77">
        <f t="shared" si="5"/>
        <v>4.4479248238057947E-2</v>
      </c>
      <c r="I27" s="77">
        <f t="shared" si="6"/>
        <v>4.3918367346938776E-2</v>
      </c>
      <c r="J27" s="77">
        <f t="shared" ca="1" si="7"/>
        <v>4.2865228392595552E-2</v>
      </c>
      <c r="K27" s="77">
        <f t="shared" ca="1" si="7"/>
        <v>3.7332569084107634E-2</v>
      </c>
      <c r="L27" s="77">
        <f t="shared" ca="1" si="7"/>
        <v>3.8432316069393437E-2</v>
      </c>
      <c r="M27" s="77">
        <f t="shared" ca="1" si="7"/>
        <v>2.8728755773412069E-2</v>
      </c>
      <c r="N27" s="77">
        <f t="shared" ca="1" si="9"/>
        <v>2.8086227409211944E-2</v>
      </c>
      <c r="O27" s="77">
        <f t="shared" ca="1" si="9"/>
        <v>2.8279103162429427E-2</v>
      </c>
      <c r="P27" s="77">
        <f t="shared" ca="1" si="9"/>
        <v>2.6245000530917072E-2</v>
      </c>
      <c r="Q27" s="77">
        <f t="shared" ca="1" si="9"/>
        <v>2.8497625197900178E-2</v>
      </c>
      <c r="R27" s="77">
        <f t="shared" ca="1" si="9"/>
        <v>2.9729423751839693E-2</v>
      </c>
      <c r="S27" s="77">
        <f t="shared" ca="1" si="9"/>
        <v>3.3692545688140743E-2</v>
      </c>
      <c r="T27" s="77">
        <f t="shared" ca="1" si="9"/>
        <v>3.6593479707252158E-2</v>
      </c>
      <c r="U27" s="77">
        <f t="shared" ca="1" si="9"/>
        <v>3.9540127671737549E-2</v>
      </c>
      <c r="V27" s="77">
        <f t="shared" ca="1" si="9"/>
        <v>2.6937877954920288E-2</v>
      </c>
      <c r="W27" s="77">
        <f t="shared" ca="1" si="9"/>
        <v>2.2080655466606532E-2</v>
      </c>
      <c r="X27" s="77">
        <f t="shared" ca="1" si="9"/>
        <v>2.5822202399117353E-2</v>
      </c>
      <c r="Y27" s="62"/>
      <c r="Z27" s="62"/>
      <c r="AA27" s="62"/>
      <c r="AB27" s="62"/>
    </row>
    <row r="28" spans="1:28" x14ac:dyDescent="0.25">
      <c r="A28" s="44" t="s">
        <v>15</v>
      </c>
      <c r="B28" s="110">
        <f t="shared" ca="1" si="2"/>
        <v>26</v>
      </c>
      <c r="C28" s="1">
        <f>IF(ISERROR(D28),"",IF(D28="","",MAX($C$13:C27)+1))</f>
        <v>15</v>
      </c>
      <c r="D28" t="str">
        <f t="shared" si="3"/>
        <v xml:space="preserve">El Paso Electric              </v>
      </c>
      <c r="E28" s="15"/>
      <c r="F28" s="77">
        <f t="shared" ca="1" si="8"/>
        <v>2.7449964663200637E-2</v>
      </c>
      <c r="G28" s="77" t="str">
        <f t="shared" si="4"/>
        <v>N/A</v>
      </c>
      <c r="H28" s="77" t="str">
        <f t="shared" si="5"/>
        <v>N/A</v>
      </c>
      <c r="I28" s="77" t="str">
        <f t="shared" si="6"/>
        <v>N/A</v>
      </c>
      <c r="J28" s="77" t="str">
        <f t="shared" ca="1" si="7"/>
        <v>N/A</v>
      </c>
      <c r="K28" s="77" t="str">
        <f t="shared" ca="1" si="7"/>
        <v>N/A</v>
      </c>
      <c r="L28" s="77">
        <f t="shared" ca="1" si="7"/>
        <v>2.5459714275432723E-2</v>
      </c>
      <c r="M28" s="77">
        <f t="shared" ca="1" si="7"/>
        <v>2.4945461443611872E-2</v>
      </c>
      <c r="N28" s="77">
        <f t="shared" ca="1" si="9"/>
        <v>2.7472527472527472E-2</v>
      </c>
      <c r="O28" s="77">
        <f t="shared" ca="1" si="9"/>
        <v>3.1311312387453973E-2</v>
      </c>
      <c r="P28" s="77">
        <f t="shared" ca="1" si="9"/>
        <v>2.9712288249529446E-2</v>
      </c>
      <c r="Q28" s="77">
        <f t="shared" ca="1" si="9"/>
        <v>2.9914407580225E-2</v>
      </c>
      <c r="R28" s="77">
        <f t="shared" ca="1" si="9"/>
        <v>2.9654539896056251E-2</v>
      </c>
      <c r="S28" s="77">
        <f t="shared" ca="1" si="9"/>
        <v>2.1129466000768343E-2</v>
      </c>
      <c r="T28" s="77" t="str">
        <f t="shared" ca="1" si="9"/>
        <v>N/A</v>
      </c>
      <c r="U28" s="77" t="str">
        <f t="shared" ca="1" si="9"/>
        <v>N/A</v>
      </c>
      <c r="V28" s="77" t="str">
        <f t="shared" ca="1" si="9"/>
        <v>N/A</v>
      </c>
      <c r="W28" s="77" t="str">
        <f t="shared" ca="1" si="9"/>
        <v>N/A</v>
      </c>
      <c r="X28" s="77" t="str">
        <f t="shared" ca="1" si="9"/>
        <v>N/A</v>
      </c>
      <c r="Y28" s="62"/>
      <c r="Z28" s="62"/>
      <c r="AA28" s="62"/>
      <c r="AB28" s="62"/>
    </row>
    <row r="29" spans="1:28" x14ac:dyDescent="0.25">
      <c r="A29" s="44" t="s">
        <v>17</v>
      </c>
      <c r="B29" s="110">
        <f t="shared" ca="1" si="2"/>
        <v>28</v>
      </c>
      <c r="C29" s="1">
        <f>IF(ISERROR(D29),"",IF(D29="","",MAX($C$13:C28)+1))</f>
        <v>16</v>
      </c>
      <c r="D29" t="str">
        <f t="shared" si="3"/>
        <v xml:space="preserve">Entergy Corp.                 </v>
      </c>
      <c r="E29" s="15"/>
      <c r="F29" s="77">
        <f t="shared" ca="1" si="8"/>
        <v>4.0349110617063075E-2</v>
      </c>
      <c r="G29" s="77">
        <f t="shared" si="4"/>
        <v>4.3618090452261303E-2</v>
      </c>
      <c r="H29" s="77">
        <f t="shared" si="5"/>
        <v>3.6986919260261611E-2</v>
      </c>
      <c r="I29" s="77">
        <f t="shared" si="6"/>
        <v>3.8446215139442227E-2</v>
      </c>
      <c r="J29" s="77">
        <f t="shared" ca="1" si="7"/>
        <v>3.5532078626599656E-2</v>
      </c>
      <c r="K29" s="77">
        <f t="shared" ca="1" si="7"/>
        <v>3.5201446529387441E-2</v>
      </c>
      <c r="L29" s="77">
        <f t="shared" ca="1" si="7"/>
        <v>4.4090298902668815E-2</v>
      </c>
      <c r="M29" s="77">
        <f t="shared" ca="1" si="7"/>
        <v>4.4930550206680533E-2</v>
      </c>
      <c r="N29" s="77">
        <f t="shared" ca="1" si="9"/>
        <v>4.5513221457753883E-2</v>
      </c>
      <c r="O29" s="77">
        <f t="shared" ca="1" si="9"/>
        <v>4.5882272134075142E-2</v>
      </c>
      <c r="P29" s="77">
        <f t="shared" ca="1" si="9"/>
        <v>4.4653665097511772E-2</v>
      </c>
      <c r="Q29" s="77">
        <f t="shared" ca="1" si="9"/>
        <v>5.0656087885260902E-2</v>
      </c>
      <c r="R29" s="77">
        <f t="shared" ca="1" si="9"/>
        <v>4.91356855316126E-2</v>
      </c>
      <c r="S29" s="77">
        <f t="shared" ca="1" si="9"/>
        <v>4.8525951152491337E-2</v>
      </c>
      <c r="T29" s="77">
        <f t="shared" ca="1" si="9"/>
        <v>4.2045159615883732E-2</v>
      </c>
      <c r="U29" s="77">
        <f t="shared" ca="1" si="9"/>
        <v>3.9745101416250449E-2</v>
      </c>
      <c r="V29" s="77">
        <f t="shared" ca="1" si="9"/>
        <v>2.9225808337148926E-2</v>
      </c>
      <c r="W29" s="77">
        <f t="shared" ca="1" si="9"/>
        <v>2.3867893982145335E-2</v>
      </c>
      <c r="X29" s="77">
        <f t="shared" ca="1" si="9"/>
        <v>2.8227545379699692E-2</v>
      </c>
      <c r="Y29" s="62"/>
      <c r="Z29" s="62"/>
      <c r="AA29" s="62"/>
      <c r="AB29" s="62"/>
    </row>
    <row r="30" spans="1:28" x14ac:dyDescent="0.25">
      <c r="A30" s="44" t="s">
        <v>211</v>
      </c>
      <c r="B30" s="110">
        <f t="shared" ca="1" si="2"/>
        <v>29</v>
      </c>
      <c r="C30" s="1">
        <f>IF(ISERROR(D30),"",IF(D30="","",MAX($C$13:C29)+1))</f>
        <v>17</v>
      </c>
      <c r="D30" t="str">
        <f t="shared" si="3"/>
        <v xml:space="preserve">Eversource Energy    </v>
      </c>
      <c r="E30" s="15"/>
      <c r="F30" s="77">
        <f t="shared" ca="1" si="8"/>
        <v>3.2671941675811028E-2</v>
      </c>
      <c r="G30" s="77">
        <f t="shared" si="4"/>
        <v>3.8904899135446688E-2</v>
      </c>
      <c r="H30" s="77">
        <f t="shared" si="5"/>
        <v>3.0890369473046637E-2</v>
      </c>
      <c r="I30" s="77">
        <f t="shared" si="6"/>
        <v>2.8470171293561726E-2</v>
      </c>
      <c r="J30" s="77">
        <f t="shared" ref="J30:K58" ca="1" si="10">IFERROR(IF(INDEX(DIV_MP_WP,$B30,J$13)=0,"N/A",INDEX(DIV_MP_WP,$B30,J$13)),"N/A")</f>
        <v>2.6278927078871511E-2</v>
      </c>
      <c r="K30" s="77">
        <f t="shared" ca="1" si="10"/>
        <v>2.8052697122632236E-2</v>
      </c>
      <c r="L30" s="77">
        <f t="shared" ref="L30:M58" ca="1" si="11">IFERROR(IF(INDEX(DIV_MP_WP,$B30,L$13)=0,"N/A",INDEX(DIV_MP_WP,$B30,L$13)),"N/A")</f>
        <v>3.3183841768928753E-2</v>
      </c>
      <c r="M30" s="77">
        <f t="shared" ca="1" si="11"/>
        <v>3.1385764078167074E-2</v>
      </c>
      <c r="N30" s="77">
        <f t="shared" ca="1" si="9"/>
        <v>3.2172357077014838E-2</v>
      </c>
      <c r="O30" s="77">
        <f t="shared" ca="1" si="9"/>
        <v>3.3411359862353197E-2</v>
      </c>
      <c r="P30" s="77">
        <f t="shared" ca="1" si="9"/>
        <v>3.3958427962710619E-2</v>
      </c>
      <c r="Q30" s="77">
        <f t="shared" ca="1" si="9"/>
        <v>3.4848161581679825E-2</v>
      </c>
      <c r="R30" s="77">
        <f t="shared" ca="1" si="9"/>
        <v>3.5175611575973993E-2</v>
      </c>
      <c r="S30" s="77">
        <f t="shared" ca="1" si="9"/>
        <v>3.2279836840097428E-2</v>
      </c>
      <c r="T30" s="77">
        <f t="shared" ca="1" si="9"/>
        <v>3.6361701372875942E-2</v>
      </c>
      <c r="U30" s="77">
        <f t="shared" ca="1" si="9"/>
        <v>4.1586412187007524E-2</v>
      </c>
      <c r="V30" s="77">
        <f t="shared" ca="1" si="9"/>
        <v>3.2464977176137257E-2</v>
      </c>
      <c r="W30" s="77">
        <f t="shared" ca="1" si="9"/>
        <v>2.6001476212843051E-2</v>
      </c>
      <c r="X30" s="77">
        <f t="shared" ca="1" si="9"/>
        <v>3.2667958365250299E-2</v>
      </c>
      <c r="Y30" s="62"/>
      <c r="Z30" s="62"/>
      <c r="AA30" s="62"/>
      <c r="AB30" s="62"/>
    </row>
    <row r="31" spans="1:28" x14ac:dyDescent="0.25">
      <c r="A31" s="44" t="s">
        <v>447</v>
      </c>
      <c r="B31" s="110" t="str">
        <f ca="1">IFERROR(MATCH(A31,OFFSET(DIV_MP_WP,0,0,,1),0),"")</f>
        <v/>
      </c>
      <c r="C31" s="1">
        <f>IF(ISERROR(D31),"",IF(D31="","",MAX($C$13:C30)+1))</f>
        <v>18</v>
      </c>
      <c r="D31" t="s">
        <v>448</v>
      </c>
      <c r="E31" s="15"/>
      <c r="F31" s="77">
        <f t="shared" ca="1" si="8"/>
        <v>3.8915523165148354E-2</v>
      </c>
      <c r="G31" s="77">
        <f t="shared" si="4"/>
        <v>4.4167408726625106E-2</v>
      </c>
      <c r="H31" s="77">
        <f t="shared" si="5"/>
        <v>3.6635220125786169E-2</v>
      </c>
      <c r="I31" s="77">
        <f t="shared" si="6"/>
        <v>3.59439406430338E-2</v>
      </c>
      <c r="J31" s="77" t="str">
        <f t="shared" ca="1" si="10"/>
        <v>N/A</v>
      </c>
      <c r="K31" s="77" t="str">
        <f t="shared" ca="1" si="10"/>
        <v>N/A</v>
      </c>
      <c r="L31" s="77" t="str">
        <f t="shared" ca="1" si="11"/>
        <v>N/A</v>
      </c>
      <c r="M31" s="77" t="str">
        <f t="shared" ca="1" si="11"/>
        <v>N/A</v>
      </c>
      <c r="N31" s="77" t="str">
        <f t="shared" ca="1" si="9"/>
        <v>N/A</v>
      </c>
      <c r="O31" s="77" t="str">
        <f t="shared" ca="1" si="9"/>
        <v>N/A</v>
      </c>
      <c r="P31" s="77" t="str">
        <f t="shared" ca="1" si="9"/>
        <v>N/A</v>
      </c>
      <c r="Q31" s="77" t="str">
        <f t="shared" ca="1" si="9"/>
        <v>N/A</v>
      </c>
      <c r="R31" s="77" t="str">
        <f t="shared" ca="1" si="9"/>
        <v>N/A</v>
      </c>
      <c r="S31" s="77" t="str">
        <f t="shared" ca="1" si="9"/>
        <v>N/A</v>
      </c>
      <c r="T31" s="77" t="str">
        <f t="shared" ca="1" si="9"/>
        <v>N/A</v>
      </c>
      <c r="U31" s="77" t="str">
        <f t="shared" ca="1" si="9"/>
        <v>N/A</v>
      </c>
      <c r="V31" s="77" t="str">
        <f t="shared" ca="1" si="9"/>
        <v>N/A</v>
      </c>
      <c r="W31" s="77" t="str">
        <f t="shared" ca="1" si="9"/>
        <v>N/A</v>
      </c>
      <c r="X31" s="77" t="str">
        <f t="shared" ca="1" si="9"/>
        <v>N/A</v>
      </c>
      <c r="Y31" s="62"/>
      <c r="Z31" s="62"/>
      <c r="AA31" s="62"/>
      <c r="AB31" s="62"/>
    </row>
    <row r="32" spans="1:28" x14ac:dyDescent="0.25">
      <c r="A32" s="44" t="s">
        <v>18</v>
      </c>
      <c r="B32" s="110">
        <f ca="1">IFERROR(MATCH(A32,OFFSET(DIV_MP_WP,0,0,,1),0),"")</f>
        <v>30</v>
      </c>
      <c r="C32" s="1">
        <f>IF(ISERROR(D32),"",IF(D32="","",MAX($C$13:C31)+1))</f>
        <v>19</v>
      </c>
      <c r="D32" t="str">
        <f t="shared" si="3"/>
        <v xml:space="preserve">Exelon Corp.                  </v>
      </c>
      <c r="E32" s="15"/>
      <c r="F32" s="77">
        <f t="shared" ca="1" si="8"/>
        <v>3.746874681019724E-2</v>
      </c>
      <c r="G32" s="77">
        <f t="shared" si="4"/>
        <v>3.6687898089171972E-2</v>
      </c>
      <c r="H32" s="77">
        <f t="shared" si="5"/>
        <v>2.8907922912205567E-2</v>
      </c>
      <c r="I32" s="77">
        <f t="shared" si="6"/>
        <v>3.1742738589211617E-2</v>
      </c>
      <c r="J32" s="77">
        <f t="shared" ca="1" si="10"/>
        <v>3.8234706117552981E-2</v>
      </c>
      <c r="K32" s="77">
        <f t="shared" ca="1" si="10"/>
        <v>3.0588781300761553E-2</v>
      </c>
      <c r="L32" s="77">
        <f t="shared" ca="1" si="11"/>
        <v>3.3181053137773496E-2</v>
      </c>
      <c r="M32" s="77">
        <f t="shared" ca="1" si="11"/>
        <v>3.5138542421072401E-2</v>
      </c>
      <c r="N32" s="77">
        <f t="shared" ca="1" si="9"/>
        <v>3.7471004579789455E-2</v>
      </c>
      <c r="O32" s="77">
        <f t="shared" ca="1" si="9"/>
        <v>3.8819146604889956E-2</v>
      </c>
      <c r="P32" s="77">
        <f t="shared" ca="1" si="9"/>
        <v>3.6863071526250075E-2</v>
      </c>
      <c r="Q32" s="77">
        <f t="shared" ca="1" si="9"/>
        <v>4.689010634869481E-2</v>
      </c>
      <c r="R32" s="77">
        <f t="shared" ca="1" si="9"/>
        <v>5.7330057330057325E-2</v>
      </c>
      <c r="S32" s="77">
        <f t="shared" ca="1" si="9"/>
        <v>4.9551675318546484E-2</v>
      </c>
      <c r="T32" s="77">
        <f t="shared" ca="1" si="9"/>
        <v>4.946646880079146E-2</v>
      </c>
      <c r="U32" s="77">
        <f t="shared" ca="1" si="9"/>
        <v>4.261017774531288E-2</v>
      </c>
      <c r="V32" s="77">
        <f t="shared" ca="1" si="9"/>
        <v>2.7820752924571826E-2</v>
      </c>
      <c r="W32" s="77">
        <f t="shared" ca="1" si="9"/>
        <v>2.4784159925919876E-2</v>
      </c>
      <c r="X32" s="77">
        <f t="shared" ca="1" si="9"/>
        <v>2.8349178910976661E-2</v>
      </c>
      <c r="Y32" s="62"/>
      <c r="Z32" s="62"/>
      <c r="AA32" s="62"/>
      <c r="AB32" s="62"/>
    </row>
    <row r="33" spans="1:28" x14ac:dyDescent="0.25">
      <c r="A33" s="44" t="s">
        <v>19</v>
      </c>
      <c r="B33" s="110">
        <f t="shared" ref="B33:B58" ca="1" si="12">IFERROR(MATCH(A33,OFFSET(DIV_MP_WP,0,0,,1),0),"")</f>
        <v>31</v>
      </c>
      <c r="C33" s="1">
        <f>IF(ISERROR(D33),"",IF(D33="","",MAX($C$13:C32)+1))</f>
        <v>20</v>
      </c>
      <c r="D33" t="str">
        <f t="shared" si="3"/>
        <v xml:space="preserve">FirstEnergy Corp.             </v>
      </c>
      <c r="E33" s="15"/>
      <c r="F33" s="77">
        <f t="shared" ca="1" si="8"/>
        <v>4.3086308417972528E-2</v>
      </c>
      <c r="G33" s="77">
        <f t="shared" si="4"/>
        <v>4.2384105960264901E-2</v>
      </c>
      <c r="H33" s="77">
        <f t="shared" si="5"/>
        <v>3.7098692033293704E-2</v>
      </c>
      <c r="I33" s="77">
        <f t="shared" si="6"/>
        <v>4.3943661971830986E-2</v>
      </c>
      <c r="J33" s="77">
        <f t="shared" ca="1" si="10"/>
        <v>4.167334508735375E-2</v>
      </c>
      <c r="K33" s="77">
        <f t="shared" ca="1" si="10"/>
        <v>3.4973826776693258E-2</v>
      </c>
      <c r="L33" s="77">
        <f t="shared" ca="1" si="11"/>
        <v>5.1688392831785522E-2</v>
      </c>
      <c r="M33" s="77">
        <f t="shared" ca="1" si="11"/>
        <v>4.6233866307069924E-2</v>
      </c>
      <c r="N33" s="77">
        <f t="shared" ca="1" si="9"/>
        <v>4.3089260600257341E-2</v>
      </c>
      <c r="O33" s="77">
        <f t="shared" ca="1" si="9"/>
        <v>4.2296959906006751E-2</v>
      </c>
      <c r="P33" s="77">
        <f t="shared" ca="1" si="9"/>
        <v>4.2577097069867835E-2</v>
      </c>
      <c r="Q33" s="77">
        <f t="shared" ca="1" si="9"/>
        <v>4.2556484060662335E-2</v>
      </c>
      <c r="R33" s="77">
        <f t="shared" ca="1" si="9"/>
        <v>4.8962877236713255E-2</v>
      </c>
      <c r="S33" s="77">
        <f t="shared" ca="1" si="9"/>
        <v>5.2263980614814465E-2</v>
      </c>
      <c r="T33" s="77">
        <f t="shared" ca="1" si="9"/>
        <v>5.7621791513881616E-2</v>
      </c>
      <c r="U33" s="77">
        <f t="shared" ca="1" si="9"/>
        <v>5.0878815911193344E-2</v>
      </c>
      <c r="V33" s="77">
        <f t="shared" ca="1" si="9"/>
        <v>3.2108351090224467E-2</v>
      </c>
      <c r="W33" s="77">
        <f t="shared" ca="1" si="9"/>
        <v>3.1165909056357081E-2</v>
      </c>
      <c r="X33" s="77">
        <f t="shared" ca="1" si="9"/>
        <v>3.4036133495234946E-2</v>
      </c>
      <c r="Y33" s="62"/>
      <c r="Z33" s="62"/>
      <c r="AA33" s="62"/>
      <c r="AB33" s="62"/>
    </row>
    <row r="34" spans="1:28" x14ac:dyDescent="0.25">
      <c r="A34" s="44" t="s">
        <v>266</v>
      </c>
      <c r="B34" s="110">
        <f t="shared" ca="1" si="12"/>
        <v>32</v>
      </c>
      <c r="C34" s="1">
        <f>IF(ISERROR(D34),"",IF(D34="","",MAX($C$13:C33)+1))</f>
        <v>21</v>
      </c>
      <c r="D34" t="str">
        <f t="shared" si="3"/>
        <v>Fortis Inc.</v>
      </c>
      <c r="E34" s="15"/>
      <c r="F34" s="77">
        <f t="shared" ca="1" si="8"/>
        <v>3.7098645261663357E-2</v>
      </c>
      <c r="G34" s="77">
        <f t="shared" si="4"/>
        <v>4.0929401251117069E-2</v>
      </c>
      <c r="H34" s="77">
        <f t="shared" si="5"/>
        <v>3.8204225352112674E-2</v>
      </c>
      <c r="I34" s="77">
        <f t="shared" si="6"/>
        <v>3.7715321849501354E-2</v>
      </c>
      <c r="J34" s="77">
        <f t="shared" ca="1" si="10"/>
        <v>3.6634475558372799E-2</v>
      </c>
      <c r="K34" s="77">
        <f t="shared" ca="1" si="10"/>
        <v>3.6021515816455324E-2</v>
      </c>
      <c r="L34" s="77">
        <f t="shared" ca="1" si="11"/>
        <v>4.065796199061382E-2</v>
      </c>
      <c r="M34" s="77">
        <f t="shared" ca="1" si="11"/>
        <v>3.690036900369003E-2</v>
      </c>
      <c r="N34" s="77">
        <f t="shared" ca="1" si="9"/>
        <v>3.7963212422542802E-2</v>
      </c>
      <c r="O34" s="77">
        <f t="shared" ca="1" si="9"/>
        <v>3.7646439383967355E-2</v>
      </c>
      <c r="P34" s="77">
        <f t="shared" ca="1" si="9"/>
        <v>3.8788602118454425E-2</v>
      </c>
      <c r="Q34" s="77">
        <f t="shared" ca="1" si="9"/>
        <v>3.8401277994531656E-2</v>
      </c>
      <c r="R34" s="77">
        <f t="shared" ca="1" si="9"/>
        <v>3.6443587735678573E-2</v>
      </c>
      <c r="S34" s="77">
        <f t="shared" ca="1" si="9"/>
        <v>3.5780910731215025E-2</v>
      </c>
      <c r="T34" s="77">
        <f t="shared" ca="1" si="9"/>
        <v>3.7955808594279522E-2</v>
      </c>
      <c r="U34" s="77">
        <f t="shared" ca="1" si="9"/>
        <v>4.2088223391339538E-2</v>
      </c>
      <c r="V34" s="77">
        <f t="shared" ca="1" si="9"/>
        <v>3.7632183042938319E-2</v>
      </c>
      <c r="W34" s="77">
        <f t="shared" ca="1" si="9"/>
        <v>3.0133764515654856E-2</v>
      </c>
      <c r="X34" s="77">
        <f t="shared" ca="1" si="9"/>
        <v>2.7878333957475139E-2</v>
      </c>
      <c r="Y34" s="62"/>
      <c r="Z34" s="62"/>
      <c r="AA34" s="62"/>
      <c r="AB34" s="62"/>
    </row>
    <row r="35" spans="1:28" x14ac:dyDescent="0.25">
      <c r="A35" s="44" t="s">
        <v>20</v>
      </c>
      <c r="B35" s="110">
        <f t="shared" ca="1" si="12"/>
        <v>34</v>
      </c>
      <c r="C35" s="1">
        <f>IF(ISERROR(D35),"",IF(D35="","",MAX($C$13:C34)+1))</f>
        <v>22</v>
      </c>
      <c r="D35" s="31" t="str">
        <f t="shared" si="3"/>
        <v xml:space="preserve">Great Plains Energy             </v>
      </c>
      <c r="E35" s="177"/>
      <c r="F35" s="77">
        <f t="shared" ca="1" si="8"/>
        <v>4.5193690468645888E-2</v>
      </c>
      <c r="G35" s="77" t="str">
        <f t="shared" si="4"/>
        <v>N/A</v>
      </c>
      <c r="H35" s="77" t="str">
        <f t="shared" si="5"/>
        <v>N/A</v>
      </c>
      <c r="I35" s="77" t="str">
        <f t="shared" si="6"/>
        <v>N/A</v>
      </c>
      <c r="J35" s="77" t="str">
        <f t="shared" ca="1" si="10"/>
        <v>N/A</v>
      </c>
      <c r="K35" s="77" t="str">
        <f t="shared" ca="1" si="10"/>
        <v>N/A</v>
      </c>
      <c r="L35" s="77" t="str">
        <f t="shared" ca="1" si="11"/>
        <v>N/A</v>
      </c>
      <c r="M35" s="77">
        <f t="shared" ca="1" si="11"/>
        <v>3.5830618892508145E-2</v>
      </c>
      <c r="N35" s="178">
        <f t="shared" ref="N35:X43" ca="1" si="13">IFERROR(IF(INDEX(DIV_MP_WP,$B35,N$13)=0,"N/A",INDEX(DIV_MP_WP,$B35,N$13)),"N/A")</f>
        <v>3.6443400462882997E-2</v>
      </c>
      <c r="O35" s="178">
        <f t="shared" ca="1" si="13"/>
        <v>3.7616373299159477E-2</v>
      </c>
      <c r="P35" s="178">
        <f t="shared" ca="1" si="13"/>
        <v>3.6159022352850186E-2</v>
      </c>
      <c r="Q35" s="178">
        <f t="shared" ca="1" si="13"/>
        <v>3.8377860934644507E-2</v>
      </c>
      <c r="R35" s="178">
        <f t="shared" ca="1" si="13"/>
        <v>4.0770587954794713E-2</v>
      </c>
      <c r="S35" s="178">
        <f t="shared" ca="1" si="13"/>
        <v>4.1478317023496102E-2</v>
      </c>
      <c r="T35" s="178">
        <f t="shared" ca="1" si="13"/>
        <v>4.4852742502026477E-2</v>
      </c>
      <c r="U35" s="178">
        <f t="shared" ca="1" si="13"/>
        <v>5.0260385127770375E-2</v>
      </c>
      <c r="V35" s="178">
        <f t="shared" ca="1" si="13"/>
        <v>6.9648401443316271E-2</v>
      </c>
      <c r="W35" s="178">
        <f t="shared" ca="1" si="13"/>
        <v>5.4888734583209337E-2</v>
      </c>
      <c r="X35" s="178">
        <f t="shared" ca="1" si="13"/>
        <v>5.5997841047092163E-2</v>
      </c>
      <c r="Y35" s="62"/>
      <c r="Z35" s="62"/>
      <c r="AA35" s="62"/>
      <c r="AB35" s="62"/>
    </row>
    <row r="36" spans="1:28" x14ac:dyDescent="0.25">
      <c r="A36" s="44" t="s">
        <v>21</v>
      </c>
      <c r="B36" s="110">
        <f t="shared" ca="1" si="12"/>
        <v>35</v>
      </c>
      <c r="C36" s="1">
        <f>IF(ISERROR(D36),"",IF(D36="","",MAX($C$13:C35)+1))</f>
        <v>23</v>
      </c>
      <c r="D36" t="str">
        <f t="shared" si="3"/>
        <v xml:space="preserve">Hawaiian Elec.                </v>
      </c>
      <c r="E36" s="15"/>
      <c r="F36" s="77">
        <f t="shared" ca="1" si="8"/>
        <v>4.3983498478517957E-2</v>
      </c>
      <c r="G36" s="77">
        <f t="shared" si="4"/>
        <v>4.0909090909090909E-2</v>
      </c>
      <c r="H36" s="77">
        <f t="shared" si="5"/>
        <v>3.5943517329910135E-2</v>
      </c>
      <c r="I36" s="77">
        <f t="shared" si="6"/>
        <v>3.4430379746835445E-2</v>
      </c>
      <c r="J36" s="77">
        <f t="shared" ca="1" si="10"/>
        <v>3.3954110505196013E-2</v>
      </c>
      <c r="K36" s="77">
        <f t="shared" ca="1" si="10"/>
        <v>3.0241459150404007E-2</v>
      </c>
      <c r="L36" s="77">
        <f t="shared" ca="1" si="11"/>
        <v>3.5379040771491344E-2</v>
      </c>
      <c r="M36" s="77">
        <f t="shared" ca="1" si="11"/>
        <v>3.6538291540206859E-2</v>
      </c>
      <c r="N36" s="77">
        <f t="shared" ca="1" si="13"/>
        <v>3.9943306274964563E-2</v>
      </c>
      <c r="O36" s="77">
        <f t="shared" ca="1" si="13"/>
        <v>4.0517579401385444E-2</v>
      </c>
      <c r="P36" s="77">
        <f t="shared" ca="1" si="13"/>
        <v>4.7609905932040696E-2</v>
      </c>
      <c r="Q36" s="77">
        <f t="shared" ca="1" si="13"/>
        <v>4.7211117456691411E-2</v>
      </c>
      <c r="R36" s="77">
        <f t="shared" ca="1" si="13"/>
        <v>4.6955468039987881E-2</v>
      </c>
      <c r="S36" s="77">
        <f t="shared" ca="1" si="13"/>
        <v>5.0388069405502049E-2</v>
      </c>
      <c r="T36" s="77">
        <f t="shared" ca="1" si="13"/>
        <v>5.513316437686186E-2</v>
      </c>
      <c r="U36" s="77">
        <f t="shared" ca="1" si="13"/>
        <v>6.886975840044432E-2</v>
      </c>
      <c r="V36" s="77">
        <f t="shared" ca="1" si="13"/>
        <v>5.0036316681462349E-2</v>
      </c>
      <c r="W36" s="77">
        <f t="shared" ca="1" si="13"/>
        <v>5.1781016411241491E-2</v>
      </c>
      <c r="X36" s="77">
        <f t="shared" ca="1" si="13"/>
        <v>4.5861380279606477E-2</v>
      </c>
      <c r="Y36" s="62"/>
      <c r="Z36" s="62"/>
      <c r="AA36" s="62"/>
      <c r="AB36" s="62"/>
    </row>
    <row r="37" spans="1:28" x14ac:dyDescent="0.25">
      <c r="A37" s="44" t="s">
        <v>22</v>
      </c>
      <c r="B37" s="110">
        <f t="shared" ca="1" si="12"/>
        <v>36</v>
      </c>
      <c r="C37" s="1">
        <f>IF(ISERROR(D37),"",IF(D37="","",MAX($C$13:C36)+1))</f>
        <v>24</v>
      </c>
      <c r="D37" t="str">
        <f t="shared" si="3"/>
        <v xml:space="preserve">IDACORP, Inc.                 </v>
      </c>
      <c r="E37" s="15"/>
      <c r="F37" s="77">
        <f t="shared" ca="1" si="8"/>
        <v>3.157990914188398E-2</v>
      </c>
      <c r="G37" s="77">
        <f t="shared" si="4"/>
        <v>3.1824962705121834E-2</v>
      </c>
      <c r="H37" s="77">
        <f t="shared" si="5"/>
        <v>2.8625235404896421E-2</v>
      </c>
      <c r="I37" s="77">
        <f t="shared" si="6"/>
        <v>2.8930185836263184E-2</v>
      </c>
      <c r="J37" s="77">
        <f t="shared" ca="1" si="10"/>
        <v>2.9172654926103093E-2</v>
      </c>
      <c r="K37" s="77">
        <f t="shared" ca="1" si="10"/>
        <v>2.4892311581731375E-2</v>
      </c>
      <c r="L37" s="77">
        <f t="shared" ca="1" si="11"/>
        <v>2.6070520758652151E-2</v>
      </c>
      <c r="M37" s="77">
        <f t="shared" ca="1" si="11"/>
        <v>2.5827577857464059E-2</v>
      </c>
      <c r="N37" s="77">
        <f t="shared" ca="1" si="13"/>
        <v>2.7697142400596553E-2</v>
      </c>
      <c r="O37" s="77">
        <f t="shared" ca="1" si="13"/>
        <v>3.0590784526161492E-2</v>
      </c>
      <c r="P37" s="77">
        <f t="shared" ca="1" si="13"/>
        <v>3.117306363910094E-2</v>
      </c>
      <c r="Q37" s="77">
        <f t="shared" ca="1" si="13"/>
        <v>3.206895847376269E-2</v>
      </c>
      <c r="R37" s="77">
        <f t="shared" ca="1" si="13"/>
        <v>3.275944524151124E-2</v>
      </c>
      <c r="S37" s="77">
        <f t="shared" ca="1" si="13"/>
        <v>3.0961349914856284E-2</v>
      </c>
      <c r="T37" s="77">
        <f t="shared" ca="1" si="13"/>
        <v>3.4393809114359415E-2</v>
      </c>
      <c r="U37" s="77">
        <f t="shared" ca="1" si="13"/>
        <v>4.4574867204041455E-2</v>
      </c>
      <c r="V37" s="77">
        <f t="shared" ca="1" si="13"/>
        <v>3.9529597786342525E-2</v>
      </c>
      <c r="W37" s="77">
        <f t="shared" ca="1" si="13"/>
        <v>3.5460992907801414E-2</v>
      </c>
      <c r="X37" s="77">
        <f t="shared" ca="1" si="13"/>
        <v>3.3884904275145421E-2</v>
      </c>
      <c r="Y37" s="62"/>
      <c r="Z37" s="62"/>
      <c r="AA37" s="62"/>
      <c r="AB37" s="62"/>
    </row>
    <row r="38" spans="1:28" x14ac:dyDescent="0.25">
      <c r="A38" s="44" t="s">
        <v>25</v>
      </c>
      <c r="B38" s="110">
        <f ca="1">IFERROR(MATCH(A38,OFFSET(DIV_MP_WP,0,0,,1),0),"")</f>
        <v>40</v>
      </c>
      <c r="C38" s="1">
        <f>IF(ISERROR(D38),"",IF(D38="","",MAX($C$13:C37)+1))</f>
        <v>25</v>
      </c>
      <c r="D38" t="str">
        <f>VLOOKUP(A38,LUCurYr,2,FALSE)</f>
        <v xml:space="preserve">MGE Energy                    </v>
      </c>
      <c r="E38" s="15"/>
      <c r="F38" s="77">
        <f t="shared" ca="1" si="8"/>
        <v>3.005886360821762E-2</v>
      </c>
      <c r="G38" s="77">
        <f t="shared" si="4"/>
        <v>2.2506738544474394E-2</v>
      </c>
      <c r="H38" s="77">
        <f t="shared" si="5"/>
        <v>2.1486486486486489E-2</v>
      </c>
      <c r="I38" s="77" t="str">
        <f>IFERROR(IF(VLOOKUP(A38,lucyyr,22,FALSE)=0,"",VLOOKUP(A38,lucyyr,22,FALSE)),"N/A")</f>
        <v>N/A</v>
      </c>
      <c r="J38" s="77">
        <f t="shared" ca="1" si="10"/>
        <v>2.1045732595397614E-2</v>
      </c>
      <c r="K38" s="77">
        <f t="shared" ca="1" si="10"/>
        <v>1.9383928195187729E-2</v>
      </c>
      <c r="L38" s="77">
        <f t="shared" ca="1" si="11"/>
        <v>2.1630479311757479E-2</v>
      </c>
      <c r="M38" s="77">
        <f t="shared" ca="1" si="11"/>
        <v>1.9508871891741244E-2</v>
      </c>
      <c r="N38" s="77">
        <f t="shared" ca="1" si="13"/>
        <v>2.2287714127832012E-2</v>
      </c>
      <c r="O38" s="77">
        <f t="shared" ca="1" si="13"/>
        <v>2.7767803710353083E-2</v>
      </c>
      <c r="P38" s="77">
        <f t="shared" ca="1" si="13"/>
        <v>2.7831406865080361E-2</v>
      </c>
      <c r="Q38" s="77">
        <f t="shared" ca="1" si="13"/>
        <v>2.9114854017577758E-2</v>
      </c>
      <c r="R38" s="77">
        <f t="shared" ca="1" si="13"/>
        <v>3.2450310462104906E-2</v>
      </c>
      <c r="S38" s="77">
        <f t="shared" ca="1" si="13"/>
        <v>3.6302919314876655E-2</v>
      </c>
      <c r="T38" s="77">
        <f t="shared" ca="1" si="13"/>
        <v>3.9772499699603475E-2</v>
      </c>
      <c r="U38" s="77">
        <f t="shared" ca="1" si="13"/>
        <v>4.363228699551569E-2</v>
      </c>
      <c r="V38" s="77">
        <f t="shared" ca="1" si="13"/>
        <v>4.2360864941510097E-2</v>
      </c>
      <c r="W38" s="77">
        <f t="shared" ca="1" si="13"/>
        <v>4.1398749229278602E-2</v>
      </c>
      <c r="X38" s="77">
        <f t="shared" ca="1" si="13"/>
        <v>4.2519034950921936E-2</v>
      </c>
      <c r="Y38" s="62"/>
      <c r="Z38" s="62"/>
      <c r="AA38" s="62"/>
      <c r="AB38" s="62"/>
    </row>
    <row r="39" spans="1:28" x14ac:dyDescent="0.25">
      <c r="A39" s="44" t="s">
        <v>141</v>
      </c>
      <c r="B39" s="110">
        <f ca="1">IFERROR(MATCH(A39,OFFSET(DIV_MP_WP,0,0,,1),0),"")</f>
        <v>43</v>
      </c>
      <c r="C39" s="1">
        <f>IF(ISERROR(D39),"",IF(D39="","",MAX($C$13:C38)+1))</f>
        <v>26</v>
      </c>
      <c r="D39" t="str">
        <f>VLOOKUP(A39,LUCurYr,2,FALSE)</f>
        <v>NextEra Energy, Inc.</v>
      </c>
      <c r="E39" s="15"/>
      <c r="F39" s="77">
        <f t="shared" ca="1" si="8"/>
        <v>2.8945051278822277E-2</v>
      </c>
      <c r="G39" s="77">
        <f t="shared" si="4"/>
        <v>2.7973074046372479E-2</v>
      </c>
      <c r="H39" s="77">
        <f t="shared" si="5"/>
        <v>2.1144278606965172E-2</v>
      </c>
      <c r="I39" s="77">
        <f>IFERROR(IF(VLOOKUP(A39,lucyyr,22,FALSE)=0,"",VLOOKUP(A39,lucyyr,22,FALSE)),"N/A")</f>
        <v>1.9012345679012346E-2</v>
      </c>
      <c r="J39" s="77">
        <f t="shared" ca="1" si="10"/>
        <v>2.099611571859206E-2</v>
      </c>
      <c r="K39" s="77">
        <f t="shared" ca="1" si="10"/>
        <v>2.4054652169729625E-2</v>
      </c>
      <c r="L39" s="77">
        <f t="shared" ca="1" si="11"/>
        <v>2.6840119934229616E-2</v>
      </c>
      <c r="M39" s="77">
        <f t="shared" ca="1" si="11"/>
        <v>2.785673678226265E-2</v>
      </c>
      <c r="N39" s="77">
        <f t="shared" ca="1" si="13"/>
        <v>2.9069767441860465E-2</v>
      </c>
      <c r="O39" s="77">
        <f t="shared" ca="1" si="13"/>
        <v>3.0084000781402619E-2</v>
      </c>
      <c r="P39" s="77">
        <f t="shared" ca="1" si="13"/>
        <v>3.0220235138267926E-2</v>
      </c>
      <c r="Q39" s="77">
        <f t="shared" ca="1" si="13"/>
        <v>3.2983508245877063E-2</v>
      </c>
      <c r="R39" s="77">
        <f t="shared" ca="1" si="13"/>
        <v>3.6465297192172112E-2</v>
      </c>
      <c r="S39" s="77">
        <f t="shared" ca="1" si="13"/>
        <v>3.9565498884972308E-2</v>
      </c>
      <c r="T39" s="77">
        <f t="shared" ca="1" si="13"/>
        <v>3.8965087281795506E-2</v>
      </c>
      <c r="U39" s="77" t="str">
        <f t="shared" ca="1" si="13"/>
        <v>N/A</v>
      </c>
      <c r="V39" s="77" t="str">
        <f t="shared" ca="1" si="13"/>
        <v>N/A</v>
      </c>
      <c r="W39" s="77" t="str">
        <f t="shared" ca="1" si="13"/>
        <v>N/A</v>
      </c>
      <c r="X39" s="77" t="str">
        <f t="shared" ca="1" si="13"/>
        <v>N/A</v>
      </c>
      <c r="Y39" s="62"/>
      <c r="Z39" s="62"/>
      <c r="AA39" s="62"/>
      <c r="AB39" s="62"/>
    </row>
    <row r="40" spans="1:28" x14ac:dyDescent="0.25">
      <c r="A40" s="44" t="s">
        <v>144</v>
      </c>
      <c r="B40" s="110">
        <f t="shared" ca="1" si="12"/>
        <v>46</v>
      </c>
      <c r="C40" s="1">
        <f>IF(ISERROR(D40),"",IF(D40="","",MAX($C$13:C39)+1))</f>
        <v>27</v>
      </c>
      <c r="D40" t="str">
        <f t="shared" si="3"/>
        <v xml:space="preserve">NorthWestern Corp             </v>
      </c>
      <c r="E40" s="15"/>
      <c r="F40" s="77">
        <f t="shared" ca="1" si="8"/>
        <v>4.1351648603151638E-2</v>
      </c>
      <c r="G40" s="77">
        <f t="shared" si="4"/>
        <v>4.7761194029850747E-2</v>
      </c>
      <c r="H40" s="77">
        <f t="shared" si="5"/>
        <v>4.5080500894454381E-2</v>
      </c>
      <c r="I40" s="77">
        <f t="shared" si="6"/>
        <v>0.04</v>
      </c>
      <c r="J40" s="77">
        <f t="shared" ca="1" si="10"/>
        <v>4.0238075278732494E-2</v>
      </c>
      <c r="K40" s="77">
        <f t="shared" ca="1" si="10"/>
        <v>3.2756066993277884E-2</v>
      </c>
      <c r="L40" s="77">
        <f t="shared" ca="1" si="11"/>
        <v>3.8580923487014016E-2</v>
      </c>
      <c r="M40" s="77">
        <f t="shared" ca="1" si="11"/>
        <v>3.5233125849370002E-2</v>
      </c>
      <c r="N40" s="77">
        <f t="shared" ca="1" si="13"/>
        <v>3.4328281354593981E-2</v>
      </c>
      <c r="O40" s="77">
        <f t="shared" ca="1" si="13"/>
        <v>3.605701515521418E-2</v>
      </c>
      <c r="P40" s="77">
        <f t="shared" ca="1" si="13"/>
        <v>3.2959789057350038E-2</v>
      </c>
      <c r="Q40" s="77">
        <f t="shared" ca="1" si="13"/>
        <v>3.6648583484026519E-2</v>
      </c>
      <c r="R40" s="77">
        <f t="shared" ca="1" si="13"/>
        <v>4.1665493651642689E-2</v>
      </c>
      <c r="S40" s="77">
        <f t="shared" ca="1" si="13"/>
        <v>4.5091592296852979E-2</v>
      </c>
      <c r="T40" s="77">
        <f t="shared" ca="1" si="13"/>
        <v>4.9282504710827658E-2</v>
      </c>
      <c r="U40" s="77">
        <f t="shared" ca="1" si="13"/>
        <v>5.749345690136011E-2</v>
      </c>
      <c r="V40" s="77">
        <f t="shared" ca="1" si="13"/>
        <v>5.3783156093387123E-2</v>
      </c>
      <c r="W40" s="77">
        <f t="shared" ca="1" si="13"/>
        <v>4.0897181928557735E-2</v>
      </c>
      <c r="X40" s="77">
        <f t="shared" ca="1" si="13"/>
        <v>3.6472733690217071E-2</v>
      </c>
      <c r="Y40" s="62"/>
      <c r="Z40" s="62"/>
      <c r="AA40" s="62"/>
      <c r="AB40" s="62"/>
    </row>
    <row r="41" spans="1:28" x14ac:dyDescent="0.25">
      <c r="A41" s="44" t="s">
        <v>27</v>
      </c>
      <c r="B41" s="110">
        <f t="shared" ca="1" si="12"/>
        <v>47</v>
      </c>
      <c r="C41" s="1">
        <f>IF(ISERROR(D41),"",IF(D41="","",MAX($C$13:C40)+1))</f>
        <v>28</v>
      </c>
      <c r="D41" t="str">
        <f t="shared" si="3"/>
        <v xml:space="preserve">OGE Energy                    </v>
      </c>
      <c r="E41" s="15"/>
      <c r="F41" s="77">
        <f t="shared" ca="1" si="8"/>
        <v>3.8308186477667754E-2</v>
      </c>
      <c r="G41" s="77">
        <f t="shared" si="4"/>
        <v>4.630404463040446E-2</v>
      </c>
      <c r="H41" s="77">
        <f t="shared" si="5"/>
        <v>4.3044619422572185E-2</v>
      </c>
      <c r="I41" s="77">
        <f t="shared" si="6"/>
        <v>4.8082595870206489E-2</v>
      </c>
      <c r="J41" s="77">
        <f t="shared" ca="1" si="10"/>
        <v>4.6758012488532459E-2</v>
      </c>
      <c r="K41" s="77">
        <f t="shared" ca="1" si="10"/>
        <v>3.5361011254434811E-2</v>
      </c>
      <c r="L41" s="77">
        <f t="shared" ca="1" si="11"/>
        <v>3.981959866411669E-2</v>
      </c>
      <c r="M41" s="77">
        <f t="shared" ca="1" si="11"/>
        <v>3.6100056850483231E-2</v>
      </c>
      <c r="N41" s="77">
        <f t="shared" ca="1" si="13"/>
        <v>3.8654618473895584E-2</v>
      </c>
      <c r="O41" s="77">
        <f t="shared" ca="1" si="13"/>
        <v>3.5122930255895635E-2</v>
      </c>
      <c r="P41" s="77">
        <f t="shared" ca="1" si="13"/>
        <v>2.6267765304429577E-2</v>
      </c>
      <c r="Q41" s="77">
        <f t="shared" ca="1" si="13"/>
        <v>2.4793147651788836E-2</v>
      </c>
      <c r="R41" s="77">
        <f t="shared" ca="1" si="13"/>
        <v>2.9415017140329538E-2</v>
      </c>
      <c r="S41" s="77">
        <f t="shared" ca="1" si="13"/>
        <v>3.0627068033249941E-2</v>
      </c>
      <c r="T41" s="77">
        <f t="shared" ca="1" si="13"/>
        <v>3.6776527331189711E-2</v>
      </c>
      <c r="U41" s="77">
        <f t="shared" ca="1" si="13"/>
        <v>4.9552363106391835E-2</v>
      </c>
      <c r="V41" s="77">
        <f t="shared" ca="1" si="13"/>
        <v>4.52485758674262E-2</v>
      </c>
      <c r="W41" s="77">
        <f t="shared" ca="1" si="13"/>
        <v>3.768387416671258E-2</v>
      </c>
      <c r="X41" s="77">
        <f t="shared" ca="1" si="13"/>
        <v>3.9935530085959889E-2</v>
      </c>
      <c r="Y41" s="62"/>
      <c r="Z41" s="62"/>
      <c r="AA41" s="62"/>
      <c r="AB41" s="62"/>
    </row>
    <row r="42" spans="1:28" x14ac:dyDescent="0.25">
      <c r="A42" s="44" t="s">
        <v>28</v>
      </c>
      <c r="B42" s="110">
        <f t="shared" ca="1" si="12"/>
        <v>49</v>
      </c>
      <c r="C42" s="1">
        <f>IF(ISERROR(D42),"",IF(D42="","",MAX($C$13:C41)+1))</f>
        <v>29</v>
      </c>
      <c r="D42" t="str">
        <f t="shared" si="3"/>
        <v xml:space="preserve">Otter Tail Corp.              </v>
      </c>
      <c r="E42" s="15"/>
      <c r="F42" s="77">
        <f t="shared" ca="1" si="8"/>
        <v>3.8409945548168713E-2</v>
      </c>
      <c r="G42" s="77">
        <f t="shared" si="4"/>
        <v>2.3333333333333334E-2</v>
      </c>
      <c r="H42" s="77">
        <f t="shared" si="5"/>
        <v>2.4426350851221319E-2</v>
      </c>
      <c r="I42" s="77">
        <f t="shared" si="6"/>
        <v>2.8082808280828084E-2</v>
      </c>
      <c r="J42" s="77">
        <f t="shared" ca="1" si="10"/>
        <v>3.4543120550822731E-2</v>
      </c>
      <c r="K42" s="77">
        <f t="shared" ca="1" si="10"/>
        <v>2.7443446896930252E-2</v>
      </c>
      <c r="L42" s="77">
        <f t="shared" ca="1" si="11"/>
        <v>2.9241042203116137E-2</v>
      </c>
      <c r="M42" s="77">
        <f t="shared" ca="1" si="11"/>
        <v>3.1191363891122648E-2</v>
      </c>
      <c r="N42" s="77">
        <f t="shared" ca="1" si="13"/>
        <v>3.8688910210777187E-2</v>
      </c>
      <c r="O42" s="77">
        <f t="shared" ca="1" si="13"/>
        <v>4.3325114476928495E-2</v>
      </c>
      <c r="P42" s="77">
        <f t="shared" ca="1" si="13"/>
        <v>4.1439775334771736E-2</v>
      </c>
      <c r="Q42" s="77">
        <f t="shared" ca="1" si="13"/>
        <v>4.1128084606345469E-2</v>
      </c>
      <c r="R42" s="77">
        <f t="shared" ca="1" si="13"/>
        <v>5.2108420545605813E-2</v>
      </c>
      <c r="S42" s="77">
        <f t="shared" ca="1" si="13"/>
        <v>5.569335891795759E-2</v>
      </c>
      <c r="T42" s="77">
        <f t="shared" ca="1" si="13"/>
        <v>5.6837178201270475E-2</v>
      </c>
      <c r="U42" s="77">
        <f t="shared" ca="1" si="13"/>
        <v>5.3790173122994167E-2</v>
      </c>
      <c r="V42" s="77">
        <f t="shared" ca="1" si="13"/>
        <v>3.6323677543420523E-2</v>
      </c>
      <c r="W42" s="77">
        <f t="shared" ca="1" si="13"/>
        <v>3.4559149313247675E-2</v>
      </c>
      <c r="X42" s="77">
        <f t="shared" ca="1" si="13"/>
        <v>3.9223711586343322E-2</v>
      </c>
      <c r="Y42" s="62"/>
      <c r="Z42" s="62"/>
      <c r="AA42" s="62"/>
      <c r="AB42" s="62"/>
    </row>
    <row r="43" spans="1:28" x14ac:dyDescent="0.25">
      <c r="A43" s="44" t="s">
        <v>31</v>
      </c>
      <c r="B43" s="110">
        <f t="shared" ca="1" si="12"/>
        <v>52</v>
      </c>
      <c r="C43" s="1">
        <f>IF(ISERROR(D43),"",IF(D43="","",MAX($C$13:C42)+1))</f>
        <v>30</v>
      </c>
      <c r="D43" t="str">
        <f t="shared" si="3"/>
        <v xml:space="preserve">Pinnacle West Capital         </v>
      </c>
      <c r="E43" s="15"/>
      <c r="F43" s="77">
        <f t="shared" ca="1" si="8"/>
        <v>4.5074309180615391E-2</v>
      </c>
      <c r="G43" s="77">
        <f t="shared" si="4"/>
        <v>4.5148771021992246E-2</v>
      </c>
      <c r="H43" s="77">
        <f t="shared" si="5"/>
        <v>4.8997134670487108E-2</v>
      </c>
      <c r="I43" s="77">
        <f t="shared" si="6"/>
        <v>4.4415069398545927E-2</v>
      </c>
      <c r="J43" s="77">
        <f t="shared" ca="1" si="10"/>
        <v>3.9701562250328795E-2</v>
      </c>
      <c r="K43" s="77">
        <f t="shared" ca="1" si="10"/>
        <v>3.2907911971335475E-2</v>
      </c>
      <c r="L43" s="77">
        <f t="shared" ca="1" si="11"/>
        <v>3.5477650316455694E-2</v>
      </c>
      <c r="M43" s="77">
        <f t="shared" ca="1" si="11"/>
        <v>3.1610742969536615E-2</v>
      </c>
      <c r="N43" s="77">
        <f t="shared" ca="1" si="13"/>
        <v>3.4578240021611403E-2</v>
      </c>
      <c r="O43" s="77">
        <f t="shared" ca="1" si="13"/>
        <v>3.8816417435571113E-2</v>
      </c>
      <c r="P43" s="77">
        <f t="shared" ca="1" si="13"/>
        <v>4.088127725418484E-2</v>
      </c>
      <c r="Q43" s="77">
        <f t="shared" ca="1" si="13"/>
        <v>3.9817465998568363E-2</v>
      </c>
      <c r="R43" s="77">
        <f t="shared" ca="1" si="13"/>
        <v>5.3176658036247756E-2</v>
      </c>
      <c r="S43" s="77">
        <f t="shared" ca="1" si="13"/>
        <v>4.8092337287592185E-2</v>
      </c>
      <c r="T43" s="77">
        <f t="shared" ca="1" si="13"/>
        <v>5.4264968087030678E-2</v>
      </c>
      <c r="U43" s="77">
        <f t="shared" ca="1" si="13"/>
        <v>6.7619783616692422E-2</v>
      </c>
      <c r="V43" s="77">
        <f t="shared" ca="1" si="13"/>
        <v>6.1655901350557839E-2</v>
      </c>
      <c r="W43" s="77">
        <f t="shared" ca="1" si="13"/>
        <v>4.7515612272603862E-2</v>
      </c>
      <c r="X43" s="77">
        <f t="shared" ca="1" si="13"/>
        <v>4.6660061291734826E-2</v>
      </c>
      <c r="Y43" s="62"/>
      <c r="Z43" s="62"/>
      <c r="AA43" s="62"/>
      <c r="AB43" s="62"/>
    </row>
    <row r="44" spans="1:28" x14ac:dyDescent="0.25">
      <c r="A44" s="44" t="s">
        <v>32</v>
      </c>
      <c r="B44" s="110">
        <f t="shared" ca="1" si="12"/>
        <v>53</v>
      </c>
      <c r="C44" s="1">
        <f>IF(ISERROR(D44),"",IF(D44="","",MAX($C$13:C43)+1))</f>
        <v>31</v>
      </c>
      <c r="D44" t="str">
        <f t="shared" si="3"/>
        <v xml:space="preserve">PNM Resources                 </v>
      </c>
      <c r="E44" s="15"/>
      <c r="F44" s="77">
        <f t="shared" ca="1" si="8"/>
        <v>3.1535064664140841E-2</v>
      </c>
      <c r="G44" s="77">
        <f t="shared" si="4"/>
        <v>3.274725274725275E-2</v>
      </c>
      <c r="H44" s="77">
        <f t="shared" si="5"/>
        <v>3.0420711974110035E-2</v>
      </c>
      <c r="I44" s="77">
        <f t="shared" si="6"/>
        <v>2.0873269435569754E-2</v>
      </c>
      <c r="J44" s="77">
        <f t="shared" ca="1" si="10"/>
        <v>2.7971089082324509E-2</v>
      </c>
      <c r="K44" s="77">
        <f t="shared" ca="1" si="10"/>
        <v>2.4515108632314989E-2</v>
      </c>
      <c r="L44" s="77">
        <f t="shared" ca="1" si="11"/>
        <v>2.7945911139729551E-2</v>
      </c>
      <c r="M44" s="77">
        <f t="shared" ca="1" si="11"/>
        <v>2.5320651758166102E-2</v>
      </c>
      <c r="N44" s="77">
        <f t="shared" ref="N44:X58" ca="1" si="14">IFERROR(IF(INDEX(DIV_MP_WP,$B44,N$13)=0,"N/A",INDEX(DIV_MP_WP,$B44,N$13)),"N/A")</f>
        <v>2.6893221685716031E-2</v>
      </c>
      <c r="O44" s="77">
        <f t="shared" ca="1" si="14"/>
        <v>2.8955083426834123E-2</v>
      </c>
      <c r="P44" s="77">
        <f t="shared" ca="1" si="14"/>
        <v>2.7880354505169867E-2</v>
      </c>
      <c r="Q44" s="77">
        <f t="shared" ca="1" si="14"/>
        <v>2.9896680589140471E-2</v>
      </c>
      <c r="R44" s="77">
        <f t="shared" ca="1" si="14"/>
        <v>2.9573730369161739E-2</v>
      </c>
      <c r="S44" s="77">
        <f t="shared" ca="1" si="14"/>
        <v>3.1857279388340237E-2</v>
      </c>
      <c r="T44" s="77">
        <f t="shared" ca="1" si="14"/>
        <v>4.0919878877158526E-2</v>
      </c>
      <c r="U44" s="77">
        <f t="shared" ca="1" si="14"/>
        <v>4.7646274061368399E-2</v>
      </c>
      <c r="V44" s="77">
        <f t="shared" ca="1" si="14"/>
        <v>4.8520330419440212E-2</v>
      </c>
      <c r="W44" s="77">
        <f t="shared" ca="1" si="14"/>
        <v>3.3588011663529323E-2</v>
      </c>
      <c r="X44" s="77">
        <f t="shared" ca="1" si="14"/>
        <v>3.2106324199208537E-2</v>
      </c>
      <c r="Y44" s="62"/>
      <c r="Z44" s="62"/>
      <c r="AA44" s="62"/>
      <c r="AB44" s="62"/>
    </row>
    <row r="45" spans="1:28" x14ac:dyDescent="0.25">
      <c r="A45" s="44" t="s">
        <v>33</v>
      </c>
      <c r="B45" s="110">
        <f t="shared" ca="1" si="12"/>
        <v>54</v>
      </c>
      <c r="C45" s="1">
        <f>IF(ISERROR(D45),"",IF(D45="","",MAX($C$13:C44)+1))</f>
        <v>32</v>
      </c>
      <c r="D45" t="str">
        <f t="shared" si="3"/>
        <v xml:space="preserve">Portland General              </v>
      </c>
      <c r="E45" s="15"/>
      <c r="F45" s="77">
        <f t="shared" ca="1" si="8"/>
        <v>3.6935157462100104E-2</v>
      </c>
      <c r="G45" s="77">
        <f t="shared" si="4"/>
        <v>4.1964285714285718E-2</v>
      </c>
      <c r="H45" s="77">
        <f t="shared" si="5"/>
        <v>3.6308316430020283E-2</v>
      </c>
      <c r="I45" s="77">
        <f t="shared" si="6"/>
        <v>3.6208732694355691E-2</v>
      </c>
      <c r="J45" s="77">
        <f t="shared" ca="1" si="10"/>
        <v>3.4678919155453451E-2</v>
      </c>
      <c r="K45" s="77">
        <f t="shared" ca="1" si="10"/>
        <v>2.846748180931663E-2</v>
      </c>
      <c r="L45" s="77">
        <f t="shared" ca="1" si="11"/>
        <v>3.2703538302988666E-2</v>
      </c>
      <c r="M45" s="77">
        <f t="shared" ca="1" si="11"/>
        <v>2.9211719567492155E-2</v>
      </c>
      <c r="N45" s="77">
        <f t="shared" ca="1" si="14"/>
        <v>3.0608526660998423E-2</v>
      </c>
      <c r="O45" s="77">
        <f t="shared" ca="1" si="14"/>
        <v>3.2653513019896503E-2</v>
      </c>
      <c r="P45" s="77">
        <f t="shared" ca="1" si="14"/>
        <v>3.3390231485640701E-2</v>
      </c>
      <c r="Q45" s="77">
        <f t="shared" ca="1" si="14"/>
        <v>3.6650266090972987E-2</v>
      </c>
      <c r="R45" s="77">
        <f t="shared" ca="1" si="14"/>
        <v>4.1124713083397088E-2</v>
      </c>
      <c r="S45" s="77">
        <f t="shared" ca="1" si="14"/>
        <v>4.3737821815015961E-2</v>
      </c>
      <c r="T45" s="77">
        <f t="shared" ca="1" si="14"/>
        <v>5.1957831325301199E-2</v>
      </c>
      <c r="U45" s="77">
        <f t="shared" ca="1" si="14"/>
        <v>5.3561011825847167E-2</v>
      </c>
      <c r="V45" s="77">
        <f t="shared" ca="1" si="14"/>
        <v>4.282371639221226E-2</v>
      </c>
      <c r="W45" s="77">
        <f t="shared" ca="1" si="14"/>
        <v>3.3424381828637148E-2</v>
      </c>
      <c r="X45" s="77">
        <f t="shared" ca="1" si="14"/>
        <v>2.5357827115969799E-2</v>
      </c>
      <c r="Y45" s="62"/>
      <c r="Z45" s="62"/>
      <c r="AA45" s="62"/>
      <c r="AB45" s="62"/>
    </row>
    <row r="46" spans="1:28" x14ac:dyDescent="0.25">
      <c r="A46" s="44" t="s">
        <v>34</v>
      </c>
      <c r="B46" s="110">
        <f t="shared" ca="1" si="12"/>
        <v>55</v>
      </c>
      <c r="C46" s="1">
        <f>IF(ISERROR(D46),"",IF(D46="","",MAX($C$13:C45)+1))</f>
        <v>33</v>
      </c>
      <c r="D46" t="str">
        <f t="shared" si="3"/>
        <v xml:space="preserve">PPL Corp.                     </v>
      </c>
      <c r="E46" s="15"/>
      <c r="F46" s="77">
        <f t="shared" ca="1" si="8"/>
        <v>4.476391512043159E-2</v>
      </c>
      <c r="G46" s="77">
        <f t="shared" si="4"/>
        <v>3.525046382189239E-2</v>
      </c>
      <c r="H46" s="77">
        <f t="shared" si="5"/>
        <v>3.2293577981651375E-2</v>
      </c>
      <c r="I46" s="77">
        <f t="shared" si="6"/>
        <v>5.8347978910369067E-2</v>
      </c>
      <c r="J46" s="77">
        <f t="shared" ca="1" si="10"/>
        <v>5.8380811704297667E-2</v>
      </c>
      <c r="K46" s="77">
        <f t="shared" ca="1" si="10"/>
        <v>5.2384278366880435E-2</v>
      </c>
      <c r="L46" s="77">
        <f t="shared" ca="1" si="11"/>
        <v>5.6100981767180924E-2</v>
      </c>
      <c r="M46" s="77">
        <f t="shared" ca="1" si="11"/>
        <v>4.2426358046239364E-2</v>
      </c>
      <c r="N46" s="77">
        <f t="shared" ca="1" si="14"/>
        <v>4.2465217634240382E-2</v>
      </c>
      <c r="O46" s="77">
        <f t="shared" ca="1" si="14"/>
        <v>4.5483489493313926E-2</v>
      </c>
      <c r="P46" s="77">
        <f t="shared" ca="1" si="14"/>
        <v>4.4474956719001847E-2</v>
      </c>
      <c r="Q46" s="77">
        <f t="shared" ca="1" si="14"/>
        <v>4.8089505365087673E-2</v>
      </c>
      <c r="R46" s="77">
        <f t="shared" ca="1" si="14"/>
        <v>5.070244005492764E-2</v>
      </c>
      <c r="S46" s="77">
        <f t="shared" ca="1" si="14"/>
        <v>5.1009254536180132E-2</v>
      </c>
      <c r="T46" s="77">
        <f t="shared" ca="1" si="14"/>
        <v>5.124638529960833E-2</v>
      </c>
      <c r="U46" s="77">
        <f t="shared" ca="1" si="14"/>
        <v>4.5146726862302478E-2</v>
      </c>
      <c r="V46" s="77">
        <f t="shared" ca="1" si="14"/>
        <v>3.100846947748415E-2</v>
      </c>
      <c r="W46" s="77">
        <f t="shared" ca="1" si="14"/>
        <v>2.6872246696035242E-2</v>
      </c>
      <c r="X46" s="77">
        <f t="shared" ca="1" si="14"/>
        <v>3.4067329431075599E-2</v>
      </c>
      <c r="Y46" s="62"/>
      <c r="Z46" s="62"/>
      <c r="AA46" s="62"/>
      <c r="AB46" s="62"/>
    </row>
    <row r="47" spans="1:28" x14ac:dyDescent="0.25">
      <c r="A47" s="44" t="s">
        <v>35</v>
      </c>
      <c r="B47" s="110">
        <f t="shared" ca="1" si="12"/>
        <v>56</v>
      </c>
      <c r="C47" s="1">
        <f>IF(ISERROR(D47),"",IF(D47="","",MAX($C$13:C46)+1))</f>
        <v>34</v>
      </c>
      <c r="D47" t="str">
        <f t="shared" si="3"/>
        <v xml:space="preserve">Public Serv. Enterprise       </v>
      </c>
      <c r="E47" s="15"/>
      <c r="F47" s="77">
        <f t="shared" ca="1" si="8"/>
        <v>3.7417144053764402E-2</v>
      </c>
      <c r="G47" s="77">
        <f t="shared" si="4"/>
        <v>3.8255033557046979E-2</v>
      </c>
      <c r="H47" s="77">
        <f t="shared" si="5"/>
        <v>3.372365339578455E-2</v>
      </c>
      <c r="I47" s="77">
        <f t="shared" si="6"/>
        <v>3.3746898263027299E-2</v>
      </c>
      <c r="J47" s="77">
        <f t="shared" ca="1" si="10"/>
        <v>3.6427164256774336E-2</v>
      </c>
      <c r="K47" s="77">
        <f t="shared" ca="1" si="10"/>
        <v>3.1921215722896676E-2</v>
      </c>
      <c r="L47" s="77">
        <f t="shared" ca="1" si="11"/>
        <v>3.4859400418312807E-2</v>
      </c>
      <c r="M47" s="77">
        <f t="shared" ca="1" si="11"/>
        <v>3.7408382087474719E-2</v>
      </c>
      <c r="N47" s="77">
        <f t="shared" ca="1" si="14"/>
        <v>3.7759307439044043E-2</v>
      </c>
      <c r="O47" s="77">
        <f t="shared" ca="1" si="14"/>
        <v>3.80859375E-2</v>
      </c>
      <c r="P47" s="77">
        <f t="shared" ca="1" si="14"/>
        <v>3.9241681028768391E-2</v>
      </c>
      <c r="Q47" s="77">
        <f t="shared" ca="1" si="14"/>
        <v>4.3537414965986392E-2</v>
      </c>
      <c r="R47" s="77">
        <f t="shared" ca="1" si="14"/>
        <v>4.5508444700830049E-2</v>
      </c>
      <c r="S47" s="77">
        <f t="shared" ca="1" si="14"/>
        <v>4.2379435147090673E-2</v>
      </c>
      <c r="T47" s="77">
        <f t="shared" ca="1" si="14"/>
        <v>4.3038451872329735E-2</v>
      </c>
      <c r="U47" s="77">
        <f t="shared" ca="1" si="14"/>
        <v>4.301423027166882E-2</v>
      </c>
      <c r="V47" s="77">
        <f t="shared" ca="1" si="14"/>
        <v>3.259798347358047E-2</v>
      </c>
      <c r="W47" s="77">
        <f t="shared" ca="1" si="14"/>
        <v>2.7307099845959949E-2</v>
      </c>
      <c r="X47" s="77">
        <f t="shared" ca="1" si="14"/>
        <v>3.4696859021183343E-2</v>
      </c>
      <c r="Y47" s="62"/>
      <c r="Z47" s="62"/>
      <c r="AA47" s="62"/>
      <c r="AB47" s="62"/>
    </row>
    <row r="48" spans="1:28" x14ac:dyDescent="0.25">
      <c r="A48" s="44" t="s">
        <v>36</v>
      </c>
      <c r="B48" s="110">
        <f t="shared" ca="1" si="12"/>
        <v>57</v>
      </c>
      <c r="C48" s="1">
        <f>IF(ISERROR(D48),"",IF(D48="","",MAX($C$13:C47)+1))</f>
        <v>35</v>
      </c>
      <c r="D48" t="str">
        <f t="shared" si="3"/>
        <v xml:space="preserve">SCANA Corp.                   </v>
      </c>
      <c r="E48" s="15"/>
      <c r="F48" s="77">
        <f t="shared" ca="1" si="8"/>
        <v>4.3736468855260065E-2</v>
      </c>
      <c r="G48" s="77" t="str">
        <f t="shared" si="4"/>
        <v>N/A</v>
      </c>
      <c r="H48" s="77" t="str">
        <f t="shared" si="5"/>
        <v>N/A</v>
      </c>
      <c r="I48" s="77" t="str">
        <f t="shared" si="6"/>
        <v>N/A</v>
      </c>
      <c r="J48" s="77" t="str">
        <f t="shared" ca="1" si="10"/>
        <v>N/A</v>
      </c>
      <c r="K48" s="77" t="str">
        <f t="shared" ca="1" si="10"/>
        <v>N/A</v>
      </c>
      <c r="L48" s="77" t="str">
        <f t="shared" ca="1" si="11"/>
        <v>N/A</v>
      </c>
      <c r="M48" s="77">
        <f t="shared" ca="1" si="11"/>
        <v>4.0342499588341844E-2</v>
      </c>
      <c r="N48" s="77">
        <f t="shared" ca="1" si="14"/>
        <v>3.2917805670449829E-2</v>
      </c>
      <c r="O48" s="77">
        <f t="shared" ca="1" si="14"/>
        <v>3.901565995525727E-2</v>
      </c>
      <c r="P48" s="77">
        <f t="shared" ca="1" si="14"/>
        <v>4.0513948373654358E-2</v>
      </c>
      <c r="Q48" s="77">
        <f t="shared" ca="1" si="14"/>
        <v>4.1508199402936242E-2</v>
      </c>
      <c r="R48" s="77">
        <f t="shared" ca="1" si="14"/>
        <v>4.2473775661239464E-2</v>
      </c>
      <c r="S48" s="77">
        <f t="shared" ca="1" si="14"/>
        <v>4.7780897492734349E-2</v>
      </c>
      <c r="T48" s="77">
        <f t="shared" ca="1" si="14"/>
        <v>4.9295591936278957E-2</v>
      </c>
      <c r="U48" s="77">
        <f t="shared" ca="1" si="14"/>
        <v>5.6737588652482268E-2</v>
      </c>
      <c r="V48" s="77">
        <f t="shared" ca="1" si="14"/>
        <v>4.9238673767026148E-2</v>
      </c>
      <c r="W48" s="77">
        <f t="shared" ca="1" si="14"/>
        <v>4.2946731412117807E-2</v>
      </c>
      <c r="X48" s="77">
        <f t="shared" ca="1" si="14"/>
        <v>4.2066254350602197E-2</v>
      </c>
      <c r="Y48" s="62"/>
      <c r="Z48" s="62"/>
      <c r="AA48" s="62"/>
      <c r="AB48" s="62"/>
    </row>
    <row r="49" spans="1:28" x14ac:dyDescent="0.25">
      <c r="A49" s="44" t="s">
        <v>37</v>
      </c>
      <c r="B49" s="110">
        <f t="shared" ca="1" si="12"/>
        <v>58</v>
      </c>
      <c r="C49" s="1">
        <f>IF(ISERROR(D49),"",IF(D49="","",MAX($C$13:C48)+1))</f>
        <v>36</v>
      </c>
      <c r="D49" t="str">
        <f t="shared" si="3"/>
        <v xml:space="preserve">Sempra Energy                 </v>
      </c>
      <c r="E49" s="15"/>
      <c r="F49" s="77">
        <f t="shared" ca="1" si="8"/>
        <v>3.0003539421336531E-2</v>
      </c>
      <c r="G49" s="77">
        <f t="shared" si="4"/>
        <v>3.2692307692307694E-2</v>
      </c>
      <c r="H49" s="77">
        <f t="shared" si="5"/>
        <v>2.9915088177661659E-2</v>
      </c>
      <c r="I49" s="77">
        <f t="shared" si="6"/>
        <v>3.3898305084745763E-2</v>
      </c>
      <c r="J49" s="77">
        <f t="shared" ca="1" si="10"/>
        <v>3.2382516539873875E-2</v>
      </c>
      <c r="K49" s="77">
        <f t="shared" ca="1" si="10"/>
        <v>2.8817370843075639E-2</v>
      </c>
      <c r="L49" s="77">
        <f t="shared" ca="1" si="11"/>
        <v>3.2020321276519624E-2</v>
      </c>
      <c r="M49" s="77">
        <f t="shared" ca="1" si="11"/>
        <v>2.9202652204400811E-2</v>
      </c>
      <c r="N49" s="77">
        <f t="shared" ca="1" si="14"/>
        <v>2.9223921037352427E-2</v>
      </c>
      <c r="O49" s="77">
        <f t="shared" ca="1" si="14"/>
        <v>2.7140724657348351E-2</v>
      </c>
      <c r="P49" s="77">
        <f t="shared" ca="1" si="14"/>
        <v>2.6070211820471041E-2</v>
      </c>
      <c r="Q49" s="77">
        <f t="shared" ca="1" si="14"/>
        <v>3.0337687353277555E-2</v>
      </c>
      <c r="R49" s="77">
        <f t="shared" ca="1" si="14"/>
        <v>3.7058196809906886E-2</v>
      </c>
      <c r="S49" s="77">
        <f t="shared" ca="1" si="14"/>
        <v>3.6490801277178041E-2</v>
      </c>
      <c r="T49" s="77">
        <f t="shared" ca="1" si="14"/>
        <v>3.0810554589982622E-2</v>
      </c>
      <c r="U49" s="77">
        <f t="shared" ca="1" si="14"/>
        <v>3.2345684131953809E-2</v>
      </c>
      <c r="V49" s="77">
        <f t="shared" ca="1" si="14"/>
        <v>2.6209060299969392E-2</v>
      </c>
      <c r="W49" s="77">
        <f t="shared" ca="1" si="14"/>
        <v>2.078131022809164E-2</v>
      </c>
      <c r="X49" s="77">
        <f t="shared" ca="1" si="14"/>
        <v>2.4666995559940796E-2</v>
      </c>
      <c r="Y49" s="62"/>
      <c r="Z49" s="62"/>
      <c r="AA49" s="62"/>
      <c r="AB49" s="62"/>
    </row>
    <row r="50" spans="1:28" x14ac:dyDescent="0.25">
      <c r="A50" s="44" t="s">
        <v>38</v>
      </c>
      <c r="B50" s="110">
        <f t="shared" ca="1" si="12"/>
        <v>62</v>
      </c>
      <c r="C50" s="1">
        <f>IF(ISERROR(D50),"",IF(D50="","",MAX($C$13:C49)+1))</f>
        <v>37</v>
      </c>
      <c r="D50" t="str">
        <f t="shared" si="3"/>
        <v xml:space="preserve">Southern Co.                  </v>
      </c>
      <c r="E50" s="15"/>
      <c r="F50" s="77">
        <f t="shared" ca="1" si="8"/>
        <v>4.5753628645686037E-2</v>
      </c>
      <c r="G50" s="77">
        <f t="shared" si="4"/>
        <v>4.1307578008915304E-2</v>
      </c>
      <c r="H50" s="77">
        <f t="shared" si="5"/>
        <v>3.8216560509554139E-2</v>
      </c>
      <c r="I50" s="77">
        <f t="shared" si="6"/>
        <v>4.1719745222929934E-2</v>
      </c>
      <c r="J50" s="77">
        <f t="shared" ca="1" si="10"/>
        <v>4.3634364638985762E-2</v>
      </c>
      <c r="K50" s="77">
        <f t="shared" ca="1" si="10"/>
        <v>4.413426864493443E-2</v>
      </c>
      <c r="L50" s="77">
        <f t="shared" ca="1" si="11"/>
        <v>5.2672347017815639E-2</v>
      </c>
      <c r="M50" s="77">
        <f t="shared" ca="1" si="11"/>
        <v>4.6273941735071621E-2</v>
      </c>
      <c r="N50" s="77">
        <f t="shared" ca="1" si="14"/>
        <v>4.4233524355300854E-2</v>
      </c>
      <c r="O50" s="77">
        <f t="shared" ca="1" si="14"/>
        <v>4.7833814707842703E-2</v>
      </c>
      <c r="P50" s="77">
        <f t="shared" ca="1" si="14"/>
        <v>4.6870077854281988E-2</v>
      </c>
      <c r="Q50" s="77">
        <f t="shared" ca="1" si="14"/>
        <v>4.606196512745412E-2</v>
      </c>
      <c r="R50" s="77">
        <f t="shared" ca="1" si="14"/>
        <v>4.2888045205721349E-2</v>
      </c>
      <c r="S50" s="77">
        <f t="shared" ca="1" si="14"/>
        <v>4.6349913387775304E-2</v>
      </c>
      <c r="T50" s="77">
        <f t="shared" ca="1" si="14"/>
        <v>5.128423926956225E-2</v>
      </c>
      <c r="U50" s="77">
        <f t="shared" ca="1" si="14"/>
        <v>5.5247385870951293E-2</v>
      </c>
      <c r="V50" s="77">
        <f t="shared" ca="1" si="14"/>
        <v>4.5830347792537064E-2</v>
      </c>
      <c r="W50" s="77">
        <f t="shared" ca="1" si="14"/>
        <v>4.3854825405554028E-2</v>
      </c>
      <c r="X50" s="77">
        <f t="shared" ca="1" si="14"/>
        <v>4.515237086716084E-2</v>
      </c>
      <c r="Y50" s="62"/>
      <c r="Z50" s="62"/>
      <c r="AA50" s="62"/>
      <c r="AB50" s="62"/>
    </row>
    <row r="51" spans="1:28" x14ac:dyDescent="0.25">
      <c r="A51" s="44" t="s">
        <v>42</v>
      </c>
      <c r="B51" s="110">
        <f t="shared" ca="1" si="12"/>
        <v>70</v>
      </c>
      <c r="C51" s="1">
        <f>IF(ISERROR(D51),"",IF(D51="","",MAX($C$13:C50)+1))</f>
        <v>38</v>
      </c>
      <c r="D51" t="str">
        <f t="shared" si="3"/>
        <v xml:space="preserve">Vectren Corp.                 </v>
      </c>
      <c r="E51" s="15"/>
      <c r="F51" s="77">
        <f t="shared" ca="1" si="8"/>
        <v>4.3803954476513592E-2</v>
      </c>
      <c r="G51" s="77" t="str">
        <f t="shared" si="4"/>
        <v>N/A</v>
      </c>
      <c r="H51" s="77" t="str">
        <f t="shared" si="5"/>
        <v>N/A</v>
      </c>
      <c r="I51" s="77" t="str">
        <f t="shared" si="6"/>
        <v>N/A</v>
      </c>
      <c r="J51" s="77" t="str">
        <f t="shared" ca="1" si="10"/>
        <v>N/A</v>
      </c>
      <c r="K51" s="77" t="str">
        <f t="shared" ca="1" si="10"/>
        <v>N/A</v>
      </c>
      <c r="L51" s="77" t="str">
        <f t="shared" ca="1" si="11"/>
        <v>N/A</v>
      </c>
      <c r="M51" s="77">
        <f t="shared" ca="1" si="11"/>
        <v>2.7943916070202961E-2</v>
      </c>
      <c r="N51" s="77">
        <f t="shared" ca="1" si="14"/>
        <v>3.3126124652380171E-2</v>
      </c>
      <c r="O51" s="77">
        <f t="shared" ca="1" si="14"/>
        <v>3.5952747817154594E-2</v>
      </c>
      <c r="P51" s="77">
        <f t="shared" ca="1" si="14"/>
        <v>3.616994921342747E-2</v>
      </c>
      <c r="Q51" s="77">
        <f t="shared" ca="1" si="14"/>
        <v>4.1541556132116728E-2</v>
      </c>
      <c r="R51" s="77">
        <f t="shared" ca="1" si="14"/>
        <v>4.8223785824609573E-2</v>
      </c>
      <c r="S51" s="77">
        <f t="shared" ca="1" si="14"/>
        <v>5.058621571277256E-2</v>
      </c>
      <c r="T51" s="77">
        <f t="shared" ca="1" si="14"/>
        <v>5.5313307493540055E-2</v>
      </c>
      <c r="U51" s="77">
        <f t="shared" ca="1" si="14"/>
        <v>5.8507410938718904E-2</v>
      </c>
      <c r="V51" s="77">
        <f t="shared" ca="1" si="14"/>
        <v>4.7871368536451679E-2</v>
      </c>
      <c r="W51" s="77">
        <f t="shared" ca="1" si="14"/>
        <v>4.5258543886532908E-2</v>
      </c>
      <c r="X51" s="77">
        <f t="shared" ca="1" si="14"/>
        <v>4.5152527440255497E-2</v>
      </c>
      <c r="Y51" s="62"/>
      <c r="Z51" s="62"/>
      <c r="AA51" s="62"/>
      <c r="AB51" s="62"/>
    </row>
    <row r="52" spans="1:28" x14ac:dyDescent="0.25">
      <c r="A52" s="44" t="s">
        <v>44</v>
      </c>
      <c r="B52" s="110">
        <f t="shared" ca="1" si="12"/>
        <v>71</v>
      </c>
      <c r="C52" s="1">
        <f>IF(ISERROR(D52),"",IF(D52="","",MAX($C$13:C51)+1))</f>
        <v>39</v>
      </c>
      <c r="D52" t="str">
        <f t="shared" si="3"/>
        <v>WEC Energy Group</v>
      </c>
      <c r="E52" s="15"/>
      <c r="F52" s="77">
        <f t="shared" ca="1" si="8"/>
        <v>3.0563979387893181E-2</v>
      </c>
      <c r="G52" s="77">
        <f t="shared" si="4"/>
        <v>3.5697940503432495E-2</v>
      </c>
      <c r="H52" s="77">
        <f t="shared" si="5"/>
        <v>3.0761099365750531E-2</v>
      </c>
      <c r="I52" s="77">
        <f t="shared" si="6"/>
        <v>3.002770083102493E-2</v>
      </c>
      <c r="J52" s="77">
        <f t="shared" ca="1" si="10"/>
        <v>2.6824148094743313E-2</v>
      </c>
      <c r="K52" s="77">
        <f t="shared" ca="1" si="10"/>
        <v>2.8069173862365897E-2</v>
      </c>
      <c r="L52" s="77">
        <f t="shared" ca="1" si="11"/>
        <v>3.3817903596021423E-2</v>
      </c>
      <c r="M52" s="77">
        <f t="shared" ca="1" si="11"/>
        <v>3.3100463088209554E-2</v>
      </c>
      <c r="N52" s="77">
        <f t="shared" ca="1" si="14"/>
        <v>3.3535449341146981E-2</v>
      </c>
      <c r="O52" s="77">
        <f t="shared" ca="1" si="14"/>
        <v>3.4855071012199278E-2</v>
      </c>
      <c r="P52" s="77">
        <f t="shared" ca="1" si="14"/>
        <v>3.4009897752294578E-2</v>
      </c>
      <c r="Q52" s="77">
        <f t="shared" ca="1" si="14"/>
        <v>3.4881475401921498E-2</v>
      </c>
      <c r="R52" s="77">
        <f t="shared" ca="1" si="14"/>
        <v>3.2407907529437181E-2</v>
      </c>
      <c r="S52" s="77">
        <f t="shared" ca="1" si="14"/>
        <v>3.3481424248277637E-2</v>
      </c>
      <c r="T52" s="77">
        <f t="shared" ca="1" si="14"/>
        <v>2.9739776951672865E-2</v>
      </c>
      <c r="U52" s="77">
        <f t="shared" ca="1" si="14"/>
        <v>3.1610002809778028E-2</v>
      </c>
      <c r="V52" s="77">
        <f t="shared" ca="1" si="14"/>
        <v>2.4129764511372269E-2</v>
      </c>
      <c r="W52" s="77">
        <f t="shared" ca="1" si="14"/>
        <v>2.1376656690893545E-2</v>
      </c>
      <c r="X52" s="77">
        <f t="shared" ca="1" si="14"/>
        <v>2.1825773391535398E-2</v>
      </c>
      <c r="Y52" s="62"/>
      <c r="Z52" s="62"/>
      <c r="AA52" s="62"/>
      <c r="AB52" s="62"/>
    </row>
    <row r="53" spans="1:28" x14ac:dyDescent="0.25">
      <c r="A53" s="44" t="s">
        <v>43</v>
      </c>
      <c r="B53" s="110">
        <f t="shared" ca="1" si="12"/>
        <v>72</v>
      </c>
      <c r="C53" s="1">
        <f>IF(ISERROR(D53),"",IF(D53="","",MAX($C$13:C52)+1))</f>
        <v>40</v>
      </c>
      <c r="D53" s="31" t="str">
        <f t="shared" si="3"/>
        <v xml:space="preserve">Westar Energy                 </v>
      </c>
      <c r="E53" s="177"/>
      <c r="F53" s="77">
        <f t="shared" ca="1" si="8"/>
        <v>4.370468711843644E-2</v>
      </c>
      <c r="G53" s="77" t="str">
        <f t="shared" si="4"/>
        <v>N/A</v>
      </c>
      <c r="H53" s="77" t="str">
        <f t="shared" si="5"/>
        <v>N/A</v>
      </c>
      <c r="I53" s="77" t="str">
        <f t="shared" si="6"/>
        <v>N/A</v>
      </c>
      <c r="J53" s="77" t="str">
        <f t="shared" ca="1" si="10"/>
        <v>N/A</v>
      </c>
      <c r="K53" s="77" t="str">
        <f t="shared" ca="1" si="10"/>
        <v>N/A</v>
      </c>
      <c r="L53" s="77" t="str">
        <f t="shared" ca="1" si="11"/>
        <v>N/A</v>
      </c>
      <c r="M53" s="77">
        <f t="shared" ca="1" si="11"/>
        <v>3.0046948356807514E-2</v>
      </c>
      <c r="N53" s="178">
        <f t="shared" ca="1" si="14"/>
        <v>2.8977770999351813E-2</v>
      </c>
      <c r="O53" s="178">
        <f t="shared" ca="1" si="14"/>
        <v>3.7335684098628426E-2</v>
      </c>
      <c r="P53" s="178">
        <f t="shared" ca="1" si="14"/>
        <v>3.8790834280014404E-2</v>
      </c>
      <c r="Q53" s="178">
        <f t="shared" ca="1" si="14"/>
        <v>4.2681395932714035E-2</v>
      </c>
      <c r="R53" s="178">
        <f t="shared" ca="1" si="14"/>
        <v>4.5715868947842353E-2</v>
      </c>
      <c r="S53" s="178">
        <f t="shared" ca="1" si="14"/>
        <v>4.8387706498317772E-2</v>
      </c>
      <c r="T53" s="178">
        <f t="shared" ca="1" si="14"/>
        <v>5.3168681931223739E-2</v>
      </c>
      <c r="U53" s="178">
        <f t="shared" ca="1" si="14"/>
        <v>6.2722140915743255E-2</v>
      </c>
      <c r="V53" s="178">
        <f t="shared" ca="1" si="14"/>
        <v>5.220287115791368E-2</v>
      </c>
      <c r="W53" s="178">
        <f t="shared" ca="1" si="14"/>
        <v>4.1618497109826597E-2</v>
      </c>
      <c r="X53" s="178">
        <f t="shared" ca="1" si="14"/>
        <v>4.2807845192853709E-2</v>
      </c>
      <c r="Y53" s="62"/>
      <c r="Z53" s="62"/>
      <c r="AA53" s="62"/>
      <c r="AB53" s="62"/>
    </row>
    <row r="54" spans="1:28" x14ac:dyDescent="0.25">
      <c r="A54" s="44" t="s">
        <v>45</v>
      </c>
      <c r="B54" s="110">
        <f t="shared" ca="1" si="12"/>
        <v>74</v>
      </c>
      <c r="C54" s="1">
        <f>IF(ISERROR(D54),"",IF(D54="","",MAX($C$13:C53)+1))</f>
        <v>41</v>
      </c>
      <c r="D54" t="str">
        <f t="shared" si="3"/>
        <v xml:space="preserve">Xcel Energy Inc.              </v>
      </c>
      <c r="E54" s="15"/>
      <c r="F54" s="77">
        <f t="shared" ca="1" si="8"/>
        <v>3.6845850623726473E-2</v>
      </c>
      <c r="G54" s="77">
        <f t="shared" si="4"/>
        <v>3.2833464877663775E-2</v>
      </c>
      <c r="H54" s="77">
        <f t="shared" si="5"/>
        <v>2.8974739970282319E-2</v>
      </c>
      <c r="I54" s="77">
        <f t="shared" si="6"/>
        <v>2.8132205995388158E-2</v>
      </c>
      <c r="J54" s="77">
        <f t="shared" ca="1" si="10"/>
        <v>2.581574760603968E-2</v>
      </c>
      <c r="K54" s="77">
        <f t="shared" ca="1" si="10"/>
        <v>2.7471129877397367E-2</v>
      </c>
      <c r="L54" s="77">
        <f t="shared" ca="1" si="11"/>
        <v>3.2503635274997861E-2</v>
      </c>
      <c r="M54" s="77">
        <f t="shared" ca="1" si="11"/>
        <v>3.0999074333196992E-2</v>
      </c>
      <c r="N54" s="77">
        <f t="shared" ca="1" si="14"/>
        <v>3.3309657351392394E-2</v>
      </c>
      <c r="O54" s="77">
        <f t="shared" ca="1" si="14"/>
        <v>3.6856805551556335E-2</v>
      </c>
      <c r="P54" s="77">
        <f t="shared" ca="1" si="14"/>
        <v>3.8284839203675342E-2</v>
      </c>
      <c r="Q54" s="77">
        <f t="shared" ca="1" si="14"/>
        <v>3.8642297650130553E-2</v>
      </c>
      <c r="R54" s="77">
        <f t="shared" ca="1" si="14"/>
        <v>3.9022611232676876E-2</v>
      </c>
      <c r="S54" s="77">
        <f t="shared" ca="1" si="14"/>
        <v>4.2045964812017798E-2</v>
      </c>
      <c r="T54" s="77">
        <f t="shared" ca="1" si="14"/>
        <v>4.5369992287101313E-2</v>
      </c>
      <c r="U54" s="77">
        <f t="shared" ca="1" si="14"/>
        <v>5.1404345521992578E-2</v>
      </c>
      <c r="V54" s="77">
        <f t="shared" ca="1" si="14"/>
        <v>4.7042338104293861E-2</v>
      </c>
      <c r="W54" s="77">
        <f t="shared" ca="1" si="14"/>
        <v>4.047682590516858E-2</v>
      </c>
      <c r="X54" s="77">
        <f t="shared" ca="1" si="14"/>
        <v>4.4039635672104893E-2</v>
      </c>
      <c r="Y54" s="62"/>
      <c r="Z54" s="62"/>
      <c r="AA54" s="62"/>
      <c r="AB54" s="62"/>
    </row>
    <row r="55" spans="1:28" hidden="1" x14ac:dyDescent="0.25">
      <c r="A55" s="44"/>
      <c r="B55" s="110" t="str">
        <f t="shared" ca="1" si="12"/>
        <v/>
      </c>
      <c r="C55" s="1" t="str">
        <f>IF(ISERROR(D55),"",IF(D55="","",MAX($C$13:C54)+1))</f>
        <v/>
      </c>
      <c r="D55" t="e">
        <f t="shared" si="3"/>
        <v>#N/A</v>
      </c>
      <c r="E55" s="15"/>
      <c r="F55" s="77" t="str">
        <f t="shared" ca="1" si="8"/>
        <v>N/A</v>
      </c>
      <c r="G55" s="77"/>
      <c r="H55" s="77" t="str">
        <f t="shared" si="5"/>
        <v>N/A</v>
      </c>
      <c r="I55" s="77" t="str">
        <f t="shared" si="6"/>
        <v>N/A</v>
      </c>
      <c r="J55" s="77" t="str">
        <f t="shared" ca="1" si="10"/>
        <v>N/A</v>
      </c>
      <c r="K55" s="77" t="str">
        <f t="shared" ca="1" si="10"/>
        <v>N/A</v>
      </c>
      <c r="L55" s="77"/>
      <c r="M55" s="77" t="str">
        <f t="shared" ca="1" si="11"/>
        <v>N/A</v>
      </c>
      <c r="N55" s="77" t="str">
        <f t="shared" ca="1" si="14"/>
        <v>N/A</v>
      </c>
      <c r="O55" s="77" t="str">
        <f t="shared" ca="1" si="14"/>
        <v>N/A</v>
      </c>
      <c r="P55" s="77" t="str">
        <f t="shared" ca="1" si="14"/>
        <v>N/A</v>
      </c>
      <c r="Q55" s="77" t="str">
        <f t="shared" ca="1" si="14"/>
        <v>N/A</v>
      </c>
      <c r="R55" s="77" t="str">
        <f t="shared" ca="1" si="14"/>
        <v>N/A</v>
      </c>
      <c r="S55" s="77" t="str">
        <f t="shared" ca="1" si="14"/>
        <v>N/A</v>
      </c>
      <c r="T55" s="77" t="str">
        <f t="shared" ca="1" si="14"/>
        <v>N/A</v>
      </c>
      <c r="U55" s="77" t="str">
        <f t="shared" ca="1" si="14"/>
        <v>N/A</v>
      </c>
      <c r="V55" s="77" t="str">
        <f t="shared" ca="1" si="14"/>
        <v>N/A</v>
      </c>
      <c r="W55" s="77" t="str">
        <f t="shared" ca="1" si="14"/>
        <v>N/A</v>
      </c>
      <c r="X55" s="77" t="str">
        <f t="shared" ca="1" si="14"/>
        <v>N/A</v>
      </c>
      <c r="Y55" s="62"/>
      <c r="Z55" s="62"/>
      <c r="AA55" s="62"/>
      <c r="AB55" s="62"/>
    </row>
    <row r="56" spans="1:28" hidden="1" x14ac:dyDescent="0.25">
      <c r="A56" s="50"/>
      <c r="B56" s="110" t="str">
        <f t="shared" ca="1" si="12"/>
        <v/>
      </c>
      <c r="C56" s="1" t="str">
        <f>IF(ISERROR(D56),"",IF(D56="","",MAX($C$13:C55)+1))</f>
        <v/>
      </c>
      <c r="D56" t="e">
        <f t="shared" si="3"/>
        <v>#N/A</v>
      </c>
      <c r="F56" s="77" t="str">
        <f t="shared" ca="1" si="8"/>
        <v>N/A</v>
      </c>
      <c r="G56" s="77"/>
      <c r="H56" s="77" t="str">
        <f t="shared" si="5"/>
        <v>N/A</v>
      </c>
      <c r="I56" s="77" t="str">
        <f t="shared" si="6"/>
        <v>N/A</v>
      </c>
      <c r="J56" s="77" t="str">
        <f t="shared" ca="1" si="10"/>
        <v>N/A</v>
      </c>
      <c r="K56" s="77" t="str">
        <f t="shared" ca="1" si="10"/>
        <v>N/A</v>
      </c>
      <c r="L56" s="77"/>
      <c r="M56" s="77" t="str">
        <f t="shared" ca="1" si="11"/>
        <v>N/A</v>
      </c>
      <c r="N56" s="77" t="str">
        <f t="shared" ca="1" si="14"/>
        <v>N/A</v>
      </c>
      <c r="O56" s="77" t="str">
        <f t="shared" ca="1" si="14"/>
        <v>N/A</v>
      </c>
      <c r="P56" s="77" t="str">
        <f t="shared" ca="1" si="14"/>
        <v>N/A</v>
      </c>
      <c r="Q56" s="77" t="str">
        <f t="shared" ca="1" si="14"/>
        <v>N/A</v>
      </c>
      <c r="R56" s="77" t="str">
        <f t="shared" ca="1" si="14"/>
        <v>N/A</v>
      </c>
      <c r="S56" s="77" t="str">
        <f t="shared" ca="1" si="14"/>
        <v>N/A</v>
      </c>
      <c r="T56" s="77" t="str">
        <f t="shared" ca="1" si="14"/>
        <v>N/A</v>
      </c>
      <c r="U56" s="77" t="str">
        <f t="shared" ca="1" si="14"/>
        <v>N/A</v>
      </c>
      <c r="V56" s="77" t="str">
        <f t="shared" ca="1" si="14"/>
        <v>N/A</v>
      </c>
      <c r="W56" s="77" t="str">
        <f t="shared" ca="1" si="14"/>
        <v>N/A</v>
      </c>
      <c r="X56" s="77" t="str">
        <f t="shared" ca="1" si="14"/>
        <v>N/A</v>
      </c>
      <c r="Y56" s="62"/>
      <c r="Z56" s="62"/>
      <c r="AA56" s="62"/>
      <c r="AB56" s="62"/>
    </row>
    <row r="57" spans="1:28" hidden="1" x14ac:dyDescent="0.25">
      <c r="A57" s="50"/>
      <c r="B57" s="110" t="str">
        <f t="shared" ca="1" si="12"/>
        <v/>
      </c>
      <c r="C57" s="1" t="str">
        <f>IF(ISERROR(D57),"",IF(D57="","",MAX($C$13:C56)+1))</f>
        <v/>
      </c>
      <c r="D57" t="e">
        <f t="shared" si="3"/>
        <v>#N/A</v>
      </c>
      <c r="F57" s="77" t="str">
        <f t="shared" ca="1" si="8"/>
        <v>N/A</v>
      </c>
      <c r="G57" s="77"/>
      <c r="H57" s="77" t="str">
        <f t="shared" si="5"/>
        <v>N/A</v>
      </c>
      <c r="I57" s="77" t="str">
        <f t="shared" si="6"/>
        <v>N/A</v>
      </c>
      <c r="J57" s="77" t="str">
        <f t="shared" ca="1" si="10"/>
        <v>N/A</v>
      </c>
      <c r="K57" s="77" t="str">
        <f t="shared" ca="1" si="10"/>
        <v>N/A</v>
      </c>
      <c r="L57" s="77"/>
      <c r="M57" s="77" t="str">
        <f t="shared" ca="1" si="11"/>
        <v>N/A</v>
      </c>
      <c r="N57" s="77" t="str">
        <f t="shared" ca="1" si="14"/>
        <v>N/A</v>
      </c>
      <c r="O57" s="77" t="str">
        <f t="shared" ca="1" si="14"/>
        <v>N/A</v>
      </c>
      <c r="P57" s="77" t="str">
        <f t="shared" ca="1" si="14"/>
        <v>N/A</v>
      </c>
      <c r="Q57" s="77" t="str">
        <f t="shared" ca="1" si="14"/>
        <v>N/A</v>
      </c>
      <c r="R57" s="77" t="str">
        <f t="shared" ca="1" si="14"/>
        <v>N/A</v>
      </c>
      <c r="S57" s="77" t="str">
        <f t="shared" ca="1" si="14"/>
        <v>N/A</v>
      </c>
      <c r="T57" s="77" t="str">
        <f t="shared" ca="1" si="14"/>
        <v>N/A</v>
      </c>
      <c r="U57" s="77" t="str">
        <f t="shared" ca="1" si="14"/>
        <v>N/A</v>
      </c>
      <c r="V57" s="77" t="str">
        <f t="shared" ca="1" si="14"/>
        <v>N/A</v>
      </c>
      <c r="W57" s="77" t="str">
        <f t="shared" ca="1" si="14"/>
        <v>N/A</v>
      </c>
      <c r="X57" s="77" t="str">
        <f t="shared" ca="1" si="14"/>
        <v>N/A</v>
      </c>
      <c r="Y57" s="62"/>
      <c r="Z57" s="62"/>
      <c r="AA57" s="62"/>
      <c r="AB57" s="62"/>
    </row>
    <row r="58" spans="1:28" hidden="1" x14ac:dyDescent="0.25">
      <c r="A58" s="50"/>
      <c r="B58" s="110" t="str">
        <f t="shared" ca="1" si="12"/>
        <v/>
      </c>
      <c r="C58" s="1" t="str">
        <f>IF(ISERROR(D58),"",IF(D58="","",MAX($C$13:C57)+1))</f>
        <v/>
      </c>
      <c r="D58" t="e">
        <f t="shared" si="3"/>
        <v>#N/A</v>
      </c>
      <c r="F58" s="77" t="str">
        <f t="shared" ca="1" si="8"/>
        <v>N/A</v>
      </c>
      <c r="G58" s="77"/>
      <c r="H58" s="77" t="str">
        <f t="shared" si="5"/>
        <v>N/A</v>
      </c>
      <c r="I58" s="77" t="str">
        <f t="shared" si="6"/>
        <v>N/A</v>
      </c>
      <c r="J58" s="77" t="str">
        <f t="shared" ca="1" si="10"/>
        <v>N/A</v>
      </c>
      <c r="K58" s="77" t="str">
        <f t="shared" ca="1" si="10"/>
        <v>N/A</v>
      </c>
      <c r="L58" s="77"/>
      <c r="M58" s="77" t="str">
        <f t="shared" ca="1" si="11"/>
        <v>N/A</v>
      </c>
      <c r="N58" s="77" t="str">
        <f t="shared" ca="1" si="14"/>
        <v>N/A</v>
      </c>
      <c r="O58" s="77" t="str">
        <f t="shared" ca="1" si="14"/>
        <v>N/A</v>
      </c>
      <c r="P58" s="77" t="str">
        <f t="shared" ca="1" si="14"/>
        <v>N/A</v>
      </c>
      <c r="Q58" s="77" t="str">
        <f t="shared" ca="1" si="14"/>
        <v>N/A</v>
      </c>
      <c r="R58" s="77" t="str">
        <f t="shared" ca="1" si="14"/>
        <v>N/A</v>
      </c>
      <c r="S58" s="77" t="str">
        <f t="shared" ca="1" si="14"/>
        <v>N/A</v>
      </c>
      <c r="T58" s="77" t="str">
        <f t="shared" ca="1" si="14"/>
        <v>N/A</v>
      </c>
      <c r="U58" s="77" t="str">
        <f t="shared" ca="1" si="14"/>
        <v>N/A</v>
      </c>
      <c r="V58" s="77" t="str">
        <f t="shared" ca="1" si="14"/>
        <v>N/A</v>
      </c>
      <c r="W58" s="77" t="str">
        <f t="shared" ca="1" si="14"/>
        <v>N/A</v>
      </c>
      <c r="X58" s="77" t="str">
        <f t="shared" ca="1" si="14"/>
        <v>N/A</v>
      </c>
      <c r="Y58" s="62"/>
      <c r="Z58" s="62"/>
      <c r="AA58" s="62"/>
      <c r="AB58" s="62"/>
    </row>
    <row r="59" spans="1:28" x14ac:dyDescent="0.25">
      <c r="A59" s="31"/>
      <c r="B59" s="31"/>
      <c r="C59" s="1" t="str">
        <f>IF(ISERROR(D59),"",IF(D59="","",MAX($C$13:C58)+1))</f>
        <v/>
      </c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62"/>
      <c r="Z59" s="62"/>
      <c r="AA59" s="62"/>
      <c r="AB59" s="62"/>
    </row>
    <row r="60" spans="1:28" x14ac:dyDescent="0.25">
      <c r="A60" s="31"/>
      <c r="B60" s="31"/>
      <c r="C60" s="1">
        <f>IF(ISERROR(D60),"",IF(D60="","",MAX($C$13:C59)+1))</f>
        <v>42</v>
      </c>
      <c r="D60" s="104" t="s">
        <v>98</v>
      </c>
      <c r="E60" s="104"/>
      <c r="F60" s="108">
        <f ca="1">AVERAGE(G60:X60)</f>
        <v>3.8332379233086446E-2</v>
      </c>
      <c r="G60" s="108">
        <f>AVERAGE(G14:G59)</f>
        <v>3.8558876817275801E-2</v>
      </c>
      <c r="H60" s="108">
        <f t="shared" ref="H60:X60" si="15">AVERAGE(H14:H59)</f>
        <v>3.4232951067182625E-2</v>
      </c>
      <c r="I60" s="108">
        <f t="shared" si="15"/>
        <v>3.5152763253634325E-2</v>
      </c>
      <c r="J60" s="108">
        <f t="shared" ca="1" si="15"/>
        <v>3.5552989327837702E-2</v>
      </c>
      <c r="K60" s="108">
        <f t="shared" ca="1" si="15"/>
        <v>3.1920917629769771E-2</v>
      </c>
      <c r="L60" s="108">
        <f t="shared" ca="1" si="15"/>
        <v>3.5607982262693655E-2</v>
      </c>
      <c r="M60" s="108">
        <f t="shared" ca="1" si="15"/>
        <v>3.3633705773950931E-2</v>
      </c>
      <c r="N60" s="108">
        <f t="shared" ca="1" si="15"/>
        <v>3.4923580008339096E-2</v>
      </c>
      <c r="O60" s="108">
        <f t="shared" ca="1" si="15"/>
        <v>3.7200607401704985E-2</v>
      </c>
      <c r="P60" s="108">
        <f t="shared" ca="1" si="15"/>
        <v>3.6554450418274188E-2</v>
      </c>
      <c r="Q60" s="108">
        <f t="shared" ca="1" si="15"/>
        <v>3.861724192737518E-2</v>
      </c>
      <c r="R60" s="108">
        <f t="shared" ca="1" si="15"/>
        <v>4.1781256859320472E-2</v>
      </c>
      <c r="S60" s="108">
        <f t="shared" ca="1" si="15"/>
        <v>4.3035998323461729E-2</v>
      </c>
      <c r="T60" s="108">
        <f t="shared" ca="1" si="15"/>
        <v>4.6420739198487979E-2</v>
      </c>
      <c r="U60" s="108">
        <f t="shared" ca="1" si="15"/>
        <v>5.1552193259447807E-2</v>
      </c>
      <c r="V60" s="108">
        <f t="shared" ca="1" si="15"/>
        <v>4.24931096647434E-2</v>
      </c>
      <c r="W60" s="108">
        <f t="shared" ca="1" si="15"/>
        <v>3.5424788166653863E-2</v>
      </c>
      <c r="X60" s="108">
        <f t="shared" ca="1" si="15"/>
        <v>3.7318674835402577E-2</v>
      </c>
      <c r="Y60" s="62"/>
      <c r="Z60" s="62"/>
      <c r="AA60" s="62"/>
      <c r="AB60" s="62"/>
    </row>
    <row r="61" spans="1:28" x14ac:dyDescent="0.25">
      <c r="A61" s="31"/>
      <c r="B61" s="31"/>
      <c r="C61" s="1">
        <f>IF(ISERROR(D61),"",IF(D61="","",MAX($C$13:C60)+1))</f>
        <v>43</v>
      </c>
      <c r="D61" t="s">
        <v>257</v>
      </c>
      <c r="F61" s="77">
        <f ca="1">MEDIAN(G61:X61)</f>
        <v>3.6667902608233577E-2</v>
      </c>
      <c r="G61" s="77">
        <f>MEDIAN(G14:G59)</f>
        <v>3.9547858035224842E-2</v>
      </c>
      <c r="H61" s="77">
        <f t="shared" ref="H61:X61" si="16">MEDIAN(H14:H59)</f>
        <v>3.4266464304925845E-2</v>
      </c>
      <c r="I61" s="77">
        <f t="shared" si="16"/>
        <v>3.4961832061068704E-2</v>
      </c>
      <c r="J61" s="77">
        <f t="shared" ca="1" si="16"/>
        <v>3.5696338526053126E-2</v>
      </c>
      <c r="K61" s="77">
        <f t="shared" ca="1" si="16"/>
        <v>3.0588781300761553E-2</v>
      </c>
      <c r="L61" s="77">
        <f t="shared" ca="1" si="16"/>
        <v>3.362310715119618E-2</v>
      </c>
      <c r="M61" s="77">
        <f t="shared" ca="1" si="16"/>
        <v>3.1574540881315984E-2</v>
      </c>
      <c r="N61" s="77">
        <f t="shared" ca="1" si="16"/>
        <v>3.4453260688102692E-2</v>
      </c>
      <c r="O61" s="77">
        <f t="shared" ca="1" si="16"/>
        <v>3.7335684098628426E-2</v>
      </c>
      <c r="P61" s="77">
        <f t="shared" ca="1" si="16"/>
        <v>3.6863071526250075E-2</v>
      </c>
      <c r="Q61" s="77">
        <f t="shared" ca="1" si="16"/>
        <v>3.8449547958017243E-2</v>
      </c>
      <c r="R61" s="77">
        <f t="shared" ca="1" si="16"/>
        <v>4.1665493651642689E-2</v>
      </c>
      <c r="S61" s="77">
        <f t="shared" ca="1" si="16"/>
        <v>4.4593916646537467E-2</v>
      </c>
      <c r="T61" s="77">
        <f t="shared" ca="1" si="16"/>
        <v>4.7754912257807855E-2</v>
      </c>
      <c r="U61" s="77">
        <f t="shared" ca="1" si="16"/>
        <v>5.2022949552602629E-2</v>
      </c>
      <c r="V61" s="77">
        <f t="shared" ca="1" si="16"/>
        <v>4.2360864941510097E-2</v>
      </c>
      <c r="W61" s="77">
        <f t="shared" ca="1" si="16"/>
        <v>3.4559149313247675E-2</v>
      </c>
      <c r="X61" s="77">
        <f t="shared" ca="1" si="16"/>
        <v>3.6472733690217071E-2</v>
      </c>
      <c r="Y61" s="62"/>
      <c r="Z61" s="62"/>
      <c r="AA61" s="62"/>
      <c r="AB61" s="62"/>
    </row>
    <row r="62" spans="1:28" x14ac:dyDescent="0.25">
      <c r="A62" s="31"/>
      <c r="B62" s="31"/>
      <c r="C62" s="1" t="str">
        <f>IF(ISERROR(D62),"",IF(D62="","",MAX($C$13:C61)+1))</f>
        <v/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62"/>
      <c r="Z62" s="62"/>
      <c r="AA62" s="62"/>
      <c r="AB62" s="62"/>
    </row>
    <row r="63" spans="1:28" ht="16.2" x14ac:dyDescent="0.25">
      <c r="A63" s="31"/>
      <c r="B63" s="31"/>
      <c r="C63" s="1">
        <f>IF(ISERROR(D63),"",IF(D63="","",MAX($C$13:C62)+1))</f>
        <v>44</v>
      </c>
      <c r="D63" t="s">
        <v>450</v>
      </c>
      <c r="F63" s="249">
        <f>AVERAGE(G63:X63)</f>
        <v>3.2493981481481485E-2</v>
      </c>
      <c r="G63" s="77">
        <f>VLOOKUP(G$9,'Implied Inflation'!$B$13:$F$35,3,0)</f>
        <v>4.2541666666666672E-2</v>
      </c>
      <c r="H63" s="77">
        <f>VLOOKUP(H$9,'Implied Inflation'!$B$13:$F$35,3,0)</f>
        <v>3.2991666666666669E-2</v>
      </c>
      <c r="I63" s="77">
        <f>VLOOKUP(I$9,'Implied Inflation'!$B$13:$F$35,3,0)</f>
        <v>1.9774999999999997E-2</v>
      </c>
      <c r="J63" s="77">
        <f>VLOOKUP(J$9,'Implied Inflation'!$B$13:$F$35,3,0)</f>
        <v>1.3533333333333335E-2</v>
      </c>
      <c r="K63" s="77">
        <f>VLOOKUP(K$9,'Implied Inflation'!$B$13:$F$35,3,0)</f>
        <v>2.403333333333333E-2</v>
      </c>
      <c r="L63" s="77">
        <f>VLOOKUP(L$10,'Implied Inflation'!$B$13:$F$35,3,0)</f>
        <v>3.0183333333333329E-2</v>
      </c>
      <c r="M63" s="77">
        <f>VLOOKUP(M$10,'Implied Inflation'!$B$13:$F$35,3,0)</f>
        <v>2.6525000000000003E-2</v>
      </c>
      <c r="N63" s="77">
        <f>VLOOKUP(N$10,'Implied Inflation'!$B$13:$F$35,3,0)</f>
        <v>2.2250000000000002E-2</v>
      </c>
      <c r="O63" s="77">
        <f>VLOOKUP(O$10,'Implied Inflation'!$B$13:$F$35,3,0)</f>
        <v>2.5466666666666669E-2</v>
      </c>
      <c r="P63" s="77">
        <f>VLOOKUP(P$10,'Implied Inflation'!$B$13:$F$35,3,0)</f>
        <v>3.0741666666666667E-2</v>
      </c>
      <c r="Q63" s="77">
        <f>VLOOKUP(Q$10,'Implied Inflation'!$B$13:$F$35,3,0)</f>
        <v>3.1191666666666666E-2</v>
      </c>
      <c r="R63" s="77">
        <f>VLOOKUP(R$10,'Implied Inflation'!$B$13:$F$35,3,0)</f>
        <v>2.5441666666666661E-2</v>
      </c>
      <c r="S63" s="77">
        <f>VLOOKUP(S$10,'Implied Inflation'!$B$13:$F$35,3,0)</f>
        <v>3.6208333333333328E-2</v>
      </c>
      <c r="T63" s="77">
        <f>VLOOKUP(T$10,'Implied Inflation'!$B$13:$F$35,3,0)</f>
        <v>4.0300000000000002E-2</v>
      </c>
      <c r="U63" s="77">
        <f>VLOOKUP(U$10,'Implied Inflation'!$B$13:$F$35,3,0)</f>
        <v>4.1075000000000007E-2</v>
      </c>
      <c r="V63" s="77">
        <f>VLOOKUP(V$10,'Implied Inflation'!$B$13:$F$35,3,0)</f>
        <v>4.3624999999999997E-2</v>
      </c>
      <c r="W63" s="77">
        <f>VLOOKUP(W$10,'Implied Inflation'!$B$13:$F$35,3,0)</f>
        <v>4.9083333333333333E-2</v>
      </c>
      <c r="X63" s="77">
        <f>VLOOKUP(X$10,'Implied Inflation'!$B$13:$F$35,3,0)</f>
        <v>4.9924999999999997E-2</v>
      </c>
      <c r="Y63" s="62"/>
      <c r="Z63" s="62"/>
      <c r="AA63" s="62"/>
      <c r="AB63" s="62"/>
    </row>
    <row r="64" spans="1:28" ht="16.2" x14ac:dyDescent="0.25">
      <c r="A64" s="31"/>
      <c r="B64" s="31"/>
      <c r="C64" s="1">
        <f>IF(ISERROR(D64),"",IF(D64="","",MAX($C$13:C63)+1))</f>
        <v>45</v>
      </c>
      <c r="D64" t="s">
        <v>451</v>
      </c>
      <c r="F64" s="249">
        <f>AVERAGE(G64:X64)</f>
        <v>1.0652777777777777E-2</v>
      </c>
      <c r="G64" s="77">
        <f>VLOOKUP(G$9,'Implied Inflation'!$B$13:$F$35,4,0)</f>
        <v>1.7283333333333331E-2</v>
      </c>
      <c r="H64" s="77">
        <f>VLOOKUP(H$9,'Implied Inflation'!$B$13:$F$35,4,0)</f>
        <v>6.4416666666666667E-3</v>
      </c>
      <c r="I64" s="77">
        <f>VLOOKUP(I$9,'Implied Inflation'!$B$13:$F$35,4,0)</f>
        <v>-4.3083333333333333E-3</v>
      </c>
      <c r="J64" s="77">
        <f>VLOOKUP(J$9,'Implied Inflation'!$B$13:$F$35,4,0)</f>
        <v>-3.0333333333333336E-3</v>
      </c>
      <c r="K64" s="77">
        <f>VLOOKUP(K$9,'Implied Inflation'!$B$13:$F$35,4,0)</f>
        <v>6.0000000000000001E-3</v>
      </c>
      <c r="L64" s="77">
        <f>VLOOKUP(L$10,'Implied Inflation'!$B$13:$F$35,4,0)</f>
        <v>9.3499999999999989E-3</v>
      </c>
      <c r="M64" s="77">
        <f>VLOOKUP(M$10,'Implied Inflation'!$B$13:$F$35,4,0)</f>
        <v>7.4583333333333324E-3</v>
      </c>
      <c r="N64" s="77">
        <f>VLOOKUP(N$10,'Implied Inflation'!$B$13:$F$35,4,0)</f>
        <v>6.5750000000000001E-3</v>
      </c>
      <c r="O64" s="77">
        <f>VLOOKUP(O$10,'Implied Inflation'!$B$13:$F$35,4,0)</f>
        <v>7.8333333333333328E-3</v>
      </c>
      <c r="P64" s="77">
        <f>VLOOKUP(P$10,'Implied Inflation'!$B$13:$F$35,4,0)</f>
        <v>8.6583333333333339E-3</v>
      </c>
      <c r="Q64" s="77">
        <f>VLOOKUP(Q$10,'Implied Inflation'!$B$13:$F$35,4,0)</f>
        <v>7.5166666666666663E-3</v>
      </c>
      <c r="R64" s="77">
        <f>VLOOKUP(R$10,'Implied Inflation'!$B$13:$F$35,4,0)</f>
        <v>2.1333333333333339E-3</v>
      </c>
      <c r="S64" s="77">
        <f>VLOOKUP(S$10,'Implied Inflation'!$B$13:$F$35,4,0)</f>
        <v>1.1916666666666666E-2</v>
      </c>
      <c r="T64" s="77">
        <f>VLOOKUP(T$10,'Implied Inflation'!$B$13:$F$35,4,0)</f>
        <v>1.7316666666666668E-2</v>
      </c>
      <c r="U64" s="77">
        <f>VLOOKUP(U$10,'Implied Inflation'!$B$13:$F$35,4,0)</f>
        <v>2.2133333333333324E-2</v>
      </c>
      <c r="V64" s="77">
        <f>VLOOKUP(V$10,'Implied Inflation'!$B$13:$F$35,4,0)</f>
        <v>2.1850000000000001E-2</v>
      </c>
      <c r="W64" s="77">
        <f>VLOOKUP(W$10,'Implied Inflation'!$B$13:$F$35,4,0)</f>
        <v>2.3550000000000001E-2</v>
      </c>
      <c r="X64" s="77">
        <f>VLOOKUP(X$10,'Implied Inflation'!$B$13:$F$35,4,0)</f>
        <v>2.3074999999999998E-2</v>
      </c>
      <c r="Y64" s="62"/>
      <c r="Z64" s="62"/>
      <c r="AA64" s="62"/>
      <c r="AB64" s="62"/>
    </row>
    <row r="65" spans="1:28" ht="16.2" x14ac:dyDescent="0.25">
      <c r="A65" s="31"/>
      <c r="B65" s="31"/>
      <c r="C65" s="1">
        <f>IF(ISERROR(D65),"",IF(D65="","",MAX($C$13:C64)+1))</f>
        <v>46</v>
      </c>
      <c r="D65" t="s">
        <v>452</v>
      </c>
      <c r="F65" s="249">
        <f>AVERAGE(G65:X65)</f>
        <v>2.1603007820959537E-2</v>
      </c>
      <c r="G65" s="77">
        <f>(1+G63)/(1+G64)-1</f>
        <v>2.4829201959467362E-2</v>
      </c>
      <c r="H65" s="77">
        <f t="shared" ref="H65:M65" si="17">(1+H63)/(1+H64)-1</f>
        <v>2.6380068392769962E-2</v>
      </c>
      <c r="I65" s="77">
        <f t="shared" si="17"/>
        <v>2.4187541323870576E-2</v>
      </c>
      <c r="J65" s="77">
        <f t="shared" si="17"/>
        <v>1.661707178441274E-2</v>
      </c>
      <c r="K65" s="77">
        <f t="shared" si="17"/>
        <v>1.7925778661365133E-2</v>
      </c>
      <c r="L65" s="77">
        <f t="shared" si="17"/>
        <v>2.0640346097323237E-2</v>
      </c>
      <c r="M65" s="77">
        <f t="shared" si="17"/>
        <v>1.8925513875677202E-2</v>
      </c>
      <c r="N65" s="77">
        <f t="shared" ref="N65:X65" si="18">(1+N63)/(1+N64)-1</f>
        <v>1.557261008866706E-2</v>
      </c>
      <c r="O65" s="77">
        <f t="shared" si="18"/>
        <v>1.749627914668439E-2</v>
      </c>
      <c r="P65" s="77">
        <f t="shared" si="18"/>
        <v>2.1893769776683447E-2</v>
      </c>
      <c r="Q65" s="77">
        <f t="shared" si="18"/>
        <v>2.3498370581132022E-2</v>
      </c>
      <c r="R65" s="77">
        <f t="shared" si="18"/>
        <v>2.3258714741883901E-2</v>
      </c>
      <c r="S65" s="77">
        <f t="shared" si="18"/>
        <v>2.400559993411866E-2</v>
      </c>
      <c r="T65" s="77">
        <f t="shared" si="18"/>
        <v>2.2592113239076728E-2</v>
      </c>
      <c r="U65" s="77">
        <f t="shared" si="18"/>
        <v>1.8531502739368655E-2</v>
      </c>
      <c r="V65" s="77">
        <f t="shared" si="18"/>
        <v>2.1309389832167236E-2</v>
      </c>
      <c r="W65" s="77">
        <f t="shared" si="18"/>
        <v>2.4945858368749407E-2</v>
      </c>
      <c r="X65" s="77">
        <f t="shared" si="18"/>
        <v>2.6244410233853932E-2</v>
      </c>
      <c r="Y65" s="62"/>
      <c r="Z65" s="62"/>
      <c r="AA65" s="62"/>
      <c r="AB65" s="62"/>
    </row>
    <row r="66" spans="1:28" x14ac:dyDescent="0.25">
      <c r="A66" s="31"/>
      <c r="B66" s="31"/>
      <c r="C66" s="1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62"/>
      <c r="Z66" s="62"/>
      <c r="AA66" s="62"/>
      <c r="AB66" s="62"/>
    </row>
    <row r="67" spans="1:28" ht="16.2" x14ac:dyDescent="0.25">
      <c r="A67" s="31"/>
      <c r="B67" s="31"/>
      <c r="C67" s="1">
        <f>IF(ISERROR(D67),"",IF(D67="","",MAX($C$13:C65)+1))</f>
        <v>47</v>
      </c>
      <c r="D67" s="104" t="s">
        <v>453</v>
      </c>
      <c r="F67" s="108">
        <f ca="1">(1+F60)/(1+F65)-1</f>
        <v>1.6375609002767355E-2</v>
      </c>
      <c r="G67" s="108">
        <f>(1+G60)/(1+G65)-1</f>
        <v>1.3397037117558019E-2</v>
      </c>
      <c r="H67" s="108">
        <f>(1+H60)/(1+H65)-1</f>
        <v>7.6510475176214676E-3</v>
      </c>
      <c r="I67" s="108">
        <f>(1+I60)/(1+I65)-1</f>
        <v>1.0706263733290644E-2</v>
      </c>
      <c r="J67" s="108">
        <f ca="1">(1+J60)/(1+J65)-1</f>
        <v>1.8626401296004014E-2</v>
      </c>
      <c r="K67" s="108">
        <f t="shared" ref="K67:X67" ca="1" si="19">(1+K60)/(1+K65)-1</f>
        <v>1.3748683117946969E-2</v>
      </c>
      <c r="L67" s="108">
        <f ca="1">(1+L60)/(1+L65)-1</f>
        <v>1.4664946592208405E-2</v>
      </c>
      <c r="M67" s="108">
        <f t="shared" ca="1" si="19"/>
        <v>1.443500206637105E-2</v>
      </c>
      <c r="N67" s="108">
        <f t="shared" ca="1" si="19"/>
        <v>1.905424558267943E-2</v>
      </c>
      <c r="O67" s="108">
        <f t="shared" ca="1" si="19"/>
        <v>1.936550399137138E-2</v>
      </c>
      <c r="P67" s="108">
        <f t="shared" ca="1" si="19"/>
        <v>1.4346579923659286E-2</v>
      </c>
      <c r="Q67" s="108">
        <f t="shared" ca="1" si="19"/>
        <v>1.4771759077309321E-2</v>
      </c>
      <c r="R67" s="108">
        <f t="shared" ca="1" si="19"/>
        <v>1.8101523935819985E-2</v>
      </c>
      <c r="S67" s="108">
        <f t="shared" ca="1" si="19"/>
        <v>1.8584271795552221E-2</v>
      </c>
      <c r="T67" s="108">
        <f t="shared" ca="1" si="19"/>
        <v>2.3302180459747079E-2</v>
      </c>
      <c r="U67" s="108">
        <f t="shared" ca="1" si="19"/>
        <v>3.2419901035234622E-2</v>
      </c>
      <c r="V67" s="108">
        <f t="shared" ca="1" si="19"/>
        <v>2.0741726301035213E-2</v>
      </c>
      <c r="W67" s="108">
        <f t="shared" ca="1" si="19"/>
        <v>1.0223886181248698E-2</v>
      </c>
      <c r="X67" s="108">
        <f t="shared" ca="1" si="19"/>
        <v>1.0791059606380937E-2</v>
      </c>
      <c r="Y67" s="62"/>
      <c r="Z67" s="62"/>
      <c r="AA67" s="62"/>
      <c r="AB67" s="62"/>
    </row>
    <row r="68" spans="1:28" x14ac:dyDescent="0.25">
      <c r="A68" s="31"/>
      <c r="B68" s="31"/>
      <c r="C68" s="1" t="str">
        <f>IF(ISERROR(D68),"",IF(D68="","",MAX($C$13:C66)+1))</f>
        <v/>
      </c>
      <c r="D68" s="104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62"/>
      <c r="Z68" s="62"/>
      <c r="AA68" s="62"/>
      <c r="AB68" s="62"/>
    </row>
    <row r="69" spans="1:28" x14ac:dyDescent="0.25">
      <c r="A69" s="31"/>
      <c r="B69" s="31"/>
      <c r="C69" s="1"/>
      <c r="D69" s="281" t="s">
        <v>480</v>
      </c>
      <c r="E69" s="281"/>
    </row>
    <row r="70" spans="1:28" s="97" customFormat="1" ht="16.2" x14ac:dyDescent="0.25">
      <c r="C70" s="1">
        <f>IF(ISERROR(D70),"",IF(D70="","",MAX($C$13:C68)+1))</f>
        <v>48</v>
      </c>
      <c r="D70" s="104" t="s">
        <v>461</v>
      </c>
      <c r="E70" s="104"/>
      <c r="F70" s="108">
        <f>AVERAGE(G70:X70)</f>
        <v>4.7003366378363533E-2</v>
      </c>
      <c r="G70" s="106">
        <f>VLOOKUP(2023,'Annual Yields (WP)'!$B$6:$C$50,2,FALSE)</f>
        <v>5.5500000000000001E-2</v>
      </c>
      <c r="H70" s="106">
        <f>VLOOKUP(2022,'Annual Yields (WP)'!$B$6:$C$50,2,FALSE)</f>
        <v>4.7399999999999998E-2</v>
      </c>
      <c r="I70" s="106">
        <f>VLOOKUP(2021,'Annual Yields (WP)'!$B$6:$C$50,2,FALSE)</f>
        <v>3.102870206881524E-2</v>
      </c>
      <c r="J70" s="106">
        <f>VLOOKUP(J10,'Annual Yields (WP)'!$B$6:$C$50,2,FALSE)</f>
        <v>3.0525263490164798E-2</v>
      </c>
      <c r="K70" s="106">
        <f>VLOOKUP(K10,'Annual Yields (WP)'!$B$6:$C$50,2,FALSE)</f>
        <v>3.7674047524113317E-2</v>
      </c>
      <c r="L70" s="106">
        <f>VLOOKUP(L10,'Annual Yields (WP)'!$B$6:$C$50,2,FALSE)</f>
        <v>4.2502293815071278E-2</v>
      </c>
      <c r="M70" s="106">
        <f>VLOOKUP(M10,'Annual Yields (WP)'!$B$6:$C$50,2,FALSE)</f>
        <v>3.9988761663160968E-2</v>
      </c>
      <c r="N70" s="106">
        <f>VLOOKUP(N10,'Annual Yields (WP)'!$B$6:$C$50,2,FALSE)</f>
        <v>3.930199127182251E-2</v>
      </c>
      <c r="O70" s="106">
        <f>VLOOKUP(O10,'Annual Yields (WP)'!$B$6:$C$50,2,FALSE)</f>
        <v>4.1153967589428117E-2</v>
      </c>
      <c r="P70" s="106">
        <f>VLOOKUP(P10,'Annual Yields (WP)'!$B$6:$C$50,2,FALSE)</f>
        <v>4.2774094021446961E-2</v>
      </c>
      <c r="Q70" s="106">
        <f>VLOOKUP(Q10,'Annual Yields (WP)'!$B$6:$C$50,2,FALSE)</f>
        <v>4.4759707479483019E-2</v>
      </c>
      <c r="R70" s="106">
        <f>VLOOKUP(R10,'Annual Yields (WP)'!$B$6:$C$50,2,FALSE)</f>
        <v>4.1308564221010043E-2</v>
      </c>
      <c r="S70" s="106">
        <f>VLOOKUP(S10,'Annual Yields (WP)'!$B$6:$C$50,2,FALSE)</f>
        <v>5.0407157265811221E-2</v>
      </c>
      <c r="T70" s="106">
        <f>VLOOKUP(T10,'Annual Yields (WP)'!$B$6:$C$50,2,FALSE)</f>
        <v>5.4644377733549555E-2</v>
      </c>
      <c r="U70" s="106">
        <f>VLOOKUP(U10,'Annual Yields (WP)'!$B$6:$C$50,2,FALSE)</f>
        <v>6.0391666666666656E-2</v>
      </c>
      <c r="V70" s="106">
        <f>VLOOKUP(V10,'Annual Yields (WP)'!$B$6:$C$50,2,FALSE)</f>
        <v>6.5283333333333332E-2</v>
      </c>
      <c r="W70" s="106">
        <f>VLOOKUP(W10,'Annual Yields (WP)'!$B$6:$C$50,2,FALSE)</f>
        <v>6.0733333333333334E-2</v>
      </c>
      <c r="X70" s="106">
        <f>VLOOKUP(X10,'Annual Yields (WP)'!$B$6:$C$50,2,FALSE)</f>
        <v>6.0683333333333332E-2</v>
      </c>
      <c r="Y70" s="105"/>
      <c r="Z70" s="105"/>
      <c r="AA70" s="105"/>
      <c r="AB70" s="105"/>
    </row>
    <row r="71" spans="1:28" s="97" customFormat="1" ht="15.75" customHeight="1" x14ac:dyDescent="0.25">
      <c r="C71" s="1">
        <f>IF(ISERROR(D71),"",IF(D71="","",MAX($C$13:C70)+1))</f>
        <v>49</v>
      </c>
      <c r="D71" s="104" t="s">
        <v>462</v>
      </c>
      <c r="E71" s="104"/>
      <c r="F71" s="108">
        <f>AVERAGE(G71:X71)</f>
        <v>2.4859931050356592E-2</v>
      </c>
      <c r="G71" s="106">
        <f>(1+G70)/(1+G65)-1</f>
        <v>2.9927716717956798E-2</v>
      </c>
      <c r="H71" s="106">
        <f t="shared" ref="H71:M71" si="20">(1+H70)/(1+H65)-1</f>
        <v>2.0479676344597797E-2</v>
      </c>
      <c r="I71" s="106">
        <f t="shared" si="20"/>
        <v>6.679597699559725E-3</v>
      </c>
      <c r="J71" s="106">
        <f t="shared" si="20"/>
        <v>1.3680855940516157E-2</v>
      </c>
      <c r="K71" s="106">
        <f t="shared" si="20"/>
        <v>1.9400499797459059E-2</v>
      </c>
      <c r="L71" s="106">
        <f t="shared" si="20"/>
        <v>2.1419834911820423E-2</v>
      </c>
      <c r="M71" s="106">
        <f t="shared" si="20"/>
        <v>2.0672019201252168E-2</v>
      </c>
      <c r="N71" s="106">
        <f t="shared" ref="N71:X71" si="21">(1+N70)/(1+N65)-1</f>
        <v>2.3365519065233098E-2</v>
      </c>
      <c r="O71" s="106">
        <f t="shared" si="21"/>
        <v>2.3250884477517886E-2</v>
      </c>
      <c r="P71" s="106">
        <f t="shared" si="21"/>
        <v>2.0432969514362131E-2</v>
      </c>
      <c r="Q71" s="106">
        <f t="shared" si="21"/>
        <v>2.0773200534045744E-2</v>
      </c>
      <c r="R71" s="106">
        <f t="shared" si="21"/>
        <v>1.763957562157592E-2</v>
      </c>
      <c r="S71" s="106">
        <f t="shared" si="21"/>
        <v>2.5782629834632864E-2</v>
      </c>
      <c r="T71" s="106">
        <f t="shared" si="21"/>
        <v>3.1344134263804113E-2</v>
      </c>
      <c r="U71" s="106">
        <f t="shared" si="21"/>
        <v>4.1098546107522393E-2</v>
      </c>
      <c r="V71" s="106">
        <f t="shared" si="21"/>
        <v>4.3056437098255129E-2</v>
      </c>
      <c r="W71" s="106">
        <f t="shared" si="21"/>
        <v>3.4916454047183798E-2</v>
      </c>
      <c r="X71" s="106">
        <f t="shared" si="21"/>
        <v>3.3558207729123435E-2</v>
      </c>
      <c r="Y71" s="105"/>
      <c r="Z71" s="105"/>
      <c r="AA71" s="105"/>
      <c r="AB71" s="105"/>
    </row>
    <row r="72" spans="1:28" s="97" customFormat="1" ht="15.75" customHeight="1" x14ac:dyDescent="0.25">
      <c r="C72" s="1"/>
      <c r="D72" s="104"/>
      <c r="E72" s="104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5"/>
      <c r="Z72" s="105"/>
      <c r="AA72" s="105"/>
      <c r="AB72" s="105"/>
    </row>
    <row r="73" spans="1:28" s="97" customFormat="1" ht="15.75" customHeight="1" x14ac:dyDescent="0.25">
      <c r="C73" s="1"/>
      <c r="D73" s="281" t="s">
        <v>482</v>
      </c>
      <c r="E73" s="281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5"/>
      <c r="Z73" s="105"/>
      <c r="AA73" s="105"/>
      <c r="AB73" s="105"/>
    </row>
    <row r="74" spans="1:28" s="97" customFormat="1" ht="15.75" customHeight="1" x14ac:dyDescent="0.25">
      <c r="C74" s="1">
        <f>IF(ISERROR(D74),"",IF(D74="","",MAX($C$13:C72)+1))</f>
        <v>50</v>
      </c>
      <c r="D74" s="104" t="s">
        <v>483</v>
      </c>
      <c r="E74" s="104"/>
      <c r="F74" s="108">
        <f>AVERAGE(G74:X74)</f>
        <v>5.2065486244256137E-2</v>
      </c>
      <c r="G74" s="106">
        <f>VLOOKUP(2023,'Baa-Rated Yields (WP)'!$B$6:$C$50,2,FALSE)</f>
        <v>5.8500000000000003E-2</v>
      </c>
      <c r="H74" s="106">
        <f>VLOOKUP(2022,'Baa-Rated Yields (WP)'!$B$6:$C$50,2,FALSE)</f>
        <v>5.0500000000000003E-2</v>
      </c>
      <c r="I74" s="106">
        <f>VLOOKUP(2021,'Baa-Rated Yields (WP)'!$B$6:$C$50,2,FALSE)</f>
        <v>3.355220410812617E-2</v>
      </c>
      <c r="J74" s="106">
        <f>VLOOKUP(J10,'Baa-Rated Yields (WP)'!$B$6:$C$50,2,FALSE)</f>
        <v>3.4351067393863441E-2</v>
      </c>
      <c r="K74" s="106">
        <f>VLOOKUP(K10,'Baa-Rated Yields (WP)'!$B$6:$C$50,2,FALSE)</f>
        <v>4.19426790461001E-2</v>
      </c>
      <c r="L74" s="106">
        <f>VLOOKUP(L10,'Baa-Rated Yields (WP)'!$B$6:$C$50,2,FALSE)</f>
        <v>4.6687507594744437E-2</v>
      </c>
      <c r="M74" s="106">
        <f>VLOOKUP(M10,'Baa-Rated Yields (WP)'!$B$6:$C$50,2,FALSE)</f>
        <v>4.3774266867762292E-2</v>
      </c>
      <c r="N74" s="106">
        <f>VLOOKUP(N10,'Baa-Rated Yields (WP)'!$B$6:$C$50,2,FALSE)</f>
        <v>4.6746381356058131E-2</v>
      </c>
      <c r="O74" s="106">
        <f>VLOOKUP(O10,'Baa-Rated Yields (WP)'!$B$6:$C$50,2,FALSE)</f>
        <v>5.0280741690083786E-2</v>
      </c>
      <c r="P74" s="106">
        <f>VLOOKUP(P10,'Baa-Rated Yields (WP)'!$B$6:$C$50,2,FALSE)</f>
        <v>4.7983787029963504E-2</v>
      </c>
      <c r="Q74" s="106">
        <f>VLOOKUP(Q10,'Baa-Rated Yields (WP)'!$B$6:$C$50,2,FALSE)</f>
        <v>4.9821343577303334E-2</v>
      </c>
      <c r="R74" s="106">
        <f>VLOOKUP(R10,'Baa-Rated Yields (WP)'!$B$6:$C$50,2,FALSE)</f>
        <v>4.8256893848182547E-2</v>
      </c>
      <c r="S74" s="106">
        <f>VLOOKUP(S10,'Baa-Rated Yields (WP)'!$B$6:$C$50,2,FALSE)</f>
        <v>5.5661813972092772E-2</v>
      </c>
      <c r="T74" s="106">
        <f>VLOOKUP(T10,'Baa-Rated Yields (WP)'!$B$6:$C$50,2,FALSE)</f>
        <v>5.9645065912329841E-2</v>
      </c>
      <c r="U74" s="106">
        <f>VLOOKUP(U10,'Baa-Rated Yields (WP)'!$B$6:$C$50,2,FALSE)</f>
        <v>7.0550000000000002E-2</v>
      </c>
      <c r="V74" s="106">
        <f>VLOOKUP(V10,'Baa-Rated Yields (WP)'!$B$6:$C$50,2,FALSE)</f>
        <v>7.2458333333333333E-2</v>
      </c>
      <c r="W74" s="106">
        <f>VLOOKUP(W10,'Baa-Rated Yields (WP)'!$B$6:$C$50,2,FALSE)</f>
        <v>6.3300000000000009E-2</v>
      </c>
      <c r="X74" s="106">
        <f>VLOOKUP(X10,'Baa-Rated Yields (WP)'!$B$6:$C$50,2,FALSE)</f>
        <v>6.3166666666666663E-2</v>
      </c>
      <c r="Y74" s="105"/>
      <c r="Z74" s="105"/>
      <c r="AA74" s="105"/>
      <c r="AB74" s="105"/>
    </row>
    <row r="75" spans="1:28" s="97" customFormat="1" ht="15.75" customHeight="1" x14ac:dyDescent="0.25">
      <c r="C75" s="1">
        <f>IF(ISERROR(D75),"",IF(D75="","",MAX($C$13:C74)+1))</f>
        <v>51</v>
      </c>
      <c r="D75" s="104" t="s">
        <v>484</v>
      </c>
      <c r="E75" s="104"/>
      <c r="F75" s="108">
        <f>AVERAGE(G75:X75)</f>
        <v>2.9818960337595332E-2</v>
      </c>
      <c r="G75" s="106">
        <f>(1+G74)/(1+G65)-1</f>
        <v>3.285503377163157E-2</v>
      </c>
      <c r="H75" s="106">
        <f>(1+H74)/(1+H65)-1</f>
        <v>2.3499999999999854E-2</v>
      </c>
      <c r="I75" s="106">
        <f>(1+I74)/(1+I65)-1</f>
        <v>9.1435039056917411E-3</v>
      </c>
      <c r="J75" s="106">
        <f>(1+J74)/(1+J65)-1</f>
        <v>1.7444125326680826E-2</v>
      </c>
      <c r="K75" s="106">
        <f t="shared" ref="K75:V75" si="22">(1+K74)/(1+K65)-1</f>
        <v>2.3593960275098524E-2</v>
      </c>
      <c r="L75" s="106">
        <f t="shared" si="22"/>
        <v>2.5520411374113428E-2</v>
      </c>
      <c r="M75" s="106">
        <f t="shared" si="22"/>
        <v>2.4387212464204611E-2</v>
      </c>
      <c r="N75" s="106">
        <f t="shared" si="22"/>
        <v>3.0695758193665101E-2</v>
      </c>
      <c r="O75" s="106">
        <f t="shared" si="22"/>
        <v>3.2220719834861633E-2</v>
      </c>
      <c r="P75" s="106">
        <f t="shared" si="22"/>
        <v>2.5531046401214175E-2</v>
      </c>
      <c r="Q75" s="106">
        <f t="shared" si="22"/>
        <v>2.5718627164228458E-2</v>
      </c>
      <c r="R75" s="106">
        <f t="shared" si="22"/>
        <v>2.4429969416487562E-2</v>
      </c>
      <c r="S75" s="106">
        <f t="shared" si="22"/>
        <v>3.0914102461950144E-2</v>
      </c>
      <c r="T75" s="106">
        <f t="shared" si="22"/>
        <v>3.6234342308671952E-2</v>
      </c>
      <c r="U75" s="106">
        <f t="shared" si="22"/>
        <v>5.1072055327425758E-2</v>
      </c>
      <c r="V75" s="106">
        <f t="shared" si="22"/>
        <v>5.0081732343194574E-2</v>
      </c>
      <c r="W75" s="106">
        <f>(1+W74)/(1+W65)-1</f>
        <v>3.7420651362300106E-2</v>
      </c>
      <c r="X75" s="106">
        <f>(1+X74)/(1+X65)-1</f>
        <v>3.597803414529599E-2</v>
      </c>
      <c r="Y75" s="105"/>
      <c r="Z75" s="105"/>
      <c r="AA75" s="105"/>
      <c r="AB75" s="105"/>
    </row>
    <row r="76" spans="1:28" s="97" customFormat="1" x14ac:dyDescent="0.25">
      <c r="C76" s="107"/>
      <c r="D76" s="104"/>
      <c r="E76" s="104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5"/>
      <c r="Z76" s="105"/>
      <c r="AA76" s="105"/>
      <c r="AB76" s="105"/>
    </row>
    <row r="77" spans="1:28" s="97" customFormat="1" x14ac:dyDescent="0.25">
      <c r="C77" s="107"/>
      <c r="D77" s="281" t="s">
        <v>485</v>
      </c>
      <c r="E77" s="28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102"/>
      <c r="V77" s="102"/>
      <c r="W77" s="102"/>
      <c r="X77" s="102"/>
      <c r="Y77" s="102"/>
      <c r="Z77" s="102"/>
      <c r="AA77" s="102"/>
    </row>
    <row r="78" spans="1:28" s="97" customFormat="1" ht="16.2" x14ac:dyDescent="0.25">
      <c r="C78" s="107">
        <f>IF(ISERROR(D78),"",IF(D78="","",MAX($C$13:C77)+1))</f>
        <v>52</v>
      </c>
      <c r="D78" s="200" t="s">
        <v>469</v>
      </c>
      <c r="E78"/>
      <c r="F78" s="103">
        <f ca="1">F70-F60</f>
        <v>8.670987145277087E-3</v>
      </c>
      <c r="G78" s="103">
        <f>G70-G60</f>
        <v>1.6941123182724199E-2</v>
      </c>
      <c r="H78" s="103">
        <f>H70-H60</f>
        <v>1.3167048932817373E-2</v>
      </c>
      <c r="I78" s="103">
        <f>I70-I60</f>
        <v>-4.1240611848190854E-3</v>
      </c>
      <c r="J78" s="103">
        <f ca="1">J70-J60</f>
        <v>-5.0277258376729035E-3</v>
      </c>
      <c r="K78" s="103">
        <f t="shared" ref="K78:X78" ca="1" si="23">K70-K60</f>
        <v>5.7531298943435463E-3</v>
      </c>
      <c r="L78" s="103">
        <f ca="1">L70-L60</f>
        <v>6.894311552377623E-3</v>
      </c>
      <c r="M78" s="103">
        <f t="shared" ca="1" si="23"/>
        <v>6.3550558892100373E-3</v>
      </c>
      <c r="N78" s="103">
        <f ca="1">N70-N60</f>
        <v>4.3784112634834144E-3</v>
      </c>
      <c r="O78" s="103">
        <f t="shared" ca="1" si="23"/>
        <v>3.9533601877231317E-3</v>
      </c>
      <c r="P78" s="103">
        <f t="shared" ca="1" si="23"/>
        <v>6.2196436031727725E-3</v>
      </c>
      <c r="Q78" s="103">
        <f t="shared" ca="1" si="23"/>
        <v>6.1424655521078383E-3</v>
      </c>
      <c r="R78" s="103">
        <f t="shared" ca="1" si="23"/>
        <v>-4.7269263831042907E-4</v>
      </c>
      <c r="S78" s="103">
        <f t="shared" ca="1" si="23"/>
        <v>7.3711589423494928E-3</v>
      </c>
      <c r="T78" s="103">
        <f t="shared" ca="1" si="23"/>
        <v>8.2236385350615768E-3</v>
      </c>
      <c r="U78" s="103">
        <f t="shared" ca="1" si="23"/>
        <v>8.8394734072188494E-3</v>
      </c>
      <c r="V78" s="103">
        <f t="shared" ca="1" si="23"/>
        <v>2.2790223668589932E-2</v>
      </c>
      <c r="W78" s="103">
        <f t="shared" ca="1" si="23"/>
        <v>2.5308545166679471E-2</v>
      </c>
      <c r="X78" s="103">
        <f t="shared" ca="1" si="23"/>
        <v>2.3364658497930756E-2</v>
      </c>
      <c r="Y78" s="40"/>
      <c r="Z78" s="40"/>
      <c r="AA78" s="40"/>
      <c r="AB78" s="40"/>
    </row>
    <row r="79" spans="1:28" s="97" customFormat="1" ht="16.2" x14ac:dyDescent="0.25">
      <c r="C79" s="107">
        <f>IF(ISERROR(D79),"",IF(D79="","",MAX($C$13:C78)+1))</f>
        <v>53</v>
      </c>
      <c r="D79" s="104" t="s">
        <v>470</v>
      </c>
      <c r="E79"/>
      <c r="F79" s="103">
        <f t="shared" ref="F79:N79" ca="1" si="24">F71-F67</f>
        <v>8.4843220475892371E-3</v>
      </c>
      <c r="G79" s="103">
        <f t="shared" si="24"/>
        <v>1.6530679600398779E-2</v>
      </c>
      <c r="H79" s="103">
        <f>H71-H67</f>
        <v>1.2828628826976329E-2</v>
      </c>
      <c r="I79" s="103">
        <f>I71-I67</f>
        <v>-4.026666033730919E-3</v>
      </c>
      <c r="J79" s="103">
        <f t="shared" ca="1" si="24"/>
        <v>-4.945545355487857E-3</v>
      </c>
      <c r="K79" s="103">
        <f t="shared" ca="1" si="24"/>
        <v>5.6518166795120894E-3</v>
      </c>
      <c r="L79" s="103">
        <f t="shared" ca="1" si="24"/>
        <v>6.754888319612018E-3</v>
      </c>
      <c r="M79" s="103">
        <f t="shared" ca="1" si="24"/>
        <v>6.2370171348811176E-3</v>
      </c>
      <c r="N79" s="103">
        <f t="shared" ca="1" si="24"/>
        <v>4.311273482553668E-3</v>
      </c>
      <c r="O79" s="103">
        <f t="shared" ref="O79:X79" ca="1" si="25">O71-O67</f>
        <v>3.8853804861465058E-3</v>
      </c>
      <c r="P79" s="103">
        <f t="shared" ca="1" si="25"/>
        <v>6.0863895907028454E-3</v>
      </c>
      <c r="Q79" s="103">
        <f t="shared" ca="1" si="25"/>
        <v>6.0014414567364227E-3</v>
      </c>
      <c r="R79" s="103">
        <f t="shared" ca="1" si="25"/>
        <v>-4.6194831424406502E-4</v>
      </c>
      <c r="S79" s="103">
        <f t="shared" ca="1" si="25"/>
        <v>7.1983580390806434E-3</v>
      </c>
      <c r="T79" s="103">
        <f t="shared" ca="1" si="25"/>
        <v>8.0419538040570338E-3</v>
      </c>
      <c r="U79" s="103">
        <f t="shared" ca="1" si="25"/>
        <v>8.6786450722877717E-3</v>
      </c>
      <c r="V79" s="103">
        <f t="shared" ca="1" si="25"/>
        <v>2.2314710797219917E-2</v>
      </c>
      <c r="W79" s="103">
        <f t="shared" ca="1" si="25"/>
        <v>2.46925678659351E-2</v>
      </c>
      <c r="X79" s="103">
        <f t="shared" ca="1" si="25"/>
        <v>2.2767148122742498E-2</v>
      </c>
      <c r="Y79" s="40"/>
      <c r="Z79" s="40"/>
      <c r="AA79" s="40"/>
      <c r="AB79" s="40"/>
    </row>
    <row r="80" spans="1:28" s="97" customFormat="1" x14ac:dyDescent="0.25">
      <c r="C80" s="107"/>
      <c r="D80" s="104"/>
      <c r="E80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40"/>
      <c r="Z80" s="40"/>
      <c r="AA80" s="40"/>
      <c r="AB80" s="40"/>
    </row>
    <row r="81" spans="2:28" s="97" customFormat="1" x14ac:dyDescent="0.25">
      <c r="C81" s="107"/>
      <c r="D81" s="281" t="s">
        <v>486</v>
      </c>
      <c r="E81" s="281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40"/>
      <c r="Z81" s="40"/>
      <c r="AA81" s="40"/>
      <c r="AB81" s="40"/>
    </row>
    <row r="82" spans="2:28" s="97" customFormat="1" ht="16.2" x14ac:dyDescent="0.25">
      <c r="C82" s="107">
        <f>IF(ISERROR(D82),"",IF(D82="","",MAX($C$13:C81)+1))</f>
        <v>54</v>
      </c>
      <c r="D82" s="104" t="s">
        <v>487</v>
      </c>
      <c r="E82"/>
      <c r="F82" s="103">
        <f ca="1">F74-F60</f>
        <v>1.3733107011169692E-2</v>
      </c>
      <c r="G82" s="103">
        <f>G74-G60</f>
        <v>1.9941123182724202E-2</v>
      </c>
      <c r="H82" s="103">
        <f>H74-H60</f>
        <v>1.6267048932817378E-2</v>
      </c>
      <c r="I82" s="103">
        <f>I74-I60</f>
        <v>-1.6005591455081555E-3</v>
      </c>
      <c r="J82" s="103">
        <f ca="1">J74-J60</f>
        <v>-1.2019219339742607E-3</v>
      </c>
      <c r="K82" s="103">
        <f t="shared" ref="K82:V82" ca="1" si="26">K74-K60</f>
        <v>1.0021761416330328E-2</v>
      </c>
      <c r="L82" s="103">
        <f ca="1">L74-L60</f>
        <v>1.1079525332050782E-2</v>
      </c>
      <c r="M82" s="103">
        <f t="shared" ca="1" si="26"/>
        <v>1.0140561093811361E-2</v>
      </c>
      <c r="N82" s="103">
        <f t="shared" ca="1" si="26"/>
        <v>1.1822801347719035E-2</v>
      </c>
      <c r="O82" s="103">
        <f t="shared" ca="1" si="26"/>
        <v>1.30801342883788E-2</v>
      </c>
      <c r="P82" s="103">
        <f t="shared" ca="1" si="26"/>
        <v>1.1429336611689316E-2</v>
      </c>
      <c r="Q82" s="103">
        <f t="shared" ca="1" si="26"/>
        <v>1.1204101649928154E-2</v>
      </c>
      <c r="R82" s="103">
        <f t="shared" ca="1" si="26"/>
        <v>6.4756369888620754E-3</v>
      </c>
      <c r="S82" s="103">
        <f t="shared" ca="1" si="26"/>
        <v>1.2625815648631043E-2</v>
      </c>
      <c r="T82" s="103">
        <f t="shared" ca="1" si="26"/>
        <v>1.3224326713841862E-2</v>
      </c>
      <c r="U82" s="103">
        <f t="shared" ca="1" si="26"/>
        <v>1.8997806740552195E-2</v>
      </c>
      <c r="V82" s="103">
        <f t="shared" ca="1" si="26"/>
        <v>2.9965223668589933E-2</v>
      </c>
      <c r="W82" s="103">
        <f ca="1">W74-W60</f>
        <v>2.7875211833346146E-2</v>
      </c>
      <c r="X82" s="103">
        <f ca="1">X74-X60</f>
        <v>2.5847991831264086E-2</v>
      </c>
      <c r="Y82" s="40"/>
      <c r="Z82" s="40"/>
      <c r="AA82" s="40"/>
      <c r="AB82" s="40"/>
    </row>
    <row r="83" spans="2:28" s="97" customFormat="1" ht="16.2" x14ac:dyDescent="0.25">
      <c r="C83" s="107">
        <f>IF(ISERROR(D83),"",IF(D83="","",MAX($C$13:C82)+1))</f>
        <v>55</v>
      </c>
      <c r="D83" s="104" t="s">
        <v>488</v>
      </c>
      <c r="E83"/>
      <c r="F83" s="103">
        <f ca="1">F75-F67</f>
        <v>1.3443351334827977E-2</v>
      </c>
      <c r="G83" s="103">
        <f>G75-G67</f>
        <v>1.9457996654073551E-2</v>
      </c>
      <c r="H83" s="103">
        <f>H75-H67</f>
        <v>1.5848952482378387E-2</v>
      </c>
      <c r="I83" s="103">
        <f>I75-I67</f>
        <v>-1.562759827598903E-3</v>
      </c>
      <c r="J83" s="103">
        <f t="shared" ref="J83:V83" ca="1" si="27">J75-J67</f>
        <v>-1.1822759693231877E-3</v>
      </c>
      <c r="K83" s="103">
        <f t="shared" ca="1" si="27"/>
        <v>9.8452771571515552E-3</v>
      </c>
      <c r="L83" s="103">
        <f t="shared" ca="1" si="27"/>
        <v>1.0855464781905022E-2</v>
      </c>
      <c r="M83" s="103">
        <f t="shared" ca="1" si="27"/>
        <v>9.9522103978335608E-3</v>
      </c>
      <c r="N83" s="103">
        <f t="shared" ca="1" si="27"/>
        <v>1.1641512610985671E-2</v>
      </c>
      <c r="O83" s="103">
        <f t="shared" ca="1" si="27"/>
        <v>1.2855215843490253E-2</v>
      </c>
      <c r="P83" s="103">
        <f t="shared" ca="1" si="27"/>
        <v>1.1184466477554889E-2</v>
      </c>
      <c r="Q83" s="103">
        <f t="shared" ca="1" si="27"/>
        <v>1.0946868086919137E-2</v>
      </c>
      <c r="R83" s="103">
        <f t="shared" ca="1" si="27"/>
        <v>6.3284454806675772E-3</v>
      </c>
      <c r="S83" s="103">
        <f t="shared" ca="1" si="27"/>
        <v>1.2329830666397923E-2</v>
      </c>
      <c r="T83" s="103">
        <f t="shared" ca="1" si="27"/>
        <v>1.2932161848924872E-2</v>
      </c>
      <c r="U83" s="103">
        <f t="shared" ca="1" si="27"/>
        <v>1.8652154292191137E-2</v>
      </c>
      <c r="V83" s="103">
        <f t="shared" ca="1" si="27"/>
        <v>2.9340006042159361E-2</v>
      </c>
      <c r="W83" s="103">
        <f ca="1">W75-W67</f>
        <v>2.7196765181051408E-2</v>
      </c>
      <c r="X83" s="103">
        <f ca="1">X75-X67</f>
        <v>2.5186974538915052E-2</v>
      </c>
      <c r="Y83" s="40"/>
      <c r="Z83" s="40"/>
      <c r="AA83" s="40"/>
      <c r="AB83" s="40"/>
    </row>
    <row r="84" spans="2:28" s="97" customFormat="1" x14ac:dyDescent="0.25">
      <c r="C84" s="107" t="str">
        <f>IF(ISERROR(D84),"",IF(D84="","",MAX($C$13:C79)+1))</f>
        <v/>
      </c>
      <c r="D84" s="104"/>
      <c r="E84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40"/>
      <c r="Z84" s="40"/>
      <c r="AA84" s="40"/>
      <c r="AB84" s="40"/>
    </row>
    <row r="85" spans="2:28" s="97" customFormat="1" x14ac:dyDescent="0.25">
      <c r="C85" s="107"/>
      <c r="D85" s="280" t="s">
        <v>460</v>
      </c>
      <c r="E85" s="280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40"/>
      <c r="Z85" s="40"/>
      <c r="AA85" s="40"/>
      <c r="AB85" s="40"/>
    </row>
    <row r="86" spans="2:28" s="97" customFormat="1" ht="16.2" x14ac:dyDescent="0.25">
      <c r="C86" s="107">
        <f>IF(ISERROR(D86),"",IF(D86="","",MAX($C$13:C85)+1))</f>
        <v>56</v>
      </c>
      <c r="D86" s="104" t="s">
        <v>456</v>
      </c>
      <c r="E86"/>
      <c r="F86" s="103">
        <f t="shared" ref="F86:M86" ca="1" si="28">F63-F60</f>
        <v>-5.8383977516049609E-3</v>
      </c>
      <c r="G86" s="103">
        <f>G63-G60</f>
        <v>3.9827898493908706E-3</v>
      </c>
      <c r="H86" s="103">
        <f>H63-H60</f>
        <v>-1.241284400515956E-3</v>
      </c>
      <c r="I86" s="103">
        <f t="shared" si="28"/>
        <v>-1.5377763253634328E-2</v>
      </c>
      <c r="J86" s="103">
        <f t="shared" ca="1" si="28"/>
        <v>-2.2019655994504367E-2</v>
      </c>
      <c r="K86" s="103">
        <f t="shared" ca="1" si="28"/>
        <v>-7.8875842964364409E-3</v>
      </c>
      <c r="L86" s="103">
        <f t="shared" ca="1" si="28"/>
        <v>-5.4246489293603255E-3</v>
      </c>
      <c r="M86" s="103">
        <f t="shared" ca="1" si="28"/>
        <v>-7.1087057739509275E-3</v>
      </c>
      <c r="N86" s="103">
        <f t="shared" ref="N86:X86" ca="1" si="29">N63-N60</f>
        <v>-1.2673580008339094E-2</v>
      </c>
      <c r="O86" s="103">
        <f t="shared" ca="1" si="29"/>
        <v>-1.1733940735038317E-2</v>
      </c>
      <c r="P86" s="103">
        <f t="shared" ca="1" si="29"/>
        <v>-5.8127837516075212E-3</v>
      </c>
      <c r="Q86" s="103">
        <f t="shared" ca="1" si="29"/>
        <v>-7.425575260708514E-3</v>
      </c>
      <c r="R86" s="103">
        <f t="shared" ca="1" si="29"/>
        <v>-1.6339590192653811E-2</v>
      </c>
      <c r="S86" s="103">
        <f t="shared" ca="1" si="29"/>
        <v>-6.8276649901284001E-3</v>
      </c>
      <c r="T86" s="103">
        <f t="shared" ca="1" si="29"/>
        <v>-6.1207391984879761E-3</v>
      </c>
      <c r="U86" s="103">
        <f t="shared" ca="1" si="29"/>
        <v>-1.0477193259447799E-2</v>
      </c>
      <c r="V86" s="103">
        <f t="shared" ca="1" si="29"/>
        <v>1.1318903352565968E-3</v>
      </c>
      <c r="W86" s="103">
        <f t="shared" ca="1" si="29"/>
        <v>1.365854516667947E-2</v>
      </c>
      <c r="X86" s="103">
        <f t="shared" ca="1" si="29"/>
        <v>1.2606325164597421E-2</v>
      </c>
      <c r="Y86" s="40"/>
      <c r="Z86" s="40"/>
      <c r="AA86" s="40"/>
      <c r="AB86" s="40"/>
    </row>
    <row r="87" spans="2:28" s="97" customFormat="1" ht="16.2" x14ac:dyDescent="0.25">
      <c r="C87" s="107">
        <f>IF(ISERROR(D87),"",IF(D87="","",MAX($C$13:C86)+1))</f>
        <v>57</v>
      </c>
      <c r="D87" s="104" t="s">
        <v>457</v>
      </c>
      <c r="E87" s="10"/>
      <c r="F87" s="103">
        <f t="shared" ref="F87:L87" ca="1" si="30">F64-F67</f>
        <v>-5.7228312249895785E-3</v>
      </c>
      <c r="G87" s="103">
        <f>G64-G67</f>
        <v>3.8862962157753117E-3</v>
      </c>
      <c r="H87" s="103">
        <f t="shared" si="30"/>
        <v>-1.2093808509548009E-3</v>
      </c>
      <c r="I87" s="103">
        <f t="shared" si="30"/>
        <v>-1.5014597066623978E-2</v>
      </c>
      <c r="J87" s="103">
        <f t="shared" ca="1" si="30"/>
        <v>-2.1659734629337346E-2</v>
      </c>
      <c r="K87" s="103">
        <f t="shared" ca="1" si="30"/>
        <v>-7.7486831179469692E-3</v>
      </c>
      <c r="L87" s="103">
        <f t="shared" ca="1" si="30"/>
        <v>-5.3149465922084065E-3</v>
      </c>
      <c r="M87" s="103">
        <f t="shared" ref="M87:X87" ca="1" si="31">M64-M67</f>
        <v>-6.9766687330377174E-3</v>
      </c>
      <c r="N87" s="103">
        <f t="shared" ca="1" si="31"/>
        <v>-1.2479245582679429E-2</v>
      </c>
      <c r="O87" s="103">
        <f t="shared" ca="1" si="31"/>
        <v>-1.1532170658038047E-2</v>
      </c>
      <c r="P87" s="103">
        <f t="shared" ca="1" si="31"/>
        <v>-5.6882465903259523E-3</v>
      </c>
      <c r="Q87" s="103">
        <f t="shared" ca="1" si="31"/>
        <v>-7.2550924106426547E-3</v>
      </c>
      <c r="R87" s="103">
        <f t="shared" ca="1" si="31"/>
        <v>-1.5968190602486651E-2</v>
      </c>
      <c r="S87" s="103">
        <f t="shared" ca="1" si="31"/>
        <v>-6.6676051288855551E-3</v>
      </c>
      <c r="T87" s="103">
        <f t="shared" ca="1" si="31"/>
        <v>-5.9855137930804117E-3</v>
      </c>
      <c r="U87" s="103">
        <f t="shared" ca="1" si="31"/>
        <v>-1.0286567701901297E-2</v>
      </c>
      <c r="V87" s="103">
        <f t="shared" ca="1" si="31"/>
        <v>1.1082736989647887E-3</v>
      </c>
      <c r="W87" s="103">
        <f t="shared" ca="1" si="31"/>
        <v>1.3326113818751303E-2</v>
      </c>
      <c r="X87" s="103">
        <f t="shared" ca="1" si="31"/>
        <v>1.2283940393619061E-2</v>
      </c>
      <c r="Y87" s="40"/>
      <c r="Z87" s="40"/>
      <c r="AA87" s="40"/>
      <c r="AB87" s="40"/>
    </row>
    <row r="88" spans="2:28" s="97" customFormat="1" x14ac:dyDescent="0.25">
      <c r="C88" s="1"/>
      <c r="D88" s="104"/>
      <c r="E88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40"/>
      <c r="Z88" s="40"/>
      <c r="AA88" s="40"/>
      <c r="AB88" s="40"/>
    </row>
    <row r="89" spans="2:28" s="97" customFormat="1" x14ac:dyDescent="0.25">
      <c r="C89" s="10"/>
      <c r="D89" s="10"/>
      <c r="E89" s="10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</row>
    <row r="90" spans="2:28" s="97" customFormat="1" x14ac:dyDescent="0.25">
      <c r="B90" s="100"/>
      <c r="C90" s="101"/>
      <c r="E90" s="20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</row>
    <row r="91" spans="2:28" s="97" customFormat="1" x14ac:dyDescent="0.25">
      <c r="B91" s="100"/>
      <c r="C91" s="101"/>
      <c r="E91" s="20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</row>
    <row r="92" spans="2:28" s="97" customFormat="1" x14ac:dyDescent="0.25">
      <c r="B92" s="100"/>
      <c r="C92" s="101"/>
      <c r="E92" s="20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</row>
    <row r="93" spans="2:28" s="97" customFormat="1" x14ac:dyDescent="0.25">
      <c r="B93" s="100"/>
      <c r="C93" s="101"/>
      <c r="E93" s="20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</row>
    <row r="94" spans="2:28" s="97" customFormat="1" x14ac:dyDescent="0.25">
      <c r="B94" s="100"/>
      <c r="C94" s="101"/>
      <c r="E94" s="20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</row>
    <row r="95" spans="2:28" s="97" customFormat="1" x14ac:dyDescent="0.25">
      <c r="B95" s="100"/>
      <c r="C95" s="101"/>
      <c r="E95" s="20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</row>
    <row r="96" spans="2:28" s="97" customFormat="1" x14ac:dyDescent="0.25">
      <c r="B96" s="100"/>
      <c r="C96" s="101"/>
      <c r="E96" s="20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</row>
    <row r="97" spans="2:28" s="97" customFormat="1" x14ac:dyDescent="0.25">
      <c r="B97" s="100"/>
      <c r="C97" s="101"/>
      <c r="E97" s="20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</row>
    <row r="98" spans="2:28" s="97" customFormat="1" x14ac:dyDescent="0.25">
      <c r="B98" s="100"/>
      <c r="C98" s="101"/>
      <c r="E98" s="20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</row>
    <row r="99" spans="2:28" s="97" customFormat="1" x14ac:dyDescent="0.25">
      <c r="B99" s="100"/>
      <c r="C99" s="101"/>
      <c r="E99" s="20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2:28" s="97" customFormat="1" x14ac:dyDescent="0.25">
      <c r="B100" s="100"/>
      <c r="C100" s="101"/>
      <c r="E100" s="20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2:28" s="97" customFormat="1" x14ac:dyDescent="0.25">
      <c r="B101" s="100"/>
      <c r="C101" s="101"/>
      <c r="E101" s="20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2:28" s="97" customFormat="1" x14ac:dyDescent="0.25">
      <c r="B102" s="100"/>
      <c r="C102" s="101"/>
      <c r="E102" s="20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2:28" s="97" customFormat="1" x14ac:dyDescent="0.25">
      <c r="B103" s="100"/>
      <c r="C103" s="101"/>
      <c r="E103" s="20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2:28" s="97" customFormat="1" x14ac:dyDescent="0.25">
      <c r="B104" s="100"/>
      <c r="C104" s="101"/>
      <c r="E104" s="20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2:28" s="97" customFormat="1" x14ac:dyDescent="0.25">
      <c r="B105" s="100"/>
      <c r="C105" s="101"/>
      <c r="E105" s="20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2:28" s="97" customFormat="1" x14ac:dyDescent="0.25">
      <c r="B106" s="100"/>
      <c r="C106" s="101"/>
      <c r="E106" s="20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2:28" s="97" customFormat="1" x14ac:dyDescent="0.25">
      <c r="B107" s="100"/>
      <c r="C107" s="101"/>
      <c r="E107" s="20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2:28" s="97" customFormat="1" x14ac:dyDescent="0.25">
      <c r="B108" s="100"/>
      <c r="C108" s="101"/>
      <c r="E108" s="20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</row>
    <row r="109" spans="2:28" s="97" customFormat="1" x14ac:dyDescent="0.25">
      <c r="B109" s="100"/>
      <c r="C109" s="101"/>
      <c r="E109" s="20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2:28" s="97" customFormat="1" x14ac:dyDescent="0.25">
      <c r="B110" s="100"/>
      <c r="C110" s="101"/>
      <c r="D110" s="18"/>
      <c r="E110" s="88"/>
      <c r="F110"/>
      <c r="G110"/>
      <c r="H110"/>
      <c r="I110"/>
      <c r="J110"/>
      <c r="K110"/>
      <c r="L110"/>
      <c r="M110"/>
      <c r="N110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8"/>
      <c r="AA110" s="98"/>
      <c r="AB110" s="98"/>
    </row>
    <row r="111" spans="2:28" s="97" customFormat="1" x14ac:dyDescent="0.25">
      <c r="B111" s="100"/>
      <c r="C111" s="1"/>
      <c r="D111" s="20" t="s">
        <v>107</v>
      </c>
      <c r="E111"/>
      <c r="F111"/>
      <c r="G111"/>
      <c r="H111"/>
      <c r="I111"/>
      <c r="J111"/>
      <c r="K111"/>
      <c r="L111"/>
      <c r="M111"/>
      <c r="N111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8"/>
      <c r="AA111" s="98"/>
      <c r="AB111" s="98"/>
    </row>
    <row r="112" spans="2:28" s="97" customFormat="1" ht="16.2" x14ac:dyDescent="0.25">
      <c r="B112" s="100"/>
      <c r="C112"/>
      <c r="D112" s="76">
        <v>1</v>
      </c>
      <c r="E112" s="21" t="str">
        <f>'CCW-1, pgs 1-3'!E65</f>
        <v>Data for years 2019 and prior were retrieved from the Value Line Investment Survey Investment Analyzer Software, downloaded on June 18, 2021.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 s="99"/>
      <c r="Z112" s="98"/>
      <c r="AA112" s="98"/>
      <c r="AB112" s="98"/>
    </row>
    <row r="113" spans="1:28" s="97" customFormat="1" ht="16.2" x14ac:dyDescent="0.25">
      <c r="B113" s="100"/>
      <c r="C113"/>
      <c r="D113" s="76"/>
      <c r="E113" s="21" t="str">
        <f>'CCW-1, pgs 1-3'!E66</f>
        <v>Data for the years 2020 - 2022 was retrieved from Value Line Investment Surveys.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 s="99"/>
      <c r="Z113" s="98"/>
      <c r="AA113" s="98"/>
      <c r="AB113" s="98"/>
    </row>
    <row r="114" spans="1:28" ht="16.2" x14ac:dyDescent="0.25">
      <c r="A114" s="31"/>
      <c r="B114" s="31"/>
      <c r="D114" s="76">
        <v>2</v>
      </c>
      <c r="E114" s="21" t="str">
        <f>"The Value Line Investment Survey, "&amp;'2023 Data (WP)'!$D$1</f>
        <v>The Value Line Investment Survey, March 8, April 19, and May 10, 2024.</v>
      </c>
    </row>
    <row r="115" spans="1:28" ht="16.2" x14ac:dyDescent="0.25">
      <c r="A115" s="31"/>
      <c r="B115" s="31"/>
      <c r="D115" s="76">
        <v>3</v>
      </c>
      <c r="E115" s="22" t="s">
        <v>406</v>
      </c>
    </row>
    <row r="116" spans="1:28" ht="16.2" x14ac:dyDescent="0.25">
      <c r="A116" s="31"/>
      <c r="B116" s="31"/>
      <c r="D116" s="76">
        <v>4</v>
      </c>
      <c r="E116" t="str">
        <f>"www.moodys.com, Bond Yields and Key Indicators, through "&amp;'Annual Yields (WP)'!$E$1&amp;"."</f>
        <v>www.moodys.com, Bond Yields and Key Indicators, through December 31, 2023.</v>
      </c>
    </row>
    <row r="117" spans="1:28" x14ac:dyDescent="0.25">
      <c r="A117" s="31"/>
      <c r="B117" s="31"/>
      <c r="D117" s="20" t="s">
        <v>328</v>
      </c>
    </row>
    <row r="118" spans="1:28" ht="16.2" x14ac:dyDescent="0.25">
      <c r="A118" s="31"/>
      <c r="B118" s="31"/>
      <c r="D118" s="76" t="s">
        <v>354</v>
      </c>
      <c r="E118" s="21" t="s">
        <v>523</v>
      </c>
    </row>
    <row r="119" spans="1:28" ht="16.2" x14ac:dyDescent="0.25">
      <c r="D119" s="76" t="s">
        <v>355</v>
      </c>
      <c r="E119" t="s">
        <v>467</v>
      </c>
    </row>
    <row r="120" spans="1:28" ht="16.2" x14ac:dyDescent="0.25">
      <c r="D120" s="76" t="s">
        <v>356</v>
      </c>
      <c r="E120" t="s">
        <v>468</v>
      </c>
    </row>
    <row r="121" spans="1:28" ht="16.2" x14ac:dyDescent="0.25">
      <c r="D121" s="76" t="s">
        <v>454</v>
      </c>
      <c r="E121" t="s">
        <v>465</v>
      </c>
    </row>
    <row r="122" spans="1:28" ht="16.2" x14ac:dyDescent="0.25">
      <c r="D122" s="76" t="s">
        <v>455</v>
      </c>
      <c r="E122" t="s">
        <v>466</v>
      </c>
    </row>
    <row r="123" spans="1:28" ht="16.2" x14ac:dyDescent="0.25">
      <c r="D123" s="76" t="s">
        <v>458</v>
      </c>
      <c r="E123" t="s">
        <v>463</v>
      </c>
    </row>
    <row r="124" spans="1:28" ht="16.2" x14ac:dyDescent="0.25">
      <c r="D124" s="76" t="s">
        <v>459</v>
      </c>
      <c r="E124" t="s">
        <v>464</v>
      </c>
    </row>
  </sheetData>
  <mergeCells count="10">
    <mergeCell ref="D77:E77"/>
    <mergeCell ref="D85:E85"/>
    <mergeCell ref="C1:X1"/>
    <mergeCell ref="C4:X4"/>
    <mergeCell ref="C5:X5"/>
    <mergeCell ref="F8:X8"/>
    <mergeCell ref="D10:E10"/>
    <mergeCell ref="D69:E69"/>
    <mergeCell ref="D73:E73"/>
    <mergeCell ref="D81:E81"/>
  </mergeCells>
  <printOptions horizontalCentered="1"/>
  <pageMargins left="0.7" right="0.7" top="1.5" bottom="0.75" header="0.55000000000000004" footer="0.51"/>
  <pageSetup scale="34" firstPageNumber="4" orientation="portrait" useFirstPageNumber="1" r:id="rId1"/>
  <headerFooter scaleWithDoc="0">
    <oddHeader>&amp;R&amp;"Arial,Bold"&amp;10Docket Nos. 20240026-EI, 20230139-EI, and 20230090-EI
Valuation Metrics
Exhibit CCW-1, Page &amp;P of 16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79"/>
  <sheetViews>
    <sheetView zoomScale="70" zoomScaleNormal="70" workbookViewId="0">
      <selection activeCell="H2" sqref="H2"/>
    </sheetView>
  </sheetViews>
  <sheetFormatPr defaultRowHeight="13.8" x14ac:dyDescent="0.25"/>
  <cols>
    <col min="1" max="1" width="15.09765625" customWidth="1"/>
    <col min="2" max="2" width="7.5" bestFit="1" customWidth="1"/>
    <col min="3" max="3" width="21.69921875" customWidth="1"/>
    <col min="4" max="5" width="5.19921875" bestFit="1" customWidth="1"/>
    <col min="6" max="6" width="2.8984375" customWidth="1"/>
    <col min="7" max="9" width="6.5" customWidth="1"/>
    <col min="10" max="10" width="6.3984375" bestFit="1" customWidth="1"/>
    <col min="11" max="12" width="6.19921875" customWidth="1"/>
    <col min="13" max="16" width="6.3984375" bestFit="1" customWidth="1"/>
    <col min="17" max="17" width="5.8984375" bestFit="1" customWidth="1"/>
    <col min="18" max="18" width="6.3984375" bestFit="1" customWidth="1"/>
    <col min="19" max="19" width="6.59765625" bestFit="1" customWidth="1"/>
    <col min="20" max="20" width="6.5" bestFit="1" customWidth="1"/>
    <col min="21" max="21" width="6.59765625" bestFit="1" customWidth="1"/>
    <col min="22" max="26" width="6.5" bestFit="1" customWidth="1"/>
  </cols>
  <sheetData>
    <row r="1" spans="1:26" x14ac:dyDescent="0.25">
      <c r="A1" t="s">
        <v>219</v>
      </c>
    </row>
    <row r="2" spans="1:26" x14ac:dyDescent="0.25">
      <c r="E2" s="35"/>
      <c r="F2" s="35"/>
      <c r="G2" s="35"/>
      <c r="H2" s="35">
        <f t="shared" ref="H2:N2" ca="1" si="0">MATCH(H3,OFFSET(CashFlow,-2,0,1,),0)</f>
        <v>2</v>
      </c>
      <c r="I2" s="35">
        <f t="shared" ca="1" si="0"/>
        <v>3</v>
      </c>
      <c r="J2" s="35">
        <f t="shared" ca="1" si="0"/>
        <v>4</v>
      </c>
      <c r="K2" s="35">
        <f t="shared" ca="1" si="0"/>
        <v>5</v>
      </c>
      <c r="L2" s="35">
        <f t="shared" ca="1" si="0"/>
        <v>6</v>
      </c>
      <c r="M2" s="35">
        <f t="shared" ca="1" si="0"/>
        <v>7</v>
      </c>
      <c r="N2" s="35">
        <f t="shared" ca="1" si="0"/>
        <v>8</v>
      </c>
      <c r="O2" s="35">
        <f t="shared" ref="O2:V2" ca="1" si="1">MATCH(O3,OFFSET(CashFlow,-2,0,1,),0)</f>
        <v>9</v>
      </c>
      <c r="P2" s="35">
        <f t="shared" ca="1" si="1"/>
        <v>10</v>
      </c>
      <c r="Q2" s="35">
        <f t="shared" ca="1" si="1"/>
        <v>11</v>
      </c>
      <c r="R2" s="35">
        <f t="shared" ca="1" si="1"/>
        <v>12</v>
      </c>
      <c r="S2" s="35">
        <f t="shared" ca="1" si="1"/>
        <v>13</v>
      </c>
      <c r="T2" s="35">
        <f t="shared" ca="1" si="1"/>
        <v>14</v>
      </c>
      <c r="U2" s="35">
        <f t="shared" ca="1" si="1"/>
        <v>15</v>
      </c>
      <c r="V2" s="35">
        <f t="shared" ca="1" si="1"/>
        <v>16</v>
      </c>
      <c r="W2" s="35"/>
      <c r="X2" s="35"/>
      <c r="Y2" s="35"/>
      <c r="Z2" s="35"/>
    </row>
    <row r="3" spans="1:26" ht="14.4" thickBot="1" x14ac:dyDescent="0.3">
      <c r="D3" s="35" t="s">
        <v>213</v>
      </c>
      <c r="E3" s="35" t="s">
        <v>214</v>
      </c>
      <c r="F3" s="35"/>
      <c r="G3" s="35"/>
      <c r="H3" s="35">
        <v>2020</v>
      </c>
      <c r="I3" s="35">
        <v>2019</v>
      </c>
      <c r="J3" s="46">
        <v>2018</v>
      </c>
      <c r="K3" s="48">
        <v>2017</v>
      </c>
      <c r="L3" s="48">
        <v>2016</v>
      </c>
      <c r="M3" s="48">
        <v>2015</v>
      </c>
      <c r="N3" s="30">
        <v>2014</v>
      </c>
      <c r="O3" s="27">
        <v>2013</v>
      </c>
      <c r="P3" s="3">
        <v>2012</v>
      </c>
      <c r="Q3" s="3">
        <v>2011</v>
      </c>
      <c r="R3" s="3">
        <v>2010</v>
      </c>
      <c r="S3" s="3">
        <v>2009</v>
      </c>
      <c r="T3" s="3">
        <v>2008</v>
      </c>
      <c r="U3" s="3">
        <v>2007</v>
      </c>
      <c r="V3" s="3">
        <v>2006</v>
      </c>
      <c r="W3" s="3">
        <v>2005</v>
      </c>
      <c r="X3" s="3">
        <v>2004</v>
      </c>
      <c r="Y3" s="3">
        <v>2003</v>
      </c>
      <c r="Z3" s="3">
        <v>2002</v>
      </c>
    </row>
    <row r="4" spans="1:26" x14ac:dyDescent="0.25"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1:26" x14ac:dyDescent="0.25">
      <c r="A5" t="str">
        <f>IFERROR(INDEX('2019 Data (WP)'!$C$9:$C$73,MATCH($B5,'2019 Data (WP)'!$D$9:$D$73,0)),"")</f>
        <v>Electric Util. (Central)</v>
      </c>
      <c r="B5" t="s">
        <v>0</v>
      </c>
      <c r="C5" t="s">
        <v>91</v>
      </c>
      <c r="D5" s="35">
        <f t="shared" ref="D5:D36" ca="1" si="2">MATCH(B5,OFFSET(MarketPrice,0,0,,1),0)</f>
        <v>3</v>
      </c>
      <c r="E5" s="35">
        <f t="shared" ref="E5:E36" ca="1" si="3">MATCH(B5,OFFSET(CashFlow,0,0,,1),0)</f>
        <v>3</v>
      </c>
      <c r="F5" s="35"/>
      <c r="G5" s="35"/>
      <c r="H5" s="17">
        <f t="shared" ref="H5:L14" ca="1" si="4">IFERROR(INDEX(MarketPrice,$D5,H$2)/INDEX(CashFlow,$E5,H$2),"N/A")</f>
        <v>8.1407496012759175</v>
      </c>
      <c r="I5" s="17">
        <f t="shared" ca="1" si="4"/>
        <v>11.378072355702844</v>
      </c>
      <c r="J5" s="17">
        <f t="shared" ca="1" si="4"/>
        <v>10.161806591618065</v>
      </c>
      <c r="K5" s="17">
        <f t="shared" ca="1" si="4"/>
        <v>10.947640006070724</v>
      </c>
      <c r="L5" s="17">
        <f t="shared" ca="1" si="4"/>
        <v>8.2644441305269112</v>
      </c>
      <c r="M5" s="17">
        <v>7.4948453608247423</v>
      </c>
      <c r="N5" s="17">
        <v>8.8042290748898679</v>
      </c>
      <c r="O5" s="17">
        <v>9.1492984097287184</v>
      </c>
      <c r="P5" s="17">
        <v>8.1817092651757175</v>
      </c>
      <c r="Q5" s="17">
        <v>7.9102198697068395</v>
      </c>
      <c r="R5" s="17">
        <v>8.0392922794117645</v>
      </c>
      <c r="S5" s="17">
        <v>8.5107812937552509</v>
      </c>
      <c r="T5" s="17">
        <v>9.2917552563193961</v>
      </c>
      <c r="U5" s="17">
        <v>10.302330844082373</v>
      </c>
      <c r="V5" s="17">
        <v>11.056694813027745</v>
      </c>
      <c r="W5" s="37">
        <v>11.543020535482194</v>
      </c>
      <c r="X5" s="37">
        <v>11.46027</v>
      </c>
      <c r="Y5" s="38" t="s">
        <v>106</v>
      </c>
      <c r="Z5" s="38" t="s">
        <v>106</v>
      </c>
    </row>
    <row r="6" spans="1:26" x14ac:dyDescent="0.25">
      <c r="A6" t="str">
        <f>IFERROR(INDEX('2019 Data (WP)'!$C$9:$C$73,MATCH($B6,'2019 Data (WP)'!$D$9:$D$73,0)),"")</f>
        <v>Electric Util. (Central)</v>
      </c>
      <c r="B6" t="s">
        <v>1</v>
      </c>
      <c r="C6" t="s">
        <v>84</v>
      </c>
      <c r="D6" s="35">
        <f t="shared" ca="1" si="2"/>
        <v>4</v>
      </c>
      <c r="E6" s="35">
        <f t="shared" ca="1" si="3"/>
        <v>4</v>
      </c>
      <c r="F6" s="35"/>
      <c r="G6" s="35"/>
      <c r="H6" s="17">
        <f t="shared" ca="1" si="4"/>
        <v>10.66253303516975</v>
      </c>
      <c r="I6" s="17">
        <f t="shared" ca="1" si="4"/>
        <v>10.741337982131183</v>
      </c>
      <c r="J6" s="17">
        <f t="shared" ca="1" si="4"/>
        <v>9.708825573314801</v>
      </c>
      <c r="K6" s="17">
        <f t="shared" ca="1" si="4"/>
        <v>13.212765957446807</v>
      </c>
      <c r="L6" s="17">
        <f t="shared" ca="1" si="4"/>
        <v>10.666956521739131</v>
      </c>
      <c r="M6" s="17">
        <v>8.8627394080092863</v>
      </c>
      <c r="N6" s="17">
        <v>8.3958151700087189</v>
      </c>
      <c r="O6" s="17">
        <v>7.5191502094554163</v>
      </c>
      <c r="P6" s="17">
        <v>7.4996607869742204</v>
      </c>
      <c r="Q6" s="17">
        <v>7.2149600580973132</v>
      </c>
      <c r="R6" s="17">
        <v>6.5860215053763431</v>
      </c>
      <c r="S6" s="17">
        <v>6.2287208749405609</v>
      </c>
      <c r="T6" s="17">
        <v>7.4890254609306401</v>
      </c>
      <c r="U6" s="17">
        <v>7.924579914028917</v>
      </c>
      <c r="V6" s="17">
        <v>8.0023094688221708</v>
      </c>
      <c r="W6" s="37">
        <v>5.0915080527086376</v>
      </c>
      <c r="X6" s="37">
        <v>5.5218499999999997</v>
      </c>
      <c r="Y6" s="37">
        <v>4.7578800000000001</v>
      </c>
      <c r="Z6" s="37">
        <v>5.2005309999999998</v>
      </c>
    </row>
    <row r="7" spans="1:26" x14ac:dyDescent="0.25">
      <c r="A7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35">
        <f t="shared" ca="1" si="2"/>
        <v>6</v>
      </c>
      <c r="E7" s="35">
        <f t="shared" ca="1" si="3"/>
        <v>6</v>
      </c>
      <c r="F7" s="35"/>
      <c r="G7" s="35"/>
      <c r="H7" s="17">
        <f t="shared" ca="1" si="4"/>
        <v>23.905745062836626</v>
      </c>
      <c r="I7" s="17">
        <f t="shared" ca="1" si="4"/>
        <v>24.044812768569674</v>
      </c>
      <c r="J7" s="17">
        <f t="shared" ca="1" si="4"/>
        <v>20.640817765244975</v>
      </c>
      <c r="K7" s="17">
        <f t="shared" ca="1" si="4"/>
        <v>16.35939086294416</v>
      </c>
      <c r="L7" s="17">
        <f t="shared" ca="1" si="4"/>
        <v>15.338882722900481</v>
      </c>
      <c r="M7" s="17">
        <v>14.08508365966536</v>
      </c>
      <c r="N7" s="17">
        <v>11.824962518740628</v>
      </c>
      <c r="O7" s="17">
        <v>10.413715146948004</v>
      </c>
      <c r="P7" s="17">
        <v>8.1306451612903228</v>
      </c>
      <c r="Q7" s="17">
        <v>8.0675422138836765</v>
      </c>
      <c r="R7" s="17">
        <v>8.25626477541371</v>
      </c>
      <c r="S7" s="17">
        <v>10.087544065804936</v>
      </c>
      <c r="T7" s="17">
        <v>10.381376037959669</v>
      </c>
      <c r="U7" s="17">
        <v>11.762250453720508</v>
      </c>
      <c r="V7" s="17">
        <v>12.743607463718037</v>
      </c>
      <c r="W7" s="56"/>
      <c r="X7" s="57"/>
      <c r="Y7" s="57"/>
      <c r="Z7" s="57"/>
    </row>
    <row r="8" spans="1:26" x14ac:dyDescent="0.25">
      <c r="A8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35">
        <f t="shared" ca="1" si="2"/>
        <v>7</v>
      </c>
      <c r="E8" s="35">
        <f t="shared" ca="1" si="3"/>
        <v>7</v>
      </c>
      <c r="F8" s="35"/>
      <c r="G8" s="35"/>
      <c r="H8" s="17">
        <f t="shared" ca="1" si="4"/>
        <v>19.039088397790053</v>
      </c>
      <c r="I8" s="17">
        <f t="shared" ca="1" si="4"/>
        <v>16.961347571063317</v>
      </c>
      <c r="J8" s="17">
        <f t="shared" ca="1" si="4"/>
        <v>13.986666666666666</v>
      </c>
      <c r="K8" s="17">
        <f t="shared" ca="1" si="4"/>
        <v>15.644747081712064</v>
      </c>
      <c r="L8" s="17">
        <f t="shared" ca="1" si="4"/>
        <v>13.800418171450294</v>
      </c>
      <c r="M8" s="17">
        <v>10.549688230709275</v>
      </c>
      <c r="N8" s="17">
        <v>10.065432358510414</v>
      </c>
      <c r="O8" s="17">
        <v>9.4051387933012158</v>
      </c>
      <c r="P8" s="17">
        <v>8.2557377049180349</v>
      </c>
      <c r="Q8" s="17">
        <v>7.735742971887551</v>
      </c>
      <c r="R8" s="17">
        <v>6.2856339612032617</v>
      </c>
      <c r="S8" s="17">
        <v>6.769657083477659</v>
      </c>
      <c r="T8" s="17">
        <v>7.2631762652705056</v>
      </c>
      <c r="U8" s="17">
        <v>0</v>
      </c>
      <c r="V8" s="17">
        <v>0</v>
      </c>
      <c r="W8" s="56"/>
      <c r="X8" s="57"/>
      <c r="Y8" s="57"/>
      <c r="Z8" s="57"/>
    </row>
    <row r="9" spans="1:26" x14ac:dyDescent="0.25">
      <c r="A9" t="str">
        <f>IFERROR(INDEX('2019 Data (WP)'!$C$9:$C$73,MATCH($B9,'2019 Data (WP)'!$D$9:$D$73,0)),"")</f>
        <v>Electric Util. (Central)</v>
      </c>
      <c r="B9" t="s">
        <v>3</v>
      </c>
      <c r="C9" t="s">
        <v>80</v>
      </c>
      <c r="D9" s="35">
        <f t="shared" ca="1" si="2"/>
        <v>8</v>
      </c>
      <c r="E9" s="35">
        <f t="shared" ca="1" si="3"/>
        <v>8</v>
      </c>
      <c r="F9" s="35"/>
      <c r="G9" s="35"/>
      <c r="H9" s="17">
        <f t="shared" ca="1" si="4"/>
        <v>9.6342701498080974</v>
      </c>
      <c r="I9" s="17">
        <f t="shared" ca="1" si="4"/>
        <v>9.4494955944323831</v>
      </c>
      <c r="J9" s="17">
        <f t="shared" ca="1" si="4"/>
        <v>7.9464659685863879</v>
      </c>
      <c r="K9" s="17">
        <f t="shared" ca="1" si="4"/>
        <v>8.3847736625514404</v>
      </c>
      <c r="L9" s="17">
        <f t="shared" ca="1" si="4"/>
        <v>7.4442757364105674</v>
      </c>
      <c r="M9" s="17">
        <v>6.8692219114986024</v>
      </c>
      <c r="N9" s="17">
        <v>6.9488734835355288</v>
      </c>
      <c r="O9" s="17">
        <v>6.6104440632742527</v>
      </c>
      <c r="P9" s="17">
        <v>5.4788012940575515</v>
      </c>
      <c r="Q9" s="17">
        <v>5.0182158665304737</v>
      </c>
      <c r="R9" s="17">
        <v>4.2268057531215426</v>
      </c>
      <c r="S9" s="17">
        <v>4.2504540201419845</v>
      </c>
      <c r="T9" s="17">
        <v>6.3536263394937107</v>
      </c>
      <c r="U9" s="17">
        <v>7.6877587226493196</v>
      </c>
      <c r="V9" s="17">
        <v>8.5713098404255312</v>
      </c>
      <c r="W9" s="37">
        <v>8.5745657161586362</v>
      </c>
      <c r="X9" s="37">
        <v>8.241695</v>
      </c>
      <c r="Y9" s="37">
        <v>6.7395110000000003</v>
      </c>
      <c r="Z9" s="37">
        <v>7.9554590000000003</v>
      </c>
    </row>
    <row r="10" spans="1:26" x14ac:dyDescent="0.25">
      <c r="A10" t="str">
        <f>IFERROR(INDEX('2019 Data (WP)'!$C$9:$C$73,MATCH($B10,'2019 Data (WP)'!$D$9:$D$73,0)),"")</f>
        <v>Electric Util. (Central)</v>
      </c>
      <c r="B10" t="s">
        <v>2</v>
      </c>
      <c r="C10" t="s">
        <v>103</v>
      </c>
      <c r="D10" s="35">
        <f t="shared" ca="1" si="2"/>
        <v>5</v>
      </c>
      <c r="E10" s="35">
        <f t="shared" ca="1" si="3"/>
        <v>5</v>
      </c>
      <c r="F10" s="35"/>
      <c r="G10" s="35"/>
      <c r="H10" s="17">
        <f t="shared" ca="1" si="4"/>
        <v>8.4111240762349269</v>
      </c>
      <c r="I10" s="17">
        <f t="shared" ca="1" si="4"/>
        <v>9.338464827881122</v>
      </c>
      <c r="J10" s="17">
        <f t="shared" ca="1" si="4"/>
        <v>8.0250941028858218</v>
      </c>
      <c r="K10" s="17">
        <f t="shared" ca="1" si="4"/>
        <v>8.8058142461615923</v>
      </c>
      <c r="L10" s="17">
        <f t="shared" ca="1" si="4"/>
        <v>7.5706695005313502</v>
      </c>
      <c r="M10" s="17">
        <v>7.0949993733550567</v>
      </c>
      <c r="N10" s="17">
        <v>7</v>
      </c>
      <c r="O10" s="17">
        <v>6.5675406098603597</v>
      </c>
      <c r="P10" s="17">
        <v>5.9286127167630065</v>
      </c>
      <c r="Q10" s="17">
        <v>5.4648403164371517</v>
      </c>
      <c r="R10" s="17">
        <v>5.5438652256834073</v>
      </c>
      <c r="S10" s="17">
        <v>4.7136529030216741</v>
      </c>
      <c r="T10" s="17">
        <v>5.7125511995318901</v>
      </c>
      <c r="U10" s="17">
        <v>6.8440717858193594</v>
      </c>
      <c r="V10" s="17">
        <v>5.5355428914217155</v>
      </c>
      <c r="W10" s="37">
        <v>6.0654252642174127</v>
      </c>
      <c r="X10" s="37">
        <v>5.5033099999999999</v>
      </c>
      <c r="Y10" s="37">
        <v>4.6854269999999998</v>
      </c>
      <c r="Z10" s="37">
        <v>5.1870079999999996</v>
      </c>
    </row>
    <row r="11" spans="1:26" x14ac:dyDescent="0.25">
      <c r="A1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35">
        <f t="shared" ca="1" si="2"/>
        <v>10</v>
      </c>
      <c r="E11" s="35">
        <f t="shared" ca="1" si="3"/>
        <v>10</v>
      </c>
      <c r="F11" s="35"/>
      <c r="G11" s="35"/>
      <c r="H11" s="17" t="str">
        <f t="shared" ca="1" si="4"/>
        <v>N/A</v>
      </c>
      <c r="I11" s="17" t="str">
        <f t="shared" ca="1" si="4"/>
        <v>N/A</v>
      </c>
      <c r="J11" s="17">
        <f t="shared" ca="1" si="4"/>
        <v>18.493165089379602</v>
      </c>
      <c r="K11" s="17">
        <f t="shared" ca="1" si="4"/>
        <v>15.7204910292729</v>
      </c>
      <c r="L11" s="17">
        <f t="shared" ca="1" si="4"/>
        <v>15.216908212560387</v>
      </c>
      <c r="M11" s="17">
        <v>14.316239316239315</v>
      </c>
      <c r="N11" s="17">
        <v>13.202437731849496</v>
      </c>
      <c r="O11" s="17">
        <v>13.484632272228319</v>
      </c>
      <c r="P11" s="17">
        <v>12.668211920529803</v>
      </c>
      <c r="Q11" s="17">
        <v>12.214088397790055</v>
      </c>
      <c r="R11" s="17">
        <v>10.679802955665025</v>
      </c>
      <c r="S11" s="17">
        <v>11.07081712062257</v>
      </c>
      <c r="T11" s="17">
        <v>12.815140845070424</v>
      </c>
      <c r="U11" s="17">
        <v>16.537340619307834</v>
      </c>
      <c r="V11" s="17">
        <v>19.241584158415844</v>
      </c>
      <c r="W11" s="56"/>
      <c r="X11" s="57"/>
      <c r="Y11" s="57"/>
      <c r="Z11" s="57"/>
    </row>
    <row r="12" spans="1:26" x14ac:dyDescent="0.25">
      <c r="A12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35">
        <f t="shared" ca="1" si="2"/>
        <v>12</v>
      </c>
      <c r="E12" s="35">
        <f t="shared" ca="1" si="3"/>
        <v>12</v>
      </c>
      <c r="F12" s="35"/>
      <c r="G12" s="35"/>
      <c r="H12" s="17">
        <f t="shared" ca="1" si="4"/>
        <v>13.113381510092202</v>
      </c>
      <c r="I12" s="17">
        <f t="shared" ca="1" si="4"/>
        <v>13.347079037800686</v>
      </c>
      <c r="J12" s="17">
        <f t="shared" ca="1" si="4"/>
        <v>12.018098922354239</v>
      </c>
      <c r="K12" s="17">
        <f t="shared" ca="1" si="4"/>
        <v>11.986249622242369</v>
      </c>
      <c r="L12" s="17">
        <f t="shared" ca="1" si="4"/>
        <v>11.359670382937471</v>
      </c>
      <c r="M12" s="17">
        <v>9.3031137106485478</v>
      </c>
      <c r="N12" s="17">
        <v>8.7932434927081413</v>
      </c>
      <c r="O12" s="17">
        <v>7.7219303366413694</v>
      </c>
      <c r="P12" s="17">
        <v>7.0247795044099117</v>
      </c>
      <c r="Q12" s="17">
        <v>6.8703939008894528</v>
      </c>
      <c r="R12" s="17">
        <v>6.1520051746442439</v>
      </c>
      <c r="S12" s="17">
        <v>5.7602611940298498</v>
      </c>
      <c r="T12" s="17">
        <v>6.4796088719294067</v>
      </c>
      <c r="U12" s="17">
        <v>7.443772672309553</v>
      </c>
      <c r="V12" s="17">
        <v>6.3552631578947363</v>
      </c>
      <c r="W12" s="56"/>
      <c r="X12" s="57"/>
      <c r="Y12" s="57"/>
      <c r="Z12" s="57"/>
    </row>
    <row r="13" spans="1:26" x14ac:dyDescent="0.25">
      <c r="A13" t="str">
        <f>IFERROR(INDEX('2019 Data (WP)'!$C$9:$C$73,MATCH($B13,'2019 Data (WP)'!$D$9:$D$73,0)),"")</f>
        <v>Electric Utility (East)</v>
      </c>
      <c r="B13" t="s">
        <v>260</v>
      </c>
      <c r="C13" t="s">
        <v>261</v>
      </c>
      <c r="D13" s="35">
        <f t="shared" ca="1" si="2"/>
        <v>13</v>
      </c>
      <c r="E13" s="35">
        <f t="shared" ca="1" si="3"/>
        <v>13</v>
      </c>
      <c r="F13" s="35"/>
      <c r="G13" s="35"/>
      <c r="H13" s="17">
        <f t="shared" ca="1" si="4"/>
        <v>9.3899073526512904</v>
      </c>
      <c r="I13" s="17">
        <f t="shared" ca="1" si="4"/>
        <v>9.1097361237488617</v>
      </c>
      <c r="J13" s="17">
        <f t="shared" ca="1" si="4"/>
        <v>10.235522815633313</v>
      </c>
      <c r="K13" s="17">
        <f t="shared" ca="1" si="4"/>
        <v>10.143461795500112</v>
      </c>
      <c r="L13" s="17">
        <f t="shared" ca="1" si="4"/>
        <v>8.563739974672858</v>
      </c>
      <c r="M13" s="17">
        <v>11.301765650080256</v>
      </c>
      <c r="N13" s="17" t="s">
        <v>106</v>
      </c>
      <c r="O13" s="17" t="s">
        <v>106</v>
      </c>
      <c r="P13" s="17" t="s">
        <v>106</v>
      </c>
      <c r="Q13" s="17" t="s">
        <v>106</v>
      </c>
      <c r="R13" s="17" t="s">
        <v>106</v>
      </c>
      <c r="S13" s="17" t="s">
        <v>106</v>
      </c>
      <c r="T13" s="17" t="s">
        <v>106</v>
      </c>
      <c r="U13" s="17" t="s">
        <v>106</v>
      </c>
      <c r="V13" s="17" t="s">
        <v>106</v>
      </c>
      <c r="W13" s="38" t="s">
        <v>106</v>
      </c>
      <c r="X13" s="38" t="s">
        <v>106</v>
      </c>
      <c r="Y13" s="38" t="s">
        <v>106</v>
      </c>
      <c r="Z13" s="38" t="s">
        <v>106</v>
      </c>
    </row>
    <row r="14" spans="1:26" x14ac:dyDescent="0.25">
      <c r="A14" t="str">
        <f>IFERROR(INDEX('2019 Data (WP)'!$C$9:$C$73,MATCH($B14,'2019 Data (WP)'!$D$9:$D$73,0)),"")</f>
        <v>Electric Utility (West)</v>
      </c>
      <c r="B14" t="s">
        <v>4</v>
      </c>
      <c r="C14" t="s">
        <v>86</v>
      </c>
      <c r="D14" s="35">
        <f t="shared" ca="1" si="2"/>
        <v>14</v>
      </c>
      <c r="E14" s="35">
        <f t="shared" ca="1" si="3"/>
        <v>14</v>
      </c>
      <c r="F14" s="35"/>
      <c r="G14" s="35"/>
      <c r="H14" s="17">
        <f t="shared" ca="1" si="4"/>
        <v>7.8046556741028121</v>
      </c>
      <c r="I14" s="17">
        <f t="shared" ca="1" si="4"/>
        <v>7.3391060531090222</v>
      </c>
      <c r="J14" s="17">
        <f t="shared" ca="1" si="4"/>
        <v>10.138495310317301</v>
      </c>
      <c r="K14" s="17">
        <f t="shared" ca="1" si="4"/>
        <v>9.351251538777186</v>
      </c>
      <c r="L14" s="17">
        <f t="shared" ca="1" si="4"/>
        <v>7.6315391879131251</v>
      </c>
      <c r="M14" s="17">
        <v>6.7580743449116394</v>
      </c>
      <c r="N14" s="17">
        <v>7.3000459136822773</v>
      </c>
      <c r="O14" s="17">
        <v>6.2096330275229361</v>
      </c>
      <c r="P14" s="17">
        <v>6.882464198865172</v>
      </c>
      <c r="Q14" s="17">
        <v>6.404125892620999</v>
      </c>
      <c r="R14" s="17">
        <v>5.8034235229155167</v>
      </c>
      <c r="S14" s="17">
        <v>4.0559928041376203</v>
      </c>
      <c r="T14" s="17">
        <v>5.1186525892408241</v>
      </c>
      <c r="U14" s="17">
        <v>7.5844421699078817</v>
      </c>
      <c r="V14" s="17">
        <v>5.2971201123858576</v>
      </c>
      <c r="W14" s="37">
        <v>6.582413539367181</v>
      </c>
      <c r="X14" s="37">
        <v>7.5796849999999996</v>
      </c>
      <c r="Y14" s="37">
        <v>5.3602889999999999</v>
      </c>
      <c r="Z14" s="37">
        <v>5.8981279999999998</v>
      </c>
    </row>
    <row r="15" spans="1:26" x14ac:dyDescent="0.25">
      <c r="A15" t="str">
        <f>IFERROR(INDEX('2019 Data (WP)'!$C$9:$C$73,MATCH($B15,'2019 Data (WP)'!$D$9:$D$73,0)),"")</f>
        <v>Electric Utility (West)</v>
      </c>
      <c r="B15" t="s">
        <v>5</v>
      </c>
      <c r="C15" t="s">
        <v>46</v>
      </c>
      <c r="D15" s="35">
        <f t="shared" ca="1" si="2"/>
        <v>15</v>
      </c>
      <c r="E15" s="35">
        <f t="shared" ca="1" si="3"/>
        <v>15</v>
      </c>
      <c r="F15" s="35"/>
      <c r="G15" s="35"/>
      <c r="H15" s="17">
        <f t="shared" ref="H15:L24" ca="1" si="5">IFERROR(INDEX(MarketPrice,$D15,H$2)/INDEX(CashFlow,$E15,H$2),"N/A")</f>
        <v>8.5562154136860578</v>
      </c>
      <c r="I15" s="17">
        <f t="shared" ca="1" si="5"/>
        <v>10.652607580507269</v>
      </c>
      <c r="J15" s="17">
        <f t="shared" ca="1" si="5"/>
        <v>8.8295265466646509</v>
      </c>
      <c r="K15" s="17">
        <f t="shared" ca="1" si="5"/>
        <v>9.202683813251328</v>
      </c>
      <c r="L15" s="17">
        <f t="shared" ca="1" si="5"/>
        <v>9.3268098647573581</v>
      </c>
      <c r="M15" s="17">
        <v>8.0614298323036184</v>
      </c>
      <c r="N15" s="17">
        <v>8.8062449959967974</v>
      </c>
      <c r="O15" s="17">
        <v>8.0283353010625742</v>
      </c>
      <c r="P15" s="17">
        <v>6.0373881932021476</v>
      </c>
      <c r="Q15" s="17">
        <v>7.8482276585122319</v>
      </c>
      <c r="R15" s="17">
        <v>6.1607875307629199</v>
      </c>
      <c r="S15" s="17">
        <v>4.2542028450027702</v>
      </c>
      <c r="T15" s="17">
        <v>11.257026752455131</v>
      </c>
      <c r="U15" s="17">
        <v>7.6150936258747874</v>
      </c>
      <c r="V15" s="17">
        <v>6.9166335847558544</v>
      </c>
      <c r="W15" s="37">
        <v>7.5738045738045745</v>
      </c>
      <c r="X15" s="37">
        <v>6.6870099999999999</v>
      </c>
      <c r="Y15" s="37">
        <v>6.8855000000000004</v>
      </c>
      <c r="Z15" s="37">
        <v>5.9184089999999996</v>
      </c>
    </row>
    <row r="16" spans="1:26" x14ac:dyDescent="0.25">
      <c r="A16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35">
        <f t="shared" ca="1" si="2"/>
        <v>16</v>
      </c>
      <c r="E16" s="35">
        <f t="shared" ca="1" si="3"/>
        <v>16</v>
      </c>
      <c r="F16" s="35"/>
      <c r="G16" s="35"/>
      <c r="H16" s="17">
        <f t="shared" ca="1" si="5"/>
        <v>12.623808296830715</v>
      </c>
      <c r="I16" s="17">
        <f t="shared" ca="1" si="5"/>
        <v>16.409684612934058</v>
      </c>
      <c r="J16" s="17">
        <f t="shared" ca="1" si="5"/>
        <v>13.25965250965251</v>
      </c>
      <c r="K16" s="17">
        <f t="shared" ca="1" si="5"/>
        <v>12.555518506168724</v>
      </c>
      <c r="L16" s="17">
        <f t="shared" ca="1" si="5"/>
        <v>12.791969243912858</v>
      </c>
      <c r="M16" s="17">
        <v>10.489639639639638</v>
      </c>
      <c r="N16" s="17">
        <v>9.4981759221726794</v>
      </c>
      <c r="O16" s="17">
        <v>9.2844866576209863</v>
      </c>
      <c r="P16" s="17">
        <v>7.8671268334771352</v>
      </c>
      <c r="Q16" s="17">
        <v>8.8481624758220487</v>
      </c>
      <c r="R16" s="17">
        <v>9.5067287784679095</v>
      </c>
      <c r="S16" s="17">
        <v>9.9245087900723892</v>
      </c>
      <c r="T16" s="17">
        <v>10.090274046211713</v>
      </c>
      <c r="U16" s="17">
        <v>12.511523687580025</v>
      </c>
      <c r="V16" s="17">
        <v>14.436256448047162</v>
      </c>
      <c r="W16" s="56"/>
      <c r="X16" s="57"/>
      <c r="Y16" s="57"/>
      <c r="Z16" s="57"/>
    </row>
    <row r="17" spans="1:26" x14ac:dyDescent="0.25">
      <c r="A17" t="str">
        <f>IFERROR(INDEX('2019 Data (WP)'!$C$9:$C$73,MATCH($B17,'2019 Data (WP)'!$D$9:$D$73,0)),"")</f>
        <v>Electric Util. (Central)</v>
      </c>
      <c r="B17" t="s">
        <v>6</v>
      </c>
      <c r="C17" t="s">
        <v>90</v>
      </c>
      <c r="D17" s="35">
        <f t="shared" ca="1" si="2"/>
        <v>17</v>
      </c>
      <c r="E17" s="35">
        <f t="shared" ca="1" si="3"/>
        <v>17</v>
      </c>
      <c r="F17" s="35"/>
      <c r="G17" s="35"/>
      <c r="H17" s="17">
        <f t="shared" ca="1" si="5"/>
        <v>5.9415678333815443</v>
      </c>
      <c r="I17" s="17">
        <f t="shared" ca="1" si="5"/>
        <v>7.0315380883066476</v>
      </c>
      <c r="J17" s="17">
        <f t="shared" ca="1" si="5"/>
        <v>8.4472222222222211</v>
      </c>
      <c r="K17" s="17">
        <f t="shared" ca="1" si="5"/>
        <v>6.9695091720376796</v>
      </c>
      <c r="L17" s="17">
        <f t="shared" ca="1" si="5"/>
        <v>5.957041870581838</v>
      </c>
      <c r="M17" s="17">
        <v>5.7488235294117649</v>
      </c>
      <c r="N17" s="17">
        <v>6.2537003375746556</v>
      </c>
      <c r="O17" s="17">
        <v>6.5611064069997171</v>
      </c>
      <c r="P17" s="17">
        <v>5.1511179645335385</v>
      </c>
      <c r="Q17" s="17">
        <v>5.3933566433566442</v>
      </c>
      <c r="R17" s="17">
        <v>4.6976744186046515</v>
      </c>
      <c r="S17" s="17">
        <v>4.0547432845970759</v>
      </c>
      <c r="T17" s="17">
        <v>4.2873025160912812</v>
      </c>
      <c r="U17" s="17">
        <v>5.1730032419687593</v>
      </c>
      <c r="V17" s="17">
        <v>3.938834391229082</v>
      </c>
      <c r="W17" s="37">
        <v>4.698932646301067</v>
      </c>
      <c r="X17" s="37">
        <v>4.2561600000000004</v>
      </c>
      <c r="Y17" s="37">
        <v>2.080613</v>
      </c>
      <c r="Z17" s="37">
        <v>2.1596289999999998</v>
      </c>
    </row>
    <row r="18" spans="1:26" x14ac:dyDescent="0.25">
      <c r="A18" t="str">
        <f>IFERROR(INDEX('2019 Data (WP)'!$C$9:$C$73,MATCH($B18,'2019 Data (WP)'!$D$9:$D$73,0)),"")</f>
        <v/>
      </c>
      <c r="B18" t="s">
        <v>7</v>
      </c>
      <c r="C18" t="s">
        <v>48</v>
      </c>
      <c r="D18" s="35" t="e">
        <f t="shared" ca="1" si="2"/>
        <v>#N/A</v>
      </c>
      <c r="E18" s="35" t="e">
        <f t="shared" ca="1" si="3"/>
        <v>#N/A</v>
      </c>
      <c r="F18" s="35"/>
      <c r="G18" s="35"/>
      <c r="H18" s="17" t="str">
        <f t="shared" ca="1" si="5"/>
        <v>N/A</v>
      </c>
      <c r="I18" s="17" t="str">
        <f t="shared" ca="1" si="5"/>
        <v>N/A</v>
      </c>
      <c r="J18" s="17" t="str">
        <f t="shared" ca="1" si="5"/>
        <v>N/A</v>
      </c>
      <c r="K18" s="17" t="str">
        <f t="shared" ca="1" si="5"/>
        <v>N/A</v>
      </c>
      <c r="L18" s="17" t="str">
        <f t="shared" ca="1" si="5"/>
        <v>N/A</v>
      </c>
      <c r="M18" s="17" t="s">
        <v>106</v>
      </c>
      <c r="N18" s="17" t="s">
        <v>106</v>
      </c>
      <c r="O18" s="17" t="s">
        <v>106</v>
      </c>
      <c r="P18" s="17" t="s">
        <v>106</v>
      </c>
      <c r="Q18" s="17" t="s">
        <v>106</v>
      </c>
      <c r="R18" s="17" t="s">
        <v>106</v>
      </c>
      <c r="S18" s="17" t="s">
        <v>106</v>
      </c>
      <c r="T18" s="17" t="s">
        <v>106</v>
      </c>
      <c r="U18" s="17" t="s">
        <v>106</v>
      </c>
      <c r="V18" s="17" t="s">
        <v>106</v>
      </c>
      <c r="W18" s="37" t="s">
        <v>106</v>
      </c>
      <c r="X18" s="37">
        <v>9.4581719999999994</v>
      </c>
      <c r="Y18" s="37">
        <v>8.6922759999999997</v>
      </c>
      <c r="Z18" s="37">
        <v>11.4496</v>
      </c>
    </row>
    <row r="19" spans="1:26" x14ac:dyDescent="0.25">
      <c r="A19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35">
        <f t="shared" ca="1" si="2"/>
        <v>18</v>
      </c>
      <c r="E19" s="35">
        <f t="shared" ca="1" si="3"/>
        <v>18</v>
      </c>
      <c r="F19" s="35"/>
      <c r="G19" s="35"/>
      <c r="H19" s="17">
        <f t="shared" ca="1" si="5"/>
        <v>12.313534038513698</v>
      </c>
      <c r="I19" s="17">
        <f t="shared" ca="1" si="5"/>
        <v>14.169181034482758</v>
      </c>
      <c r="J19" s="17">
        <f t="shared" ca="1" si="5"/>
        <v>12.23643111179836</v>
      </c>
      <c r="K19" s="17">
        <f t="shared" ca="1" si="5"/>
        <v>13.775152298320105</v>
      </c>
      <c r="L19" s="17">
        <f t="shared" ca="1" si="5"/>
        <v>12.061785783459229</v>
      </c>
      <c r="M19" s="17">
        <v>10.156175771971498</v>
      </c>
      <c r="N19" s="17">
        <v>9.2457179107633749</v>
      </c>
      <c r="O19" s="17">
        <v>8.1181880892159111</v>
      </c>
      <c r="P19" s="17">
        <v>7.4640870005058169</v>
      </c>
      <c r="Q19" s="17">
        <v>7.3488876831253398</v>
      </c>
      <c r="R19" s="17">
        <v>6.3584096109839816</v>
      </c>
      <c r="S19" s="17">
        <v>9.4753258845437625</v>
      </c>
      <c r="T19" s="17">
        <v>7.8808000000000007</v>
      </c>
      <c r="U19" s="17">
        <v>8.5781746031746042</v>
      </c>
      <c r="V19" s="17">
        <v>9.4022038567493116</v>
      </c>
      <c r="W19" s="56"/>
      <c r="X19" s="57"/>
      <c r="Y19" s="57"/>
      <c r="Z19" s="57"/>
    </row>
    <row r="20" spans="1:26" x14ac:dyDescent="0.25">
      <c r="A20" t="str">
        <f>IFERROR(INDEX('2019 Data (WP)'!$C$9:$C$73,MATCH($B20,'2019 Data (WP)'!$D$9:$D$73,0)),"")</f>
        <v/>
      </c>
      <c r="B20" t="s">
        <v>8</v>
      </c>
      <c r="C20" t="s">
        <v>49</v>
      </c>
      <c r="D20" s="35" t="e">
        <f t="shared" ca="1" si="2"/>
        <v>#N/A</v>
      </c>
      <c r="E20" s="35" t="e">
        <f t="shared" ca="1" si="3"/>
        <v>#N/A</v>
      </c>
      <c r="F20" s="35"/>
      <c r="G20" s="35"/>
      <c r="H20" s="17" t="str">
        <f t="shared" ca="1" si="5"/>
        <v>N/A</v>
      </c>
      <c r="I20" s="17" t="str">
        <f t="shared" ca="1" si="5"/>
        <v>N/A</v>
      </c>
      <c r="J20" s="17" t="str">
        <f t="shared" ca="1" si="5"/>
        <v>N/A</v>
      </c>
      <c r="K20" s="17" t="str">
        <f t="shared" ca="1" si="5"/>
        <v>N/A</v>
      </c>
      <c r="L20" s="17" t="str">
        <f t="shared" ca="1" si="5"/>
        <v>N/A</v>
      </c>
      <c r="M20" s="17" t="s">
        <v>106</v>
      </c>
      <c r="N20" s="17" t="s">
        <v>106</v>
      </c>
      <c r="O20" s="17" t="s">
        <v>106</v>
      </c>
      <c r="P20" s="17" t="s">
        <v>106</v>
      </c>
      <c r="Q20" s="17" t="s">
        <v>106</v>
      </c>
      <c r="R20" s="17" t="s">
        <v>106</v>
      </c>
      <c r="S20" s="17" t="s">
        <v>106</v>
      </c>
      <c r="T20" s="17" t="s">
        <v>106</v>
      </c>
      <c r="U20" s="17" t="s">
        <v>106</v>
      </c>
      <c r="V20" s="17" t="s">
        <v>106</v>
      </c>
      <c r="W20" s="37" t="s">
        <v>106</v>
      </c>
      <c r="X20" s="37">
        <v>7.0826840000000004</v>
      </c>
      <c r="Y20" s="37">
        <v>5.2404299999999999</v>
      </c>
      <c r="Z20" s="37">
        <v>6.100295</v>
      </c>
    </row>
    <row r="21" spans="1:26" x14ac:dyDescent="0.25">
      <c r="A21" t="str">
        <f>IFERROR(INDEX('2019 Data (WP)'!$C$9:$C$73,MATCH($B21,'2019 Data (WP)'!$D$9:$D$73,0)),"")</f>
        <v>Electric Util. (Central)</v>
      </c>
      <c r="B21" t="s">
        <v>9</v>
      </c>
      <c r="C21" t="s">
        <v>47</v>
      </c>
      <c r="D21" s="35">
        <f t="shared" ca="1" si="2"/>
        <v>19</v>
      </c>
      <c r="E21" s="35">
        <f t="shared" ca="1" si="3"/>
        <v>19</v>
      </c>
      <c r="F21" s="35"/>
      <c r="G21" s="35"/>
      <c r="H21" s="17">
        <f t="shared" ca="1" si="5"/>
        <v>9.8658653846153843</v>
      </c>
      <c r="I21" s="17">
        <f t="shared" ca="1" si="5"/>
        <v>9.8524617996604409</v>
      </c>
      <c r="J21" s="17">
        <f t="shared" ca="1" si="5"/>
        <v>8.3986811620032089</v>
      </c>
      <c r="K21" s="17">
        <f t="shared" ca="1" si="5"/>
        <v>8.7488178551163234</v>
      </c>
      <c r="L21" s="17">
        <f t="shared" ca="1" si="5"/>
        <v>8.5008200082000815</v>
      </c>
      <c r="M21" s="17">
        <v>7.5266710211190944</v>
      </c>
      <c r="N21" s="17">
        <v>7.1293225959261006</v>
      </c>
      <c r="O21" s="17">
        <v>6.6755358462675529</v>
      </c>
      <c r="P21" s="17">
        <v>6.0340225071970686</v>
      </c>
      <c r="Q21" s="17">
        <v>5.405805038335159</v>
      </c>
      <c r="R21" s="17">
        <v>4.4751485683414369</v>
      </c>
      <c r="S21" s="17">
        <v>3.6362849725987885</v>
      </c>
      <c r="T21" s="17">
        <v>3.4463641052088705</v>
      </c>
      <c r="U21" s="17">
        <v>5.5730045425048669</v>
      </c>
      <c r="V21" s="17">
        <v>4.4045919950356813</v>
      </c>
      <c r="W21" s="37">
        <v>4.0422863808690588</v>
      </c>
      <c r="X21" s="37">
        <v>3.1967210000000001</v>
      </c>
      <c r="Y21" s="37">
        <v>2.876099</v>
      </c>
      <c r="Z21" s="37" t="s">
        <v>105</v>
      </c>
    </row>
    <row r="22" spans="1:26" x14ac:dyDescent="0.25">
      <c r="A22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35">
        <f t="shared" ca="1" si="2"/>
        <v>20</v>
      </c>
      <c r="E22" s="35">
        <f t="shared" ca="1" si="3"/>
        <v>20</v>
      </c>
      <c r="F22" s="35"/>
      <c r="G22" s="35"/>
      <c r="H22" s="17" t="str">
        <f t="shared" ca="1" si="5"/>
        <v>N/A</v>
      </c>
      <c r="I22" s="17" t="str">
        <f t="shared" ca="1" si="5"/>
        <v>N/A</v>
      </c>
      <c r="J22" s="17">
        <f t="shared" ca="1" si="5"/>
        <v>21.781601362862009</v>
      </c>
      <c r="K22" s="17">
        <f t="shared" ca="1" si="5"/>
        <v>16.658018867924529</v>
      </c>
      <c r="L22" s="17">
        <f t="shared" ca="1" si="5"/>
        <v>14.623490338164252</v>
      </c>
      <c r="M22" s="17">
        <v>11.275786163522012</v>
      </c>
      <c r="N22" s="17">
        <v>11.319313593539704</v>
      </c>
      <c r="O22" s="17">
        <v>11.597185241536707</v>
      </c>
      <c r="P22" s="17">
        <v>11.221717744986758</v>
      </c>
      <c r="Q22" s="17">
        <v>12.344418052256533</v>
      </c>
      <c r="R22" s="17">
        <v>11.454634624816086</v>
      </c>
      <c r="S22" s="17">
        <v>11.330574236937403</v>
      </c>
      <c r="T22" s="17">
        <v>12.644398766700926</v>
      </c>
      <c r="U22" s="17">
        <v>12.717746182201159</v>
      </c>
      <c r="V22" s="17">
        <v>15.461791831357049</v>
      </c>
      <c r="W22" s="56"/>
      <c r="X22" s="57"/>
      <c r="Y22" s="57"/>
      <c r="Z22" s="57"/>
    </row>
    <row r="23" spans="1:26" x14ac:dyDescent="0.25">
      <c r="A23" t="str">
        <f>IFERROR(INDEX('2019 Data (WP)'!$C$9:$C$73,MATCH($B23,'2019 Data (WP)'!$D$9:$D$73,0)),"")</f>
        <v>Electric Utility (East)</v>
      </c>
      <c r="B23" t="s">
        <v>10</v>
      </c>
      <c r="C23" t="s">
        <v>50</v>
      </c>
      <c r="D23" s="35">
        <f t="shared" ca="1" si="2"/>
        <v>21</v>
      </c>
      <c r="E23" s="35">
        <f t="shared" ca="1" si="3"/>
        <v>21</v>
      </c>
      <c r="F23" s="35"/>
      <c r="G23" s="35"/>
      <c r="H23" s="17">
        <f t="shared" ca="1" si="5"/>
        <v>8.3459955682177895</v>
      </c>
      <c r="I23" s="17">
        <f t="shared" ca="1" si="5"/>
        <v>9.4618681318681315</v>
      </c>
      <c r="J23" s="17">
        <f t="shared" ca="1" si="5"/>
        <v>8.7258860475549564</v>
      </c>
      <c r="K23" s="17">
        <f t="shared" ca="1" si="5"/>
        <v>9.6401902497027336</v>
      </c>
      <c r="L23" s="17">
        <f t="shared" ca="1" si="5"/>
        <v>9.3949270767279636</v>
      </c>
      <c r="M23" s="17">
        <v>7.963546922300706</v>
      </c>
      <c r="N23" s="17">
        <v>7.8885843497327679</v>
      </c>
      <c r="O23" s="17">
        <v>7.7697059218477236</v>
      </c>
      <c r="P23" s="17">
        <v>8.3131821998320738</v>
      </c>
      <c r="Q23" s="17">
        <v>8.1457545028000613</v>
      </c>
      <c r="R23" s="17">
        <v>7.3884707766212969</v>
      </c>
      <c r="S23" s="17">
        <v>6.7200614124872056</v>
      </c>
      <c r="T23" s="17">
        <v>6.8936205744822976</v>
      </c>
      <c r="U23" s="17">
        <v>8.3095980595980592</v>
      </c>
      <c r="V23" s="17">
        <v>8.6531540064406141</v>
      </c>
      <c r="W23" s="37">
        <v>8.5887602050503133</v>
      </c>
      <c r="X23" s="37">
        <v>9.3134920000000001</v>
      </c>
      <c r="Y23" s="37">
        <v>7.8992769999999997</v>
      </c>
      <c r="Z23" s="37">
        <v>7.6411100000000003</v>
      </c>
    </row>
    <row r="24" spans="1:26" x14ac:dyDescent="0.25">
      <c r="A24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35">
        <f t="shared" ca="1" si="2"/>
        <v>22</v>
      </c>
      <c r="E24" s="35">
        <f t="shared" ca="1" si="3"/>
        <v>22</v>
      </c>
      <c r="F24" s="35"/>
      <c r="G24" s="35"/>
      <c r="H24" s="17">
        <f t="shared" ca="1" si="5"/>
        <v>13</v>
      </c>
      <c r="I24" s="17">
        <f t="shared" ca="1" si="5"/>
        <v>13.724928366762178</v>
      </c>
      <c r="J24" s="17">
        <f t="shared" ca="1" si="5"/>
        <v>11.489120974760661</v>
      </c>
      <c r="K24" s="17">
        <f t="shared" ca="1" si="5"/>
        <v>10.646374216651745</v>
      </c>
      <c r="L24" s="17">
        <f t="shared" ca="1" si="5"/>
        <v>12.681341719077569</v>
      </c>
      <c r="M24" s="17">
        <v>12.988776655443322</v>
      </c>
      <c r="N24" s="17">
        <v>14.85125</v>
      </c>
      <c r="O24" s="17">
        <v>12.134796238244514</v>
      </c>
      <c r="P24" s="17">
        <v>6.8080548414738642</v>
      </c>
      <c r="Q24" s="17">
        <v>11.31768953068592</v>
      </c>
      <c r="R24" s="17">
        <v>13.371527777777779</v>
      </c>
      <c r="S24" s="17">
        <v>11.934745762711865</v>
      </c>
      <c r="T24" s="17">
        <v>19.910432033719704</v>
      </c>
      <c r="U24" s="17">
        <v>23.259567387687188</v>
      </c>
      <c r="V24" s="17">
        <v>29.194252873563219</v>
      </c>
      <c r="W24" s="56"/>
      <c r="X24" s="57"/>
      <c r="Y24" s="57"/>
      <c r="Z24" s="57"/>
    </row>
    <row r="25" spans="1:26" x14ac:dyDescent="0.25">
      <c r="A25" t="str">
        <f>IFERROR(INDEX('2019 Data (WP)'!$C$9:$C$73,MATCH($B25,'2019 Data (WP)'!$D$9:$D$73,0)),"")</f>
        <v>Electric Utility (East)</v>
      </c>
      <c r="B25" t="s">
        <v>11</v>
      </c>
      <c r="C25" t="s">
        <v>52</v>
      </c>
      <c r="D25" s="35">
        <f t="shared" ca="1" si="2"/>
        <v>24</v>
      </c>
      <c r="E25" s="35">
        <f t="shared" ca="1" si="3"/>
        <v>24</v>
      </c>
      <c r="F25" s="35"/>
      <c r="G25" s="35"/>
      <c r="H25" s="17">
        <f t="shared" ref="H25:L34" ca="1" si="6">IFERROR(INDEX(MarketPrice,$D25,H$2)/INDEX(CashFlow,$E25,H$2),"N/A")</f>
        <v>14.585993069487508</v>
      </c>
      <c r="I25" s="17">
        <f t="shared" ca="1" si="6"/>
        <v>13.46611945511701</v>
      </c>
      <c r="J25" s="17">
        <f t="shared" ca="1" si="6"/>
        <v>10.936699089084453</v>
      </c>
      <c r="K25" s="17">
        <f t="shared" ca="1" si="6"/>
        <v>11.34826736262143</v>
      </c>
      <c r="L25" s="17">
        <f t="shared" ca="1" si="6"/>
        <v>11.594436541804964</v>
      </c>
      <c r="M25" s="17">
        <v>11.837733957219251</v>
      </c>
      <c r="N25" s="17">
        <v>12.270753064798599</v>
      </c>
      <c r="O25" s="17">
        <v>10.877263581488934</v>
      </c>
      <c r="P25" s="17">
        <v>9.9176201372997728</v>
      </c>
      <c r="Q25" s="17">
        <v>9.4481665014866199</v>
      </c>
      <c r="R25" s="17">
        <v>8.1228207639569039</v>
      </c>
      <c r="S25" s="17">
        <v>6.9848421926910307</v>
      </c>
      <c r="T25" s="17">
        <v>8.2672192618906646</v>
      </c>
      <c r="U25" s="17">
        <v>8.6465262743554412</v>
      </c>
      <c r="V25" s="17">
        <v>7.8091649694501024</v>
      </c>
      <c r="W25" s="37">
        <v>10.089435287760065</v>
      </c>
      <c r="X25" s="37">
        <v>7.6822210000000002</v>
      </c>
      <c r="Y25" s="37">
        <v>7.50718</v>
      </c>
      <c r="Z25" s="37">
        <v>6.5263039999999997</v>
      </c>
    </row>
    <row r="26" spans="1:26" x14ac:dyDescent="0.25">
      <c r="A26" t="str">
        <f>IFERROR(INDEX('2019 Data (WP)'!$C$9:$C$73,MATCH($B26,'2019 Data (WP)'!$D$9:$D$73,0)),"")</f>
        <v>Electric Util. (Central)</v>
      </c>
      <c r="B26" t="s">
        <v>12</v>
      </c>
      <c r="C26" t="s">
        <v>51</v>
      </c>
      <c r="D26" s="35">
        <f t="shared" ca="1" si="2"/>
        <v>25</v>
      </c>
      <c r="E26" s="35">
        <f t="shared" ca="1" si="3"/>
        <v>25</v>
      </c>
      <c r="F26" s="35"/>
      <c r="G26" s="35"/>
      <c r="H26" s="17">
        <f t="shared" ca="1" si="6"/>
        <v>7.8526330112940537</v>
      </c>
      <c r="I26" s="17">
        <f t="shared" ca="1" si="6"/>
        <v>9.6730428075588115</v>
      </c>
      <c r="J26" s="17">
        <f t="shared" ca="1" si="6"/>
        <v>8.5355269432522647</v>
      </c>
      <c r="K26" s="17">
        <f t="shared" ca="1" si="6"/>
        <v>9.0492652679860708</v>
      </c>
      <c r="L26" s="17">
        <f t="shared" ca="1" si="6"/>
        <v>8.6420754716981136</v>
      </c>
      <c r="M26" s="17">
        <v>8.5202881661192933</v>
      </c>
      <c r="N26" s="17">
        <v>6.4158090096170071</v>
      </c>
      <c r="O26" s="17">
        <v>6.6529382716049383</v>
      </c>
      <c r="P26" s="17">
        <v>5.9124961621123733</v>
      </c>
      <c r="Q26" s="17">
        <v>5.1828350407693913</v>
      </c>
      <c r="R26" s="17">
        <v>4.6905930470347652</v>
      </c>
      <c r="S26" s="17">
        <v>3.5945859533198341</v>
      </c>
      <c r="T26" s="17">
        <v>4.8969359331476321</v>
      </c>
      <c r="U26" s="17">
        <v>5.7259870359457867</v>
      </c>
      <c r="V26" s="17">
        <v>5.2138932975216701</v>
      </c>
      <c r="W26" s="37">
        <v>5.5403413975193416</v>
      </c>
      <c r="X26" s="37">
        <v>6.0036690000000004</v>
      </c>
      <c r="Y26" s="37">
        <v>5.6177109999999999</v>
      </c>
      <c r="Z26" s="37">
        <v>5.20106</v>
      </c>
    </row>
    <row r="27" spans="1:26" x14ac:dyDescent="0.25">
      <c r="A27" t="str">
        <f>IFERROR(INDEX('2019 Data (WP)'!$C$9:$C$73,MATCH($B27,'2019 Data (WP)'!$D$9:$D$73,0)),"")</f>
        <v>Electric Utility (East)</v>
      </c>
      <c r="B27" t="s">
        <v>13</v>
      </c>
      <c r="C27" t="s">
        <v>93</v>
      </c>
      <c r="D27" s="35">
        <f t="shared" ca="1" si="2"/>
        <v>26</v>
      </c>
      <c r="E27" s="35">
        <f t="shared" ca="1" si="3"/>
        <v>26</v>
      </c>
      <c r="F27" s="35"/>
      <c r="G27" s="35"/>
      <c r="H27" s="17">
        <f t="shared" ca="1" si="6"/>
        <v>8.0611514094206225</v>
      </c>
      <c r="I27" s="17">
        <f t="shared" ca="1" si="6"/>
        <v>7.4022097625329817</v>
      </c>
      <c r="J27" s="17">
        <f t="shared" ca="1" si="6"/>
        <v>7.6455611709735862</v>
      </c>
      <c r="K27" s="17">
        <f t="shared" ca="1" si="6"/>
        <v>8.3977828822530718</v>
      </c>
      <c r="L27" s="17">
        <f t="shared" ca="1" si="6"/>
        <v>8.5698913043478271</v>
      </c>
      <c r="M27" s="17">
        <v>7.9461702127659573</v>
      </c>
      <c r="N27" s="17">
        <v>8.1206366630076836</v>
      </c>
      <c r="O27" s="17">
        <v>8.1148632858144438</v>
      </c>
      <c r="P27" s="17">
        <v>9.5307443365695796</v>
      </c>
      <c r="Q27" s="17">
        <v>6.5644009216589865</v>
      </c>
      <c r="R27" s="17">
        <v>6.0090737685599809</v>
      </c>
      <c r="S27" s="17">
        <v>5.9555408970976256</v>
      </c>
      <c r="T27" s="17">
        <v>7.1315538608198281</v>
      </c>
      <c r="U27" s="17">
        <v>7.1623288516097201</v>
      </c>
      <c r="V27" s="17">
        <v>0</v>
      </c>
      <c r="W27" s="37" t="s">
        <v>106</v>
      </c>
      <c r="X27" s="38" t="s">
        <v>106</v>
      </c>
      <c r="Y27" s="38" t="s">
        <v>106</v>
      </c>
      <c r="Z27" s="38" t="s">
        <v>106</v>
      </c>
    </row>
    <row r="28" spans="1:26" x14ac:dyDescent="0.25">
      <c r="A28" t="str">
        <f>IFERROR(INDEX('2019 Data (WP)'!$C$9:$C$73,MATCH($B28,'2019 Data (WP)'!$D$9:$D$73,0)),"")</f>
        <v>Electric Utility (West)</v>
      </c>
      <c r="B28" t="s">
        <v>14</v>
      </c>
      <c r="C28" t="s">
        <v>53</v>
      </c>
      <c r="D28" s="35">
        <f t="shared" ca="1" si="2"/>
        <v>27</v>
      </c>
      <c r="E28" s="35">
        <f t="shared" ca="1" si="3"/>
        <v>27</v>
      </c>
      <c r="F28" s="35"/>
      <c r="G28" s="35"/>
      <c r="H28" s="17">
        <f t="shared" ca="1" si="6"/>
        <v>7.5666960574379649</v>
      </c>
      <c r="I28" s="17">
        <f t="shared" ca="1" si="6"/>
        <v>7.2478408221274737</v>
      </c>
      <c r="J28" s="17">
        <f t="shared" ca="1" si="6"/>
        <v>13.461751544854039</v>
      </c>
      <c r="K28" s="17">
        <f t="shared" ca="1" si="6"/>
        <v>7.0462333423986943</v>
      </c>
      <c r="L28" s="17">
        <f t="shared" ca="1" si="6"/>
        <v>6.7719163629388071</v>
      </c>
      <c r="M28" s="17">
        <v>5.9209661835748788</v>
      </c>
      <c r="N28" s="17">
        <v>5.6784242789669381</v>
      </c>
      <c r="O28" s="17">
        <v>5.4568602932817996</v>
      </c>
      <c r="P28" s="17">
        <v>4.5871416701287906</v>
      </c>
      <c r="Q28" s="17">
        <v>4.22358803986711</v>
      </c>
      <c r="R28" s="17">
        <v>4.1089979793177225</v>
      </c>
      <c r="S28" s="17">
        <v>3.9531701192718138</v>
      </c>
      <c r="T28" s="17">
        <v>5.6253092528451267</v>
      </c>
      <c r="U28" s="17">
        <v>7.0055292259083721</v>
      </c>
      <c r="V28" s="17">
        <v>5.873293809458155</v>
      </c>
      <c r="W28" s="37">
        <v>5.6129401660463794</v>
      </c>
      <c r="X28" s="37">
        <v>6.8365840000000002</v>
      </c>
      <c r="Y28" s="37">
        <v>2.8197589999999999</v>
      </c>
      <c r="Z28" s="37">
        <v>2.960502</v>
      </c>
    </row>
    <row r="29" spans="1:26" x14ac:dyDescent="0.25">
      <c r="A29" t="str">
        <f>IFERROR(INDEX('2019 Data (WP)'!$C$9:$C$73,MATCH($B29,'2019 Data (WP)'!$D$9:$D$73,0)),"")</f>
        <v>Electric Utility (West)</v>
      </c>
      <c r="B29" t="s">
        <v>15</v>
      </c>
      <c r="C29" t="s">
        <v>88</v>
      </c>
      <c r="D29" s="35">
        <f t="shared" ca="1" si="2"/>
        <v>28</v>
      </c>
      <c r="E29" s="35">
        <f t="shared" ca="1" si="3"/>
        <v>28</v>
      </c>
      <c r="F29" s="35"/>
      <c r="G29" s="35"/>
      <c r="H29" s="17" t="str">
        <f t="shared" ca="1" si="6"/>
        <v>N/A</v>
      </c>
      <c r="I29" s="17" t="str">
        <f t="shared" ca="1" si="6"/>
        <v>N/A</v>
      </c>
      <c r="J29" s="17">
        <f t="shared" ca="1" si="6"/>
        <v>9.4327902240325869</v>
      </c>
      <c r="K29" s="17">
        <f t="shared" ca="1" si="6"/>
        <v>8.5396079701927761</v>
      </c>
      <c r="L29" s="17">
        <f t="shared" ca="1" si="6"/>
        <v>7.4615127175368148</v>
      </c>
      <c r="M29" s="17">
        <v>6.4707826086956519</v>
      </c>
      <c r="N29" s="17">
        <v>6.3323684658607178</v>
      </c>
      <c r="O29" s="17">
        <v>6.1883082373782115</v>
      </c>
      <c r="P29" s="17">
        <v>5.77813107224872</v>
      </c>
      <c r="Q29" s="17">
        <v>5.1629752066115708</v>
      </c>
      <c r="R29" s="17">
        <v>4.3062293809431402</v>
      </c>
      <c r="S29" s="17">
        <v>3.9808212441603148</v>
      </c>
      <c r="T29" s="17">
        <v>4.9475835537388804</v>
      </c>
      <c r="U29" s="17">
        <v>6.4357050452781364</v>
      </c>
      <c r="V29" s="17">
        <v>6.2486187845303869</v>
      </c>
      <c r="W29" s="37">
        <v>6.6677609980302037</v>
      </c>
      <c r="X29" s="37">
        <v>4.6549300000000002</v>
      </c>
      <c r="Y29" s="37">
        <v>3.8985989999999999</v>
      </c>
      <c r="Z29" s="37">
        <v>4.3862110000000003</v>
      </c>
    </row>
    <row r="30" spans="1:26" x14ac:dyDescent="0.25">
      <c r="A30" t="str">
        <f>IFERROR(INDEX('2019 Data (WP)'!$C$9:$C$73,MATCH($B30,'2019 Data (WP)'!$D$9:$D$73,0)),"")</f>
        <v/>
      </c>
      <c r="B30" t="s">
        <v>16</v>
      </c>
      <c r="C30" t="s">
        <v>102</v>
      </c>
      <c r="D30" s="35">
        <f t="shared" ca="1" si="2"/>
        <v>29</v>
      </c>
      <c r="E30" s="35">
        <f t="shared" ca="1" si="3"/>
        <v>29</v>
      </c>
      <c r="F30" s="35"/>
      <c r="G30" s="35"/>
      <c r="H30" s="17" t="str">
        <f t="shared" ca="1" si="6"/>
        <v>N/A</v>
      </c>
      <c r="I30" s="17" t="str">
        <f t="shared" ca="1" si="6"/>
        <v>N/A</v>
      </c>
      <c r="J30" s="17" t="str">
        <f t="shared" ca="1" si="6"/>
        <v>N/A</v>
      </c>
      <c r="K30" s="17" t="str">
        <f t="shared" ca="1" si="6"/>
        <v>N/A</v>
      </c>
      <c r="L30" s="17" t="str">
        <f t="shared" ca="1" si="6"/>
        <v>N/A</v>
      </c>
      <c r="M30" s="17">
        <v>7.2742616033755274</v>
      </c>
      <c r="N30" s="17">
        <v>7.2901073397156955</v>
      </c>
      <c r="O30" s="17">
        <v>7.0684713375796173</v>
      </c>
      <c r="P30" s="17">
        <v>6.9661754855994635</v>
      </c>
      <c r="Q30" s="17">
        <v>6.4347148644437517</v>
      </c>
      <c r="R30" s="17">
        <v>6.8796068796068797</v>
      </c>
      <c r="S30" s="17">
        <v>6.227088700772911</v>
      </c>
      <c r="T30" s="17">
        <v>6.9446164430684547</v>
      </c>
      <c r="U30" s="17">
        <v>8.7838841440772377</v>
      </c>
      <c r="V30" s="17">
        <v>8.1666666666666661</v>
      </c>
      <c r="W30" s="37">
        <v>9.1954304365565083</v>
      </c>
      <c r="X30" s="37">
        <v>9.6012599999999999</v>
      </c>
      <c r="Y30" s="37">
        <v>8.2227139999999999</v>
      </c>
      <c r="Z30" s="37">
        <v>7.9267190000000003</v>
      </c>
    </row>
    <row r="31" spans="1:26" x14ac:dyDescent="0.25">
      <c r="A31" t="str">
        <f>IFERROR(INDEX('2019 Data (WP)'!$C$9:$C$73,MATCH($B31,'2019 Data (WP)'!$D$9:$D$73,0)),"")</f>
        <v>Electric Util. (Central)</v>
      </c>
      <c r="B31" t="s">
        <v>17</v>
      </c>
      <c r="C31" t="s">
        <v>55</v>
      </c>
      <c r="D31" s="35">
        <f t="shared" ca="1" si="2"/>
        <v>30</v>
      </c>
      <c r="E31" s="35">
        <f t="shared" ca="1" si="3"/>
        <v>30</v>
      </c>
      <c r="F31" s="35"/>
      <c r="G31" s="35"/>
      <c r="H31" s="17">
        <f t="shared" ca="1" si="6"/>
        <v>5.7808106326889286</v>
      </c>
      <c r="I31" s="17">
        <f t="shared" ca="1" si="6"/>
        <v>6.0481065673899135</v>
      </c>
      <c r="J31" s="17">
        <f t="shared" ca="1" si="6"/>
        <v>4.9222235693501464</v>
      </c>
      <c r="K31" s="17">
        <f t="shared" ca="1" si="6"/>
        <v>4.6631547440885965</v>
      </c>
      <c r="L31" s="17">
        <f t="shared" ca="1" si="6"/>
        <v>4.0131916257209994</v>
      </c>
      <c r="M31" s="17">
        <v>4.1113181972212809</v>
      </c>
      <c r="N31" s="17">
        <v>4.2062683865127859</v>
      </c>
      <c r="O31" s="17">
        <v>4.0342238089375853</v>
      </c>
      <c r="P31" s="17">
        <v>4.2285499718380377</v>
      </c>
      <c r="Q31" s="17">
        <v>3.9024070271503537</v>
      </c>
      <c r="R31" s="17">
        <v>4.6604172966434838</v>
      </c>
      <c r="S31" s="17">
        <v>5.6803883202889818</v>
      </c>
      <c r="T31" s="17">
        <v>7.963460046547711</v>
      </c>
      <c r="U31" s="17">
        <v>9.2136890555744984</v>
      </c>
      <c r="V31" s="17">
        <v>7.1561769381838589</v>
      </c>
      <c r="W31" s="37">
        <v>8.756049865558543</v>
      </c>
      <c r="X31" s="37">
        <v>7.1220420000000004</v>
      </c>
      <c r="Y31" s="37">
        <v>6.8374600000000001</v>
      </c>
      <c r="Z31" s="37">
        <v>5.5696649999999996</v>
      </c>
    </row>
    <row r="32" spans="1:26" x14ac:dyDescent="0.25">
      <c r="A32" t="str">
        <f>IFERROR(INDEX('2019 Data (WP)'!$C$9:$C$73,MATCH($B32,'2019 Data (WP)'!$D$9:$D$73,0)),"")</f>
        <v>Electric Utility (East)</v>
      </c>
      <c r="B32" t="s">
        <v>211</v>
      </c>
      <c r="C32" t="s">
        <v>212</v>
      </c>
      <c r="D32" s="35">
        <f t="shared" ca="1" si="2"/>
        <v>31</v>
      </c>
      <c r="E32" s="35">
        <f t="shared" ca="1" si="3"/>
        <v>31</v>
      </c>
      <c r="F32" s="35"/>
      <c r="G32" s="35"/>
      <c r="H32" s="17">
        <f t="shared" ca="1" si="6"/>
        <v>12.529881055990716</v>
      </c>
      <c r="I32" s="17">
        <f t="shared" ca="1" si="6"/>
        <v>11.469703803939257</v>
      </c>
      <c r="J32" s="17">
        <f t="shared" ca="1" si="6"/>
        <v>9.1634803552611768</v>
      </c>
      <c r="K32" s="17">
        <f t="shared" ca="1" si="6"/>
        <v>10.358829568788501</v>
      </c>
      <c r="L32" s="17">
        <f t="shared" ca="1" si="6"/>
        <v>10.136863319897397</v>
      </c>
      <c r="M32" s="17">
        <v>10.12006479044341</v>
      </c>
      <c r="N32" s="17">
        <v>10.143264589732338</v>
      </c>
      <c r="O32" s="17">
        <v>8.0810344827586214</v>
      </c>
      <c r="P32" s="17">
        <v>9.3024293505205762</v>
      </c>
      <c r="Q32" s="17">
        <v>6.9887202625102534</v>
      </c>
      <c r="R32" s="17">
        <v>4.9663495419309376</v>
      </c>
      <c r="S32" s="17">
        <v>4.6065739060294417</v>
      </c>
      <c r="T32" s="17">
        <v>4.1233165666071718</v>
      </c>
      <c r="U32" s="17">
        <v>6.1838174273858924</v>
      </c>
      <c r="V32" s="17">
        <v>6.0159934941718625</v>
      </c>
      <c r="W32" s="37">
        <v>3.5481033534909288</v>
      </c>
      <c r="X32" s="37">
        <v>3.782826</v>
      </c>
      <c r="Y32" s="37">
        <v>2.852541</v>
      </c>
      <c r="Z32" s="37">
        <v>2.746715</v>
      </c>
    </row>
    <row r="33" spans="1:26" x14ac:dyDescent="0.25">
      <c r="A33" t="str">
        <f>IFERROR(INDEX('2019 Data (WP)'!$C$9:$C$73,MATCH($B33,'2019 Data (WP)'!$D$9:$D$73,0)),"")</f>
        <v>Electric Utility (East)</v>
      </c>
      <c r="B33" t="s">
        <v>18</v>
      </c>
      <c r="C33" t="s">
        <v>69</v>
      </c>
      <c r="D33" s="35">
        <f t="shared" ca="1" si="2"/>
        <v>32</v>
      </c>
      <c r="E33" s="35">
        <f t="shared" ca="1" si="3"/>
        <v>32</v>
      </c>
      <c r="F33" s="35"/>
      <c r="G33" s="35"/>
      <c r="H33" s="17">
        <f t="shared" ca="1" si="6"/>
        <v>4.4368555272203123</v>
      </c>
      <c r="I33" s="17">
        <f t="shared" ca="1" si="6"/>
        <v>5.2916945746818485</v>
      </c>
      <c r="J33" s="17">
        <f t="shared" ca="1" si="6"/>
        <v>5.0454931456993819</v>
      </c>
      <c r="K33" s="17">
        <f t="shared" ca="1" si="6"/>
        <v>4.4541218637992834</v>
      </c>
      <c r="L33" s="17">
        <f t="shared" ca="1" si="6"/>
        <v>4.8002855103497497</v>
      </c>
      <c r="M33" s="17">
        <v>4.6968092927510661</v>
      </c>
      <c r="N33" s="17">
        <v>5.0912668382019071</v>
      </c>
      <c r="O33" s="17">
        <v>4.6141263940520449</v>
      </c>
      <c r="P33" s="17">
        <v>5.5449591280653951</v>
      </c>
      <c r="Q33" s="17">
        <v>5.858446226154272</v>
      </c>
      <c r="R33" s="17">
        <v>5.1031373963216735</v>
      </c>
      <c r="S33" s="17">
        <v>5.9759912695525648</v>
      </c>
      <c r="T33" s="17">
        <v>9.6510805500982322</v>
      </c>
      <c r="U33" s="17">
        <v>9.8861066235864303</v>
      </c>
      <c r="V33" s="17">
        <v>8.615040953090098</v>
      </c>
      <c r="W33" s="37">
        <v>7.9709208400646201</v>
      </c>
      <c r="X33" s="37">
        <v>6.2868700000000004</v>
      </c>
      <c r="Y33" s="37">
        <v>5.7122630000000001</v>
      </c>
      <c r="Z33" s="37">
        <v>4.9749699999999999</v>
      </c>
    </row>
    <row r="34" spans="1:26" x14ac:dyDescent="0.25">
      <c r="A34" t="str">
        <f>IFERROR(INDEX('2019 Data (WP)'!$C$9:$C$73,MATCH($B34,'2019 Data (WP)'!$D$9:$D$73,0)),"")</f>
        <v>Electric Utility (East)</v>
      </c>
      <c r="B34" t="s">
        <v>19</v>
      </c>
      <c r="C34" t="s">
        <v>66</v>
      </c>
      <c r="D34" s="35">
        <f t="shared" ca="1" si="2"/>
        <v>33</v>
      </c>
      <c r="E34" s="35">
        <f t="shared" ca="1" si="3"/>
        <v>33</v>
      </c>
      <c r="F34" s="35"/>
      <c r="G34" s="35"/>
      <c r="H34" s="17">
        <f t="shared" ca="1" si="6"/>
        <v>9.2338431179082381</v>
      </c>
      <c r="I34" s="17">
        <f t="shared" ca="1" si="6"/>
        <v>11.094851635810297</v>
      </c>
      <c r="J34" s="17">
        <f t="shared" ca="1" si="6"/>
        <v>8.8403213658046695</v>
      </c>
      <c r="K34" s="17">
        <f t="shared" ca="1" si="6"/>
        <v>4.7616572389542879</v>
      </c>
      <c r="L34" s="17">
        <f t="shared" ca="1" si="6"/>
        <v>5.1169805542795892</v>
      </c>
      <c r="M34" s="17">
        <v>5.3809072230124864</v>
      </c>
      <c r="N34" s="17">
        <v>7.4331868131868131</v>
      </c>
      <c r="O34" s="17">
        <v>6.1523325928276735</v>
      </c>
      <c r="P34" s="17">
        <v>7.4218698381235546</v>
      </c>
      <c r="Q34" s="17">
        <v>7.3257918552036196</v>
      </c>
      <c r="R34" s="17">
        <v>4.4901799364930026</v>
      </c>
      <c r="S34" s="17">
        <v>4.9147533530347811</v>
      </c>
      <c r="T34" s="17">
        <v>7.5785864395531464</v>
      </c>
      <c r="U34" s="17">
        <v>7.8850395588587867</v>
      </c>
      <c r="V34" s="17">
        <v>7.5272122974657245</v>
      </c>
      <c r="W34" s="37">
        <v>6.0413135593220346</v>
      </c>
      <c r="X34" s="37">
        <v>5.149756</v>
      </c>
      <c r="Y34" s="37">
        <v>6.8987049999999996</v>
      </c>
      <c r="Z34" s="37">
        <v>5.104406</v>
      </c>
    </row>
    <row r="35" spans="1:26" x14ac:dyDescent="0.25">
      <c r="A35" t="str">
        <f>IFERROR(INDEX('2019 Data (WP)'!$C$9:$C$73,MATCH($B35,'2019 Data (WP)'!$D$9:$D$73,0)),"")</f>
        <v>Electric Util. (Central)</v>
      </c>
      <c r="B35" t="s">
        <v>266</v>
      </c>
      <c r="C35" t="s">
        <v>265</v>
      </c>
      <c r="D35" s="35">
        <f t="shared" ca="1" si="2"/>
        <v>34</v>
      </c>
      <c r="E35" s="35">
        <f t="shared" ca="1" si="3"/>
        <v>34</v>
      </c>
      <c r="F35" s="35"/>
      <c r="G35" s="35"/>
      <c r="H35" s="17">
        <f t="shared" ref="H35:L44" ca="1" si="7">IFERROR(INDEX(MarketPrice,$D35,H$2)/INDEX(CashFlow,$E35,H$2),"N/A")</f>
        <v>9.495131881748982</v>
      </c>
      <c r="I35" s="17">
        <f t="shared" ca="1" si="7"/>
        <v>9.4646204741775417</v>
      </c>
      <c r="J35" s="17">
        <f t="shared" ca="1" si="7"/>
        <v>7.9736939607261954</v>
      </c>
      <c r="K35" s="17">
        <f t="shared" ca="1" si="7"/>
        <v>8.2302595251242412</v>
      </c>
      <c r="L35" s="17">
        <f t="shared" ca="1" si="7"/>
        <v>10.455569782330347</v>
      </c>
      <c r="M35" s="17">
        <v>7.2851937092443411</v>
      </c>
      <c r="N35" s="17">
        <v>9.2506210322936795</v>
      </c>
      <c r="O35" s="17">
        <v>7.9295980511571251</v>
      </c>
      <c r="P35" s="17">
        <v>8.0921277114306598</v>
      </c>
      <c r="Q35" s="17">
        <v>8.3779144248014337</v>
      </c>
      <c r="R35" s="17">
        <v>7.4047678795483058</v>
      </c>
      <c r="S35" s="17">
        <v>6.7606019151846795</v>
      </c>
      <c r="T35" s="17">
        <v>7.5814550641940093</v>
      </c>
      <c r="U35" s="17">
        <v>9.183935200809989</v>
      </c>
      <c r="V35" s="17">
        <v>7.8926108374384238</v>
      </c>
      <c r="W35" s="37" t="s">
        <v>106</v>
      </c>
      <c r="X35" s="37" t="s">
        <v>106</v>
      </c>
      <c r="Y35" s="37" t="s">
        <v>106</v>
      </c>
      <c r="Z35" s="37" t="s">
        <v>106</v>
      </c>
    </row>
    <row r="36" spans="1:26" x14ac:dyDescent="0.25">
      <c r="A36" t="str">
        <f>IFERROR(INDEX('2019 Data (WP)'!$C$9:$C$73,MATCH($B36,'2019 Data (WP)'!$D$9:$D$73,0)),"")</f>
        <v/>
      </c>
      <c r="B36" t="s">
        <v>57</v>
      </c>
      <c r="C36" t="s">
        <v>56</v>
      </c>
      <c r="D36" s="35" t="e">
        <f t="shared" ca="1" si="2"/>
        <v>#N/A</v>
      </c>
      <c r="E36" s="35" t="e">
        <f t="shared" ca="1" si="3"/>
        <v>#N/A</v>
      </c>
      <c r="F36" s="35"/>
      <c r="G36" s="35"/>
      <c r="H36" s="17" t="str">
        <f t="shared" ca="1" si="7"/>
        <v>N/A</v>
      </c>
      <c r="I36" s="17" t="str">
        <f t="shared" ca="1" si="7"/>
        <v>N/A</v>
      </c>
      <c r="J36" s="17" t="str">
        <f t="shared" ca="1" si="7"/>
        <v>N/A</v>
      </c>
      <c r="K36" s="17" t="str">
        <f t="shared" ca="1" si="7"/>
        <v>N/A</v>
      </c>
      <c r="L36" s="17" t="str">
        <f t="shared" ca="1" si="7"/>
        <v>N/A</v>
      </c>
      <c r="M36" s="17" t="s">
        <v>106</v>
      </c>
      <c r="N36" s="17" t="s">
        <v>106</v>
      </c>
      <c r="O36" s="17" t="s">
        <v>106</v>
      </c>
      <c r="P36" s="17" t="s">
        <v>106</v>
      </c>
      <c r="Q36" s="17" t="s">
        <v>106</v>
      </c>
      <c r="R36" s="17" t="s">
        <v>106</v>
      </c>
      <c r="S36" s="17" t="s">
        <v>106</v>
      </c>
      <c r="T36" s="17" t="s">
        <v>106</v>
      </c>
      <c r="U36" s="17" t="s">
        <v>106</v>
      </c>
      <c r="V36" s="17" t="s">
        <v>106</v>
      </c>
      <c r="W36" s="37" t="s">
        <v>106</v>
      </c>
      <c r="X36" s="37">
        <v>5.974291</v>
      </c>
      <c r="Y36" s="37">
        <v>5.7684699999999998</v>
      </c>
      <c r="Z36" s="37">
        <v>6.3455389999999996</v>
      </c>
    </row>
    <row r="37" spans="1:26" x14ac:dyDescent="0.25">
      <c r="A37" t="str">
        <f>IFERROR(INDEX('2019 Data (WP)'!$C$9:$C$73,MATCH($B37,'2019 Data (WP)'!$D$9:$D$73,0)),"")</f>
        <v>Electric Util. (Central)</v>
      </c>
      <c r="B37" t="s">
        <v>20</v>
      </c>
      <c r="C37" t="s">
        <v>104</v>
      </c>
      <c r="D37" s="35">
        <f t="shared" ref="D37:D46" ca="1" si="8">MATCH(B37,OFFSET(MarketPrice,0,0,,1),0)</f>
        <v>36</v>
      </c>
      <c r="E37" s="35">
        <f t="shared" ref="E37:E46" ca="1" si="9">MATCH(B37,OFFSET(CashFlow,0,0,,1),0)</f>
        <v>36</v>
      </c>
      <c r="F37" s="35"/>
      <c r="G37" s="35"/>
      <c r="H37" s="17" t="str">
        <f t="shared" ca="1" si="7"/>
        <v>N/A</v>
      </c>
      <c r="I37" s="17" t="str">
        <f t="shared" ca="1" si="7"/>
        <v>N/A</v>
      </c>
      <c r="J37" s="17" t="str">
        <f t="shared" ca="1" si="7"/>
        <v>N/A</v>
      </c>
      <c r="K37" s="17">
        <f t="shared" ca="1" si="7"/>
        <v>14.61904761904762</v>
      </c>
      <c r="L37" s="17">
        <f t="shared" ca="1" si="7"/>
        <v>8.628614008941879</v>
      </c>
      <c r="M37" s="17">
        <v>6.66273229532898</v>
      </c>
      <c r="N37" s="17">
        <v>6.4499875280618602</v>
      </c>
      <c r="O37" s="17">
        <v>5.7326016462958336</v>
      </c>
      <c r="P37" s="17">
        <v>6.087373004354137</v>
      </c>
      <c r="Q37" s="17">
        <v>5.7353276353276357</v>
      </c>
      <c r="R37" s="17">
        <v>4.491504854368932</v>
      </c>
      <c r="S37" s="17">
        <v>5.0578866768759569</v>
      </c>
      <c r="T37" s="17">
        <v>7.7057872615583571</v>
      </c>
      <c r="U37" s="17">
        <v>7.132783018867924</v>
      </c>
      <c r="V37" s="17">
        <v>7.6797927461139892</v>
      </c>
      <c r="W37" s="37">
        <v>6.6982834507042259</v>
      </c>
      <c r="X37" s="37">
        <v>6.5216839999999996</v>
      </c>
      <c r="Y37" s="37">
        <v>5.9151930000000004</v>
      </c>
      <c r="Z37" s="37">
        <v>5.1369210000000001</v>
      </c>
    </row>
    <row r="38" spans="1:26" x14ac:dyDescent="0.25">
      <c r="A38" t="str">
        <f>IFERROR(INDEX('2019 Data (WP)'!$C$9:$C$73,MATCH($B38,'2019 Data (WP)'!$D$9:$D$73,0)),"")</f>
        <v>Electric Utility (West)</v>
      </c>
      <c r="B38" t="s">
        <v>21</v>
      </c>
      <c r="C38" t="s">
        <v>58</v>
      </c>
      <c r="D38" s="35">
        <f t="shared" ca="1" si="8"/>
        <v>37</v>
      </c>
      <c r="E38" s="35">
        <f t="shared" ca="1" si="9"/>
        <v>37</v>
      </c>
      <c r="F38" s="35"/>
      <c r="G38" s="35"/>
      <c r="H38" s="17">
        <f t="shared" ca="1" si="7"/>
        <v>8.6873743016759786</v>
      </c>
      <c r="I38" s="17">
        <f t="shared" ca="1" si="7"/>
        <v>9.2983304042179267</v>
      </c>
      <c r="J38" s="17">
        <f t="shared" ca="1" si="7"/>
        <v>8.3430135681980495</v>
      </c>
      <c r="K38" s="17">
        <f t="shared" ca="1" si="7"/>
        <v>9.2144990496877544</v>
      </c>
      <c r="L38" s="17">
        <f t="shared" ca="1" si="7"/>
        <v>7.441035474592522</v>
      </c>
      <c r="M38" s="17">
        <v>9.2515114873035067</v>
      </c>
      <c r="N38" s="17">
        <v>7.6423122065727709</v>
      </c>
      <c r="O38" s="17">
        <v>8.1517690875232773</v>
      </c>
      <c r="P38" s="17">
        <v>8.0463132236441197</v>
      </c>
      <c r="Q38" s="17">
        <v>7.731385485391141</v>
      </c>
      <c r="R38" s="17">
        <v>7.8093750000000002</v>
      </c>
      <c r="S38" s="17">
        <v>6.9490544191431871</v>
      </c>
      <c r="T38" s="17">
        <v>9.104335047759001</v>
      </c>
      <c r="U38" s="17">
        <v>7.945255474452555</v>
      </c>
      <c r="V38" s="17">
        <v>8.473205891570041</v>
      </c>
      <c r="W38" s="37">
        <v>8.290553138595401</v>
      </c>
      <c r="X38" s="37">
        <v>8.4448039999999995</v>
      </c>
      <c r="Y38" s="37">
        <v>6.1214690000000003</v>
      </c>
      <c r="Z38" s="37">
        <v>6.1993749999999999</v>
      </c>
    </row>
    <row r="39" spans="1:26" x14ac:dyDescent="0.25">
      <c r="A39" t="str">
        <f>IFERROR(INDEX('2019 Data (WP)'!$C$9:$C$73,MATCH($B39,'2019 Data (WP)'!$D$9:$D$73,0)),"")</f>
        <v>Electric Utility (West)</v>
      </c>
      <c r="B39" t="s">
        <v>22</v>
      </c>
      <c r="C39" t="s">
        <v>59</v>
      </c>
      <c r="D39" s="35">
        <f t="shared" ca="1" si="8"/>
        <v>38</v>
      </c>
      <c r="E39" s="35">
        <f t="shared" ca="1" si="9"/>
        <v>38</v>
      </c>
      <c r="F39" s="35"/>
      <c r="G39" s="35"/>
      <c r="H39" s="17">
        <f t="shared" ca="1" si="7"/>
        <v>11.382981320962031</v>
      </c>
      <c r="I39" s="17">
        <f t="shared" ca="1" si="7"/>
        <v>12.751766893986362</v>
      </c>
      <c r="J39" s="17">
        <f t="shared" ca="1" si="7"/>
        <v>11.724146714212941</v>
      </c>
      <c r="K39" s="17">
        <f t="shared" ca="1" si="7"/>
        <v>11.557702558635395</v>
      </c>
      <c r="L39" s="17">
        <f t="shared" ca="1" si="7"/>
        <v>10.952019833746537</v>
      </c>
      <c r="M39" s="17">
        <v>9.3677611940298515</v>
      </c>
      <c r="N39" s="17">
        <v>8.5856143552311437</v>
      </c>
      <c r="O39" s="17">
        <v>7.7771247021445591</v>
      </c>
      <c r="P39" s="17">
        <v>7.0498988536749829</v>
      </c>
      <c r="Q39" s="17">
        <v>6.6411925976696367</v>
      </c>
      <c r="R39" s="17">
        <v>6.5214953271028042</v>
      </c>
      <c r="S39" s="17">
        <v>5.3067218608318543</v>
      </c>
      <c r="T39" s="17">
        <v>7.104376316405336</v>
      </c>
      <c r="U39" s="17">
        <v>8.2275711159737419</v>
      </c>
      <c r="V39" s="17">
        <v>7.7289393278044525</v>
      </c>
      <c r="W39" s="37">
        <v>7.5475206611570247</v>
      </c>
      <c r="X39" s="37">
        <v>7.1459450000000002</v>
      </c>
      <c r="Y39" s="37">
        <v>7.2654870000000003</v>
      </c>
      <c r="Z39" s="37">
        <v>7.5333009999999998</v>
      </c>
    </row>
    <row r="40" spans="1:26" x14ac:dyDescent="0.25">
      <c r="A40" t="str">
        <f>IFERROR(INDEX('2019 Data (WP)'!$C$9:$C$73,MATCH($B40,'2019 Data (WP)'!$D$9:$D$73,0)),"")</f>
        <v/>
      </c>
      <c r="B40" t="s">
        <v>23</v>
      </c>
      <c r="C40" t="s">
        <v>85</v>
      </c>
      <c r="D40" s="35" t="e">
        <f t="shared" ca="1" si="8"/>
        <v>#N/A</v>
      </c>
      <c r="E40" s="35" t="e">
        <f t="shared" ca="1" si="9"/>
        <v>#N/A</v>
      </c>
      <c r="F40" s="35"/>
      <c r="G40" s="35"/>
      <c r="H40" s="17" t="str">
        <f t="shared" ca="1" si="7"/>
        <v>N/A</v>
      </c>
      <c r="I40" s="17" t="str">
        <f t="shared" ca="1" si="7"/>
        <v>N/A</v>
      </c>
      <c r="J40" s="17" t="str">
        <f t="shared" ca="1" si="7"/>
        <v>N/A</v>
      </c>
      <c r="K40" s="17" t="str">
        <f t="shared" ca="1" si="7"/>
        <v>N/A</v>
      </c>
      <c r="L40" s="17" t="str">
        <f t="shared" ca="1" si="7"/>
        <v>N/A</v>
      </c>
      <c r="M40" s="17" t="s">
        <v>106</v>
      </c>
      <c r="N40" s="17" t="s">
        <v>106</v>
      </c>
      <c r="O40" s="17" t="s">
        <v>106</v>
      </c>
      <c r="P40" s="17" t="s">
        <v>106</v>
      </c>
      <c r="Q40" s="17" t="s">
        <v>106</v>
      </c>
      <c r="R40" s="17" t="s">
        <v>106</v>
      </c>
      <c r="S40" s="17" t="s">
        <v>106</v>
      </c>
      <c r="T40" s="17" t="s">
        <v>106</v>
      </c>
      <c r="U40" s="17" t="s">
        <v>106</v>
      </c>
      <c r="V40" s="17" t="s">
        <v>106</v>
      </c>
      <c r="W40" s="37" t="s">
        <v>106</v>
      </c>
      <c r="X40" s="37">
        <v>6.7337059999999997</v>
      </c>
      <c r="Y40" s="37">
        <v>6.5950199999999999</v>
      </c>
      <c r="Z40" s="37">
        <v>6.4653359999999997</v>
      </c>
    </row>
    <row r="41" spans="1:26" x14ac:dyDescent="0.25">
      <c r="A41" t="str">
        <f>IFERROR(INDEX('2019 Data (WP)'!$C$9:$C$73,MATCH($B41,'2019 Data (WP)'!$D$9:$D$73,0)),"")</f>
        <v/>
      </c>
      <c r="B41" t="s">
        <v>161</v>
      </c>
      <c r="C41" t="s">
        <v>160</v>
      </c>
      <c r="D41" s="35" t="e">
        <f t="shared" ca="1" si="8"/>
        <v>#N/A</v>
      </c>
      <c r="E41" s="35" t="e">
        <f t="shared" ca="1" si="9"/>
        <v>#N/A</v>
      </c>
      <c r="F41" s="35"/>
      <c r="G41" s="35"/>
      <c r="H41" s="17" t="str">
        <f t="shared" ca="1" si="7"/>
        <v>N/A</v>
      </c>
      <c r="I41" s="17" t="str">
        <f t="shared" ca="1" si="7"/>
        <v>N/A</v>
      </c>
      <c r="J41" s="17" t="str">
        <f t="shared" ca="1" si="7"/>
        <v>N/A</v>
      </c>
      <c r="K41" s="17" t="str">
        <f t="shared" ca="1" si="7"/>
        <v>N/A</v>
      </c>
      <c r="L41" s="17" t="str">
        <f t="shared" ca="1" si="7"/>
        <v>N/A</v>
      </c>
      <c r="M41" s="17" t="s">
        <v>106</v>
      </c>
      <c r="N41" s="17" t="s">
        <v>106</v>
      </c>
      <c r="O41" s="17" t="s">
        <v>106</v>
      </c>
      <c r="P41" s="17" t="s">
        <v>106</v>
      </c>
      <c r="Q41" s="17" t="s">
        <v>106</v>
      </c>
      <c r="R41" s="17" t="s">
        <v>106</v>
      </c>
      <c r="S41" s="17" t="s">
        <v>106</v>
      </c>
      <c r="T41" s="17" t="s">
        <v>106</v>
      </c>
      <c r="U41" s="17" t="s">
        <v>106</v>
      </c>
      <c r="V41" s="17" t="s">
        <v>106</v>
      </c>
      <c r="W41" s="37">
        <v>13.66813509544787</v>
      </c>
      <c r="X41" s="38" t="s">
        <v>106</v>
      </c>
      <c r="Y41" s="38" t="s">
        <v>106</v>
      </c>
      <c r="Z41" s="38" t="s">
        <v>106</v>
      </c>
    </row>
    <row r="42" spans="1:26" x14ac:dyDescent="0.25">
      <c r="A42" t="str">
        <f>IFERROR(INDEX('2019 Data (WP)'!$C$9:$C$73,MATCH($B42,'2019 Data (WP)'!$D$9:$D$73,0)),"")</f>
        <v/>
      </c>
      <c r="B42" t="s">
        <v>24</v>
      </c>
      <c r="C42" t="s">
        <v>60</v>
      </c>
      <c r="D42" s="35" t="e">
        <f t="shared" ca="1" si="8"/>
        <v>#N/A</v>
      </c>
      <c r="E42" s="35" t="e">
        <f t="shared" ca="1" si="9"/>
        <v>#N/A</v>
      </c>
      <c r="F42" s="35"/>
      <c r="G42" s="35"/>
      <c r="H42" s="17" t="str">
        <f t="shared" ca="1" si="7"/>
        <v>N/A</v>
      </c>
      <c r="I42" s="17" t="str">
        <f t="shared" ca="1" si="7"/>
        <v>N/A</v>
      </c>
      <c r="J42" s="17" t="str">
        <f t="shared" ca="1" si="7"/>
        <v>N/A</v>
      </c>
      <c r="K42" s="17" t="str">
        <f t="shared" ca="1" si="7"/>
        <v>N/A</v>
      </c>
      <c r="L42" s="17" t="str">
        <f t="shared" ca="1" si="7"/>
        <v>N/A</v>
      </c>
      <c r="M42" s="17" t="s">
        <v>106</v>
      </c>
      <c r="N42" s="17" t="s">
        <v>106</v>
      </c>
      <c r="O42" s="17" t="s">
        <v>106</v>
      </c>
      <c r="P42" s="17" t="s">
        <v>106</v>
      </c>
      <c r="Q42" s="17" t="s">
        <v>106</v>
      </c>
      <c r="R42" s="17" t="s">
        <v>106</v>
      </c>
      <c r="S42" s="17" t="s">
        <v>106</v>
      </c>
      <c r="T42" s="17" t="s">
        <v>106</v>
      </c>
      <c r="U42" s="17" t="s">
        <v>106</v>
      </c>
      <c r="V42" s="17" t="s">
        <v>106</v>
      </c>
      <c r="W42" s="37">
        <v>7.1101179835538071</v>
      </c>
      <c r="X42" s="37">
        <v>6.9013080000000002</v>
      </c>
      <c r="Y42" s="37">
        <v>6.4263430000000001</v>
      </c>
      <c r="Z42" s="37">
        <v>6.7717580000000002</v>
      </c>
    </row>
    <row r="43" spans="1:26" x14ac:dyDescent="0.25">
      <c r="A43" t="str">
        <f>IFERROR(INDEX('2019 Data (WP)'!$C$9:$C$73,MATCH($B43,'2019 Data (WP)'!$D$9:$D$73,0)),"")</f>
        <v>Electric Util. (Central)</v>
      </c>
      <c r="B43" t="s">
        <v>25</v>
      </c>
      <c r="C43" t="s">
        <v>61</v>
      </c>
      <c r="D43" s="35">
        <f t="shared" ca="1" si="8"/>
        <v>39</v>
      </c>
      <c r="E43" s="35">
        <f t="shared" ca="1" si="9"/>
        <v>39</v>
      </c>
      <c r="F43" s="35"/>
      <c r="G43" s="35"/>
      <c r="H43" s="17">
        <f t="shared" ca="1" si="7"/>
        <v>14.903407857607986</v>
      </c>
      <c r="I43" s="17">
        <f t="shared" ca="1" si="7"/>
        <v>15.578336980306345</v>
      </c>
      <c r="J43" s="17">
        <f t="shared" ca="1" si="7"/>
        <v>15.041902883904362</v>
      </c>
      <c r="K43" s="17">
        <f t="shared" ca="1" si="7"/>
        <v>17.333870101986044</v>
      </c>
      <c r="L43" s="17">
        <f t="shared" ca="1" si="7"/>
        <v>15.659071243149697</v>
      </c>
      <c r="M43" s="17">
        <v>12.529994001199759</v>
      </c>
      <c r="N43" s="17">
        <v>11.424520194786595</v>
      </c>
      <c r="O43" s="17">
        <v>11.201158183480645</v>
      </c>
      <c r="P43" s="17">
        <v>10.772773109243698</v>
      </c>
      <c r="Q43" s="17">
        <v>9.4788972089857033</v>
      </c>
      <c r="R43" s="17">
        <v>9.0492932221819498</v>
      </c>
      <c r="S43" s="17">
        <v>8.3960843373493983</v>
      </c>
      <c r="T43" s="17">
        <v>8.4240388204553955</v>
      </c>
      <c r="U43" s="17">
        <v>9.2263307598537185</v>
      </c>
      <c r="V43" s="17">
        <v>9.3011945392491473</v>
      </c>
      <c r="W43" s="37">
        <v>11.727</v>
      </c>
      <c r="X43" s="37">
        <v>11.044409999999999</v>
      </c>
      <c r="Y43" s="37">
        <v>10.19708</v>
      </c>
      <c r="Z43" s="37">
        <v>8.0936369999999993</v>
      </c>
    </row>
    <row r="44" spans="1:26" x14ac:dyDescent="0.25">
      <c r="A44" t="str">
        <f>IFERROR(INDEX('2019 Data (WP)'!$C$9:$C$73,MATCH($B44,'2019 Data (WP)'!$D$9:$D$73,0)),"")</f>
        <v>Water Utility</v>
      </c>
      <c r="B44" s="31" t="s">
        <v>188</v>
      </c>
      <c r="C44" s="31" t="s">
        <v>187</v>
      </c>
      <c r="D44" s="35">
        <f t="shared" ca="1" si="8"/>
        <v>40</v>
      </c>
      <c r="E44" s="35">
        <f t="shared" ca="1" si="9"/>
        <v>40</v>
      </c>
      <c r="F44" s="35"/>
      <c r="G44" s="35"/>
      <c r="H44" s="17">
        <f t="shared" ca="1" si="7"/>
        <v>20.163127116035703</v>
      </c>
      <c r="I44" s="17">
        <f t="shared" ca="1" si="7"/>
        <v>20.591364421416234</v>
      </c>
      <c r="J44" s="17">
        <f t="shared" ca="1" si="7"/>
        <v>15.061330561330561</v>
      </c>
      <c r="K44" s="17">
        <f t="shared" ca="1" si="7"/>
        <v>17.511399195350915</v>
      </c>
      <c r="L44" s="17">
        <f t="shared" ca="1" si="7"/>
        <v>16.293738489871085</v>
      </c>
      <c r="M44" s="17">
        <v>11.846544715447155</v>
      </c>
      <c r="N44" s="17">
        <v>11.328633405639913</v>
      </c>
      <c r="O44" s="17">
        <v>11.81315483119907</v>
      </c>
      <c r="P44" s="17">
        <v>12.055305466237941</v>
      </c>
      <c r="Q44" s="17">
        <v>12.46584699453552</v>
      </c>
      <c r="R44" s="17">
        <v>11.051712992889465</v>
      </c>
      <c r="S44" s="17">
        <v>10.777777777777779</v>
      </c>
      <c r="T44" s="17">
        <v>11.509470934030045</v>
      </c>
      <c r="U44" s="17">
        <v>12.580040187541861</v>
      </c>
      <c r="V44" s="17">
        <v>13.97524381095274</v>
      </c>
      <c r="W44" s="56"/>
      <c r="X44" s="57"/>
      <c r="Y44" s="57"/>
      <c r="Z44" s="57"/>
    </row>
    <row r="45" spans="1:26" x14ac:dyDescent="0.25">
      <c r="A45" t="str">
        <f>IFERROR(INDEX('2019 Data (WP)'!$C$9:$C$73,MATCH($B45,'2019 Data (WP)'!$D$9:$D$73,0)),"")</f>
        <v>Natural Gas Utility</v>
      </c>
      <c r="B45" s="31" t="s">
        <v>190</v>
      </c>
      <c r="C45" s="31" t="s">
        <v>189</v>
      </c>
      <c r="D45" s="35">
        <f t="shared" ca="1" si="8"/>
        <v>41</v>
      </c>
      <c r="E45" s="35">
        <f t="shared" ca="1" si="9"/>
        <v>41</v>
      </c>
      <c r="F45" s="35"/>
      <c r="G45" s="35"/>
      <c r="H45" s="17">
        <f t="shared" ref="H45:L54" ca="1" si="10">IFERROR(INDEX(MarketPrice,$D45,H$2)/INDEX(CashFlow,$E45,H$2),"N/A")</f>
        <v>11.103030303030303</v>
      </c>
      <c r="I45" s="17">
        <f t="shared" ca="1" si="10"/>
        <v>15.978224455611391</v>
      </c>
      <c r="J45" s="17">
        <f t="shared" ca="1" si="10"/>
        <v>11.437096774193547</v>
      </c>
      <c r="K45" s="17">
        <f t="shared" ca="1" si="10"/>
        <v>14.450167973124302</v>
      </c>
      <c r="L45" s="17">
        <f t="shared" ca="1" si="10"/>
        <v>13.936048879837067</v>
      </c>
      <c r="M45" s="17">
        <v>11.711287128712872</v>
      </c>
      <c r="N45" s="17">
        <v>8.9486615328199495</v>
      </c>
      <c r="O45" s="17">
        <v>11.286601138127264</v>
      </c>
      <c r="P45" s="17">
        <v>12.292722371967656</v>
      </c>
      <c r="Q45" s="17">
        <v>12.714117647058824</v>
      </c>
      <c r="R45" s="17">
        <v>11.320638820638822</v>
      </c>
      <c r="S45" s="17">
        <v>11.342621912602914</v>
      </c>
      <c r="T45" s="17">
        <v>9.1496410822749858</v>
      </c>
      <c r="U45" s="17">
        <v>13.763934426229509</v>
      </c>
      <c r="V45" s="17">
        <v>11.00585223116313</v>
      </c>
      <c r="W45" s="56"/>
      <c r="X45" s="57"/>
      <c r="Y45" s="57"/>
      <c r="Z45" s="57"/>
    </row>
    <row r="46" spans="1:26" x14ac:dyDescent="0.25">
      <c r="A46" t="str">
        <f>IFERROR(INDEX('2019 Data (WP)'!$C$9:$C$73,MATCH($B46,'2019 Data (WP)'!$D$9:$D$73,0)),"")</f>
        <v>Electric Utility (East)</v>
      </c>
      <c r="B46" t="s">
        <v>141</v>
      </c>
      <c r="C46" t="s">
        <v>209</v>
      </c>
      <c r="D46" s="35">
        <f t="shared" ca="1" si="8"/>
        <v>42</v>
      </c>
      <c r="E46" s="35">
        <f t="shared" ca="1" si="9"/>
        <v>42</v>
      </c>
      <c r="F46" s="35"/>
      <c r="G46" s="35"/>
      <c r="H46" s="17">
        <f t="shared" ca="1" si="10"/>
        <v>15.481541676340839</v>
      </c>
      <c r="I46" s="17">
        <f t="shared" ca="1" si="10"/>
        <v>12.325664136622391</v>
      </c>
      <c r="J46" s="17">
        <f t="shared" ca="1" si="10"/>
        <v>10.769791666666668</v>
      </c>
      <c r="K46" s="17">
        <f t="shared" ca="1" si="10"/>
        <v>11.610561056105611</v>
      </c>
      <c r="L46" s="17">
        <f t="shared" ca="1" si="10"/>
        <v>9.2370370370370374</v>
      </c>
      <c r="M46" s="17">
        <v>7.9253754451153426</v>
      </c>
      <c r="N46" s="17">
        <v>7.9842174847132705</v>
      </c>
      <c r="O46" s="17">
        <v>7.5967160212604412</v>
      </c>
      <c r="P46" s="17">
        <v>7.5773658761224949</v>
      </c>
      <c r="Q46" s="17">
        <v>5.9845011301259277</v>
      </c>
      <c r="R46" s="17">
        <v>5.33489242282507</v>
      </c>
      <c r="S46" s="17">
        <v>6.0868571428571423</v>
      </c>
      <c r="T46" s="17">
        <v>7.3440069773236978</v>
      </c>
      <c r="U46" s="17">
        <v>9.0182428488032684</v>
      </c>
      <c r="V46" s="17">
        <v>6.5145516324420152</v>
      </c>
      <c r="W46" s="37">
        <v>6.7148405890920859</v>
      </c>
      <c r="X46" s="37">
        <v>6.7148405890920859</v>
      </c>
      <c r="Y46" s="37">
        <v>5.9742903053026248</v>
      </c>
      <c r="Z46" s="37">
        <v>5.7684701492537309</v>
      </c>
    </row>
    <row r="47" spans="1:26" x14ac:dyDescent="0.25">
      <c r="A47" t="str">
        <f>IFERROR(INDEX('2019 Data (WP)'!$C$9:$C$73,MATCH($B47,'2019 Data (WP)'!$D$9:$D$73,0)),"")</f>
        <v>Natural Gas Utility</v>
      </c>
      <c r="B47" t="s">
        <v>26</v>
      </c>
      <c r="C47" t="s">
        <v>62</v>
      </c>
      <c r="D47" s="35">
        <f t="shared" ref="D47:D78" ca="1" si="11">MATCH(B47,OFFSET(MarketPrice,0,0,,1),0)</f>
        <v>43</v>
      </c>
      <c r="E47" s="35">
        <f t="shared" ref="E47:E78" ca="1" si="12">MATCH(B47,OFFSET(CashFlow,0,0,,1),0)</f>
        <v>43</v>
      </c>
      <c r="F47" s="35"/>
      <c r="G47" s="35"/>
      <c r="H47" s="17">
        <f t="shared" ca="1" si="10"/>
        <v>7.8300508259212194</v>
      </c>
      <c r="I47" s="17">
        <f t="shared" ca="1" si="10"/>
        <v>8.8138213947617547</v>
      </c>
      <c r="J47" s="17">
        <f t="shared" ca="1" si="10"/>
        <v>8.9075451647183854</v>
      </c>
      <c r="K47" s="17">
        <f t="shared" ca="1" si="10"/>
        <v>12.109932497589201</v>
      </c>
      <c r="L47" s="17">
        <f t="shared" ca="1" si="10"/>
        <v>8.5609305760709002</v>
      </c>
      <c r="M47" s="17">
        <v>10.381288614298324</v>
      </c>
      <c r="N47" s="17">
        <v>10.564394993045896</v>
      </c>
      <c r="O47" s="17">
        <v>8.7092511013215859</v>
      </c>
      <c r="P47" s="17">
        <v>7.8117421825143589</v>
      </c>
      <c r="Q47" s="17">
        <v>6.8133378016085793</v>
      </c>
      <c r="R47" s="17">
        <v>5.0931034482758619</v>
      </c>
      <c r="S47" s="17">
        <v>4.0637867026662171</v>
      </c>
      <c r="T47" s="17">
        <v>4.8725135623869802</v>
      </c>
      <c r="U47" s="17">
        <v>6.6947565543071157</v>
      </c>
      <c r="V47" s="17">
        <v>6.866394215655454</v>
      </c>
      <c r="W47" s="37">
        <v>7.3603689567430015</v>
      </c>
      <c r="X47" s="37">
        <v>6.0803339999999997</v>
      </c>
      <c r="Y47" s="37">
        <v>5.6005190000000002</v>
      </c>
      <c r="Z47" s="37">
        <v>5.2161540000000004</v>
      </c>
    </row>
    <row r="48" spans="1:26" x14ac:dyDescent="0.25">
      <c r="A48" t="str">
        <f>IFERROR(INDEX('2019 Data (WP)'!$C$9:$C$73,MATCH($B48,'2019 Data (WP)'!$D$9:$D$73,0)),"")</f>
        <v>Natural Gas Utility</v>
      </c>
      <c r="B48" s="31" t="s">
        <v>192</v>
      </c>
      <c r="C48" s="31" t="s">
        <v>191</v>
      </c>
      <c r="D48" s="35">
        <f t="shared" ca="1" si="11"/>
        <v>44</v>
      </c>
      <c r="E48" s="35">
        <f t="shared" ca="1" si="12"/>
        <v>44</v>
      </c>
      <c r="F48" s="35"/>
      <c r="G48" s="35"/>
      <c r="H48" s="17">
        <f t="shared" ca="1" si="10"/>
        <v>10.096184279936697</v>
      </c>
      <c r="I48" s="17">
        <f t="shared" ca="1" si="10"/>
        <v>13.130586863583364</v>
      </c>
      <c r="J48" s="17">
        <f t="shared" ca="1" si="10"/>
        <v>11.754498958136011</v>
      </c>
      <c r="K48" s="17">
        <f t="shared" ca="1" si="10"/>
        <v>59.719769673704413</v>
      </c>
      <c r="L48" s="17">
        <f t="shared" ca="1" si="10"/>
        <v>11.574934090448185</v>
      </c>
      <c r="M48" s="17">
        <v>9.4593603585251582</v>
      </c>
      <c r="N48" s="17">
        <v>8.8426988523941432</v>
      </c>
      <c r="O48" s="17">
        <v>8.6148045247072833</v>
      </c>
      <c r="P48" s="17">
        <v>9.4791329011345216</v>
      </c>
      <c r="Q48" s="17">
        <v>9.0817182817182829</v>
      </c>
      <c r="R48" s="17">
        <v>8.9357762777242051</v>
      </c>
      <c r="S48" s="17">
        <v>8.2592806308905562</v>
      </c>
      <c r="T48" s="17">
        <v>8.7531562087808545</v>
      </c>
      <c r="U48" s="17">
        <v>8.5409502680717324</v>
      </c>
      <c r="V48" s="17">
        <v>7.8252100840336132</v>
      </c>
      <c r="W48" s="56"/>
      <c r="X48" s="57"/>
      <c r="Y48" s="57"/>
      <c r="Z48" s="57"/>
    </row>
    <row r="49" spans="1:26" x14ac:dyDescent="0.25">
      <c r="A49" t="str">
        <f>IFERROR(INDEX('2019 Data (WP)'!$C$9:$C$73,MATCH($B49,'2019 Data (WP)'!$D$9:$D$73,0)),"")</f>
        <v>Electric Utility (West)</v>
      </c>
      <c r="B49" t="str">
        <f>"NWE"</f>
        <v>NWE</v>
      </c>
      <c r="C49" t="s">
        <v>94</v>
      </c>
      <c r="D49" s="35">
        <f t="shared" ca="1" si="11"/>
        <v>45</v>
      </c>
      <c r="E49" s="35">
        <f t="shared" ca="1" si="12"/>
        <v>45</v>
      </c>
      <c r="F49" s="35"/>
      <c r="G49" s="35"/>
      <c r="H49" s="17">
        <f t="shared" ca="1" si="10"/>
        <v>8.8797082030668459</v>
      </c>
      <c r="I49" s="17">
        <f t="shared" ca="1" si="10"/>
        <v>9.9259259259259256</v>
      </c>
      <c r="J49" s="17">
        <f t="shared" ca="1" si="10"/>
        <v>8.1941370886621652</v>
      </c>
      <c r="K49" s="17">
        <f t="shared" ca="1" si="10"/>
        <v>8.8209264466479205</v>
      </c>
      <c r="L49" s="17">
        <f t="shared" ca="1" si="10"/>
        <v>8.647914502003859</v>
      </c>
      <c r="M49" s="17">
        <v>8.9886900742741389</v>
      </c>
      <c r="N49" s="17">
        <v>9.0096510764662217</v>
      </c>
      <c r="O49" s="17">
        <v>7.607300073367572</v>
      </c>
      <c r="P49" s="17">
        <v>6.8546893091470471</v>
      </c>
      <c r="Q49" s="17">
        <v>5.8909795240730487</v>
      </c>
      <c r="R49" s="17">
        <v>5.7926112510495376</v>
      </c>
      <c r="S49" s="17">
        <v>5.0469900389779117</v>
      </c>
      <c r="T49" s="17">
        <v>5.5741539859186924</v>
      </c>
      <c r="U49" s="17">
        <v>8.4497840172786169</v>
      </c>
      <c r="V49" s="17">
        <v>9.3943078198397334</v>
      </c>
      <c r="W49" s="37">
        <v>7.3119839879909936</v>
      </c>
      <c r="X49" s="37">
        <v>8.1297280000000001</v>
      </c>
      <c r="Y49" s="38" t="s">
        <v>106</v>
      </c>
      <c r="Z49" s="38" t="s">
        <v>106</v>
      </c>
    </row>
    <row r="50" spans="1:26" x14ac:dyDescent="0.25">
      <c r="A50" t="str">
        <f>IFERROR(INDEX('2019 Data (WP)'!$C$9:$C$73,MATCH($B50,'2019 Data (WP)'!$D$9:$D$73,0)),"")</f>
        <v>Electric Util. (Central)</v>
      </c>
      <c r="B50" t="s">
        <v>27</v>
      </c>
      <c r="C50" t="s">
        <v>67</v>
      </c>
      <c r="D50" s="35">
        <f t="shared" ca="1" si="11"/>
        <v>46</v>
      </c>
      <c r="E50" s="35">
        <f t="shared" ca="1" si="12"/>
        <v>46</v>
      </c>
      <c r="F50" s="35"/>
      <c r="G50" s="35"/>
      <c r="H50" s="17">
        <f t="shared" ca="1" si="10"/>
        <v>8.3765493306891425</v>
      </c>
      <c r="I50" s="17">
        <f t="shared" ca="1" si="10"/>
        <v>10.584680427754289</v>
      </c>
      <c r="J50" s="17">
        <f t="shared" ca="1" si="10"/>
        <v>9.3646083934776794</v>
      </c>
      <c r="K50" s="17">
        <f t="shared" ca="1" si="10"/>
        <v>10.520334928229666</v>
      </c>
      <c r="L50" s="17">
        <f t="shared" ca="1" si="10"/>
        <v>9.0299184043517666</v>
      </c>
      <c r="M50" s="17">
        <v>9.2496905940594054</v>
      </c>
      <c r="N50" s="17">
        <v>10.649587750294463</v>
      </c>
      <c r="O50" s="17">
        <v>9.9288400347121772</v>
      </c>
      <c r="P50" s="17">
        <v>7.3460601137286758</v>
      </c>
      <c r="Q50" s="17">
        <v>7.4802293993359488</v>
      </c>
      <c r="R50" s="17">
        <v>6.6104284290933242</v>
      </c>
      <c r="S50" s="17">
        <v>5.3664804469273744</v>
      </c>
      <c r="T50" s="17">
        <v>6.4339858392336531</v>
      </c>
      <c r="U50" s="17">
        <v>7.5818713450292394</v>
      </c>
      <c r="V50" s="17">
        <v>7.498657117278424</v>
      </c>
      <c r="W50" s="37">
        <v>7.0365226337448563</v>
      </c>
      <c r="X50" s="37">
        <v>6.7290000000000001</v>
      </c>
      <c r="Y50" s="37">
        <v>5.6171150000000001</v>
      </c>
      <c r="Z50" s="37">
        <v>5.3884740000000004</v>
      </c>
    </row>
    <row r="51" spans="1:26" x14ac:dyDescent="0.25">
      <c r="A51" t="str">
        <f>IFERROR(INDEX('2019 Data (WP)'!$C$9:$C$73,MATCH($B51,'2019 Data (WP)'!$D$9:$D$73,0)),"")</f>
        <v>Natural Gas Utility</v>
      </c>
      <c r="B51" t="s">
        <v>345</v>
      </c>
      <c r="C51" t="s">
        <v>348</v>
      </c>
      <c r="D51" s="35">
        <f t="shared" ca="1" si="11"/>
        <v>47</v>
      </c>
      <c r="E51" s="35">
        <f t="shared" ca="1" si="12"/>
        <v>47</v>
      </c>
      <c r="F51" s="35"/>
      <c r="G51" s="35"/>
      <c r="H51" s="17">
        <f t="shared" ca="1" si="10"/>
        <v>10.852989130434782</v>
      </c>
      <c r="I51" s="17">
        <f t="shared" ca="1" si="10"/>
        <v>12.748742273968665</v>
      </c>
      <c r="J51" s="17">
        <f t="shared" ca="1" si="10"/>
        <v>11.853685542549824</v>
      </c>
      <c r="K51" s="17">
        <f t="shared" ca="1" si="10"/>
        <v>11.890100671140939</v>
      </c>
      <c r="L51" s="17">
        <f t="shared" ca="1" si="10"/>
        <v>11.095010127048425</v>
      </c>
      <c r="M51" s="17">
        <f t="shared" ref="M51:V51" ca="1" si="13">IFERROR(INDEX(MarketPrice,$D51,M$2)/INDEX(CashFlow,$E51,M$2),"N/A")</f>
        <v>9.1913746630727751</v>
      </c>
      <c r="N51" s="17">
        <f t="shared" ca="1" si="13"/>
        <v>8.1605484298982756</v>
      </c>
      <c r="O51" s="51" t="str">
        <f t="shared" ca="1" si="13"/>
        <v>N/A</v>
      </c>
      <c r="P51" s="51" t="str">
        <f t="shared" ca="1" si="13"/>
        <v>N/A</v>
      </c>
      <c r="Q51" s="51" t="str">
        <f t="shared" ca="1" si="13"/>
        <v>N/A</v>
      </c>
      <c r="R51" s="51" t="str">
        <f t="shared" ca="1" si="13"/>
        <v>N/A</v>
      </c>
      <c r="S51" s="51" t="str">
        <f t="shared" ca="1" si="13"/>
        <v>N/A</v>
      </c>
      <c r="T51" s="51" t="str">
        <f t="shared" ca="1" si="13"/>
        <v>N/A</v>
      </c>
      <c r="U51" s="51" t="str">
        <f t="shared" ca="1" si="13"/>
        <v>N/A</v>
      </c>
      <c r="V51" s="51" t="str">
        <f t="shared" ca="1" si="13"/>
        <v>N/A</v>
      </c>
      <c r="W51" s="37"/>
      <c r="X51" s="37"/>
      <c r="Y51" s="37"/>
      <c r="Z51" s="37"/>
    </row>
    <row r="52" spans="1:26" x14ac:dyDescent="0.25">
      <c r="A52" t="str">
        <f>IFERROR(INDEX('2019 Data (WP)'!$C$9:$C$73,MATCH($B52,'2019 Data (WP)'!$D$9:$D$73,0)),"")</f>
        <v>Electric Util. (Central)</v>
      </c>
      <c r="B52" t="s">
        <v>28</v>
      </c>
      <c r="C52" t="s">
        <v>68</v>
      </c>
      <c r="D52" s="35">
        <f t="shared" ca="1" si="11"/>
        <v>48</v>
      </c>
      <c r="E52" s="35">
        <f t="shared" ca="1" si="12"/>
        <v>48</v>
      </c>
      <c r="F52" s="35"/>
      <c r="G52" s="35"/>
      <c r="H52" s="17">
        <f t="shared" ca="1" si="10"/>
        <v>9.9871794871794872</v>
      </c>
      <c r="I52" s="17">
        <f t="shared" ca="1" si="10"/>
        <v>12.421232042853665</v>
      </c>
      <c r="J52" s="17">
        <f t="shared" ca="1" si="10"/>
        <v>11.578069732187974</v>
      </c>
      <c r="K52" s="17">
        <f t="shared" ca="1" si="10"/>
        <v>11.088084301540125</v>
      </c>
      <c r="L52" s="17">
        <f t="shared" ca="1" si="10"/>
        <v>9.3839674702294502</v>
      </c>
      <c r="M52" s="17">
        <v>9.0356460852959906</v>
      </c>
      <c r="N52" s="17">
        <v>9.4525736484299134</v>
      </c>
      <c r="O52" s="17">
        <v>9.5807947019867559</v>
      </c>
      <c r="P52" s="17">
        <v>8.430047988187523</v>
      </c>
      <c r="Q52" s="17">
        <v>9.03849407783418</v>
      </c>
      <c r="R52" s="17">
        <v>8.0651001540832059</v>
      </c>
      <c r="S52" s="17">
        <v>8.0097755249818974</v>
      </c>
      <c r="T52" s="17">
        <v>11.65457132692992</v>
      </c>
      <c r="U52" s="17">
        <v>9.5285674078243723</v>
      </c>
      <c r="V52" s="17">
        <v>8.6563330380868013</v>
      </c>
      <c r="W52" s="37">
        <v>8.1753653444676395</v>
      </c>
      <c r="X52" s="37">
        <v>9.0128249999999994</v>
      </c>
      <c r="Y52" s="37">
        <v>8.1296970000000002</v>
      </c>
      <c r="Z52" s="37">
        <v>8.3335279999999994</v>
      </c>
    </row>
    <row r="53" spans="1:26" x14ac:dyDescent="0.25">
      <c r="A53" t="str">
        <f>IFERROR(INDEX('2019 Data (WP)'!$C$9:$C$73,MATCH($B53,'2019 Data (WP)'!$D$9:$D$73,0)),"")</f>
        <v/>
      </c>
      <c r="B53" t="s">
        <v>29</v>
      </c>
      <c r="C53" t="s">
        <v>73</v>
      </c>
      <c r="D53" s="35" t="e">
        <f t="shared" ca="1" si="11"/>
        <v>#N/A</v>
      </c>
      <c r="E53" s="35" t="e">
        <f t="shared" ca="1" si="12"/>
        <v>#N/A</v>
      </c>
      <c r="F53" s="35"/>
      <c r="G53" s="35"/>
      <c r="H53" s="17" t="str">
        <f t="shared" ca="1" si="10"/>
        <v>N/A</v>
      </c>
      <c r="I53" s="17" t="str">
        <f t="shared" ca="1" si="10"/>
        <v>N/A</v>
      </c>
      <c r="J53" s="17" t="str">
        <f t="shared" ca="1" si="10"/>
        <v>N/A</v>
      </c>
      <c r="K53" s="17" t="str">
        <f t="shared" ca="1" si="10"/>
        <v>N/A</v>
      </c>
      <c r="L53" s="17" t="str">
        <f t="shared" ca="1" si="10"/>
        <v>N/A</v>
      </c>
      <c r="M53" s="17" t="s">
        <v>106</v>
      </c>
      <c r="N53" s="17" t="s">
        <v>106</v>
      </c>
      <c r="O53" s="17" t="s">
        <v>106</v>
      </c>
      <c r="P53" s="17" t="s">
        <v>106</v>
      </c>
      <c r="Q53" s="17" t="s">
        <v>106</v>
      </c>
      <c r="R53" s="17" t="s">
        <v>106</v>
      </c>
      <c r="S53" s="17" t="s">
        <v>106</v>
      </c>
      <c r="T53" s="17" t="s">
        <v>106</v>
      </c>
      <c r="U53" s="17" t="s">
        <v>106</v>
      </c>
      <c r="V53" s="17" t="s">
        <v>106</v>
      </c>
      <c r="W53" s="37" t="s">
        <v>106</v>
      </c>
      <c r="X53" s="37">
        <v>5.3380929999999998</v>
      </c>
      <c r="Y53" s="37">
        <v>4.7405369999999998</v>
      </c>
      <c r="Z53" s="37">
        <v>6.4597629999999997</v>
      </c>
    </row>
    <row r="54" spans="1:26" x14ac:dyDescent="0.25">
      <c r="A54" t="str">
        <f>IFERROR(INDEX('2019 Data (WP)'!$C$9:$C$73,MATCH($B54,'2019 Data (WP)'!$D$9:$D$73,0)),"")</f>
        <v>Electric Utility (West)</v>
      </c>
      <c r="B54" t="s">
        <v>30</v>
      </c>
      <c r="C54" t="s">
        <v>71</v>
      </c>
      <c r="D54" s="35">
        <f t="shared" ca="1" si="11"/>
        <v>49</v>
      </c>
      <c r="E54" s="35">
        <f t="shared" ca="1" si="12"/>
        <v>49</v>
      </c>
      <c r="F54" s="35"/>
      <c r="G54" s="35"/>
      <c r="H54" s="17">
        <f t="shared" ca="1" si="10"/>
        <v>10.315596330275229</v>
      </c>
      <c r="I54" s="17">
        <f t="shared" ca="1" si="10"/>
        <v>-1.7770440629127144</v>
      </c>
      <c r="J54" s="17">
        <f t="shared" ca="1" si="10"/>
        <v>-5.6531143052703632</v>
      </c>
      <c r="K54" s="17">
        <f t="shared" ca="1" si="10"/>
        <v>7.085622507753655</v>
      </c>
      <c r="L54" s="17">
        <f t="shared" ca="1" si="10"/>
        <v>7.2637589600291577</v>
      </c>
      <c r="M54" s="17">
        <v>7.2443743139407237</v>
      </c>
      <c r="N54" s="17">
        <v>5.6468634686346855</v>
      </c>
      <c r="O54" s="17">
        <v>6.8407834465329325</v>
      </c>
      <c r="P54" s="17">
        <v>5.8574357572443958</v>
      </c>
      <c r="Q54" s="17">
        <v>5.3151515151515145</v>
      </c>
      <c r="R54" s="17">
        <v>5.4195549069682594</v>
      </c>
      <c r="S54" s="17">
        <v>4.7112465638819163</v>
      </c>
      <c r="T54" s="17">
        <v>4.6108543666311173</v>
      </c>
      <c r="U54" s="17">
        <v>5.8399002493765586</v>
      </c>
      <c r="V54" s="17">
        <v>5.2815884476534292</v>
      </c>
      <c r="W54" s="37">
        <v>5.069493191071178</v>
      </c>
      <c r="X54" s="37">
        <v>5.1284159999999996</v>
      </c>
      <c r="Y54" s="37">
        <v>4.0549770000000001</v>
      </c>
      <c r="Z54" s="37">
        <v>14.685969999999999</v>
      </c>
    </row>
    <row r="55" spans="1:26" x14ac:dyDescent="0.25">
      <c r="A55" t="str">
        <f>IFERROR(INDEX('2019 Data (WP)'!$C$9:$C$73,MATCH($B55,'2019 Data (WP)'!$D$9:$D$73,0)),"")</f>
        <v>Electric Utility (West)</v>
      </c>
      <c r="B55" t="s">
        <v>31</v>
      </c>
      <c r="C55" t="s">
        <v>72</v>
      </c>
      <c r="D55" s="35">
        <f t="shared" ca="1" si="11"/>
        <v>50</v>
      </c>
      <c r="E55" s="35">
        <f t="shared" ca="1" si="12"/>
        <v>50</v>
      </c>
      <c r="F55" s="35"/>
      <c r="G55" s="35"/>
      <c r="H55" s="17">
        <f t="shared" ref="H55:L64" ca="1" si="14">IFERROR(INDEX(MarketPrice,$D55,H$2)/INDEX(CashFlow,$E55,H$2),"N/A")</f>
        <v>7.4900570797274906</v>
      </c>
      <c r="I55" s="17">
        <f t="shared" ca="1" si="14"/>
        <v>8.2962730130220042</v>
      </c>
      <c r="J55" s="17">
        <f t="shared" ca="1" si="14"/>
        <v>7.0917857455948106</v>
      </c>
      <c r="K55" s="17">
        <f t="shared" ca="1" si="14"/>
        <v>8.7281831187410592</v>
      </c>
      <c r="L55" s="17">
        <f t="shared" ca="1" si="14"/>
        <v>7.8861312313591814</v>
      </c>
      <c r="M55" s="17">
        <v>6.9145308546914537</v>
      </c>
      <c r="N55" s="17">
        <v>7.033391046252782</v>
      </c>
      <c r="O55" s="17">
        <v>6.8530782438067206</v>
      </c>
      <c r="P55" s="17">
        <v>6.3436512950094759</v>
      </c>
      <c r="Q55" s="17">
        <v>5.8035619351408823</v>
      </c>
      <c r="R55" s="17">
        <v>5.6503139144400638</v>
      </c>
      <c r="S55" s="17">
        <v>3.8445159692993318</v>
      </c>
      <c r="T55" s="17">
        <v>4.1873616916646181</v>
      </c>
      <c r="U55" s="17">
        <v>4.7558377273216399</v>
      </c>
      <c r="V55" s="17">
        <v>4.4759694719471952</v>
      </c>
      <c r="W55" s="37">
        <v>7.479257073424753</v>
      </c>
      <c r="X55" s="37">
        <v>5.8802649999999996</v>
      </c>
      <c r="Y55" s="37">
        <v>4.8030030000000004</v>
      </c>
      <c r="Z55" s="37">
        <v>5.2054470000000004</v>
      </c>
    </row>
    <row r="56" spans="1:26" x14ac:dyDescent="0.25">
      <c r="A56" t="str">
        <f>IFERROR(INDEX('2019 Data (WP)'!$C$9:$C$73,MATCH($B56,'2019 Data (WP)'!$D$9:$D$73,0)),"")</f>
        <v>Electric Utility (West)</v>
      </c>
      <c r="B56" t="s">
        <v>32</v>
      </c>
      <c r="C56" t="s">
        <v>74</v>
      </c>
      <c r="D56" s="35">
        <f t="shared" ca="1" si="11"/>
        <v>51</v>
      </c>
      <c r="E56" s="35">
        <f t="shared" ca="1" si="12"/>
        <v>51</v>
      </c>
      <c r="F56" s="35"/>
      <c r="G56" s="35"/>
      <c r="H56" s="17">
        <f t="shared" ca="1" si="14"/>
        <v>7.8691671068850146</v>
      </c>
      <c r="I56" s="17">
        <f t="shared" ca="1" si="14"/>
        <v>7.9189189189189193</v>
      </c>
      <c r="J56" s="17">
        <f t="shared" ca="1" si="14"/>
        <v>7.5711778471138853</v>
      </c>
      <c r="K56" s="17">
        <f t="shared" ca="1" si="14"/>
        <v>7.4008303453481785</v>
      </c>
      <c r="L56" s="17">
        <f t="shared" ca="1" si="14"/>
        <v>7.6435412286848878</v>
      </c>
      <c r="M56" s="17">
        <v>6.9454499748617398</v>
      </c>
      <c r="N56" s="17">
        <v>7.4806629834254137</v>
      </c>
      <c r="O56" s="17">
        <v>6.4745231995445494</v>
      </c>
      <c r="P56" s="17">
        <v>5.8023668639053252</v>
      </c>
      <c r="Q56" s="17">
        <v>4.9386406544996859</v>
      </c>
      <c r="R56" s="17">
        <v>4.5815523059617549</v>
      </c>
      <c r="S56" s="17">
        <v>4.5271786022433131</v>
      </c>
      <c r="T56" s="17">
        <v>7.1007972665148058</v>
      </c>
      <c r="U56" s="17">
        <v>10.670736510437179</v>
      </c>
      <c r="V56" s="17">
        <v>7.4967814161768827</v>
      </c>
      <c r="W56" s="37">
        <v>7.6200112422709383</v>
      </c>
      <c r="X56" s="37">
        <v>6.8385860000000003</v>
      </c>
      <c r="Y56" s="37">
        <v>5.5484400000000003</v>
      </c>
      <c r="Z56" s="37">
        <v>5.7152950000000002</v>
      </c>
    </row>
    <row r="57" spans="1:26" x14ac:dyDescent="0.25">
      <c r="A57" t="str">
        <f>IFERROR(INDEX('2019 Data (WP)'!$C$9:$C$73,MATCH($B57,'2019 Data (WP)'!$D$9:$D$73,0)),"")</f>
        <v>Electric Utility (West)</v>
      </c>
      <c r="B57" t="s">
        <v>33</v>
      </c>
      <c r="C57" t="s">
        <v>92</v>
      </c>
      <c r="D57" s="35">
        <f t="shared" ca="1" si="11"/>
        <v>52</v>
      </c>
      <c r="E57" s="35">
        <f t="shared" ca="1" si="12"/>
        <v>52</v>
      </c>
      <c r="F57" s="35"/>
      <c r="G57" s="35"/>
      <c r="H57" s="17">
        <f t="shared" ca="1" si="14"/>
        <v>6.7193472508085854</v>
      </c>
      <c r="I57" s="17">
        <f t="shared" ca="1" si="14"/>
        <v>7.6505021520803442</v>
      </c>
      <c r="J57" s="17">
        <f t="shared" ca="1" si="14"/>
        <v>6.5622182146077543</v>
      </c>
      <c r="K57" s="17">
        <f t="shared" ca="1" si="14"/>
        <v>7.4455445544554459</v>
      </c>
      <c r="L57" s="17">
        <f t="shared" ca="1" si="14"/>
        <v>7.1232047066966606</v>
      </c>
      <c r="M57" s="17">
        <v>6.7269173492181684</v>
      </c>
      <c r="N57" s="17">
        <v>5.4877567789646671</v>
      </c>
      <c r="O57" s="17">
        <v>6.0602434077079108</v>
      </c>
      <c r="P57" s="17">
        <v>5.0777000777000785</v>
      </c>
      <c r="Q57" s="17">
        <v>4.8601652226475922</v>
      </c>
      <c r="R57" s="17">
        <v>4.1327800829875523</v>
      </c>
      <c r="S57" s="17">
        <v>4.6343081838289502</v>
      </c>
      <c r="T57" s="17">
        <v>4.8050487908358077</v>
      </c>
      <c r="U57" s="17">
        <v>5.3364019946298429</v>
      </c>
      <c r="V57" s="17">
        <v>5.7368534482758626</v>
      </c>
      <c r="W57" s="37" t="s">
        <v>106</v>
      </c>
      <c r="X57" s="38" t="s">
        <v>106</v>
      </c>
      <c r="Y57" s="38" t="s">
        <v>106</v>
      </c>
      <c r="Z57" s="38" t="s">
        <v>106</v>
      </c>
    </row>
    <row r="58" spans="1:26" x14ac:dyDescent="0.25">
      <c r="A58" t="str">
        <f>IFERROR(INDEX('2019 Data (WP)'!$C$9:$C$73,MATCH($B58,'2019 Data (WP)'!$D$9:$D$73,0)),"")</f>
        <v>Electric Utility (East)</v>
      </c>
      <c r="B58" t="s">
        <v>34</v>
      </c>
      <c r="C58" t="s">
        <v>70</v>
      </c>
      <c r="D58" s="35">
        <f t="shared" ca="1" si="11"/>
        <v>53</v>
      </c>
      <c r="E58" s="35">
        <f t="shared" ca="1" si="12"/>
        <v>53</v>
      </c>
      <c r="F58" s="35"/>
      <c r="G58" s="35"/>
      <c r="H58" s="17">
        <f t="shared" ca="1" si="14"/>
        <v>7.4610338493833641</v>
      </c>
      <c r="I58" s="17">
        <f t="shared" ca="1" si="14"/>
        <v>7.986308316430021</v>
      </c>
      <c r="J58" s="17">
        <f t="shared" ca="1" si="14"/>
        <v>7.0220994475138117</v>
      </c>
      <c r="K58" s="17">
        <f t="shared" ca="1" si="14"/>
        <v>10.111593809394515</v>
      </c>
      <c r="L58" s="17">
        <f t="shared" ca="1" si="14"/>
        <v>8.3669939223936414</v>
      </c>
      <c r="M58" s="17">
        <v>8.7315329626687834</v>
      </c>
      <c r="N58" s="17">
        <v>7.3180428134556577</v>
      </c>
      <c r="O58" s="17">
        <v>6.58935115326579</v>
      </c>
      <c r="P58" s="17">
        <v>5.8655514250309793</v>
      </c>
      <c r="Q58" s="17">
        <v>5.9795206971677564</v>
      </c>
      <c r="R58" s="17">
        <v>7.4642076502732237</v>
      </c>
      <c r="S58" s="17">
        <v>8.821645021645022</v>
      </c>
      <c r="T58" s="17">
        <v>9.1652173913043473</v>
      </c>
      <c r="U58" s="17">
        <v>8.9002156439913733</v>
      </c>
      <c r="V58" s="17">
        <v>7.5813571260859351</v>
      </c>
      <c r="W58" s="37">
        <v>7.5679269882659712</v>
      </c>
      <c r="X58" s="37">
        <v>6.493322</v>
      </c>
      <c r="Y58" s="37">
        <v>5.4071610000000003</v>
      </c>
      <c r="Z58" s="37">
        <v>5.3008740000000003</v>
      </c>
    </row>
    <row r="59" spans="1:26" x14ac:dyDescent="0.25">
      <c r="A59" t="str">
        <f>IFERROR(INDEX('2019 Data (WP)'!$C$9:$C$73,MATCH($B59,'2019 Data (WP)'!$D$9:$D$73,0)),"")</f>
        <v>Electric Utility (East)</v>
      </c>
      <c r="B59" t="s">
        <v>35</v>
      </c>
      <c r="C59" t="s">
        <v>75</v>
      </c>
      <c r="D59" s="35">
        <f t="shared" ca="1" si="11"/>
        <v>54</v>
      </c>
      <c r="E59" s="35">
        <f t="shared" ca="1" si="12"/>
        <v>54</v>
      </c>
      <c r="F59" s="35"/>
      <c r="G59" s="35"/>
      <c r="H59" s="17">
        <f t="shared" ca="1" si="14"/>
        <v>8.2221882640586799</v>
      </c>
      <c r="I59" s="17">
        <f t="shared" ca="1" si="14"/>
        <v>8.7174363528715215</v>
      </c>
      <c r="J59" s="17">
        <f t="shared" ca="1" si="14"/>
        <v>9.4849375459221168</v>
      </c>
      <c r="K59" s="17">
        <f t="shared" ca="1" si="14"/>
        <v>8.6703752592871961</v>
      </c>
      <c r="L59" s="17">
        <f t="shared" ca="1" si="14"/>
        <v>8.5649773220272145</v>
      </c>
      <c r="M59" s="17">
        <v>6.6634130470148039</v>
      </c>
      <c r="N59" s="17">
        <v>6.4780144280316048</v>
      </c>
      <c r="O59" s="17">
        <v>6.4036786060019368</v>
      </c>
      <c r="P59" s="17">
        <v>6.4006153846153842</v>
      </c>
      <c r="Q59" s="17">
        <v>6.0311567164179101</v>
      </c>
      <c r="R59" s="17">
        <v>6.0390817681654339</v>
      </c>
      <c r="S59" s="17">
        <v>6.2038523274478337</v>
      </c>
      <c r="T59" s="17">
        <v>8.4593843522873033</v>
      </c>
      <c r="U59" s="17">
        <v>9.8315741165672321</v>
      </c>
      <c r="V59" s="17">
        <v>8.4095213718965969</v>
      </c>
      <c r="W59" s="37">
        <v>8.5944997074312468</v>
      </c>
      <c r="X59" s="37">
        <v>7.1653440000000002</v>
      </c>
      <c r="Y59" s="37">
        <v>6.7910959999999996</v>
      </c>
      <c r="Z59" s="37">
        <v>6.2383800000000003</v>
      </c>
    </row>
    <row r="60" spans="1:26" x14ac:dyDescent="0.25">
      <c r="A60" t="str">
        <f>IFERROR(INDEX('2019 Data (WP)'!$C$9:$C$73,MATCH($B60,'2019 Data (WP)'!$D$9:$D$73,0)),"")</f>
        <v>Electric Utility (East)</v>
      </c>
      <c r="B60" t="s">
        <v>36</v>
      </c>
      <c r="C60" t="s">
        <v>76</v>
      </c>
      <c r="D60" s="35">
        <f t="shared" ca="1" si="11"/>
        <v>56</v>
      </c>
      <c r="E60" s="35">
        <f t="shared" ca="1" si="12"/>
        <v>56</v>
      </c>
      <c r="F60" s="35"/>
      <c r="G60" s="35"/>
      <c r="H60" s="17" t="str">
        <f t="shared" ca="1" si="14"/>
        <v>N/A</v>
      </c>
      <c r="I60" s="17" t="str">
        <f t="shared" ca="1" si="14"/>
        <v>N/A</v>
      </c>
      <c r="J60" s="17" t="str">
        <f t="shared" ca="1" si="14"/>
        <v>N/A</v>
      </c>
      <c r="K60" s="17">
        <f t="shared" ca="1" si="14"/>
        <v>8.2625850340136058</v>
      </c>
      <c r="L60" s="17">
        <f t="shared" ca="1" si="14"/>
        <v>9.5910775566231976</v>
      </c>
      <c r="M60" s="17">
        <v>8.3345763723150359</v>
      </c>
      <c r="N60" s="17">
        <v>7.5013024602026048</v>
      </c>
      <c r="O60" s="17">
        <v>7.4871402327005505</v>
      </c>
      <c r="P60" s="17">
        <v>7.3960019038553071</v>
      </c>
      <c r="Q60" s="17">
        <v>6.7523698652918673</v>
      </c>
      <c r="R60" s="17">
        <v>6.5238659444820577</v>
      </c>
      <c r="S60" s="17">
        <v>5.8802129547471162</v>
      </c>
      <c r="T60" s="17">
        <v>6.3791396381017416</v>
      </c>
      <c r="U60" s="17">
        <v>7.1470177886292294</v>
      </c>
      <c r="V60" s="17">
        <v>7.0274502903396092</v>
      </c>
      <c r="W60" s="37">
        <v>5.4041722745625842</v>
      </c>
      <c r="X60" s="37">
        <v>6.8624739999999997</v>
      </c>
      <c r="Y60" s="37">
        <v>6.5898159999999999</v>
      </c>
      <c r="Z60" s="37">
        <v>6.3557940000000004</v>
      </c>
    </row>
    <row r="61" spans="1:26" x14ac:dyDescent="0.25">
      <c r="A61" t="str">
        <f>IFERROR(INDEX('2019 Data (WP)'!$C$9:$C$73,MATCH($B61,'2019 Data (WP)'!$D$9:$D$73,0)),"")</f>
        <v>Electric Utility (West)</v>
      </c>
      <c r="B61" t="s">
        <v>37</v>
      </c>
      <c r="C61" t="s">
        <v>54</v>
      </c>
      <c r="D61" s="35">
        <f t="shared" ca="1" si="11"/>
        <v>57</v>
      </c>
      <c r="E61" s="35">
        <f t="shared" ca="1" si="12"/>
        <v>57</v>
      </c>
      <c r="F61" s="35"/>
      <c r="G61" s="35"/>
      <c r="H61" s="17">
        <f t="shared" ca="1" si="14"/>
        <v>10.401450443190974</v>
      </c>
      <c r="I61" s="17">
        <f t="shared" ca="1" si="14"/>
        <v>12.049708389412293</v>
      </c>
      <c r="J61" s="17">
        <f t="shared" ca="1" si="14"/>
        <v>10.101554029634984</v>
      </c>
      <c r="K61" s="17">
        <f t="shared" ca="1" si="14"/>
        <v>10.653522458628842</v>
      </c>
      <c r="L61" s="17">
        <f t="shared" ca="1" si="14"/>
        <v>10.880185302168879</v>
      </c>
      <c r="M61" s="17">
        <v>9.9947684557256355</v>
      </c>
      <c r="N61" s="17">
        <v>10.766000425260472</v>
      </c>
      <c r="O61" s="17">
        <v>9.3668245376635095</v>
      </c>
      <c r="P61" s="17">
        <v>7.2571716718960122</v>
      </c>
      <c r="Q61" s="17">
        <v>6.1345458785123004</v>
      </c>
      <c r="R61" s="17">
        <v>6.5281072717895814</v>
      </c>
      <c r="S61" s="17">
        <v>6.0718871962734484</v>
      </c>
      <c r="T61" s="17">
        <v>7.0656934306569346</v>
      </c>
      <c r="U61" s="17">
        <v>8.6065195442088562</v>
      </c>
      <c r="V61" s="17">
        <v>7.222090261282661</v>
      </c>
      <c r="W61" s="37">
        <v>6.9599329421626148</v>
      </c>
      <c r="X61" s="37">
        <v>5.163653</v>
      </c>
      <c r="Y61" s="37">
        <v>4.8501799999999999</v>
      </c>
      <c r="Z61" s="37">
        <v>3.9982500000000001</v>
      </c>
    </row>
    <row r="62" spans="1:26" x14ac:dyDescent="0.25">
      <c r="A62" t="str">
        <f>IFERROR(INDEX('2019 Data (WP)'!$C$9:$C$73,MATCH($B62,'2019 Data (WP)'!$D$9:$D$73,0)),"")</f>
        <v/>
      </c>
      <c r="B62" t="s">
        <v>64</v>
      </c>
      <c r="C62" t="s">
        <v>63</v>
      </c>
      <c r="D62" s="35" t="e">
        <f t="shared" ca="1" si="11"/>
        <v>#N/A</v>
      </c>
      <c r="E62" s="35" t="e">
        <f t="shared" ca="1" si="12"/>
        <v>#N/A</v>
      </c>
      <c r="F62" s="35"/>
      <c r="G62" s="35"/>
      <c r="H62" s="17" t="str">
        <f t="shared" ca="1" si="14"/>
        <v>N/A</v>
      </c>
      <c r="I62" s="17" t="str">
        <f t="shared" ca="1" si="14"/>
        <v>N/A</v>
      </c>
      <c r="J62" s="17" t="str">
        <f t="shared" ca="1" si="14"/>
        <v>N/A</v>
      </c>
      <c r="K62" s="17" t="str">
        <f t="shared" ca="1" si="14"/>
        <v>N/A</v>
      </c>
      <c r="L62" s="17" t="str">
        <f t="shared" ca="1" si="14"/>
        <v>N/A</v>
      </c>
      <c r="M62" s="17" t="s">
        <v>106</v>
      </c>
      <c r="N62" s="17" t="s">
        <v>106</v>
      </c>
      <c r="O62" s="17" t="s">
        <v>106</v>
      </c>
      <c r="P62" s="17" t="s">
        <v>106</v>
      </c>
      <c r="Q62" s="17" t="s">
        <v>106</v>
      </c>
      <c r="R62" s="17" t="s">
        <v>106</v>
      </c>
      <c r="S62" s="17" t="s">
        <v>106</v>
      </c>
      <c r="T62" s="17" t="s">
        <v>106</v>
      </c>
      <c r="U62" s="17" t="s">
        <v>106</v>
      </c>
      <c r="V62" s="17" t="s">
        <v>106</v>
      </c>
      <c r="W62" s="37" t="s">
        <v>106</v>
      </c>
      <c r="X62" s="37">
        <v>1.8034870000000001</v>
      </c>
      <c r="Y62" s="37">
        <v>1.884924</v>
      </c>
      <c r="Z62" s="37">
        <v>-7.0251169999999998</v>
      </c>
    </row>
    <row r="63" spans="1:26" x14ac:dyDescent="0.25">
      <c r="A63" t="str">
        <f>IFERROR(INDEX('2019 Data (WP)'!$C$9:$C$73,MATCH($B63,'2019 Data (WP)'!$D$9:$D$73,0)),"")</f>
        <v>Water Utility</v>
      </c>
      <c r="B63" s="31" t="s">
        <v>196</v>
      </c>
      <c r="C63" s="31" t="s">
        <v>195</v>
      </c>
      <c r="D63" s="35">
        <f t="shared" ca="1" si="11"/>
        <v>58</v>
      </c>
      <c r="E63" s="35">
        <f t="shared" ca="1" si="12"/>
        <v>58</v>
      </c>
      <c r="F63" s="35"/>
      <c r="G63" s="35"/>
      <c r="H63" s="17">
        <f t="shared" ca="1" si="14"/>
        <v>12.152462121212121</v>
      </c>
      <c r="I63" s="17">
        <f t="shared" ca="1" si="14"/>
        <v>17.624010914051841</v>
      </c>
      <c r="J63" s="17">
        <f t="shared" ca="1" si="14"/>
        <v>18.131426832978399</v>
      </c>
      <c r="K63" s="17">
        <f t="shared" ca="1" si="14"/>
        <v>10.287323405880105</v>
      </c>
      <c r="L63" s="17">
        <f t="shared" ca="1" si="14"/>
        <v>8.4547743966421827</v>
      </c>
      <c r="M63" s="17">
        <v>7.9823697173969403</v>
      </c>
      <c r="N63" s="17">
        <v>6.4265038444142926</v>
      </c>
      <c r="O63" s="17">
        <v>9.3993103448275868</v>
      </c>
      <c r="P63" s="17">
        <v>8.0970350404312672</v>
      </c>
      <c r="Q63" s="17">
        <v>8.3909318100678316</v>
      </c>
      <c r="R63" s="17">
        <v>10.28721614802355</v>
      </c>
      <c r="S63" s="17">
        <v>10.525838621940164</v>
      </c>
      <c r="T63" s="17">
        <v>11.675697865353039</v>
      </c>
      <c r="U63" s="17">
        <v>15.134523291249456</v>
      </c>
      <c r="V63" s="17">
        <v>11.749265014699708</v>
      </c>
      <c r="W63" s="56"/>
      <c r="X63" s="57"/>
      <c r="Y63" s="57"/>
      <c r="Z63" s="57"/>
    </row>
    <row r="64" spans="1:26" x14ac:dyDescent="0.25">
      <c r="A64" t="str">
        <f>IFERROR(INDEX('2019 Data (WP)'!$C$9:$C$73,MATCH($B64,'2019 Data (WP)'!$D$9:$D$73,0)),"")</f>
        <v>Natural Gas Utility</v>
      </c>
      <c r="B64" s="31" t="s">
        <v>198</v>
      </c>
      <c r="C64" s="31" t="s">
        <v>197</v>
      </c>
      <c r="D64" s="35">
        <f t="shared" ca="1" si="11"/>
        <v>59</v>
      </c>
      <c r="E64" s="35">
        <f t="shared" ca="1" si="12"/>
        <v>59</v>
      </c>
      <c r="F64" s="35"/>
      <c r="G64" s="35"/>
      <c r="H64" s="17">
        <f t="shared" ca="1" si="14"/>
        <v>7.5414531202894182</v>
      </c>
      <c r="I64" s="17">
        <f t="shared" ca="1" si="14"/>
        <v>12.383111806098515</v>
      </c>
      <c r="J64" s="17">
        <f t="shared" ca="1" si="14"/>
        <v>10.724682457947134</v>
      </c>
      <c r="K64" s="17">
        <f t="shared" ca="1" si="14"/>
        <v>12.331059245960502</v>
      </c>
      <c r="L64" s="17">
        <f t="shared" ca="1" si="14"/>
        <v>10.877383177570096</v>
      </c>
      <c r="M64" s="17">
        <v>10.697847682119205</v>
      </c>
      <c r="N64" s="17">
        <v>10.566454511418945</v>
      </c>
      <c r="O64" s="17">
        <v>11.566235864297255</v>
      </c>
      <c r="P64" s="17">
        <v>10.945392491467578</v>
      </c>
      <c r="Q64" s="17">
        <v>11.975784753363229</v>
      </c>
      <c r="R64" s="17">
        <v>10.784220532319392</v>
      </c>
      <c r="S64" s="17">
        <v>9.5734265734265733</v>
      </c>
      <c r="T64" s="17">
        <v>10.381472957422325</v>
      </c>
      <c r="U64" s="17">
        <v>11.228267667292059</v>
      </c>
      <c r="V64" s="17">
        <v>8.3200228180262421</v>
      </c>
      <c r="W64" s="56"/>
      <c r="X64" s="57"/>
      <c r="Y64" s="57"/>
      <c r="Z64" s="57"/>
    </row>
    <row r="65" spans="1:26" x14ac:dyDescent="0.25">
      <c r="A65" t="str">
        <f>IFERROR(INDEX('2019 Data (WP)'!$C$9:$C$73,MATCH($B65,'2019 Data (WP)'!$D$9:$D$73,0)),"")</f>
        <v>Electric Utility (East)</v>
      </c>
      <c r="B65" t="s">
        <v>38</v>
      </c>
      <c r="C65" t="s">
        <v>77</v>
      </c>
      <c r="D65" s="35">
        <f t="shared" ca="1" si="11"/>
        <v>60</v>
      </c>
      <c r="E65" s="35">
        <f t="shared" ca="1" si="12"/>
        <v>60</v>
      </c>
      <c r="F65" s="35"/>
      <c r="G65" s="35"/>
      <c r="H65" s="17">
        <f t="shared" ref="H65:L78" ca="1" si="15">IFERROR(INDEX(MarketPrice,$D65,H$2)/INDEX(CashFlow,$E65,H$2),"N/A")</f>
        <v>8.3432707467392859</v>
      </c>
      <c r="I65" s="17">
        <f t="shared" ca="1" si="15"/>
        <v>8.801357966208748</v>
      </c>
      <c r="J65" s="17">
        <f t="shared" ca="1" si="15"/>
        <v>7.0469432314410483</v>
      </c>
      <c r="K65" s="17">
        <f t="shared" ca="1" si="15"/>
        <v>7.4877975293763184</v>
      </c>
      <c r="L65" s="17">
        <f t="shared" ca="1" si="15"/>
        <v>8.832337434094903</v>
      </c>
      <c r="M65" s="17">
        <v>8.2270151709011152</v>
      </c>
      <c r="N65" s="17">
        <v>8.4186398939193037</v>
      </c>
      <c r="O65" s="17">
        <v>8.2988985947588301</v>
      </c>
      <c r="P65" s="17">
        <v>8.7459459459459463</v>
      </c>
      <c r="Q65" s="17">
        <v>8.2234432234432226</v>
      </c>
      <c r="R65" s="17">
        <v>7.7901617549302014</v>
      </c>
      <c r="S65" s="17">
        <v>7.0776173285198549</v>
      </c>
      <c r="T65" s="17">
        <v>8.1835814163283711</v>
      </c>
      <c r="U65" s="17">
        <v>8.6184834123222753</v>
      </c>
      <c r="V65" s="17">
        <v>8.4714677298778973</v>
      </c>
      <c r="W65" s="37">
        <v>8.4108161746464916</v>
      </c>
      <c r="X65" s="37">
        <v>8.2763340000000003</v>
      </c>
      <c r="Y65" s="37">
        <v>8.2793989999999997</v>
      </c>
      <c r="Z65" s="37">
        <v>7.832465</v>
      </c>
    </row>
    <row r="66" spans="1:26" x14ac:dyDescent="0.25">
      <c r="A66" t="str">
        <f>IFERROR(INDEX('2019 Data (WP)'!$C$9:$C$73,MATCH($B66,'2019 Data (WP)'!$D$9:$D$73,0)),"")</f>
        <v>Natural Gas Utility</v>
      </c>
      <c r="B66" s="31" t="s">
        <v>200</v>
      </c>
      <c r="C66" s="31" t="s">
        <v>199</v>
      </c>
      <c r="D66" s="35">
        <f t="shared" ca="1" si="11"/>
        <v>61</v>
      </c>
      <c r="E66" s="35">
        <f t="shared" ca="1" si="12"/>
        <v>61</v>
      </c>
      <c r="F66" s="35"/>
      <c r="G66" s="35"/>
      <c r="H66" s="17">
        <f t="shared" ca="1" si="15"/>
        <v>7.0475321779669597</v>
      </c>
      <c r="I66" s="17">
        <f t="shared" ca="1" si="15"/>
        <v>8.9241650712614344</v>
      </c>
      <c r="J66" s="17">
        <f t="shared" ca="1" si="15"/>
        <v>9.3201425586825604</v>
      </c>
      <c r="K66" s="17">
        <f t="shared" ca="1" si="15"/>
        <v>9.1038152383108795</v>
      </c>
      <c r="L66" s="17">
        <f t="shared" ca="1" si="15"/>
        <v>7.4075987514799264</v>
      </c>
      <c r="M66" s="17">
        <v>6.5555040018559332</v>
      </c>
      <c r="N66" s="17">
        <v>6.3454910292728997</v>
      </c>
      <c r="O66" s="17">
        <v>5.9443231441048043</v>
      </c>
      <c r="P66" s="17">
        <v>5.5499935325313672</v>
      </c>
      <c r="Q66" s="17">
        <v>5.6010872759330006</v>
      </c>
      <c r="R66" s="17">
        <v>4.9079089924160346</v>
      </c>
      <c r="S66" s="17">
        <v>3.844379467186485</v>
      </c>
      <c r="T66" s="17">
        <v>4.8887732083984039</v>
      </c>
      <c r="U66" s="17">
        <v>5.4208407150909972</v>
      </c>
      <c r="V66" s="17">
        <v>5.284876905041032</v>
      </c>
      <c r="W66" s="56"/>
      <c r="X66" s="57"/>
      <c r="Y66" s="57"/>
      <c r="Z66" s="57"/>
    </row>
    <row r="67" spans="1:26" x14ac:dyDescent="0.25">
      <c r="A67" t="str">
        <f>IFERROR(INDEX('2019 Data (WP)'!$C$9:$C$73,MATCH($B67,'2019 Data (WP)'!$D$9:$D$73,0)),"")</f>
        <v>Natural Gas Utility</v>
      </c>
      <c r="B67" s="31" t="s">
        <v>244</v>
      </c>
      <c r="C67" s="31" t="s">
        <v>243</v>
      </c>
      <c r="D67" s="35">
        <f t="shared" ca="1" si="11"/>
        <v>62</v>
      </c>
      <c r="E67" s="35">
        <f t="shared" ca="1" si="12"/>
        <v>62</v>
      </c>
      <c r="F67" s="35"/>
      <c r="G67" s="35"/>
      <c r="H67" s="17">
        <f t="shared" ca="1" si="15"/>
        <v>14.010468214693569</v>
      </c>
      <c r="I67" s="17">
        <f t="shared" ca="1" si="15"/>
        <v>11.267172355667931</v>
      </c>
      <c r="J67" s="17">
        <f t="shared" ca="1" si="15"/>
        <v>9.6003178386968617</v>
      </c>
      <c r="K67" s="17">
        <f t="shared" ca="1" si="15"/>
        <v>10.393059165265248</v>
      </c>
      <c r="L67" s="17">
        <f t="shared" ca="1" si="15"/>
        <v>10.319909061383566</v>
      </c>
      <c r="M67" s="17">
        <v>8.4657133571660701</v>
      </c>
      <c r="N67" s="17">
        <v>12.031290405999483</v>
      </c>
      <c r="O67" s="17">
        <v>13.755847484780519</v>
      </c>
      <c r="P67" s="17">
        <v>8.8010471204188487</v>
      </c>
      <c r="Q67" s="17">
        <v>8.079904720658293</v>
      </c>
      <c r="R67" s="17">
        <v>8.1248478948649296</v>
      </c>
      <c r="S67" s="17">
        <v>8.579328505595786</v>
      </c>
      <c r="T67" s="17">
        <v>8.9523809523809508</v>
      </c>
      <c r="U67" s="17">
        <v>8.4581827568404755</v>
      </c>
      <c r="V67" s="17">
        <v>8.4618009976371749</v>
      </c>
      <c r="W67" s="56"/>
      <c r="X67" s="57"/>
      <c r="Y67" s="57"/>
      <c r="Z67" s="57"/>
    </row>
    <row r="68" spans="1:26" x14ac:dyDescent="0.25">
      <c r="A68" t="str">
        <f>IFERROR(INDEX('2019 Data (WP)'!$C$9:$C$73,MATCH($B68,'2019 Data (WP)'!$D$9:$D$73,0)),"")</f>
        <v/>
      </c>
      <c r="B68" t="s">
        <v>39</v>
      </c>
      <c r="C68" t="s">
        <v>78</v>
      </c>
      <c r="D68" s="35" t="e">
        <f t="shared" ca="1" si="11"/>
        <v>#N/A</v>
      </c>
      <c r="E68" s="35" t="e">
        <f t="shared" ca="1" si="12"/>
        <v>#N/A</v>
      </c>
      <c r="F68" s="35"/>
      <c r="G68" s="35"/>
      <c r="H68" s="17" t="str">
        <f t="shared" ca="1" si="15"/>
        <v>N/A</v>
      </c>
      <c r="I68" s="17" t="str">
        <f t="shared" ca="1" si="15"/>
        <v>N/A</v>
      </c>
      <c r="J68" s="17" t="str">
        <f t="shared" ca="1" si="15"/>
        <v>N/A</v>
      </c>
      <c r="K68" s="17" t="str">
        <f t="shared" ca="1" si="15"/>
        <v>N/A</v>
      </c>
      <c r="L68" s="17" t="str">
        <f t="shared" ca="1" si="15"/>
        <v>N/A</v>
      </c>
      <c r="M68" s="17" t="s">
        <v>106</v>
      </c>
      <c r="N68" s="17" t="s">
        <v>106</v>
      </c>
      <c r="O68" s="17" t="s">
        <v>106</v>
      </c>
      <c r="P68" s="17" t="s">
        <v>106</v>
      </c>
      <c r="Q68" s="17" t="s">
        <v>106</v>
      </c>
      <c r="R68" s="17" t="s">
        <v>106</v>
      </c>
      <c r="S68" s="17" t="s">
        <v>106</v>
      </c>
      <c r="T68" s="17" t="s">
        <v>106</v>
      </c>
      <c r="U68" s="17" t="s">
        <v>106</v>
      </c>
      <c r="V68" s="17" t="s">
        <v>106</v>
      </c>
      <c r="W68" s="37">
        <v>7.2119037568594342</v>
      </c>
      <c r="X68" s="37">
        <v>6.4092609999999999</v>
      </c>
      <c r="Y68" s="37">
        <v>6.3931490000000002</v>
      </c>
      <c r="Z68" s="37">
        <v>6.681349</v>
      </c>
    </row>
    <row r="69" spans="1:26" x14ac:dyDescent="0.25">
      <c r="A69" t="str">
        <f>IFERROR(INDEX('2019 Data (WP)'!$C$9:$C$73,MATCH($B69,'2019 Data (WP)'!$D$9:$D$73,0)),"")</f>
        <v>Natural Gas Utility</v>
      </c>
      <c r="B69" s="31" t="s">
        <v>204</v>
      </c>
      <c r="C69" s="31" t="s">
        <v>203</v>
      </c>
      <c r="D69" s="35">
        <f t="shared" ca="1" si="11"/>
        <v>64</v>
      </c>
      <c r="E69" s="35">
        <f t="shared" ca="1" si="12"/>
        <v>64</v>
      </c>
      <c r="F69" s="35"/>
      <c r="G69" s="35"/>
      <c r="H69" s="17">
        <f t="shared" ca="1" si="15"/>
        <v>7.3861267040898149</v>
      </c>
      <c r="I69" s="17">
        <f t="shared" ca="1" si="15"/>
        <v>12.951699029126212</v>
      </c>
      <c r="J69" s="17">
        <f t="shared" ca="1" si="15"/>
        <v>9.0133283968900404</v>
      </c>
      <c r="K69" s="17">
        <f t="shared" ca="1" si="15"/>
        <v>10.091562698244871</v>
      </c>
      <c r="L69" s="17">
        <f t="shared" ca="1" si="15"/>
        <v>9.0175238962221211</v>
      </c>
      <c r="M69" s="17">
        <v>8.467300832342449</v>
      </c>
      <c r="N69" s="17">
        <v>7.4872933629410312</v>
      </c>
      <c r="O69" s="17">
        <v>6.5533049040511733</v>
      </c>
      <c r="P69" s="17">
        <v>6.3007543456871105</v>
      </c>
      <c r="Q69" s="17">
        <v>7.5111030214779761</v>
      </c>
      <c r="R69" s="17">
        <v>6.0150034891835311</v>
      </c>
      <c r="S69" s="17">
        <v>5.7384833451452861</v>
      </c>
      <c r="T69" s="17">
        <v>7.1116035455277995</v>
      </c>
      <c r="U69" s="17">
        <v>7.9175897208684098</v>
      </c>
      <c r="V69" s="17">
        <v>7.4790652385589098</v>
      </c>
      <c r="W69" s="56"/>
      <c r="X69" s="57"/>
      <c r="Y69" s="57"/>
      <c r="Z69" s="57"/>
    </row>
    <row r="70" spans="1:26" x14ac:dyDescent="0.25">
      <c r="A70" t="str">
        <f>IFERROR(INDEX('2019 Data (WP)'!$C$9:$C$73,MATCH($B70,'2019 Data (WP)'!$D$9:$D$73,0)),"")</f>
        <v/>
      </c>
      <c r="B70" t="s">
        <v>40</v>
      </c>
      <c r="C70" t="s">
        <v>81</v>
      </c>
      <c r="D70" s="35" t="e">
        <f t="shared" ca="1" si="11"/>
        <v>#N/A</v>
      </c>
      <c r="E70" s="35" t="e">
        <f t="shared" ca="1" si="12"/>
        <v>#N/A</v>
      </c>
      <c r="F70" s="35"/>
      <c r="G70" s="35"/>
      <c r="H70" s="17" t="str">
        <f t="shared" ca="1" si="15"/>
        <v>N/A</v>
      </c>
      <c r="I70" s="17" t="str">
        <f t="shared" ca="1" si="15"/>
        <v>N/A</v>
      </c>
      <c r="J70" s="17" t="str">
        <f t="shared" ca="1" si="15"/>
        <v>N/A</v>
      </c>
      <c r="K70" s="17" t="str">
        <f t="shared" ca="1" si="15"/>
        <v>N/A</v>
      </c>
      <c r="L70" s="17" t="str">
        <f t="shared" ca="1" si="15"/>
        <v>N/A</v>
      </c>
      <c r="M70" s="17" t="s">
        <v>106</v>
      </c>
      <c r="N70" s="17" t="s">
        <v>106</v>
      </c>
      <c r="O70" s="17" t="s">
        <v>106</v>
      </c>
      <c r="P70" s="17" t="s">
        <v>106</v>
      </c>
      <c r="Q70" s="17" t="s">
        <v>106</v>
      </c>
      <c r="R70" s="17" t="s">
        <v>106</v>
      </c>
      <c r="S70" s="17" t="s">
        <v>106</v>
      </c>
      <c r="T70" s="17" t="s">
        <v>106</v>
      </c>
      <c r="U70" s="17" t="s">
        <v>106</v>
      </c>
      <c r="V70" s="17" t="s">
        <v>106</v>
      </c>
      <c r="W70" s="37" t="s">
        <v>106</v>
      </c>
      <c r="X70" s="37">
        <v>6.5928209999999998</v>
      </c>
      <c r="Y70" s="37">
        <v>4.781644</v>
      </c>
      <c r="Z70" s="37">
        <v>4.7159110000000002</v>
      </c>
    </row>
    <row r="71" spans="1:26" x14ac:dyDescent="0.25">
      <c r="A71" t="str">
        <f>IFERROR(INDEX('2019 Data (WP)'!$C$9:$C$73,MATCH($B71,'2019 Data (WP)'!$D$9:$D$73,0)),"")</f>
        <v/>
      </c>
      <c r="B71" t="s">
        <v>41</v>
      </c>
      <c r="C71" t="s">
        <v>79</v>
      </c>
      <c r="D71" s="35" t="e">
        <f t="shared" ca="1" si="11"/>
        <v>#N/A</v>
      </c>
      <c r="E71" s="35" t="e">
        <f t="shared" ca="1" si="12"/>
        <v>#N/A</v>
      </c>
      <c r="F71" s="35"/>
      <c r="G71" s="35"/>
      <c r="H71" s="17" t="str">
        <f t="shared" ca="1" si="15"/>
        <v>N/A</v>
      </c>
      <c r="I71" s="17" t="str">
        <f t="shared" ca="1" si="15"/>
        <v>N/A</v>
      </c>
      <c r="J71" s="17" t="str">
        <f t="shared" ca="1" si="15"/>
        <v>N/A</v>
      </c>
      <c r="K71" s="17" t="str">
        <f t="shared" ca="1" si="15"/>
        <v>N/A</v>
      </c>
      <c r="L71" s="17" t="str">
        <f t="shared" ca="1" si="15"/>
        <v>N/A</v>
      </c>
      <c r="M71" s="17" t="s">
        <v>106</v>
      </c>
      <c r="N71" s="17" t="s">
        <v>106</v>
      </c>
      <c r="O71" s="17" t="s">
        <v>106</v>
      </c>
      <c r="P71" s="17" t="s">
        <v>106</v>
      </c>
      <c r="Q71" s="17" t="s">
        <v>106</v>
      </c>
      <c r="R71" s="17" t="s">
        <v>106</v>
      </c>
      <c r="S71" s="17" t="s">
        <v>106</v>
      </c>
      <c r="T71" s="17" t="s">
        <v>106</v>
      </c>
      <c r="U71" s="17" t="s">
        <v>106</v>
      </c>
      <c r="V71" s="17" t="s">
        <v>106</v>
      </c>
      <c r="W71" s="37" t="s">
        <v>106</v>
      </c>
      <c r="X71" s="37">
        <v>4.6349720000000003</v>
      </c>
      <c r="Y71" s="37">
        <v>3.64655</v>
      </c>
      <c r="Z71" s="37">
        <v>3.6843750000000002</v>
      </c>
    </row>
    <row r="72" spans="1:26" x14ac:dyDescent="0.25">
      <c r="A72" t="str">
        <f>IFERROR(INDEX('2019 Data (WP)'!$C$9:$C$73,MATCH($B72,'2019 Data (WP)'!$D$9:$D$73,0)),"")</f>
        <v/>
      </c>
      <c r="B72" t="s">
        <v>83</v>
      </c>
      <c r="C72" t="s">
        <v>82</v>
      </c>
      <c r="D72" s="35">
        <f t="shared" ca="1" si="11"/>
        <v>65</v>
      </c>
      <c r="E72" s="35">
        <f t="shared" ca="1" si="12"/>
        <v>65</v>
      </c>
      <c r="F72" s="35"/>
      <c r="G72" s="35"/>
      <c r="H72" s="17">
        <f t="shared" ca="1" si="15"/>
        <v>8.2301298701298702</v>
      </c>
      <c r="I72" s="17">
        <f t="shared" ca="1" si="15"/>
        <v>8.9816485225505449</v>
      </c>
      <c r="J72" s="17">
        <f t="shared" ca="1" si="15"/>
        <v>8.6034605779521947</v>
      </c>
      <c r="K72" s="17">
        <f t="shared" ca="1" si="15"/>
        <v>9.3851259027913319</v>
      </c>
      <c r="L72" s="17">
        <f t="shared" ca="1" si="15"/>
        <v>7.7614503816793894</v>
      </c>
      <c r="M72" s="17">
        <v>6.8056743101438011</v>
      </c>
      <c r="N72" s="17">
        <v>6.8585416666666665</v>
      </c>
      <c r="O72" s="17">
        <v>6.7780112044817926</v>
      </c>
      <c r="P72" s="17">
        <v>6.9222797927461137</v>
      </c>
      <c r="Q72" s="17">
        <v>6.052163461538461</v>
      </c>
      <c r="R72" s="17">
        <v>6.2707919386886175</v>
      </c>
      <c r="S72" s="17">
        <v>6.0775711795467746</v>
      </c>
      <c r="T72" s="17">
        <v>7.0863426554439322</v>
      </c>
      <c r="U72" s="17">
        <v>6.0732767993041969</v>
      </c>
      <c r="V72" s="17">
        <v>5.8232536333802152</v>
      </c>
      <c r="W72" s="37">
        <v>5.4577063847092315</v>
      </c>
      <c r="X72" s="37">
        <v>5.5678859999999997</v>
      </c>
      <c r="Y72" s="37">
        <v>5.1765679999999996</v>
      </c>
      <c r="Z72" s="37">
        <v>6.0934340000000002</v>
      </c>
    </row>
    <row r="73" spans="1:26" x14ac:dyDescent="0.25">
      <c r="A73" t="str">
        <f>IFERROR(INDEX('2019 Data (WP)'!$C$9:$C$73,MATCH($B73,'2019 Data (WP)'!$D$9:$D$73,0)),"")</f>
        <v>Electric Util. (Central)</v>
      </c>
      <c r="B73" t="s">
        <v>42</v>
      </c>
      <c r="C73" t="s">
        <v>89</v>
      </c>
      <c r="D73" s="35">
        <f t="shared" ca="1" si="11"/>
        <v>66</v>
      </c>
      <c r="E73" s="35">
        <f t="shared" ca="1" si="12"/>
        <v>66</v>
      </c>
      <c r="F73" s="35"/>
      <c r="G73" s="35"/>
      <c r="H73" s="17" t="str">
        <f t="shared" ca="1" si="15"/>
        <v>N/A</v>
      </c>
      <c r="I73" s="17" t="str">
        <f t="shared" ca="1" si="15"/>
        <v>N/A</v>
      </c>
      <c r="J73" s="17" t="str">
        <f t="shared" ca="1" si="15"/>
        <v>N/A</v>
      </c>
      <c r="K73" s="17">
        <f t="shared" ca="1" si="15"/>
        <v>10.31939291736931</v>
      </c>
      <c r="L73" s="17">
        <f t="shared" ca="1" si="15"/>
        <v>8.5962383547196346</v>
      </c>
      <c r="M73" s="17">
        <v>7.8192771084337362</v>
      </c>
      <c r="N73" s="17">
        <v>7.5717501406865502</v>
      </c>
      <c r="O73" s="17">
        <v>6.8210379797176373</v>
      </c>
      <c r="P73" s="17">
        <v>5.7899443561208273</v>
      </c>
      <c r="Q73" s="17">
        <v>5.8104838709677429</v>
      </c>
      <c r="R73" s="17">
        <v>5.5771222697590632</v>
      </c>
      <c r="S73" s="17">
        <v>5.2428993410588509</v>
      </c>
      <c r="T73" s="17">
        <v>6.9016393442622945</v>
      </c>
      <c r="U73" s="17">
        <v>6.5349324639031217</v>
      </c>
      <c r="V73" s="17">
        <v>7.3743909041689228</v>
      </c>
      <c r="W73" s="37">
        <v>7.0612086776859506</v>
      </c>
      <c r="X73" s="37">
        <v>7.6323040000000004</v>
      </c>
      <c r="Y73" s="37">
        <v>7.2745040000000003</v>
      </c>
      <c r="Z73" s="37">
        <v>6.9240180000000002</v>
      </c>
    </row>
    <row r="74" spans="1:26" x14ac:dyDescent="0.25">
      <c r="A74" t="str">
        <f>IFERROR(INDEX('2019 Data (WP)'!$C$9:$C$73,MATCH($B74,'2019 Data (WP)'!$D$9:$D$73,0)),"")</f>
        <v>Electric Util. (Central)</v>
      </c>
      <c r="B74" t="s">
        <v>44</v>
      </c>
      <c r="C74" t="s">
        <v>217</v>
      </c>
      <c r="D74" s="35">
        <f t="shared" ca="1" si="11"/>
        <v>67</v>
      </c>
      <c r="E74" s="35">
        <f t="shared" ca="1" si="12"/>
        <v>67</v>
      </c>
      <c r="F74" s="35"/>
      <c r="G74" s="35"/>
      <c r="H74" s="17">
        <f t="shared" ca="1" si="15"/>
        <v>13.673238619889823</v>
      </c>
      <c r="I74" s="17">
        <f t="shared" ca="1" si="15"/>
        <v>12.879595588235295</v>
      </c>
      <c r="J74" s="17">
        <f t="shared" ca="1" si="15"/>
        <v>10.823120238489565</v>
      </c>
      <c r="K74" s="17">
        <f t="shared" ca="1" si="15"/>
        <v>11.043760984182775</v>
      </c>
      <c r="L74" s="17">
        <f t="shared" ca="1" si="15"/>
        <v>10.951956965312558</v>
      </c>
      <c r="M74" s="17">
        <v>12.896150865409455</v>
      </c>
      <c r="N74" s="17">
        <v>10.266114592658909</v>
      </c>
      <c r="O74" s="17">
        <v>9.5760517799352769</v>
      </c>
      <c r="P74" s="17">
        <v>9.2385229540918168</v>
      </c>
      <c r="Q74" s="17">
        <v>8.4315960912052113</v>
      </c>
      <c r="R74" s="17">
        <v>8.1465778316172006</v>
      </c>
      <c r="S74" s="17">
        <v>6.8706563706563699</v>
      </c>
      <c r="T74" s="17">
        <v>7.5732656514382404</v>
      </c>
      <c r="U74" s="17">
        <v>7.8410995641971173</v>
      </c>
      <c r="V74" s="17">
        <v>7.2726017943409245</v>
      </c>
      <c r="W74" s="37">
        <v>6.4014522821576767</v>
      </c>
      <c r="X74" s="37">
        <v>6.2742060000000004</v>
      </c>
      <c r="Y74" s="37">
        <v>4.9149459999999996</v>
      </c>
      <c r="Z74" s="37">
        <v>4.2733350000000003</v>
      </c>
    </row>
    <row r="75" spans="1:26" x14ac:dyDescent="0.25">
      <c r="A75" t="str">
        <f>IFERROR(INDEX('2019 Data (WP)'!$C$9:$C$73,MATCH($B75,'2019 Data (WP)'!$D$9:$D$73,0)),"")</f>
        <v>Electric Util. (Central)</v>
      </c>
      <c r="B75" t="s">
        <v>43</v>
      </c>
      <c r="C75" t="s">
        <v>87</v>
      </c>
      <c r="D75" s="35">
        <f t="shared" ca="1" si="11"/>
        <v>68</v>
      </c>
      <c r="E75" s="35">
        <f t="shared" ca="1" si="12"/>
        <v>68</v>
      </c>
      <c r="F75" s="35"/>
      <c r="G75" s="35"/>
      <c r="H75" s="17" t="str">
        <f t="shared" ca="1" si="15"/>
        <v>N/A</v>
      </c>
      <c r="I75" s="17" t="str">
        <f t="shared" ca="1" si="15"/>
        <v>N/A</v>
      </c>
      <c r="J75" s="17" t="str">
        <f t="shared" ca="1" si="15"/>
        <v>N/A</v>
      </c>
      <c r="K75" s="17">
        <f t="shared" ca="1" si="15"/>
        <v>10.86734693877551</v>
      </c>
      <c r="L75" s="17">
        <f t="shared" ca="1" si="15"/>
        <v>10.855546357615895</v>
      </c>
      <c r="M75" s="17">
        <v>9.0473844710297922</v>
      </c>
      <c r="N75" s="17">
        <v>7.92512077294686</v>
      </c>
      <c r="O75" s="17">
        <v>7.2319564230594651</v>
      </c>
      <c r="P75" s="17">
        <v>6.7148837209302323</v>
      </c>
      <c r="Q75" s="17">
        <v>6.6716267339218156</v>
      </c>
      <c r="R75" s="17">
        <v>5.5069657615112151</v>
      </c>
      <c r="S75" s="17">
        <v>5.3247982187586977</v>
      </c>
      <c r="T75" s="17">
        <v>7.0880382775119619</v>
      </c>
      <c r="U75" s="17">
        <v>6.875993640699523</v>
      </c>
      <c r="V75" s="17">
        <v>5.8074581430745811</v>
      </c>
      <c r="W75" s="37">
        <v>6.9972519083969464</v>
      </c>
      <c r="X75" s="37">
        <v>6.538462</v>
      </c>
      <c r="Y75" s="37">
        <v>4.2357319999999996</v>
      </c>
      <c r="Z75" s="37">
        <v>2.941065</v>
      </c>
    </row>
    <row r="76" spans="1:26" x14ac:dyDescent="0.25">
      <c r="A76" t="str">
        <f>IFERROR(INDEX('2019 Data (WP)'!$C$9:$C$73,MATCH($B76,'2019 Data (WP)'!$D$9:$D$73,0)),"")</f>
        <v>Natural Gas Utility</v>
      </c>
      <c r="B76" s="31" t="s">
        <v>206</v>
      </c>
      <c r="C76" s="31" t="s">
        <v>205</v>
      </c>
      <c r="D76" s="35">
        <f t="shared" ca="1" si="11"/>
        <v>69</v>
      </c>
      <c r="E76" s="35">
        <f t="shared" ca="1" si="12"/>
        <v>69</v>
      </c>
      <c r="F76" s="35"/>
      <c r="G76" s="35"/>
      <c r="H76" s="17" t="str">
        <f t="shared" ca="1" si="15"/>
        <v>N/A</v>
      </c>
      <c r="I76" s="17" t="str">
        <f t="shared" ca="1" si="15"/>
        <v>N/A</v>
      </c>
      <c r="J76" s="17" t="str">
        <f t="shared" ca="1" si="15"/>
        <v>N/A</v>
      </c>
      <c r="K76" s="17">
        <f t="shared" ca="1" si="15"/>
        <v>12.918384036637226</v>
      </c>
      <c r="L76" s="17">
        <f t="shared" ca="1" si="15"/>
        <v>11.36384122031548</v>
      </c>
      <c r="M76" s="17">
        <v>9.5870380289234074</v>
      </c>
      <c r="N76" s="17">
        <v>8.4593749999999996</v>
      </c>
      <c r="O76" s="17">
        <v>9.8308840681128995</v>
      </c>
      <c r="P76" s="17">
        <v>9.0269137436576212</v>
      </c>
      <c r="Q76" s="17">
        <v>9.5160727635185651</v>
      </c>
      <c r="R76" s="17">
        <v>8.3439552420335694</v>
      </c>
      <c r="S76" s="17">
        <v>7.1658789106459606</v>
      </c>
      <c r="T76" s="17">
        <v>7.6821848352154865</v>
      </c>
      <c r="U76" s="17">
        <v>8.3900180087471057</v>
      </c>
      <c r="V76" s="17">
        <v>7.8083832335329344</v>
      </c>
      <c r="W76" s="56"/>
      <c r="X76" s="57"/>
      <c r="Y76" s="57"/>
      <c r="Z76" s="57"/>
    </row>
    <row r="77" spans="1:26" x14ac:dyDescent="0.25">
      <c r="A77" t="str">
        <f>IFERROR(INDEX('2019 Data (WP)'!$C$9:$C$73,MATCH($B77,'2019 Data (WP)'!$D$9:$D$73,0)),"")</f>
        <v>Electric Utility (West)</v>
      </c>
      <c r="B77" t="s">
        <v>45</v>
      </c>
      <c r="C77" t="s">
        <v>65</v>
      </c>
      <c r="D77" s="35">
        <f t="shared" ca="1" si="11"/>
        <v>70</v>
      </c>
      <c r="E77" s="35">
        <f t="shared" ca="1" si="12"/>
        <v>70</v>
      </c>
      <c r="F77" s="35"/>
      <c r="G77" s="35"/>
      <c r="H77" s="17">
        <f t="shared" ca="1" si="15"/>
        <v>10.071957671957673</v>
      </c>
      <c r="I77" s="17">
        <f t="shared" ca="1" si="15"/>
        <v>9.4429143314651718</v>
      </c>
      <c r="J77" s="17">
        <f t="shared" ca="1" si="15"/>
        <v>7.9019939168638054</v>
      </c>
      <c r="K77" s="17">
        <f t="shared" ca="1" si="15"/>
        <v>8.5000914913083268</v>
      </c>
      <c r="L77" s="17">
        <f t="shared" ca="1" si="15"/>
        <v>8.0961729129486422</v>
      </c>
      <c r="M77" s="17">
        <v>7.6210226025894219</v>
      </c>
      <c r="N77" s="17">
        <v>7.314819136522754</v>
      </c>
      <c r="O77" s="17">
        <v>7.0043891733723482</v>
      </c>
      <c r="P77" s="17">
        <v>6.8532866783304174</v>
      </c>
      <c r="Q77" s="17">
        <v>6.4721268163804488</v>
      </c>
      <c r="R77" s="17">
        <v>6.2759111617312078</v>
      </c>
      <c r="S77" s="17">
        <v>5.4270923209663504</v>
      </c>
      <c r="T77" s="17">
        <v>5.7058823529411766</v>
      </c>
      <c r="U77" s="17">
        <v>6.5089751013317887</v>
      </c>
      <c r="V77" s="17">
        <v>5.5397837538120314</v>
      </c>
      <c r="W77" s="37">
        <v>5.6238560097620498</v>
      </c>
      <c r="X77" s="37">
        <v>5.3087289999999996</v>
      </c>
      <c r="Y77" s="37">
        <v>4.2676220000000002</v>
      </c>
      <c r="Z77" s="37">
        <v>5.4642860000000004</v>
      </c>
    </row>
    <row r="78" spans="1:26" x14ac:dyDescent="0.25">
      <c r="A78" t="str">
        <f>IFERROR(INDEX('2019 Data (WP)'!$C$9:$C$73,MATCH($B78,'2019 Data (WP)'!$D$9:$D$73,0)),"")</f>
        <v>Water Utility</v>
      </c>
      <c r="B78" s="31" t="s">
        <v>208</v>
      </c>
      <c r="C78" s="31" t="s">
        <v>207</v>
      </c>
      <c r="D78" s="35">
        <f t="shared" ca="1" si="11"/>
        <v>71</v>
      </c>
      <c r="E78" s="35">
        <f t="shared" ca="1" si="12"/>
        <v>71</v>
      </c>
      <c r="F78" s="35"/>
      <c r="G78" s="35"/>
      <c r="H78" s="17">
        <f t="shared" ca="1" si="15"/>
        <v>23.894043226146547</v>
      </c>
      <c r="I78" s="17">
        <f t="shared" ca="1" si="15"/>
        <v>22.076016499705361</v>
      </c>
      <c r="J78" s="17">
        <f t="shared" ca="1" si="15"/>
        <v>20.010158730158729</v>
      </c>
      <c r="K78" s="17">
        <f t="shared" ca="1" si="15"/>
        <v>22.797262059973921</v>
      </c>
      <c r="L78" s="17">
        <f t="shared" ca="1" si="15"/>
        <v>21.216045038705136</v>
      </c>
      <c r="M78" s="17">
        <v>15.681786941580755</v>
      </c>
      <c r="N78" s="17">
        <v>15.12822402358143</v>
      </c>
      <c r="O78" s="17">
        <v>16.607925801011806</v>
      </c>
      <c r="P78" s="17">
        <v>15.714285714285714</v>
      </c>
      <c r="Q78" s="17">
        <v>15.514625228519193</v>
      </c>
      <c r="R78" s="17">
        <v>13.813145539906104</v>
      </c>
      <c r="S78" s="17">
        <v>14.747102212855637</v>
      </c>
      <c r="T78" s="17">
        <v>15.846153846153845</v>
      </c>
      <c r="U78" s="17">
        <v>20.151869158878505</v>
      </c>
      <c r="V78" s="17">
        <v>23.568270481144342</v>
      </c>
      <c r="W78" s="56"/>
      <c r="X78" s="57"/>
      <c r="Y78" s="57"/>
      <c r="Z78" s="57"/>
    </row>
    <row r="79" spans="1:26" x14ac:dyDescent="0.25">
      <c r="B79" s="31"/>
      <c r="C79" s="31"/>
      <c r="D79" s="35"/>
      <c r="E79" s="35"/>
      <c r="F79" s="35"/>
      <c r="G79" s="35"/>
      <c r="H79" s="35"/>
      <c r="I79" s="35"/>
      <c r="J79" s="51"/>
      <c r="K79" s="51"/>
      <c r="L79" s="51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56"/>
      <c r="X79" s="57"/>
      <c r="Y79" s="57"/>
      <c r="Z79" s="57"/>
    </row>
  </sheetData>
  <sortState ref="A5:T78">
    <sortCondition ref="C5:C78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79"/>
  <sheetViews>
    <sheetView zoomScale="70" zoomScaleNormal="70" workbookViewId="0">
      <selection activeCell="H5" sqref="H5:H78"/>
    </sheetView>
  </sheetViews>
  <sheetFormatPr defaultRowHeight="13.8" x14ac:dyDescent="0.25"/>
  <cols>
    <col min="1" max="1" width="12.69921875" customWidth="1"/>
    <col min="2" max="2" width="7.5" bestFit="1" customWidth="1"/>
    <col min="3" max="3" width="22.19921875" customWidth="1"/>
    <col min="4" max="4" width="3.19921875" bestFit="1" customWidth="1"/>
    <col min="5" max="5" width="2.8984375" bestFit="1" customWidth="1"/>
    <col min="6" max="6" width="0.8984375" customWidth="1"/>
    <col min="7" max="8" width="6.59765625" customWidth="1"/>
    <col min="9" max="9" width="6.19921875" bestFit="1" customWidth="1"/>
    <col min="10" max="11" width="6.19921875" customWidth="1"/>
    <col min="12" max="13" width="6.19921875" bestFit="1" customWidth="1"/>
    <col min="14" max="15" width="5" bestFit="1" customWidth="1"/>
    <col min="16" max="16" width="4.8984375" bestFit="1" customWidth="1"/>
    <col min="17" max="17" width="5" bestFit="1" customWidth="1"/>
    <col min="18" max="22" width="5.19921875" bestFit="1" customWidth="1"/>
    <col min="23" max="25" width="9.19921875" style="31" customWidth="1"/>
  </cols>
  <sheetData>
    <row r="1" spans="1:25" x14ac:dyDescent="0.25">
      <c r="A1" t="s">
        <v>258</v>
      </c>
    </row>
    <row r="2" spans="1:25" x14ac:dyDescent="0.25">
      <c r="E2" s="35"/>
      <c r="F2" s="35"/>
      <c r="G2" s="35">
        <f t="shared" ref="G2:U2" ca="1" si="0">MATCH(G3,OFFSET(BookValue,-2,0,1,),0)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>
        <f t="shared" ca="1" si="0"/>
        <v>13</v>
      </c>
      <c r="S2" s="35">
        <f t="shared" ca="1" si="0"/>
        <v>14</v>
      </c>
      <c r="T2" s="35">
        <f t="shared" ca="1" si="0"/>
        <v>15</v>
      </c>
      <c r="U2" s="35">
        <f t="shared" ca="1" si="0"/>
        <v>16</v>
      </c>
      <c r="V2" s="35"/>
      <c r="W2" s="54"/>
      <c r="X2" s="54"/>
      <c r="Y2" s="54"/>
    </row>
    <row r="3" spans="1:25" ht="14.4" thickBot="1" x14ac:dyDescent="0.3">
      <c r="D3" s="35" t="s">
        <v>213</v>
      </c>
      <c r="E3" s="35" t="s">
        <v>256</v>
      </c>
      <c r="F3" s="35"/>
      <c r="G3" s="35">
        <v>2020</v>
      </c>
      <c r="H3" s="48">
        <v>2019</v>
      </c>
      <c r="I3" s="48">
        <v>2018</v>
      </c>
      <c r="J3" s="48">
        <v>2017</v>
      </c>
      <c r="K3" s="48">
        <v>2016</v>
      </c>
      <c r="L3" s="48">
        <v>2015</v>
      </c>
      <c r="M3" s="48">
        <v>2014</v>
      </c>
      <c r="N3" s="48">
        <v>2013</v>
      </c>
      <c r="O3" s="48">
        <v>2012</v>
      </c>
      <c r="P3" s="48">
        <v>2011</v>
      </c>
      <c r="Q3" s="48">
        <v>2010</v>
      </c>
      <c r="R3" s="48">
        <v>2009</v>
      </c>
      <c r="S3" s="48">
        <v>2008</v>
      </c>
      <c r="T3" s="48">
        <v>2007</v>
      </c>
      <c r="U3" s="48">
        <v>2006</v>
      </c>
      <c r="V3" s="48">
        <v>2005</v>
      </c>
      <c r="W3" s="55"/>
      <c r="X3" s="55"/>
      <c r="Y3" s="55"/>
    </row>
    <row r="4" spans="1:25" x14ac:dyDescent="0.25">
      <c r="D4" s="35"/>
      <c r="E4" s="35"/>
      <c r="F4" s="35"/>
      <c r="G4" s="35"/>
      <c r="H4" s="35"/>
      <c r="I4" s="35"/>
      <c r="J4" s="35"/>
      <c r="K4" s="35"/>
      <c r="L4" s="35"/>
      <c r="V4" s="37"/>
    </row>
    <row r="5" spans="1:25" x14ac:dyDescent="0.25">
      <c r="A5" t="str">
        <f>IFERROR(INDEX('2019 Data (WP)'!$C$9:$C$73,MATCH($B5,'2019 Data (WP)'!$D$9:$D$73,0)),"")</f>
        <v>Electric Util. (Central)</v>
      </c>
      <c r="B5" t="s">
        <v>0</v>
      </c>
      <c r="C5" t="s">
        <v>91</v>
      </c>
      <c r="D5" s="35">
        <f t="shared" ref="D5:D36" ca="1" si="1">MATCH(B5,OFFSET(MarketPrice,0,0,,1),0)</f>
        <v>3</v>
      </c>
      <c r="E5" s="35">
        <f t="shared" ref="E5:E36" ca="1" si="2">MATCH(B5,OFFSET(BookValue,0,0,,1),0)</f>
        <v>3</v>
      </c>
      <c r="F5" s="35"/>
      <c r="G5" s="17">
        <f t="shared" ref="G5:G36" ca="1" si="3">IFERROR(INDEX(MarketPrice,$D5,G$2)/INDEX(BookValue,$E5,G$2),"N/A")</f>
        <v>1.3907406566459288</v>
      </c>
      <c r="H5" s="17">
        <f t="shared" ref="H5:K36" ca="1" si="4">IFERROR(INDEX(MarketPrice,$D5,H$2)/INDEX(BookValue,$E5,H$2),"N/A")</f>
        <v>1.9087329163771138</v>
      </c>
      <c r="I5" s="17">
        <f t="shared" ca="1" si="4"/>
        <v>1.7898471094123269</v>
      </c>
      <c r="J5" s="17">
        <f ca="1">IFERROR(INDEX(MarketPrice,$D5,J$2)/INDEX(BookValue,$E5,J$2),"N/A")</f>
        <v>1.782230567771903</v>
      </c>
      <c r="K5" s="17">
        <f ca="1">IFERROR(INDEX(MarketPrice,$D5,K$2)/INDEX(BookValue,$E5,K$2),"N/A")</f>
        <v>1.5329228350582995</v>
      </c>
      <c r="L5" s="17">
        <v>1.3727711688381754</v>
      </c>
      <c r="M5" s="17">
        <v>1.4249778969283859</v>
      </c>
      <c r="N5" s="17">
        <v>1.5076301754169621</v>
      </c>
      <c r="O5" s="17">
        <v>1.3442031362771472</v>
      </c>
      <c r="P5" s="17">
        <v>1.3500225843438378</v>
      </c>
      <c r="Q5" s="17">
        <v>1.2833143821296262</v>
      </c>
      <c r="R5" s="17">
        <v>1.1509505415435886</v>
      </c>
      <c r="S5" s="17">
        <v>1.5502739348074575</v>
      </c>
      <c r="T5" s="17">
        <v>1.8882621318954793</v>
      </c>
      <c r="U5" s="17">
        <v>2.092598511483494</v>
      </c>
      <c r="V5" s="37">
        <v>2.2173066360413438</v>
      </c>
      <c r="W5" s="56"/>
      <c r="X5" s="57"/>
      <c r="Y5" s="57"/>
    </row>
    <row r="6" spans="1:25" x14ac:dyDescent="0.25">
      <c r="A6" t="str">
        <f>IFERROR(INDEX('2019 Data (WP)'!$C$9:$C$73,MATCH($B6,'2019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2.3040326831839746</v>
      </c>
      <c r="H6" s="17">
        <f t="shared" ca="1" si="4"/>
        <v>2.3203878924822297</v>
      </c>
      <c r="I6" s="17">
        <f t="shared" ca="1" si="4"/>
        <v>2.1575723257489963</v>
      </c>
      <c r="J6" s="17">
        <f t="shared" ca="1" si="4"/>
        <v>2.3811073026201126</v>
      </c>
      <c r="K6" s="17">
        <f t="shared" ca="1" si="4"/>
        <v>2.1694865295053942</v>
      </c>
      <c r="L6" s="17">
        <v>1.8608944674628323</v>
      </c>
      <c r="M6" s="17">
        <v>1.8585949562532167</v>
      </c>
      <c r="N6" s="17">
        <v>1.6991683007640814</v>
      </c>
      <c r="O6" s="17">
        <v>1.5654605961906112</v>
      </c>
      <c r="P6" s="17">
        <v>1.4642593957258658</v>
      </c>
      <c r="Q6" s="17">
        <v>1.3144784241588103</v>
      </c>
      <c r="R6" s="17">
        <v>1.0448273111589694</v>
      </c>
      <c r="S6" s="17">
        <v>1.3346894069785635</v>
      </c>
      <c r="T6" s="17">
        <v>1.6693282844912742</v>
      </c>
      <c r="U6" s="17">
        <v>1.5176068675543097</v>
      </c>
      <c r="V6" s="37">
        <v>1.3341645885286784</v>
      </c>
      <c r="W6" s="56"/>
      <c r="X6" s="56"/>
      <c r="Y6" s="56"/>
    </row>
    <row r="7" spans="1:25" x14ac:dyDescent="0.25">
      <c r="A7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4.5928715148031047</v>
      </c>
      <c r="H7" s="17">
        <f t="shared" ca="1" si="4"/>
        <v>4.7986523736600306</v>
      </c>
      <c r="I7" s="17">
        <f t="shared" ca="1" si="4"/>
        <v>3.8560516264980902</v>
      </c>
      <c r="J7" s="17">
        <f t="shared" ca="1" si="4"/>
        <v>3.3461618329064859</v>
      </c>
      <c r="K7" s="17">
        <f t="shared" ca="1" si="4"/>
        <v>3.067549570878958</v>
      </c>
      <c r="L7" s="17">
        <v>3.0994907951429687</v>
      </c>
      <c r="M7" s="17">
        <v>2.3833950290851402</v>
      </c>
      <c r="N7" s="17">
        <v>2.1733113155618464</v>
      </c>
      <c r="O7" s="17">
        <v>1.7089583863039242</v>
      </c>
      <c r="P7" s="17">
        <v>1.586569504658242</v>
      </c>
      <c r="Q7" s="17">
        <v>1.7234504540071063</v>
      </c>
      <c r="R7" s="17">
        <v>1.770547592038775</v>
      </c>
      <c r="S7" s="17">
        <v>1.950412302206374</v>
      </c>
      <c r="T7" s="17">
        <v>2.2177483745865181</v>
      </c>
      <c r="U7" s="17">
        <v>2.2160797981011902</v>
      </c>
      <c r="W7" s="56"/>
      <c r="X7" s="56"/>
      <c r="Y7" s="56"/>
    </row>
    <row r="8" spans="1:25" x14ac:dyDescent="0.25">
      <c r="A8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3.8744975686539056</v>
      </c>
      <c r="H8" s="17">
        <f t="shared" ca="1" si="4"/>
        <v>3.3341019955654096</v>
      </c>
      <c r="I8" s="17">
        <f t="shared" ca="1" si="4"/>
        <v>2.6535661401776904</v>
      </c>
      <c r="J8" s="17">
        <f t="shared" ca="1" si="4"/>
        <v>2.6686357149968476</v>
      </c>
      <c r="K8" s="17">
        <f t="shared" ca="1" si="4"/>
        <v>2.4827822042882057</v>
      </c>
      <c r="L8" s="17">
        <v>1.9162920751778572</v>
      </c>
      <c r="M8" s="17">
        <v>1.7465955970939362</v>
      </c>
      <c r="N8" s="17">
        <v>1.5456567636857186</v>
      </c>
      <c r="O8" s="17">
        <v>1.4041824337781319</v>
      </c>
      <c r="P8" s="17">
        <v>1.1982333181271514</v>
      </c>
      <c r="Q8" s="17">
        <v>0.94785484144480248</v>
      </c>
      <c r="R8" s="17">
        <v>0.85307725883893493</v>
      </c>
      <c r="S8" s="17">
        <v>0.81164677431936971</v>
      </c>
      <c r="T8" s="17" t="s">
        <v>106</v>
      </c>
      <c r="U8" s="17" t="s">
        <v>106</v>
      </c>
      <c r="W8" s="56"/>
      <c r="X8" s="56"/>
      <c r="Y8" s="56"/>
    </row>
    <row r="9" spans="1:25" x14ac:dyDescent="0.25">
      <c r="A9" t="str">
        <f>IFERROR(INDEX('2019 Data (WP)'!$C$9:$C$73,MATCH($B9,'2019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2.2052938842600462</v>
      </c>
      <c r="H9" s="17">
        <f t="shared" ca="1" si="4"/>
        <v>2.2606158734038</v>
      </c>
      <c r="I9" s="17">
        <f t="shared" ca="1" si="4"/>
        <v>1.9451795841209831</v>
      </c>
      <c r="J9" s="17">
        <f t="shared" ca="1" si="4"/>
        <v>1.9268440961902187</v>
      </c>
      <c r="K9" s="17">
        <f t="shared" ca="1" si="4"/>
        <v>1.6747967479674797</v>
      </c>
      <c r="L9" s="17">
        <v>1.4586928424214904</v>
      </c>
      <c r="M9" s="17">
        <v>1.4491994072360572</v>
      </c>
      <c r="N9" s="17">
        <v>1.2860109005969376</v>
      </c>
      <c r="O9" s="17">
        <v>1.180071148274471</v>
      </c>
      <c r="P9" s="17">
        <v>0.90303902947123327</v>
      </c>
      <c r="Q9" s="17">
        <v>0.83169025034986777</v>
      </c>
      <c r="R9" s="17">
        <v>0.77828834003446301</v>
      </c>
      <c r="S9" s="17">
        <v>1.2473626440636625</v>
      </c>
      <c r="T9" s="17">
        <v>1.6041955884621317</v>
      </c>
      <c r="U9" s="17">
        <v>1.61828395681647</v>
      </c>
      <c r="V9" s="37">
        <v>1.6829746855801089</v>
      </c>
      <c r="W9" s="56"/>
      <c r="X9" s="56"/>
      <c r="Y9" s="56"/>
    </row>
    <row r="10" spans="1:25" x14ac:dyDescent="0.25">
      <c r="A10" t="str">
        <f>IFERROR(INDEX('2019 Data (WP)'!$C$9:$C$73,MATCH($B10,'2019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2.0902302877993377</v>
      </c>
      <c r="H10" s="17">
        <f t="shared" ca="1" si="4"/>
        <v>2.198751510269835</v>
      </c>
      <c r="I10" s="17">
        <f t="shared" ca="1" si="4"/>
        <v>1.8237337342526827</v>
      </c>
      <c r="J10" s="17">
        <f t="shared" ca="1" si="4"/>
        <v>1.8825602668962549</v>
      </c>
      <c r="K10" s="17">
        <f t="shared" ca="1" si="4"/>
        <v>1.8122102882984736</v>
      </c>
      <c r="L10" s="17">
        <v>1.5537532592287633</v>
      </c>
      <c r="M10" s="17">
        <v>1.5428596368715082</v>
      </c>
      <c r="N10" s="17">
        <v>1.3977134885977682</v>
      </c>
      <c r="O10" s="17">
        <v>1.3076849520288147</v>
      </c>
      <c r="P10" s="17">
        <v>1.2297422034680556</v>
      </c>
      <c r="Q10" s="17">
        <v>1.2311873499929407</v>
      </c>
      <c r="R10" s="17">
        <v>1.0840064032598413</v>
      </c>
      <c r="S10" s="17">
        <v>1.4829681388372007</v>
      </c>
      <c r="T10" s="17">
        <v>1.8483969647610348</v>
      </c>
      <c r="U10" s="17">
        <v>1.5556538964049396</v>
      </c>
      <c r="V10" s="37">
        <v>1.5664153886145047</v>
      </c>
      <c r="W10" s="56"/>
      <c r="X10" s="56"/>
      <c r="Y10" s="56"/>
    </row>
    <row r="11" spans="1:25" x14ac:dyDescent="0.25">
      <c r="A1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 t="str">
        <f t="shared" ca="1" si="3"/>
        <v>N/A</v>
      </c>
      <c r="H11" s="17" t="str">
        <f t="shared" ca="1" si="4"/>
        <v>N/A</v>
      </c>
      <c r="I11" s="17">
        <f t="shared" ca="1" si="4"/>
        <v>3.11743330674466</v>
      </c>
      <c r="J11" s="17">
        <f t="shared" ca="1" si="4"/>
        <v>3.0225127087872186</v>
      </c>
      <c r="K11" s="17">
        <f t="shared" ca="1" si="4"/>
        <v>3.0203279317288327</v>
      </c>
      <c r="L11" s="17">
        <v>2.7414075286415711</v>
      </c>
      <c r="M11" s="17">
        <v>2.6877764591649584</v>
      </c>
      <c r="N11" s="17">
        <v>2.8479193230555229</v>
      </c>
      <c r="O11" s="17">
        <v>2.4216989492340804</v>
      </c>
      <c r="P11" s="17">
        <v>2.4536625971143176</v>
      </c>
      <c r="Q11" s="17">
        <v>2.228814803935967</v>
      </c>
      <c r="R11" s="17">
        <v>2.1886153846153849</v>
      </c>
      <c r="S11" s="17">
        <v>2.3274180655475618</v>
      </c>
      <c r="T11" s="17">
        <v>3.1012809564474808</v>
      </c>
      <c r="U11" s="17">
        <v>3.4877961234745154</v>
      </c>
      <c r="W11" s="56"/>
      <c r="X11" s="56"/>
      <c r="Y11" s="56"/>
    </row>
    <row r="12" spans="1:25" x14ac:dyDescent="0.25">
      <c r="A12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1.950879534375058</v>
      </c>
      <c r="H12" s="17">
        <f t="shared" ca="1" si="4"/>
        <v>2.0957994354972604</v>
      </c>
      <c r="I12" s="17">
        <f t="shared" ca="1" si="4"/>
        <v>2.0292299437795975</v>
      </c>
      <c r="J12" s="17">
        <f t="shared" ca="1" si="4"/>
        <v>2.1588558676246463</v>
      </c>
      <c r="K12" s="17">
        <f t="shared" ca="1" si="4"/>
        <v>2.1099306743495099</v>
      </c>
      <c r="L12" s="17">
        <v>1.7177752366431611</v>
      </c>
      <c r="M12" s="17">
        <v>1.5493933578375567</v>
      </c>
      <c r="N12" s="17">
        <v>1.3939021391689206</v>
      </c>
      <c r="O12" s="17">
        <v>1.2795287637698898</v>
      </c>
      <c r="P12" s="17">
        <v>1.2988229642085034</v>
      </c>
      <c r="Q12" s="17">
        <v>1.1810016556291392</v>
      </c>
      <c r="R12" s="17">
        <v>1.0502147200136061</v>
      </c>
      <c r="S12" s="17">
        <v>1.2021149506658999</v>
      </c>
      <c r="T12" s="17">
        <v>1.3987094428792148</v>
      </c>
      <c r="U12" s="17">
        <v>1.3414670435947031</v>
      </c>
      <c r="W12" s="56"/>
      <c r="X12" s="56"/>
      <c r="Y12" s="56"/>
    </row>
    <row r="13" spans="1:25" x14ac:dyDescent="0.25">
      <c r="A13" t="str">
        <f>IFERROR(INDEX('2019 Data (WP)'!$C$9:$C$73,MATCH($B13,'2019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0.96803365306454237</v>
      </c>
      <c r="H13" s="17">
        <f t="shared" ca="1" si="4"/>
        <v>1.0151693368485093</v>
      </c>
      <c r="I13" s="17">
        <f t="shared" ca="1" si="4"/>
        <v>1.0233638167720289</v>
      </c>
      <c r="J13" s="17">
        <f t="shared" ca="1" si="4"/>
        <v>0.93322675848499748</v>
      </c>
      <c r="K13" s="17">
        <f t="shared" ca="1" si="4"/>
        <v>0.82978853940856478</v>
      </c>
      <c r="L13" s="17">
        <v>0.72234647187968071</v>
      </c>
      <c r="M13" s="17" t="s">
        <v>106</v>
      </c>
      <c r="N13" s="17" t="s">
        <v>106</v>
      </c>
      <c r="O13" s="17" t="s">
        <v>106</v>
      </c>
      <c r="P13" s="17" t="s">
        <v>106</v>
      </c>
      <c r="Q13" s="17" t="s">
        <v>106</v>
      </c>
      <c r="R13" s="17" t="s">
        <v>106</v>
      </c>
      <c r="S13" s="17" t="s">
        <v>106</v>
      </c>
      <c r="T13" s="17" t="s">
        <v>106</v>
      </c>
      <c r="U13" s="17" t="s">
        <v>106</v>
      </c>
      <c r="V13" s="37" t="s">
        <v>106</v>
      </c>
      <c r="W13" s="56"/>
      <c r="X13" s="56"/>
      <c r="Y13" s="56"/>
    </row>
    <row r="14" spans="1:25" x14ac:dyDescent="0.25">
      <c r="A14" t="str">
        <f>IFERROR(INDEX('2019 Data (WP)'!$C$9:$C$73,MATCH($B14,'2019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1.3724373187787819</v>
      </c>
      <c r="H14" s="17">
        <f t="shared" ca="1" si="4"/>
        <v>1.5413953166135514</v>
      </c>
      <c r="I14" s="17">
        <f t="shared" ca="1" si="4"/>
        <v>1.8820478624879604</v>
      </c>
      <c r="J14" s="17">
        <f t="shared" ca="1" si="4"/>
        <v>1.7256550053006212</v>
      </c>
      <c r="K14" s="17">
        <f t="shared" ca="1" si="4"/>
        <v>1.5731916218951958</v>
      </c>
      <c r="L14" s="17">
        <v>1.3561878362954509</v>
      </c>
      <c r="M14" s="17">
        <v>1.3340185426018374</v>
      </c>
      <c r="N14" s="17">
        <v>1.2528459046737623</v>
      </c>
      <c r="O14" s="17">
        <v>1.2096689936838108</v>
      </c>
      <c r="P14" s="17">
        <v>1.1931017491993101</v>
      </c>
      <c r="Q14" s="17">
        <v>1.0665178344918564</v>
      </c>
      <c r="R14" s="17">
        <v>0.94084815606906258</v>
      </c>
      <c r="S14" s="17">
        <v>1.1129208570179274</v>
      </c>
      <c r="T14" s="17">
        <v>1.2869051754081278</v>
      </c>
      <c r="U14" s="17">
        <v>1.2958359585314163</v>
      </c>
      <c r="V14" s="37">
        <v>1.1274182368139138</v>
      </c>
      <c r="W14" s="56"/>
      <c r="X14" s="56"/>
      <c r="Y14" s="56"/>
    </row>
    <row r="15" spans="1:25" x14ac:dyDescent="0.25">
      <c r="A15" t="str">
        <f>IFERROR(INDEX('2019 Data (WP)'!$C$9:$C$73,MATCH($B15,'2019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3"/>
        <v>1.5541309144398137</v>
      </c>
      <c r="H15" s="17">
        <f t="shared" ca="1" si="4"/>
        <v>1.9457096010202224</v>
      </c>
      <c r="I15" s="17">
        <f t="shared" ca="1" si="4"/>
        <v>1.6055230079489506</v>
      </c>
      <c r="J15" s="17">
        <f t="shared" ca="1" si="4"/>
        <v>2.0625959459882828</v>
      </c>
      <c r="K15" s="17">
        <f t="shared" ca="1" si="4"/>
        <v>1.9380103811948293</v>
      </c>
      <c r="L15" s="17">
        <v>1.5948314999126942</v>
      </c>
      <c r="M15" s="17">
        <v>1.7853780475927667</v>
      </c>
      <c r="N15" s="17">
        <v>1.6197087246495168</v>
      </c>
      <c r="O15" s="17">
        <v>1.2104659086833327</v>
      </c>
      <c r="P15" s="17">
        <v>1.1419439198024117</v>
      </c>
      <c r="Q15" s="17">
        <v>1.0721296263249938</v>
      </c>
      <c r="R15" s="17">
        <v>0.82718488451452998</v>
      </c>
      <c r="S15" s="17">
        <v>1.2225368688168878</v>
      </c>
      <c r="T15" s="17">
        <v>1.5690179267342168</v>
      </c>
      <c r="U15" s="17">
        <v>1.4717857746240919</v>
      </c>
      <c r="V15" s="37">
        <v>1.6347318824321293</v>
      </c>
      <c r="W15" s="56"/>
      <c r="X15" s="56"/>
      <c r="Y15" s="56"/>
    </row>
    <row r="16" spans="1:25" x14ac:dyDescent="0.25">
      <c r="A16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3"/>
        <v>2.6764818355640538</v>
      </c>
      <c r="H16" s="17">
        <f t="shared" ca="1" si="4"/>
        <v>3.205351586807716</v>
      </c>
      <c r="I16" s="17">
        <f t="shared" ca="1" si="4"/>
        <v>2.7128562964913434</v>
      </c>
      <c r="J16" s="17">
        <f t="shared" ca="1" si="4"/>
        <v>2.6068955967875937</v>
      </c>
      <c r="K16" s="17">
        <f t="shared" ca="1" si="4"/>
        <v>2.1780493126772855</v>
      </c>
      <c r="L16" s="17">
        <v>1.7361514948184595</v>
      </c>
      <c r="M16" s="17">
        <v>1.7876106194690264</v>
      </c>
      <c r="N16" s="17">
        <v>1.6367405517461329</v>
      </c>
      <c r="O16" s="17">
        <v>1.6160935838355193</v>
      </c>
      <c r="P16" s="17">
        <v>1.7010318862136282</v>
      </c>
      <c r="Q16" s="17">
        <v>1.7571032239548456</v>
      </c>
      <c r="R16" s="17">
        <v>1.8951421800947865</v>
      </c>
      <c r="S16" s="17">
        <v>1.931495577041761</v>
      </c>
      <c r="T16" s="17">
        <v>2.1132136678200695</v>
      </c>
      <c r="U16" s="17">
        <v>2.1591535324589439</v>
      </c>
      <c r="W16" s="56"/>
      <c r="X16" s="56"/>
      <c r="Y16" s="56"/>
    </row>
    <row r="17" spans="1:25" x14ac:dyDescent="0.25">
      <c r="A17" t="str">
        <f>IFERROR(INDEX('2019 Data (WP)'!$C$9:$C$73,MATCH($B17,'2019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3"/>
        <v>1.9046735905044507</v>
      </c>
      <c r="H17" s="17">
        <f t="shared" ca="1" si="4"/>
        <v>2.2120125162176603</v>
      </c>
      <c r="I17" s="17">
        <f t="shared" ca="1" si="4"/>
        <v>2.1842777334397447</v>
      </c>
      <c r="J17" s="17">
        <f t="shared" ca="1" si="4"/>
        <v>2.5850496506068406</v>
      </c>
      <c r="K17" s="17">
        <f t="shared" ca="1" si="4"/>
        <v>2.7271595718197656</v>
      </c>
      <c r="L17" s="17">
        <v>2.4283761958007206</v>
      </c>
      <c r="M17" s="17">
        <v>2.2717668144514667</v>
      </c>
      <c r="N17" s="17">
        <v>2.3036369041720346</v>
      </c>
      <c r="O17" s="17">
        <v>1.9919499105545617</v>
      </c>
      <c r="P17" s="17">
        <v>1.8678102926337035</v>
      </c>
      <c r="Q17" s="17">
        <v>1.9583001328021248</v>
      </c>
      <c r="R17" s="17">
        <v>1.7703384798099764</v>
      </c>
      <c r="S17" s="17">
        <v>2.4896364254162417</v>
      </c>
      <c r="T17" s="17">
        <v>3.1292565519700482</v>
      </c>
      <c r="U17" s="17">
        <v>2.7518645434388227</v>
      </c>
      <c r="V17" s="37">
        <v>3.0572318007662833</v>
      </c>
      <c r="W17" s="56"/>
      <c r="X17" s="56"/>
      <c r="Y17" s="56"/>
    </row>
    <row r="18" spans="1:25" x14ac:dyDescent="0.25">
      <c r="A18" t="str">
        <f>IFERROR(INDEX('2019 Data (WP)'!$C$9:$C$73,MATCH($B18,'2019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3"/>
        <v>N/A</v>
      </c>
      <c r="H18" s="17" t="str">
        <f t="shared" ca="1" si="4"/>
        <v>N/A</v>
      </c>
      <c r="I18" s="17" t="str">
        <f t="shared" ca="1" si="4"/>
        <v>N/A</v>
      </c>
      <c r="J18" s="17" t="str">
        <f t="shared" ca="1" si="4"/>
        <v>N/A</v>
      </c>
      <c r="K18" s="17" t="str">
        <f t="shared" ca="1" si="4"/>
        <v>N/A</v>
      </c>
      <c r="L18" s="17" t="s">
        <v>106</v>
      </c>
      <c r="M18" s="17" t="s">
        <v>106</v>
      </c>
      <c r="N18" s="17" t="s">
        <v>106</v>
      </c>
      <c r="O18" s="17" t="s">
        <v>106</v>
      </c>
      <c r="P18" s="17" t="s">
        <v>106</v>
      </c>
      <c r="Q18" s="17" t="s">
        <v>106</v>
      </c>
      <c r="R18" s="17" t="s">
        <v>106</v>
      </c>
      <c r="S18" s="17" t="s">
        <v>106</v>
      </c>
      <c r="T18" s="17" t="s">
        <v>106</v>
      </c>
      <c r="U18" s="17" t="s">
        <v>106</v>
      </c>
      <c r="V18" s="37" t="s">
        <v>106</v>
      </c>
      <c r="W18" s="56"/>
      <c r="X18" s="56"/>
      <c r="Y18" s="56"/>
    </row>
    <row r="19" spans="1:25" x14ac:dyDescent="0.25">
      <c r="A19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3"/>
        <v>2.2745490981963927</v>
      </c>
      <c r="H19" s="17">
        <f t="shared" ca="1" si="4"/>
        <v>2.688564334745144</v>
      </c>
      <c r="I19" s="17">
        <f t="shared" ca="1" si="4"/>
        <v>2.4999368168319958</v>
      </c>
      <c r="J19" s="17">
        <f t="shared" ca="1" si="4"/>
        <v>2.5079823883305887</v>
      </c>
      <c r="K19" s="17">
        <f t="shared" ca="1" si="4"/>
        <v>2.2760498519790944</v>
      </c>
      <c r="L19" s="17">
        <v>2.1877371764806206</v>
      </c>
      <c r="M19" s="17">
        <v>2.1239191683668515</v>
      </c>
      <c r="N19" s="17">
        <v>1.831034125090758</v>
      </c>
      <c r="O19" s="17">
        <v>1.6558011669658885</v>
      </c>
      <c r="P19" s="17">
        <v>1.6144951722493743</v>
      </c>
      <c r="Q19" s="17">
        <v>1.403700429401364</v>
      </c>
      <c r="R19" s="17">
        <v>1.3671659837442065</v>
      </c>
      <c r="S19" s="17">
        <v>1.6393742719254452</v>
      </c>
      <c r="T19" s="17">
        <v>1.8378677095732019</v>
      </c>
      <c r="U19" s="17">
        <v>1.8481949458483755</v>
      </c>
      <c r="W19" s="57"/>
      <c r="X19" s="57"/>
      <c r="Y19" s="57"/>
    </row>
    <row r="20" spans="1:25" x14ac:dyDescent="0.25">
      <c r="A20" t="str">
        <f>IFERROR(INDEX('2019 Data (WP)'!$C$9:$C$73,MATCH($B20,'2019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3"/>
        <v>N/A</v>
      </c>
      <c r="H20" s="17" t="str">
        <f t="shared" ca="1" si="4"/>
        <v>N/A</v>
      </c>
      <c r="I20" s="17" t="str">
        <f t="shared" ca="1" si="4"/>
        <v>N/A</v>
      </c>
      <c r="J20" s="17" t="str">
        <f t="shared" ca="1" si="4"/>
        <v>N/A</v>
      </c>
      <c r="K20" s="17" t="str">
        <f t="shared" ca="1" si="4"/>
        <v>N/A</v>
      </c>
      <c r="L20" s="17" t="s">
        <v>106</v>
      </c>
      <c r="M20" s="17" t="s">
        <v>106</v>
      </c>
      <c r="N20" s="17" t="s">
        <v>106</v>
      </c>
      <c r="O20" s="17" t="s">
        <v>106</v>
      </c>
      <c r="P20" s="17" t="s">
        <v>106</v>
      </c>
      <c r="Q20" s="17" t="s">
        <v>106</v>
      </c>
      <c r="R20" s="17" t="s">
        <v>106</v>
      </c>
      <c r="S20" s="17" t="s">
        <v>106</v>
      </c>
      <c r="T20" s="17" t="s">
        <v>106</v>
      </c>
      <c r="U20" s="17" t="s">
        <v>106</v>
      </c>
      <c r="V20" s="37" t="s">
        <v>106</v>
      </c>
      <c r="W20" s="56"/>
      <c r="X20" s="56"/>
      <c r="Y20" s="56"/>
    </row>
    <row r="21" spans="1:25" x14ac:dyDescent="0.25">
      <c r="A21" t="str">
        <f>IFERROR(INDEX('2019 Data (WP)'!$C$9:$C$73,MATCH($B21,'2019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3"/>
        <v>3.2365806214184323</v>
      </c>
      <c r="H21" s="17">
        <f t="shared" ca="1" si="4"/>
        <v>3.2828534253549813</v>
      </c>
      <c r="I21" s="17">
        <f t="shared" ca="1" si="4"/>
        <v>2.8084028605482714</v>
      </c>
      <c r="J21" s="17">
        <f t="shared" ca="1" si="4"/>
        <v>2.9334728564180619</v>
      </c>
      <c r="K21" s="17">
        <f t="shared" ca="1" si="4"/>
        <v>2.7223608193277311</v>
      </c>
      <c r="L21" s="17">
        <v>2.4331362612612613</v>
      </c>
      <c r="M21" s="17">
        <v>2.2570485902819435</v>
      </c>
      <c r="N21" s="17">
        <v>2.0875192604006161</v>
      </c>
      <c r="O21" s="17">
        <v>1.9063998677029934</v>
      </c>
      <c r="P21" s="17">
        <v>1.656624989510783</v>
      </c>
      <c r="Q21" s="17">
        <v>1.4805183199285077</v>
      </c>
      <c r="R21" s="17">
        <v>1.1041338237870031</v>
      </c>
      <c r="S21" s="17">
        <v>1.2286265857694429</v>
      </c>
      <c r="T21" s="17">
        <v>1.8154529119543386</v>
      </c>
      <c r="U21" s="17">
        <v>1.4156362185879536</v>
      </c>
      <c r="V21" s="37">
        <v>1.3162092868673441</v>
      </c>
      <c r="W21" s="56"/>
      <c r="X21" s="56"/>
      <c r="Y21" s="56"/>
    </row>
    <row r="22" spans="1:25" x14ac:dyDescent="0.25">
      <c r="A22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 t="str">
        <f t="shared" ca="1" si="3"/>
        <v>N/A</v>
      </c>
      <c r="H22" s="17" t="str">
        <f t="shared" ca="1" si="4"/>
        <v>N/A</v>
      </c>
      <c r="I22" s="17">
        <f t="shared" ca="1" si="4"/>
        <v>2.6198262437505124</v>
      </c>
      <c r="J22" s="17">
        <f t="shared" ca="1" si="4"/>
        <v>2.3217323417019351</v>
      </c>
      <c r="K22" s="17">
        <f t="shared" ca="1" si="4"/>
        <v>2.3082018777105273</v>
      </c>
      <c r="L22" s="17">
        <v>1.7919540229885056</v>
      </c>
      <c r="M22" s="17">
        <v>1.786658877263795</v>
      </c>
      <c r="N22" s="17">
        <v>1.7018699413898968</v>
      </c>
      <c r="O22" s="17">
        <v>1.4159744103886183</v>
      </c>
      <c r="P22" s="17">
        <v>1.9252426465140402</v>
      </c>
      <c r="Q22" s="17">
        <v>1.7904177845917977</v>
      </c>
      <c r="R22" s="17">
        <v>1.7286503551696923</v>
      </c>
      <c r="S22" s="17">
        <v>2.0114444535273441</v>
      </c>
      <c r="T22" s="17">
        <v>2.0210041841004185</v>
      </c>
      <c r="U22" s="17">
        <v>2.0237109846525261</v>
      </c>
      <c r="W22" s="56"/>
      <c r="X22" s="56"/>
      <c r="Y22" s="56"/>
    </row>
    <row r="23" spans="1:25" x14ac:dyDescent="0.25">
      <c r="A23" t="str">
        <f>IFERROR(INDEX('2019 Data (WP)'!$C$9:$C$73,MATCH($B23,'2019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3"/>
        <v>1.4365237922266618</v>
      </c>
      <c r="H23" s="17">
        <f t="shared" ca="1" si="4"/>
        <v>1.5892026578073088</v>
      </c>
      <c r="I23" s="17">
        <f t="shared" ca="1" si="4"/>
        <v>1.4931101984416382</v>
      </c>
      <c r="J23" s="17">
        <f t="shared" ca="1" si="4"/>
        <v>1.6301196340605209</v>
      </c>
      <c r="K23" s="17">
        <f t="shared" ca="1" si="4"/>
        <v>1.5802171548027901</v>
      </c>
      <c r="L23" s="17">
        <v>1.4172989718493243</v>
      </c>
      <c r="M23" s="17">
        <v>1.3405449464368888</v>
      </c>
      <c r="N23" s="17">
        <v>1.3839033723989476</v>
      </c>
      <c r="O23" s="17">
        <v>1.4658737600552729</v>
      </c>
      <c r="P23" s="17">
        <v>1.3783486144547459</v>
      </c>
      <c r="Q23" s="17">
        <v>1.2164777221196941</v>
      </c>
      <c r="R23" s="17">
        <v>1.0805332309295883</v>
      </c>
      <c r="S23" s="17">
        <v>1.1650860852384985</v>
      </c>
      <c r="T23" s="17">
        <v>1.4720704683567614</v>
      </c>
      <c r="U23" s="17">
        <v>1.4693299880986845</v>
      </c>
      <c r="V23" s="37">
        <v>1.5179182605194284</v>
      </c>
      <c r="W23" s="56"/>
      <c r="X23" s="56"/>
      <c r="Y23" s="56"/>
    </row>
    <row r="24" spans="1:25" x14ac:dyDescent="0.25">
      <c r="A24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3"/>
        <v>1.2933923192771084</v>
      </c>
      <c r="H24" s="17">
        <f t="shared" ca="1" si="4"/>
        <v>1.3207720588235292</v>
      </c>
      <c r="I24" s="17">
        <f t="shared" ca="1" si="4"/>
        <v>1.2764455617868884</v>
      </c>
      <c r="J24" s="17">
        <f t="shared" ca="1" si="4"/>
        <v>1.1995158361912446</v>
      </c>
      <c r="K24" s="17">
        <f t="shared" ca="1" si="4"/>
        <v>1.2358770048013077</v>
      </c>
      <c r="L24" s="17">
        <v>1.1795943328916523</v>
      </c>
      <c r="M24" s="17">
        <v>1.2405763809126031</v>
      </c>
      <c r="N24" s="17">
        <v>1.2297998517420312</v>
      </c>
      <c r="O24" s="17">
        <v>0.86405655247417079</v>
      </c>
      <c r="P24" s="17">
        <v>1.0645161290322578</v>
      </c>
      <c r="Q24" s="17">
        <v>1.3299182686773341</v>
      </c>
      <c r="R24" s="17">
        <v>1.6504160318762453</v>
      </c>
      <c r="S24" s="17">
        <v>2.2590865614538496</v>
      </c>
      <c r="T24" s="17">
        <v>3.4032866707242846</v>
      </c>
      <c r="U24" s="17">
        <v>3.3919604700854702</v>
      </c>
      <c r="W24" s="56"/>
      <c r="X24" s="56"/>
      <c r="Y24" s="56"/>
    </row>
    <row r="25" spans="1:25" x14ac:dyDescent="0.25">
      <c r="A25" t="str">
        <f>IFERROR(INDEX('2019 Data (WP)'!$C$9:$C$73,MATCH($B25,'2019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3"/>
        <v>2.7163575844032333</v>
      </c>
      <c r="H25" s="17">
        <f t="shared" ca="1" si="4"/>
        <v>2.1824177068296962</v>
      </c>
      <c r="I25" s="17">
        <f t="shared" ca="1" si="4"/>
        <v>2.3988147646461226</v>
      </c>
      <c r="J25" s="17">
        <f t="shared" ca="1" si="4"/>
        <v>2.9432181401120596</v>
      </c>
      <c r="K25" s="17">
        <f t="shared" ca="1" si="4"/>
        <v>3.1532840440165066</v>
      </c>
      <c r="L25" s="17">
        <v>3.3353893963650063</v>
      </c>
      <c r="M25" s="17">
        <v>3.5490831729308074</v>
      </c>
      <c r="N25" s="17">
        <v>2.9701813096248939</v>
      </c>
      <c r="O25" s="17">
        <v>2.8351504579153946</v>
      </c>
      <c r="P25" s="17">
        <v>2.3725051017868695</v>
      </c>
      <c r="Q25" s="17">
        <v>2.0075038729666925</v>
      </c>
      <c r="R25" s="17">
        <v>1.8027331189710611</v>
      </c>
      <c r="S25" s="17">
        <v>2.4243301116962788</v>
      </c>
      <c r="T25" s="17">
        <v>2.6941190899613665</v>
      </c>
      <c r="U25" s="17">
        <v>2.0725945945945949</v>
      </c>
      <c r="V25" s="37">
        <v>2.4960561497326204</v>
      </c>
      <c r="W25" s="56"/>
      <c r="X25" s="56"/>
      <c r="Y25" s="56"/>
    </row>
    <row r="26" spans="1:25" x14ac:dyDescent="0.25">
      <c r="A26" t="str">
        <f>IFERROR(INDEX('2019 Data (WP)'!$C$9:$C$73,MATCH($B26,'2019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3"/>
        <v>1.7999750475655782</v>
      </c>
      <c r="H26" s="17">
        <f t="shared" ca="1" si="4"/>
        <v>2.0651944801238349</v>
      </c>
      <c r="I26" s="17">
        <f t="shared" ca="1" si="4"/>
        <v>1.9085480717966945</v>
      </c>
      <c r="J26" s="17">
        <f t="shared" ca="1" si="4"/>
        <v>2.0091843470061295</v>
      </c>
      <c r="K26" s="17">
        <f t="shared" ca="1" si="4"/>
        <v>1.8241303092455046</v>
      </c>
      <c r="L26" s="17">
        <v>1.6454160443562411</v>
      </c>
      <c r="M26" s="17">
        <v>1.6164980445502464</v>
      </c>
      <c r="N26" s="17">
        <v>1.5059804601041831</v>
      </c>
      <c r="O26" s="17">
        <v>1.3504523247387736</v>
      </c>
      <c r="P26" s="17">
        <v>1.1971844589863088</v>
      </c>
      <c r="Q26" s="17">
        <v>1.1562444864524262</v>
      </c>
      <c r="R26" s="17">
        <v>0.88860786173464013</v>
      </c>
      <c r="S26" s="17">
        <v>1.0994969408565602</v>
      </c>
      <c r="T26" s="17">
        <v>1.3549655576317037</v>
      </c>
      <c r="U26" s="17">
        <v>1.2934068263726946</v>
      </c>
      <c r="V26" s="37">
        <v>1.3905498705461719</v>
      </c>
      <c r="W26" s="56"/>
      <c r="X26" s="56"/>
      <c r="Y26" s="56"/>
    </row>
    <row r="27" spans="1:25" x14ac:dyDescent="0.25">
      <c r="A27" t="str">
        <f>IFERROR(INDEX('2019 Data (WP)'!$C$9:$C$73,MATCH($B27,'2019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3"/>
        <v>1.4676117082629845</v>
      </c>
      <c r="H27" s="17">
        <f t="shared" ca="1" si="4"/>
        <v>1.4668714563487524</v>
      </c>
      <c r="I27" s="17">
        <f t="shared" ca="1" si="4"/>
        <v>1.3303081083771631</v>
      </c>
      <c r="J27" s="17">
        <f t="shared" ca="1" si="4"/>
        <v>1.4102168480721822</v>
      </c>
      <c r="K27" s="17">
        <f t="shared" ca="1" si="4"/>
        <v>1.3450075913952815</v>
      </c>
      <c r="L27" s="17">
        <v>1.2935593924804738</v>
      </c>
      <c r="M27" s="17">
        <v>1.2795814235060106</v>
      </c>
      <c r="N27" s="17">
        <v>1.1862967834509148</v>
      </c>
      <c r="O27" s="17">
        <v>1.1162221762800635</v>
      </c>
      <c r="P27" s="17">
        <v>1.1141767696519358</v>
      </c>
      <c r="Q27" s="17">
        <v>1.0029108073556889</v>
      </c>
      <c r="R27" s="17">
        <v>0.90554039958276511</v>
      </c>
      <c r="S27" s="17">
        <v>1.0578123421876577</v>
      </c>
      <c r="T27" s="17">
        <v>1.1521061925831861</v>
      </c>
      <c r="U27" s="17" t="s">
        <v>106</v>
      </c>
      <c r="V27" s="37" t="s">
        <v>106</v>
      </c>
      <c r="W27" s="56"/>
      <c r="X27" s="56"/>
      <c r="Y27" s="56"/>
    </row>
    <row r="28" spans="1:25" x14ac:dyDescent="0.25">
      <c r="A28" t="str">
        <f>IFERROR(INDEX('2019 Data (WP)'!$C$9:$C$73,MATCH($B28,'2019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3"/>
        <v>1.6202832097100472</v>
      </c>
      <c r="H28" s="17">
        <f t="shared" ca="1" si="4"/>
        <v>1.8039727891156465</v>
      </c>
      <c r="I28" s="17">
        <f t="shared" ca="1" si="4"/>
        <v>1.9680383788667022</v>
      </c>
      <c r="J28" s="17">
        <f t="shared" ca="1" si="4"/>
        <v>2.1698724212054383</v>
      </c>
      <c r="K28" s="17">
        <f t="shared" ca="1" si="4"/>
        <v>1.9175968929085525</v>
      </c>
      <c r="L28" s="17">
        <v>1.756384167836978</v>
      </c>
      <c r="M28" s="17">
        <v>1.6797764499539225</v>
      </c>
      <c r="N28" s="17">
        <v>1.5737984394465936</v>
      </c>
      <c r="O28" s="17">
        <v>1.5256140108466612</v>
      </c>
      <c r="P28" s="17">
        <v>1.2358316321570915</v>
      </c>
      <c r="Q28" s="17">
        <v>1.065563158868134</v>
      </c>
      <c r="R28" s="17">
        <v>1.0424433040887271</v>
      </c>
      <c r="S28" s="17">
        <v>1.5568298527901403</v>
      </c>
      <c r="T28" s="17">
        <v>2.0532469035768028</v>
      </c>
      <c r="U28" s="17">
        <v>1.8003888254934277</v>
      </c>
      <c r="V28" s="37">
        <v>1.9313401960301435</v>
      </c>
      <c r="W28" s="56"/>
      <c r="X28" s="56"/>
      <c r="Y28" s="56"/>
    </row>
    <row r="29" spans="1:25" x14ac:dyDescent="0.25">
      <c r="A29" t="str">
        <f>IFERROR(INDEX('2019 Data (WP)'!$C$9:$C$73,MATCH($B29,'2019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 t="str">
        <f t="shared" ca="1" si="3"/>
        <v>N/A</v>
      </c>
      <c r="H29" s="17" t="str">
        <f t="shared" ca="1" si="4"/>
        <v>N/A</v>
      </c>
      <c r="I29" s="17">
        <f t="shared" ca="1" si="4"/>
        <v>1.9422680412371136</v>
      </c>
      <c r="J29" s="17">
        <f t="shared" ca="1" si="4"/>
        <v>1.873112319226806</v>
      </c>
      <c r="K29" s="17">
        <f t="shared" ca="1" si="4"/>
        <v>1.6815627710525325</v>
      </c>
      <c r="L29" s="17">
        <v>1.4802864531529738</v>
      </c>
      <c r="M29" s="17">
        <v>1.5248677682561811</v>
      </c>
      <c r="N29" s="17">
        <v>1.490315699658703</v>
      </c>
      <c r="O29" s="17">
        <v>1.590411824767832</v>
      </c>
      <c r="P29" s="17">
        <v>1.641753390097761</v>
      </c>
      <c r="Q29" s="17">
        <v>1.165686068501786</v>
      </c>
      <c r="R29" s="17">
        <v>0.9839552692354443</v>
      </c>
      <c r="S29" s="17">
        <v>1.330380810758389</v>
      </c>
      <c r="T29" s="17">
        <v>1.6851161845403428</v>
      </c>
      <c r="U29" s="17">
        <v>1.7050702213758631</v>
      </c>
      <c r="V29" s="37">
        <v>1.7572244332929572</v>
      </c>
      <c r="W29" s="56"/>
      <c r="X29" s="56"/>
      <c r="Y29" s="56"/>
    </row>
    <row r="30" spans="1:25" x14ac:dyDescent="0.25">
      <c r="A30" t="str">
        <f>IFERROR(INDEX('2019 Data (WP)'!$C$9:$C$73,MATCH($B30,'2019 Data (WP)'!$D$9:$D$73,0)),"")</f>
        <v/>
      </c>
      <c r="B30" t="s">
        <v>16</v>
      </c>
      <c r="C30" t="s">
        <v>102</v>
      </c>
      <c r="D30" s="35">
        <f t="shared" ca="1" si="1"/>
        <v>29</v>
      </c>
      <c r="E30" s="35">
        <f t="shared" ca="1" si="2"/>
        <v>29</v>
      </c>
      <c r="F30" s="35"/>
      <c r="G30" s="17" t="str">
        <f t="shared" ca="1" si="3"/>
        <v>N/A</v>
      </c>
      <c r="H30" s="17" t="str">
        <f t="shared" ca="1" si="4"/>
        <v>N/A</v>
      </c>
      <c r="I30" s="17" t="str">
        <f t="shared" ca="1" si="4"/>
        <v>N/A</v>
      </c>
      <c r="J30" s="17" t="str">
        <f t="shared" ca="1" si="4"/>
        <v>N/A</v>
      </c>
      <c r="K30" s="17" t="str">
        <f t="shared" ca="1" si="4"/>
        <v>N/A</v>
      </c>
      <c r="L30" s="17">
        <v>1.3175391669850975</v>
      </c>
      <c r="M30" s="17">
        <v>1.3948931446017208</v>
      </c>
      <c r="N30" s="17">
        <v>1.2735984392035349</v>
      </c>
      <c r="O30" s="17">
        <v>1.2311197916666665</v>
      </c>
      <c r="P30" s="17">
        <v>1.2490321800145174</v>
      </c>
      <c r="Q30" s="17">
        <v>1.2391730416640325</v>
      </c>
      <c r="R30" s="17">
        <v>1.0744268749603099</v>
      </c>
      <c r="S30" s="17">
        <v>1.2971792070937478</v>
      </c>
      <c r="T30" s="17">
        <v>1.4743829468960359</v>
      </c>
      <c r="U30" s="17">
        <v>1.4487121554450972</v>
      </c>
      <c r="V30" s="37">
        <v>1.4943641426866463</v>
      </c>
      <c r="W30" s="56"/>
      <c r="X30" s="56"/>
      <c r="Y30" s="56"/>
    </row>
    <row r="31" spans="1:25" x14ac:dyDescent="0.25">
      <c r="A31" t="str">
        <f>IFERROR(INDEX('2019 Data (WP)'!$C$9:$C$73,MATCH($B31,'2019 Data (WP)'!$D$9:$D$73,0)),"")</f>
        <v>Electric Util. (Central)</v>
      </c>
      <c r="B31" t="s">
        <v>17</v>
      </c>
      <c r="C31" t="s">
        <v>55</v>
      </c>
      <c r="D31" s="35">
        <f t="shared" ca="1" si="1"/>
        <v>30</v>
      </c>
      <c r="E31" s="35">
        <f t="shared" ca="1" si="2"/>
        <v>30</v>
      </c>
      <c r="F31" s="35"/>
      <c r="G31" s="17">
        <f t="shared" ca="1" si="3"/>
        <v>1.9290557876988492</v>
      </c>
      <c r="H31" s="17">
        <f t="shared" ca="1" si="4"/>
        <v>2.025303387420379</v>
      </c>
      <c r="I31" s="17">
        <f t="shared" ca="1" si="4"/>
        <v>1.7356832902246639</v>
      </c>
      <c r="J31" s="17">
        <f t="shared" ca="1" si="4"/>
        <v>1.7593730237600504</v>
      </c>
      <c r="K31" s="17">
        <f t="shared" ca="1" si="4"/>
        <v>1.6655141077642575</v>
      </c>
      <c r="L31" s="17">
        <v>1.4028444238885356</v>
      </c>
      <c r="M31" s="17">
        <v>1.3316258910341368</v>
      </c>
      <c r="N31" s="17">
        <v>1.2136587533795045</v>
      </c>
      <c r="O31" s="17">
        <v>1.3062928951184145</v>
      </c>
      <c r="P31" s="17">
        <v>1.3464202778761758</v>
      </c>
      <c r="Q31" s="17">
        <v>1.6211894894073591</v>
      </c>
      <c r="R31" s="17">
        <v>1.6572840048303874</v>
      </c>
      <c r="S31" s="17">
        <v>2.4398992179886383</v>
      </c>
      <c r="T31" s="17">
        <v>2.6549835437441667</v>
      </c>
      <c r="U31" s="17">
        <v>1.8917428924598267</v>
      </c>
      <c r="V31" s="37">
        <v>2.0062729283934018</v>
      </c>
      <c r="W31" s="56"/>
      <c r="X31" s="56"/>
      <c r="Y31" s="56"/>
    </row>
    <row r="32" spans="1:25" x14ac:dyDescent="0.25">
      <c r="A32" t="str">
        <f>IFERROR(INDEX('2019 Data (WP)'!$C$9:$C$73,MATCH($B32,'2019 Data (WP)'!$D$9:$D$73,0)),"")</f>
        <v>Electric Utility (East)</v>
      </c>
      <c r="B32" t="s">
        <v>211</v>
      </c>
      <c r="C32" t="s">
        <v>212</v>
      </c>
      <c r="D32" s="35">
        <f t="shared" ca="1" si="1"/>
        <v>31</v>
      </c>
      <c r="E32" s="35">
        <f t="shared" ca="1" si="2"/>
        <v>31</v>
      </c>
      <c r="F32" s="35"/>
      <c r="G32" s="17">
        <f t="shared" ca="1" si="3"/>
        <v>2.1064940132172558</v>
      </c>
      <c r="H32" s="17">
        <f t="shared" ca="1" si="4"/>
        <v>1.9924517460234543</v>
      </c>
      <c r="I32" s="17">
        <f t="shared" ca="1" si="4"/>
        <v>1.6793014979723577</v>
      </c>
      <c r="J32" s="17">
        <f t="shared" ca="1" si="4"/>
        <v>1.7303701586394169</v>
      </c>
      <c r="K32" s="17">
        <f t="shared" ca="1" si="4"/>
        <v>1.6367482176138213</v>
      </c>
      <c r="L32" s="17">
        <v>1.5314826730398012</v>
      </c>
      <c r="M32" s="17">
        <v>1.4689267331765901</v>
      </c>
      <c r="N32" s="17">
        <v>1.3836843141113953</v>
      </c>
      <c r="O32" s="17">
        <v>1.275873793009656</v>
      </c>
      <c r="P32" s="17">
        <v>1.5045033112582782</v>
      </c>
      <c r="Q32" s="17">
        <v>1.3051067179036067</v>
      </c>
      <c r="R32" s="17">
        <v>1.1212879791881412</v>
      </c>
      <c r="S32" s="17">
        <v>1.3111134041894539</v>
      </c>
      <c r="T32" s="17">
        <v>1.5980055758095646</v>
      </c>
      <c r="U32" s="17">
        <v>1.2232265887670175</v>
      </c>
      <c r="V32" s="37">
        <v>1.0488055901630464</v>
      </c>
      <c r="W32" s="56"/>
      <c r="X32" s="56"/>
      <c r="Y32" s="56"/>
    </row>
    <row r="33" spans="1:25" x14ac:dyDescent="0.25">
      <c r="A33" t="str">
        <f>IFERROR(INDEX('2019 Data (WP)'!$C$9:$C$73,MATCH($B33,'2019 Data (WP)'!$D$9:$D$73,0)),"")</f>
        <v>Electric Utility (East)</v>
      </c>
      <c r="B33" t="s">
        <v>18</v>
      </c>
      <c r="C33" t="s">
        <v>69</v>
      </c>
      <c r="D33" s="35">
        <f t="shared" ca="1" si="1"/>
        <v>32</v>
      </c>
      <c r="E33" s="35">
        <f t="shared" ca="1" si="2"/>
        <v>32</v>
      </c>
      <c r="F33" s="35"/>
      <c r="G33" s="17">
        <f t="shared" ca="1" si="3"/>
        <v>1.1985862337506739</v>
      </c>
      <c r="H33" s="17">
        <f t="shared" ca="1" si="4"/>
        <v>1.4313364333595022</v>
      </c>
      <c r="I33" s="17">
        <f t="shared" ca="1" si="4"/>
        <v>1.3088906372934699</v>
      </c>
      <c r="J33" s="17">
        <f t="shared" ca="1" si="4"/>
        <v>1.2028845223114897</v>
      </c>
      <c r="K33" s="17">
        <f t="shared" ca="1" si="4"/>
        <v>1.2026036264797395</v>
      </c>
      <c r="L33" s="17">
        <v>1.1392752692774093</v>
      </c>
      <c r="M33" s="17">
        <v>1.2793519187616476</v>
      </c>
      <c r="N33" s="17">
        <v>1.1702368381354655</v>
      </c>
      <c r="O33" s="17">
        <v>1.460992342054882</v>
      </c>
      <c r="P33" s="17">
        <v>1.9543463223426334</v>
      </c>
      <c r="Q33" s="17">
        <v>2.0720909800859042</v>
      </c>
      <c r="R33" s="17">
        <v>2.5723680776658489</v>
      </c>
      <c r="S33" s="17">
        <v>4.389991063449509</v>
      </c>
      <c r="T33" s="17">
        <v>4.7874046548014864</v>
      </c>
      <c r="U33" s="17">
        <v>3.8856797420741538</v>
      </c>
      <c r="V33" s="37">
        <v>3.6030378267854535</v>
      </c>
      <c r="W33" s="56"/>
      <c r="X33" s="56"/>
      <c r="Y33" s="56"/>
    </row>
    <row r="34" spans="1:25" x14ac:dyDescent="0.25">
      <c r="A34" t="str">
        <f>IFERROR(INDEX('2019 Data (WP)'!$C$9:$C$73,MATCH($B34,'2019 Data (WP)'!$D$9:$D$73,0)),"")</f>
        <v>Electric Utility (East)</v>
      </c>
      <c r="B34" t="s">
        <v>19</v>
      </c>
      <c r="C34" t="s">
        <v>66</v>
      </c>
      <c r="D34" s="35">
        <f t="shared" ca="1" si="1"/>
        <v>33</v>
      </c>
      <c r="E34" s="35">
        <f t="shared" ca="1" si="2"/>
        <v>33</v>
      </c>
      <c r="F34" s="35"/>
      <c r="G34" s="17">
        <f t="shared" ca="1" si="3"/>
        <v>2.8093058161350846</v>
      </c>
      <c r="H34" s="17">
        <f t="shared" ca="1" si="4"/>
        <v>3.3909774436090228</v>
      </c>
      <c r="I34" s="17">
        <f t="shared" ca="1" si="4"/>
        <v>2.6731703613726085</v>
      </c>
      <c r="J34" s="17">
        <f t="shared" ca="1" si="4"/>
        <v>3.5336963921034719</v>
      </c>
      <c r="K34" s="17">
        <f t="shared" ca="1" si="4"/>
        <v>2.3686299525125802</v>
      </c>
      <c r="L34" s="17">
        <v>1.1609548167092925</v>
      </c>
      <c r="M34" s="17">
        <v>1.1467078049772834</v>
      </c>
      <c r="N34" s="17">
        <v>1.2788442509400355</v>
      </c>
      <c r="O34" s="17">
        <v>1.4362154387086463</v>
      </c>
      <c r="P34" s="17">
        <v>1.3256282673049065</v>
      </c>
      <c r="Q34" s="17">
        <v>1.3620148401826484</v>
      </c>
      <c r="R34" s="17">
        <v>1.5400505752039035</v>
      </c>
      <c r="S34" s="17">
        <v>2.5216399234506111</v>
      </c>
      <c r="T34" s="17">
        <v>2.2335902747122143</v>
      </c>
      <c r="U34" s="17">
        <v>1.9202967673555909</v>
      </c>
      <c r="V34" s="37">
        <v>1.6378518093049972</v>
      </c>
      <c r="W34" s="56"/>
      <c r="X34" s="56"/>
      <c r="Y34" s="56"/>
    </row>
    <row r="35" spans="1:25" x14ac:dyDescent="0.25">
      <c r="A35" t="str">
        <f>IFERROR(INDEX('2019 Data (WP)'!$C$9:$C$73,MATCH($B35,'2019 Data (WP)'!$D$9:$D$73,0)),"")</f>
        <v>Electric Util. (Central)</v>
      </c>
      <c r="B35" t="s">
        <v>266</v>
      </c>
      <c r="C35" t="s">
        <v>265</v>
      </c>
      <c r="D35" s="35">
        <f t="shared" ca="1" si="1"/>
        <v>34</v>
      </c>
      <c r="E35" s="35">
        <f t="shared" ca="1" si="2"/>
        <v>34</v>
      </c>
      <c r="F35" s="35"/>
      <c r="G35" s="17">
        <f t="shared" ca="1" si="3"/>
        <v>1.4664406594307899</v>
      </c>
      <c r="H35" s="17">
        <f t="shared" ca="1" si="4"/>
        <v>1.411070009590355</v>
      </c>
      <c r="I35" s="17">
        <f t="shared" ca="1" si="4"/>
        <v>1.2369812622140477</v>
      </c>
      <c r="J35" s="17">
        <f t="shared" ca="1" si="4"/>
        <v>1.4072826839554353</v>
      </c>
      <c r="K35" s="17">
        <f t="shared" ca="1" si="4"/>
        <v>1.2634689772551448</v>
      </c>
      <c r="L35" s="17">
        <v>1.3269405435617969</v>
      </c>
      <c r="M35" s="17">
        <v>1.3462542679252862</v>
      </c>
      <c r="N35" s="17">
        <v>1.4540784418833201</v>
      </c>
      <c r="O35" s="17">
        <v>1.5932626325639425</v>
      </c>
      <c r="P35" s="17">
        <v>1.5925871809857781</v>
      </c>
      <c r="Q35" s="17">
        <v>1.5570682285895203</v>
      </c>
      <c r="R35" s="17">
        <v>1.3307124777855568</v>
      </c>
      <c r="S35" s="17">
        <v>1.4760317724823642</v>
      </c>
      <c r="T35" s="17">
        <v>1.627122697919158</v>
      </c>
      <c r="U35" s="17">
        <v>1.9610771113831089</v>
      </c>
      <c r="V35" s="37" t="s">
        <v>106</v>
      </c>
      <c r="W35" s="56"/>
      <c r="X35" s="56"/>
      <c r="Y35" s="56"/>
    </row>
    <row r="36" spans="1:25" x14ac:dyDescent="0.25">
      <c r="A36" t="str">
        <f>IFERROR(INDEX('2019 Data (WP)'!$C$9:$C$73,MATCH($B36,'2019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3"/>
        <v>N/A</v>
      </c>
      <c r="H36" s="17" t="str">
        <f t="shared" ca="1" si="4"/>
        <v>N/A</v>
      </c>
      <c r="I36" s="17" t="str">
        <f t="shared" ca="1" si="4"/>
        <v>N/A</v>
      </c>
      <c r="J36" s="17" t="str">
        <f t="shared" ca="1" si="4"/>
        <v>N/A</v>
      </c>
      <c r="K36" s="17" t="str">
        <f t="shared" ca="1" si="4"/>
        <v>N/A</v>
      </c>
      <c r="L36" s="17" t="s">
        <v>106</v>
      </c>
      <c r="M36" s="17" t="s">
        <v>106</v>
      </c>
      <c r="N36" s="17" t="s">
        <v>106</v>
      </c>
      <c r="O36" s="17" t="s">
        <v>106</v>
      </c>
      <c r="P36" s="17" t="s">
        <v>106</v>
      </c>
      <c r="Q36" s="17" t="s">
        <v>106</v>
      </c>
      <c r="R36" s="17" t="s">
        <v>106</v>
      </c>
      <c r="S36" s="17" t="s">
        <v>106</v>
      </c>
      <c r="T36" s="17" t="s">
        <v>106</v>
      </c>
      <c r="U36" s="17" t="s">
        <v>106</v>
      </c>
      <c r="V36" s="37" t="s">
        <v>106</v>
      </c>
      <c r="W36" s="56"/>
      <c r="X36" s="56"/>
      <c r="Y36" s="56"/>
    </row>
    <row r="37" spans="1:25" x14ac:dyDescent="0.25">
      <c r="A37" t="str">
        <f>IFERROR(INDEX('2019 Data (WP)'!$C$9:$C$73,MATCH($B37,'2019 Data (WP)'!$D$9:$D$73,0)),"")</f>
        <v>Electric Util. (Central)</v>
      </c>
      <c r="B37" t="s">
        <v>20</v>
      </c>
      <c r="C37" t="s">
        <v>104</v>
      </c>
      <c r="D37" s="35">
        <f t="shared" ref="D37:D46" ca="1" si="5">MATCH(B37,OFFSET(MarketPrice,0,0,,1),0)</f>
        <v>36</v>
      </c>
      <c r="E37" s="35">
        <f t="shared" ref="E37:E46" ca="1" si="6">MATCH(B37,OFFSET(BookValue,0,0,,1),0)</f>
        <v>36</v>
      </c>
      <c r="F37" s="35"/>
      <c r="G37" s="17" t="str">
        <f t="shared" ref="G37:G68" ca="1" si="7">IFERROR(INDEX(MarketPrice,$D37,G$2)/INDEX(BookValue,$E37,G$2),"N/A")</f>
        <v>N/A</v>
      </c>
      <c r="H37" s="17" t="str">
        <f t="shared" ref="H37:H78" ca="1" si="8">IFERROR(INDEX(MarketPrice,$D37,H$2)/INDEX(BookValue,$E37,H$2),"N/A")</f>
        <v>N/A</v>
      </c>
      <c r="I37" s="17" t="str">
        <f t="shared" ref="I37:K68" ca="1" si="9">IFERROR(INDEX(MarketPrice,$D37,I$2)/INDEX(BookValue,$E37,I$2),"N/A")</f>
        <v>N/A</v>
      </c>
      <c r="J37" s="17">
        <f t="shared" ca="1" si="9"/>
        <v>1.3336229365768899</v>
      </c>
      <c r="K37" s="17">
        <f t="shared" ca="1" si="9"/>
        <v>1.170555173668675</v>
      </c>
      <c r="L37" s="17">
        <v>1.120349647396647</v>
      </c>
      <c r="M37" s="17">
        <v>1.1115983148482504</v>
      </c>
      <c r="N37" s="17">
        <v>1.0177582923696913</v>
      </c>
      <c r="O37" s="17">
        <v>0.96396230751551371</v>
      </c>
      <c r="P37" s="17">
        <v>0.9259463686122994</v>
      </c>
      <c r="Q37" s="17">
        <v>0.87020926404890664</v>
      </c>
      <c r="R37" s="17">
        <v>0.80083410115901266</v>
      </c>
      <c r="S37" s="17">
        <v>1.1143631943145689</v>
      </c>
      <c r="T37" s="17">
        <v>1.6633483665163349</v>
      </c>
      <c r="U37" s="17">
        <v>1.7749835339201243</v>
      </c>
      <c r="V37" s="37">
        <v>1.8594294092491905</v>
      </c>
      <c r="W37" s="56"/>
      <c r="X37" s="57"/>
      <c r="Y37" s="57"/>
    </row>
    <row r="38" spans="1:25" x14ac:dyDescent="0.25">
      <c r="A38" t="str">
        <f>IFERROR(INDEX('2019 Data (WP)'!$C$9:$C$73,MATCH($B38,'2019 Data (WP)'!$D$9:$D$73,0)),"")</f>
        <v>Electric Utility (West)</v>
      </c>
      <c r="B38" t="s">
        <v>21</v>
      </c>
      <c r="C38" t="s">
        <v>58</v>
      </c>
      <c r="D38" s="35">
        <f t="shared" ca="1" si="5"/>
        <v>37</v>
      </c>
      <c r="E38" s="35">
        <f t="shared" ca="1" si="6"/>
        <v>37</v>
      </c>
      <c r="F38" s="35"/>
      <c r="G38" s="17">
        <f t="shared" ca="1" si="7"/>
        <v>1.8158718296043719</v>
      </c>
      <c r="H38" s="17">
        <f t="shared" ca="1" si="8"/>
        <v>2.0227479091995222</v>
      </c>
      <c r="I38" s="17">
        <f t="shared" ca="1" si="9"/>
        <v>1.7648924920690869</v>
      </c>
      <c r="J38" s="17">
        <f t="shared" ca="1" si="9"/>
        <v>1.7602178423236512</v>
      </c>
      <c r="K38" s="17">
        <f t="shared" ca="1" si="9"/>
        <v>1.6309761479457814</v>
      </c>
      <c r="L38" s="17">
        <v>1.7060987847028655</v>
      </c>
      <c r="M38" s="17">
        <v>1.4911828695751745</v>
      </c>
      <c r="N38" s="17">
        <v>1.5399272983114447</v>
      </c>
      <c r="O38" s="17">
        <v>1.6225116736298846</v>
      </c>
      <c r="P38" s="17">
        <v>1.5427872860635699</v>
      </c>
      <c r="Q38" s="17">
        <v>1.4354735767168751</v>
      </c>
      <c r="R38" s="17">
        <v>1.1554999358233859</v>
      </c>
      <c r="S38" s="17">
        <v>1.6144625407166124</v>
      </c>
      <c r="T38" s="17">
        <v>1.5664944070124942</v>
      </c>
      <c r="U38" s="17">
        <v>2.0110078095946449</v>
      </c>
      <c r="V38" s="37">
        <v>1.7758769886174532</v>
      </c>
      <c r="W38" s="56"/>
      <c r="X38" s="56"/>
      <c r="Y38" s="56"/>
    </row>
    <row r="39" spans="1:25" x14ac:dyDescent="0.25">
      <c r="A39" t="str">
        <f>IFERROR(INDEX('2019 Data (WP)'!$C$9:$C$73,MATCH($B39,'2019 Data (WP)'!$D$9:$D$73,0)),"")</f>
        <v>Electric Utility (West)</v>
      </c>
      <c r="B39" t="s">
        <v>22</v>
      </c>
      <c r="C39" t="s">
        <v>59</v>
      </c>
      <c r="D39" s="35">
        <f t="shared" ca="1" si="5"/>
        <v>38</v>
      </c>
      <c r="E39" s="35">
        <f t="shared" ca="1" si="6"/>
        <v>38</v>
      </c>
      <c r="F39" s="35"/>
      <c r="G39" s="17">
        <f t="shared" ca="1" si="7"/>
        <v>1.83789004750547</v>
      </c>
      <c r="H39" s="17">
        <f t="shared" ca="1" si="8"/>
        <v>2.1039032772799806</v>
      </c>
      <c r="I39" s="17">
        <f t="shared" ca="1" si="9"/>
        <v>1.9581808899855357</v>
      </c>
      <c r="J39" s="17">
        <f t="shared" ca="1" si="9"/>
        <v>1.9422883120954919</v>
      </c>
      <c r="K39" s="17">
        <f t="shared" ca="1" si="9"/>
        <v>1.7571304897166524</v>
      </c>
      <c r="L39" s="17">
        <v>1.535360454022848</v>
      </c>
      <c r="M39" s="17">
        <v>1.4531065012611315</v>
      </c>
      <c r="N39" s="17">
        <v>1.3288366538190111</v>
      </c>
      <c r="O39" s="17">
        <v>1.1926422358477116</v>
      </c>
      <c r="P39" s="17">
        <v>1.1679373210788007</v>
      </c>
      <c r="Q39" s="17">
        <v>1.1250846473831866</v>
      </c>
      <c r="R39" s="17">
        <v>0.92277370261191471</v>
      </c>
      <c r="S39" s="17">
        <v>1.093591267696963</v>
      </c>
      <c r="T39" s="17">
        <v>1.2630636010749479</v>
      </c>
      <c r="U39" s="17">
        <v>1.3744469455872081</v>
      </c>
      <c r="V39" s="37">
        <v>1.2158934886623673</v>
      </c>
      <c r="W39" s="56"/>
      <c r="X39" s="56"/>
      <c r="Y39" s="56"/>
    </row>
    <row r="40" spans="1:25" x14ac:dyDescent="0.25">
      <c r="A40" t="str">
        <f>IFERROR(INDEX('2019 Data (WP)'!$C$9:$C$73,MATCH($B40,'2019 Data (WP)'!$D$9:$D$73,0)),"")</f>
        <v/>
      </c>
      <c r="B40" t="s">
        <v>23</v>
      </c>
      <c r="C40" t="s">
        <v>85</v>
      </c>
      <c r="D40" s="35" t="e">
        <f t="shared" ca="1" si="5"/>
        <v>#N/A</v>
      </c>
      <c r="E40" s="35" t="e">
        <f t="shared" ca="1" si="6"/>
        <v>#N/A</v>
      </c>
      <c r="F40" s="35"/>
      <c r="G40" s="17" t="str">
        <f t="shared" ca="1" si="7"/>
        <v>N/A</v>
      </c>
      <c r="H40" s="17" t="str">
        <f t="shared" ca="1" si="8"/>
        <v>N/A</v>
      </c>
      <c r="I40" s="17" t="str">
        <f t="shared" ca="1" si="9"/>
        <v>N/A</v>
      </c>
      <c r="J40" s="17" t="str">
        <f t="shared" ca="1" si="9"/>
        <v>N/A</v>
      </c>
      <c r="K40" s="17" t="str">
        <f t="shared" ca="1" si="9"/>
        <v>N/A</v>
      </c>
      <c r="L40" s="17" t="s">
        <v>106</v>
      </c>
      <c r="M40" s="17" t="s">
        <v>106</v>
      </c>
      <c r="N40" s="17" t="s">
        <v>106</v>
      </c>
      <c r="O40" s="17" t="s">
        <v>106</v>
      </c>
      <c r="P40" s="17" t="s">
        <v>106</v>
      </c>
      <c r="Q40" s="17" t="s">
        <v>106</v>
      </c>
      <c r="R40" s="17" t="s">
        <v>106</v>
      </c>
      <c r="S40" s="17" t="s">
        <v>106</v>
      </c>
      <c r="T40" s="17" t="s">
        <v>106</v>
      </c>
      <c r="U40" s="17" t="s">
        <v>106</v>
      </c>
      <c r="V40" s="37" t="s">
        <v>106</v>
      </c>
      <c r="W40" s="56"/>
      <c r="X40" s="56"/>
      <c r="Y40" s="56"/>
    </row>
    <row r="41" spans="1:25" x14ac:dyDescent="0.25">
      <c r="A41" t="str">
        <f>IFERROR(INDEX('2019 Data (WP)'!$C$9:$C$73,MATCH($B41,'2019 Data (WP)'!$D$9:$D$73,0)),"")</f>
        <v/>
      </c>
      <c r="B41" t="s">
        <v>161</v>
      </c>
      <c r="C41" t="s">
        <v>160</v>
      </c>
      <c r="D41" s="35" t="e">
        <f t="shared" ca="1" si="5"/>
        <v>#N/A</v>
      </c>
      <c r="E41" s="35" t="e">
        <f t="shared" ca="1" si="6"/>
        <v>#N/A</v>
      </c>
      <c r="F41" s="35"/>
      <c r="G41" s="17" t="str">
        <f t="shared" ca="1" si="7"/>
        <v>N/A</v>
      </c>
      <c r="H41" s="17" t="str">
        <f t="shared" ca="1" si="8"/>
        <v>N/A</v>
      </c>
      <c r="I41" s="17" t="str">
        <f t="shared" ca="1" si="9"/>
        <v>N/A</v>
      </c>
      <c r="J41" s="17" t="str">
        <f t="shared" ca="1" si="9"/>
        <v>N/A</v>
      </c>
      <c r="K41" s="17" t="str">
        <f t="shared" ca="1" si="9"/>
        <v>N/A</v>
      </c>
      <c r="L41" s="17" t="s">
        <v>106</v>
      </c>
      <c r="M41" s="17" t="s">
        <v>106</v>
      </c>
      <c r="N41" s="17" t="s">
        <v>106</v>
      </c>
      <c r="O41" s="17" t="s">
        <v>106</v>
      </c>
      <c r="P41" s="17" t="s">
        <v>106</v>
      </c>
      <c r="Q41" s="17" t="s">
        <v>106</v>
      </c>
      <c r="R41" s="17" t="s">
        <v>106</v>
      </c>
      <c r="S41" s="17" t="s">
        <v>106</v>
      </c>
      <c r="T41" s="17" t="s">
        <v>106</v>
      </c>
      <c r="U41" s="17" t="s">
        <v>106</v>
      </c>
      <c r="V41" s="37">
        <v>3.5244225672093905</v>
      </c>
      <c r="W41" s="56"/>
      <c r="X41" s="56"/>
      <c r="Y41" s="56"/>
    </row>
    <row r="42" spans="1:25" x14ac:dyDescent="0.25">
      <c r="A42" t="str">
        <f>IFERROR(INDEX('2019 Data (WP)'!$C$9:$C$73,MATCH($B42,'2019 Data (WP)'!$D$9:$D$73,0)),"")</f>
        <v/>
      </c>
      <c r="B42" t="s">
        <v>24</v>
      </c>
      <c r="C42" t="s">
        <v>60</v>
      </c>
      <c r="D42" s="35" t="e">
        <f t="shared" ca="1" si="5"/>
        <v>#N/A</v>
      </c>
      <c r="E42" s="35" t="e">
        <f t="shared" ca="1" si="6"/>
        <v>#N/A</v>
      </c>
      <c r="F42" s="35"/>
      <c r="G42" s="17" t="str">
        <f t="shared" ca="1" si="7"/>
        <v>N/A</v>
      </c>
      <c r="H42" s="17" t="str">
        <f t="shared" ca="1" si="8"/>
        <v>N/A</v>
      </c>
      <c r="I42" s="17" t="str">
        <f t="shared" ca="1" si="9"/>
        <v>N/A</v>
      </c>
      <c r="J42" s="17" t="str">
        <f t="shared" ca="1" si="9"/>
        <v>N/A</v>
      </c>
      <c r="K42" s="17" t="str">
        <f t="shared" ca="1" si="9"/>
        <v>N/A</v>
      </c>
      <c r="L42" s="17" t="s">
        <v>106</v>
      </c>
      <c r="M42" s="17" t="s">
        <v>106</v>
      </c>
      <c r="N42" s="17" t="s">
        <v>106</v>
      </c>
      <c r="O42" s="17" t="s">
        <v>106</v>
      </c>
      <c r="P42" s="17" t="s">
        <v>106</v>
      </c>
      <c r="Q42" s="17" t="s">
        <v>106</v>
      </c>
      <c r="R42" s="17" t="s">
        <v>106</v>
      </c>
      <c r="S42" s="17" t="s">
        <v>106</v>
      </c>
      <c r="T42" s="17" t="s">
        <v>106</v>
      </c>
      <c r="U42" s="17" t="s">
        <v>106</v>
      </c>
      <c r="V42" s="37">
        <v>1.9059804485336402</v>
      </c>
      <c r="W42" s="56"/>
      <c r="X42" s="56"/>
      <c r="Y42" s="56"/>
    </row>
    <row r="43" spans="1:25" x14ac:dyDescent="0.25">
      <c r="A43" t="str">
        <f>IFERROR(INDEX('2019 Data (WP)'!$C$9:$C$73,MATCH($B43,'2019 Data (WP)'!$D$9:$D$73,0)),"")</f>
        <v>Electric Util. (Central)</v>
      </c>
      <c r="B43" t="s">
        <v>25</v>
      </c>
      <c r="C43" t="s">
        <v>61</v>
      </c>
      <c r="D43" s="35">
        <f t="shared" ca="1" si="5"/>
        <v>39</v>
      </c>
      <c r="E43" s="35">
        <f t="shared" ca="1" si="6"/>
        <v>39</v>
      </c>
      <c r="F43" s="35"/>
      <c r="G43" s="17">
        <f t="shared" ca="1" si="7"/>
        <v>2.5439994071658822</v>
      </c>
      <c r="H43" s="17">
        <f t="shared" ca="1" si="8"/>
        <v>2.8844096912729924</v>
      </c>
      <c r="I43" s="17">
        <f t="shared" ca="1" si="9"/>
        <v>2.5906350823569366</v>
      </c>
      <c r="J43" s="17">
        <f t="shared" ca="1" si="9"/>
        <v>2.8772664498596696</v>
      </c>
      <c r="K43" s="17">
        <f t="shared" ca="1" si="9"/>
        <v>2.5993488461170164</v>
      </c>
      <c r="L43" s="17">
        <v>2.0975597509540069</v>
      </c>
      <c r="M43" s="17">
        <v>2.0968980021030497</v>
      </c>
      <c r="N43" s="17">
        <v>2.0632719514933751</v>
      </c>
      <c r="O43" s="17">
        <v>1.9177237912876974</v>
      </c>
      <c r="P43" s="17">
        <v>1.7526117054751416</v>
      </c>
      <c r="Q43" s="17">
        <v>1.6486397253037506</v>
      </c>
      <c r="R43" s="17">
        <v>1.5408001105506806</v>
      </c>
      <c r="S43" s="17">
        <v>1.621497341572065</v>
      </c>
      <c r="T43" s="17">
        <v>1.7479599692070824</v>
      </c>
      <c r="U43" s="17">
        <v>1.8276469108894291</v>
      </c>
      <c r="V43" s="37">
        <v>2.09242572932465</v>
      </c>
      <c r="W43" s="56"/>
      <c r="X43" s="56"/>
      <c r="Y43" s="56"/>
    </row>
    <row r="44" spans="1:25" x14ac:dyDescent="0.25">
      <c r="A44" t="str">
        <f>IFERROR(INDEX('2019 Data (WP)'!$C$9:$C$73,MATCH($B44,'2019 Data (WP)'!$D$9:$D$73,0)),"")</f>
        <v>Water Utility</v>
      </c>
      <c r="B44" s="31" t="s">
        <v>188</v>
      </c>
      <c r="C44" s="31" t="s">
        <v>187</v>
      </c>
      <c r="D44" s="35">
        <f t="shared" ca="1" si="5"/>
        <v>40</v>
      </c>
      <c r="E44" s="35">
        <f t="shared" ca="1" si="6"/>
        <v>40</v>
      </c>
      <c r="F44" s="35"/>
      <c r="G44" s="17">
        <f t="shared" ca="1" si="7"/>
        <v>3.306248107398809</v>
      </c>
      <c r="H44" s="17">
        <f t="shared" ca="1" si="8"/>
        <v>3.2097781606719797</v>
      </c>
      <c r="I44" s="17">
        <f t="shared" ca="1" si="9"/>
        <v>2.8658930572954442</v>
      </c>
      <c r="J44" s="17">
        <f t="shared" ca="1" si="9"/>
        <v>2.7950767035319299</v>
      </c>
      <c r="K44" s="17">
        <f t="shared" ca="1" si="9"/>
        <v>2.6402566398090124</v>
      </c>
      <c r="L44" s="17">
        <v>1.8301279535285344</v>
      </c>
      <c r="M44" s="17">
        <v>1.7072572736188296</v>
      </c>
      <c r="N44" s="17">
        <v>1.7164242219215158</v>
      </c>
      <c r="O44" s="17">
        <v>1.6323580633925461</v>
      </c>
      <c r="P44" s="17">
        <v>1.6193433895297249</v>
      </c>
      <c r="Q44" s="17">
        <v>1.5358426158821417</v>
      </c>
      <c r="R44" s="17">
        <v>1.4650014522218995</v>
      </c>
      <c r="S44" s="17">
        <v>1.7570046864094127</v>
      </c>
      <c r="T44" s="17">
        <v>1.8681121941515815</v>
      </c>
      <c r="U44" s="17">
        <v>1.9564167191766437</v>
      </c>
      <c r="W44" s="57"/>
      <c r="X44" s="57"/>
      <c r="Y44" s="57"/>
    </row>
    <row r="45" spans="1:25" x14ac:dyDescent="0.25">
      <c r="A45" t="str">
        <f>IFERROR(INDEX('2019 Data (WP)'!$C$9:$C$73,MATCH($B45,'2019 Data (WP)'!$D$9:$D$73,0)),"")</f>
        <v>Natural Gas Utility</v>
      </c>
      <c r="B45" s="31" t="s">
        <v>190</v>
      </c>
      <c r="C45" s="31" t="s">
        <v>189</v>
      </c>
      <c r="D45" s="35">
        <f t="shared" ca="1" si="5"/>
        <v>41</v>
      </c>
      <c r="E45" s="35">
        <f t="shared" ca="1" si="6"/>
        <v>41</v>
      </c>
      <c r="F45" s="35"/>
      <c r="G45" s="17">
        <f t="shared" ca="1" si="7"/>
        <v>1.9028823682160478</v>
      </c>
      <c r="H45" s="17">
        <f t="shared" ca="1" si="8"/>
        <v>2.7459842247682653</v>
      </c>
      <c r="I45" s="17">
        <f t="shared" ca="1" si="9"/>
        <v>2.6292176492398962</v>
      </c>
      <c r="J45" s="17">
        <f t="shared" ca="1" si="9"/>
        <v>2.702219740332263</v>
      </c>
      <c r="K45" s="17">
        <f t="shared" ca="1" si="9"/>
        <v>2.5188102775528236</v>
      </c>
      <c r="L45" s="17">
        <v>2.2755675259715278</v>
      </c>
      <c r="M45" s="17">
        <v>2.1266230936819173</v>
      </c>
      <c r="N45" s="17">
        <v>2.0483522673927332</v>
      </c>
      <c r="O45" s="17">
        <v>2.3270741912440047</v>
      </c>
      <c r="P45" s="17">
        <v>2.3079551521623065</v>
      </c>
      <c r="Q45" s="17">
        <v>2.0919409761634506</v>
      </c>
      <c r="R45" s="17">
        <v>2.159652719160738</v>
      </c>
      <c r="S45" s="17">
        <v>1.9173802360564685</v>
      </c>
      <c r="T45" s="17">
        <v>2.1672689726381003</v>
      </c>
      <c r="U45" s="17">
        <v>2.0057325689908012</v>
      </c>
      <c r="W45" s="56"/>
      <c r="X45" s="56"/>
      <c r="Y45" s="56"/>
    </row>
    <row r="46" spans="1:25" x14ac:dyDescent="0.25">
      <c r="A46" t="str">
        <f>IFERROR(INDEX('2019 Data (WP)'!$C$9:$C$73,MATCH($B46,'2019 Data (WP)'!$D$9:$D$73,0)),"")</f>
        <v>Electric Utility (East)</v>
      </c>
      <c r="B46" t="s">
        <v>141</v>
      </c>
      <c r="C46" t="s">
        <v>209</v>
      </c>
      <c r="D46" s="35">
        <f t="shared" ca="1" si="5"/>
        <v>42</v>
      </c>
      <c r="E46" s="35">
        <f t="shared" ca="1" si="6"/>
        <v>42</v>
      </c>
      <c r="F46" s="35"/>
      <c r="G46" s="17">
        <f t="shared" ca="1" si="7"/>
        <v>3.5793118256481828</v>
      </c>
      <c r="H46" s="17">
        <f t="shared" ca="1" si="8"/>
        <v>2.7467096569586134</v>
      </c>
      <c r="I46" s="17">
        <f t="shared" ca="1" si="9"/>
        <v>2.3155655095184771</v>
      </c>
      <c r="J46" s="17">
        <f t="shared" ca="1" si="9"/>
        <v>2.3500334001336003</v>
      </c>
      <c r="K46" s="17">
        <f t="shared" ca="1" si="9"/>
        <v>2.3021538461538462</v>
      </c>
      <c r="L46" s="17">
        <v>2.0907958420977391</v>
      </c>
      <c r="M46" s="17">
        <v>2.1492759748203838</v>
      </c>
      <c r="N46" s="17">
        <v>1.9299992766029275</v>
      </c>
      <c r="O46" s="17">
        <v>1.7367796073464217</v>
      </c>
      <c r="P46" s="17">
        <v>1.5478967734751259</v>
      </c>
      <c r="Q46" s="17">
        <v>1.4938009313154832</v>
      </c>
      <c r="R46" s="17">
        <v>1.6988835725677829</v>
      </c>
      <c r="S46" s="17">
        <v>2.0633970454386334</v>
      </c>
      <c r="T46" s="17">
        <v>2.3447294528344842</v>
      </c>
      <c r="U46" s="17">
        <v>1.8003184453335512</v>
      </c>
      <c r="V46" s="37">
        <v>1.9276621445827913</v>
      </c>
      <c r="W46" s="56"/>
      <c r="X46" s="56"/>
      <c r="Y46" s="56"/>
    </row>
    <row r="47" spans="1:25" x14ac:dyDescent="0.25">
      <c r="A47" t="str">
        <f>IFERROR(INDEX('2019 Data (WP)'!$C$9:$C$73,MATCH($B47,'2019 Data (WP)'!$D$9:$D$73,0)),"")</f>
        <v>Natural Gas Utility</v>
      </c>
      <c r="B47" t="s">
        <v>26</v>
      </c>
      <c r="C47" t="s">
        <v>62</v>
      </c>
      <c r="D47" s="35">
        <f t="shared" ref="D47:D78" ca="1" si="10">MATCH(B47,OFFSET(MarketPrice,0,0,,1),0)</f>
        <v>43</v>
      </c>
      <c r="E47" s="35">
        <f t="shared" ref="E47:E78" ca="1" si="11">MATCH(B47,OFFSET(BookValue,0,0,,1),0)</f>
        <v>43</v>
      </c>
      <c r="F47" s="35"/>
      <c r="G47" s="17">
        <f t="shared" ca="1" si="7"/>
        <v>1.9477676807585935</v>
      </c>
      <c r="H47" s="17">
        <f t="shared" ca="1" si="8"/>
        <v>2.0900179586950016</v>
      </c>
      <c r="I47" s="17">
        <f t="shared" ca="1" si="9"/>
        <v>1.9223300970873787</v>
      </c>
      <c r="J47" s="17">
        <f t="shared" ca="1" si="9"/>
        <v>1.9592791949450035</v>
      </c>
      <c r="K47" s="17">
        <f t="shared" ca="1" si="9"/>
        <v>1.840212732179711</v>
      </c>
      <c r="L47" s="17">
        <v>1.9531717037529059</v>
      </c>
      <c r="M47" s="17">
        <v>1.943654042988741</v>
      </c>
      <c r="N47" s="17">
        <v>1.5801673149677626</v>
      </c>
      <c r="O47" s="17">
        <v>1.3676330931232892</v>
      </c>
      <c r="P47" s="17">
        <v>1.1479954827780914</v>
      </c>
      <c r="Q47" s="17">
        <v>0.92171101151642376</v>
      </c>
      <c r="R47" s="17">
        <v>0.68660546273592982</v>
      </c>
      <c r="S47" s="17">
        <v>0.93765224451919738</v>
      </c>
      <c r="T47" s="17">
        <v>1.1584575502268308</v>
      </c>
      <c r="U47" s="17">
        <v>1.1921838327602203</v>
      </c>
      <c r="V47" s="37">
        <v>1.278861563967947</v>
      </c>
      <c r="W47" s="56"/>
      <c r="X47" s="56"/>
      <c r="Y47" s="56"/>
    </row>
    <row r="48" spans="1:25" x14ac:dyDescent="0.25">
      <c r="A48" t="str">
        <f>IFERROR(INDEX('2019 Data (WP)'!$C$9:$C$73,MATCH($B48,'2019 Data (WP)'!$D$9:$D$73,0)),"")</f>
        <v>Natural Gas Utility</v>
      </c>
      <c r="B48" s="31" t="s">
        <v>192</v>
      </c>
      <c r="C48" s="31" t="s">
        <v>191</v>
      </c>
      <c r="D48" s="35">
        <f t="shared" ca="1" si="10"/>
        <v>44</v>
      </c>
      <c r="E48" s="35">
        <f t="shared" ca="1" si="11"/>
        <v>44</v>
      </c>
      <c r="F48" s="35"/>
      <c r="G48" s="17">
        <f t="shared" ca="1" si="7"/>
        <v>1.9762166999380466</v>
      </c>
      <c r="H48" s="17">
        <f t="shared" ca="1" si="8"/>
        <v>2.3776346810232587</v>
      </c>
      <c r="I48" s="17">
        <f t="shared" ca="1" si="9"/>
        <v>2.349831484076192</v>
      </c>
      <c r="J48" s="17">
        <f t="shared" ca="1" si="9"/>
        <v>2.4074589910244506</v>
      </c>
      <c r="K48" s="17">
        <f t="shared" ca="1" si="9"/>
        <v>1.921362687672524</v>
      </c>
      <c r="L48" s="17">
        <v>1.6307638279192274</v>
      </c>
      <c r="M48" s="17">
        <v>1.5891263378729155</v>
      </c>
      <c r="N48" s="17">
        <v>1.5631976953546993</v>
      </c>
      <c r="O48" s="17">
        <v>1.7180993647413065</v>
      </c>
      <c r="P48" s="17">
        <v>1.7021420011983224</v>
      </c>
      <c r="Q48" s="17">
        <v>1.7765337423312886</v>
      </c>
      <c r="R48" s="17">
        <v>1.7259536154990152</v>
      </c>
      <c r="S48" s="17">
        <v>1.9591328919067101</v>
      </c>
      <c r="T48" s="17">
        <v>2.0512387887398988</v>
      </c>
      <c r="U48" s="17">
        <v>1.6922447866975603</v>
      </c>
      <c r="W48" s="56"/>
      <c r="X48" s="56"/>
      <c r="Y48" s="56"/>
    </row>
    <row r="49" spans="1:25" x14ac:dyDescent="0.25">
      <c r="A49" t="str">
        <f>IFERROR(INDEX('2019 Data (WP)'!$C$9:$C$73,MATCH($B49,'2019 Data (WP)'!$D$9:$D$73,0)),"")</f>
        <v>Electric Utility (West)</v>
      </c>
      <c r="B49" t="str">
        <f>"NWE"</f>
        <v>NWE</v>
      </c>
      <c r="C49" t="s">
        <v>94</v>
      </c>
      <c r="D49" s="35">
        <f t="shared" ca="1" si="10"/>
        <v>45</v>
      </c>
      <c r="E49" s="35">
        <f t="shared" ca="1" si="11"/>
        <v>45</v>
      </c>
      <c r="F49" s="35"/>
      <c r="G49" s="17">
        <f t="shared" ca="1" si="7"/>
        <v>1.4512518552762843</v>
      </c>
      <c r="H49" s="17">
        <f t="shared" ca="1" si="8"/>
        <v>1.7373317498020586</v>
      </c>
      <c r="I49" s="17">
        <f t="shared" ca="1" si="9"/>
        <v>1.4773563397067206</v>
      </c>
      <c r="J49" s="17">
        <f t="shared" ca="1" si="9"/>
        <v>1.63582720386431</v>
      </c>
      <c r="K49" s="17">
        <f t="shared" ca="1" si="9"/>
        <v>1.6798627530130903</v>
      </c>
      <c r="L49" s="17">
        <v>1.6030164368715756</v>
      </c>
      <c r="M49" s="17">
        <v>1.5411282897869774</v>
      </c>
      <c r="N49" s="17">
        <v>1.5591519115822714</v>
      </c>
      <c r="O49" s="17">
        <v>1.4155176536223799</v>
      </c>
      <c r="P49" s="17">
        <v>1.3485494700392719</v>
      </c>
      <c r="Q49" s="17">
        <v>1.218743099412622</v>
      </c>
      <c r="R49" s="17">
        <v>1.0661939615736504</v>
      </c>
      <c r="S49" s="17">
        <v>1.1549103571596631</v>
      </c>
      <c r="T49" s="17">
        <v>1.4819830484397936</v>
      </c>
      <c r="U49" s="17">
        <v>1.6463125272383903</v>
      </c>
      <c r="V49" s="37">
        <v>1.418462434478742</v>
      </c>
      <c r="W49" s="56"/>
      <c r="X49" s="56"/>
      <c r="Y49" s="56"/>
    </row>
    <row r="50" spans="1:25" x14ac:dyDescent="0.25">
      <c r="A50" t="str">
        <f>IFERROR(INDEX('2019 Data (WP)'!$C$9:$C$73,MATCH($B50,'2019 Data (WP)'!$D$9:$D$73,0)),"")</f>
        <v>Electric Util. (Central)</v>
      </c>
      <c r="B50" t="s">
        <v>27</v>
      </c>
      <c r="C50" t="s">
        <v>67</v>
      </c>
      <c r="D50" s="35">
        <f t="shared" ca="1" si="10"/>
        <v>46</v>
      </c>
      <c r="E50" s="35">
        <f t="shared" ca="1" si="11"/>
        <v>46</v>
      </c>
      <c r="F50" s="35"/>
      <c r="G50" s="17">
        <f t="shared" ca="1" si="7"/>
        <v>1.8617630853994489</v>
      </c>
      <c r="H50" s="17">
        <f t="shared" ca="1" si="8"/>
        <v>2.0573790303088897</v>
      </c>
      <c r="I50" s="17">
        <f t="shared" ca="1" si="9"/>
        <v>1.7467590745911448</v>
      </c>
      <c r="J50" s="17">
        <f t="shared" ca="1" si="9"/>
        <v>1.8243103090645094</v>
      </c>
      <c r="K50" s="17">
        <f t="shared" ca="1" si="9"/>
        <v>1.7326761380110176</v>
      </c>
      <c r="L50" s="17">
        <v>1.7949564695286699</v>
      </c>
      <c r="M50" s="17">
        <v>2.2227275520865342</v>
      </c>
      <c r="N50" s="17">
        <v>2.2433986928104575</v>
      </c>
      <c r="O50" s="17">
        <v>1.9372322193658955</v>
      </c>
      <c r="P50" s="17">
        <v>1.8968235744355149</v>
      </c>
      <c r="Q50" s="17">
        <v>1.6968456947996589</v>
      </c>
      <c r="R50" s="17">
        <v>1.3696768060836504</v>
      </c>
      <c r="S50" s="17">
        <v>1.523020802523908</v>
      </c>
      <c r="T50" s="17">
        <v>1.9826324412889134</v>
      </c>
      <c r="U50" s="17">
        <v>1.9051518253155919</v>
      </c>
      <c r="V50" s="37">
        <v>1.8015277229026736</v>
      </c>
      <c r="W50" s="56"/>
      <c r="X50" s="56"/>
      <c r="Y50" s="56"/>
    </row>
    <row r="51" spans="1:25" x14ac:dyDescent="0.25">
      <c r="A51" t="str">
        <f>IFERROR(INDEX('2019 Data (WP)'!$C$9:$C$73,MATCH($B51,'2019 Data (WP)'!$D$9:$D$73,0)),"")</f>
        <v>Natural Gas Utility</v>
      </c>
      <c r="B51" t="s">
        <v>345</v>
      </c>
      <c r="C51" t="s">
        <v>348</v>
      </c>
      <c r="D51" s="35">
        <f t="shared" ca="1" si="10"/>
        <v>47</v>
      </c>
      <c r="E51" s="35">
        <f t="shared" ca="1" si="11"/>
        <v>47</v>
      </c>
      <c r="F51" s="35"/>
      <c r="G51" s="17">
        <f t="shared" ca="1" si="7"/>
        <v>1.901585487787459</v>
      </c>
      <c r="H51" s="17">
        <f t="shared" ca="1" si="8"/>
        <v>2.1980372233649725</v>
      </c>
      <c r="I51" s="17">
        <f t="shared" ca="1" si="9"/>
        <v>1.9284354091610909</v>
      </c>
      <c r="J51" s="17">
        <f t="shared" ca="1" si="9"/>
        <v>1.8911958581302875</v>
      </c>
      <c r="K51" s="17">
        <f t="shared" ca="1" si="9"/>
        <v>1.6683833097987097</v>
      </c>
      <c r="L51" s="17">
        <f t="shared" ref="L51:U51" ca="1" si="12">IFERROR(INDEX(MarketPrice,$D51,L$2)/INDEX(BookValue,$E51,L$2),"N/A")</f>
        <v>1.2579812139958568</v>
      </c>
      <c r="M51" s="17">
        <f t="shared" ca="1" si="12"/>
        <v>1.0713311075627812</v>
      </c>
      <c r="N51" s="17" t="str">
        <f t="shared" ca="1" si="12"/>
        <v>N/A</v>
      </c>
      <c r="O51" s="17" t="str">
        <f t="shared" ca="1" si="12"/>
        <v>N/A</v>
      </c>
      <c r="P51" s="17" t="str">
        <f t="shared" ca="1" si="12"/>
        <v>N/A</v>
      </c>
      <c r="Q51" s="17" t="str">
        <f t="shared" ca="1" si="12"/>
        <v>N/A</v>
      </c>
      <c r="R51" s="17" t="str">
        <f t="shared" ca="1" si="12"/>
        <v>N/A</v>
      </c>
      <c r="S51" s="17" t="str">
        <f t="shared" ca="1" si="12"/>
        <v>N/A</v>
      </c>
      <c r="T51" s="17" t="str">
        <f t="shared" ca="1" si="12"/>
        <v>N/A</v>
      </c>
      <c r="U51" s="17" t="str">
        <f t="shared" ca="1" si="12"/>
        <v>N/A</v>
      </c>
      <c r="V51" s="37"/>
      <c r="W51" s="56"/>
      <c r="X51" s="56"/>
      <c r="Y51" s="56"/>
    </row>
    <row r="52" spans="1:25" x14ac:dyDescent="0.25">
      <c r="A52" t="str">
        <f>IFERROR(INDEX('2019 Data (WP)'!$C$9:$C$73,MATCH($B52,'2019 Data (WP)'!$D$9:$D$73,0)),"")</f>
        <v>Electric Util. (Central)</v>
      </c>
      <c r="B52" t="s">
        <v>28</v>
      </c>
      <c r="C52" t="s">
        <v>68</v>
      </c>
      <c r="D52" s="35">
        <f t="shared" ca="1" si="10"/>
        <v>48</v>
      </c>
      <c r="E52" s="35">
        <f t="shared" ca="1" si="11"/>
        <v>48</v>
      </c>
      <c r="F52" s="35"/>
      <c r="G52" s="17">
        <f t="shared" ca="1" si="7"/>
        <v>2.0400438053518712</v>
      </c>
      <c r="H52" s="17">
        <f t="shared" ca="1" si="8"/>
        <v>2.6214799588900308</v>
      </c>
      <c r="I52" s="17">
        <f t="shared" ca="1" si="9"/>
        <v>2.4937962559860685</v>
      </c>
      <c r="J52" s="17">
        <f t="shared" ca="1" si="9"/>
        <v>2.3293977408185276</v>
      </c>
      <c r="K52" s="17">
        <f t="shared" ca="1" si="9"/>
        <v>1.8971814445096886</v>
      </c>
      <c r="L52" s="17">
        <v>1.77637342009761</v>
      </c>
      <c r="M52" s="17">
        <v>1.8973942426408474</v>
      </c>
      <c r="N52" s="17">
        <v>1.9622923024754155</v>
      </c>
      <c r="O52" s="17">
        <v>1.5823863636363635</v>
      </c>
      <c r="P52" s="17">
        <v>1.349864173352707</v>
      </c>
      <c r="Q52" s="17">
        <v>1.1919726729291205</v>
      </c>
      <c r="R52" s="17">
        <v>1.1776949693904712</v>
      </c>
      <c r="S52" s="17">
        <v>1.7117404253095776</v>
      </c>
      <c r="T52" s="17">
        <v>1.9289499173836249</v>
      </c>
      <c r="U52" s="17">
        <v>1.7591048179036417</v>
      </c>
      <c r="V52" s="37">
        <v>1.7353760445682451</v>
      </c>
      <c r="W52" s="56"/>
      <c r="X52" s="56"/>
      <c r="Y52" s="56"/>
    </row>
    <row r="53" spans="1:25" x14ac:dyDescent="0.25">
      <c r="A53" t="str">
        <f>IFERROR(INDEX('2019 Data (WP)'!$C$9:$C$73,MATCH($B53,'2019 Data (WP)'!$D$9:$D$73,0)),"")</f>
        <v/>
      </c>
      <c r="B53" t="s">
        <v>29</v>
      </c>
      <c r="C53" t="s">
        <v>73</v>
      </c>
      <c r="D53" s="35" t="e">
        <f t="shared" ca="1" si="10"/>
        <v>#N/A</v>
      </c>
      <c r="E53" s="35" t="e">
        <f t="shared" ca="1" si="11"/>
        <v>#N/A</v>
      </c>
      <c r="F53" s="35"/>
      <c r="G53" s="17" t="str">
        <f t="shared" ca="1" si="7"/>
        <v>N/A</v>
      </c>
      <c r="H53" s="17" t="str">
        <f t="shared" ca="1" si="8"/>
        <v>N/A</v>
      </c>
      <c r="I53" s="17" t="str">
        <f t="shared" ca="1" si="9"/>
        <v>N/A</v>
      </c>
      <c r="J53" s="17" t="str">
        <f t="shared" ca="1" si="9"/>
        <v>N/A</v>
      </c>
      <c r="K53" s="17" t="str">
        <f t="shared" ca="1" si="9"/>
        <v>N/A</v>
      </c>
      <c r="L53" s="17" t="s">
        <v>106</v>
      </c>
      <c r="M53" s="17" t="s">
        <v>106</v>
      </c>
      <c r="N53" s="17" t="s">
        <v>106</v>
      </c>
      <c r="O53" s="17" t="s">
        <v>106</v>
      </c>
      <c r="P53" s="17" t="s">
        <v>106</v>
      </c>
      <c r="Q53" s="17" t="s">
        <v>106</v>
      </c>
      <c r="R53" s="17" t="s">
        <v>106</v>
      </c>
      <c r="S53" s="17" t="s">
        <v>106</v>
      </c>
      <c r="T53" s="17" t="s">
        <v>106</v>
      </c>
      <c r="U53" s="17" t="s">
        <v>106</v>
      </c>
      <c r="V53" s="37" t="s">
        <v>106</v>
      </c>
      <c r="W53" s="56"/>
      <c r="X53" s="56"/>
      <c r="Y53" s="56"/>
    </row>
    <row r="54" spans="1:25" x14ac:dyDescent="0.25">
      <c r="A54" t="str">
        <f>IFERROR(INDEX('2019 Data (WP)'!$C$9:$C$73,MATCH($B54,'2019 Data (WP)'!$D$9:$D$73,0)),"")</f>
        <v>Electric Utility (West)</v>
      </c>
      <c r="B54" t="s">
        <v>30</v>
      </c>
      <c r="C54" t="s">
        <v>71</v>
      </c>
      <c r="D54" s="35">
        <f t="shared" ca="1" si="10"/>
        <v>49</v>
      </c>
      <c r="E54" s="35">
        <f t="shared" ca="1" si="11"/>
        <v>49</v>
      </c>
      <c r="F54" s="35"/>
      <c r="G54" s="17">
        <f t="shared" ca="1" si="7"/>
        <v>1.0625590625590624</v>
      </c>
      <c r="H54" s="17">
        <f t="shared" ca="1" si="8"/>
        <v>1.525090159711489</v>
      </c>
      <c r="I54" s="17">
        <f t="shared" ca="1" si="9"/>
        <v>1.6985151976308972</v>
      </c>
      <c r="J54" s="17">
        <f t="shared" ca="1" si="9"/>
        <v>1.713241201992608</v>
      </c>
      <c r="K54" s="17">
        <f t="shared" ca="1" si="9"/>
        <v>1.6893083182640143</v>
      </c>
      <c r="L54" s="17">
        <v>1.5671881029416128</v>
      </c>
      <c r="M54" s="17">
        <v>1.3873980054397097</v>
      </c>
      <c r="N54" s="17">
        <v>1.3790040119722347</v>
      </c>
      <c r="O54" s="17">
        <v>1.4117743954668249</v>
      </c>
      <c r="P54" s="17">
        <v>1.4640070861581438</v>
      </c>
      <c r="Q54" s="17">
        <v>1.5611644363483499</v>
      </c>
      <c r="R54" s="17">
        <v>1.4137794993185566</v>
      </c>
      <c r="S54" s="17">
        <v>1.4982480458973471</v>
      </c>
      <c r="T54" s="17">
        <v>1.9369727047146401</v>
      </c>
      <c r="U54" s="17">
        <v>1.8257342782011854</v>
      </c>
      <c r="V54" s="37">
        <v>1.84234693877551</v>
      </c>
      <c r="W54" s="56"/>
      <c r="X54" s="56"/>
      <c r="Y54" s="56"/>
    </row>
    <row r="55" spans="1:25" x14ac:dyDescent="0.25">
      <c r="A55" t="str">
        <f>IFERROR(INDEX('2019 Data (WP)'!$C$9:$C$73,MATCH($B55,'2019 Data (WP)'!$D$9:$D$73,0)),"")</f>
        <v>Electric Utility (West)</v>
      </c>
      <c r="B55" t="s">
        <v>31</v>
      </c>
      <c r="C55" t="s">
        <v>72</v>
      </c>
      <c r="D55" s="35">
        <f t="shared" ca="1" si="10"/>
        <v>50</v>
      </c>
      <c r="E55" s="35">
        <f t="shared" ca="1" si="11"/>
        <v>50</v>
      </c>
      <c r="F55" s="35"/>
      <c r="G55" s="17">
        <f t="shared" ca="1" si="7"/>
        <v>1.6284427542033626</v>
      </c>
      <c r="H55" s="17">
        <f t="shared" ca="1" si="8"/>
        <v>1.9126086956521742</v>
      </c>
      <c r="I55" s="17">
        <f t="shared" ca="1" si="9"/>
        <v>1.7363010023395076</v>
      </c>
      <c r="J55" s="17">
        <f t="shared" ca="1" si="9"/>
        <v>1.9064773894022589</v>
      </c>
      <c r="K55" s="17">
        <f t="shared" ca="1" si="9"/>
        <v>1.7159578166647349</v>
      </c>
      <c r="L55" s="17">
        <v>1.5218865000968429</v>
      </c>
      <c r="M55" s="17">
        <v>1.4398339198460719</v>
      </c>
      <c r="N55" s="17">
        <v>1.4678609892563503</v>
      </c>
      <c r="O55" s="17">
        <v>1.3869782602690532</v>
      </c>
      <c r="P55" s="17">
        <v>1.2481705922707522</v>
      </c>
      <c r="Q55" s="17">
        <v>1.142776990314198</v>
      </c>
      <c r="R55" s="17">
        <v>0.94995717606753949</v>
      </c>
      <c r="S55" s="17">
        <v>0.99718936643635092</v>
      </c>
      <c r="T55" s="17">
        <v>1.2575330772513869</v>
      </c>
      <c r="U55" s="17">
        <v>1.2588542422044959</v>
      </c>
      <c r="V55" s="37">
        <v>1.2464346668980879</v>
      </c>
      <c r="W55" s="56"/>
      <c r="X55" s="56"/>
      <c r="Y55" s="56"/>
    </row>
    <row r="56" spans="1:25" x14ac:dyDescent="0.25">
      <c r="A56" t="str">
        <f>IFERROR(INDEX('2019 Data (WP)'!$C$9:$C$73,MATCH($B56,'2019 Data (WP)'!$D$9:$D$73,0)),"")</f>
        <v>Electric Utility (West)</v>
      </c>
      <c r="B56" t="s">
        <v>32</v>
      </c>
      <c r="C56" t="s">
        <v>74</v>
      </c>
      <c r="D56" s="35">
        <f t="shared" ca="1" si="10"/>
        <v>51</v>
      </c>
      <c r="E56" s="35">
        <f t="shared" ca="1" si="11"/>
        <v>51</v>
      </c>
      <c r="F56" s="35"/>
      <c r="G56" s="17">
        <f t="shared" ca="1" si="7"/>
        <v>1.8716337898395947</v>
      </c>
      <c r="H56" s="17">
        <f t="shared" ca="1" si="8"/>
        <v>2.2800474495848162</v>
      </c>
      <c r="I56" s="17">
        <f t="shared" ca="1" si="9"/>
        <v>1.831627117044865</v>
      </c>
      <c r="J56" s="17">
        <f t="shared" ca="1" si="9"/>
        <v>1.8426443640464218</v>
      </c>
      <c r="K56" s="17">
        <f t="shared" ca="1" si="9"/>
        <v>1.5552281368821295</v>
      </c>
      <c r="L56" s="17">
        <v>1.3299157641395911</v>
      </c>
      <c r="M56" s="17">
        <v>1.2094144968960743</v>
      </c>
      <c r="N56" s="17">
        <v>1.0900508003450591</v>
      </c>
      <c r="O56" s="17">
        <v>0.97839860314292826</v>
      </c>
      <c r="P56" s="17">
        <v>0.80011215334420882</v>
      </c>
      <c r="Q56" s="17">
        <v>0.69437972381655955</v>
      </c>
      <c r="R56" s="17">
        <v>0.55520871911539071</v>
      </c>
      <c r="S56" s="17">
        <v>0.65997988673053509</v>
      </c>
      <c r="T56" s="17">
        <v>1.2297113289760349</v>
      </c>
      <c r="U56" s="17">
        <v>1.2124751041100852</v>
      </c>
      <c r="V56" s="37">
        <v>1.4496845257191742</v>
      </c>
      <c r="W56" s="56"/>
      <c r="X56" s="56"/>
      <c r="Y56" s="56"/>
    </row>
    <row r="57" spans="1:25" x14ac:dyDescent="0.25">
      <c r="A57" t="str">
        <f>IFERROR(INDEX('2019 Data (WP)'!$C$9:$C$73,MATCH($B57,'2019 Data (WP)'!$D$9:$D$73,0)),"")</f>
        <v>Electric Utility (West)</v>
      </c>
      <c r="B57" t="s">
        <v>33</v>
      </c>
      <c r="C57" t="s">
        <v>92</v>
      </c>
      <c r="D57" s="35">
        <f t="shared" ca="1" si="10"/>
        <v>52</v>
      </c>
      <c r="E57" s="35">
        <f t="shared" ca="1" si="11"/>
        <v>52</v>
      </c>
      <c r="F57" s="35"/>
      <c r="G57" s="17">
        <f t="shared" ca="1" si="7"/>
        <v>1.5661515265736901</v>
      </c>
      <c r="H57" s="17">
        <f t="shared" ca="1" si="8"/>
        <v>1.8396467260056577</v>
      </c>
      <c r="I57" s="17">
        <f t="shared" ca="1" si="9"/>
        <v>1.5554091119581093</v>
      </c>
      <c r="J57" s="17">
        <f t="shared" ca="1" si="9"/>
        <v>1.6920069344546493</v>
      </c>
      <c r="K57" s="17">
        <f t="shared" ca="1" si="9"/>
        <v>1.5620612453990057</v>
      </c>
      <c r="L57" s="17">
        <v>1.4210381439244986</v>
      </c>
      <c r="M57" s="17">
        <v>1.3669968888161126</v>
      </c>
      <c r="N57" s="17">
        <v>1.2825499034127494</v>
      </c>
      <c r="O57" s="17">
        <v>1.1429820725841713</v>
      </c>
      <c r="P57" s="17">
        <v>1.0930801649521911</v>
      </c>
      <c r="Q57" s="17">
        <v>0.94242323887022761</v>
      </c>
      <c r="R57" s="17">
        <v>0.91976392547068575</v>
      </c>
      <c r="S57" s="17">
        <v>1.0468157870413162</v>
      </c>
      <c r="T57" s="17">
        <v>1.3220564477810512</v>
      </c>
      <c r="U57" s="17">
        <v>1.3592912219782465</v>
      </c>
      <c r="V57" s="37" t="s">
        <v>106</v>
      </c>
      <c r="W57" s="56"/>
      <c r="X57" s="56"/>
      <c r="Y57" s="56"/>
    </row>
    <row r="58" spans="1:25" x14ac:dyDescent="0.25">
      <c r="A58" t="str">
        <f>IFERROR(INDEX('2019 Data (WP)'!$C$9:$C$73,MATCH($B58,'2019 Data (WP)'!$D$9:$D$73,0)),"")</f>
        <v>Electric Utility (East)</v>
      </c>
      <c r="B58" t="s">
        <v>34</v>
      </c>
      <c r="C58" t="s">
        <v>70</v>
      </c>
      <c r="D58" s="35">
        <f t="shared" ca="1" si="10"/>
        <v>53</v>
      </c>
      <c r="E58" s="35">
        <f t="shared" ca="1" si="11"/>
        <v>53</v>
      </c>
      <c r="F58" s="35"/>
      <c r="G58" s="17">
        <f t="shared" ca="1" si="7"/>
        <v>1.6348896044158234</v>
      </c>
      <c r="H58" s="17">
        <f t="shared" ca="1" si="8"/>
        <v>1.8602645877628161</v>
      </c>
      <c r="I58" s="17">
        <f t="shared" ca="1" si="9"/>
        <v>1.8064017796453069</v>
      </c>
      <c r="J58" s="17">
        <f t="shared" ca="1" si="9"/>
        <v>2.3997035891487855</v>
      </c>
      <c r="K58" s="17">
        <f t="shared" ca="1" si="9"/>
        <v>2.457872691066401</v>
      </c>
      <c r="L58" s="17">
        <v>2.2404211956521736</v>
      </c>
      <c r="M58" s="17">
        <v>1.6368788781941663</v>
      </c>
      <c r="N58" s="17">
        <v>1.5456338170602215</v>
      </c>
      <c r="O58" s="17">
        <v>1.5770448109278694</v>
      </c>
      <c r="P58" s="17">
        <v>1.4661324786324788</v>
      </c>
      <c r="Q58" s="17">
        <v>1.6085138954309937</v>
      </c>
      <c r="R58" s="17">
        <v>2.097796994029236</v>
      </c>
      <c r="S58" s="17">
        <v>3.1882839014313116</v>
      </c>
      <c r="T58" s="17">
        <v>3.0500503862949278</v>
      </c>
      <c r="U58" s="17">
        <v>2.4271968728858151</v>
      </c>
      <c r="V58" s="37">
        <v>2.4972466012734471</v>
      </c>
      <c r="W58" s="56"/>
      <c r="X58" s="56"/>
      <c r="Y58" s="56"/>
    </row>
    <row r="59" spans="1:25" x14ac:dyDescent="0.25">
      <c r="A59" t="str">
        <f>IFERROR(INDEX('2019 Data (WP)'!$C$9:$C$73,MATCH($B59,'2019 Data (WP)'!$D$9:$D$73,0)),"")</f>
        <v>Electric Utility (East)</v>
      </c>
      <c r="B59" t="s">
        <v>35</v>
      </c>
      <c r="C59" t="s">
        <v>75</v>
      </c>
      <c r="D59" s="35">
        <f t="shared" ca="1" si="10"/>
        <v>54</v>
      </c>
      <c r="E59" s="35">
        <f t="shared" ca="1" si="11"/>
        <v>54</v>
      </c>
      <c r="F59" s="35"/>
      <c r="G59" s="17">
        <f t="shared" ca="1" si="7"/>
        <v>1.6966008702781106</v>
      </c>
      <c r="H59" s="17">
        <f t="shared" ca="1" si="8"/>
        <v>1.9672322800454274</v>
      </c>
      <c r="I59" s="17">
        <f t="shared" ca="1" si="9"/>
        <v>1.8101381196101802</v>
      </c>
      <c r="J59" s="17">
        <f t="shared" ca="1" si="9"/>
        <v>1.6768417213712616</v>
      </c>
      <c r="K59" s="17">
        <f t="shared" ca="1" si="9"/>
        <v>1.6700503710539469</v>
      </c>
      <c r="L59" s="17">
        <v>1.5839746316562897</v>
      </c>
      <c r="M59" s="17">
        <v>1.5656523724521567</v>
      </c>
      <c r="N59" s="17">
        <v>1.4413648842986013</v>
      </c>
      <c r="O59" s="17">
        <v>1.4643108545684922</v>
      </c>
      <c r="P59" s="17">
        <v>1.5925415045076112</v>
      </c>
      <c r="Q59" s="17">
        <v>1.6719365512894584</v>
      </c>
      <c r="R59" s="17">
        <v>1.7802855826807924</v>
      </c>
      <c r="S59" s="17">
        <v>2.5768704825161164</v>
      </c>
      <c r="T59" s="17">
        <v>2.9851598968856683</v>
      </c>
      <c r="U59" s="17">
        <v>2.4605706582790385</v>
      </c>
      <c r="V59" s="37">
        <v>2.4504504504504507</v>
      </c>
      <c r="W59" s="56"/>
      <c r="X59" s="56"/>
      <c r="Y59" s="56"/>
    </row>
    <row r="60" spans="1:25" x14ac:dyDescent="0.25">
      <c r="A60" t="str">
        <f>IFERROR(INDEX('2019 Data (WP)'!$C$9:$C$73,MATCH($B60,'2019 Data (WP)'!$D$9:$D$73,0)),"")</f>
        <v>Electric Utility (East)</v>
      </c>
      <c r="B60" t="s">
        <v>36</v>
      </c>
      <c r="C60" t="s">
        <v>76</v>
      </c>
      <c r="D60" s="35">
        <f t="shared" ca="1" si="10"/>
        <v>56</v>
      </c>
      <c r="E60" s="35">
        <f t="shared" ca="1" si="11"/>
        <v>56</v>
      </c>
      <c r="F60" s="35"/>
      <c r="G60" s="17" t="str">
        <f t="shared" ca="1" si="7"/>
        <v>N/A</v>
      </c>
      <c r="H60" s="17" t="str">
        <f t="shared" ca="1" si="8"/>
        <v>N/A</v>
      </c>
      <c r="I60" s="17" t="str">
        <f t="shared" ca="1" si="9"/>
        <v>N/A</v>
      </c>
      <c r="J60" s="17">
        <f t="shared" ca="1" si="9"/>
        <v>1.6526069445956242</v>
      </c>
      <c r="K60" s="17">
        <f t="shared" ca="1" si="9"/>
        <v>1.7440281556548434</v>
      </c>
      <c r="L60" s="17">
        <v>1.4669204515620897</v>
      </c>
      <c r="M60" s="17">
        <v>1.4832174435573868</v>
      </c>
      <c r="N60" s="17">
        <v>1.4785053509885724</v>
      </c>
      <c r="O60" s="17">
        <v>1.4814567642291925</v>
      </c>
      <c r="P60" s="17">
        <v>1.3559763550746415</v>
      </c>
      <c r="Q60" s="17">
        <v>1.3268727623244285</v>
      </c>
      <c r="R60" s="17">
        <v>1.1991965545944772</v>
      </c>
      <c r="S60" s="17">
        <v>1.4454415348315475</v>
      </c>
      <c r="T60" s="17">
        <v>1.6152057386094909</v>
      </c>
      <c r="U60" s="17">
        <v>1.6370977659356425</v>
      </c>
      <c r="V60" s="37">
        <v>1.7199828657100023</v>
      </c>
      <c r="W60" s="56"/>
      <c r="X60" s="56"/>
      <c r="Y60" s="56"/>
    </row>
    <row r="61" spans="1:25" x14ac:dyDescent="0.25">
      <c r="A61" t="str">
        <f>IFERROR(INDEX('2019 Data (WP)'!$C$9:$C$73,MATCH($B61,'2019 Data (WP)'!$D$9:$D$73,0)),"")</f>
        <v>Electric Utility (West)</v>
      </c>
      <c r="B61" t="s">
        <v>37</v>
      </c>
      <c r="C61" t="s">
        <v>54</v>
      </c>
      <c r="D61" s="35">
        <f t="shared" ca="1" si="10"/>
        <v>57</v>
      </c>
      <c r="E61" s="35">
        <f t="shared" ca="1" si="11"/>
        <v>57</v>
      </c>
      <c r="F61" s="35"/>
      <c r="G61" s="17">
        <f t="shared" ca="1" si="7"/>
        <v>1.8410040647507666</v>
      </c>
      <c r="H61" s="17">
        <f t="shared" ca="1" si="8"/>
        <v>2.2169140102679239</v>
      </c>
      <c r="I61" s="17">
        <f t="shared" ca="1" si="9"/>
        <v>2.05703561966441</v>
      </c>
      <c r="J61" s="17">
        <f t="shared" ca="1" si="9"/>
        <v>2.2350712216799589</v>
      </c>
      <c r="K61" s="17">
        <f t="shared" ca="1" si="9"/>
        <v>1.9960596461407711</v>
      </c>
      <c r="L61" s="17">
        <v>2.1691757779646759</v>
      </c>
      <c r="M61" s="17">
        <v>2.2024184954000741</v>
      </c>
      <c r="N61" s="17">
        <v>1.8446591161447923</v>
      </c>
      <c r="O61" s="17">
        <v>1.5266011361761309</v>
      </c>
      <c r="P61" s="17">
        <v>1.2832231787917958</v>
      </c>
      <c r="Q61" s="17">
        <v>1.3486402258743306</v>
      </c>
      <c r="R61" s="17">
        <v>1.3199682522305547</v>
      </c>
      <c r="S61" s="17">
        <v>1.596042868920033</v>
      </c>
      <c r="T61" s="17">
        <v>1.8722623156573579</v>
      </c>
      <c r="U61" s="17">
        <v>1.6976549413735345</v>
      </c>
      <c r="V61" s="37">
        <v>1.7333723017828064</v>
      </c>
    </row>
    <row r="62" spans="1:25" x14ac:dyDescent="0.25">
      <c r="A62" t="str">
        <f>IFERROR(INDEX('2019 Data (WP)'!$C$9:$C$73,MATCH($B62,'2019 Data (WP)'!$D$9:$D$73,0)),"")</f>
        <v/>
      </c>
      <c r="B62" t="s">
        <v>64</v>
      </c>
      <c r="C62" t="s">
        <v>63</v>
      </c>
      <c r="D62" s="35" t="e">
        <f t="shared" ca="1" si="10"/>
        <v>#N/A</v>
      </c>
      <c r="E62" s="35" t="e">
        <f t="shared" ca="1" si="11"/>
        <v>#N/A</v>
      </c>
      <c r="F62" s="35"/>
      <c r="G62" s="17" t="str">
        <f t="shared" ca="1" si="7"/>
        <v>N/A</v>
      </c>
      <c r="H62" s="17" t="str">
        <f t="shared" ca="1" si="8"/>
        <v>N/A</v>
      </c>
      <c r="I62" s="17" t="str">
        <f t="shared" ca="1" si="9"/>
        <v>N/A</v>
      </c>
      <c r="J62" s="17" t="str">
        <f t="shared" ca="1" si="9"/>
        <v>N/A</v>
      </c>
      <c r="K62" s="17" t="str">
        <f t="shared" ca="1" si="9"/>
        <v>N/A</v>
      </c>
      <c r="L62" s="17" t="s">
        <v>106</v>
      </c>
      <c r="M62" s="17" t="s">
        <v>106</v>
      </c>
      <c r="N62" s="17" t="s">
        <v>106</v>
      </c>
      <c r="O62" s="17" t="s">
        <v>106</v>
      </c>
      <c r="P62" s="17" t="s">
        <v>106</v>
      </c>
      <c r="Q62" s="17" t="s">
        <v>106</v>
      </c>
      <c r="R62" s="17" t="s">
        <v>106</v>
      </c>
      <c r="S62" s="17" t="s">
        <v>106</v>
      </c>
      <c r="T62" s="17" t="s">
        <v>106</v>
      </c>
      <c r="U62" s="17" t="s">
        <v>106</v>
      </c>
      <c r="V62" s="37" t="s">
        <v>106</v>
      </c>
    </row>
    <row r="63" spans="1:25" x14ac:dyDescent="0.25">
      <c r="A63" t="str">
        <f>IFERROR(INDEX('2019 Data (WP)'!$C$9:$C$73,MATCH($B63,'2019 Data (WP)'!$D$9:$D$73,0)),"")</f>
        <v>Water Utility</v>
      </c>
      <c r="B63" s="31" t="s">
        <v>196</v>
      </c>
      <c r="C63" s="31" t="s">
        <v>195</v>
      </c>
      <c r="D63" s="35">
        <f t="shared" ca="1" si="10"/>
        <v>58</v>
      </c>
      <c r="E63" s="35">
        <f t="shared" ca="1" si="11"/>
        <v>58</v>
      </c>
      <c r="F63" s="35"/>
      <c r="G63" s="17">
        <f t="shared" ca="1" si="7"/>
        <v>1.997851605068967</v>
      </c>
      <c r="H63" s="17">
        <f t="shared" ca="1" si="8"/>
        <v>2.0652917665867307</v>
      </c>
      <c r="I63" s="17">
        <f t="shared" ca="1" si="9"/>
        <v>1.9035421124916156</v>
      </c>
      <c r="J63" s="17">
        <f t="shared" ca="1" si="9"/>
        <v>2.3872496898812687</v>
      </c>
      <c r="K63" s="17">
        <f t="shared" ca="1" si="9"/>
        <v>1.9545410440520086</v>
      </c>
      <c r="L63" s="17">
        <v>1.635050451407329</v>
      </c>
      <c r="M63" s="17">
        <v>1.6007435363037232</v>
      </c>
      <c r="N63" s="17">
        <v>1.7117558402411455</v>
      </c>
      <c r="O63" s="17">
        <v>1.6339407125373946</v>
      </c>
      <c r="P63" s="17">
        <v>1.6552574124938375</v>
      </c>
      <c r="Q63" s="17">
        <v>1.7795155306612354</v>
      </c>
      <c r="R63" s="17">
        <v>1.6996047430830037</v>
      </c>
      <c r="S63" s="17">
        <v>2.0325877224326447</v>
      </c>
      <c r="T63" s="17">
        <v>2.6940483570985743</v>
      </c>
      <c r="U63" s="17">
        <v>2.2414069385465911</v>
      </c>
    </row>
    <row r="64" spans="1:25" x14ac:dyDescent="0.25">
      <c r="A64" t="str">
        <f>IFERROR(INDEX('2019 Data (WP)'!$C$9:$C$73,MATCH($B64,'2019 Data (WP)'!$D$9:$D$73,0)),"")</f>
        <v>Natural Gas Utility</v>
      </c>
      <c r="B64" s="31" t="s">
        <v>198</v>
      </c>
      <c r="C64" s="31" t="s">
        <v>197</v>
      </c>
      <c r="D64" s="35">
        <f t="shared" ca="1" si="10"/>
        <v>59</v>
      </c>
      <c r="E64" s="35">
        <f t="shared" ca="1" si="11"/>
        <v>59</v>
      </c>
      <c r="F64" s="35"/>
      <c r="G64" s="17">
        <f t="shared" ca="1" si="7"/>
        <v>1.5150505723457091</v>
      </c>
      <c r="H64" s="17">
        <f t="shared" ca="1" si="8"/>
        <v>2.0555483452303696</v>
      </c>
      <c r="I64" s="17">
        <f t="shared" ca="1" si="9"/>
        <v>2.1083142124443244</v>
      </c>
      <c r="J64" s="17">
        <f t="shared" ca="1" si="9"/>
        <v>2.2909939959973316</v>
      </c>
      <c r="K64" s="17">
        <f t="shared" ca="1" si="9"/>
        <v>1.7937858331792123</v>
      </c>
      <c r="L64" s="17">
        <v>1.7678522571819426</v>
      </c>
      <c r="M64" s="17">
        <v>2.0683766947599853</v>
      </c>
      <c r="N64" s="17">
        <v>2.2658438167576551</v>
      </c>
      <c r="O64" s="17">
        <v>2.2062086163900592</v>
      </c>
      <c r="P64" s="17">
        <v>2.5855358698809177</v>
      </c>
      <c r="Q64" s="17">
        <v>2.3779081953468877</v>
      </c>
      <c r="R64" s="17">
        <v>1.9509975882481914</v>
      </c>
      <c r="S64" s="17">
        <v>2.0820447726748208</v>
      </c>
      <c r="T64" s="17">
        <v>2.2099950763170852</v>
      </c>
      <c r="U64" s="17">
        <v>1.9307651575324332</v>
      </c>
    </row>
    <row r="65" spans="1:22" x14ac:dyDescent="0.25">
      <c r="A65" t="str">
        <f>IFERROR(INDEX('2019 Data (WP)'!$C$9:$C$73,MATCH($B65,'2019 Data (WP)'!$D$9:$D$73,0)),"")</f>
        <v>Electric Utility (East)</v>
      </c>
      <c r="B65" t="s">
        <v>38</v>
      </c>
      <c r="C65" t="s">
        <v>77</v>
      </c>
      <c r="D65" s="35">
        <f t="shared" ca="1" si="10"/>
        <v>60</v>
      </c>
      <c r="E65" s="35">
        <f t="shared" ca="1" si="11"/>
        <v>60</v>
      </c>
      <c r="F65" s="35"/>
      <c r="G65" s="17">
        <f t="shared" ca="1" si="7"/>
        <v>2.1985496846319448</v>
      </c>
      <c r="H65" s="17">
        <f t="shared" ca="1" si="8"/>
        <v>2.1344489545837479</v>
      </c>
      <c r="I65" s="17">
        <f t="shared" ca="1" si="9"/>
        <v>1.8893999581852396</v>
      </c>
      <c r="J65" s="17">
        <f t="shared" ca="1" si="9"/>
        <v>2.0722951844903066</v>
      </c>
      <c r="K65" s="17">
        <f t="shared" ca="1" si="9"/>
        <v>2.0104008320665652</v>
      </c>
      <c r="L65" s="17">
        <v>1.9928274152129639</v>
      </c>
      <c r="M65" s="17">
        <v>2.0222970513287222</v>
      </c>
      <c r="N65" s="17">
        <v>2.03957623559061</v>
      </c>
      <c r="O65" s="17">
        <v>2.148636471425184</v>
      </c>
      <c r="P65" s="17">
        <v>1.9888768579584601</v>
      </c>
      <c r="Q65" s="17">
        <v>1.8299500312304808</v>
      </c>
      <c r="R65" s="17">
        <v>1.7280740414279416</v>
      </c>
      <c r="S65" s="17">
        <v>2.1242243297037819</v>
      </c>
      <c r="T65" s="17">
        <v>2.2409118915588415</v>
      </c>
      <c r="U65" s="17">
        <v>2.2311478637527076</v>
      </c>
      <c r="V65" s="37">
        <v>2.3518312985571588</v>
      </c>
    </row>
    <row r="66" spans="1:22" x14ac:dyDescent="0.25">
      <c r="A66" t="str">
        <f>IFERROR(INDEX('2019 Data (WP)'!$C$9:$C$73,MATCH($B66,'2019 Data (WP)'!$D$9:$D$73,0)),"")</f>
        <v>Natural Gas Utility</v>
      </c>
      <c r="B66" s="31" t="s">
        <v>200</v>
      </c>
      <c r="C66" s="31" t="s">
        <v>199</v>
      </c>
      <c r="D66" s="35">
        <f t="shared" ca="1" si="10"/>
        <v>61</v>
      </c>
      <c r="E66" s="35">
        <f t="shared" ca="1" si="11"/>
        <v>61</v>
      </c>
      <c r="F66" s="35"/>
      <c r="G66" s="17">
        <f t="shared" ca="1" si="7"/>
        <v>1.4867759936712919</v>
      </c>
      <c r="H66" s="17">
        <f t="shared" ca="1" si="8"/>
        <v>1.8417991043989816</v>
      </c>
      <c r="I66" s="17">
        <f t="shared" ca="1" si="9"/>
        <v>1.7856840122439368</v>
      </c>
      <c r="J66" s="17">
        <f t="shared" ca="1" si="9"/>
        <v>2.1309060073667752</v>
      </c>
      <c r="K66" s="17">
        <f t="shared" ca="1" si="9"/>
        <v>1.9644916366957812</v>
      </c>
      <c r="L66" s="17">
        <v>1.6815436341456156</v>
      </c>
      <c r="M66" s="17">
        <v>1.6827558143174635</v>
      </c>
      <c r="N66" s="17">
        <v>1.6084088223710122</v>
      </c>
      <c r="O66" s="17">
        <v>1.5132075471698112</v>
      </c>
      <c r="P66" s="17">
        <v>1.4300558952620326</v>
      </c>
      <c r="Q66" s="17">
        <v>1.2379465157134493</v>
      </c>
      <c r="R66" s="17">
        <v>0.9682909864571827</v>
      </c>
      <c r="S66" s="17">
        <v>1.1996593570364062</v>
      </c>
      <c r="T66" s="17">
        <v>1.4646649260226283</v>
      </c>
      <c r="U66" s="17">
        <v>1.4622121310411937</v>
      </c>
    </row>
    <row r="67" spans="1:22" x14ac:dyDescent="0.25">
      <c r="A67" t="str">
        <f>IFERROR(INDEX('2019 Data (WP)'!$C$9:$C$73,MATCH($B67,'2019 Data (WP)'!$D$9:$D$73,0)),"")</f>
        <v>Natural Gas Utility</v>
      </c>
      <c r="B67" s="31" t="s">
        <v>244</v>
      </c>
      <c r="C67" s="31" t="s">
        <v>243</v>
      </c>
      <c r="D67" s="35">
        <f t="shared" ca="1" si="10"/>
        <v>62</v>
      </c>
      <c r="E67" s="35">
        <f t="shared" ca="1" si="11"/>
        <v>62</v>
      </c>
      <c r="F67" s="35"/>
      <c r="G67" s="17">
        <f t="shared" ca="1" si="7"/>
        <v>1.6657087255611875</v>
      </c>
      <c r="H67" s="17">
        <f t="shared" ca="1" si="8"/>
        <v>1.7768990496444474</v>
      </c>
      <c r="I67" s="17">
        <f t="shared" ca="1" si="9"/>
        <v>1.6286677151201978</v>
      </c>
      <c r="J67" s="17">
        <f t="shared" ca="1" si="9"/>
        <v>1.6476647519329115</v>
      </c>
      <c r="K67" s="17">
        <f t="shared" ca="1" si="9"/>
        <v>1.6407197996540419</v>
      </c>
      <c r="L67" s="17">
        <v>1.4353647784879877</v>
      </c>
      <c r="M67" s="17">
        <v>1.3319496135127398</v>
      </c>
      <c r="N67" s="17">
        <v>1.3416669270914716</v>
      </c>
      <c r="O67" s="17">
        <v>1.5124840668816075</v>
      </c>
      <c r="P67" s="17">
        <v>1.4598200312989047</v>
      </c>
      <c r="Q67" s="17">
        <v>1.3895941727367325</v>
      </c>
      <c r="R67" s="17">
        <v>1.6762852120224669</v>
      </c>
      <c r="S67" s="17">
        <v>1.7083954970839548</v>
      </c>
      <c r="T67" s="17">
        <v>1.6559025672124521</v>
      </c>
      <c r="U67" s="17">
        <v>1.7099580879622263</v>
      </c>
    </row>
    <row r="68" spans="1:22" x14ac:dyDescent="0.25">
      <c r="A68" t="str">
        <f>IFERROR(INDEX('2019 Data (WP)'!$C$9:$C$73,MATCH($B68,'2019 Data (WP)'!$D$9:$D$73,0)),"")</f>
        <v/>
      </c>
      <c r="B68" t="s">
        <v>39</v>
      </c>
      <c r="C68" t="s">
        <v>78</v>
      </c>
      <c r="D68" s="35" t="e">
        <f t="shared" ca="1" si="10"/>
        <v>#N/A</v>
      </c>
      <c r="E68" s="35" t="e">
        <f t="shared" ca="1" si="11"/>
        <v>#N/A</v>
      </c>
      <c r="F68" s="35"/>
      <c r="G68" s="17" t="str">
        <f t="shared" ca="1" si="7"/>
        <v>N/A</v>
      </c>
      <c r="H68" s="17" t="str">
        <f t="shared" ca="1" si="8"/>
        <v>N/A</v>
      </c>
      <c r="I68" s="17" t="str">
        <f t="shared" ca="1" si="9"/>
        <v>N/A</v>
      </c>
      <c r="J68" s="17" t="str">
        <f t="shared" ca="1" si="9"/>
        <v>N/A</v>
      </c>
      <c r="K68" s="17" t="str">
        <f t="shared" ca="1" si="9"/>
        <v>N/A</v>
      </c>
      <c r="L68" s="17" t="s">
        <v>106</v>
      </c>
      <c r="M68" s="17" t="s">
        <v>106</v>
      </c>
      <c r="N68" s="17" t="s">
        <v>106</v>
      </c>
      <c r="O68" s="17" t="s">
        <v>106</v>
      </c>
      <c r="P68" s="17" t="s">
        <v>106</v>
      </c>
      <c r="Q68" s="17" t="s">
        <v>106</v>
      </c>
      <c r="R68" s="17" t="s">
        <v>106</v>
      </c>
      <c r="S68" s="17" t="s">
        <v>106</v>
      </c>
      <c r="T68" s="17" t="s">
        <v>106</v>
      </c>
      <c r="U68" s="17" t="s">
        <v>106</v>
      </c>
      <c r="V68" s="37">
        <v>2.2347939829954222</v>
      </c>
    </row>
    <row r="69" spans="1:22" x14ac:dyDescent="0.25">
      <c r="A69" t="str">
        <f>IFERROR(INDEX('2019 Data (WP)'!$C$9:$C$73,MATCH($B69,'2019 Data (WP)'!$D$9:$D$73,0)),"")</f>
        <v>Natural Gas Utility</v>
      </c>
      <c r="B69" s="31" t="s">
        <v>204</v>
      </c>
      <c r="C69" s="31" t="s">
        <v>203</v>
      </c>
      <c r="D69" s="35">
        <f t="shared" ca="1" si="10"/>
        <v>64</v>
      </c>
      <c r="E69" s="35">
        <f t="shared" ca="1" si="11"/>
        <v>64</v>
      </c>
      <c r="F69" s="35"/>
      <c r="G69" s="17">
        <f t="shared" ref="G69:G78" ca="1" si="13">IFERROR(INDEX(MarketPrice,$D69,G$2)/INDEX(BookValue,$E69,G$2),"N/A")</f>
        <v>1.8698675328630159</v>
      </c>
      <c r="H69" s="17">
        <f t="shared" ca="1" si="8"/>
        <v>2.9214891869696138</v>
      </c>
      <c r="I69" s="17">
        <f t="shared" ref="I69:K78" ca="1" si="14">IFERROR(INDEX(MarketPrice,$D69,I$2)/INDEX(BookValue,$E69,I$2),"N/A")</f>
        <v>2.3032166508987699</v>
      </c>
      <c r="J69" s="17">
        <f t="shared" ca="1" si="14"/>
        <v>2.6248831197403879</v>
      </c>
      <c r="K69" s="17">
        <f t="shared" ca="1" si="14"/>
        <v>2.4064986334649254</v>
      </c>
      <c r="L69" s="17">
        <v>2.2897106109324756</v>
      </c>
      <c r="M69" s="17">
        <v>1.9712875146160842</v>
      </c>
      <c r="N69" s="17">
        <v>1.6857260386672153</v>
      </c>
      <c r="O69" s="17">
        <v>1.4543871602695131</v>
      </c>
      <c r="P69" s="17">
        <v>1.7501908558826025</v>
      </c>
      <c r="Q69" s="17">
        <v>1.5532029912604739</v>
      </c>
      <c r="R69" s="17">
        <v>1.6565057283142388</v>
      </c>
      <c r="S69" s="17">
        <v>2.0057954545454542</v>
      </c>
      <c r="T69" s="17">
        <v>2.1626527895437495</v>
      </c>
      <c r="U69" s="17">
        <v>2.2097238204833141</v>
      </c>
    </row>
    <row r="70" spans="1:22" x14ac:dyDescent="0.25">
      <c r="A70" t="str">
        <f>IFERROR(INDEX('2019 Data (WP)'!$C$9:$C$73,MATCH($B70,'2019 Data (WP)'!$D$9:$D$73,0)),"")</f>
        <v/>
      </c>
      <c r="B70" t="s">
        <v>40</v>
      </c>
      <c r="C70" t="s">
        <v>81</v>
      </c>
      <c r="D70" s="35" t="e">
        <f t="shared" ca="1" si="10"/>
        <v>#N/A</v>
      </c>
      <c r="E70" s="35" t="e">
        <f t="shared" ca="1" si="11"/>
        <v>#N/A</v>
      </c>
      <c r="F70" s="35"/>
      <c r="G70" s="17" t="str">
        <f t="shared" ca="1" si="13"/>
        <v>N/A</v>
      </c>
      <c r="H70" s="17" t="str">
        <f t="shared" ca="1" si="8"/>
        <v>N/A</v>
      </c>
      <c r="I70" s="17" t="str">
        <f t="shared" ca="1" si="14"/>
        <v>N/A</v>
      </c>
      <c r="J70" s="17" t="str">
        <f t="shared" ca="1" si="14"/>
        <v>N/A</v>
      </c>
      <c r="K70" s="17" t="str">
        <f t="shared" ca="1" si="14"/>
        <v>N/A</v>
      </c>
      <c r="L70" s="17" t="s">
        <v>106</v>
      </c>
      <c r="M70" s="17" t="s">
        <v>106</v>
      </c>
      <c r="N70" s="17" t="s">
        <v>106</v>
      </c>
      <c r="O70" s="17" t="s">
        <v>106</v>
      </c>
      <c r="P70" s="17" t="s">
        <v>106</v>
      </c>
      <c r="Q70" s="17" t="s">
        <v>106</v>
      </c>
      <c r="R70" s="17" t="s">
        <v>106</v>
      </c>
      <c r="S70" s="17" t="s">
        <v>106</v>
      </c>
      <c r="T70" s="17" t="s">
        <v>106</v>
      </c>
      <c r="U70" s="17" t="s">
        <v>106</v>
      </c>
      <c r="V70" s="37" t="s">
        <v>106</v>
      </c>
    </row>
    <row r="71" spans="1:22" x14ac:dyDescent="0.25">
      <c r="A71" t="str">
        <f>IFERROR(INDEX('2019 Data (WP)'!$C$9:$C$73,MATCH($B71,'2019 Data (WP)'!$D$9:$D$73,0)),"")</f>
        <v/>
      </c>
      <c r="B71" t="s">
        <v>41</v>
      </c>
      <c r="C71" t="s">
        <v>79</v>
      </c>
      <c r="D71" s="35" t="e">
        <f t="shared" ca="1" si="10"/>
        <v>#N/A</v>
      </c>
      <c r="E71" s="35" t="e">
        <f t="shared" ca="1" si="11"/>
        <v>#N/A</v>
      </c>
      <c r="F71" s="35"/>
      <c r="G71" s="17" t="str">
        <f t="shared" ca="1" si="13"/>
        <v>N/A</v>
      </c>
      <c r="H71" s="17" t="str">
        <f t="shared" ca="1" si="8"/>
        <v>N/A</v>
      </c>
      <c r="I71" s="17" t="str">
        <f t="shared" ca="1" si="14"/>
        <v>N/A</v>
      </c>
      <c r="J71" s="17" t="str">
        <f t="shared" ca="1" si="14"/>
        <v>N/A</v>
      </c>
      <c r="K71" s="17" t="str">
        <f t="shared" ca="1" si="14"/>
        <v>N/A</v>
      </c>
      <c r="L71" s="17" t="s">
        <v>106</v>
      </c>
      <c r="M71" s="17" t="s">
        <v>106</v>
      </c>
      <c r="N71" s="17" t="s">
        <v>106</v>
      </c>
      <c r="O71" s="17" t="s">
        <v>106</v>
      </c>
      <c r="P71" s="17" t="s">
        <v>106</v>
      </c>
      <c r="Q71" s="17" t="s">
        <v>106</v>
      </c>
      <c r="R71" s="17" t="s">
        <v>106</v>
      </c>
      <c r="S71" s="17" t="s">
        <v>106</v>
      </c>
      <c r="T71" s="17" t="s">
        <v>106</v>
      </c>
      <c r="U71" s="17" t="s">
        <v>106</v>
      </c>
      <c r="V71" s="37" t="s">
        <v>106</v>
      </c>
    </row>
    <row r="72" spans="1:22" x14ac:dyDescent="0.25">
      <c r="A72" t="str">
        <f>IFERROR(INDEX('2019 Data (WP)'!$C$9:$C$73,MATCH($B72,'2019 Data (WP)'!$D$9:$D$73,0)),"")</f>
        <v/>
      </c>
      <c r="B72" t="s">
        <v>83</v>
      </c>
      <c r="C72" t="s">
        <v>82</v>
      </c>
      <c r="D72" s="35">
        <f t="shared" ca="1" si="10"/>
        <v>65</v>
      </c>
      <c r="E72" s="35">
        <f t="shared" ca="1" si="11"/>
        <v>65</v>
      </c>
      <c r="F72" s="35"/>
      <c r="G72" s="17">
        <f t="shared" ca="1" si="13"/>
        <v>1.8341758962682824</v>
      </c>
      <c r="H72" s="17">
        <f t="shared" ca="1" si="8"/>
        <v>2.2895654931810974</v>
      </c>
      <c r="I72" s="17">
        <f t="shared" ca="1" si="14"/>
        <v>2.0436864406779662</v>
      </c>
      <c r="J72" s="17">
        <f t="shared" ca="1" si="14"/>
        <v>2.1162903296800035</v>
      </c>
      <c r="K72" s="17">
        <f t="shared" ca="1" si="14"/>
        <v>1.9529411764705884</v>
      </c>
      <c r="L72" s="17">
        <v>1.7338482103074409</v>
      </c>
      <c r="M72" s="17">
        <v>1.6775031847133757</v>
      </c>
      <c r="N72" s="17">
        <v>1.516688430399582</v>
      </c>
      <c r="O72" s="17">
        <v>1.4140558848433529</v>
      </c>
      <c r="P72" s="17">
        <v>1.4386857142857143</v>
      </c>
      <c r="Q72" s="17">
        <v>1.2729472774416593</v>
      </c>
      <c r="R72" s="17">
        <v>1.1739716033447445</v>
      </c>
      <c r="S72" s="17">
        <v>1.4577189454870421</v>
      </c>
      <c r="T72" s="17">
        <v>1.5968783946029388</v>
      </c>
      <c r="U72" s="17">
        <v>1.4355388616006934</v>
      </c>
      <c r="V72" s="37">
        <v>1.559888417504504</v>
      </c>
    </row>
    <row r="73" spans="1:22" x14ac:dyDescent="0.25">
      <c r="A73" t="str">
        <f>IFERROR(INDEX('2019 Data (WP)'!$C$9:$C$73,MATCH($B73,'2019 Data (WP)'!$D$9:$D$73,0)),"")</f>
        <v>Electric Util. (Central)</v>
      </c>
      <c r="B73" t="s">
        <v>42</v>
      </c>
      <c r="C73" t="s">
        <v>89</v>
      </c>
      <c r="D73" s="35">
        <f t="shared" ca="1" si="10"/>
        <v>66</v>
      </c>
      <c r="E73" s="35">
        <f t="shared" ca="1" si="11"/>
        <v>66</v>
      </c>
      <c r="F73" s="35"/>
      <c r="G73" s="17" t="str">
        <f t="shared" ca="1" si="13"/>
        <v>N/A</v>
      </c>
      <c r="H73" s="17" t="str">
        <f t="shared" ca="1" si="8"/>
        <v>N/A</v>
      </c>
      <c r="I73" s="17" t="str">
        <f t="shared" ca="1" si="14"/>
        <v>N/A</v>
      </c>
      <c r="J73" s="17">
        <f t="shared" ca="1" si="14"/>
        <v>2.746465598491989</v>
      </c>
      <c r="K73" s="17">
        <f t="shared" ca="1" si="14"/>
        <v>2.2929482370592651</v>
      </c>
      <c r="L73" s="17">
        <v>2.1063139260424864</v>
      </c>
      <c r="M73" s="17">
        <v>2.0753213367609256</v>
      </c>
      <c r="N73" s="17">
        <v>1.8185336372793297</v>
      </c>
      <c r="O73" s="17">
        <v>1.5692664009479695</v>
      </c>
      <c r="P73" s="17">
        <v>1.5300659438918076</v>
      </c>
      <c r="Q73" s="17">
        <v>1.4063138769021124</v>
      </c>
      <c r="R73" s="17">
        <v>1.3393313211051776</v>
      </c>
      <c r="S73" s="17">
        <v>1.6404891793057967</v>
      </c>
      <c r="T73" s="17">
        <v>1.7367704400569413</v>
      </c>
      <c r="U73" s="17">
        <v>1.7654569021386908</v>
      </c>
      <c r="V73" s="37">
        <v>1.8218831212101021</v>
      </c>
    </row>
    <row r="74" spans="1:22" x14ac:dyDescent="0.25">
      <c r="A74" t="str">
        <f>IFERROR(INDEX('2019 Data (WP)'!$C$9:$C$73,MATCH($B74,'2019 Data (WP)'!$D$9:$D$73,0)),"")</f>
        <v>Electric Util. (Central)</v>
      </c>
      <c r="B74" t="s">
        <v>44</v>
      </c>
      <c r="C74" t="s">
        <v>217</v>
      </c>
      <c r="D74" s="35">
        <f t="shared" ca="1" si="10"/>
        <v>67</v>
      </c>
      <c r="E74" s="35">
        <f t="shared" ca="1" si="11"/>
        <v>67</v>
      </c>
      <c r="F74" s="35"/>
      <c r="G74" s="17">
        <f t="shared" ca="1" si="13"/>
        <v>2.8416739477569219</v>
      </c>
      <c r="H74" s="17">
        <f t="shared" ca="1" si="8"/>
        <v>2.6223566839248957</v>
      </c>
      <c r="I74" s="17">
        <f t="shared" ca="1" si="14"/>
        <v>2.1064337287261474</v>
      </c>
      <c r="J74" s="17">
        <f t="shared" ca="1" si="14"/>
        <v>2.0959607751575997</v>
      </c>
      <c r="K74" s="17">
        <f t="shared" ca="1" si="14"/>
        <v>2.0868059237267169</v>
      </c>
      <c r="L74" s="17">
        <v>1.8208710242194339</v>
      </c>
      <c r="M74" s="17">
        <v>2.3404939279518318</v>
      </c>
      <c r="N74" s="17">
        <v>2.2113916617733413</v>
      </c>
      <c r="O74" s="17">
        <v>2.0509582364019057</v>
      </c>
      <c r="P74" s="17">
        <v>1.8064553649316661</v>
      </c>
      <c r="Q74" s="17">
        <v>1.6539596655189375</v>
      </c>
      <c r="R74" s="17">
        <v>1.3998033431661749</v>
      </c>
      <c r="S74" s="17">
        <v>1.5682550805886477</v>
      </c>
      <c r="T74" s="17">
        <v>1.7651498000150934</v>
      </c>
      <c r="U74" s="17">
        <v>1.7066968985342943</v>
      </c>
      <c r="V74" s="37">
        <v>1.6161501527717155</v>
      </c>
    </row>
    <row r="75" spans="1:22" x14ac:dyDescent="0.25">
      <c r="A75" t="str">
        <f>IFERROR(INDEX('2019 Data (WP)'!$C$9:$C$73,MATCH($B75,'2019 Data (WP)'!$D$9:$D$73,0)),"")</f>
        <v>Electric Util. (Central)</v>
      </c>
      <c r="B75" t="s">
        <v>43</v>
      </c>
      <c r="C75" t="s">
        <v>87</v>
      </c>
      <c r="D75" s="35">
        <f t="shared" ca="1" si="10"/>
        <v>68</v>
      </c>
      <c r="E75" s="35">
        <f t="shared" ca="1" si="11"/>
        <v>68</v>
      </c>
      <c r="F75" s="35"/>
      <c r="G75" s="17" t="str">
        <f t="shared" ca="1" si="13"/>
        <v>N/A</v>
      </c>
      <c r="H75" s="17" t="str">
        <f t="shared" ca="1" si="8"/>
        <v>N/A</v>
      </c>
      <c r="I75" s="17" t="str">
        <f t="shared" ca="1" si="14"/>
        <v>N/A</v>
      </c>
      <c r="J75" s="17">
        <f t="shared" ca="1" si="14"/>
        <v>1.9363636363636363</v>
      </c>
      <c r="K75" s="17">
        <f t="shared" ca="1" si="14"/>
        <v>1.9542490965314256</v>
      </c>
      <c r="L75" s="17">
        <v>1.4909350960609224</v>
      </c>
      <c r="M75" s="17">
        <v>1.4424860111910471</v>
      </c>
      <c r="N75" s="17">
        <v>1.3343942376146405</v>
      </c>
      <c r="O75" s="17">
        <v>1.2612038088582163</v>
      </c>
      <c r="P75" s="17">
        <v>1.200717171258681</v>
      </c>
      <c r="Q75" s="17">
        <v>1.0974542374476495</v>
      </c>
      <c r="R75" s="17">
        <v>0.92936947440007789</v>
      </c>
      <c r="S75" s="17">
        <v>1.1009215219976218</v>
      </c>
      <c r="T75" s="17">
        <v>1.3558702126547886</v>
      </c>
      <c r="U75" s="17">
        <v>1.2996309963099633</v>
      </c>
      <c r="V75" s="37">
        <v>1.4052860734653831</v>
      </c>
    </row>
    <row r="76" spans="1:22" x14ac:dyDescent="0.25">
      <c r="A76" t="str">
        <f>IFERROR(INDEX('2019 Data (WP)'!$C$9:$C$73,MATCH($B76,'2019 Data (WP)'!$D$9:$D$73,0)),"")</f>
        <v>Natural Gas Utility</v>
      </c>
      <c r="B76" s="31" t="s">
        <v>206</v>
      </c>
      <c r="C76" s="31" t="s">
        <v>205</v>
      </c>
      <c r="D76" s="35">
        <f t="shared" ca="1" si="10"/>
        <v>69</v>
      </c>
      <c r="E76" s="35">
        <f t="shared" ca="1" si="11"/>
        <v>69</v>
      </c>
      <c r="F76" s="35"/>
      <c r="G76" s="17" t="str">
        <f t="shared" ca="1" si="13"/>
        <v>N/A</v>
      </c>
      <c r="H76" s="17" t="str">
        <f t="shared" ca="1" si="8"/>
        <v>N/A</v>
      </c>
      <c r="I76" s="17" t="str">
        <f t="shared" ca="1" si="14"/>
        <v>N/A</v>
      </c>
      <c r="J76" s="17">
        <f t="shared" ca="1" si="14"/>
        <v>2.6913483490646404</v>
      </c>
      <c r="K76" s="17">
        <f t="shared" ca="1" si="14"/>
        <v>2.448203749346479</v>
      </c>
      <c r="L76" s="17">
        <v>2.1502022183958678</v>
      </c>
      <c r="M76" s="17">
        <v>1.6859740906826108</v>
      </c>
      <c r="N76" s="17">
        <v>1.7094589113328467</v>
      </c>
      <c r="O76" s="17">
        <v>1.6606063065622336</v>
      </c>
      <c r="P76" s="17">
        <v>1.6255054697143831</v>
      </c>
      <c r="Q76" s="17">
        <v>1.5030233984751555</v>
      </c>
      <c r="R76" s="17">
        <v>1.4543876478918278</v>
      </c>
      <c r="S76" s="17">
        <v>1.5883446106928427</v>
      </c>
      <c r="T76" s="17">
        <v>1.6442472521932037</v>
      </c>
      <c r="U76" s="17">
        <v>1.5905812473483241</v>
      </c>
    </row>
    <row r="77" spans="1:22" x14ac:dyDescent="0.25">
      <c r="A77" t="str">
        <f>IFERROR(INDEX('2019 Data (WP)'!$C$9:$C$73,MATCH($B77,'2019 Data (WP)'!$D$9:$D$73,0)),"")</f>
        <v>Electric Utility (West)</v>
      </c>
      <c r="B77" t="s">
        <v>45</v>
      </c>
      <c r="C77" t="s">
        <v>65</v>
      </c>
      <c r="D77" s="35">
        <f t="shared" ca="1" si="10"/>
        <v>70</v>
      </c>
      <c r="E77" s="35">
        <f t="shared" ca="1" si="11"/>
        <v>70</v>
      </c>
      <c r="F77" s="35"/>
      <c r="G77" s="17">
        <f t="shared" ca="1" si="13"/>
        <v>2.456801504480254</v>
      </c>
      <c r="H77" s="17">
        <f t="shared" ca="1" si="8"/>
        <v>2.3365030310234158</v>
      </c>
      <c r="I77" s="17">
        <f t="shared" ca="1" si="14"/>
        <v>1.9667746141228919</v>
      </c>
      <c r="J77" s="17">
        <f t="shared" ca="1" si="14"/>
        <v>2.0590868794326243</v>
      </c>
      <c r="K77" s="17">
        <f t="shared" ca="1" si="14"/>
        <v>1.8790960972017672</v>
      </c>
      <c r="L77" s="17">
        <v>1.6627088619715611</v>
      </c>
      <c r="M77" s="17">
        <v>1.5519136505421598</v>
      </c>
      <c r="N77" s="17">
        <v>1.4953149401353463</v>
      </c>
      <c r="O77" s="17">
        <v>1.5077532167601453</v>
      </c>
      <c r="P77" s="17">
        <v>1.4050473186119874</v>
      </c>
      <c r="Q77" s="17">
        <v>1.3151739363923862</v>
      </c>
      <c r="R77" s="17">
        <v>1.1853759658269991</v>
      </c>
      <c r="S77" s="17">
        <v>1.3020982666492897</v>
      </c>
      <c r="T77" s="17">
        <v>1.529908132017693</v>
      </c>
      <c r="U77" s="17">
        <v>1.3991037669794146</v>
      </c>
      <c r="V77" s="37">
        <v>1.3783177570093457</v>
      </c>
    </row>
    <row r="78" spans="1:22" x14ac:dyDescent="0.25">
      <c r="A78" t="str">
        <f>IFERROR(INDEX('2019 Data (WP)'!$C$9:$C$73,MATCH($B78,'2019 Data (WP)'!$D$9:$D$73,0)),"")</f>
        <v>Water Utility</v>
      </c>
      <c r="B78" s="31" t="s">
        <v>208</v>
      </c>
      <c r="C78" s="31" t="s">
        <v>207</v>
      </c>
      <c r="D78" s="35">
        <f t="shared" ca="1" si="10"/>
        <v>71</v>
      </c>
      <c r="E78" s="35">
        <f t="shared" ca="1" si="11"/>
        <v>71</v>
      </c>
      <c r="F78" s="35"/>
      <c r="G78" s="17">
        <f t="shared" ca="1" si="13"/>
        <v>4.1326586433260388</v>
      </c>
      <c r="H78" s="17">
        <f t="shared" ca="1" si="8"/>
        <v>3.6336566440349176</v>
      </c>
      <c r="I78" s="17">
        <f t="shared" ca="1" si="14"/>
        <v>3.2327418196738122</v>
      </c>
      <c r="J78" s="17">
        <f t="shared" ca="1" si="14"/>
        <v>3.7700517464424319</v>
      </c>
      <c r="K78" s="17">
        <f t="shared" ca="1" si="14"/>
        <v>3.3969577464788734</v>
      </c>
      <c r="L78" s="17">
        <v>2.6802537295900386</v>
      </c>
      <c r="M78" s="17">
        <v>2.5188957055214725</v>
      </c>
      <c r="N78" s="17">
        <v>2.469843260188088</v>
      </c>
      <c r="O78" s="17">
        <v>2.2777274492040895</v>
      </c>
      <c r="P78" s="17">
        <v>2.27917282127031</v>
      </c>
      <c r="Q78" s="17">
        <v>2.0460361613351878</v>
      </c>
      <c r="R78" s="17">
        <v>2.0221066319895966</v>
      </c>
      <c r="S78" s="17">
        <v>2.2825484764542936</v>
      </c>
      <c r="T78" s="17">
        <v>2.8884795713328866</v>
      </c>
      <c r="U78" s="17">
        <v>3.1060839760068548</v>
      </c>
    </row>
    <row r="79" spans="1:22" x14ac:dyDescent="0.25">
      <c r="B79" s="31"/>
      <c r="C79" s="31"/>
      <c r="D79" s="35"/>
      <c r="E79" s="35"/>
      <c r="F79" s="35"/>
      <c r="G79" s="35"/>
      <c r="H79" s="3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</sheetData>
  <autoFilter ref="A4:Y78"/>
  <sortState ref="A5:Q78">
    <sortCondition ref="C5:C78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X79"/>
  <sheetViews>
    <sheetView zoomScale="70" zoomScaleNormal="70" workbookViewId="0">
      <selection activeCell="H5" sqref="H5:H78"/>
    </sheetView>
  </sheetViews>
  <sheetFormatPr defaultRowHeight="13.8" x14ac:dyDescent="0.25"/>
  <cols>
    <col min="1" max="1" width="15.19921875" customWidth="1"/>
    <col min="2" max="2" width="7.5" bestFit="1" customWidth="1"/>
    <col min="3" max="3" width="22.19921875" customWidth="1"/>
    <col min="4" max="4" width="6.09765625" bestFit="1" customWidth="1"/>
    <col min="5" max="5" width="2.8984375" bestFit="1" customWidth="1"/>
    <col min="6" max="6" width="1.5" customWidth="1"/>
    <col min="7" max="8" width="5.09765625" customWidth="1"/>
    <col min="9" max="10" width="6.09765625" customWidth="1"/>
    <col min="11" max="11" width="6" customWidth="1"/>
    <col min="12" max="15" width="6" bestFit="1" customWidth="1"/>
    <col min="16" max="16" width="5" bestFit="1" customWidth="1"/>
    <col min="17" max="21" width="6" bestFit="1" customWidth="1"/>
    <col min="22" max="24" width="9.19921875" style="31" customWidth="1"/>
  </cols>
  <sheetData>
    <row r="1" spans="1:24" x14ac:dyDescent="0.25">
      <c r="A1" t="s">
        <v>357</v>
      </c>
    </row>
    <row r="2" spans="1:24" x14ac:dyDescent="0.25">
      <c r="E2" s="35"/>
      <c r="F2" s="35"/>
      <c r="G2" s="35">
        <f ca="1">MATCH(G3,OFFSET(BookValue,-2,0,1,),0)</f>
        <v>2</v>
      </c>
      <c r="H2" s="35">
        <f ca="1">MATCH(H3,OFFSET(BookValue,-2,0,1,),0)</f>
        <v>3</v>
      </c>
      <c r="I2" s="35">
        <f ca="1">MATCH(I3,OFFSET(BookValue,-2,0,1,),0)</f>
        <v>4</v>
      </c>
      <c r="J2" s="35">
        <f t="shared" ref="J2:U2" ca="1" si="0">MATCH(J3,OFFSET(BookValue,-2,0,1,),0)</f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>
        <f t="shared" ca="1" si="0"/>
        <v>13</v>
      </c>
      <c r="S2" s="35">
        <f t="shared" ca="1" si="0"/>
        <v>14</v>
      </c>
      <c r="T2" s="35">
        <f t="shared" ca="1" si="0"/>
        <v>15</v>
      </c>
      <c r="U2" s="35">
        <f t="shared" ca="1" si="0"/>
        <v>16</v>
      </c>
      <c r="V2" s="54"/>
      <c r="W2" s="54"/>
      <c r="X2" s="54"/>
    </row>
    <row r="3" spans="1:24" ht="14.4" thickBot="1" x14ac:dyDescent="0.3">
      <c r="D3" s="35" t="s">
        <v>317</v>
      </c>
      <c r="E3" s="35" t="s">
        <v>213</v>
      </c>
      <c r="F3" s="35"/>
      <c r="G3" s="35">
        <v>2020</v>
      </c>
      <c r="H3" s="35">
        <v>2019</v>
      </c>
      <c r="I3" s="35">
        <v>2018</v>
      </c>
      <c r="J3" s="35">
        <v>2017</v>
      </c>
      <c r="K3" s="48">
        <v>2016</v>
      </c>
      <c r="L3" s="48">
        <v>2015</v>
      </c>
      <c r="M3" s="48">
        <v>2014</v>
      </c>
      <c r="N3" s="48">
        <v>2013</v>
      </c>
      <c r="O3" s="48">
        <v>2012</v>
      </c>
      <c r="P3" s="48">
        <v>2011</v>
      </c>
      <c r="Q3" s="48">
        <v>2010</v>
      </c>
      <c r="R3" s="48">
        <v>2009</v>
      </c>
      <c r="S3" s="48">
        <v>2008</v>
      </c>
      <c r="T3" s="48">
        <v>2007</v>
      </c>
      <c r="U3" s="48">
        <v>2006</v>
      </c>
      <c r="V3" s="55"/>
      <c r="W3" s="55"/>
      <c r="X3" s="55"/>
    </row>
    <row r="4" spans="1:24" x14ac:dyDescent="0.25">
      <c r="D4" s="35"/>
      <c r="E4" s="35"/>
      <c r="F4" s="35"/>
      <c r="G4" s="35"/>
      <c r="H4" s="35"/>
      <c r="I4" s="35"/>
      <c r="J4" s="35"/>
      <c r="K4" s="35"/>
      <c r="L4" s="35"/>
    </row>
    <row r="5" spans="1:24" x14ac:dyDescent="0.25">
      <c r="A5" t="str">
        <f>IFERROR(INDEX('[5]2017 Data (WP)'!$C$9:$C$72,MATCH($B5,'[5]2017 Data (WP)'!$D$9:$D$72,0)),"")</f>
        <v>Electric Util. (Central)</v>
      </c>
      <c r="B5" t="s">
        <v>0</v>
      </c>
      <c r="C5" t="s">
        <v>91</v>
      </c>
      <c r="D5" s="35">
        <f t="shared" ref="D5:D36" ca="1" si="1">MATCH(B5,OFFSET(Dividends,0,0,,1),0)</f>
        <v>3</v>
      </c>
      <c r="E5" s="35">
        <f t="shared" ref="E5:E36" ca="1" si="2">MATCH(B5,OFFSET(MarketPrice,0,0,,1),0)</f>
        <v>3</v>
      </c>
      <c r="F5" s="35"/>
      <c r="G5" s="94">
        <f t="shared" ref="G5:U20" ca="1" si="3">IFERROR(INDEX(Dividends,$D5,G$2)/INDEX(MarketPrice,$E5,G$2),"N/A")</f>
        <v>4.0325872230657464E-2</v>
      </c>
      <c r="H5" s="94">
        <f t="shared" ca="1" si="3"/>
        <v>2.8519417475728153E-2</v>
      </c>
      <c r="I5" s="94">
        <f t="shared" ca="1" si="3"/>
        <v>2.9897361290925351E-2</v>
      </c>
      <c r="J5" s="94">
        <f t="shared" ca="1" si="3"/>
        <v>2.9667008622840826E-2</v>
      </c>
      <c r="K5" s="94">
        <f t="shared" ca="1" si="3"/>
        <v>3.5553124572678792E-2</v>
      </c>
      <c r="L5" s="94">
        <f t="shared" ca="1" si="3"/>
        <v>3.9693456474749457E-2</v>
      </c>
      <c r="M5" s="94">
        <f t="shared" ca="1" si="3"/>
        <v>3.9228244335921862E-2</v>
      </c>
      <c r="N5" s="94">
        <f t="shared" ca="1" si="3"/>
        <v>3.8852422141790889E-2</v>
      </c>
      <c r="O5" s="94">
        <f t="shared" ca="1" si="3"/>
        <v>4.4906526089715432E-2</v>
      </c>
      <c r="P5" s="94">
        <f t="shared" ca="1" si="3"/>
        <v>4.5811349890618976E-2</v>
      </c>
      <c r="Q5" s="94">
        <f t="shared" ca="1" si="3"/>
        <v>5.0304398776688485E-2</v>
      </c>
      <c r="R5" s="94">
        <f t="shared" ca="1" si="3"/>
        <v>5.7909976309555147E-2</v>
      </c>
      <c r="S5" s="94">
        <f t="shared" ca="1" si="3"/>
        <v>4.3730295942235327E-2</v>
      </c>
      <c r="T5" s="94">
        <f t="shared" ca="1" si="3"/>
        <v>3.6023371260378682E-2</v>
      </c>
      <c r="U5" s="94">
        <f t="shared" ca="1" si="3"/>
        <v>3.1638664630154918E-2</v>
      </c>
      <c r="V5" s="56"/>
      <c r="W5" s="57"/>
      <c r="X5" s="57"/>
    </row>
    <row r="6" spans="1:24" x14ac:dyDescent="0.25">
      <c r="A6" t="str">
        <f>IFERROR(INDEX('[5]2017 Data (WP)'!$C$9:$C$72,MATCH($B6,'[5]2017 Data (WP)'!$D$9:$D$72,0)),"")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94">
        <f t="shared" ca="1" si="3"/>
        <v>2.8980533470609547E-2</v>
      </c>
      <c r="H6" s="94">
        <f t="shared" ca="1" si="3"/>
        <v>2.8807920149314287E-2</v>
      </c>
      <c r="I6" s="94">
        <f t="shared" ca="1" si="3"/>
        <v>3.1970987521771292E-2</v>
      </c>
      <c r="J6" s="94">
        <f t="shared" ca="1" si="3"/>
        <v>3.0742204655248136E-2</v>
      </c>
      <c r="K6" s="94">
        <f t="shared" ca="1" si="3"/>
        <v>3.2064346077552236E-2</v>
      </c>
      <c r="L6" s="94">
        <f t="shared" ca="1" si="3"/>
        <v>3.6017157264005763E-2</v>
      </c>
      <c r="M6" s="94">
        <f t="shared" ca="1" si="3"/>
        <v>3.5306334371754934E-2</v>
      </c>
      <c r="N6" s="94">
        <f t="shared" ca="1" si="3"/>
        <v>3.7406979983286237E-2</v>
      </c>
      <c r="O6" s="94">
        <f t="shared" ca="1" si="3"/>
        <v>4.0707404224523951E-2</v>
      </c>
      <c r="P6" s="94">
        <f t="shared" ca="1" si="3"/>
        <v>4.2778057372924005E-2</v>
      </c>
      <c r="Q6" s="94">
        <f t="shared" ca="1" si="3"/>
        <v>4.6064139941690965E-2</v>
      </c>
      <c r="R6" s="94">
        <f t="shared" ca="1" si="3"/>
        <v>5.7256279105275212E-2</v>
      </c>
      <c r="S6" s="94">
        <f t="shared" ca="1" si="3"/>
        <v>4.1031652989449004E-2</v>
      </c>
      <c r="T6" s="94">
        <f t="shared" ca="1" si="3"/>
        <v>3.131318112332955E-2</v>
      </c>
      <c r="U6" s="94">
        <f t="shared" ca="1" si="3"/>
        <v>3.3189033189033185E-2</v>
      </c>
      <c r="V6" s="56"/>
      <c r="W6" s="56"/>
      <c r="X6" s="56"/>
    </row>
    <row r="7" spans="1:24" x14ac:dyDescent="0.25">
      <c r="A7" t="str">
        <f>IFERROR(INDEX('[5]2017 Data (WP)'!$C$9:$C$72,MATCH($B7,'[5]2017 Data (WP)'!$D$9:$D$72,0)),"")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94">
        <f t="shared" ca="1" si="3"/>
        <v>1.6021428660833864E-2</v>
      </c>
      <c r="H7" s="94">
        <f t="shared" ca="1" si="3"/>
        <v>1.4807628481707472E-2</v>
      </c>
      <c r="I7" s="94">
        <f t="shared" ca="1" si="3"/>
        <v>1.8101711124013799E-2</v>
      </c>
      <c r="J7" s="94">
        <f t="shared" ca="1" si="3"/>
        <v>2.0479086508626041E-2</v>
      </c>
      <c r="K7" s="94">
        <f t="shared" ca="1" si="3"/>
        <v>2.204481319794506E-2</v>
      </c>
      <c r="L7" s="94">
        <f t="shared" ca="1" si="3"/>
        <v>2.2090231265006952E-2</v>
      </c>
      <c r="M7" s="94">
        <f t="shared" ca="1" si="3"/>
        <v>2.633997908016102E-2</v>
      </c>
      <c r="N7" s="94">
        <f t="shared" ca="1" si="3"/>
        <v>2.7498371806932483E-2</v>
      </c>
      <c r="O7" s="94">
        <f t="shared" ca="1" si="3"/>
        <v>3.1491767506447131E-2</v>
      </c>
      <c r="P7" s="94">
        <f t="shared" ca="1" si="3"/>
        <v>3.1976744186046513E-2</v>
      </c>
      <c r="Q7" s="94">
        <f t="shared" ca="1" si="3"/>
        <v>2.9778948574046501E-2</v>
      </c>
      <c r="R7" s="94">
        <f t="shared" ca="1" si="3"/>
        <v>2.9413477779719262E-2</v>
      </c>
      <c r="S7" s="94">
        <f t="shared" ca="1" si="3"/>
        <v>2.8566531451751129E-2</v>
      </c>
      <c r="T7" s="94">
        <f t="shared" ca="1" si="3"/>
        <v>2.4584683433626495E-2</v>
      </c>
      <c r="U7" s="94">
        <f t="shared" ca="1" si="3"/>
        <v>2.467462039045553E-2</v>
      </c>
      <c r="V7" s="56"/>
      <c r="W7" s="56"/>
      <c r="X7" s="56"/>
    </row>
    <row r="8" spans="1:24" x14ac:dyDescent="0.25">
      <c r="A8" t="str">
        <f>IFERROR(INDEX('[5]2017 Data (WP)'!$C$9:$C$72,MATCH($B8,'[5]2017 Data (WP)'!$D$9:$D$72,0)),"")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94">
        <f t="shared" ca="1" si="3"/>
        <v>1.5597455075702068E-2</v>
      </c>
      <c r="H8" s="94">
        <f t="shared" ca="1" si="3"/>
        <v>1.7379584308718166E-2</v>
      </c>
      <c r="I8" s="94">
        <f t="shared" ca="1" si="3"/>
        <v>2.0693343253737589E-2</v>
      </c>
      <c r="J8" s="94">
        <f t="shared" ca="1" si="3"/>
        <v>2.0145745765662696E-2</v>
      </c>
      <c r="K8" s="94">
        <f t="shared" ca="1" si="3"/>
        <v>2.0246818357115309E-2</v>
      </c>
      <c r="L8" s="94">
        <f t="shared" ca="1" si="3"/>
        <v>2.4565486415101312E-2</v>
      </c>
      <c r="M8" s="94">
        <f t="shared" ca="1" si="3"/>
        <v>2.5292113459166821E-2</v>
      </c>
      <c r="N8" s="94">
        <f t="shared" ca="1" si="3"/>
        <v>2.0489304095421615E-2</v>
      </c>
      <c r="O8" s="94">
        <f t="shared" ca="1" si="3"/>
        <v>3.4324293657097465E-2</v>
      </c>
      <c r="P8" s="94">
        <f t="shared" ca="1" si="3"/>
        <v>3.1149413352715191E-2</v>
      </c>
      <c r="Q8" s="94">
        <f t="shared" ca="1" si="3"/>
        <v>3.846497897844172E-2</v>
      </c>
      <c r="R8" s="94">
        <f t="shared" ca="1" si="3"/>
        <v>4.1956610724519033E-2</v>
      </c>
      <c r="S8" s="94">
        <f t="shared" ca="1" si="3"/>
        <v>1.9222451823730117E-2</v>
      </c>
      <c r="T8" s="94" t="str">
        <f t="shared" ca="1" si="3"/>
        <v>N/A</v>
      </c>
      <c r="U8" s="94" t="str">
        <f t="shared" ca="1" si="3"/>
        <v>N/A</v>
      </c>
      <c r="V8" s="56"/>
      <c r="W8" s="56"/>
      <c r="X8" s="56"/>
    </row>
    <row r="9" spans="1:24" x14ac:dyDescent="0.25">
      <c r="A9" t="str">
        <f>IFERROR(INDEX('[5]2017 Data (WP)'!$C$9:$C$72,MATCH($B9,'[5]2017 Data (WP)'!$D$9:$D$72,0)),"")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94">
        <f t="shared" ca="1" si="3"/>
        <v>2.5701655186594015E-2</v>
      </c>
      <c r="H9" s="94">
        <f t="shared" ca="1" si="3"/>
        <v>2.5946296571575291E-2</v>
      </c>
      <c r="I9" s="94">
        <f t="shared" ca="1" si="3"/>
        <v>3.0439294361812523E-2</v>
      </c>
      <c r="J9" s="94">
        <f t="shared" ca="1" si="3"/>
        <v>3.1165644171779142E-2</v>
      </c>
      <c r="K9" s="94">
        <f t="shared" ca="1" si="3"/>
        <v>3.498001142204455E-2</v>
      </c>
      <c r="L9" s="94">
        <f t="shared" ca="1" si="3"/>
        <v>3.9633124191771632E-2</v>
      </c>
      <c r="M9" s="94">
        <f t="shared" ca="1" si="3"/>
        <v>4.0154632747225347E-2</v>
      </c>
      <c r="N9" s="94">
        <f t="shared" ca="1" si="3"/>
        <v>4.6129450771226752E-2</v>
      </c>
      <c r="O9" s="94">
        <f t="shared" ca="1" si="3"/>
        <v>4.9724958821518478E-2</v>
      </c>
      <c r="P9" s="94">
        <f t="shared" ca="1" si="3"/>
        <v>5.275299385961936E-2</v>
      </c>
      <c r="Q9" s="94">
        <f t="shared" ca="1" si="3"/>
        <v>5.7585162472422693E-2</v>
      </c>
      <c r="R9" s="94">
        <f t="shared" ca="1" si="3"/>
        <v>5.9817440279665957E-2</v>
      </c>
      <c r="S9" s="94">
        <f t="shared" ca="1" si="3"/>
        <v>6.2085991542616896E-2</v>
      </c>
      <c r="T9" s="94">
        <f t="shared" ca="1" si="3"/>
        <v>4.8846153846153845E-2</v>
      </c>
      <c r="U9" s="94">
        <f t="shared" ca="1" si="3"/>
        <v>4.9258217783380201E-2</v>
      </c>
      <c r="V9" s="56"/>
      <c r="W9" s="56"/>
      <c r="X9" s="56"/>
    </row>
    <row r="10" spans="1:24" x14ac:dyDescent="0.25">
      <c r="A10" t="str">
        <f>IFERROR(INDEX('[5]2017 Data (WP)'!$C$9:$C$72,MATCH($B10,'[5]2017 Data (WP)'!$D$9:$D$72,0)),"")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94">
        <f t="shared" ca="1" si="3"/>
        <v>3.2832369942196529E-2</v>
      </c>
      <c r="H10" s="94">
        <f t="shared" ca="1" si="3"/>
        <v>3.102390328784687E-2</v>
      </c>
      <c r="I10" s="94">
        <f t="shared" ca="1" si="3"/>
        <v>3.5959974984365227E-2</v>
      </c>
      <c r="J10" s="94">
        <f t="shared" ca="1" si="3"/>
        <v>3.4157007903274215E-2</v>
      </c>
      <c r="K10" s="94">
        <f t="shared" ca="1" si="3"/>
        <v>3.540457920019964E-2</v>
      </c>
      <c r="L10" s="94">
        <f t="shared" ca="1" si="3"/>
        <v>3.7978484746780658E-2</v>
      </c>
      <c r="M10" s="94">
        <f t="shared" ca="1" si="3"/>
        <v>3.8283828382838281E-2</v>
      </c>
      <c r="N10" s="94">
        <f t="shared" ca="1" si="3"/>
        <v>4.2307608860732031E-2</v>
      </c>
      <c r="O10" s="94">
        <f t="shared" ca="1" si="3"/>
        <v>4.582459903475844E-2</v>
      </c>
      <c r="P10" s="94">
        <f t="shared" ca="1" si="3"/>
        <v>4.9593866445058046E-2</v>
      </c>
      <c r="Q10" s="94">
        <f t="shared" ca="1" si="3"/>
        <v>4.9022418439309677E-2</v>
      </c>
      <c r="R10" s="94">
        <f t="shared" ca="1" si="3"/>
        <v>5.5042792414834694E-2</v>
      </c>
      <c r="S10" s="94">
        <f t="shared" ca="1" si="3"/>
        <v>4.1996363729481956E-2</v>
      </c>
      <c r="T10" s="94">
        <f t="shared" ca="1" si="3"/>
        <v>3.3959506512487643E-2</v>
      </c>
      <c r="U10" s="94">
        <f t="shared" ca="1" si="3"/>
        <v>4.0638292108043671E-2</v>
      </c>
      <c r="V10" s="56"/>
      <c r="W10" s="56"/>
      <c r="X10" s="56"/>
    </row>
    <row r="11" spans="1:24" x14ac:dyDescent="0.25">
      <c r="A11" t="str">
        <f>IFERROR(INDEX('[5]2017 Data (WP)'!$C$9:$C$72,MATCH($B11,'[5]2017 Data (WP)'!$D$9:$D$72,0)),"")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94" t="str">
        <f t="shared" ca="1" si="3"/>
        <v>N/A</v>
      </c>
      <c r="H11" s="94" t="str">
        <f t="shared" ca="1" si="3"/>
        <v>N/A</v>
      </c>
      <c r="I11" s="94">
        <f t="shared" ca="1" si="3"/>
        <v>2.4165576846534371E-2</v>
      </c>
      <c r="J11" s="94">
        <f t="shared" ca="1" si="3"/>
        <v>2.3726573762614129E-2</v>
      </c>
      <c r="K11" s="94">
        <f t="shared" ca="1" si="3"/>
        <v>2.3492809295533192E-2</v>
      </c>
      <c r="L11" s="94">
        <f t="shared" ca="1" si="3"/>
        <v>2.5746268656716417E-2</v>
      </c>
      <c r="M11" s="94">
        <f t="shared" ca="1" si="3"/>
        <v>2.5288002247822423E-2</v>
      </c>
      <c r="N11" s="94">
        <f t="shared" ca="1" si="3"/>
        <v>2.3606984411249948E-2</v>
      </c>
      <c r="O11" s="94">
        <f t="shared" ca="1" si="3"/>
        <v>2.8020283339432274E-2</v>
      </c>
      <c r="P11" s="94">
        <f t="shared" ca="1" si="3"/>
        <v>2.8497116363225151E-2</v>
      </c>
      <c r="Q11" s="94">
        <f t="shared" ca="1" si="3"/>
        <v>3.1101739588824458E-2</v>
      </c>
      <c r="R11" s="94">
        <f t="shared" ca="1" si="3"/>
        <v>3.0929284408828903E-2</v>
      </c>
      <c r="S11" s="94">
        <f t="shared" ca="1" si="3"/>
        <v>2.8025827723588404E-2</v>
      </c>
      <c r="T11" s="94">
        <f t="shared" ca="1" si="3"/>
        <v>2.1147703491573962E-2</v>
      </c>
      <c r="U11" s="94">
        <f t="shared" ca="1" si="3"/>
        <v>1.811258618915303E-2</v>
      </c>
      <c r="V11" s="56"/>
      <c r="W11" s="56"/>
      <c r="X11" s="56"/>
    </row>
    <row r="12" spans="1:24" x14ac:dyDescent="0.25">
      <c r="A12" t="str">
        <f>IFERROR(INDEX('[5]2017 Data (WP)'!$C$9:$C$72,MATCH($B12,'[5]2017 Data (WP)'!$D$9:$D$72,0)),"")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94">
        <f t="shared" ca="1" si="3"/>
        <v>2.1853146853146852E-2</v>
      </c>
      <c r="H12" s="94">
        <f t="shared" ca="1" si="3"/>
        <v>2.0795373524518736E-2</v>
      </c>
      <c r="I12" s="94">
        <f t="shared" ca="1" si="3"/>
        <v>2.2302183084828769E-2</v>
      </c>
      <c r="J12" s="94">
        <f t="shared" ca="1" si="3"/>
        <v>2.269145918688938E-2</v>
      </c>
      <c r="K12" s="94">
        <f t="shared" ca="1" si="3"/>
        <v>2.389588222743759E-2</v>
      </c>
      <c r="L12" s="94">
        <f t="shared" ca="1" si="3"/>
        <v>2.8846687253832357E-2</v>
      </c>
      <c r="M12" s="94">
        <f t="shared" ca="1" si="3"/>
        <v>3.1070896227405369E-2</v>
      </c>
      <c r="N12" s="94">
        <f t="shared" ca="1" si="3"/>
        <v>3.527959075674722E-2</v>
      </c>
      <c r="O12" s="94">
        <f t="shared" ca="1" si="3"/>
        <v>4.1253138825780224E-2</v>
      </c>
      <c r="P12" s="94">
        <f t="shared" ca="1" si="3"/>
        <v>4.1920966648172124E-2</v>
      </c>
      <c r="Q12" s="94">
        <f t="shared" ca="1" si="3"/>
        <v>4.6963165457540396E-2</v>
      </c>
      <c r="R12" s="94">
        <f t="shared" ca="1" si="3"/>
        <v>5.3441295546558708E-2</v>
      </c>
      <c r="S12" s="94">
        <f t="shared" ca="1" si="3"/>
        <v>4.7848651036107331E-2</v>
      </c>
      <c r="T12" s="94">
        <f t="shared" ca="1" si="3"/>
        <v>4.1585445094217022E-2</v>
      </c>
      <c r="U12" s="94">
        <f t="shared" ca="1" si="3"/>
        <v>4.6583850931677023E-2</v>
      </c>
      <c r="V12" s="56"/>
      <c r="W12" s="56"/>
      <c r="X12" s="56"/>
    </row>
    <row r="13" spans="1:24" x14ac:dyDescent="0.25">
      <c r="A13" t="str">
        <f>IFERROR(INDEX('[5]2017 Data (WP)'!$C$9:$C$72,MATCH($B13,'[5]2017 Data (WP)'!$D$9:$D$72,0)),"")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94">
        <f t="shared" ca="1" si="3"/>
        <v>3.6947622546446943E-2</v>
      </c>
      <c r="H13" s="94">
        <f t="shared" ca="1" si="3"/>
        <v>3.5159215310240119E-2</v>
      </c>
      <c r="I13" s="94">
        <f t="shared" ca="1" si="3"/>
        <v>3.4865356550248895E-2</v>
      </c>
      <c r="J13" s="94">
        <f t="shared" ca="1" si="3"/>
        <v>3.7949663987350113E-2</v>
      </c>
      <c r="K13" s="94">
        <f t="shared" ca="1" si="3"/>
        <v>4.2587800369685763E-2</v>
      </c>
      <c r="L13" s="94">
        <f t="shared" ca="1" si="3"/>
        <v>0</v>
      </c>
      <c r="M13" s="94" t="str">
        <f t="shared" ca="1" si="3"/>
        <v>N/A</v>
      </c>
      <c r="N13" s="94" t="str">
        <f t="shared" ca="1" si="3"/>
        <v>N/A</v>
      </c>
      <c r="O13" s="94" t="str">
        <f t="shared" ca="1" si="3"/>
        <v>N/A</v>
      </c>
      <c r="P13" s="94" t="str">
        <f t="shared" ca="1" si="3"/>
        <v>N/A</v>
      </c>
      <c r="Q13" s="94" t="str">
        <f t="shared" ca="1" si="3"/>
        <v>N/A</v>
      </c>
      <c r="R13" s="94" t="str">
        <f t="shared" ca="1" si="3"/>
        <v>N/A</v>
      </c>
      <c r="S13" s="94" t="str">
        <f t="shared" ca="1" si="3"/>
        <v>N/A</v>
      </c>
      <c r="T13" s="94" t="str">
        <f t="shared" ca="1" si="3"/>
        <v>N/A</v>
      </c>
      <c r="U13" s="94" t="str">
        <f t="shared" ca="1" si="3"/>
        <v>N/A</v>
      </c>
      <c r="V13" s="56"/>
      <c r="W13" s="56"/>
      <c r="X13" s="56"/>
    </row>
    <row r="14" spans="1:24" x14ac:dyDescent="0.25">
      <c r="A14" t="str">
        <f>IFERROR(INDEX('[5]2017 Data (WP)'!$C$9:$C$72,MATCH($B14,'[5]2017 Data (WP)'!$D$9:$D$72,0)),"")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94">
        <f t="shared" ca="1" si="3"/>
        <v>4.0265453732011042E-2</v>
      </c>
      <c r="H14" s="94">
        <f t="shared" ca="1" si="3"/>
        <v>3.4833809020832864E-2</v>
      </c>
      <c r="I14" s="94">
        <f t="shared" ca="1" si="3"/>
        <v>2.932839933863475E-2</v>
      </c>
      <c r="J14" s="94">
        <f t="shared" ca="1" si="3"/>
        <v>3.137478608100399E-2</v>
      </c>
      <c r="K14" s="94">
        <f t="shared" ca="1" si="3"/>
        <v>3.3903338365215675E-2</v>
      </c>
      <c r="L14" s="94">
        <f t="shared" ca="1" si="3"/>
        <v>3.9675383228133451E-2</v>
      </c>
      <c r="M14" s="94">
        <f t="shared" ca="1" si="3"/>
        <v>3.9938362841598796E-2</v>
      </c>
      <c r="N14" s="94">
        <f t="shared" ca="1" si="3"/>
        <v>4.5061682795301761E-2</v>
      </c>
      <c r="O14" s="94">
        <f t="shared" ca="1" si="3"/>
        <v>4.5540201005025122E-2</v>
      </c>
      <c r="P14" s="94">
        <f t="shared" ca="1" si="3"/>
        <v>4.5428264640290747E-2</v>
      </c>
      <c r="Q14" s="94">
        <f t="shared" ca="1" si="3"/>
        <v>4.7573739295908662E-2</v>
      </c>
      <c r="R14" s="94">
        <f t="shared" ca="1" si="3"/>
        <v>4.4907689748849594E-2</v>
      </c>
      <c r="S14" s="94">
        <f t="shared" ca="1" si="3"/>
        <v>3.388665160593262E-2</v>
      </c>
      <c r="T14" s="94">
        <f t="shared" ca="1" si="3"/>
        <v>2.6765632028789923E-2</v>
      </c>
      <c r="U14" s="94">
        <f t="shared" ca="1" si="3"/>
        <v>2.5194483734087694E-2</v>
      </c>
      <c r="V14" s="56"/>
      <c r="W14" s="56"/>
      <c r="X14" s="56"/>
    </row>
    <row r="15" spans="1:24" x14ac:dyDescent="0.25">
      <c r="A15" t="str">
        <f>IFERROR(INDEX('[5]2017 Data (WP)'!$C$9:$C$72,MATCH($B15,'[5]2017 Data (WP)'!$D$9:$D$72,0)),"")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94">
        <f t="shared" ca="1" si="3"/>
        <v>3.4230908775416839E-2</v>
      </c>
      <c r="H15" s="94">
        <f t="shared" ca="1" si="3"/>
        <v>2.7421080791867305E-2</v>
      </c>
      <c r="I15" s="94">
        <f t="shared" ca="1" si="3"/>
        <v>3.3063797711231413E-2</v>
      </c>
      <c r="J15" s="94">
        <f t="shared" ca="1" si="3"/>
        <v>2.7492557263503251E-2</v>
      </c>
      <c r="K15" s="94">
        <f t="shared" ref="K15:U24" ca="1" si="4">IFERROR(INDEX(Dividends,$D15,K$2)/INDEX(MarketPrice,$E15,K$2),"N/A")</f>
        <v>2.8659649601664988E-2</v>
      </c>
      <c r="L15" s="94">
        <f t="shared" ca="1" si="4"/>
        <v>3.5473416834544982E-2</v>
      </c>
      <c r="M15" s="94">
        <f t="shared" ca="1" si="4"/>
        <v>2.8366215110464589E-2</v>
      </c>
      <c r="N15" s="94">
        <f t="shared" ca="1" si="4"/>
        <v>3.1932773109243695E-2</v>
      </c>
      <c r="O15" s="94">
        <f t="shared" ca="1" si="4"/>
        <v>4.3853151204480127E-2</v>
      </c>
      <c r="P15" s="94">
        <f t="shared" ca="1" si="4"/>
        <v>4.6437659033078879E-2</v>
      </c>
      <c r="Q15" s="94">
        <f t="shared" ca="1" si="4"/>
        <v>4.7936085219707054E-2</v>
      </c>
      <c r="R15" s="94">
        <f t="shared" ca="1" si="4"/>
        <v>6.1664061142956403E-2</v>
      </c>
      <c r="S15" s="94">
        <f t="shared" ca="1" si="4"/>
        <v>4.2115396185548402E-2</v>
      </c>
      <c r="T15" s="94">
        <f t="shared" ca="1" si="4"/>
        <v>3.4027967511984301E-2</v>
      </c>
      <c r="U15" s="94">
        <f t="shared" ca="1" si="4"/>
        <v>3.7880961946851865E-2</v>
      </c>
      <c r="V15" s="56"/>
      <c r="W15" s="56"/>
      <c r="X15" s="56"/>
    </row>
    <row r="16" spans="1:24" x14ac:dyDescent="0.25">
      <c r="A16" t="str">
        <f>IFERROR(INDEX('[5]2017 Data (WP)'!$C$9:$C$72,MATCH($B16,'[5]2017 Data (WP)'!$D$9:$D$72,0)),"")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94">
        <f t="shared" ca="1" si="3"/>
        <v>1.7349417263690731E-2</v>
      </c>
      <c r="H16" s="94">
        <f t="shared" ca="1" si="3"/>
        <v>1.5336827800427102E-2</v>
      </c>
      <c r="I16" s="94">
        <f t="shared" ca="1" si="3"/>
        <v>1.8199024532285071E-2</v>
      </c>
      <c r="J16" s="94">
        <f t="shared" ca="1" si="3"/>
        <v>1.9121474478143091E-2</v>
      </c>
      <c r="K16" s="94">
        <f t="shared" ca="1" si="4"/>
        <v>2.3041474654377878E-2</v>
      </c>
      <c r="L16" s="94">
        <f t="shared" ca="1" si="4"/>
        <v>2.8771417529093488E-2</v>
      </c>
      <c r="M16" s="94">
        <f t="shared" ca="1" si="4"/>
        <v>2.7739842949812226E-2</v>
      </c>
      <c r="N16" s="94">
        <f t="shared" ca="1" si="4"/>
        <v>3.1176929072486363E-2</v>
      </c>
      <c r="O16" s="94">
        <f t="shared" ca="1" si="4"/>
        <v>3.4547049791620967E-2</v>
      </c>
      <c r="P16" s="94">
        <f t="shared" ca="1" si="4"/>
        <v>3.3610230626297956E-2</v>
      </c>
      <c r="Q16" s="94">
        <f t="shared" ca="1" si="4"/>
        <v>3.2395056351064405E-2</v>
      </c>
      <c r="R16" s="94">
        <f t="shared" ca="1" si="4"/>
        <v>3.0738772533083256E-2</v>
      </c>
      <c r="S16" s="94">
        <f t="shared" ca="1" si="4"/>
        <v>3.1153477473639366E-2</v>
      </c>
      <c r="T16" s="94">
        <f t="shared" ca="1" si="4"/>
        <v>2.9678145627590441E-2</v>
      </c>
      <c r="U16" s="94">
        <f t="shared" ca="1" si="4"/>
        <v>2.9351710056151094E-2</v>
      </c>
      <c r="V16" s="56"/>
      <c r="W16" s="56"/>
      <c r="X16" s="56"/>
    </row>
    <row r="17" spans="1:24" x14ac:dyDescent="0.25">
      <c r="A17" t="str">
        <f>IFERROR(INDEX('[5]2017 Data (WP)'!$C$9:$C$72,MATCH($B17,'[5]2017 Data (WP)'!$D$9:$D$72,0)),"")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94">
        <f t="shared" ca="1" si="3"/>
        <v>4.3816942551119772E-2</v>
      </c>
      <c r="H17" s="94">
        <f t="shared" ca="1" si="3"/>
        <v>2.9775048302511729E-2</v>
      </c>
      <c r="I17" s="94">
        <f t="shared" ca="1" si="3"/>
        <v>4.0922211260915636E-2</v>
      </c>
      <c r="J17" s="94">
        <f t="shared" ca="1" si="3"/>
        <v>4.7945936332918375E-2</v>
      </c>
      <c r="K17" s="94">
        <f t="shared" ca="1" si="4"/>
        <v>4.701049748973072E-2</v>
      </c>
      <c r="L17" s="94">
        <f t="shared" ca="1" si="4"/>
        <v>5.0649749309321604E-2</v>
      </c>
      <c r="M17" s="94">
        <f t="shared" ca="1" si="4"/>
        <v>3.94469127600382E-2</v>
      </c>
      <c r="N17" s="94">
        <f t="shared" ca="1" si="4"/>
        <v>3.5705067538501251E-2</v>
      </c>
      <c r="O17" s="94">
        <f t="shared" ca="1" si="4"/>
        <v>4.0413111809609346E-2</v>
      </c>
      <c r="P17" s="94">
        <f t="shared" ca="1" si="4"/>
        <v>4.267963263101026E-2</v>
      </c>
      <c r="Q17" s="94">
        <f t="shared" ca="1" si="4"/>
        <v>5.2895700528957007E-2</v>
      </c>
      <c r="R17" s="94">
        <f t="shared" ca="1" si="4"/>
        <v>6.3731656184486368E-2</v>
      </c>
      <c r="S17" s="94">
        <f t="shared" ca="1" si="4"/>
        <v>4.9815749965879626E-2</v>
      </c>
      <c r="T17" s="94">
        <f t="shared" ca="1" si="4"/>
        <v>3.8742023701002735E-2</v>
      </c>
      <c r="U17" s="94">
        <f t="shared" ca="1" si="4"/>
        <v>4.3949604453559922E-2</v>
      </c>
      <c r="V17" s="56"/>
      <c r="W17" s="56"/>
      <c r="X17" s="56"/>
    </row>
    <row r="18" spans="1:24" x14ac:dyDescent="0.25">
      <c r="A18" t="str">
        <f>IFERROR(INDEX('[5]2017 Data (WP)'!$C$9:$C$72,MATCH($B18,'[5]2017 Data (WP)'!$D$9:$D$72,0)),"")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94" t="str">
        <f t="shared" ca="1" si="3"/>
        <v>N/A</v>
      </c>
      <c r="H18" s="94" t="str">
        <f t="shared" ca="1" si="3"/>
        <v>N/A</v>
      </c>
      <c r="I18" s="94" t="str">
        <f t="shared" ca="1" si="3"/>
        <v>N/A</v>
      </c>
      <c r="J18" s="94" t="str">
        <f t="shared" ca="1" si="3"/>
        <v>N/A</v>
      </c>
      <c r="K18" s="94" t="str">
        <f t="shared" ca="1" si="4"/>
        <v>N/A</v>
      </c>
      <c r="L18" s="94" t="str">
        <f t="shared" ca="1" si="4"/>
        <v>N/A</v>
      </c>
      <c r="M18" s="94" t="str">
        <f t="shared" ca="1" si="4"/>
        <v>N/A</v>
      </c>
      <c r="N18" s="94" t="str">
        <f t="shared" ca="1" si="4"/>
        <v>N/A</v>
      </c>
      <c r="O18" s="94" t="str">
        <f t="shared" ca="1" si="4"/>
        <v>N/A</v>
      </c>
      <c r="P18" s="94" t="str">
        <f t="shared" ca="1" si="4"/>
        <v>N/A</v>
      </c>
      <c r="Q18" s="94" t="str">
        <f t="shared" ca="1" si="4"/>
        <v>N/A</v>
      </c>
      <c r="R18" s="94" t="str">
        <f t="shared" ca="1" si="4"/>
        <v>N/A</v>
      </c>
      <c r="S18" s="94" t="str">
        <f t="shared" ca="1" si="4"/>
        <v>N/A</v>
      </c>
      <c r="T18" s="94" t="str">
        <f t="shared" ca="1" si="4"/>
        <v>N/A</v>
      </c>
      <c r="U18" s="94" t="str">
        <f t="shared" ca="1" si="4"/>
        <v>N/A</v>
      </c>
      <c r="V18" s="56"/>
      <c r="W18" s="56"/>
      <c r="X18" s="56"/>
    </row>
    <row r="19" spans="1:24" x14ac:dyDescent="0.25">
      <c r="A19" t="str">
        <f>IFERROR(INDEX('[5]2017 Data (WP)'!$C$9:$C$72,MATCH($B19,'[5]2017 Data (WP)'!$D$9:$D$72,0)),"")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94">
        <f t="shared" ca="1" si="3"/>
        <v>1.8612334801762116E-2</v>
      </c>
      <c r="H19" s="94">
        <f t="shared" ca="1" si="3"/>
        <v>1.6839955238312526E-2</v>
      </c>
      <c r="I19" s="94">
        <f t="shared" ca="1" si="3"/>
        <v>1.7565364639278176E-2</v>
      </c>
      <c r="J19" s="94">
        <f t="shared" ca="1" si="3"/>
        <v>1.6885553470919322E-2</v>
      </c>
      <c r="K19" s="94">
        <f t="shared" ca="1" si="4"/>
        <v>1.9108791649939783E-2</v>
      </c>
      <c r="L19" s="94">
        <f t="shared" ca="1" si="4"/>
        <v>2.1828529107953774E-2</v>
      </c>
      <c r="M19" s="94">
        <f t="shared" ca="1" si="4"/>
        <v>2.4403631955721244E-2</v>
      </c>
      <c r="N19" s="94">
        <f t="shared" ca="1" si="4"/>
        <v>2.8692007024301816E-2</v>
      </c>
      <c r="O19" s="94">
        <f t="shared" ca="1" si="4"/>
        <v>3.2528038491512215E-2</v>
      </c>
      <c r="P19" s="94">
        <f t="shared" ca="1" si="4"/>
        <v>3.3594211458948614E-2</v>
      </c>
      <c r="Q19" s="94">
        <f t="shared" ca="1" si="4"/>
        <v>3.9138062890818302E-2</v>
      </c>
      <c r="R19" s="94">
        <f t="shared" ca="1" si="4"/>
        <v>4.0927627376799482E-2</v>
      </c>
      <c r="S19" s="94">
        <f t="shared" ca="1" si="4"/>
        <v>4.0960308598111866E-2</v>
      </c>
      <c r="T19" s="94">
        <f t="shared" ca="1" si="4"/>
        <v>3.6221492343988526E-2</v>
      </c>
      <c r="U19" s="94">
        <f t="shared" ca="1" si="4"/>
        <v>3.7601328254712373E-2</v>
      </c>
      <c r="V19" s="57"/>
      <c r="W19" s="57"/>
      <c r="X19" s="57"/>
    </row>
    <row r="20" spans="1:24" x14ac:dyDescent="0.25">
      <c r="A20" t="str">
        <f>IFERROR(INDEX('[5]2017 Data (WP)'!$C$9:$C$72,MATCH($B20,'[5]2017 Data (WP)'!$D$9:$D$72,0)),"")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94" t="str">
        <f t="shared" ca="1" si="3"/>
        <v>N/A</v>
      </c>
      <c r="H20" s="94" t="str">
        <f t="shared" ca="1" si="3"/>
        <v>N/A</v>
      </c>
      <c r="I20" s="94" t="str">
        <f t="shared" ca="1" si="3"/>
        <v>N/A</v>
      </c>
      <c r="J20" s="94" t="str">
        <f t="shared" ca="1" si="3"/>
        <v>N/A</v>
      </c>
      <c r="K20" s="94" t="str">
        <f t="shared" ca="1" si="4"/>
        <v>N/A</v>
      </c>
      <c r="L20" s="94" t="str">
        <f t="shared" ca="1" si="4"/>
        <v>N/A</v>
      </c>
      <c r="M20" s="94" t="str">
        <f t="shared" ca="1" si="4"/>
        <v>N/A</v>
      </c>
      <c r="N20" s="94" t="str">
        <f t="shared" ca="1" si="4"/>
        <v>N/A</v>
      </c>
      <c r="O20" s="94" t="str">
        <f t="shared" ca="1" si="4"/>
        <v>N/A</v>
      </c>
      <c r="P20" s="94" t="str">
        <f t="shared" ca="1" si="4"/>
        <v>N/A</v>
      </c>
      <c r="Q20" s="94" t="str">
        <f t="shared" ca="1" si="4"/>
        <v>N/A</v>
      </c>
      <c r="R20" s="94" t="str">
        <f t="shared" ca="1" si="4"/>
        <v>N/A</v>
      </c>
      <c r="S20" s="94" t="str">
        <f t="shared" ca="1" si="4"/>
        <v>N/A</v>
      </c>
      <c r="T20" s="94" t="str">
        <f t="shared" ca="1" si="4"/>
        <v>N/A</v>
      </c>
      <c r="U20" s="94" t="str">
        <f t="shared" ca="1" si="4"/>
        <v>N/A</v>
      </c>
      <c r="V20" s="56"/>
      <c r="W20" s="56"/>
      <c r="X20" s="56"/>
    </row>
    <row r="21" spans="1:24" x14ac:dyDescent="0.25">
      <c r="A21" t="str">
        <f>IFERROR(INDEX('[5]2017 Data (WP)'!$C$9:$C$72,MATCH($B21,'[5]2017 Data (WP)'!$D$9:$D$72,0)),"")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94">
        <f t="shared" ref="G21:H78" ca="1" si="5">IFERROR(INDEX(Dividends,$D21,G$2)/INDEX(MarketPrice,$E21,G$2),"N/A")</f>
        <v>2.6476942319250196E-2</v>
      </c>
      <c r="H21" s="94">
        <f t="shared" ca="1" si="5"/>
        <v>2.6365218590063931E-2</v>
      </c>
      <c r="I21" s="94">
        <f t="shared" ref="I21:J78" ca="1" si="6">IFERROR(INDEX(Dividends,$D21,I$2)/INDEX(MarketPrice,$E21,I$2),"N/A")</f>
        <v>3.0344827586206897E-2</v>
      </c>
      <c r="J21" s="94">
        <f t="shared" ca="1" si="6"/>
        <v>2.8753648254242783E-2</v>
      </c>
      <c r="K21" s="94">
        <f t="shared" ca="1" si="4"/>
        <v>2.9903296597294234E-2</v>
      </c>
      <c r="L21" s="94">
        <f t="shared" ca="1" si="4"/>
        <v>3.3555105582875326E-2</v>
      </c>
      <c r="M21" s="94">
        <f t="shared" ca="1" si="4"/>
        <v>3.5880398671096346E-2</v>
      </c>
      <c r="N21" s="94">
        <f t="shared" ca="1" si="4"/>
        <v>3.7643932683790966E-2</v>
      </c>
      <c r="O21" s="94">
        <f t="shared" ca="1" si="4"/>
        <v>4.1637751561415678E-2</v>
      </c>
      <c r="P21" s="94">
        <f t="shared" ca="1" si="4"/>
        <v>4.2548880559213853E-2</v>
      </c>
      <c r="Q21" s="94">
        <f t="shared" ca="1" si="4"/>
        <v>3.9838232631134181E-2</v>
      </c>
      <c r="R21" s="94">
        <f t="shared" ca="1" si="4"/>
        <v>3.9660506068057433E-2</v>
      </c>
      <c r="S21" s="94">
        <f t="shared" ca="1" si="4"/>
        <v>2.6936026936026935E-2</v>
      </c>
      <c r="T21" s="94">
        <f t="shared" ca="1" si="4"/>
        <v>1.1644154634373547E-2</v>
      </c>
      <c r="U21" s="94">
        <f t="shared" ca="1" si="4"/>
        <v>0</v>
      </c>
      <c r="V21" s="56"/>
      <c r="W21" s="56"/>
      <c r="X21" s="56"/>
    </row>
    <row r="22" spans="1:24" x14ac:dyDescent="0.25">
      <c r="A22" t="str">
        <f>IFERROR(INDEX('[5]2017 Data (WP)'!$C$9:$C$72,MATCH($B22,'[5]2017 Data (WP)'!$D$9:$D$72,0)),"")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94" t="str">
        <f t="shared" ca="1" si="5"/>
        <v>N/A</v>
      </c>
      <c r="H22" s="94" t="str">
        <f t="shared" ca="1" si="5"/>
        <v>N/A</v>
      </c>
      <c r="I22" s="94">
        <f t="shared" ca="1" si="6"/>
        <v>1.9396518012169749E-2</v>
      </c>
      <c r="J22" s="94">
        <f t="shared" ca="1" si="6"/>
        <v>2.0883477275945066E-2</v>
      </c>
      <c r="K22" s="94">
        <f t="shared" ca="1" si="4"/>
        <v>2.312472900708195E-2</v>
      </c>
      <c r="L22" s="94">
        <f t="shared" ca="1" si="4"/>
        <v>2.9282985191176062E-2</v>
      </c>
      <c r="M22" s="94">
        <f t="shared" ca="1" si="4"/>
        <v>3.0022888736957881E-2</v>
      </c>
      <c r="N22" s="94">
        <f t="shared" ca="1" si="4"/>
        <v>3.2142740004591816E-2</v>
      </c>
      <c r="O22" s="94">
        <f t="shared" ca="1" si="4"/>
        <v>3.2367915303954956E-2</v>
      </c>
      <c r="P22" s="94">
        <f t="shared" ca="1" si="4"/>
        <v>3.6174716182412928E-2</v>
      </c>
      <c r="Q22" s="94">
        <f t="shared" ca="1" si="4"/>
        <v>3.939030655934235E-2</v>
      </c>
      <c r="R22" s="94">
        <f t="shared" ca="1" si="4"/>
        <v>4.1092137704319243E-2</v>
      </c>
      <c r="S22" s="94">
        <f t="shared" ca="1" si="4"/>
        <v>3.5763634885800206E-2</v>
      </c>
      <c r="T22" s="94">
        <f t="shared" ca="1" si="4"/>
        <v>3.6023353070266238E-2</v>
      </c>
      <c r="U22" s="94">
        <f t="shared" ca="1" si="4"/>
        <v>3.6427932342039109E-2</v>
      </c>
      <c r="V22" s="56"/>
      <c r="W22" s="56"/>
      <c r="X22" s="56"/>
    </row>
    <row r="23" spans="1:24" x14ac:dyDescent="0.25">
      <c r="A23" t="str">
        <f>IFERROR(INDEX('[5]2017 Data (WP)'!$C$9:$C$72,MATCH($B23,'[5]2017 Data (WP)'!$D$9:$D$72,0)),"")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94">
        <f t="shared" ca="1" si="5"/>
        <v>3.8687654086857579E-2</v>
      </c>
      <c r="H23" s="94">
        <f t="shared" ca="1" si="5"/>
        <v>3.4377431680661534E-2</v>
      </c>
      <c r="I23" s="94">
        <f t="shared" ca="1" si="6"/>
        <v>3.6760925449871466E-2</v>
      </c>
      <c r="J23" s="94">
        <f t="shared" ca="1" si="6"/>
        <v>3.4042973086316201E-2</v>
      </c>
      <c r="K23" s="94">
        <f t="shared" ca="1" si="4"/>
        <v>3.6177594189986374E-2</v>
      </c>
      <c r="L23" s="94">
        <f t="shared" ca="1" si="4"/>
        <v>4.1181594994852307E-2</v>
      </c>
      <c r="M23" s="94">
        <f t="shared" ca="1" si="4"/>
        <v>4.3778121362680888E-2</v>
      </c>
      <c r="N23" s="94">
        <f t="shared" ca="1" si="4"/>
        <v>4.2515684139575884E-2</v>
      </c>
      <c r="O23" s="94">
        <f t="shared" ca="1" si="4"/>
        <v>4.0736625930040737E-2</v>
      </c>
      <c r="P23" s="94">
        <f t="shared" ca="1" si="4"/>
        <v>4.4593916646537467E-2</v>
      </c>
      <c r="Q23" s="94">
        <f t="shared" ca="1" si="4"/>
        <v>5.1581023384842113E-2</v>
      </c>
      <c r="R23" s="94">
        <f t="shared" ca="1" si="4"/>
        <v>5.990912090980631E-2</v>
      </c>
      <c r="S23" s="94">
        <f t="shared" ca="1" si="4"/>
        <v>5.6687419753385489E-2</v>
      </c>
      <c r="T23" s="94">
        <f t="shared" ca="1" si="4"/>
        <v>4.8370619018827006E-2</v>
      </c>
      <c r="U23" s="94">
        <f t="shared" ca="1" si="4"/>
        <v>5.0350262697022766E-2</v>
      </c>
      <c r="V23" s="56"/>
      <c r="W23" s="56"/>
      <c r="X23" s="56"/>
    </row>
    <row r="24" spans="1:24" x14ac:dyDescent="0.25">
      <c r="A24" t="str">
        <f>IFERROR(INDEX('[5]2017 Data (WP)'!$C$9:$C$72,MATCH($B24,'[5]2017 Data (WP)'!$D$9:$D$72,0)),"")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94">
        <f t="shared" ca="1" si="5"/>
        <v>2.4743468452077727E-2</v>
      </c>
      <c r="H24" s="94">
        <f t="shared" ca="1" si="5"/>
        <v>2.3660403618649968E-2</v>
      </c>
      <c r="I24" s="94">
        <f t="shared" ca="1" si="6"/>
        <v>2.5755624573895918E-2</v>
      </c>
      <c r="J24" s="94">
        <f t="shared" ca="1" si="6"/>
        <v>2.6067944836865121E-2</v>
      </c>
      <c r="K24" s="94">
        <f t="shared" ca="1" si="4"/>
        <v>2.4797487187964949E-2</v>
      </c>
      <c r="L24" s="94">
        <f t="shared" ca="1" si="4"/>
        <v>2.5922405599239608E-2</v>
      </c>
      <c r="M24" s="94">
        <f t="shared" ca="1" si="4"/>
        <v>2.52503997979968E-2</v>
      </c>
      <c r="N24" s="94">
        <f t="shared" ca="1" si="4"/>
        <v>2.5833118057349523E-2</v>
      </c>
      <c r="O24" s="94">
        <f t="shared" ca="1" si="4"/>
        <v>3.7759597230962866E-2</v>
      </c>
      <c r="P24" s="94">
        <f t="shared" ca="1" si="4"/>
        <v>3.1897926634768738E-2</v>
      </c>
      <c r="Q24" s="94">
        <f t="shared" ca="1" si="4"/>
        <v>2.596728122565567E-2</v>
      </c>
      <c r="R24" s="94">
        <f t="shared" ca="1" si="4"/>
        <v>1.9882127387630479E-2</v>
      </c>
      <c r="S24" s="94">
        <f t="shared" ca="1" si="4"/>
        <v>1.7200317544323895E-2</v>
      </c>
      <c r="T24" s="94">
        <f t="shared" ca="1" si="4"/>
        <v>6.9747478360397746E-3</v>
      </c>
      <c r="U24" s="94">
        <f t="shared" ca="1" si="4"/>
        <v>9.4491909130280712E-3</v>
      </c>
      <c r="V24" s="56"/>
      <c r="W24" s="56"/>
      <c r="X24" s="56"/>
    </row>
    <row r="25" spans="1:24" x14ac:dyDescent="0.25">
      <c r="A25" t="str">
        <f>IFERROR(INDEX('[5]2017 Data (WP)'!$C$9:$C$72,MATCH($B25,'[5]2017 Data (WP)'!$D$9:$D$72,0)),"")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94">
        <f t="shared" ca="1" si="5"/>
        <v>4.3138480775242266E-2</v>
      </c>
      <c r="H25" s="94">
        <f t="shared" ca="1" si="5"/>
        <v>4.759619749179711E-2</v>
      </c>
      <c r="I25" s="94">
        <f t="shared" ca="1" si="6"/>
        <v>4.7150500444682858E-2</v>
      </c>
      <c r="J25" s="94">
        <f t="shared" ca="1" si="6"/>
        <v>3.8776527105239621E-2</v>
      </c>
      <c r="K25" s="94">
        <f t="shared" ref="K25:U34" ca="1" si="7">IFERROR(INDEX(Dividends,$D25,K$2)/INDEX(MarketPrice,$E25,K$2),"N/A")</f>
        <v>3.8168979525068834E-2</v>
      </c>
      <c r="L25" s="94">
        <f t="shared" ca="1" si="7"/>
        <v>3.656281321908042E-2</v>
      </c>
      <c r="M25" s="94">
        <f t="shared" ca="1" si="7"/>
        <v>3.4253418205691777E-2</v>
      </c>
      <c r="N25" s="94">
        <f t="shared" ca="1" si="7"/>
        <v>3.7836747048733729E-2</v>
      </c>
      <c r="O25" s="94">
        <f t="shared" ca="1" si="7"/>
        <v>4.0570681433625591E-2</v>
      </c>
      <c r="P25" s="94">
        <f t="shared" ca="1" si="7"/>
        <v>4.132924936013091E-2</v>
      </c>
      <c r="Q25" s="94">
        <f t="shared" ca="1" si="7"/>
        <v>4.413147804278101E-2</v>
      </c>
      <c r="R25" s="94">
        <f t="shared" ca="1" si="7"/>
        <v>5.2022949552602629E-2</v>
      </c>
      <c r="S25" s="94">
        <f t="shared" ca="1" si="7"/>
        <v>3.7717832418238242E-2</v>
      </c>
      <c r="T25" s="94">
        <f t="shared" ca="1" si="7"/>
        <v>3.3232422097284497E-2</v>
      </c>
      <c r="U25" s="94">
        <f t="shared" ca="1" si="7"/>
        <v>3.5990924027853838E-2</v>
      </c>
      <c r="V25" s="56"/>
      <c r="W25" s="56"/>
      <c r="X25" s="56"/>
    </row>
    <row r="26" spans="1:24" x14ac:dyDescent="0.25">
      <c r="A26" t="str">
        <f>IFERROR(INDEX('[5]2017 Data (WP)'!$C$9:$C$72,MATCH($B26,'[5]2017 Data (WP)'!$D$9:$D$72,0)),"")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94">
        <f t="shared" ca="1" si="5"/>
        <v>3.5696338526053126E-2</v>
      </c>
      <c r="H26" s="94">
        <f t="shared" ca="1" si="5"/>
        <v>3.0699061485834577E-2</v>
      </c>
      <c r="I26" s="94">
        <f t="shared" ca="1" si="6"/>
        <v>3.342831070637093E-2</v>
      </c>
      <c r="J26" s="94">
        <f t="shared" ca="1" si="6"/>
        <v>3.1538338793095352E-2</v>
      </c>
      <c r="K26" s="94">
        <f t="shared" ca="1" si="7"/>
        <v>3.3403925507062858E-2</v>
      </c>
      <c r="L26" s="94">
        <f t="shared" ca="1" si="7"/>
        <v>3.5313281026571997E-2</v>
      </c>
      <c r="M26" s="94">
        <f t="shared" ca="1" si="7"/>
        <v>3.5370070871628995E-2</v>
      </c>
      <c r="N26" s="94">
        <f t="shared" ca="1" si="7"/>
        <v>3.8449547958017243E-2</v>
      </c>
      <c r="O26" s="94">
        <f t="shared" ca="1" si="7"/>
        <v>4.1889529348635129E-2</v>
      </c>
      <c r="P26" s="94">
        <f t="shared" ca="1" si="7"/>
        <v>4.6794005526533407E-2</v>
      </c>
      <c r="Q26" s="94">
        <f t="shared" ca="1" si="7"/>
        <v>4.7521471857697173E-2</v>
      </c>
      <c r="R26" s="94">
        <f t="shared" ca="1" si="7"/>
        <v>6.2855787476280831E-2</v>
      </c>
      <c r="S26" s="94">
        <f t="shared" ca="1" si="7"/>
        <v>5.2431122322797653E-2</v>
      </c>
      <c r="T26" s="94">
        <f t="shared" ca="1" si="7"/>
        <v>4.3634866728414122E-2</v>
      </c>
      <c r="U26" s="94">
        <f t="shared" ca="1" si="7"/>
        <v>4.8586882712435907E-2</v>
      </c>
      <c r="V26" s="56"/>
      <c r="W26" s="56"/>
      <c r="X26" s="56"/>
    </row>
    <row r="27" spans="1:24" x14ac:dyDescent="0.25">
      <c r="A27" t="str">
        <f>IFERROR(INDEX('[5]2017 Data (WP)'!$C$9:$C$72,MATCH($B27,'[5]2017 Data (WP)'!$D$9:$D$72,0)),"")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94">
        <f t="shared" ca="1" si="5"/>
        <v>4.35109460783197E-2</v>
      </c>
      <c r="H27" s="94">
        <f t="shared" ca="1" si="5"/>
        <v>4.1715864281417783E-2</v>
      </c>
      <c r="I27" s="94">
        <f t="shared" ca="1" si="6"/>
        <v>4.5398421032938799E-2</v>
      </c>
      <c r="J27" s="94">
        <f t="shared" ca="1" si="6"/>
        <v>4.1504632107222279E-2</v>
      </c>
      <c r="K27" s="94">
        <f t="shared" ca="1" si="7"/>
        <v>4.2616338799893454E-2</v>
      </c>
      <c r="L27" s="94">
        <f t="shared" ca="1" si="7"/>
        <v>4.3376978070527754E-2</v>
      </c>
      <c r="M27" s="94">
        <f t="shared" ca="1" si="7"/>
        <v>4.2579650982035443E-2</v>
      </c>
      <c r="N27" s="94">
        <f t="shared" ca="1" si="7"/>
        <v>4.4494362607456039E-2</v>
      </c>
      <c r="O27" s="94">
        <f t="shared" ca="1" si="7"/>
        <v>4.6766476308072229E-2</v>
      </c>
      <c r="P27" s="94">
        <f t="shared" ca="1" si="7"/>
        <v>5.2124466908861161E-2</v>
      </c>
      <c r="Q27" s="94">
        <f t="shared" ca="1" si="7"/>
        <v>5.7066656207714783E-2</v>
      </c>
      <c r="R27" s="94">
        <f t="shared" ca="1" si="7"/>
        <v>6.2468156746339404E-2</v>
      </c>
      <c r="S27" s="94">
        <f t="shared" ca="1" si="7"/>
        <v>5.155918803826838E-2</v>
      </c>
      <c r="T27" s="94">
        <f t="shared" ca="1" si="7"/>
        <v>4.4432963058641181E-2</v>
      </c>
      <c r="U27" s="94" t="str">
        <f t="shared" ca="1" si="7"/>
        <v>N/A</v>
      </c>
      <c r="V27" s="56"/>
      <c r="W27" s="56"/>
      <c r="X27" s="56"/>
    </row>
    <row r="28" spans="1:24" x14ac:dyDescent="0.25">
      <c r="A28" t="str">
        <f>IFERROR(INDEX('[5]2017 Data (WP)'!$C$9:$C$72,MATCH($B28,'[5]2017 Data (WP)'!$D$9:$D$72,0)),"")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94">
        <f t="shared" ca="1" si="5"/>
        <v>4.2865228392595552E-2</v>
      </c>
      <c r="H28" s="94">
        <f t="shared" ca="1" si="5"/>
        <v>3.7332569084107634E-2</v>
      </c>
      <c r="I28" s="94">
        <f t="shared" ca="1" si="6"/>
        <v>3.8432316069393437E-2</v>
      </c>
      <c r="J28" s="94">
        <f t="shared" ca="1" si="6"/>
        <v>2.8728755773412069E-2</v>
      </c>
      <c r="K28" s="94">
        <f t="shared" ca="1" si="7"/>
        <v>2.8086227409211944E-2</v>
      </c>
      <c r="L28" s="94">
        <f t="shared" ca="1" si="7"/>
        <v>2.8279103162429427E-2</v>
      </c>
      <c r="M28" s="94">
        <f t="shared" ca="1" si="7"/>
        <v>2.6245000530917072E-2</v>
      </c>
      <c r="N28" s="94">
        <f t="shared" ca="1" si="7"/>
        <v>2.8497625197900178E-2</v>
      </c>
      <c r="O28" s="94">
        <f t="shared" ca="1" si="7"/>
        <v>2.9729423751839693E-2</v>
      </c>
      <c r="P28" s="94">
        <f t="shared" ca="1" si="7"/>
        <v>3.3692545688140743E-2</v>
      </c>
      <c r="Q28" s="94">
        <f t="shared" ca="1" si="7"/>
        <v>3.6593479707252158E-2</v>
      </c>
      <c r="R28" s="94">
        <f t="shared" ca="1" si="7"/>
        <v>3.9540127671737549E-2</v>
      </c>
      <c r="S28" s="94">
        <f t="shared" ca="1" si="7"/>
        <v>2.6937877954920288E-2</v>
      </c>
      <c r="T28" s="94">
        <f t="shared" ca="1" si="7"/>
        <v>2.2080655466606532E-2</v>
      </c>
      <c r="U28" s="94">
        <f t="shared" ca="1" si="7"/>
        <v>2.5822202399117353E-2</v>
      </c>
      <c r="V28" s="56"/>
      <c r="W28" s="56"/>
      <c r="X28" s="56"/>
    </row>
    <row r="29" spans="1:24" x14ac:dyDescent="0.25">
      <c r="A29" t="str">
        <f>IFERROR(INDEX('[5]2017 Data (WP)'!$C$9:$C$72,MATCH($B29,'[5]2017 Data (WP)'!$D$9:$D$72,0)),"")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94" t="str">
        <f t="shared" ca="1" si="5"/>
        <v>N/A</v>
      </c>
      <c r="H29" s="94" t="str">
        <f t="shared" ca="1" si="5"/>
        <v>N/A</v>
      </c>
      <c r="I29" s="94">
        <f t="shared" ca="1" si="6"/>
        <v>2.5459714275432723E-2</v>
      </c>
      <c r="J29" s="94">
        <f t="shared" ca="1" si="6"/>
        <v>2.4945461443611872E-2</v>
      </c>
      <c r="K29" s="94">
        <f t="shared" ca="1" si="7"/>
        <v>2.7472527472527472E-2</v>
      </c>
      <c r="L29" s="94">
        <f t="shared" ca="1" si="7"/>
        <v>3.1311312387453973E-2</v>
      </c>
      <c r="M29" s="94">
        <f t="shared" ca="1" si="7"/>
        <v>2.9712288249529446E-2</v>
      </c>
      <c r="N29" s="94">
        <f t="shared" ca="1" si="7"/>
        <v>2.9914407580225E-2</v>
      </c>
      <c r="O29" s="94">
        <f t="shared" ca="1" si="7"/>
        <v>2.9654539896056251E-2</v>
      </c>
      <c r="P29" s="94">
        <f t="shared" ca="1" si="7"/>
        <v>2.1129466000768343E-2</v>
      </c>
      <c r="Q29" s="94">
        <f t="shared" ca="1" si="7"/>
        <v>0</v>
      </c>
      <c r="R29" s="94">
        <f t="shared" ca="1" si="7"/>
        <v>0</v>
      </c>
      <c r="S29" s="94">
        <f t="shared" ca="1" si="7"/>
        <v>0</v>
      </c>
      <c r="T29" s="94">
        <f t="shared" ca="1" si="7"/>
        <v>0</v>
      </c>
      <c r="U29" s="94">
        <f t="shared" ca="1" si="7"/>
        <v>0</v>
      </c>
      <c r="V29" s="56"/>
      <c r="W29" s="56"/>
      <c r="X29" s="56"/>
    </row>
    <row r="30" spans="1:24" x14ac:dyDescent="0.25">
      <c r="A30" t="str">
        <f>IFERROR(INDEX('[5]2017 Data (WP)'!$C$9:$C$72,MATCH($B30,'[5]2017 Data (WP)'!$D$9:$D$72,0)),"")</f>
        <v/>
      </c>
      <c r="B30" t="s">
        <v>16</v>
      </c>
      <c r="C30" t="s">
        <v>102</v>
      </c>
      <c r="D30" s="35" t="e">
        <f t="shared" ca="1" si="1"/>
        <v>#N/A</v>
      </c>
      <c r="E30" s="35">
        <f t="shared" ca="1" si="2"/>
        <v>29</v>
      </c>
      <c r="F30" s="35"/>
      <c r="G30" s="94" t="str">
        <f t="shared" ca="1" si="5"/>
        <v>N/A</v>
      </c>
      <c r="H30" s="94" t="str">
        <f t="shared" ca="1" si="5"/>
        <v>N/A</v>
      </c>
      <c r="I30" s="94" t="str">
        <f t="shared" ca="1" si="6"/>
        <v>N/A</v>
      </c>
      <c r="J30" s="94" t="str">
        <f t="shared" ca="1" si="6"/>
        <v>N/A</v>
      </c>
      <c r="K30" s="94" t="str">
        <f t="shared" ca="1" si="7"/>
        <v>N/A</v>
      </c>
      <c r="L30" s="94" t="str">
        <f t="shared" ca="1" si="7"/>
        <v>N/A</v>
      </c>
      <c r="M30" s="94" t="str">
        <f t="shared" ca="1" si="7"/>
        <v>N/A</v>
      </c>
      <c r="N30" s="94" t="str">
        <f t="shared" ca="1" si="7"/>
        <v>N/A</v>
      </c>
      <c r="O30" s="94" t="str">
        <f t="shared" ca="1" si="7"/>
        <v>N/A</v>
      </c>
      <c r="P30" s="94" t="str">
        <f t="shared" ca="1" si="7"/>
        <v>N/A</v>
      </c>
      <c r="Q30" s="94" t="str">
        <f t="shared" ca="1" si="7"/>
        <v>N/A</v>
      </c>
      <c r="R30" s="94" t="str">
        <f t="shared" ca="1" si="7"/>
        <v>N/A</v>
      </c>
      <c r="S30" s="94" t="str">
        <f t="shared" ca="1" si="7"/>
        <v>N/A</v>
      </c>
      <c r="T30" s="94" t="str">
        <f t="shared" ca="1" si="7"/>
        <v>N/A</v>
      </c>
      <c r="U30" s="94" t="str">
        <f t="shared" ca="1" si="7"/>
        <v>N/A</v>
      </c>
      <c r="V30" s="56"/>
      <c r="W30" s="56"/>
      <c r="X30" s="56"/>
    </row>
    <row r="31" spans="1:24" x14ac:dyDescent="0.25">
      <c r="A31" t="str">
        <f>IFERROR(INDEX('[5]2017 Data (WP)'!$C$9:$C$72,MATCH($B31,'[5]2017 Data (WP)'!$D$9:$D$72,0)),"")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30</v>
      </c>
      <c r="F31" s="35"/>
      <c r="G31" s="94">
        <f t="shared" ca="1" si="5"/>
        <v>3.5532078626599656E-2</v>
      </c>
      <c r="H31" s="94">
        <f t="shared" ca="1" si="5"/>
        <v>3.5201446529387441E-2</v>
      </c>
      <c r="I31" s="94">
        <f t="shared" ca="1" si="6"/>
        <v>4.4090298902668815E-2</v>
      </c>
      <c r="J31" s="94">
        <f t="shared" ca="1" si="6"/>
        <v>4.4930550206680533E-2</v>
      </c>
      <c r="K31" s="94">
        <f t="shared" ca="1" si="7"/>
        <v>4.5513221457753883E-2</v>
      </c>
      <c r="L31" s="94">
        <f t="shared" ca="1" si="7"/>
        <v>4.5882272134075142E-2</v>
      </c>
      <c r="M31" s="94">
        <f t="shared" ca="1" si="7"/>
        <v>4.4653665097511772E-2</v>
      </c>
      <c r="N31" s="94">
        <f t="shared" ca="1" si="7"/>
        <v>5.0656087885260902E-2</v>
      </c>
      <c r="O31" s="94">
        <f t="shared" ca="1" si="7"/>
        <v>4.91356855316126E-2</v>
      </c>
      <c r="P31" s="94">
        <f t="shared" ca="1" si="7"/>
        <v>4.8525951152491337E-2</v>
      </c>
      <c r="Q31" s="94">
        <f t="shared" ca="1" si="7"/>
        <v>4.2045159615883732E-2</v>
      </c>
      <c r="R31" s="94">
        <f t="shared" ca="1" si="7"/>
        <v>3.9745101416250449E-2</v>
      </c>
      <c r="S31" s="94">
        <f t="shared" ca="1" si="7"/>
        <v>2.9225808337148926E-2</v>
      </c>
      <c r="T31" s="94">
        <f t="shared" ca="1" si="7"/>
        <v>2.3867893982145335E-2</v>
      </c>
      <c r="U31" s="94">
        <f t="shared" ca="1" si="7"/>
        <v>2.8227545379699692E-2</v>
      </c>
      <c r="V31" s="56"/>
      <c r="W31" s="56"/>
      <c r="X31" s="56"/>
    </row>
    <row r="32" spans="1:24" x14ac:dyDescent="0.25">
      <c r="A32" t="str">
        <f>IFERROR(INDEX('[5]2017 Data (WP)'!$C$9:$C$72,MATCH($B32,'[5]2017 Data (WP)'!$D$9:$D$72,0)),"")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31</v>
      </c>
      <c r="F32" s="35"/>
      <c r="G32" s="94">
        <f t="shared" ca="1" si="5"/>
        <v>2.6278927078871511E-2</v>
      </c>
      <c r="H32" s="94">
        <f t="shared" ca="1" si="5"/>
        <v>2.8052697122632236E-2</v>
      </c>
      <c r="I32" s="94">
        <f t="shared" ca="1" si="6"/>
        <v>3.3183841768928753E-2</v>
      </c>
      <c r="J32" s="94">
        <f t="shared" ca="1" si="6"/>
        <v>3.1385764078167074E-2</v>
      </c>
      <c r="K32" s="94">
        <f t="shared" ca="1" si="7"/>
        <v>3.2172357077014838E-2</v>
      </c>
      <c r="L32" s="94">
        <f t="shared" ca="1" si="7"/>
        <v>3.3411359862353197E-2</v>
      </c>
      <c r="M32" s="94">
        <f t="shared" ca="1" si="7"/>
        <v>3.3958427962710619E-2</v>
      </c>
      <c r="N32" s="94">
        <f t="shared" ca="1" si="7"/>
        <v>3.4848161581679825E-2</v>
      </c>
      <c r="O32" s="94">
        <f t="shared" ca="1" si="7"/>
        <v>3.5175611575973993E-2</v>
      </c>
      <c r="P32" s="94">
        <f t="shared" ca="1" si="7"/>
        <v>3.2279836840097428E-2</v>
      </c>
      <c r="Q32" s="94">
        <f t="shared" ca="1" si="7"/>
        <v>3.6361701372875942E-2</v>
      </c>
      <c r="R32" s="94">
        <f t="shared" ca="1" si="7"/>
        <v>4.1586412187007524E-2</v>
      </c>
      <c r="S32" s="94">
        <f t="shared" ca="1" si="7"/>
        <v>3.2464977176137257E-2</v>
      </c>
      <c r="T32" s="94">
        <f t="shared" ca="1" si="7"/>
        <v>2.6001476212843051E-2</v>
      </c>
      <c r="U32" s="94">
        <f t="shared" ca="1" si="7"/>
        <v>3.2667958365250299E-2</v>
      </c>
      <c r="V32" s="56"/>
      <c r="W32" s="56"/>
      <c r="X32" s="56"/>
    </row>
    <row r="33" spans="1:24" x14ac:dyDescent="0.25">
      <c r="A33" t="str">
        <f>IFERROR(INDEX('[5]2017 Data (WP)'!$C$9:$C$72,MATCH($B33,'[5]2017 Data (WP)'!$D$9:$D$72,0)),"")</f>
        <v>Electric Utility (East)</v>
      </c>
      <c r="B33" t="s">
        <v>18</v>
      </c>
      <c r="C33" t="s">
        <v>69</v>
      </c>
      <c r="D33" s="35">
        <f t="shared" ca="1" si="1"/>
        <v>31</v>
      </c>
      <c r="E33" s="35">
        <f t="shared" ca="1" si="2"/>
        <v>32</v>
      </c>
      <c r="F33" s="35"/>
      <c r="G33" s="94">
        <f t="shared" ca="1" si="5"/>
        <v>3.8234706117552981E-2</v>
      </c>
      <c r="H33" s="94">
        <f t="shared" ca="1" si="5"/>
        <v>3.0588781300761553E-2</v>
      </c>
      <c r="I33" s="94">
        <f t="shared" ca="1" si="6"/>
        <v>3.3181053137773496E-2</v>
      </c>
      <c r="J33" s="94">
        <f t="shared" ca="1" si="6"/>
        <v>3.5138542421072401E-2</v>
      </c>
      <c r="K33" s="94">
        <f t="shared" ca="1" si="7"/>
        <v>3.7471004579789455E-2</v>
      </c>
      <c r="L33" s="94">
        <f t="shared" ca="1" si="7"/>
        <v>3.8819146604889956E-2</v>
      </c>
      <c r="M33" s="94">
        <f t="shared" ca="1" si="7"/>
        <v>3.6863071526250075E-2</v>
      </c>
      <c r="N33" s="94">
        <f t="shared" ca="1" si="7"/>
        <v>4.689010634869481E-2</v>
      </c>
      <c r="O33" s="94">
        <f t="shared" ca="1" si="7"/>
        <v>5.7330057330057325E-2</v>
      </c>
      <c r="P33" s="94">
        <f t="shared" ca="1" si="7"/>
        <v>4.9551675318546484E-2</v>
      </c>
      <c r="Q33" s="94">
        <f t="shared" ca="1" si="7"/>
        <v>4.946646880079146E-2</v>
      </c>
      <c r="R33" s="94">
        <f t="shared" ca="1" si="7"/>
        <v>4.261017774531288E-2</v>
      </c>
      <c r="S33" s="94">
        <f t="shared" ca="1" si="7"/>
        <v>2.7820752924571826E-2</v>
      </c>
      <c r="T33" s="94">
        <f t="shared" ca="1" si="7"/>
        <v>2.4784159925919876E-2</v>
      </c>
      <c r="U33" s="94">
        <f t="shared" ca="1" si="7"/>
        <v>2.8349178910976661E-2</v>
      </c>
      <c r="V33" s="56"/>
      <c r="W33" s="56"/>
      <c r="X33" s="56"/>
    </row>
    <row r="34" spans="1:24" x14ac:dyDescent="0.25">
      <c r="A34" t="str">
        <f>IFERROR(INDEX('[5]2017 Data (WP)'!$C$9:$C$72,MATCH($B34,'[5]2017 Data (WP)'!$D$9:$D$72,0)),"")</f>
        <v>Electric Utility (East)</v>
      </c>
      <c r="B34" t="s">
        <v>19</v>
      </c>
      <c r="C34" t="s">
        <v>66</v>
      </c>
      <c r="D34" s="35">
        <f t="shared" ca="1" si="1"/>
        <v>32</v>
      </c>
      <c r="E34" s="35">
        <f t="shared" ca="1" si="2"/>
        <v>33</v>
      </c>
      <c r="F34" s="35"/>
      <c r="G34" s="94">
        <f t="shared" ca="1" si="5"/>
        <v>4.167334508735375E-2</v>
      </c>
      <c r="H34" s="94">
        <f t="shared" ca="1" si="5"/>
        <v>3.4973826776693258E-2</v>
      </c>
      <c r="I34" s="94">
        <f t="shared" ca="1" si="6"/>
        <v>5.1688392831785522E-2</v>
      </c>
      <c r="J34" s="94">
        <f t="shared" ca="1" si="6"/>
        <v>4.6233866307069924E-2</v>
      </c>
      <c r="K34" s="94">
        <f t="shared" ca="1" si="7"/>
        <v>4.3089260600257341E-2</v>
      </c>
      <c r="L34" s="94">
        <f t="shared" ca="1" si="7"/>
        <v>4.2296959906006751E-2</v>
      </c>
      <c r="M34" s="94">
        <f t="shared" ca="1" si="7"/>
        <v>4.2577097069867835E-2</v>
      </c>
      <c r="N34" s="94">
        <f t="shared" ca="1" si="7"/>
        <v>4.2556484060662335E-2</v>
      </c>
      <c r="O34" s="94">
        <f t="shared" ca="1" si="7"/>
        <v>4.8962877236713255E-2</v>
      </c>
      <c r="P34" s="94">
        <f t="shared" ca="1" si="7"/>
        <v>5.2263980614814465E-2</v>
      </c>
      <c r="Q34" s="94">
        <f t="shared" ca="1" si="7"/>
        <v>5.7621791513881616E-2</v>
      </c>
      <c r="R34" s="94">
        <f t="shared" ca="1" si="7"/>
        <v>5.0878815911193344E-2</v>
      </c>
      <c r="S34" s="94">
        <f t="shared" ca="1" si="7"/>
        <v>3.2108351090224467E-2</v>
      </c>
      <c r="T34" s="94">
        <f t="shared" ca="1" si="7"/>
        <v>3.1165909056357081E-2</v>
      </c>
      <c r="U34" s="94">
        <f t="shared" ca="1" si="7"/>
        <v>3.4036133495234946E-2</v>
      </c>
      <c r="V34" s="56"/>
      <c r="W34" s="56"/>
      <c r="X34" s="56"/>
    </row>
    <row r="35" spans="1:24" x14ac:dyDescent="0.25">
      <c r="A35" t="str">
        <f>IFERROR(INDEX('[5]2017 Data (WP)'!$C$9:$C$72,MATCH($B35,'[5]2017 Data (WP)'!$D$9:$D$72,0)),"")</f>
        <v>Electric Util. (Central)</v>
      </c>
      <c r="B35" t="s">
        <v>266</v>
      </c>
      <c r="C35" t="s">
        <v>265</v>
      </c>
      <c r="D35" s="35">
        <f t="shared" ca="1" si="1"/>
        <v>33</v>
      </c>
      <c r="E35" s="35">
        <f t="shared" ca="1" si="2"/>
        <v>34</v>
      </c>
      <c r="F35" s="35"/>
      <c r="G35" s="94">
        <f t="shared" ca="1" si="5"/>
        <v>3.6634475558372799E-2</v>
      </c>
      <c r="H35" s="94">
        <f t="shared" ca="1" si="5"/>
        <v>3.6021515816455324E-2</v>
      </c>
      <c r="I35" s="94">
        <f t="shared" ca="1" si="6"/>
        <v>4.065796199061382E-2</v>
      </c>
      <c r="J35" s="94">
        <f t="shared" ca="1" si="6"/>
        <v>3.690036900369003E-2</v>
      </c>
      <c r="K35" s="94">
        <f t="shared" ref="K35:U44" ca="1" si="8">IFERROR(INDEX(Dividends,$D35,K$2)/INDEX(MarketPrice,$E35,K$2),"N/A")</f>
        <v>3.7963212422542802E-2</v>
      </c>
      <c r="L35" s="94">
        <f t="shared" ca="1" si="8"/>
        <v>3.7646439383967355E-2</v>
      </c>
      <c r="M35" s="94">
        <f t="shared" ca="1" si="8"/>
        <v>3.8788602118454425E-2</v>
      </c>
      <c r="N35" s="94">
        <f t="shared" ca="1" si="8"/>
        <v>3.8401277994531656E-2</v>
      </c>
      <c r="O35" s="94">
        <f t="shared" ca="1" si="8"/>
        <v>3.6443587735678573E-2</v>
      </c>
      <c r="P35" s="94">
        <f t="shared" ca="1" si="8"/>
        <v>3.5780910731215025E-2</v>
      </c>
      <c r="Q35" s="94">
        <f t="shared" ca="1" si="8"/>
        <v>3.7955808594279522E-2</v>
      </c>
      <c r="R35" s="94">
        <f t="shared" ca="1" si="8"/>
        <v>4.2088223391339538E-2</v>
      </c>
      <c r="S35" s="94">
        <f t="shared" ca="1" si="8"/>
        <v>3.7632183042938319E-2</v>
      </c>
      <c r="T35" s="94">
        <f t="shared" ca="1" si="8"/>
        <v>3.0133764515654856E-2</v>
      </c>
      <c r="U35" s="94">
        <f t="shared" ca="1" si="8"/>
        <v>2.7878333957475139E-2</v>
      </c>
      <c r="V35" s="56"/>
      <c r="W35" s="56"/>
      <c r="X35" s="56"/>
    </row>
    <row r="36" spans="1:24" x14ac:dyDescent="0.25">
      <c r="A36" t="str">
        <f>IFERROR(INDEX('[5]2017 Data (WP)'!$C$9:$C$72,MATCH($B36,'[5]2017 Data (WP)'!$D$9:$D$72,0)),"")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94" t="str">
        <f t="shared" ca="1" si="5"/>
        <v>N/A</v>
      </c>
      <c r="H36" s="94" t="str">
        <f t="shared" ca="1" si="5"/>
        <v>N/A</v>
      </c>
      <c r="I36" s="94" t="str">
        <f t="shared" ca="1" si="6"/>
        <v>N/A</v>
      </c>
      <c r="J36" s="94" t="str">
        <f t="shared" ca="1" si="6"/>
        <v>N/A</v>
      </c>
      <c r="K36" s="94" t="str">
        <f t="shared" ca="1" si="8"/>
        <v>N/A</v>
      </c>
      <c r="L36" s="94" t="str">
        <f t="shared" ca="1" si="8"/>
        <v>N/A</v>
      </c>
      <c r="M36" s="94" t="str">
        <f t="shared" ca="1" si="8"/>
        <v>N/A</v>
      </c>
      <c r="N36" s="94" t="str">
        <f t="shared" ca="1" si="8"/>
        <v>N/A</v>
      </c>
      <c r="O36" s="94" t="str">
        <f t="shared" ca="1" si="8"/>
        <v>N/A</v>
      </c>
      <c r="P36" s="94" t="str">
        <f t="shared" ca="1" si="8"/>
        <v>N/A</v>
      </c>
      <c r="Q36" s="94" t="str">
        <f t="shared" ca="1" si="8"/>
        <v>N/A</v>
      </c>
      <c r="R36" s="94" t="str">
        <f t="shared" ca="1" si="8"/>
        <v>N/A</v>
      </c>
      <c r="S36" s="94" t="str">
        <f t="shared" ca="1" si="8"/>
        <v>N/A</v>
      </c>
      <c r="T36" s="94" t="str">
        <f t="shared" ca="1" si="8"/>
        <v>N/A</v>
      </c>
      <c r="U36" s="94" t="str">
        <f t="shared" ca="1" si="8"/>
        <v>N/A</v>
      </c>
      <c r="V36" s="56"/>
      <c r="W36" s="56"/>
      <c r="X36" s="56"/>
    </row>
    <row r="37" spans="1:24" x14ac:dyDescent="0.25">
      <c r="A37" t="str">
        <f>IFERROR(INDEX('[5]2017 Data (WP)'!$C$9:$C$72,MATCH($B37,'[5]2017 Data (WP)'!$D$9:$D$72,0)),"")</f>
        <v>Electric Util. (Central)</v>
      </c>
      <c r="B37" t="s">
        <v>20</v>
      </c>
      <c r="C37" t="s">
        <v>104</v>
      </c>
      <c r="D37" s="35">
        <f t="shared" ref="D37:D46" ca="1" si="9">MATCH(B37,OFFSET(Dividends,0,0,,1),0)</f>
        <v>35</v>
      </c>
      <c r="E37" s="35">
        <f t="shared" ref="E37:E46" ca="1" si="10">MATCH(B37,OFFSET(MarketPrice,0,0,,1),0)</f>
        <v>36</v>
      </c>
      <c r="F37" s="35"/>
      <c r="G37" s="94" t="str">
        <f t="shared" ca="1" si="5"/>
        <v>N/A</v>
      </c>
      <c r="H37" s="94" t="str">
        <f t="shared" ca="1" si="5"/>
        <v>N/A</v>
      </c>
      <c r="I37" s="94" t="str">
        <f t="shared" ca="1" si="6"/>
        <v>N/A</v>
      </c>
      <c r="J37" s="94">
        <f t="shared" ca="1" si="6"/>
        <v>3.5830618892508145E-2</v>
      </c>
      <c r="K37" s="94">
        <f t="shared" ca="1" si="8"/>
        <v>3.6443400462882997E-2</v>
      </c>
      <c r="L37" s="94">
        <f t="shared" ca="1" si="8"/>
        <v>3.7616373299159477E-2</v>
      </c>
      <c r="M37" s="94">
        <f t="shared" ca="1" si="8"/>
        <v>3.6159022352850186E-2</v>
      </c>
      <c r="N37" s="94">
        <f t="shared" ca="1" si="8"/>
        <v>3.8377860934644507E-2</v>
      </c>
      <c r="O37" s="94">
        <f t="shared" ca="1" si="8"/>
        <v>4.0770587954794713E-2</v>
      </c>
      <c r="P37" s="94">
        <f t="shared" ca="1" si="8"/>
        <v>4.1478317023496102E-2</v>
      </c>
      <c r="Q37" s="94">
        <f t="shared" ca="1" si="8"/>
        <v>4.4852742502026477E-2</v>
      </c>
      <c r="R37" s="94">
        <f t="shared" ca="1" si="8"/>
        <v>5.0260385127770375E-2</v>
      </c>
      <c r="S37" s="94">
        <f t="shared" ca="1" si="8"/>
        <v>6.9648401443316271E-2</v>
      </c>
      <c r="T37" s="94">
        <f t="shared" ca="1" si="8"/>
        <v>5.4888734583209337E-2</v>
      </c>
      <c r="U37" s="94">
        <f t="shared" ca="1" si="8"/>
        <v>5.5997841047092163E-2</v>
      </c>
      <c r="V37" s="56"/>
      <c r="W37" s="57"/>
      <c r="X37" s="57"/>
    </row>
    <row r="38" spans="1:24" x14ac:dyDescent="0.25">
      <c r="A38" t="str">
        <f>IFERROR(INDEX('[5]2017 Data (WP)'!$C$9:$C$72,MATCH($B38,'[5]2017 Data (WP)'!$D$9:$D$72,0)),"")</f>
        <v>Electric Utility (West)</v>
      </c>
      <c r="B38" t="s">
        <v>21</v>
      </c>
      <c r="C38" t="s">
        <v>58</v>
      </c>
      <c r="D38" s="35">
        <f t="shared" ca="1" si="9"/>
        <v>36</v>
      </c>
      <c r="E38" s="35">
        <f t="shared" ca="1" si="10"/>
        <v>37</v>
      </c>
      <c r="F38" s="35"/>
      <c r="G38" s="94">
        <f t="shared" ca="1" si="5"/>
        <v>3.3954110505196013E-2</v>
      </c>
      <c r="H38" s="94">
        <f t="shared" ca="1" si="5"/>
        <v>3.0241459150404007E-2</v>
      </c>
      <c r="I38" s="94">
        <f t="shared" ca="1" si="6"/>
        <v>3.5379040771491344E-2</v>
      </c>
      <c r="J38" s="94">
        <f t="shared" ca="1" si="6"/>
        <v>3.6538291540206859E-2</v>
      </c>
      <c r="K38" s="94">
        <f t="shared" ca="1" si="8"/>
        <v>3.9943306274964563E-2</v>
      </c>
      <c r="L38" s="94">
        <f t="shared" ca="1" si="8"/>
        <v>4.0517579401385444E-2</v>
      </c>
      <c r="M38" s="94">
        <f t="shared" ca="1" si="8"/>
        <v>4.7609905932040696E-2</v>
      </c>
      <c r="N38" s="94">
        <f t="shared" ca="1" si="8"/>
        <v>4.7211117456691411E-2</v>
      </c>
      <c r="O38" s="94">
        <f t="shared" ca="1" si="8"/>
        <v>4.6955468039987881E-2</v>
      </c>
      <c r="P38" s="94">
        <f t="shared" ca="1" si="8"/>
        <v>5.0388069405502049E-2</v>
      </c>
      <c r="Q38" s="94">
        <f t="shared" ca="1" si="8"/>
        <v>5.513316437686186E-2</v>
      </c>
      <c r="R38" s="94">
        <f t="shared" ca="1" si="8"/>
        <v>6.886975840044432E-2</v>
      </c>
      <c r="S38" s="94">
        <f t="shared" ca="1" si="8"/>
        <v>5.0036316681462349E-2</v>
      </c>
      <c r="T38" s="94">
        <f t="shared" ca="1" si="8"/>
        <v>5.1781016411241491E-2</v>
      </c>
      <c r="U38" s="94">
        <f t="shared" ca="1" si="8"/>
        <v>4.5861380279606477E-2</v>
      </c>
      <c r="V38" s="56"/>
      <c r="W38" s="56"/>
      <c r="X38" s="56"/>
    </row>
    <row r="39" spans="1:24" x14ac:dyDescent="0.25">
      <c r="A39" t="str">
        <f>IFERROR(INDEX('[5]2017 Data (WP)'!$C$9:$C$72,MATCH($B39,'[5]2017 Data (WP)'!$D$9:$D$72,0)),"")</f>
        <v>Electric Utility (West)</v>
      </c>
      <c r="B39" t="s">
        <v>22</v>
      </c>
      <c r="C39" t="s">
        <v>59</v>
      </c>
      <c r="D39" s="35">
        <f t="shared" ca="1" si="9"/>
        <v>37</v>
      </c>
      <c r="E39" s="35">
        <f t="shared" ca="1" si="10"/>
        <v>38</v>
      </c>
      <c r="F39" s="35"/>
      <c r="G39" s="94">
        <f t="shared" ca="1" si="5"/>
        <v>2.9172654926103093E-2</v>
      </c>
      <c r="H39" s="94">
        <f t="shared" ca="1" si="5"/>
        <v>2.4892311581731375E-2</v>
      </c>
      <c r="I39" s="94">
        <f t="shared" ca="1" si="6"/>
        <v>2.6070520758652151E-2</v>
      </c>
      <c r="J39" s="94">
        <f t="shared" ca="1" si="6"/>
        <v>2.5827577857464059E-2</v>
      </c>
      <c r="K39" s="94">
        <f t="shared" ca="1" si="8"/>
        <v>2.7697142400596553E-2</v>
      </c>
      <c r="L39" s="94">
        <f t="shared" ca="1" si="8"/>
        <v>3.0590784526161492E-2</v>
      </c>
      <c r="M39" s="94">
        <f t="shared" ca="1" si="8"/>
        <v>3.117306363910094E-2</v>
      </c>
      <c r="N39" s="94">
        <f t="shared" ca="1" si="8"/>
        <v>3.206895847376269E-2</v>
      </c>
      <c r="O39" s="94">
        <f t="shared" ca="1" si="8"/>
        <v>3.275944524151124E-2</v>
      </c>
      <c r="P39" s="94">
        <f t="shared" ca="1" si="8"/>
        <v>3.0961349914856284E-2</v>
      </c>
      <c r="Q39" s="94">
        <f t="shared" ca="1" si="8"/>
        <v>3.4393809114359415E-2</v>
      </c>
      <c r="R39" s="94">
        <f t="shared" ca="1" si="8"/>
        <v>4.4574867204041455E-2</v>
      </c>
      <c r="S39" s="94">
        <f t="shared" ca="1" si="8"/>
        <v>3.9529597786342525E-2</v>
      </c>
      <c r="T39" s="94">
        <f t="shared" ca="1" si="8"/>
        <v>3.5460992907801414E-2</v>
      </c>
      <c r="U39" s="94">
        <f t="shared" ca="1" si="8"/>
        <v>3.3884904275145421E-2</v>
      </c>
      <c r="V39" s="56"/>
      <c r="W39" s="56"/>
      <c r="X39" s="56"/>
    </row>
    <row r="40" spans="1:24" x14ac:dyDescent="0.25">
      <c r="A40" t="str">
        <f>IFERROR(INDEX('[5]2017 Data (WP)'!$C$9:$C$72,MATCH($B40,'[5]2017 Data (WP)'!$D$9:$D$72,0)),"")</f>
        <v/>
      </c>
      <c r="B40" t="s">
        <v>23</v>
      </c>
      <c r="C40" t="s">
        <v>85</v>
      </c>
      <c r="D40" s="35" t="e">
        <f t="shared" ca="1" si="9"/>
        <v>#N/A</v>
      </c>
      <c r="E40" s="35" t="e">
        <f t="shared" ca="1" si="10"/>
        <v>#N/A</v>
      </c>
      <c r="F40" s="35"/>
      <c r="G40" s="94" t="str">
        <f t="shared" ca="1" si="5"/>
        <v>N/A</v>
      </c>
      <c r="H40" s="94" t="str">
        <f t="shared" ca="1" si="5"/>
        <v>N/A</v>
      </c>
      <c r="I40" s="94" t="str">
        <f t="shared" ca="1" si="6"/>
        <v>N/A</v>
      </c>
      <c r="J40" s="94" t="str">
        <f t="shared" ca="1" si="6"/>
        <v>N/A</v>
      </c>
      <c r="K40" s="94" t="str">
        <f t="shared" ca="1" si="8"/>
        <v>N/A</v>
      </c>
      <c r="L40" s="94" t="str">
        <f t="shared" ca="1" si="8"/>
        <v>N/A</v>
      </c>
      <c r="M40" s="94" t="str">
        <f t="shared" ca="1" si="8"/>
        <v>N/A</v>
      </c>
      <c r="N40" s="94" t="str">
        <f t="shared" ca="1" si="8"/>
        <v>N/A</v>
      </c>
      <c r="O40" s="94" t="str">
        <f t="shared" ca="1" si="8"/>
        <v>N/A</v>
      </c>
      <c r="P40" s="94" t="str">
        <f t="shared" ca="1" si="8"/>
        <v>N/A</v>
      </c>
      <c r="Q40" s="94" t="str">
        <f t="shared" ca="1" si="8"/>
        <v>N/A</v>
      </c>
      <c r="R40" s="94" t="str">
        <f t="shared" ca="1" si="8"/>
        <v>N/A</v>
      </c>
      <c r="S40" s="94" t="str">
        <f t="shared" ca="1" si="8"/>
        <v>N/A</v>
      </c>
      <c r="T40" s="94" t="str">
        <f t="shared" ca="1" si="8"/>
        <v>N/A</v>
      </c>
      <c r="U40" s="94" t="str">
        <f t="shared" ca="1" si="8"/>
        <v>N/A</v>
      </c>
      <c r="V40" s="56"/>
      <c r="W40" s="56"/>
      <c r="X40" s="56"/>
    </row>
    <row r="41" spans="1:24" x14ac:dyDescent="0.25">
      <c r="A41" t="str">
        <f>IFERROR(INDEX('[5]2017 Data (WP)'!$C$9:$C$72,MATCH($B41,'[5]2017 Data (WP)'!$D$9:$D$72,0)),"")</f>
        <v/>
      </c>
      <c r="B41" t="s">
        <v>161</v>
      </c>
      <c r="C41" t="s">
        <v>160</v>
      </c>
      <c r="D41" s="35" t="e">
        <f t="shared" ca="1" si="9"/>
        <v>#N/A</v>
      </c>
      <c r="E41" s="35" t="e">
        <f t="shared" ca="1" si="10"/>
        <v>#N/A</v>
      </c>
      <c r="F41" s="35"/>
      <c r="G41" s="94" t="str">
        <f t="shared" ca="1" si="5"/>
        <v>N/A</v>
      </c>
      <c r="H41" s="94" t="str">
        <f t="shared" ca="1" si="5"/>
        <v>N/A</v>
      </c>
      <c r="I41" s="94" t="str">
        <f t="shared" ca="1" si="6"/>
        <v>N/A</v>
      </c>
      <c r="J41" s="94" t="str">
        <f t="shared" ca="1" si="6"/>
        <v>N/A</v>
      </c>
      <c r="K41" s="94" t="str">
        <f t="shared" ca="1" si="8"/>
        <v>N/A</v>
      </c>
      <c r="L41" s="94" t="str">
        <f t="shared" ca="1" si="8"/>
        <v>N/A</v>
      </c>
      <c r="M41" s="94" t="str">
        <f t="shared" ca="1" si="8"/>
        <v>N/A</v>
      </c>
      <c r="N41" s="94" t="str">
        <f t="shared" ca="1" si="8"/>
        <v>N/A</v>
      </c>
      <c r="O41" s="94" t="str">
        <f t="shared" ca="1" si="8"/>
        <v>N/A</v>
      </c>
      <c r="P41" s="94" t="str">
        <f t="shared" ca="1" si="8"/>
        <v>N/A</v>
      </c>
      <c r="Q41" s="94" t="str">
        <f t="shared" ca="1" si="8"/>
        <v>N/A</v>
      </c>
      <c r="R41" s="94" t="str">
        <f t="shared" ca="1" si="8"/>
        <v>N/A</v>
      </c>
      <c r="S41" s="94" t="str">
        <f t="shared" ca="1" si="8"/>
        <v>N/A</v>
      </c>
      <c r="T41" s="94" t="str">
        <f t="shared" ca="1" si="8"/>
        <v>N/A</v>
      </c>
      <c r="U41" s="94" t="str">
        <f t="shared" ca="1" si="8"/>
        <v>N/A</v>
      </c>
      <c r="V41" s="56"/>
      <c r="W41" s="56"/>
      <c r="X41" s="56"/>
    </row>
    <row r="42" spans="1:24" x14ac:dyDescent="0.25">
      <c r="A42" t="str">
        <f>IFERROR(INDEX('[5]2017 Data (WP)'!$C$9:$C$72,MATCH($B42,'[5]2017 Data (WP)'!$D$9:$D$72,0)),"")</f>
        <v/>
      </c>
      <c r="B42" t="s">
        <v>24</v>
      </c>
      <c r="C42" t="s">
        <v>60</v>
      </c>
      <c r="D42" s="35" t="e">
        <f t="shared" ca="1" si="9"/>
        <v>#N/A</v>
      </c>
      <c r="E42" s="35" t="e">
        <f t="shared" ca="1" si="10"/>
        <v>#N/A</v>
      </c>
      <c r="F42" s="35"/>
      <c r="G42" s="94" t="str">
        <f t="shared" ca="1" si="5"/>
        <v>N/A</v>
      </c>
      <c r="H42" s="94" t="str">
        <f t="shared" ca="1" si="5"/>
        <v>N/A</v>
      </c>
      <c r="I42" s="94" t="str">
        <f t="shared" ca="1" si="6"/>
        <v>N/A</v>
      </c>
      <c r="J42" s="94" t="str">
        <f t="shared" ca="1" si="6"/>
        <v>N/A</v>
      </c>
      <c r="K42" s="94" t="str">
        <f t="shared" ca="1" si="8"/>
        <v>N/A</v>
      </c>
      <c r="L42" s="94" t="str">
        <f t="shared" ca="1" si="8"/>
        <v>N/A</v>
      </c>
      <c r="M42" s="94" t="str">
        <f t="shared" ca="1" si="8"/>
        <v>N/A</v>
      </c>
      <c r="N42" s="94" t="str">
        <f t="shared" ca="1" si="8"/>
        <v>N/A</v>
      </c>
      <c r="O42" s="94" t="str">
        <f t="shared" ca="1" si="8"/>
        <v>N/A</v>
      </c>
      <c r="P42" s="94" t="str">
        <f t="shared" ca="1" si="8"/>
        <v>N/A</v>
      </c>
      <c r="Q42" s="94" t="str">
        <f t="shared" ca="1" si="8"/>
        <v>N/A</v>
      </c>
      <c r="R42" s="94" t="str">
        <f t="shared" ca="1" si="8"/>
        <v>N/A</v>
      </c>
      <c r="S42" s="94" t="str">
        <f t="shared" ca="1" si="8"/>
        <v>N/A</v>
      </c>
      <c r="T42" s="94" t="str">
        <f t="shared" ca="1" si="8"/>
        <v>N/A</v>
      </c>
      <c r="U42" s="94" t="str">
        <f t="shared" ca="1" si="8"/>
        <v>N/A</v>
      </c>
      <c r="V42" s="56"/>
      <c r="W42" s="56"/>
      <c r="X42" s="56"/>
    </row>
    <row r="43" spans="1:24" x14ac:dyDescent="0.25">
      <c r="A43" t="str">
        <f>IFERROR(INDEX('[5]2017 Data (WP)'!$C$9:$C$72,MATCH($B43,'[5]2017 Data (WP)'!$D$9:$D$72,0)),"")</f>
        <v>Electric Util. (Central)</v>
      </c>
      <c r="B43" t="s">
        <v>25</v>
      </c>
      <c r="C43" t="s">
        <v>61</v>
      </c>
      <c r="D43" s="35">
        <f t="shared" ca="1" si="9"/>
        <v>38</v>
      </c>
      <c r="E43" s="35">
        <f t="shared" ca="1" si="10"/>
        <v>39</v>
      </c>
      <c r="F43" s="35"/>
      <c r="G43" s="94">
        <f t="shared" ca="1" si="5"/>
        <v>2.1045732595397614E-2</v>
      </c>
      <c r="H43" s="94">
        <f t="shared" ca="1" si="5"/>
        <v>1.9383928195187729E-2</v>
      </c>
      <c r="I43" s="94">
        <f t="shared" ca="1" si="6"/>
        <v>2.1630479311757479E-2</v>
      </c>
      <c r="J43" s="94">
        <f t="shared" ca="1" si="6"/>
        <v>1.9508871891741244E-2</v>
      </c>
      <c r="K43" s="94">
        <f t="shared" ca="1" si="8"/>
        <v>2.2287714127832012E-2</v>
      </c>
      <c r="L43" s="94">
        <f t="shared" ca="1" si="8"/>
        <v>2.7767803710353083E-2</v>
      </c>
      <c r="M43" s="94">
        <f t="shared" ca="1" si="8"/>
        <v>2.7831406865080361E-2</v>
      </c>
      <c r="N43" s="94">
        <f t="shared" ca="1" si="8"/>
        <v>2.9114854017577758E-2</v>
      </c>
      <c r="O43" s="94">
        <f t="shared" ca="1" si="8"/>
        <v>3.2450310462104906E-2</v>
      </c>
      <c r="P43" s="94">
        <f t="shared" ca="1" si="8"/>
        <v>3.6302919314876655E-2</v>
      </c>
      <c r="Q43" s="94">
        <f t="shared" ca="1" si="8"/>
        <v>3.9772499699603475E-2</v>
      </c>
      <c r="R43" s="94">
        <f t="shared" ca="1" si="8"/>
        <v>4.363228699551569E-2</v>
      </c>
      <c r="S43" s="94">
        <f t="shared" ca="1" si="8"/>
        <v>4.2360864941510097E-2</v>
      </c>
      <c r="T43" s="94">
        <f t="shared" ca="1" si="8"/>
        <v>4.1398749229278602E-2</v>
      </c>
      <c r="U43" s="94">
        <f t="shared" ca="1" si="8"/>
        <v>4.2519034950921936E-2</v>
      </c>
      <c r="V43" s="56"/>
      <c r="W43" s="56"/>
      <c r="X43" s="56"/>
    </row>
    <row r="44" spans="1:24" x14ac:dyDescent="0.25">
      <c r="A44" t="str">
        <f>IFERROR(INDEX('[5]2017 Data (WP)'!$C$9:$C$72,MATCH($B44,'[5]2017 Data (WP)'!$D$9:$D$72,0)),"")</f>
        <v>Water Utility</v>
      </c>
      <c r="B44" s="31" t="s">
        <v>188</v>
      </c>
      <c r="C44" s="31" t="s">
        <v>187</v>
      </c>
      <c r="D44" s="35">
        <f t="shared" ca="1" si="9"/>
        <v>39</v>
      </c>
      <c r="E44" s="35">
        <f t="shared" ca="1" si="10"/>
        <v>40</v>
      </c>
      <c r="F44" s="35"/>
      <c r="G44" s="94">
        <f t="shared" ca="1" si="5"/>
        <v>1.5875438864295526E-2</v>
      </c>
      <c r="H44" s="94">
        <f t="shared" ca="1" si="5"/>
        <v>1.6439643024894316E-2</v>
      </c>
      <c r="I44" s="94">
        <f t="shared" ca="1" si="6"/>
        <v>2.0958428232912326E-2</v>
      </c>
      <c r="J44" s="94">
        <f t="shared" ca="1" si="6"/>
        <v>2.1902841242692671E-2</v>
      </c>
      <c r="K44" s="94">
        <f t="shared" ca="1" si="8"/>
        <v>2.283130827917491E-2</v>
      </c>
      <c r="L44" s="94">
        <f t="shared" ca="1" si="8"/>
        <v>3.3284721626490522E-2</v>
      </c>
      <c r="M44" s="94">
        <f t="shared" ca="1" si="8"/>
        <v>3.652465294399234E-2</v>
      </c>
      <c r="N44" s="94">
        <f t="shared" ca="1" si="8"/>
        <v>3.7102734663710273E-2</v>
      </c>
      <c r="O44" s="94">
        <f t="shared" ca="1" si="8"/>
        <v>3.9635122159394007E-2</v>
      </c>
      <c r="P44" s="94">
        <f t="shared" ca="1" si="8"/>
        <v>4.0164383561643834E-2</v>
      </c>
      <c r="Q44" s="94">
        <f t="shared" ca="1" si="8"/>
        <v>4.2288120722933843E-2</v>
      </c>
      <c r="R44" s="94">
        <f t="shared" ca="1" si="8"/>
        <v>4.711868887126619E-2</v>
      </c>
      <c r="S44" s="94">
        <f t="shared" ca="1" si="8"/>
        <v>3.9895579138527891E-2</v>
      </c>
      <c r="T44" s="94">
        <f t="shared" ca="1" si="8"/>
        <v>3.6897029070386535E-2</v>
      </c>
      <c r="U44" s="94">
        <f t="shared" ca="1" si="8"/>
        <v>3.6663266949379998E-2</v>
      </c>
      <c r="V44" s="57"/>
      <c r="W44" s="57"/>
      <c r="X44" s="57"/>
    </row>
    <row r="45" spans="1:24" x14ac:dyDescent="0.25">
      <c r="A45" t="str">
        <f>IFERROR(INDEX('[5]2017 Data (WP)'!$C$9:$C$72,MATCH($B45,'[5]2017 Data (WP)'!$D$9:$D$72,0)),"")</f>
        <v>Natural Gas Utility</v>
      </c>
      <c r="B45" s="31" t="s">
        <v>190</v>
      </c>
      <c r="C45" s="31" t="s">
        <v>189</v>
      </c>
      <c r="D45" s="35">
        <f t="shared" ca="1" si="9"/>
        <v>40</v>
      </c>
      <c r="E45" s="35">
        <f t="shared" ca="1" si="10"/>
        <v>41</v>
      </c>
      <c r="F45" s="35"/>
      <c r="G45" s="94">
        <f t="shared" ca="1" si="5"/>
        <v>3.4661572052401744E-2</v>
      </c>
      <c r="H45" s="94">
        <f t="shared" ca="1" si="5"/>
        <v>2.4950204423943807E-2</v>
      </c>
      <c r="I45" s="94">
        <f t="shared" ca="1" si="6"/>
        <v>2.6136417054482209E-2</v>
      </c>
      <c r="J45" s="94">
        <f t="shared" ca="1" si="6"/>
        <v>2.6865054763380861E-2</v>
      </c>
      <c r="K45" s="94">
        <f t="shared" ref="K45:U53" ca="1" si="11">IFERROR(INDEX(Dividends,$D45,K$2)/INDEX(MarketPrice,$E45,K$2),"N/A")</f>
        <v>2.8644082658638527E-2</v>
      </c>
      <c r="L45" s="94">
        <f t="shared" ca="1" si="11"/>
        <v>3.1449731155523991E-2</v>
      </c>
      <c r="M45" s="94">
        <f t="shared" ca="1" si="11"/>
        <v>3.50366758185469E-2</v>
      </c>
      <c r="N45" s="94">
        <f t="shared" ca="1" si="11"/>
        <v>3.7127011046431686E-2</v>
      </c>
      <c r="O45" s="94">
        <f t="shared" ca="1" si="11"/>
        <v>3.3767486734201636E-2</v>
      </c>
      <c r="P45" s="94">
        <f t="shared" ca="1" si="11"/>
        <v>3.3311742389192191E-2</v>
      </c>
      <c r="Q45" s="94">
        <f t="shared" ca="1" si="11"/>
        <v>3.689636462289745E-2</v>
      </c>
      <c r="R45" s="94">
        <f t="shared" ca="1" si="11"/>
        <v>3.461753210496929E-2</v>
      </c>
      <c r="S45" s="94">
        <f t="shared" ca="1" si="11"/>
        <v>3.3494266747133378E-2</v>
      </c>
      <c r="T45" s="94">
        <f t="shared" ca="1" si="11"/>
        <v>3.0192949023344448E-2</v>
      </c>
      <c r="U45" s="94">
        <f t="shared" ca="1" si="11"/>
        <v>3.1904287138584245E-2</v>
      </c>
      <c r="V45" s="56"/>
      <c r="W45" s="56"/>
      <c r="X45" s="56"/>
    </row>
    <row r="46" spans="1:24" x14ac:dyDescent="0.25">
      <c r="A46" t="str">
        <f>IFERROR(INDEX('[5]2017 Data (WP)'!$C$9:$C$72,MATCH($B46,'[5]2017 Data (WP)'!$D$9:$D$72,0)),"")</f>
        <v>Electric Utility (East)</v>
      </c>
      <c r="B46" t="s">
        <v>141</v>
      </c>
      <c r="C46" t="s">
        <v>209</v>
      </c>
      <c r="D46" s="35">
        <f t="shared" ca="1" si="9"/>
        <v>41</v>
      </c>
      <c r="E46" s="35">
        <f t="shared" ca="1" si="10"/>
        <v>42</v>
      </c>
      <c r="F46" s="35"/>
      <c r="G46" s="94">
        <f t="shared" ca="1" si="5"/>
        <v>2.099611571859206E-2</v>
      </c>
      <c r="H46" s="94">
        <f t="shared" ca="1" si="5"/>
        <v>2.4054652169729625E-2</v>
      </c>
      <c r="I46" s="94">
        <f t="shared" ca="1" si="6"/>
        <v>2.6840119934229616E-2</v>
      </c>
      <c r="J46" s="94">
        <f t="shared" ca="1" si="6"/>
        <v>2.785673678226265E-2</v>
      </c>
      <c r="K46" s="94">
        <f t="shared" ca="1" si="11"/>
        <v>2.9069767441860465E-2</v>
      </c>
      <c r="L46" s="94">
        <f t="shared" ca="1" si="11"/>
        <v>3.0084000781402619E-2</v>
      </c>
      <c r="M46" s="94">
        <f t="shared" ca="1" si="11"/>
        <v>3.0220235138267926E-2</v>
      </c>
      <c r="N46" s="94">
        <f t="shared" ca="1" si="11"/>
        <v>3.2983508245877063E-2</v>
      </c>
      <c r="O46" s="94">
        <f t="shared" ca="1" si="11"/>
        <v>3.6465297192172112E-2</v>
      </c>
      <c r="P46" s="94">
        <f t="shared" ca="1" si="11"/>
        <v>3.9565498884972308E-2</v>
      </c>
      <c r="Q46" s="94">
        <f t="shared" ca="1" si="11"/>
        <v>3.8965087281795506E-2</v>
      </c>
      <c r="R46" s="94" t="str">
        <f t="shared" ca="1" si="11"/>
        <v>N/A</v>
      </c>
      <c r="S46" s="94" t="str">
        <f t="shared" ca="1" si="11"/>
        <v>N/A</v>
      </c>
      <c r="T46" s="94" t="str">
        <f t="shared" ca="1" si="11"/>
        <v>N/A</v>
      </c>
      <c r="U46" s="94" t="str">
        <f t="shared" ca="1" si="11"/>
        <v>N/A</v>
      </c>
      <c r="V46" s="56"/>
      <c r="W46" s="56"/>
      <c r="X46" s="56"/>
    </row>
    <row r="47" spans="1:24" x14ac:dyDescent="0.25">
      <c r="A47" t="str">
        <f>IFERROR(INDEX('[5]2017 Data (WP)'!$C$9:$C$72,MATCH($B47,'[5]2017 Data (WP)'!$D$9:$D$72,0)),"")</f>
        <v>Natural Gas Utility</v>
      </c>
      <c r="B47" t="s">
        <v>26</v>
      </c>
      <c r="C47" t="s">
        <v>62</v>
      </c>
      <c r="D47" s="35">
        <f t="shared" ref="D47:D78" ca="1" si="12">MATCH(B47,OFFSET(Dividends,0,0,,1),0)</f>
        <v>42</v>
      </c>
      <c r="E47" s="35">
        <f t="shared" ref="E47:E78" ca="1" si="13">MATCH(B47,OFFSET(MarketPrice,0,0,,1),0)</f>
        <v>43</v>
      </c>
      <c r="F47" s="35"/>
      <c r="G47" s="94">
        <f t="shared" ca="1" si="5"/>
        <v>3.4078461600876297E-2</v>
      </c>
      <c r="H47" s="94">
        <f t="shared" ca="1" si="5"/>
        <v>2.8642010669148975E-2</v>
      </c>
      <c r="I47" s="94">
        <f t="shared" ca="1" si="6"/>
        <v>3.1018849916487713E-2</v>
      </c>
      <c r="J47" s="94">
        <f t="shared" ca="1" si="6"/>
        <v>2.7870680044593088E-2</v>
      </c>
      <c r="K47" s="94">
        <f t="shared" ca="1" si="11"/>
        <v>2.7606435750334297E-2</v>
      </c>
      <c r="L47" s="94">
        <f t="shared" ca="1" si="11"/>
        <v>3.5283115116476783E-2</v>
      </c>
      <c r="M47" s="94">
        <f t="shared" ca="1" si="11"/>
        <v>2.6856947260328078E-2</v>
      </c>
      <c r="N47" s="94">
        <f t="shared" ca="1" si="11"/>
        <v>3.304670375990558E-2</v>
      </c>
      <c r="O47" s="94">
        <f t="shared" ca="1" si="11"/>
        <v>3.8395555918634097E-2</v>
      </c>
      <c r="P47" s="94">
        <f t="shared" ca="1" si="11"/>
        <v>4.525109438788058E-2</v>
      </c>
      <c r="Q47" s="94">
        <f t="shared" ca="1" si="11"/>
        <v>5.6625838616359947E-2</v>
      </c>
      <c r="R47" s="94">
        <f t="shared" ca="1" si="11"/>
        <v>7.6405614151648538E-2</v>
      </c>
      <c r="S47" s="94">
        <f t="shared" ca="1" si="11"/>
        <v>5.6906043174367538E-2</v>
      </c>
      <c r="T47" s="94">
        <f t="shared" ca="1" si="11"/>
        <v>4.2890442890442894E-2</v>
      </c>
      <c r="U47" s="94">
        <f t="shared" ca="1" si="11"/>
        <v>4.2120684918963466E-2</v>
      </c>
      <c r="V47" s="56"/>
      <c r="W47" s="56"/>
      <c r="X47" s="56"/>
    </row>
    <row r="48" spans="1:24" x14ac:dyDescent="0.25">
      <c r="A48" t="str">
        <f>IFERROR(INDEX('[5]2017 Data (WP)'!$C$9:$C$72,MATCH($B48,'[5]2017 Data (WP)'!$D$9:$D$72,0)),"")</f>
        <v>Natural Gas Utility</v>
      </c>
      <c r="B48" s="31" t="s">
        <v>192</v>
      </c>
      <c r="C48" s="31" t="s">
        <v>191</v>
      </c>
      <c r="D48" s="35">
        <f t="shared" ca="1" si="12"/>
        <v>43</v>
      </c>
      <c r="E48" s="35">
        <f t="shared" ca="1" si="13"/>
        <v>44</v>
      </c>
      <c r="F48" s="35"/>
      <c r="G48" s="94">
        <f t="shared" ca="1" si="5"/>
        <v>3.326540919936604E-2</v>
      </c>
      <c r="H48" s="94">
        <f t="shared" ca="1" si="5"/>
        <v>2.8118987716442209E-2</v>
      </c>
      <c r="I48" s="94">
        <f t="shared" ca="1" si="6"/>
        <v>3.0458325275575321E-2</v>
      </c>
      <c r="J48" s="94">
        <f t="shared" ca="1" si="6"/>
        <v>3.0211480362537763E-2</v>
      </c>
      <c r="K48" s="94">
        <f t="shared" ca="1" si="11"/>
        <v>3.2763333099726684E-2</v>
      </c>
      <c r="L48" s="94">
        <f t="shared" ca="1" si="11"/>
        <v>4.0055129640795939E-2</v>
      </c>
      <c r="M48" s="94">
        <f t="shared" ca="1" si="11"/>
        <v>4.1395359244590632E-2</v>
      </c>
      <c r="N48" s="94">
        <f t="shared" ca="1" si="11"/>
        <v>4.2156185210780933E-2</v>
      </c>
      <c r="O48" s="94">
        <f t="shared" ca="1" si="11"/>
        <v>3.8256855243753871E-2</v>
      </c>
      <c r="P48" s="94">
        <f t="shared" ca="1" si="11"/>
        <v>3.8500462005544064E-2</v>
      </c>
      <c r="Q48" s="94">
        <f t="shared" ca="1" si="11"/>
        <v>3.6260036260036259E-2</v>
      </c>
      <c r="R48" s="94">
        <f t="shared" ca="1" si="11"/>
        <v>3.7261294829995344E-2</v>
      </c>
      <c r="S48" s="94">
        <f t="shared" ca="1" si="11"/>
        <v>3.2721245129485717E-2</v>
      </c>
      <c r="T48" s="94">
        <f t="shared" ca="1" si="11"/>
        <v>3.1170180527295553E-2</v>
      </c>
      <c r="U48" s="94">
        <f t="shared" ca="1" si="11"/>
        <v>3.7317439862542955E-2</v>
      </c>
      <c r="V48" s="56"/>
      <c r="W48" s="56"/>
      <c r="X48" s="56"/>
    </row>
    <row r="49" spans="1:24" x14ac:dyDescent="0.25">
      <c r="A49" t="str">
        <f>IFERROR(INDEX('[5]2017 Data (WP)'!$C$9:$C$72,MATCH($B49,'[5]2017 Data (WP)'!$D$9:$D$72,0)),"")</f>
        <v>Electric Utility (West)</v>
      </c>
      <c r="B49" t="str">
        <f>"NWE"</f>
        <v>NWE</v>
      </c>
      <c r="C49" t="s">
        <v>94</v>
      </c>
      <c r="D49" s="35">
        <f t="shared" ca="1" si="12"/>
        <v>44</v>
      </c>
      <c r="E49" s="35">
        <f t="shared" ca="1" si="13"/>
        <v>45</v>
      </c>
      <c r="F49" s="35"/>
      <c r="G49" s="94">
        <f t="shared" ca="1" si="5"/>
        <v>4.0238075278732494E-2</v>
      </c>
      <c r="H49" s="94">
        <f t="shared" ca="1" si="5"/>
        <v>3.2756066993277884E-2</v>
      </c>
      <c r="I49" s="94">
        <f t="shared" ca="1" si="6"/>
        <v>3.8580923487014016E-2</v>
      </c>
      <c r="J49" s="94">
        <f t="shared" ca="1" si="6"/>
        <v>3.5233125849370002E-2</v>
      </c>
      <c r="K49" s="94">
        <f t="shared" ca="1" si="11"/>
        <v>3.4328281354593981E-2</v>
      </c>
      <c r="L49" s="94">
        <f t="shared" ca="1" si="11"/>
        <v>3.605701515521418E-2</v>
      </c>
      <c r="M49" s="94">
        <f t="shared" ca="1" si="11"/>
        <v>3.2959789057350038E-2</v>
      </c>
      <c r="N49" s="94">
        <f t="shared" ca="1" si="11"/>
        <v>3.6648583484026519E-2</v>
      </c>
      <c r="O49" s="94">
        <f t="shared" ca="1" si="11"/>
        <v>4.1665493651642689E-2</v>
      </c>
      <c r="P49" s="94">
        <f t="shared" ca="1" si="11"/>
        <v>4.5091592296852979E-2</v>
      </c>
      <c r="Q49" s="94">
        <f t="shared" ca="1" si="11"/>
        <v>4.9282504710827658E-2</v>
      </c>
      <c r="R49" s="94">
        <f t="shared" ca="1" si="11"/>
        <v>5.749345690136011E-2</v>
      </c>
      <c r="S49" s="94">
        <f t="shared" ca="1" si="11"/>
        <v>5.3783156093387123E-2</v>
      </c>
      <c r="T49" s="94">
        <f t="shared" ca="1" si="11"/>
        <v>4.0897181928557735E-2</v>
      </c>
      <c r="U49" s="94">
        <f t="shared" ca="1" si="11"/>
        <v>3.6472733690217071E-2</v>
      </c>
      <c r="V49" s="56"/>
      <c r="W49" s="56"/>
      <c r="X49" s="56"/>
    </row>
    <row r="50" spans="1:24" x14ac:dyDescent="0.25">
      <c r="A50" t="str">
        <f>IFERROR(INDEX('[5]2017 Data (WP)'!$C$9:$C$72,MATCH($B50,'[5]2017 Data (WP)'!$D$9:$D$72,0)),"")</f>
        <v>Electric Util. (Central)</v>
      </c>
      <c r="B50" t="s">
        <v>27</v>
      </c>
      <c r="C50" t="s">
        <v>67</v>
      </c>
      <c r="D50" s="35">
        <f t="shared" ca="1" si="12"/>
        <v>45</v>
      </c>
      <c r="E50" s="35">
        <f t="shared" ca="1" si="13"/>
        <v>46</v>
      </c>
      <c r="F50" s="35"/>
      <c r="G50" s="94">
        <f t="shared" ca="1" si="5"/>
        <v>4.6758012488532459E-2</v>
      </c>
      <c r="H50" s="94">
        <f t="shared" ca="1" si="5"/>
        <v>3.5361011254434811E-2</v>
      </c>
      <c r="I50" s="94">
        <f t="shared" ca="1" si="6"/>
        <v>3.981959866411669E-2</v>
      </c>
      <c r="J50" s="94">
        <f t="shared" ca="1" si="6"/>
        <v>3.6100056850483231E-2</v>
      </c>
      <c r="K50" s="94">
        <f t="shared" ca="1" si="11"/>
        <v>3.8654618473895584E-2</v>
      </c>
      <c r="L50" s="94">
        <f t="shared" ca="1" si="11"/>
        <v>3.5122930255895635E-2</v>
      </c>
      <c r="M50" s="94">
        <f t="shared" ca="1" si="11"/>
        <v>2.6267765304429577E-2</v>
      </c>
      <c r="N50" s="94">
        <f t="shared" ca="1" si="11"/>
        <v>2.4793147651788836E-2</v>
      </c>
      <c r="O50" s="94">
        <f t="shared" ca="1" si="11"/>
        <v>2.9415017140329538E-2</v>
      </c>
      <c r="P50" s="94">
        <f t="shared" ca="1" si="11"/>
        <v>3.0627068033249941E-2</v>
      </c>
      <c r="Q50" s="94">
        <f t="shared" ca="1" si="11"/>
        <v>3.6776527331189711E-2</v>
      </c>
      <c r="R50" s="94">
        <f t="shared" ca="1" si="11"/>
        <v>4.9552363106391835E-2</v>
      </c>
      <c r="S50" s="94">
        <f t="shared" ca="1" si="11"/>
        <v>4.52485758674262E-2</v>
      </c>
      <c r="T50" s="94">
        <f t="shared" ca="1" si="11"/>
        <v>3.768387416671258E-2</v>
      </c>
      <c r="U50" s="94">
        <f t="shared" ca="1" si="11"/>
        <v>3.9935530085959889E-2</v>
      </c>
      <c r="V50" s="56"/>
      <c r="W50" s="56"/>
      <c r="X50" s="56"/>
    </row>
    <row r="51" spans="1:24" x14ac:dyDescent="0.25">
      <c r="A51" t="str">
        <f>IFERROR(INDEX('[5]2017 Data (WP)'!$C$9:$C$72,MATCH($B51,'[5]2017 Data (WP)'!$D$9:$D$72,0)),"")</f>
        <v>Natural Gas Utility</v>
      </c>
      <c r="B51" t="s">
        <v>345</v>
      </c>
      <c r="C51" t="s">
        <v>348</v>
      </c>
      <c r="D51" s="35">
        <f t="shared" ca="1" si="12"/>
        <v>46</v>
      </c>
      <c r="E51" s="35">
        <f t="shared" ca="1" si="13"/>
        <v>47</v>
      </c>
      <c r="F51" s="35"/>
      <c r="G51" s="94">
        <f t="shared" ca="1" si="5"/>
        <v>2.7041237887778864E-2</v>
      </c>
      <c r="H51" s="94">
        <f t="shared" ca="1" si="5"/>
        <v>2.2549693887905474E-2</v>
      </c>
      <c r="I51" s="94">
        <f t="shared" ca="1" si="6"/>
        <v>2.4553303353394097E-2</v>
      </c>
      <c r="J51" s="94">
        <f t="shared" ca="1" si="6"/>
        <v>2.3707048613560999E-2</v>
      </c>
      <c r="K51" s="94">
        <f t="shared" ca="1" si="11"/>
        <v>2.3233815158404832E-2</v>
      </c>
      <c r="L51" s="94">
        <f t="shared" ca="1" si="11"/>
        <v>2.7069704489059328E-2</v>
      </c>
      <c r="M51" s="94">
        <f t="shared" ca="1" si="11"/>
        <v>2.2762993875670694E-2</v>
      </c>
      <c r="N51" s="94" t="str">
        <f t="shared" ca="1" si="11"/>
        <v>N/A</v>
      </c>
      <c r="O51" s="94" t="str">
        <f t="shared" ca="1" si="11"/>
        <v>N/A</v>
      </c>
      <c r="P51" s="94" t="str">
        <f t="shared" ca="1" si="11"/>
        <v>N/A</v>
      </c>
      <c r="Q51" s="94" t="str">
        <f t="shared" ca="1" si="11"/>
        <v>N/A</v>
      </c>
      <c r="R51" s="94" t="str">
        <f t="shared" ca="1" si="11"/>
        <v>N/A</v>
      </c>
      <c r="S51" s="94" t="str">
        <f t="shared" ca="1" si="11"/>
        <v>N/A</v>
      </c>
      <c r="T51" s="94" t="str">
        <f t="shared" ca="1" si="11"/>
        <v>N/A</v>
      </c>
      <c r="U51" s="94" t="str">
        <f t="shared" ca="1" si="11"/>
        <v>N/A</v>
      </c>
      <c r="V51" s="56"/>
      <c r="W51" s="56"/>
      <c r="X51" s="56"/>
    </row>
    <row r="52" spans="1:24" x14ac:dyDescent="0.25">
      <c r="A52" t="str">
        <f>IFERROR(INDEX('[5]2017 Data (WP)'!$C$9:$C$72,MATCH($B52,'[5]2017 Data (WP)'!$D$9:$D$72,0)),"")</f>
        <v>Electric Util. (Central)</v>
      </c>
      <c r="B52" t="s">
        <v>28</v>
      </c>
      <c r="C52" t="s">
        <v>68</v>
      </c>
      <c r="D52" s="35">
        <f t="shared" ca="1" si="12"/>
        <v>47</v>
      </c>
      <c r="E52" s="35">
        <f t="shared" ca="1" si="13"/>
        <v>48</v>
      </c>
      <c r="F52" s="35"/>
      <c r="G52" s="94">
        <f t="shared" ca="1" si="5"/>
        <v>3.4543120550822731E-2</v>
      </c>
      <c r="H52" s="94">
        <f t="shared" ca="1" si="5"/>
        <v>2.7443446896930252E-2</v>
      </c>
      <c r="I52" s="94">
        <f t="shared" ca="1" si="6"/>
        <v>2.9241042203116137E-2</v>
      </c>
      <c r="J52" s="94">
        <f t="shared" ca="1" si="6"/>
        <v>3.1191363891122648E-2</v>
      </c>
      <c r="K52" s="94">
        <f t="shared" ca="1" si="11"/>
        <v>3.8688910210777187E-2</v>
      </c>
      <c r="L52" s="94">
        <f t="shared" ca="1" si="11"/>
        <v>4.3325114476928495E-2</v>
      </c>
      <c r="M52" s="94">
        <f t="shared" ca="1" si="11"/>
        <v>4.1439775334771736E-2</v>
      </c>
      <c r="N52" s="94">
        <f t="shared" ca="1" si="11"/>
        <v>4.1128084606345469E-2</v>
      </c>
      <c r="O52" s="94">
        <f t="shared" ca="1" si="11"/>
        <v>5.2108420545605813E-2</v>
      </c>
      <c r="P52" s="94">
        <f t="shared" ca="1" si="11"/>
        <v>5.569335891795759E-2</v>
      </c>
      <c r="Q52" s="94">
        <f t="shared" ca="1" si="11"/>
        <v>5.6837178201270475E-2</v>
      </c>
      <c r="R52" s="94">
        <f t="shared" ca="1" si="11"/>
        <v>5.3790173122994167E-2</v>
      </c>
      <c r="S52" s="94">
        <f t="shared" ca="1" si="11"/>
        <v>3.6323677543420523E-2</v>
      </c>
      <c r="T52" s="94">
        <f t="shared" ca="1" si="11"/>
        <v>3.4559149313247675E-2</v>
      </c>
      <c r="U52" s="94">
        <f t="shared" ca="1" si="11"/>
        <v>3.9223711586343322E-2</v>
      </c>
      <c r="V52" s="56"/>
      <c r="W52" s="56"/>
      <c r="X52" s="56"/>
    </row>
    <row r="53" spans="1:24" x14ac:dyDescent="0.25">
      <c r="A53" t="str">
        <f>IFERROR(INDEX('[5]2017 Data (WP)'!$C$9:$C$72,MATCH($B53,'[5]2017 Data (WP)'!$D$9:$D$72,0)),"")</f>
        <v/>
      </c>
      <c r="B53" t="s">
        <v>29</v>
      </c>
      <c r="C53" t="s">
        <v>73</v>
      </c>
      <c r="D53" s="35" t="e">
        <f t="shared" ca="1" si="12"/>
        <v>#N/A</v>
      </c>
      <c r="E53" s="35" t="e">
        <f t="shared" ca="1" si="13"/>
        <v>#N/A</v>
      </c>
      <c r="F53" s="35"/>
      <c r="G53" s="94" t="str">
        <f t="shared" ca="1" si="5"/>
        <v>N/A</v>
      </c>
      <c r="H53" s="94" t="str">
        <f t="shared" ca="1" si="5"/>
        <v>N/A</v>
      </c>
      <c r="I53" s="94" t="str">
        <f t="shared" ca="1" si="6"/>
        <v>N/A</v>
      </c>
      <c r="J53" s="94" t="str">
        <f t="shared" ca="1" si="6"/>
        <v>N/A</v>
      </c>
      <c r="K53" s="94" t="str">
        <f t="shared" ca="1" si="11"/>
        <v>N/A</v>
      </c>
      <c r="L53" s="94" t="str">
        <f t="shared" ca="1" si="11"/>
        <v>N/A</v>
      </c>
      <c r="M53" s="94" t="str">
        <f t="shared" ca="1" si="11"/>
        <v>N/A</v>
      </c>
      <c r="N53" s="94" t="str">
        <f t="shared" ca="1" si="11"/>
        <v>N/A</v>
      </c>
      <c r="O53" s="94" t="str">
        <f t="shared" ca="1" si="11"/>
        <v>N/A</v>
      </c>
      <c r="P53" s="94" t="str">
        <f t="shared" ca="1" si="11"/>
        <v>N/A</v>
      </c>
      <c r="Q53" s="94" t="str">
        <f t="shared" ca="1" si="11"/>
        <v>N/A</v>
      </c>
      <c r="R53" s="94" t="str">
        <f t="shared" ca="1" si="11"/>
        <v>N/A</v>
      </c>
      <c r="S53" s="94" t="str">
        <f t="shared" ca="1" si="11"/>
        <v>N/A</v>
      </c>
      <c r="T53" s="94" t="str">
        <f t="shared" ca="1" si="11"/>
        <v>N/A</v>
      </c>
      <c r="U53" s="94" t="str">
        <f t="shared" ca="1" si="11"/>
        <v>N/A</v>
      </c>
      <c r="V53" s="56"/>
      <c r="W53" s="56"/>
      <c r="X53" s="56"/>
    </row>
    <row r="54" spans="1:24" x14ac:dyDescent="0.25">
      <c r="A54" t="str">
        <f>IFERROR(INDEX('[5]2017 Data (WP)'!$C$9:$C$72,MATCH($B54,'[5]2017 Data (WP)'!$D$9:$D$72,0)),"")</f>
        <v>Electric Utility (West)</v>
      </c>
      <c r="B54" t="s">
        <v>30</v>
      </c>
      <c r="C54" t="s">
        <v>71</v>
      </c>
      <c r="D54" s="35">
        <f t="shared" ca="1" si="12"/>
        <v>48</v>
      </c>
      <c r="E54" s="35">
        <f t="shared" ca="1" si="13"/>
        <v>49</v>
      </c>
      <c r="F54" s="35"/>
      <c r="G54" s="94">
        <f t="shared" ca="1" si="5"/>
        <v>0</v>
      </c>
      <c r="H54" s="94">
        <f t="shared" ca="1" si="5"/>
        <v>0</v>
      </c>
      <c r="I54" s="94">
        <f t="shared" ca="1" si="6"/>
        <v>0</v>
      </c>
      <c r="J54" s="94">
        <f t="shared" ca="1" si="6"/>
        <v>2.4230486641967204E-2</v>
      </c>
      <c r="K54" s="94">
        <f t="shared" ref="K54:U63" ca="1" si="14">IFERROR(INDEX(Dividends,$D54,K$2)/INDEX(MarketPrice,$E54,K$2),"N/A")</f>
        <v>3.2197096407305816E-2</v>
      </c>
      <c r="L54" s="94">
        <f t="shared" ca="1" si="14"/>
        <v>3.4471655586491658E-2</v>
      </c>
      <c r="M54" s="94">
        <f t="shared" ca="1" si="14"/>
        <v>3.964364285869873E-2</v>
      </c>
      <c r="N54" s="94">
        <f t="shared" ca="1" si="14"/>
        <v>4.2023597866494268E-2</v>
      </c>
      <c r="O54" s="94">
        <f t="shared" ca="1" si="14"/>
        <v>4.2470772174643547E-2</v>
      </c>
      <c r="P54" s="94">
        <f t="shared" ca="1" si="14"/>
        <v>4.2352174621273823E-2</v>
      </c>
      <c r="Q54" s="94">
        <f t="shared" ca="1" si="14"/>
        <v>4.0839223605968811E-2</v>
      </c>
      <c r="R54" s="94">
        <f t="shared" ca="1" si="14"/>
        <v>4.2619041578934015E-2</v>
      </c>
      <c r="S54" s="94">
        <f t="shared" ca="1" si="14"/>
        <v>4.009149083806636E-2</v>
      </c>
      <c r="T54" s="94">
        <f t="shared" ca="1" si="14"/>
        <v>3.0745580322828592E-2</v>
      </c>
      <c r="U54" s="94">
        <f t="shared" ca="1" si="14"/>
        <v>3.2223415682062301E-2</v>
      </c>
      <c r="V54" s="56"/>
      <c r="W54" s="56"/>
      <c r="X54" s="56"/>
    </row>
    <row r="55" spans="1:24" x14ac:dyDescent="0.25">
      <c r="A55" t="str">
        <f>IFERROR(INDEX('[5]2017 Data (WP)'!$C$9:$C$72,MATCH($B55,'[5]2017 Data (WP)'!$D$9:$D$72,0)),"")</f>
        <v>Electric Utility (West)</v>
      </c>
      <c r="B55" t="s">
        <v>31</v>
      </c>
      <c r="C55" t="s">
        <v>72</v>
      </c>
      <c r="D55" s="35">
        <f t="shared" ca="1" si="12"/>
        <v>49</v>
      </c>
      <c r="E55" s="35">
        <f t="shared" ca="1" si="13"/>
        <v>50</v>
      </c>
      <c r="F55" s="35"/>
      <c r="G55" s="94">
        <f t="shared" ca="1" si="5"/>
        <v>3.9701562250328795E-2</v>
      </c>
      <c r="H55" s="94">
        <f t="shared" ca="1" si="5"/>
        <v>3.2907911971335475E-2</v>
      </c>
      <c r="I55" s="94">
        <f t="shared" ca="1" si="6"/>
        <v>3.5477650316455694E-2</v>
      </c>
      <c r="J55" s="94">
        <f t="shared" ca="1" si="6"/>
        <v>3.1610742969536615E-2</v>
      </c>
      <c r="K55" s="94">
        <f t="shared" ca="1" si="14"/>
        <v>3.4578240021611403E-2</v>
      </c>
      <c r="L55" s="94">
        <f t="shared" ca="1" si="14"/>
        <v>3.8816417435571113E-2</v>
      </c>
      <c r="M55" s="94">
        <f t="shared" ca="1" si="14"/>
        <v>4.088127725418484E-2</v>
      </c>
      <c r="N55" s="94">
        <f t="shared" ca="1" si="14"/>
        <v>3.9817465998568363E-2</v>
      </c>
      <c r="O55" s="94">
        <f t="shared" ca="1" si="14"/>
        <v>5.3176658036247756E-2</v>
      </c>
      <c r="P55" s="94">
        <f t="shared" ca="1" si="14"/>
        <v>4.8092337287592185E-2</v>
      </c>
      <c r="Q55" s="94">
        <f t="shared" ca="1" si="14"/>
        <v>5.4264968087030678E-2</v>
      </c>
      <c r="R55" s="94">
        <f t="shared" ca="1" si="14"/>
        <v>6.7619783616692422E-2</v>
      </c>
      <c r="S55" s="94">
        <f t="shared" ca="1" si="14"/>
        <v>6.1655901350557839E-2</v>
      </c>
      <c r="T55" s="94">
        <f t="shared" ca="1" si="14"/>
        <v>4.7515612272603862E-2</v>
      </c>
      <c r="U55" s="94">
        <f t="shared" ca="1" si="14"/>
        <v>4.6660061291734826E-2</v>
      </c>
      <c r="V55" s="56"/>
      <c r="W55" s="56"/>
      <c r="X55" s="56"/>
    </row>
    <row r="56" spans="1:24" x14ac:dyDescent="0.25">
      <c r="A56" t="str">
        <f>IFERROR(INDEX('[5]2017 Data (WP)'!$C$9:$C$72,MATCH($B56,'[5]2017 Data (WP)'!$D$9:$D$72,0)),"")</f>
        <v>Electric Utility (West)</v>
      </c>
      <c r="B56" t="s">
        <v>32</v>
      </c>
      <c r="C56" t="s">
        <v>74</v>
      </c>
      <c r="D56" s="35">
        <f t="shared" ca="1" si="12"/>
        <v>50</v>
      </c>
      <c r="E56" s="35">
        <f t="shared" ca="1" si="13"/>
        <v>51</v>
      </c>
      <c r="F56" s="35"/>
      <c r="G56" s="94">
        <f t="shared" ca="1" si="5"/>
        <v>2.7971089082324509E-2</v>
      </c>
      <c r="H56" s="94">
        <f t="shared" ca="1" si="5"/>
        <v>2.4515108632314989E-2</v>
      </c>
      <c r="I56" s="94">
        <f t="shared" ca="1" si="6"/>
        <v>2.7945911139729551E-2</v>
      </c>
      <c r="J56" s="94">
        <f t="shared" ca="1" si="6"/>
        <v>2.5320651758166102E-2</v>
      </c>
      <c r="K56" s="94">
        <f t="shared" ca="1" si="14"/>
        <v>2.6893221685716031E-2</v>
      </c>
      <c r="L56" s="94">
        <f t="shared" ca="1" si="14"/>
        <v>2.8955083426834123E-2</v>
      </c>
      <c r="M56" s="94">
        <f t="shared" ca="1" si="14"/>
        <v>2.7880354505169867E-2</v>
      </c>
      <c r="N56" s="94">
        <f t="shared" ca="1" si="14"/>
        <v>2.9896680589140471E-2</v>
      </c>
      <c r="O56" s="94">
        <f t="shared" ca="1" si="14"/>
        <v>2.9573730369161739E-2</v>
      </c>
      <c r="P56" s="94">
        <f t="shared" ca="1" si="14"/>
        <v>3.1857279388340237E-2</v>
      </c>
      <c r="Q56" s="94">
        <f t="shared" ca="1" si="14"/>
        <v>4.0919878877158526E-2</v>
      </c>
      <c r="R56" s="94">
        <f t="shared" ca="1" si="14"/>
        <v>4.7646274061368399E-2</v>
      </c>
      <c r="S56" s="94">
        <f t="shared" ca="1" si="14"/>
        <v>4.8520330419440212E-2</v>
      </c>
      <c r="T56" s="94">
        <f t="shared" ca="1" si="14"/>
        <v>3.3588011663529323E-2</v>
      </c>
      <c r="U56" s="94">
        <f t="shared" ca="1" si="14"/>
        <v>3.2106324199208537E-2</v>
      </c>
      <c r="V56" s="56"/>
      <c r="W56" s="56"/>
      <c r="X56" s="56"/>
    </row>
    <row r="57" spans="1:24" x14ac:dyDescent="0.25">
      <c r="A57" t="str">
        <f>IFERROR(INDEX('[5]2017 Data (WP)'!$C$9:$C$72,MATCH($B57,'[5]2017 Data (WP)'!$D$9:$D$72,0)),"")</f>
        <v>Electric Utility (West)</v>
      </c>
      <c r="B57" t="s">
        <v>33</v>
      </c>
      <c r="C57" t="s">
        <v>92</v>
      </c>
      <c r="D57" s="35">
        <f t="shared" ca="1" si="12"/>
        <v>51</v>
      </c>
      <c r="E57" s="35">
        <f t="shared" ca="1" si="13"/>
        <v>52</v>
      </c>
      <c r="F57" s="35"/>
      <c r="G57" s="94">
        <f t="shared" ca="1" si="5"/>
        <v>3.4678919155453451E-2</v>
      </c>
      <c r="H57" s="94">
        <f t="shared" ca="1" si="5"/>
        <v>2.846748180931663E-2</v>
      </c>
      <c r="I57" s="94">
        <f t="shared" ca="1" si="6"/>
        <v>3.2703538302988666E-2</v>
      </c>
      <c r="J57" s="94">
        <f t="shared" ca="1" si="6"/>
        <v>2.9211719567492155E-2</v>
      </c>
      <c r="K57" s="94">
        <f t="shared" ca="1" si="14"/>
        <v>3.0608526660998423E-2</v>
      </c>
      <c r="L57" s="94">
        <f t="shared" ca="1" si="14"/>
        <v>3.2653513019896503E-2</v>
      </c>
      <c r="M57" s="94">
        <f t="shared" ca="1" si="14"/>
        <v>3.3390231485640701E-2</v>
      </c>
      <c r="N57" s="94">
        <f t="shared" ca="1" si="14"/>
        <v>3.6650266090972987E-2</v>
      </c>
      <c r="O57" s="94">
        <f t="shared" ca="1" si="14"/>
        <v>4.1124713083397088E-2</v>
      </c>
      <c r="P57" s="94">
        <f t="shared" ca="1" si="14"/>
        <v>4.3737821815015961E-2</v>
      </c>
      <c r="Q57" s="94">
        <f t="shared" ca="1" si="14"/>
        <v>5.1957831325301199E-2</v>
      </c>
      <c r="R57" s="94">
        <f t="shared" ca="1" si="14"/>
        <v>5.3561011825847167E-2</v>
      </c>
      <c r="S57" s="94">
        <f t="shared" ca="1" si="14"/>
        <v>4.282371639221226E-2</v>
      </c>
      <c r="T57" s="94">
        <f t="shared" ca="1" si="14"/>
        <v>3.3424381828637148E-2</v>
      </c>
      <c r="U57" s="94">
        <f t="shared" ca="1" si="14"/>
        <v>2.5357827115969799E-2</v>
      </c>
      <c r="V57" s="56"/>
      <c r="W57" s="56"/>
      <c r="X57" s="56"/>
    </row>
    <row r="58" spans="1:24" x14ac:dyDescent="0.25">
      <c r="A58" t="str">
        <f>IFERROR(INDEX('[5]2017 Data (WP)'!$C$9:$C$72,MATCH($B58,'[5]2017 Data (WP)'!$D$9:$D$72,0)),"")</f>
        <v>Electric Utility (East)</v>
      </c>
      <c r="B58" t="s">
        <v>34</v>
      </c>
      <c r="C58" t="s">
        <v>70</v>
      </c>
      <c r="D58" s="35">
        <f t="shared" ca="1" si="12"/>
        <v>52</v>
      </c>
      <c r="E58" s="35">
        <f t="shared" ca="1" si="13"/>
        <v>53</v>
      </c>
      <c r="F58" s="35"/>
      <c r="G58" s="94">
        <f t="shared" ca="1" si="5"/>
        <v>5.8380811704297667E-2</v>
      </c>
      <c r="H58" s="94">
        <f t="shared" ca="1" si="5"/>
        <v>5.2384278366880435E-2</v>
      </c>
      <c r="I58" s="94">
        <f t="shared" ca="1" si="6"/>
        <v>5.6100981767180924E-2</v>
      </c>
      <c r="J58" s="94">
        <f t="shared" ca="1" si="6"/>
        <v>4.2426358046239364E-2</v>
      </c>
      <c r="K58" s="94">
        <f t="shared" ca="1" si="14"/>
        <v>4.2465217634240382E-2</v>
      </c>
      <c r="L58" s="94">
        <f t="shared" ca="1" si="14"/>
        <v>4.5483489493313926E-2</v>
      </c>
      <c r="M58" s="94">
        <f t="shared" ca="1" si="14"/>
        <v>4.4474956719001847E-2</v>
      </c>
      <c r="N58" s="94">
        <f t="shared" ca="1" si="14"/>
        <v>4.8089505365087673E-2</v>
      </c>
      <c r="O58" s="94">
        <f t="shared" ca="1" si="14"/>
        <v>5.070244005492764E-2</v>
      </c>
      <c r="P58" s="94">
        <f t="shared" ca="1" si="14"/>
        <v>5.1009254536180132E-2</v>
      </c>
      <c r="Q58" s="94">
        <f t="shared" ca="1" si="14"/>
        <v>5.124638529960833E-2</v>
      </c>
      <c r="R58" s="94">
        <f t="shared" ca="1" si="14"/>
        <v>4.5146726862302478E-2</v>
      </c>
      <c r="S58" s="94">
        <f t="shared" ca="1" si="14"/>
        <v>3.100846947748415E-2</v>
      </c>
      <c r="T58" s="94">
        <f t="shared" ca="1" si="14"/>
        <v>2.6872246696035242E-2</v>
      </c>
      <c r="U58" s="94">
        <f t="shared" ca="1" si="14"/>
        <v>3.4067329431075599E-2</v>
      </c>
      <c r="V58" s="56"/>
      <c r="W58" s="56"/>
      <c r="X58" s="56"/>
    </row>
    <row r="59" spans="1:24" x14ac:dyDescent="0.25">
      <c r="A59" t="str">
        <f>IFERROR(INDEX('[5]2017 Data (WP)'!$C$9:$C$72,MATCH($B59,'[5]2017 Data (WP)'!$D$9:$D$72,0)),"")</f>
        <v>Electric Utility (East)</v>
      </c>
      <c r="B59" t="s">
        <v>35</v>
      </c>
      <c r="C59" t="s">
        <v>75</v>
      </c>
      <c r="D59" s="35">
        <f t="shared" ca="1" si="12"/>
        <v>53</v>
      </c>
      <c r="E59" s="35">
        <f t="shared" ca="1" si="13"/>
        <v>54</v>
      </c>
      <c r="F59" s="35"/>
      <c r="G59" s="94">
        <f t="shared" ca="1" si="5"/>
        <v>3.6427164256774336E-2</v>
      </c>
      <c r="H59" s="94">
        <f t="shared" ca="1" si="5"/>
        <v>3.1921215722896676E-2</v>
      </c>
      <c r="I59" s="94">
        <f t="shared" ca="1" si="6"/>
        <v>3.4859400418312807E-2</v>
      </c>
      <c r="J59" s="94">
        <f t="shared" ca="1" si="6"/>
        <v>3.7408382087474719E-2</v>
      </c>
      <c r="K59" s="94">
        <f t="shared" ca="1" si="14"/>
        <v>3.7759307439044043E-2</v>
      </c>
      <c r="L59" s="94">
        <f t="shared" ca="1" si="14"/>
        <v>3.80859375E-2</v>
      </c>
      <c r="M59" s="94">
        <f t="shared" ca="1" si="14"/>
        <v>3.9241681028768391E-2</v>
      </c>
      <c r="N59" s="94">
        <f t="shared" ca="1" si="14"/>
        <v>4.3537414965986392E-2</v>
      </c>
      <c r="O59" s="94">
        <f t="shared" ca="1" si="14"/>
        <v>4.5508444700830049E-2</v>
      </c>
      <c r="P59" s="94">
        <f t="shared" ca="1" si="14"/>
        <v>4.2379435147090673E-2</v>
      </c>
      <c r="Q59" s="94">
        <f t="shared" ca="1" si="14"/>
        <v>4.3038451872329735E-2</v>
      </c>
      <c r="R59" s="94">
        <f t="shared" ca="1" si="14"/>
        <v>4.301423027166882E-2</v>
      </c>
      <c r="S59" s="94">
        <f t="shared" ca="1" si="14"/>
        <v>3.259798347358047E-2</v>
      </c>
      <c r="T59" s="94">
        <f t="shared" ca="1" si="14"/>
        <v>2.7307099845959949E-2</v>
      </c>
      <c r="U59" s="94">
        <f t="shared" ca="1" si="14"/>
        <v>3.4696859021183343E-2</v>
      </c>
      <c r="V59" s="56"/>
      <c r="W59" s="56"/>
      <c r="X59" s="56"/>
    </row>
    <row r="60" spans="1:24" x14ac:dyDescent="0.25">
      <c r="A60" t="str">
        <f>IFERROR(INDEX('[5]2017 Data (WP)'!$C$9:$C$72,MATCH($B60,'[5]2017 Data (WP)'!$D$9:$D$72,0)),"")</f>
        <v>Electric Utility (East)</v>
      </c>
      <c r="B60" t="s">
        <v>36</v>
      </c>
      <c r="C60" t="s">
        <v>76</v>
      </c>
      <c r="D60" s="35">
        <f t="shared" ca="1" si="12"/>
        <v>55</v>
      </c>
      <c r="E60" s="35">
        <f t="shared" ca="1" si="13"/>
        <v>56</v>
      </c>
      <c r="F60" s="35"/>
      <c r="G60" s="94" t="str">
        <f t="shared" ca="1" si="5"/>
        <v>N/A</v>
      </c>
      <c r="H60" s="94" t="str">
        <f t="shared" ca="1" si="5"/>
        <v>N/A</v>
      </c>
      <c r="I60" s="94" t="str">
        <f t="shared" ca="1" si="6"/>
        <v>N/A</v>
      </c>
      <c r="J60" s="94">
        <f t="shared" ca="1" si="6"/>
        <v>4.0342499588341844E-2</v>
      </c>
      <c r="K60" s="94">
        <f t="shared" ca="1" si="14"/>
        <v>3.2917805670449829E-2</v>
      </c>
      <c r="L60" s="94">
        <f t="shared" ca="1" si="14"/>
        <v>3.901565995525727E-2</v>
      </c>
      <c r="M60" s="94">
        <f t="shared" ca="1" si="14"/>
        <v>4.0513948373654358E-2</v>
      </c>
      <c r="N60" s="94">
        <f t="shared" ca="1" si="14"/>
        <v>4.1508199402936242E-2</v>
      </c>
      <c r="O60" s="94">
        <f t="shared" ca="1" si="14"/>
        <v>4.2473775661239464E-2</v>
      </c>
      <c r="P60" s="94">
        <f t="shared" ca="1" si="14"/>
        <v>4.7780897492734349E-2</v>
      </c>
      <c r="Q60" s="94">
        <f t="shared" ca="1" si="14"/>
        <v>4.9295591936278957E-2</v>
      </c>
      <c r="R60" s="94">
        <f t="shared" ca="1" si="14"/>
        <v>5.6737588652482268E-2</v>
      </c>
      <c r="S60" s="94">
        <f t="shared" ca="1" si="14"/>
        <v>4.9238673767026148E-2</v>
      </c>
      <c r="T60" s="94">
        <f t="shared" ca="1" si="14"/>
        <v>4.2946731412117807E-2</v>
      </c>
      <c r="U60" s="94">
        <f t="shared" ca="1" si="14"/>
        <v>4.2066254350602197E-2</v>
      </c>
      <c r="V60" s="56"/>
      <c r="W60" s="56"/>
      <c r="X60" s="56"/>
    </row>
    <row r="61" spans="1:24" x14ac:dyDescent="0.25">
      <c r="A61" t="str">
        <f>IFERROR(INDEX('[5]2017 Data (WP)'!$C$9:$C$72,MATCH($B61,'[5]2017 Data (WP)'!$D$9:$D$72,0)),"")</f>
        <v>Electric Utility (West)</v>
      </c>
      <c r="B61" t="s">
        <v>37</v>
      </c>
      <c r="C61" t="s">
        <v>54</v>
      </c>
      <c r="D61" s="35">
        <f t="shared" ca="1" si="12"/>
        <v>56</v>
      </c>
      <c r="E61" s="35">
        <f t="shared" ca="1" si="13"/>
        <v>57</v>
      </c>
      <c r="F61" s="35"/>
      <c r="G61" s="94">
        <f t="shared" ca="1" si="5"/>
        <v>3.2382516539873875E-2</v>
      </c>
      <c r="H61" s="94">
        <f t="shared" ca="1" si="5"/>
        <v>2.8817370843075639E-2</v>
      </c>
      <c r="I61" s="94">
        <f t="shared" ca="1" si="6"/>
        <v>3.2020321276519624E-2</v>
      </c>
      <c r="J61" s="94">
        <f t="shared" ca="1" si="6"/>
        <v>2.9202652204400811E-2</v>
      </c>
      <c r="K61" s="94">
        <f t="shared" ca="1" si="14"/>
        <v>2.9223921037352427E-2</v>
      </c>
      <c r="L61" s="94">
        <f t="shared" ca="1" si="14"/>
        <v>2.7140724657348351E-2</v>
      </c>
      <c r="M61" s="94">
        <f t="shared" ca="1" si="14"/>
        <v>2.6070211820471041E-2</v>
      </c>
      <c r="N61" s="94">
        <f t="shared" ca="1" si="14"/>
        <v>3.0337687353277555E-2</v>
      </c>
      <c r="O61" s="94">
        <f t="shared" ca="1" si="14"/>
        <v>3.7058196809906886E-2</v>
      </c>
      <c r="P61" s="94">
        <f t="shared" ca="1" si="14"/>
        <v>3.6490801277178041E-2</v>
      </c>
      <c r="Q61" s="94">
        <f t="shared" ca="1" si="14"/>
        <v>3.0810554589982622E-2</v>
      </c>
      <c r="R61" s="94">
        <f t="shared" ca="1" si="14"/>
        <v>3.2345684131953809E-2</v>
      </c>
      <c r="S61" s="94">
        <f t="shared" ca="1" si="14"/>
        <v>2.6209060299969392E-2</v>
      </c>
      <c r="T61" s="94">
        <f t="shared" ca="1" si="14"/>
        <v>2.078131022809164E-2</v>
      </c>
      <c r="U61" s="94">
        <f t="shared" ca="1" si="14"/>
        <v>2.4666995559940796E-2</v>
      </c>
    </row>
    <row r="62" spans="1:24" x14ac:dyDescent="0.25">
      <c r="A62" t="str">
        <f>IFERROR(INDEX('[5]2017 Data (WP)'!$C$9:$C$72,MATCH($B62,'[5]2017 Data (WP)'!$D$9:$D$72,0)),"")</f>
        <v/>
      </c>
      <c r="B62" t="s">
        <v>64</v>
      </c>
      <c r="C62" t="s">
        <v>63</v>
      </c>
      <c r="D62" s="35" t="e">
        <f t="shared" ca="1" si="12"/>
        <v>#N/A</v>
      </c>
      <c r="E62" s="35" t="e">
        <f t="shared" ca="1" si="13"/>
        <v>#N/A</v>
      </c>
      <c r="F62" s="35"/>
      <c r="G62" s="94" t="str">
        <f t="shared" ca="1" si="5"/>
        <v>N/A</v>
      </c>
      <c r="H62" s="94" t="str">
        <f t="shared" ca="1" si="5"/>
        <v>N/A</v>
      </c>
      <c r="I62" s="94" t="str">
        <f t="shared" ca="1" si="6"/>
        <v>N/A</v>
      </c>
      <c r="J62" s="94" t="str">
        <f t="shared" ca="1" si="6"/>
        <v>N/A</v>
      </c>
      <c r="K62" s="94" t="str">
        <f t="shared" ca="1" si="14"/>
        <v>N/A</v>
      </c>
      <c r="L62" s="94" t="str">
        <f t="shared" ca="1" si="14"/>
        <v>N/A</v>
      </c>
      <c r="M62" s="94" t="str">
        <f t="shared" ca="1" si="14"/>
        <v>N/A</v>
      </c>
      <c r="N62" s="94" t="str">
        <f t="shared" ca="1" si="14"/>
        <v>N/A</v>
      </c>
      <c r="O62" s="94" t="str">
        <f t="shared" ca="1" si="14"/>
        <v>N/A</v>
      </c>
      <c r="P62" s="94" t="str">
        <f t="shared" ca="1" si="14"/>
        <v>N/A</v>
      </c>
      <c r="Q62" s="94" t="str">
        <f t="shared" ca="1" si="14"/>
        <v>N/A</v>
      </c>
      <c r="R62" s="94" t="str">
        <f t="shared" ca="1" si="14"/>
        <v>N/A</v>
      </c>
      <c r="S62" s="94" t="str">
        <f t="shared" ca="1" si="14"/>
        <v>N/A</v>
      </c>
      <c r="T62" s="94" t="str">
        <f t="shared" ca="1" si="14"/>
        <v>N/A</v>
      </c>
      <c r="U62" s="94" t="str">
        <f t="shared" ca="1" si="14"/>
        <v>N/A</v>
      </c>
    </row>
    <row r="63" spans="1:24" x14ac:dyDescent="0.25">
      <c r="A63" t="str">
        <f>IFERROR(INDEX('[5]2017 Data (WP)'!$C$9:$C$72,MATCH($B63,'[5]2017 Data (WP)'!$D$9:$D$72,0)),"")</f>
        <v>Water Utility</v>
      </c>
      <c r="B63" s="31" t="s">
        <v>196</v>
      </c>
      <c r="C63" s="31" t="s">
        <v>195</v>
      </c>
      <c r="D63" s="35">
        <f t="shared" ca="1" si="12"/>
        <v>57</v>
      </c>
      <c r="E63" s="35">
        <f t="shared" ca="1" si="13"/>
        <v>58</v>
      </c>
      <c r="F63" s="35"/>
      <c r="G63" s="94">
        <f t="shared" ca="1" si="5"/>
        <v>1.994857009272968E-2</v>
      </c>
      <c r="H63" s="94">
        <f t="shared" ca="1" si="5"/>
        <v>1.857815209313847E-2</v>
      </c>
      <c r="I63" s="94">
        <f t="shared" ca="1" si="6"/>
        <v>1.8792576932111817E-2</v>
      </c>
      <c r="J63" s="94">
        <f t="shared" ca="1" si="6"/>
        <v>1.9300361881785286E-2</v>
      </c>
      <c r="K63" s="94">
        <f t="shared" ca="1" si="14"/>
        <v>2.0105741306128529E-2</v>
      </c>
      <c r="L63" s="94">
        <f t="shared" ca="1" si="14"/>
        <v>2.5334545926984541E-2</v>
      </c>
      <c r="M63" s="94">
        <f t="shared" ca="1" si="14"/>
        <v>2.6391723555492998E-2</v>
      </c>
      <c r="N63" s="94">
        <f t="shared" ca="1" si="14"/>
        <v>2.678112847604373E-2</v>
      </c>
      <c r="O63" s="94">
        <f t="shared" ca="1" si="14"/>
        <v>2.9543941411451398E-2</v>
      </c>
      <c r="P63" s="94">
        <f t="shared" ca="1" si="14"/>
        <v>2.9357954303705906E-2</v>
      </c>
      <c r="Q63" s="94">
        <f t="shared" ca="1" si="14"/>
        <v>2.7797081306462822E-2</v>
      </c>
      <c r="R63" s="94">
        <f t="shared" ca="1" si="14"/>
        <v>2.8423772609819126E-2</v>
      </c>
      <c r="S63" s="94">
        <f t="shared" ca="1" si="14"/>
        <v>2.2677730117431967E-2</v>
      </c>
      <c r="T63" s="94">
        <f t="shared" ca="1" si="14"/>
        <v>1.7403060637441028E-2</v>
      </c>
      <c r="U63" s="94">
        <f t="shared" ca="1" si="14"/>
        <v>2.0196604110813223E-2</v>
      </c>
    </row>
    <row r="64" spans="1:24" x14ac:dyDescent="0.25">
      <c r="A64" t="str">
        <f>IFERROR(INDEX('[5]2017 Data (WP)'!$C$9:$C$72,MATCH($B64,'[5]2017 Data (WP)'!$D$9:$D$72,0)),"")</f>
        <v>Natural Gas Utility</v>
      </c>
      <c r="B64" s="31" t="s">
        <v>198</v>
      </c>
      <c r="C64" s="31" t="s">
        <v>197</v>
      </c>
      <c r="D64" s="35">
        <f t="shared" ca="1" si="12"/>
        <v>58</v>
      </c>
      <c r="E64" s="35">
        <f t="shared" ca="1" si="13"/>
        <v>59</v>
      </c>
      <c r="F64" s="35"/>
      <c r="G64" s="94">
        <f t="shared" ca="1" si="5"/>
        <v>4.757145712572456E-2</v>
      </c>
      <c r="H64" s="94">
        <f t="shared" ca="1" si="5"/>
        <v>3.6620785452708672E-2</v>
      </c>
      <c r="I64" s="94">
        <f t="shared" ca="1" si="6"/>
        <v>3.6170417080119074E-2</v>
      </c>
      <c r="J64" s="94">
        <f t="shared" ca="1" si="6"/>
        <v>3.2030749519538763E-2</v>
      </c>
      <c r="K64" s="94">
        <f t="shared" ref="K64:U72" ca="1" si="15">IFERROR(INDEX(Dividends,$D64,K$2)/INDEX(MarketPrice,$E64,K$2),"N/A")</f>
        <v>3.6429872495446269E-2</v>
      </c>
      <c r="L64" s="94">
        <f t="shared" ca="1" si="15"/>
        <v>3.9464520622146559E-2</v>
      </c>
      <c r="M64" s="94">
        <f t="shared" ca="1" si="15"/>
        <v>3.4014810615455478E-2</v>
      </c>
      <c r="N64" s="94">
        <f t="shared" ca="1" si="15"/>
        <v>3.1426775612822123E-2</v>
      </c>
      <c r="O64" s="94">
        <f t="shared" ca="1" si="15"/>
        <v>3.215622076707203E-2</v>
      </c>
      <c r="P64" s="94">
        <f t="shared" ca="1" si="15"/>
        <v>2.8083576724331611E-2</v>
      </c>
      <c r="Q64" s="94">
        <f t="shared" ca="1" si="15"/>
        <v>2.996914940502424E-2</v>
      </c>
      <c r="R64" s="94">
        <f t="shared" ca="1" si="15"/>
        <v>3.4275439680845086E-2</v>
      </c>
      <c r="S64" s="94">
        <f t="shared" ca="1" si="15"/>
        <v>3.0759851465942473E-2</v>
      </c>
      <c r="T64" s="94">
        <f t="shared" ca="1" si="15"/>
        <v>2.8127436782889606E-2</v>
      </c>
      <c r="U64" s="94">
        <f t="shared" ca="1" si="15"/>
        <v>3.1539252656839219E-2</v>
      </c>
    </row>
    <row r="65" spans="1:24" x14ac:dyDescent="0.25">
      <c r="A65" t="str">
        <f>IFERROR(INDEX('[5]2017 Data (WP)'!$C$9:$C$72,MATCH($B65,'[5]2017 Data (WP)'!$D$9:$D$72,0)),"")</f>
        <v>Electric Utility (East)</v>
      </c>
      <c r="B65" t="s">
        <v>38</v>
      </c>
      <c r="C65" t="s">
        <v>77</v>
      </c>
      <c r="D65" s="35">
        <f t="shared" ca="1" si="12"/>
        <v>59</v>
      </c>
      <c r="E65" s="35">
        <f t="shared" ca="1" si="13"/>
        <v>60</v>
      </c>
      <c r="F65" s="35"/>
      <c r="G65" s="94">
        <f t="shared" ca="1" si="5"/>
        <v>4.3634364638985762E-2</v>
      </c>
      <c r="H65" s="94">
        <f t="shared" ca="1" si="5"/>
        <v>4.413426864493443E-2</v>
      </c>
      <c r="I65" s="94">
        <f t="shared" ca="1" si="6"/>
        <v>5.2672347017815639E-2</v>
      </c>
      <c r="J65" s="94">
        <f t="shared" ca="1" si="6"/>
        <v>4.6273941735071621E-2</v>
      </c>
      <c r="K65" s="94">
        <f t="shared" ca="1" si="15"/>
        <v>4.4233524355300854E-2</v>
      </c>
      <c r="L65" s="94">
        <f t="shared" ca="1" si="15"/>
        <v>4.7833814707842703E-2</v>
      </c>
      <c r="M65" s="94">
        <f t="shared" ca="1" si="15"/>
        <v>4.6870077854281988E-2</v>
      </c>
      <c r="N65" s="94">
        <f t="shared" ca="1" si="15"/>
        <v>4.606196512745412E-2</v>
      </c>
      <c r="O65" s="94">
        <f t="shared" ca="1" si="15"/>
        <v>4.2888045205721349E-2</v>
      </c>
      <c r="P65" s="94">
        <f t="shared" ca="1" si="15"/>
        <v>4.6349913387775304E-2</v>
      </c>
      <c r="Q65" s="94">
        <f t="shared" ca="1" si="15"/>
        <v>5.128423926956225E-2</v>
      </c>
      <c r="R65" s="94">
        <f t="shared" ca="1" si="15"/>
        <v>5.5247385870951293E-2</v>
      </c>
      <c r="S65" s="94">
        <f t="shared" ca="1" si="15"/>
        <v>4.5830347792537064E-2</v>
      </c>
      <c r="T65" s="94">
        <f t="shared" ca="1" si="15"/>
        <v>4.3854825405554028E-2</v>
      </c>
      <c r="U65" s="94">
        <f t="shared" ca="1" si="15"/>
        <v>4.515237086716084E-2</v>
      </c>
      <c r="V65"/>
      <c r="W65"/>
      <c r="X65"/>
    </row>
    <row r="66" spans="1:24" x14ac:dyDescent="0.25">
      <c r="A66" t="str">
        <f>IFERROR(INDEX('[5]2017 Data (WP)'!$C$9:$C$72,MATCH($B66,'[5]2017 Data (WP)'!$D$9:$D$72,0)),"")</f>
        <v>Natural Gas Utility</v>
      </c>
      <c r="B66" s="31" t="s">
        <v>200</v>
      </c>
      <c r="C66" s="31" t="s">
        <v>199</v>
      </c>
      <c r="D66" s="35">
        <f t="shared" ca="1" si="12"/>
        <v>60</v>
      </c>
      <c r="E66" s="35">
        <f t="shared" ca="1" si="13"/>
        <v>61</v>
      </c>
      <c r="F66" s="35"/>
      <c r="G66" s="94">
        <f t="shared" ca="1" si="5"/>
        <v>3.2787828237798036E-2</v>
      </c>
      <c r="H66" s="94">
        <f t="shared" ca="1" si="5"/>
        <v>2.59817650914725E-2</v>
      </c>
      <c r="I66" s="94">
        <f t="shared" ca="1" si="6"/>
        <v>2.742688362034864E-2</v>
      </c>
      <c r="J66" s="94">
        <f t="shared" ca="1" si="6"/>
        <v>2.4622578158032184E-2</v>
      </c>
      <c r="K66" s="94">
        <f t="shared" ca="1" si="15"/>
        <v>2.6153667325351623E-2</v>
      </c>
      <c r="L66" s="94">
        <f t="shared" ca="1" si="15"/>
        <v>2.866495620631691E-2</v>
      </c>
      <c r="M66" s="94">
        <f t="shared" ca="1" si="15"/>
        <v>2.7158243270894174E-2</v>
      </c>
      <c r="N66" s="94">
        <f t="shared" ca="1" si="15"/>
        <v>2.6936026936026935E-2</v>
      </c>
      <c r="O66" s="94">
        <f t="shared" ca="1" si="15"/>
        <v>2.750134010767474E-2</v>
      </c>
      <c r="P66" s="94">
        <f t="shared" ca="1" si="15"/>
        <v>2.7806196059914481E-2</v>
      </c>
      <c r="Q66" s="94">
        <f t="shared" ca="1" si="15"/>
        <v>3.1535793125197095E-2</v>
      </c>
      <c r="R66" s="94">
        <f t="shared" ca="1" si="15"/>
        <v>4.0141975830305078E-2</v>
      </c>
      <c r="S66" s="94">
        <f t="shared" ca="1" si="15"/>
        <v>3.1944345850784414E-2</v>
      </c>
      <c r="T66" s="94">
        <f t="shared" ca="1" si="15"/>
        <v>2.5551131974567709E-2</v>
      </c>
      <c r="U66" s="94">
        <f t="shared" ca="1" si="15"/>
        <v>2.5985549499302825E-2</v>
      </c>
      <c r="V66"/>
      <c r="W66"/>
      <c r="X66"/>
    </row>
    <row r="67" spans="1:24" x14ac:dyDescent="0.25">
      <c r="A67" t="str">
        <f>IFERROR(INDEX('[5]2017 Data (WP)'!$C$9:$C$72,MATCH($B67,'[5]2017 Data (WP)'!$D$9:$D$72,0)),"")</f>
        <v>Natural Gas Utility</v>
      </c>
      <c r="B67" s="31" t="s">
        <v>244</v>
      </c>
      <c r="C67" s="31" t="s">
        <v>243</v>
      </c>
      <c r="D67" s="35">
        <f t="shared" ca="1" si="12"/>
        <v>61</v>
      </c>
      <c r="E67" s="35">
        <f t="shared" ca="1" si="13"/>
        <v>62</v>
      </c>
      <c r="F67" s="35"/>
      <c r="G67" s="94">
        <f t="shared" ca="1" si="5"/>
        <v>3.3826466153156459E-2</v>
      </c>
      <c r="H67" s="94">
        <f t="shared" ca="1" si="5"/>
        <v>2.9547069603919663E-2</v>
      </c>
      <c r="I67" s="94">
        <f t="shared" ca="1" si="6"/>
        <v>3.1037907631186887E-2</v>
      </c>
      <c r="J67" s="94">
        <f t="shared" ca="1" si="6"/>
        <v>3.0890984245598038E-2</v>
      </c>
      <c r="K67" s="94">
        <f t="shared" ca="1" si="15"/>
        <v>3.0841856805664831E-2</v>
      </c>
      <c r="L67" s="94">
        <f t="shared" ca="1" si="15"/>
        <v>3.5318054435870862E-2</v>
      </c>
      <c r="M67" s="94">
        <f t="shared" ca="1" si="15"/>
        <v>3.7829124126813544E-2</v>
      </c>
      <c r="N67" s="94">
        <f t="shared" ca="1" si="15"/>
        <v>3.9597503028044344E-2</v>
      </c>
      <c r="O67" s="94">
        <f t="shared" ca="1" si="15"/>
        <v>4.1146143168748754E-2</v>
      </c>
      <c r="P67" s="94">
        <f t="shared" ca="1" si="15"/>
        <v>4.3148500522606062E-2</v>
      </c>
      <c r="Q67" s="94">
        <f t="shared" ca="1" si="15"/>
        <v>4.702710798262693E-2</v>
      </c>
      <c r="R67" s="94">
        <f t="shared" ca="1" si="15"/>
        <v>3.9134438305709028E-2</v>
      </c>
      <c r="S67" s="94">
        <f t="shared" ca="1" si="15"/>
        <v>3.9430507039271728E-2</v>
      </c>
      <c r="T67" s="94">
        <f t="shared" ca="1" si="15"/>
        <v>4.425183874019592E-2</v>
      </c>
      <c r="U67" s="94">
        <f t="shared" ca="1" si="15"/>
        <v>4.3436443175824513E-2</v>
      </c>
      <c r="V67"/>
      <c r="W67"/>
      <c r="X67"/>
    </row>
    <row r="68" spans="1:24" x14ac:dyDescent="0.25">
      <c r="A68" t="str">
        <f>IFERROR(INDEX('[5]2017 Data (WP)'!$C$9:$C$72,MATCH($B68,'[5]2017 Data (WP)'!$D$9:$D$72,0)),"")</f>
        <v/>
      </c>
      <c r="B68" t="s">
        <v>39</v>
      </c>
      <c r="C68" t="s">
        <v>78</v>
      </c>
      <c r="D68" s="35" t="e">
        <f t="shared" ca="1" si="12"/>
        <v>#N/A</v>
      </c>
      <c r="E68" s="35" t="e">
        <f t="shared" ca="1" si="13"/>
        <v>#N/A</v>
      </c>
      <c r="F68" s="35"/>
      <c r="G68" s="94" t="str">
        <f t="shared" ca="1" si="5"/>
        <v>N/A</v>
      </c>
      <c r="H68" s="94" t="str">
        <f t="shared" ca="1" si="5"/>
        <v>N/A</v>
      </c>
      <c r="I68" s="94" t="str">
        <f t="shared" ca="1" si="6"/>
        <v>N/A</v>
      </c>
      <c r="J68" s="94" t="str">
        <f t="shared" ca="1" si="6"/>
        <v>N/A</v>
      </c>
      <c r="K68" s="94" t="str">
        <f t="shared" ca="1" si="15"/>
        <v>N/A</v>
      </c>
      <c r="L68" s="94" t="str">
        <f t="shared" ca="1" si="15"/>
        <v>N/A</v>
      </c>
      <c r="M68" s="94" t="str">
        <f t="shared" ca="1" si="15"/>
        <v>N/A</v>
      </c>
      <c r="N68" s="94" t="str">
        <f t="shared" ca="1" si="15"/>
        <v>N/A</v>
      </c>
      <c r="O68" s="94" t="str">
        <f t="shared" ca="1" si="15"/>
        <v>N/A</v>
      </c>
      <c r="P68" s="94" t="str">
        <f t="shared" ca="1" si="15"/>
        <v>N/A</v>
      </c>
      <c r="Q68" s="94" t="str">
        <f t="shared" ca="1" si="15"/>
        <v>N/A</v>
      </c>
      <c r="R68" s="94" t="str">
        <f t="shared" ca="1" si="15"/>
        <v>N/A</v>
      </c>
      <c r="S68" s="94" t="str">
        <f t="shared" ca="1" si="15"/>
        <v>N/A</v>
      </c>
      <c r="T68" s="94" t="str">
        <f t="shared" ca="1" si="15"/>
        <v>N/A</v>
      </c>
      <c r="U68" s="94" t="str">
        <f t="shared" ca="1" si="15"/>
        <v>N/A</v>
      </c>
      <c r="V68"/>
      <c r="W68"/>
      <c r="X68"/>
    </row>
    <row r="69" spans="1:24" x14ac:dyDescent="0.25">
      <c r="A69" t="str">
        <f>IFERROR(INDEX('[5]2017 Data (WP)'!$C$9:$C$72,MATCH($B69,'[5]2017 Data (WP)'!$D$9:$D$72,0)),"")</f>
        <v>Natural Gas Utility</v>
      </c>
      <c r="B69" s="31" t="s">
        <v>204</v>
      </c>
      <c r="C69" s="31" t="s">
        <v>203</v>
      </c>
      <c r="D69" s="35">
        <f t="shared" ca="1" si="12"/>
        <v>63</v>
      </c>
      <c r="E69" s="35">
        <f t="shared" ca="1" si="13"/>
        <v>64</v>
      </c>
      <c r="F69" s="35"/>
      <c r="G69" s="94">
        <f t="shared" ca="1" si="5"/>
        <v>3.5557244449269859E-2</v>
      </c>
      <c r="H69" s="94">
        <f t="shared" ca="1" si="5"/>
        <v>2.1551320252618952E-2</v>
      </c>
      <c r="I69" s="94">
        <f t="shared" ca="1" si="6"/>
        <v>2.0948860135551448E-2</v>
      </c>
      <c r="J69" s="94">
        <f t="shared" ca="1" si="6"/>
        <v>2.0116086582989336E-2</v>
      </c>
      <c r="K69" s="94">
        <f t="shared" ca="1" si="15"/>
        <v>2.3471216212805696E-2</v>
      </c>
      <c r="L69" s="94">
        <f t="shared" ca="1" si="15"/>
        <v>2.499648925712681E-2</v>
      </c>
      <c r="M69" s="94">
        <f t="shared" ca="1" si="15"/>
        <v>2.6066038357608911E-2</v>
      </c>
      <c r="N69" s="94">
        <f t="shared" ca="1" si="15"/>
        <v>3.0095981779729948E-2</v>
      </c>
      <c r="O69" s="94">
        <f t="shared" ca="1" si="15"/>
        <v>3.6801832283587528E-2</v>
      </c>
      <c r="P69" s="94">
        <f t="shared" ca="1" si="15"/>
        <v>3.2956913681965787E-2</v>
      </c>
      <c r="Q69" s="94">
        <f t="shared" ca="1" si="15"/>
        <v>3.4804803062822666E-2</v>
      </c>
      <c r="R69" s="94">
        <f t="shared" ca="1" si="15"/>
        <v>3.2295912066197363E-2</v>
      </c>
      <c r="S69" s="94">
        <f t="shared" ca="1" si="15"/>
        <v>2.8496969010254378E-2</v>
      </c>
      <c r="T69" s="94">
        <f t="shared" ca="1" si="15"/>
        <v>2.6916620033575821E-2</v>
      </c>
      <c r="U69" s="94">
        <f t="shared" ca="1" si="15"/>
        <v>2.9618539252701474E-2</v>
      </c>
      <c r="V69"/>
      <c r="W69"/>
      <c r="X69"/>
    </row>
    <row r="70" spans="1:24" x14ac:dyDescent="0.25">
      <c r="A70" t="str">
        <f>IFERROR(INDEX('[5]2017 Data (WP)'!$C$9:$C$72,MATCH($B70,'[5]2017 Data (WP)'!$D$9:$D$72,0)),"")</f>
        <v/>
      </c>
      <c r="B70" t="s">
        <v>40</v>
      </c>
      <c r="C70" t="s">
        <v>81</v>
      </c>
      <c r="D70" s="35" t="e">
        <f t="shared" ca="1" si="12"/>
        <v>#N/A</v>
      </c>
      <c r="E70" s="35" t="e">
        <f t="shared" ca="1" si="13"/>
        <v>#N/A</v>
      </c>
      <c r="F70" s="35"/>
      <c r="G70" s="94" t="str">
        <f t="shared" ca="1" si="5"/>
        <v>N/A</v>
      </c>
      <c r="H70" s="94" t="str">
        <f t="shared" ca="1" si="5"/>
        <v>N/A</v>
      </c>
      <c r="I70" s="94" t="str">
        <f t="shared" ca="1" si="6"/>
        <v>N/A</v>
      </c>
      <c r="J70" s="94" t="str">
        <f t="shared" ca="1" si="6"/>
        <v>N/A</v>
      </c>
      <c r="K70" s="94" t="str">
        <f t="shared" ca="1" si="15"/>
        <v>N/A</v>
      </c>
      <c r="L70" s="94" t="str">
        <f t="shared" ca="1" si="15"/>
        <v>N/A</v>
      </c>
      <c r="M70" s="94" t="str">
        <f t="shared" ca="1" si="15"/>
        <v>N/A</v>
      </c>
      <c r="N70" s="94" t="str">
        <f t="shared" ca="1" si="15"/>
        <v>N/A</v>
      </c>
      <c r="O70" s="94" t="str">
        <f t="shared" ca="1" si="15"/>
        <v>N/A</v>
      </c>
      <c r="P70" s="94" t="str">
        <f t="shared" ca="1" si="15"/>
        <v>N/A</v>
      </c>
      <c r="Q70" s="94" t="str">
        <f t="shared" ca="1" si="15"/>
        <v>N/A</v>
      </c>
      <c r="R70" s="94" t="str">
        <f t="shared" ca="1" si="15"/>
        <v>N/A</v>
      </c>
      <c r="S70" s="94" t="str">
        <f t="shared" ca="1" si="15"/>
        <v>N/A</v>
      </c>
      <c r="T70" s="94" t="str">
        <f t="shared" ca="1" si="15"/>
        <v>N/A</v>
      </c>
      <c r="U70" s="94" t="str">
        <f t="shared" ca="1" si="15"/>
        <v>N/A</v>
      </c>
      <c r="V70"/>
      <c r="W70"/>
      <c r="X70"/>
    </row>
    <row r="71" spans="1:24" x14ac:dyDescent="0.25">
      <c r="A71" t="str">
        <f>IFERROR(INDEX('[5]2017 Data (WP)'!$C$9:$C$72,MATCH($B71,'[5]2017 Data (WP)'!$D$9:$D$72,0)),"")</f>
        <v/>
      </c>
      <c r="B71" t="s">
        <v>41</v>
      </c>
      <c r="C71" t="s">
        <v>79</v>
      </c>
      <c r="D71" s="35" t="e">
        <f t="shared" ca="1" si="12"/>
        <v>#N/A</v>
      </c>
      <c r="E71" s="35" t="e">
        <f t="shared" ca="1" si="13"/>
        <v>#N/A</v>
      </c>
      <c r="F71" s="35"/>
      <c r="G71" s="94" t="str">
        <f t="shared" ca="1" si="5"/>
        <v>N/A</v>
      </c>
      <c r="H71" s="94" t="str">
        <f t="shared" ca="1" si="5"/>
        <v>N/A</v>
      </c>
      <c r="I71" s="94" t="str">
        <f t="shared" ca="1" si="6"/>
        <v>N/A</v>
      </c>
      <c r="J71" s="94" t="str">
        <f t="shared" ca="1" si="6"/>
        <v>N/A</v>
      </c>
      <c r="K71" s="94" t="str">
        <f t="shared" ca="1" si="15"/>
        <v>N/A</v>
      </c>
      <c r="L71" s="94" t="str">
        <f t="shared" ca="1" si="15"/>
        <v>N/A</v>
      </c>
      <c r="M71" s="94" t="str">
        <f t="shared" ca="1" si="15"/>
        <v>N/A</v>
      </c>
      <c r="N71" s="94" t="str">
        <f t="shared" ca="1" si="15"/>
        <v>N/A</v>
      </c>
      <c r="O71" s="94" t="str">
        <f t="shared" ca="1" si="15"/>
        <v>N/A</v>
      </c>
      <c r="P71" s="94" t="str">
        <f t="shared" ca="1" si="15"/>
        <v>N/A</v>
      </c>
      <c r="Q71" s="94" t="str">
        <f t="shared" ca="1" si="15"/>
        <v>N/A</v>
      </c>
      <c r="R71" s="94" t="str">
        <f t="shared" ca="1" si="15"/>
        <v>N/A</v>
      </c>
      <c r="S71" s="94" t="str">
        <f t="shared" ca="1" si="15"/>
        <v>N/A</v>
      </c>
      <c r="T71" s="94" t="str">
        <f t="shared" ca="1" si="15"/>
        <v>N/A</v>
      </c>
      <c r="U71" s="94" t="str">
        <f t="shared" ca="1" si="15"/>
        <v>N/A</v>
      </c>
      <c r="V71"/>
      <c r="W71"/>
      <c r="X71"/>
    </row>
    <row r="72" spans="1:24" x14ac:dyDescent="0.25">
      <c r="A72" t="str">
        <f>IFERROR(INDEX('[5]2017 Data (WP)'!$C$9:$C$72,MATCH($B72,'[5]2017 Data (WP)'!$D$9:$D$72,0)),"")</f>
        <v/>
      </c>
      <c r="B72" t="s">
        <v>83</v>
      </c>
      <c r="C72" t="s">
        <v>82</v>
      </c>
      <c r="D72" s="35">
        <f t="shared" ca="1" si="12"/>
        <v>64</v>
      </c>
      <c r="E72" s="35">
        <f t="shared" ca="1" si="13"/>
        <v>65</v>
      </c>
      <c r="F72" s="35"/>
      <c r="G72" s="94">
        <f t="shared" ca="1" si="5"/>
        <v>3.1559679353657763E-2</v>
      </c>
      <c r="H72" s="94">
        <f t="shared" ca="1" si="5"/>
        <v>2.5626818118853024E-2</v>
      </c>
      <c r="I72" s="94">
        <f t="shared" ca="1" si="6"/>
        <v>3.027098753913458E-2</v>
      </c>
      <c r="J72" s="94">
        <f t="shared" ca="1" si="6"/>
        <v>2.9950083194675542E-2</v>
      </c>
      <c r="K72" s="94">
        <f t="shared" ca="1" si="15"/>
        <v>3.4915170887632158E-2</v>
      </c>
      <c r="L72" s="94">
        <f t="shared" ca="1" si="15"/>
        <v>3.9974872937011019E-2</v>
      </c>
      <c r="M72" s="94">
        <f t="shared" ref="K72:U78" ca="1" si="16">IFERROR(INDEX(Dividends,$D72,M$2)/INDEX(MarketPrice,$E72,M$2),"N/A")</f>
        <v>4.2070410983870481E-2</v>
      </c>
      <c r="N72" s="94">
        <f t="shared" ca="1" si="16"/>
        <v>4.7525570823432173E-2</v>
      </c>
      <c r="O72" s="94">
        <f t="shared" ca="1" si="16"/>
        <v>5.1646706586826345E-2</v>
      </c>
      <c r="P72" s="94">
        <f t="shared" ca="1" si="16"/>
        <v>5.4811931524804382E-2</v>
      </c>
      <c r="Q72" s="94">
        <f t="shared" ca="1" si="16"/>
        <v>6.2466051059206953E-2</v>
      </c>
      <c r="R72" s="94">
        <f t="shared" ca="1" si="16"/>
        <v>6.5968736555284666E-2</v>
      </c>
      <c r="S72" s="94">
        <f t="shared" ca="1" si="16"/>
        <v>5.2875589103030765E-2</v>
      </c>
      <c r="T72" s="94">
        <f t="shared" ca="1" si="16"/>
        <v>4.9407468404281972E-2</v>
      </c>
      <c r="U72" s="94">
        <f t="shared" ca="1" si="16"/>
        <v>5.5551082843571367E-2</v>
      </c>
      <c r="V72"/>
      <c r="W72"/>
      <c r="X72"/>
    </row>
    <row r="73" spans="1:24" x14ac:dyDescent="0.25">
      <c r="A73" t="str">
        <f>IFERROR(INDEX('[5]2017 Data (WP)'!$C$9:$C$72,MATCH($B73,'[5]2017 Data (WP)'!$D$9:$D$72,0)),"")</f>
        <v>Electric Util. (Central)</v>
      </c>
      <c r="B73" t="s">
        <v>42</v>
      </c>
      <c r="C73" t="s">
        <v>89</v>
      </c>
      <c r="D73" s="35">
        <f t="shared" ca="1" si="12"/>
        <v>65</v>
      </c>
      <c r="E73" s="35">
        <f t="shared" ca="1" si="13"/>
        <v>66</v>
      </c>
      <c r="F73" s="35"/>
      <c r="G73" s="94" t="str">
        <f t="shared" ca="1" si="5"/>
        <v>N/A</v>
      </c>
      <c r="H73" s="94" t="str">
        <f t="shared" ca="1" si="5"/>
        <v>N/A</v>
      </c>
      <c r="I73" s="94" t="str">
        <f t="shared" ca="1" si="6"/>
        <v>N/A</v>
      </c>
      <c r="J73" s="94">
        <f t="shared" ca="1" si="6"/>
        <v>2.7943916070202961E-2</v>
      </c>
      <c r="K73" s="94">
        <f t="shared" ca="1" si="16"/>
        <v>3.3126124652380171E-2</v>
      </c>
      <c r="L73" s="94">
        <f t="shared" ca="1" si="16"/>
        <v>3.5952747817154594E-2</v>
      </c>
      <c r="M73" s="94">
        <f t="shared" ca="1" si="16"/>
        <v>3.616994921342747E-2</v>
      </c>
      <c r="N73" s="94">
        <f t="shared" ca="1" si="16"/>
        <v>4.1541556132116728E-2</v>
      </c>
      <c r="O73" s="94">
        <f t="shared" ca="1" si="16"/>
        <v>4.8223785824609573E-2</v>
      </c>
      <c r="P73" s="94">
        <f t="shared" ca="1" si="16"/>
        <v>5.058621571277256E-2</v>
      </c>
      <c r="Q73" s="94">
        <f t="shared" ca="1" si="16"/>
        <v>5.5313307493540055E-2</v>
      </c>
      <c r="R73" s="94">
        <f t="shared" ca="1" si="16"/>
        <v>5.8507410938718904E-2</v>
      </c>
      <c r="S73" s="94">
        <f t="shared" ca="1" si="16"/>
        <v>4.7871368536451679E-2</v>
      </c>
      <c r="T73" s="94">
        <f t="shared" ca="1" si="16"/>
        <v>4.5258543886532908E-2</v>
      </c>
      <c r="U73" s="94">
        <f t="shared" ca="1" si="16"/>
        <v>4.5152527440255497E-2</v>
      </c>
      <c r="V73"/>
      <c r="W73"/>
      <c r="X73"/>
    </row>
    <row r="74" spans="1:24" x14ac:dyDescent="0.25">
      <c r="A74" t="str">
        <f>IFERROR(INDEX('[5]2017 Data (WP)'!$C$9:$C$72,MATCH($B74,'[5]2017 Data (WP)'!$D$9:$D$72,0)),"")</f>
        <v>Electric Util. (Central)</v>
      </c>
      <c r="B74" t="s">
        <v>44</v>
      </c>
      <c r="C74" t="s">
        <v>217</v>
      </c>
      <c r="D74" s="35">
        <f t="shared" ca="1" si="12"/>
        <v>66</v>
      </c>
      <c r="E74" s="35">
        <f t="shared" ca="1" si="13"/>
        <v>67</v>
      </c>
      <c r="F74" s="35"/>
      <c r="G74" s="94">
        <f t="shared" ca="1" si="5"/>
        <v>2.6824148094743313E-2</v>
      </c>
      <c r="H74" s="94">
        <f t="shared" ca="1" si="5"/>
        <v>2.8069173862365897E-2</v>
      </c>
      <c r="I74" s="94">
        <f t="shared" ca="1" si="6"/>
        <v>3.3817903596021423E-2</v>
      </c>
      <c r="J74" s="94">
        <f t="shared" ca="1" si="6"/>
        <v>3.3100463088209554E-2</v>
      </c>
      <c r="K74" s="94">
        <f t="shared" ca="1" si="16"/>
        <v>3.3535449341146981E-2</v>
      </c>
      <c r="L74" s="94">
        <f t="shared" ca="1" si="16"/>
        <v>3.4855071012199278E-2</v>
      </c>
      <c r="M74" s="94">
        <f t="shared" ca="1" si="16"/>
        <v>3.4009897752294578E-2</v>
      </c>
      <c r="N74" s="94">
        <f t="shared" ca="1" si="16"/>
        <v>3.4881475401921498E-2</v>
      </c>
      <c r="O74" s="94">
        <f t="shared" ca="1" si="16"/>
        <v>3.2407907529437181E-2</v>
      </c>
      <c r="P74" s="94">
        <f t="shared" ca="1" si="16"/>
        <v>3.3481424248277637E-2</v>
      </c>
      <c r="Q74" s="94">
        <f t="shared" ca="1" si="16"/>
        <v>2.9739776951672865E-2</v>
      </c>
      <c r="R74" s="94">
        <f t="shared" ca="1" si="16"/>
        <v>3.1610002809778028E-2</v>
      </c>
      <c r="S74" s="94">
        <f t="shared" ca="1" si="16"/>
        <v>2.4129764511372269E-2</v>
      </c>
      <c r="T74" s="94">
        <f t="shared" ca="1" si="16"/>
        <v>2.1376656690893545E-2</v>
      </c>
      <c r="U74" s="94">
        <f t="shared" ca="1" si="16"/>
        <v>2.1825773391535398E-2</v>
      </c>
      <c r="V74"/>
      <c r="W74"/>
      <c r="X74"/>
    </row>
    <row r="75" spans="1:24" x14ac:dyDescent="0.25">
      <c r="A75" t="str">
        <f>IFERROR(INDEX('[5]2017 Data (WP)'!$C$9:$C$72,MATCH($B75,'[5]2017 Data (WP)'!$D$9:$D$72,0)),"")</f>
        <v>Electric Util. (Central)</v>
      </c>
      <c r="B75" t="s">
        <v>43</v>
      </c>
      <c r="C75" t="s">
        <v>87</v>
      </c>
      <c r="D75" s="35">
        <f t="shared" ca="1" si="12"/>
        <v>67</v>
      </c>
      <c r="E75" s="35">
        <f t="shared" ca="1" si="13"/>
        <v>68</v>
      </c>
      <c r="F75" s="35"/>
      <c r="G75" s="94" t="str">
        <f t="shared" ca="1" si="5"/>
        <v>N/A</v>
      </c>
      <c r="H75" s="94" t="str">
        <f t="shared" ca="1" si="5"/>
        <v>N/A</v>
      </c>
      <c r="I75" s="94" t="str">
        <f t="shared" ca="1" si="6"/>
        <v>N/A</v>
      </c>
      <c r="J75" s="94">
        <f t="shared" ca="1" si="6"/>
        <v>3.0046948356807514E-2</v>
      </c>
      <c r="K75" s="94">
        <f t="shared" ca="1" si="16"/>
        <v>2.8977770999351813E-2</v>
      </c>
      <c r="L75" s="94">
        <f t="shared" ca="1" si="16"/>
        <v>3.7335684098628426E-2</v>
      </c>
      <c r="M75" s="94">
        <f t="shared" ca="1" si="16"/>
        <v>3.8790834280014404E-2</v>
      </c>
      <c r="N75" s="94">
        <f t="shared" ca="1" si="16"/>
        <v>4.2681395932714035E-2</v>
      </c>
      <c r="O75" s="94">
        <f t="shared" ca="1" si="16"/>
        <v>4.5715868947842353E-2</v>
      </c>
      <c r="P75" s="94">
        <f t="shared" ca="1" si="16"/>
        <v>4.8387706498317772E-2</v>
      </c>
      <c r="Q75" s="94">
        <f t="shared" ca="1" si="16"/>
        <v>5.3168681931223739E-2</v>
      </c>
      <c r="R75" s="94">
        <f t="shared" ca="1" si="16"/>
        <v>6.2722140915743255E-2</v>
      </c>
      <c r="S75" s="94">
        <f t="shared" ca="1" si="16"/>
        <v>5.220287115791368E-2</v>
      </c>
      <c r="T75" s="94">
        <f t="shared" ca="1" si="16"/>
        <v>4.1618497109826597E-2</v>
      </c>
      <c r="U75" s="94">
        <f t="shared" ca="1" si="16"/>
        <v>4.2807845192853709E-2</v>
      </c>
      <c r="V75"/>
      <c r="W75"/>
      <c r="X75"/>
    </row>
    <row r="76" spans="1:24" x14ac:dyDescent="0.25">
      <c r="A76" t="str">
        <f>IFERROR(INDEX('[5]2017 Data (WP)'!$C$9:$C$72,MATCH($B76,'[5]2017 Data (WP)'!$D$9:$D$72,0)),"")</f>
        <v>Natural Gas Utility</v>
      </c>
      <c r="B76" s="31" t="s">
        <v>206</v>
      </c>
      <c r="C76" s="31" t="s">
        <v>205</v>
      </c>
      <c r="D76" s="35">
        <f t="shared" ca="1" si="12"/>
        <v>68</v>
      </c>
      <c r="E76" s="35">
        <f t="shared" ca="1" si="13"/>
        <v>69</v>
      </c>
      <c r="F76" s="35"/>
      <c r="G76" s="94" t="str">
        <f t="shared" ca="1" si="5"/>
        <v>N/A</v>
      </c>
      <c r="H76" s="94" t="str">
        <f t="shared" ca="1" si="5"/>
        <v>N/A</v>
      </c>
      <c r="I76" s="94" t="str">
        <f t="shared" ca="1" si="6"/>
        <v>N/A</v>
      </c>
      <c r="J76" s="94">
        <f t="shared" ca="1" si="6"/>
        <v>2.5575123760809285E-2</v>
      </c>
      <c r="K76" s="94">
        <f t="shared" ca="1" si="16"/>
        <v>2.9439580219042676E-2</v>
      </c>
      <c r="L76" s="94">
        <f t="shared" ca="1" si="16"/>
        <v>3.4080116207609361E-2</v>
      </c>
      <c r="M76" s="94">
        <f t="shared" ca="1" si="16"/>
        <v>4.2359315355251816E-2</v>
      </c>
      <c r="N76" s="94">
        <f t="shared" ca="1" si="16"/>
        <v>3.9387827737572663E-2</v>
      </c>
      <c r="O76" s="94">
        <f t="shared" ca="1" si="16"/>
        <v>3.8857254576113789E-2</v>
      </c>
      <c r="P76" s="94">
        <f t="shared" ca="1" si="16"/>
        <v>4.0588666596836701E-2</v>
      </c>
      <c r="Q76" s="94">
        <f t="shared" ca="1" si="16"/>
        <v>4.3729228616407205E-2</v>
      </c>
      <c r="R76" s="94">
        <f t="shared" ca="1" si="16"/>
        <v>4.6171241912180409E-2</v>
      </c>
      <c r="S76" s="94">
        <f t="shared" ca="1" si="16"/>
        <v>4.2240422404224043E-2</v>
      </c>
      <c r="T76" s="94">
        <f t="shared" ca="1" si="16"/>
        <v>4.1855758616460195E-2</v>
      </c>
      <c r="U76" s="94">
        <f t="shared" ca="1" si="16"/>
        <v>4.4845292077887434E-2</v>
      </c>
      <c r="V76"/>
      <c r="W76"/>
      <c r="X76"/>
    </row>
    <row r="77" spans="1:24" x14ac:dyDescent="0.25">
      <c r="A77" t="str">
        <f>IFERROR(INDEX('[5]2017 Data (WP)'!$C$9:$C$72,MATCH($B77,'[5]2017 Data (WP)'!$D$9:$D$72,0)),"")</f>
        <v>Electric Utility (West)</v>
      </c>
      <c r="B77" t="s">
        <v>45</v>
      </c>
      <c r="C77" t="s">
        <v>65</v>
      </c>
      <c r="D77" s="35">
        <f t="shared" ca="1" si="12"/>
        <v>69</v>
      </c>
      <c r="E77" s="35">
        <f t="shared" ca="1" si="13"/>
        <v>70</v>
      </c>
      <c r="F77" s="35"/>
      <c r="G77" s="94">
        <f t="shared" ca="1" si="5"/>
        <v>2.581574760603968E-2</v>
      </c>
      <c r="H77" s="94">
        <f t="shared" ca="1" si="5"/>
        <v>2.7471129877397367E-2</v>
      </c>
      <c r="I77" s="94">
        <f t="shared" ca="1" si="6"/>
        <v>3.2503635274997861E-2</v>
      </c>
      <c r="J77" s="94">
        <f t="shared" ca="1" si="6"/>
        <v>3.0999074333196992E-2</v>
      </c>
      <c r="K77" s="94">
        <f t="shared" ca="1" si="16"/>
        <v>3.3309657351392394E-2</v>
      </c>
      <c r="L77" s="94">
        <f t="shared" ca="1" si="16"/>
        <v>3.6856805551556335E-2</v>
      </c>
      <c r="M77" s="94">
        <f t="shared" ca="1" si="16"/>
        <v>3.8284839203675342E-2</v>
      </c>
      <c r="N77" s="94">
        <f t="shared" ca="1" si="16"/>
        <v>3.8642297650130553E-2</v>
      </c>
      <c r="O77" s="94">
        <f t="shared" ca="1" si="16"/>
        <v>3.9022611232676876E-2</v>
      </c>
      <c r="P77" s="94">
        <f t="shared" ca="1" si="16"/>
        <v>4.2045964812017798E-2</v>
      </c>
      <c r="Q77" s="94">
        <f t="shared" ca="1" si="16"/>
        <v>4.5369992287101313E-2</v>
      </c>
      <c r="R77" s="94">
        <f t="shared" ca="1" si="16"/>
        <v>5.1404345521992578E-2</v>
      </c>
      <c r="S77" s="94">
        <f t="shared" ca="1" si="16"/>
        <v>4.7042338104293861E-2</v>
      </c>
      <c r="T77" s="94">
        <f t="shared" ca="1" si="16"/>
        <v>4.047682590516858E-2</v>
      </c>
      <c r="U77" s="94">
        <f t="shared" ca="1" si="16"/>
        <v>4.4039635672104893E-2</v>
      </c>
      <c r="V77"/>
      <c r="W77"/>
      <c r="X77"/>
    </row>
    <row r="78" spans="1:24" x14ac:dyDescent="0.25">
      <c r="A78" t="str">
        <f>IFERROR(INDEX('[5]2017 Data (WP)'!$C$9:$C$72,MATCH($B78,'[5]2017 Data (WP)'!$D$9:$D$72,0)),"")</f>
        <v>Water Utility</v>
      </c>
      <c r="B78" s="31" t="s">
        <v>208</v>
      </c>
      <c r="C78" s="31" t="s">
        <v>207</v>
      </c>
      <c r="D78" s="35">
        <f t="shared" ca="1" si="12"/>
        <v>70</v>
      </c>
      <c r="E78" s="35">
        <f t="shared" ca="1" si="13"/>
        <v>71</v>
      </c>
      <c r="F78" s="35"/>
      <c r="G78" s="94">
        <f t="shared" ca="1" si="5"/>
        <v>1.6105191166412954E-2</v>
      </c>
      <c r="H78" s="94">
        <f t="shared" ca="1" si="5"/>
        <v>1.8685102634599469E-2</v>
      </c>
      <c r="I78" s="94">
        <f t="shared" ca="1" si="6"/>
        <v>2.1354232770656179E-2</v>
      </c>
      <c r="J78" s="94">
        <f t="shared" ca="1" si="6"/>
        <v>1.8586829086957767E-2</v>
      </c>
      <c r="K78" s="94">
        <f t="shared" ca="1" si="16"/>
        <v>2.0896908584317368E-2</v>
      </c>
      <c r="L78" s="94">
        <f t="shared" ca="1" si="16"/>
        <v>2.629618267081562E-2</v>
      </c>
      <c r="M78" s="94">
        <f t="shared" ca="1" si="16"/>
        <v>2.7863023040576744E-2</v>
      </c>
      <c r="N78" s="94">
        <f t="shared" ca="1" si="16"/>
        <v>2.8024572269888821E-2</v>
      </c>
      <c r="O78" s="94">
        <f t="shared" ca="1" si="16"/>
        <v>3.0624999999999999E-2</v>
      </c>
      <c r="P78" s="94">
        <f t="shared" ca="1" si="16"/>
        <v>3.1049313615742653E-2</v>
      </c>
      <c r="Q78" s="94">
        <f t="shared" ca="1" si="16"/>
        <v>3.5007817279586705E-2</v>
      </c>
      <c r="R78" s="94">
        <f t="shared" ca="1" si="16"/>
        <v>3.6155769917827797E-2</v>
      </c>
      <c r="S78" s="94">
        <f t="shared" ca="1" si="16"/>
        <v>3.490862364363221E-2</v>
      </c>
      <c r="T78" s="94">
        <f t="shared" ca="1" si="16"/>
        <v>2.753623188405797E-2</v>
      </c>
      <c r="U78" s="94">
        <f t="shared" ca="1" si="16"/>
        <v>2.5049657912160673E-2</v>
      </c>
      <c r="V78"/>
      <c r="W78"/>
      <c r="X78"/>
    </row>
    <row r="79" spans="1:24" x14ac:dyDescent="0.25">
      <c r="B79" s="31"/>
      <c r="C79" s="31"/>
      <c r="D79" s="35"/>
      <c r="E79" s="35"/>
      <c r="F79" s="35"/>
      <c r="G79" s="35"/>
      <c r="H79" s="35"/>
      <c r="I79" s="35"/>
      <c r="J79" s="35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/>
      <c r="W79"/>
      <c r="X79"/>
    </row>
  </sheetData>
  <autoFilter ref="A4:X78"/>
  <pageMargins left="0.7" right="0.7" top="0.75" bottom="0.75" header="0.3" footer="0.3"/>
  <pageSetup scale="65" fitToHeight="0" orientation="landscape" r:id="rId1"/>
  <headerFooter>
    <oddFooter>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80"/>
  <sheetViews>
    <sheetView zoomScale="70" zoomScaleNormal="70" workbookViewId="0">
      <selection activeCell="W33" sqref="W33"/>
    </sheetView>
  </sheetViews>
  <sheetFormatPr defaultRowHeight="13.8" x14ac:dyDescent="0.25"/>
  <cols>
    <col min="1" max="1" width="15.19921875" customWidth="1"/>
    <col min="2" max="2" width="7.5" bestFit="1" customWidth="1"/>
    <col min="3" max="3" width="22.19921875" customWidth="1"/>
    <col min="4" max="4" width="3.19921875" bestFit="1" customWidth="1"/>
    <col min="5" max="5" width="2.8984375" bestFit="1" customWidth="1"/>
    <col min="6" max="6" width="1.5" customWidth="1"/>
    <col min="7" max="8" width="5.09765625" customWidth="1"/>
    <col min="9" max="10" width="6.09765625" customWidth="1"/>
    <col min="11" max="13" width="6.19921875" bestFit="1" customWidth="1"/>
    <col min="14" max="15" width="5" bestFit="1" customWidth="1"/>
    <col min="16" max="16" width="4.8984375" bestFit="1" customWidth="1"/>
    <col min="17" max="17" width="5" bestFit="1" customWidth="1"/>
    <col min="18" max="21" width="5.19921875" bestFit="1" customWidth="1"/>
    <col min="22" max="24" width="9.19921875" style="31" customWidth="1"/>
  </cols>
  <sheetData>
    <row r="1" spans="1:24" x14ac:dyDescent="0.25">
      <c r="A1" t="s">
        <v>319</v>
      </c>
    </row>
    <row r="2" spans="1:24" x14ac:dyDescent="0.25">
      <c r="E2" s="35"/>
      <c r="F2" s="35"/>
      <c r="G2" s="35">
        <v>2</v>
      </c>
      <c r="H2" s="35">
        <f t="shared" ref="H2:U2" ca="1" si="0">MATCH(H3,OFFSET(BookValue,-2,0,1,),0)</f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>
        <f t="shared" ca="1" si="0"/>
        <v>13</v>
      </c>
      <c r="S2" s="35">
        <f t="shared" ca="1" si="0"/>
        <v>14</v>
      </c>
      <c r="T2" s="35">
        <f t="shared" ca="1" si="0"/>
        <v>15</v>
      </c>
      <c r="U2" s="35">
        <f t="shared" ca="1" si="0"/>
        <v>16</v>
      </c>
      <c r="V2" s="54"/>
      <c r="W2" s="54"/>
      <c r="X2" s="54"/>
    </row>
    <row r="3" spans="1:24" ht="14.4" thickBot="1" x14ac:dyDescent="0.3">
      <c r="D3" s="35" t="s">
        <v>317</v>
      </c>
      <c r="E3" s="35" t="s">
        <v>256</v>
      </c>
      <c r="F3" s="35"/>
      <c r="G3" s="35">
        <v>2020</v>
      </c>
      <c r="H3" s="48">
        <v>2019</v>
      </c>
      <c r="I3" s="48">
        <v>2018</v>
      </c>
      <c r="J3" s="48">
        <v>2017</v>
      </c>
      <c r="K3" s="48">
        <v>2016</v>
      </c>
      <c r="L3" s="48">
        <v>2015</v>
      </c>
      <c r="M3" s="48">
        <v>2014</v>
      </c>
      <c r="N3" s="48">
        <v>2013</v>
      </c>
      <c r="O3" s="48">
        <v>2012</v>
      </c>
      <c r="P3" s="48">
        <v>2011</v>
      </c>
      <c r="Q3" s="48">
        <v>2010</v>
      </c>
      <c r="R3" s="48">
        <v>2009</v>
      </c>
      <c r="S3" s="48">
        <v>2008</v>
      </c>
      <c r="T3" s="48">
        <v>2007</v>
      </c>
      <c r="U3" s="48">
        <v>2006</v>
      </c>
      <c r="V3" s="55"/>
      <c r="W3" s="55"/>
      <c r="X3" s="55"/>
    </row>
    <row r="4" spans="1:24" x14ac:dyDescent="0.25">
      <c r="D4" s="35"/>
      <c r="E4" s="35"/>
      <c r="F4" s="35"/>
      <c r="G4" s="35"/>
      <c r="H4" s="35"/>
      <c r="I4" s="35"/>
      <c r="J4" s="35"/>
      <c r="K4" s="35"/>
      <c r="L4" s="35"/>
    </row>
    <row r="5" spans="1:24" x14ac:dyDescent="0.25">
      <c r="A5" t="str">
        <f>IFERROR(INDEX('2019 Data (WP)'!$C$9:$C$73,MATCH($B5,'2019 Data (WP)'!$D$9:$D$73,0)),"")</f>
        <v>Electric Util. (Central)</v>
      </c>
      <c r="B5" t="s">
        <v>0</v>
      </c>
      <c r="C5" t="s">
        <v>91</v>
      </c>
      <c r="D5" s="35">
        <f t="shared" ref="D5:D37" ca="1" si="1">MATCH(B5,OFFSET(Dividends,0,0,,1),0)</f>
        <v>3</v>
      </c>
      <c r="E5" s="35">
        <f t="shared" ref="E5:E47" ca="1" si="2">MATCH(B5,OFFSET(BookValue,0,0,,1),0)</f>
        <v>3</v>
      </c>
      <c r="F5" s="35"/>
      <c r="G5" s="17">
        <f t="shared" ref="G5:U20" ca="1" si="3">IFERROR(INDEX(Dividends,$D5,G$2)/INDEX(BookValue,$E5,G$2),"N/A")</f>
        <v>5.6082830025884385E-2</v>
      </c>
      <c r="H5" s="17">
        <f ca="1">IFERROR(INDEX(Dividends,$D5,H$2)/INDEX(BookValue,$E5,H$2),"N/A")</f>
        <v>5.4435950891823022E-2</v>
      </c>
      <c r="I5" s="17">
        <f t="shared" ca="1" si="3"/>
        <v>5.3511705685618735E-2</v>
      </c>
      <c r="J5" s="17">
        <f t="shared" ca="1" si="3"/>
        <v>5.2873449621979547E-2</v>
      </c>
      <c r="K5" s="17">
        <f t="shared" ca="1" si="3"/>
        <v>5.4500196515131667E-2</v>
      </c>
      <c r="L5" s="17">
        <f t="shared" ca="1" si="3"/>
        <v>5.4490032640069061E-2</v>
      </c>
      <c r="M5" s="17">
        <f t="shared" ca="1" si="3"/>
        <v>5.5899381113994805E-2</v>
      </c>
      <c r="N5" s="17">
        <f t="shared" ca="1" si="3"/>
        <v>5.8575084009002069E-2</v>
      </c>
      <c r="O5" s="17">
        <f t="shared" ca="1" si="3"/>
        <v>6.0363493209107021E-2</v>
      </c>
      <c r="P5" s="17">
        <f t="shared" ca="1" si="3"/>
        <v>6.1846356971613219E-2</v>
      </c>
      <c r="Q5" s="17">
        <f t="shared" ca="1" si="3"/>
        <v>6.4556358434508299E-2</v>
      </c>
      <c r="R5" s="17">
        <f t="shared" ca="1" si="3"/>
        <v>6.6651518594258885E-2</v>
      </c>
      <c r="S5" s="17">
        <f t="shared" ca="1" si="3"/>
        <v>6.7793937960663755E-2</v>
      </c>
      <c r="T5" s="17">
        <f t="shared" ca="1" si="3"/>
        <v>6.8021567814184988E-2</v>
      </c>
      <c r="U5" s="17">
        <f t="shared" ca="1" si="3"/>
        <v>6.6207022510387653E-2</v>
      </c>
      <c r="V5" s="56"/>
      <c r="W5" s="57"/>
      <c r="X5" s="57"/>
    </row>
    <row r="6" spans="1:24" x14ac:dyDescent="0.25">
      <c r="A6" t="str">
        <f>IFERROR(INDEX('2019 Data (WP)'!$C$9:$C$73,MATCH($B6,'2019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ca="1" si="3"/>
        <v>6.6772096292391503E-2</v>
      </c>
      <c r="H6" s="17">
        <f t="shared" ca="1" si="3"/>
        <v>6.6845549122063738E-2</v>
      </c>
      <c r="I6" s="17">
        <f t="shared" ca="1" si="3"/>
        <v>6.8979717903840221E-2</v>
      </c>
      <c r="J6" s="17">
        <f t="shared" ca="1" si="3"/>
        <v>7.320048800325335E-2</v>
      </c>
      <c r="K6" s="17">
        <f t="shared" ca="1" si="3"/>
        <v>6.9563166892648701E-2</v>
      </c>
      <c r="L6" s="17">
        <f t="shared" ca="1" si="3"/>
        <v>6.7024128686327081E-2</v>
      </c>
      <c r="M6" s="17">
        <f t="shared" ca="1" si="3"/>
        <v>6.5620174987133295E-2</v>
      </c>
      <c r="N6" s="17">
        <f t="shared" ca="1" si="3"/>
        <v>6.356075461491649E-2</v>
      </c>
      <c r="O6" s="17">
        <f t="shared" ca="1" si="3"/>
        <v>6.3725837286695466E-2</v>
      </c>
      <c r="P6" s="17">
        <f t="shared" ca="1" si="3"/>
        <v>6.2638172439204123E-2</v>
      </c>
      <c r="Q6" s="17">
        <f t="shared" ca="1" si="3"/>
        <v>6.0550318080784857E-2</v>
      </c>
      <c r="R6" s="17">
        <f t="shared" ca="1" si="3"/>
        <v>5.9822924144532177E-2</v>
      </c>
      <c r="S6" s="17">
        <f t="shared" ca="1" si="3"/>
        <v>5.4764512595837894E-2</v>
      </c>
      <c r="T6" s="17">
        <f t="shared" ca="1" si="3"/>
        <v>5.2271978926572274E-2</v>
      </c>
      <c r="U6" s="17">
        <f t="shared" ca="1" si="3"/>
        <v>5.0367904695164674E-2</v>
      </c>
      <c r="V6" s="56"/>
      <c r="W6" s="56"/>
      <c r="X6" s="56"/>
    </row>
    <row r="7" spans="1:24" x14ac:dyDescent="0.25">
      <c r="A7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3"/>
        <v>7.3584363322793916E-2</v>
      </c>
      <c r="H7" s="17">
        <f t="shared" ca="1" si="3"/>
        <v>7.1056661562021436E-2</v>
      </c>
      <c r="I7" s="17">
        <f t="shared" ca="1" si="3"/>
        <v>6.9801132622151985E-2</v>
      </c>
      <c r="J7" s="17">
        <f t="shared" ca="1" si="3"/>
        <v>6.8526337647954599E-2</v>
      </c>
      <c r="K7" s="17">
        <f t="shared" ca="1" si="3"/>
        <v>6.7623557265463152E-2</v>
      </c>
      <c r="L7" s="17">
        <f t="shared" ca="1" si="3"/>
        <v>6.8468468468468463E-2</v>
      </c>
      <c r="M7" s="17">
        <f t="shared" ca="1" si="3"/>
        <v>6.2778575205862358E-2</v>
      </c>
      <c r="N7" s="17">
        <f t="shared" ca="1" si="3"/>
        <v>5.9762522607533224E-2</v>
      </c>
      <c r="O7" s="17">
        <f t="shared" ca="1" si="3"/>
        <v>5.381812017967625E-2</v>
      </c>
      <c r="P7" s="17">
        <f t="shared" ca="1" si="3"/>
        <v>5.073332718383914E-2</v>
      </c>
      <c r="Q7" s="17">
        <f t="shared" ca="1" si="3"/>
        <v>5.1322542439794713E-2</v>
      </c>
      <c r="R7" s="17">
        <f t="shared" ca="1" si="3"/>
        <v>5.2077962256367953E-2</v>
      </c>
      <c r="S7" s="17">
        <f t="shared" ca="1" si="3"/>
        <v>5.5716514374860707E-2</v>
      </c>
      <c r="T7" s="17">
        <f t="shared" ca="1" si="3"/>
        <v>5.4522641724649254E-2</v>
      </c>
      <c r="U7" s="17">
        <f t="shared" ca="1" si="3"/>
        <v>5.4680927773104196E-2</v>
      </c>
      <c r="V7" s="56"/>
      <c r="W7" s="56"/>
      <c r="X7" s="56"/>
    </row>
    <row r="8" spans="1:24" x14ac:dyDescent="0.25">
      <c r="A8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3"/>
        <v>6.0432301767996181E-2</v>
      </c>
      <c r="H8" s="17">
        <f t="shared" ca="1" si="3"/>
        <v>5.7945306725794524E-2</v>
      </c>
      <c r="I8" s="17">
        <f t="shared" ca="1" si="3"/>
        <v>5.4911154985192501E-2</v>
      </c>
      <c r="J8" s="17">
        <f t="shared" ca="1" si="3"/>
        <v>5.3761656655493983E-2</v>
      </c>
      <c r="K8" s="17">
        <f t="shared" ca="1" si="3"/>
        <v>5.0268440310501657E-2</v>
      </c>
      <c r="L8" s="17">
        <f t="shared" ca="1" si="3"/>
        <v>4.707464694014795E-2</v>
      </c>
      <c r="M8" s="17">
        <f t="shared" ca="1" si="3"/>
        <v>4.4175094008981057E-2</v>
      </c>
      <c r="N8" s="17">
        <f t="shared" ca="1" si="3"/>
        <v>3.1669431458301915E-2</v>
      </c>
      <c r="O8" s="17">
        <f t="shared" ca="1" si="3"/>
        <v>4.8197570205138415E-2</v>
      </c>
      <c r="P8" s="17">
        <f t="shared" ca="1" si="3"/>
        <v>3.7324264919338115E-2</v>
      </c>
      <c r="Q8" s="17">
        <f t="shared" ca="1" si="3"/>
        <v>3.6459216550788535E-2</v>
      </c>
      <c r="R8" s="17">
        <f t="shared" ca="1" si="3"/>
        <v>3.579223046704496E-2</v>
      </c>
      <c r="S8" s="17">
        <f t="shared" ca="1" si="3"/>
        <v>1.5601841017240034E-2</v>
      </c>
      <c r="T8" s="17">
        <f t="shared" ca="1" si="3"/>
        <v>0</v>
      </c>
      <c r="U8" s="17">
        <f t="shared" ca="1" si="3"/>
        <v>0</v>
      </c>
      <c r="V8" s="56"/>
      <c r="W8" s="56"/>
      <c r="X8" s="56"/>
    </row>
    <row r="9" spans="1:24" x14ac:dyDescent="0.25">
      <c r="A9" t="str">
        <f>IFERROR(INDEX('2019 Data (WP)'!$C$9:$C$73,MATCH($B9,'2019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3"/>
        <v>5.6679702998356285E-2</v>
      </c>
      <c r="H9" s="17">
        <f t="shared" ca="1" si="3"/>
        <v>5.8654609885745702E-2</v>
      </c>
      <c r="I9" s="17">
        <f t="shared" ca="1" si="3"/>
        <v>5.9209893947646669E-2</v>
      </c>
      <c r="J9" s="17">
        <f t="shared" ca="1" si="3"/>
        <v>6.0051337476357741E-2</v>
      </c>
      <c r="K9" s="17">
        <f t="shared" ca="1" si="3"/>
        <v>5.8584409373505501E-2</v>
      </c>
      <c r="L9" s="17">
        <f t="shared" ca="1" si="3"/>
        <v>5.7812554581339298E-2</v>
      </c>
      <c r="M9" s="17">
        <f t="shared" ca="1" si="3"/>
        <v>5.8192069975060538E-2</v>
      </c>
      <c r="N9" s="17">
        <f t="shared" ca="1" si="3"/>
        <v>5.9322976530347411E-2</v>
      </c>
      <c r="O9" s="17">
        <f t="shared" ca="1" si="3"/>
        <v>5.8678989254410098E-2</v>
      </c>
      <c r="P9" s="17">
        <f t="shared" ca="1" si="3"/>
        <v>4.7638012376692601E-2</v>
      </c>
      <c r="Q9" s="17">
        <f t="shared" ca="1" si="3"/>
        <v>4.7893018193127038E-2</v>
      </c>
      <c r="R9" s="17">
        <f t="shared" ca="1" si="3"/>
        <v>4.6555216300371835E-2</v>
      </c>
      <c r="S9" s="17">
        <f t="shared" ca="1" si="3"/>
        <v>7.7443746569912791E-2</v>
      </c>
      <c r="T9" s="17">
        <f t="shared" ca="1" si="3"/>
        <v>7.8358784513342591E-2</v>
      </c>
      <c r="U9" s="17">
        <f t="shared" ca="1" si="3"/>
        <v>7.9713783580215913E-2</v>
      </c>
      <c r="V9" s="56"/>
      <c r="W9" s="56"/>
      <c r="X9" s="56"/>
    </row>
    <row r="10" spans="1:24" x14ac:dyDescent="0.25">
      <c r="A10" t="str">
        <f>IFERROR(INDEX('2019 Data (WP)'!$C$9:$C$73,MATCH($B10,'2019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3"/>
        <v>6.8627214073411782E-2</v>
      </c>
      <c r="H10" s="17">
        <f t="shared" ca="1" si="3"/>
        <v>6.8213854208618599E-2</v>
      </c>
      <c r="I10" s="17">
        <f t="shared" ca="1" si="3"/>
        <v>6.5581419461869447E-2</v>
      </c>
      <c r="J10" s="17">
        <f t="shared" ca="1" si="3"/>
        <v>6.4302625914765391E-2</v>
      </c>
      <c r="K10" s="17">
        <f t="shared" ca="1" si="3"/>
        <v>6.4160542679479932E-2</v>
      </c>
      <c r="L10" s="17">
        <f t="shared" ca="1" si="3"/>
        <v>5.9009194455880327E-2</v>
      </c>
      <c r="M10" s="17">
        <f t="shared" ca="1" si="3"/>
        <v>5.9066573556797008E-2</v>
      </c>
      <c r="N10" s="17">
        <f t="shared" ca="1" si="3"/>
        <v>5.9133915574963614E-2</v>
      </c>
      <c r="O10" s="17">
        <f t="shared" ca="1" si="3"/>
        <v>5.9924138590507756E-2</v>
      </c>
      <c r="P10" s="17">
        <f t="shared" ca="1" si="3"/>
        <v>6.0987670600646145E-2</v>
      </c>
      <c r="Q10" s="17">
        <f t="shared" ca="1" si="3"/>
        <v>6.0355781448538752E-2</v>
      </c>
      <c r="R10" s="17">
        <f t="shared" ca="1" si="3"/>
        <v>5.9666739430983044E-2</v>
      </c>
      <c r="S10" s="17">
        <f t="shared" ca="1" si="3"/>
        <v>6.2279269357839971E-2</v>
      </c>
      <c r="T10" s="17">
        <f t="shared" ca="1" si="3"/>
        <v>6.2770648762464742E-2</v>
      </c>
      <c r="U10" s="17">
        <f t="shared" ca="1" si="3"/>
        <v>6.3219117461120244E-2</v>
      </c>
      <c r="V10" s="56"/>
      <c r="W10" s="56"/>
      <c r="X10" s="56"/>
    </row>
    <row r="11" spans="1:24" x14ac:dyDescent="0.25">
      <c r="A1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 t="str">
        <f t="shared" ca="1" si="3"/>
        <v>N/A</v>
      </c>
      <c r="H11" s="17" t="str">
        <f t="shared" ca="1" si="3"/>
        <v>N/A</v>
      </c>
      <c r="I11" s="17">
        <f t="shared" ca="1" si="3"/>
        <v>7.5334574138083851E-2</v>
      </c>
      <c r="J11" s="17">
        <f t="shared" ca="1" si="3"/>
        <v>7.1713870733478582E-2</v>
      </c>
      <c r="K11" s="17">
        <f t="shared" ca="1" si="3"/>
        <v>7.0955988110077667E-2</v>
      </c>
      <c r="L11" s="17">
        <f t="shared" ca="1" si="3"/>
        <v>7.0581014729950903E-2</v>
      </c>
      <c r="M11" s="17">
        <f t="shared" ca="1" si="3"/>
        <v>6.7968497141007653E-2</v>
      </c>
      <c r="N11" s="17">
        <f t="shared" ca="1" si="3"/>
        <v>6.7230787063869243E-2</v>
      </c>
      <c r="O11" s="17">
        <f t="shared" ca="1" si="3"/>
        <v>6.7856690720344351E-2</v>
      </c>
      <c r="P11" s="17">
        <f t="shared" ca="1" si="3"/>
        <v>6.9922308546059936E-2</v>
      </c>
      <c r="Q11" s="17">
        <f t="shared" ca="1" si="3"/>
        <v>6.9320017623733285E-2</v>
      </c>
      <c r="R11" s="17">
        <f t="shared" ca="1" si="3"/>
        <v>6.7692307692307691E-2</v>
      </c>
      <c r="S11" s="17">
        <f t="shared" ca="1" si="3"/>
        <v>6.5227817745803357E-2</v>
      </c>
      <c r="T11" s="17">
        <f t="shared" ca="1" si="3"/>
        <v>6.5584970111016216E-2</v>
      </c>
      <c r="U11" s="17">
        <f t="shared" ca="1" si="3"/>
        <v>6.3173007896625985E-2</v>
      </c>
      <c r="V11" s="56"/>
      <c r="W11" s="56"/>
      <c r="X11" s="56"/>
    </row>
    <row r="12" spans="1:24" x14ac:dyDescent="0.25">
      <c r="A12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3"/>
        <v>4.2632856957496891E-2</v>
      </c>
      <c r="H12" s="17">
        <f t="shared" ca="1" si="3"/>
        <v>4.3582932093641044E-2</v>
      </c>
      <c r="I12" s="17">
        <f t="shared" ca="1" si="3"/>
        <v>4.5256257727389372E-2</v>
      </c>
      <c r="J12" s="17">
        <f t="shared" ca="1" si="3"/>
        <v>4.8987589810581322E-2</v>
      </c>
      <c r="K12" s="17">
        <f t="shared" ca="1" si="3"/>
        <v>5.0418654902313856E-2</v>
      </c>
      <c r="L12" s="17">
        <f t="shared" ca="1" si="3"/>
        <v>4.955212502382314E-2</v>
      </c>
      <c r="M12" s="17">
        <f t="shared" ca="1" si="3"/>
        <v>4.8141040236801873E-2</v>
      </c>
      <c r="N12" s="17">
        <f t="shared" ca="1" si="3"/>
        <v>4.9176297024834024E-2</v>
      </c>
      <c r="O12" s="17">
        <f t="shared" ca="1" si="3"/>
        <v>5.2784577723378211E-2</v>
      </c>
      <c r="P12" s="17">
        <f t="shared" ca="1" si="3"/>
        <v>5.4447914164464727E-2</v>
      </c>
      <c r="Q12" s="17">
        <f t="shared" ca="1" si="3"/>
        <v>5.5463576158940403E-2</v>
      </c>
      <c r="R12" s="17">
        <f t="shared" ca="1" si="3"/>
        <v>5.6124835239593523E-2</v>
      </c>
      <c r="S12" s="17">
        <f t="shared" ca="1" si="3"/>
        <v>5.7519578779700015E-2</v>
      </c>
      <c r="T12" s="17">
        <f t="shared" ca="1" si="3"/>
        <v>5.8165954739616471E-2</v>
      </c>
      <c r="U12" s="17">
        <f t="shared" ca="1" si="3"/>
        <v>6.2490700788573127E-2</v>
      </c>
      <c r="V12" s="56"/>
      <c r="W12" s="56"/>
      <c r="X12" s="56"/>
    </row>
    <row r="13" spans="1:24" x14ac:dyDescent="0.25">
      <c r="A13" t="str">
        <f>IFERROR(INDEX('2019 Data (WP)'!$C$9:$C$73,MATCH($B13,'2019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3"/>
        <v>3.5766542025686882E-2</v>
      </c>
      <c r="H13" s="17">
        <f t="shared" ca="1" si="3"/>
        <v>3.5692557290610424E-2</v>
      </c>
      <c r="I13" s="17">
        <f t="shared" ca="1" si="3"/>
        <v>3.5679944352380366E-2</v>
      </c>
      <c r="J13" s="17">
        <f t="shared" ca="1" si="3"/>
        <v>3.5415641908509592E-2</v>
      </c>
      <c r="K13" s="17">
        <f t="shared" ca="1" si="3"/>
        <v>3.5338868665385083E-2</v>
      </c>
      <c r="L13" s="17">
        <f ca="1">IFERROR(INDEX(Dividends,$D13,L$2)/INDEX(BookValue,$E13,L$2),"N/A")</f>
        <v>0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17" t="str">
        <f t="shared" ca="1" si="3"/>
        <v>N/A</v>
      </c>
      <c r="S13" s="17" t="str">
        <f t="shared" ca="1" si="3"/>
        <v>N/A</v>
      </c>
      <c r="T13" s="17" t="str">
        <f t="shared" ca="1" si="3"/>
        <v>N/A</v>
      </c>
      <c r="U13" s="17" t="str">
        <f t="shared" ca="1" si="3"/>
        <v>N/A</v>
      </c>
      <c r="V13" s="56"/>
      <c r="W13" s="56"/>
      <c r="X13" s="56"/>
    </row>
    <row r="14" spans="1:24" x14ac:dyDescent="0.25">
      <c r="A14" t="str">
        <f>IFERROR(INDEX('2019 Data (WP)'!$C$9:$C$73,MATCH($B14,'2019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3"/>
        <v>5.5261811359372338E-2</v>
      </c>
      <c r="H14" s="17">
        <f t="shared" ca="1" si="3"/>
        <v>5.3692670084522658E-2</v>
      </c>
      <c r="I14" s="17">
        <f t="shared" ca="1" si="3"/>
        <v>5.5197451285470843E-2</v>
      </c>
      <c r="J14" s="17">
        <f t="shared" ca="1" si="3"/>
        <v>5.4142056640920797E-2</v>
      </c>
      <c r="K14" s="17">
        <f t="shared" ca="1" si="3"/>
        <v>5.3336447870435261E-2</v>
      </c>
      <c r="L14" s="17">
        <f t="shared" ca="1" si="3"/>
        <v>5.3807272134355127E-2</v>
      </c>
      <c r="M14" s="17">
        <f t="shared" ca="1" si="3"/>
        <v>5.3278516591853002E-2</v>
      </c>
      <c r="N14" s="17">
        <f t="shared" ca="1" si="3"/>
        <v>5.6455344747801943E-2</v>
      </c>
      <c r="O14" s="17">
        <f t="shared" ca="1" si="3"/>
        <v>5.5088569121907204E-2</v>
      </c>
      <c r="P14" s="17">
        <f t="shared" ca="1" si="3"/>
        <v>5.4200542005420051E-2</v>
      </c>
      <c r="Q14" s="17">
        <f t="shared" ca="1" si="3"/>
        <v>5.0738241412552641E-2</v>
      </c>
      <c r="R14" s="17">
        <f t="shared" ca="1" si="3"/>
        <v>4.2251317093526683E-2</v>
      </c>
      <c r="S14" s="17">
        <f t="shared" ca="1" si="3"/>
        <v>3.7713161346742456E-2</v>
      </c>
      <c r="T14" s="17">
        <f t="shared" ca="1" si="3"/>
        <v>3.4444830380919299E-2</v>
      </c>
      <c r="U14" s="17">
        <f t="shared" ca="1" si="3"/>
        <v>3.2647917979265709E-2</v>
      </c>
      <c r="V14" s="56"/>
      <c r="W14" s="56"/>
      <c r="X14" s="56"/>
    </row>
    <row r="15" spans="1:24" x14ac:dyDescent="0.25">
      <c r="A15" t="str">
        <f>IFERROR(INDEX('2019 Data (WP)'!$C$9:$C$73,MATCH($B15,'2019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3"/>
        <v>5.3199313557244422E-2</v>
      </c>
      <c r="H15" s="17">
        <f t="shared" ca="1" si="3"/>
        <v>5.3353460167087412E-2</v>
      </c>
      <c r="I15" s="17">
        <f t="shared" ca="1" si="3"/>
        <v>5.3084687955551886E-2</v>
      </c>
      <c r="J15" s="17">
        <f t="shared" ca="1" si="3"/>
        <v>5.6706037156552522E-2</v>
      </c>
      <c r="K15" s="17">
        <f t="shared" ref="K15:U24" ca="1" si="4">IFERROR(INDEX(Dividends,$D15,K$2)/INDEX(BookValue,$E15,K$2),"N/A")</f>
        <v>5.5542698449432999E-2</v>
      </c>
      <c r="L15" s="17">
        <f t="shared" ca="1" si="4"/>
        <v>5.6574122577265587E-2</v>
      </c>
      <c r="M15" s="17">
        <f t="shared" ca="1" si="4"/>
        <v>5.0644417751517706E-2</v>
      </c>
      <c r="N15" s="17">
        <f t="shared" ca="1" si="4"/>
        <v>5.1721791207295489E-2</v>
      </c>
      <c r="O15" s="17">
        <f t="shared" ca="1" si="4"/>
        <v>5.3082744521358631E-2</v>
      </c>
      <c r="P15" s="17">
        <f t="shared" ca="1" si="4"/>
        <v>5.3029202382681967E-2</v>
      </c>
      <c r="Q15" s="17">
        <f t="shared" ca="1" si="4"/>
        <v>5.1393697134087583E-2</v>
      </c>
      <c r="R15" s="17">
        <f t="shared" ca="1" si="4"/>
        <v>5.1007579295233307E-2</v>
      </c>
      <c r="S15" s="17">
        <f t="shared" ca="1" si="4"/>
        <v>5.1487624581663047E-2</v>
      </c>
      <c r="T15" s="17">
        <f t="shared" ca="1" si="4"/>
        <v>5.3390491036632896E-2</v>
      </c>
      <c r="U15" s="17">
        <f t="shared" ca="1" si="4"/>
        <v>5.5752660922453123E-2</v>
      </c>
      <c r="V15" s="56"/>
      <c r="W15" s="56"/>
      <c r="X15" s="56"/>
    </row>
    <row r="16" spans="1:24" x14ac:dyDescent="0.25">
      <c r="A16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3"/>
        <v>4.6435400163889647E-2</v>
      </c>
      <c r="H16" s="17">
        <f t="shared" ca="1" si="3"/>
        <v>4.9159925326695705E-2</v>
      </c>
      <c r="I16" s="17">
        <f t="shared" ca="1" si="3"/>
        <v>4.9371338292409979E-2</v>
      </c>
      <c r="J16" s="17">
        <f t="shared" ca="1" si="3"/>
        <v>4.9847687621157571E-2</v>
      </c>
      <c r="K16" s="17">
        <f t="shared" ca="1" si="4"/>
        <v>5.0185468034038831E-2</v>
      </c>
      <c r="L16" s="17">
        <f t="shared" ca="1" si="4"/>
        <v>4.9951539551181694E-2</v>
      </c>
      <c r="M16" s="17">
        <f t="shared" ca="1" si="4"/>
        <v>4.9588037839487335E-2</v>
      </c>
      <c r="N16" s="17">
        <f t="shared" ca="1" si="4"/>
        <v>5.1028544091851383E-2</v>
      </c>
      <c r="O16" s="17">
        <f t="shared" ca="1" si="4"/>
        <v>5.5831265508684863E-2</v>
      </c>
      <c r="P16" s="17">
        <f t="shared" ca="1" si="4"/>
        <v>5.7172073998326675E-2</v>
      </c>
      <c r="Q16" s="17">
        <f t="shared" ca="1" si="4"/>
        <v>5.692145795465417E-2</v>
      </c>
      <c r="R16" s="17">
        <f t="shared" ca="1" si="4"/>
        <v>5.8254344391785146E-2</v>
      </c>
      <c r="S16" s="17">
        <f t="shared" ca="1" si="4"/>
        <v>6.0172803949804565E-2</v>
      </c>
      <c r="T16" s="17">
        <f t="shared" ca="1" si="4"/>
        <v>6.271626297577855E-2</v>
      </c>
      <c r="U16" s="17">
        <f t="shared" ca="1" si="4"/>
        <v>6.3374848451449348E-2</v>
      </c>
      <c r="V16" s="56"/>
      <c r="W16" s="56"/>
      <c r="X16" s="56"/>
    </row>
    <row r="17" spans="1:24" x14ac:dyDescent="0.25">
      <c r="A17" t="str">
        <f>IFERROR(INDEX('2019 Data (WP)'!$C$9:$C$73,MATCH($B17,'2019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3"/>
        <v>8.3456973293768541E-2</v>
      </c>
      <c r="H17" s="17">
        <f t="shared" ca="1" si="3"/>
        <v>6.5862779516141348E-2</v>
      </c>
      <c r="I17" s="17">
        <f t="shared" ca="1" si="3"/>
        <v>8.9385474860335212E-2</v>
      </c>
      <c r="J17" s="17">
        <f t="shared" ca="1" si="3"/>
        <v>0.12394262596542847</v>
      </c>
      <c r="K17" s="17">
        <f t="shared" ca="1" si="4"/>
        <v>0.12820512820512819</v>
      </c>
      <c r="L17" s="17">
        <f t="shared" ca="1" si="4"/>
        <v>0.12299664554603057</v>
      </c>
      <c r="M17" s="17">
        <f t="shared" ca="1" si="4"/>
        <v>8.9614187340816887E-2</v>
      </c>
      <c r="N17" s="17">
        <f t="shared" ca="1" si="4"/>
        <v>8.2251511247646417E-2</v>
      </c>
      <c r="O17" s="17">
        <f t="shared" ca="1" si="4"/>
        <v>8.050089445438284E-2</v>
      </c>
      <c r="P17" s="17">
        <f t="shared" ca="1" si="4"/>
        <v>7.9717457114026238E-2</v>
      </c>
      <c r="Q17" s="17">
        <f t="shared" ca="1" si="4"/>
        <v>0.10358565737051793</v>
      </c>
      <c r="R17" s="17">
        <f t="shared" ca="1" si="4"/>
        <v>0.11282660332541568</v>
      </c>
      <c r="S17" s="17">
        <f t="shared" ca="1" si="4"/>
        <v>0.12402310567448181</v>
      </c>
      <c r="T17" s="17">
        <f t="shared" ca="1" si="4"/>
        <v>0.12123373150294171</v>
      </c>
      <c r="U17" s="17">
        <f t="shared" ca="1" si="4"/>
        <v>0.12094335819391251</v>
      </c>
      <c r="V17" s="56"/>
      <c r="W17" s="56"/>
      <c r="X17" s="56"/>
    </row>
    <row r="18" spans="1:24" x14ac:dyDescent="0.25">
      <c r="A18" t="str">
        <f>IFERROR(INDEX('2019 Data (WP)'!$C$9:$C$73,MATCH($B18,'2019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3"/>
        <v>N/A</v>
      </c>
      <c r="H18" s="17" t="str">
        <f t="shared" ca="1" si="3"/>
        <v>N/A</v>
      </c>
      <c r="I18" s="17" t="str">
        <f t="shared" ca="1" si="3"/>
        <v>N/A</v>
      </c>
      <c r="J18" s="17" t="str">
        <f t="shared" ca="1" si="3"/>
        <v>N/A</v>
      </c>
      <c r="K18" s="17" t="str">
        <f t="shared" ca="1" si="4"/>
        <v>N/A</v>
      </c>
      <c r="L18" s="17" t="str">
        <f t="shared" ca="1" si="4"/>
        <v>N/A</v>
      </c>
      <c r="M18" s="17" t="str">
        <f t="shared" ca="1" si="4"/>
        <v>N/A</v>
      </c>
      <c r="N18" s="17" t="str">
        <f t="shared" ca="1" si="4"/>
        <v>N/A</v>
      </c>
      <c r="O18" s="17" t="str">
        <f t="shared" ca="1" si="4"/>
        <v>N/A</v>
      </c>
      <c r="P18" s="17" t="str">
        <f t="shared" ca="1" si="4"/>
        <v>N/A</v>
      </c>
      <c r="Q18" s="17" t="str">
        <f t="shared" ca="1" si="4"/>
        <v>N/A</v>
      </c>
      <c r="R18" s="17" t="str">
        <f t="shared" ca="1" si="4"/>
        <v>N/A</v>
      </c>
      <c r="S18" s="17" t="str">
        <f t="shared" ca="1" si="4"/>
        <v>N/A</v>
      </c>
      <c r="T18" s="17" t="str">
        <f t="shared" ca="1" si="4"/>
        <v>N/A</v>
      </c>
      <c r="U18" s="17" t="str">
        <f t="shared" ca="1" si="4"/>
        <v>N/A</v>
      </c>
      <c r="V18" s="56"/>
      <c r="W18" s="56"/>
      <c r="X18" s="56"/>
    </row>
    <row r="19" spans="1:24" x14ac:dyDescent="0.25">
      <c r="A19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3"/>
        <v>4.2334669338677348E-2</v>
      </c>
      <c r="H19" s="17">
        <f t="shared" ca="1" si="3"/>
        <v>4.5275303052431722E-2</v>
      </c>
      <c r="I19" s="17">
        <f t="shared" ca="1" si="3"/>
        <v>4.3912301762810385E-2</v>
      </c>
      <c r="J19" s="17">
        <f t="shared" ca="1" si="3"/>
        <v>4.2348670722280109E-2</v>
      </c>
      <c r="K19" s="17">
        <f t="shared" ca="1" si="4"/>
        <v>4.3492562406344797E-2</v>
      </c>
      <c r="L19" s="17">
        <f t="shared" ca="1" si="4"/>
        <v>4.7755084637359835E-2</v>
      </c>
      <c r="M19" s="17">
        <f t="shared" ca="1" si="4"/>
        <v>5.1831341688526184E-2</v>
      </c>
      <c r="N19" s="17">
        <f t="shared" ca="1" si="4"/>
        <v>5.2536043978840367E-2</v>
      </c>
      <c r="O19" s="17">
        <f t="shared" ca="1" si="4"/>
        <v>5.3859964093357263E-2</v>
      </c>
      <c r="P19" s="17">
        <f t="shared" ca="1" si="4"/>
        <v>5.4237692215997148E-2</v>
      </c>
      <c r="Q19" s="17">
        <f t="shared" ca="1" si="4"/>
        <v>5.4938115685779235E-2</v>
      </c>
      <c r="R19" s="17">
        <f t="shared" ca="1" si="4"/>
        <v>5.5954859944918382E-2</v>
      </c>
      <c r="S19" s="17">
        <f t="shared" ca="1" si="4"/>
        <v>6.7149276085871193E-2</v>
      </c>
      <c r="T19" s="17">
        <f t="shared" ca="1" si="4"/>
        <v>6.657031117156946E-2</v>
      </c>
      <c r="U19" s="17">
        <f t="shared" ca="1" si="4"/>
        <v>6.9494584837545129E-2</v>
      </c>
      <c r="V19" s="57"/>
      <c r="W19" s="57"/>
      <c r="X19" s="57"/>
    </row>
    <row r="20" spans="1:24" x14ac:dyDescent="0.25">
      <c r="A20" t="str">
        <f>IFERROR(INDEX('2019 Data (WP)'!$C$9:$C$73,MATCH($B20,'2019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3"/>
        <v>N/A</v>
      </c>
      <c r="H20" s="17" t="str">
        <f t="shared" ca="1" si="3"/>
        <v>N/A</v>
      </c>
      <c r="I20" s="17" t="str">
        <f t="shared" ca="1" si="3"/>
        <v>N/A</v>
      </c>
      <c r="J20" s="17" t="str">
        <f t="shared" ca="1" si="3"/>
        <v>N/A</v>
      </c>
      <c r="K20" s="17" t="str">
        <f t="shared" ca="1" si="4"/>
        <v>N/A</v>
      </c>
      <c r="L20" s="17" t="str">
        <f t="shared" ca="1" si="4"/>
        <v>N/A</v>
      </c>
      <c r="M20" s="17" t="str">
        <f t="shared" ca="1" si="4"/>
        <v>N/A</v>
      </c>
      <c r="N20" s="17" t="str">
        <f t="shared" ca="1" si="4"/>
        <v>N/A</v>
      </c>
      <c r="O20" s="17" t="str">
        <f t="shared" ca="1" si="4"/>
        <v>N/A</v>
      </c>
      <c r="P20" s="17" t="str">
        <f t="shared" ca="1" si="4"/>
        <v>N/A</v>
      </c>
      <c r="Q20" s="17" t="str">
        <f t="shared" ca="1" si="4"/>
        <v>N/A</v>
      </c>
      <c r="R20" s="17" t="str">
        <f t="shared" ca="1" si="4"/>
        <v>N/A</v>
      </c>
      <c r="S20" s="17" t="str">
        <f t="shared" ca="1" si="4"/>
        <v>N/A</v>
      </c>
      <c r="T20" s="17" t="str">
        <f t="shared" ca="1" si="4"/>
        <v>N/A</v>
      </c>
      <c r="U20" s="17" t="str">
        <f t="shared" ca="1" si="4"/>
        <v>N/A</v>
      </c>
      <c r="V20" s="56"/>
      <c r="W20" s="56"/>
      <c r="X20" s="56"/>
    </row>
    <row r="21" spans="1:24" x14ac:dyDescent="0.25">
      <c r="A21" t="str">
        <f>IFERROR(INDEX('2019 Data (WP)'!$C$9:$C$73,MATCH($B21,'2019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ref="G21:H79" ca="1" si="5">IFERROR(INDEX(Dividends,$D21,G$2)/INDEX(BookValue,$E21,G$2),"N/A")</f>
        <v>8.5694758424898793E-2</v>
      </c>
      <c r="H21" s="17">
        <f t="shared" ca="1" si="5"/>
        <v>8.6553148158624207E-2</v>
      </c>
      <c r="I21" s="17">
        <f t="shared" ref="I21:J79" ca="1" si="6">IFERROR(INDEX(Dividends,$D21,I$2)/INDEX(BookValue,$E21,I$2),"N/A")</f>
        <v>8.5220500595947546E-2</v>
      </c>
      <c r="J21" s="17">
        <f t="shared" ca="1" si="6"/>
        <v>8.4348046676813795E-2</v>
      </c>
      <c r="K21" s="17">
        <f t="shared" ca="1" si="4"/>
        <v>8.1407563025210086E-2</v>
      </c>
      <c r="L21" s="17">
        <f t="shared" ca="1" si="4"/>
        <v>8.1644144144144143E-2</v>
      </c>
      <c r="M21" s="17">
        <f t="shared" ca="1" si="4"/>
        <v>8.0983803239352128E-2</v>
      </c>
      <c r="N21" s="17">
        <f t="shared" ca="1" si="4"/>
        <v>7.8582434514637908E-2</v>
      </c>
      <c r="O21" s="17">
        <f t="shared" ca="1" si="4"/>
        <v>7.9378204068132965E-2</v>
      </c>
      <c r="P21" s="17">
        <f t="shared" ca="1" si="4"/>
        <v>7.0487538810103209E-2</v>
      </c>
      <c r="Q21" s="17">
        <f t="shared" ca="1" si="4"/>
        <v>5.8981233243967833E-2</v>
      </c>
      <c r="R21" s="17">
        <f t="shared" ca="1" si="4"/>
        <v>4.3790506218251889E-2</v>
      </c>
      <c r="S21" s="17">
        <f t="shared" ca="1" si="4"/>
        <v>3.3094318808604521E-2</v>
      </c>
      <c r="T21" s="17">
        <f t="shared" ca="1" si="4"/>
        <v>2.1139414438220063E-2</v>
      </c>
      <c r="U21" s="17">
        <f t="shared" ca="1" si="4"/>
        <v>0</v>
      </c>
      <c r="V21" s="56"/>
      <c r="W21" s="56"/>
      <c r="X21" s="56"/>
    </row>
    <row r="22" spans="1:24" x14ac:dyDescent="0.25">
      <c r="A22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 t="str">
        <f t="shared" ca="1" si="5"/>
        <v>N/A</v>
      </c>
      <c r="H22" s="17" t="str">
        <f t="shared" ca="1" si="5"/>
        <v>N/A</v>
      </c>
      <c r="I22" s="17">
        <f t="shared" ca="1" si="6"/>
        <v>5.0815506925661828E-2</v>
      </c>
      <c r="J22" s="17">
        <f t="shared" ca="1" si="6"/>
        <v>4.8485844598759091E-2</v>
      </c>
      <c r="K22" s="17">
        <f t="shared" ca="1" si="4"/>
        <v>5.3376542915693659E-2</v>
      </c>
      <c r="L22" s="17">
        <f t="shared" ca="1" si="4"/>
        <v>5.2473763118440778E-2</v>
      </c>
      <c r="M22" s="17">
        <f t="shared" ca="1" si="4"/>
        <v>5.3640660682989005E-2</v>
      </c>
      <c r="N22" s="17">
        <f t="shared" ca="1" si="4"/>
        <v>5.4702763047725374E-2</v>
      </c>
      <c r="O22" s="17">
        <f t="shared" ca="1" si="4"/>
        <v>4.5832139788026346E-2</v>
      </c>
      <c r="P22" s="17">
        <f t="shared" ca="1" si="4"/>
        <v>6.9645106319922948E-2</v>
      </c>
      <c r="Q22" s="17">
        <f t="shared" ca="1" si="4"/>
        <v>7.0525105404369487E-2</v>
      </c>
      <c r="R22" s="17">
        <f t="shared" ca="1" si="4"/>
        <v>7.1033938437253363E-2</v>
      </c>
      <c r="S22" s="17">
        <f t="shared" ca="1" si="4"/>
        <v>7.1936565029019864E-2</v>
      </c>
      <c r="T22" s="17">
        <f t="shared" ca="1" si="4"/>
        <v>7.2803347280334732E-2</v>
      </c>
      <c r="U22" s="17">
        <f t="shared" ca="1" si="4"/>
        <v>7.3719606828763579E-2</v>
      </c>
      <c r="V22" s="56"/>
      <c r="W22" s="56"/>
      <c r="X22" s="56"/>
    </row>
    <row r="23" spans="1:24" x14ac:dyDescent="0.25">
      <c r="A23" t="str">
        <f>IFERROR(INDEX('2019 Data (WP)'!$C$9:$C$73,MATCH($B23,'2019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5"/>
        <v>5.5575735561205958E-2</v>
      </c>
      <c r="H23" s="17">
        <f t="shared" ca="1" si="5"/>
        <v>5.4632705795496492E-2</v>
      </c>
      <c r="I23" s="17">
        <f t="shared" ca="1" si="6"/>
        <v>5.4888112693355848E-2</v>
      </c>
      <c r="J23" s="17">
        <f t="shared" ca="1" si="6"/>
        <v>5.5494118829797927E-2</v>
      </c>
      <c r="K23" s="17">
        <f t="shared" ca="1" si="4"/>
        <v>5.7168454958510216E-2</v>
      </c>
      <c r="L23" s="17">
        <f t="shared" ca="1" si="4"/>
        <v>5.8366632245319447E-2</v>
      </c>
      <c r="M23" s="17">
        <f t="shared" ca="1" si="4"/>
        <v>5.8686539357242669E-2</v>
      </c>
      <c r="N23" s="17">
        <f t="shared" ca="1" si="4"/>
        <v>5.8837598660607504E-2</v>
      </c>
      <c r="O23" s="17">
        <f t="shared" ca="1" si="4"/>
        <v>5.9714751024033945E-2</v>
      </c>
      <c r="P23" s="17">
        <f t="shared" ca="1" si="4"/>
        <v>6.1465963222865336E-2</v>
      </c>
      <c r="Q23" s="17">
        <f t="shared" ca="1" si="4"/>
        <v>6.2747165831795404E-2</v>
      </c>
      <c r="R23" s="17">
        <f t="shared" ca="1" si="4"/>
        <v>6.4733795978824366E-2</v>
      </c>
      <c r="S23" s="17">
        <f t="shared" ca="1" si="4"/>
        <v>6.6045723962743441E-2</v>
      </c>
      <c r="T23" s="17">
        <f t="shared" ca="1" si="4"/>
        <v>7.1204959793751146E-2</v>
      </c>
      <c r="U23" s="17">
        <f t="shared" ca="1" si="4"/>
        <v>7.3981150889382091E-2</v>
      </c>
      <c r="V23" s="56"/>
      <c r="W23" s="56"/>
      <c r="X23" s="56"/>
    </row>
    <row r="24" spans="1:24" x14ac:dyDescent="0.25">
      <c r="A24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5"/>
        <v>3.2003012048192774E-2</v>
      </c>
      <c r="H24" s="17">
        <f t="shared" ca="1" si="5"/>
        <v>3.125E-2</v>
      </c>
      <c r="I24" s="17">
        <f t="shared" ca="1" si="6"/>
        <v>3.2875652678398766E-2</v>
      </c>
      <c r="J24" s="17">
        <f t="shared" ca="1" si="6"/>
        <v>3.1268912648779505E-2</v>
      </c>
      <c r="K24" s="17">
        <f t="shared" ca="1" si="4"/>
        <v>3.0646644192460926E-2</v>
      </c>
      <c r="L24" s="17">
        <f t="shared" ca="1" si="4"/>
        <v>3.0577922739781875E-2</v>
      </c>
      <c r="M24" s="17">
        <f t="shared" ca="1" si="4"/>
        <v>3.1325049597995196E-2</v>
      </c>
      <c r="N24" s="17">
        <f t="shared" ca="1" si="4"/>
        <v>3.1769564756962833E-2</v>
      </c>
      <c r="O24" s="17">
        <f t="shared" ca="1" si="4"/>
        <v>3.2626427406199018E-2</v>
      </c>
      <c r="P24" s="17">
        <f t="shared" ca="1" si="4"/>
        <v>3.3955857385398976E-2</v>
      </c>
      <c r="Q24" s="17">
        <f t="shared" ca="1" si="4"/>
        <v>3.4534361689881436E-2</v>
      </c>
      <c r="R24" s="17">
        <f t="shared" ca="1" si="4"/>
        <v>3.2813781788351114E-2</v>
      </c>
      <c r="S24" s="17">
        <f t="shared" ca="1" si="4"/>
        <v>3.8857006217120994E-2</v>
      </c>
      <c r="T24" s="17">
        <f t="shared" ca="1" si="4"/>
        <v>2.3737066342057214E-2</v>
      </c>
      <c r="U24" s="17">
        <f t="shared" ca="1" si="4"/>
        <v>3.2051282051282048E-2</v>
      </c>
      <c r="V24" s="56"/>
      <c r="W24" s="56"/>
      <c r="X24" s="56"/>
    </row>
    <row r="25" spans="1:24" x14ac:dyDescent="0.25">
      <c r="A25" t="str">
        <f>IFERROR(INDEX('2019 Data (WP)'!$C$9:$C$73,MATCH($B25,'2019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5"/>
        <v>0.1171795394334624</v>
      </c>
      <c r="H25" s="17">
        <f t="shared" ca="1" si="5"/>
        <v>0.10387478418386119</v>
      </c>
      <c r="I25" s="17">
        <f t="shared" ca="1" si="6"/>
        <v>0.11310531662715881</v>
      </c>
      <c r="J25" s="17">
        <f t="shared" ca="1" si="6"/>
        <v>0.11412777798668823</v>
      </c>
      <c r="K25" s="17">
        <f t="shared" ref="K25:U35" ca="1" si="7">IFERROR(INDEX(Dividends,$D25,K$2)/INDEX(BookValue,$E25,K$2),"N/A")</f>
        <v>0.12035763411279229</v>
      </c>
      <c r="L25" s="17">
        <f t="shared" ca="1" si="7"/>
        <v>0.12195121951219512</v>
      </c>
      <c r="M25" s="17">
        <f t="shared" ca="1" si="7"/>
        <v>0.12156823016918245</v>
      </c>
      <c r="N25" s="17">
        <f t="shared" ca="1" si="7"/>
        <v>0.11238199890115379</v>
      </c>
      <c r="O25" s="17">
        <f t="shared" ca="1" si="7"/>
        <v>0.11502398604448319</v>
      </c>
      <c r="P25" s="17">
        <f t="shared" ca="1" si="7"/>
        <v>9.8053854959932296E-2</v>
      </c>
      <c r="Q25" s="17">
        <f t="shared" ca="1" si="7"/>
        <v>8.8594113090627424E-2</v>
      </c>
      <c r="R25" s="17">
        <f t="shared" ca="1" si="7"/>
        <v>9.3783494105037515E-2</v>
      </c>
      <c r="S25" s="17">
        <f t="shared" ca="1" si="7"/>
        <v>9.1440476879449048E-2</v>
      </c>
      <c r="T25" s="17">
        <f t="shared" ca="1" si="7"/>
        <v>8.9532102777948125E-2</v>
      </c>
      <c r="U25" s="17">
        <f t="shared" ca="1" si="7"/>
        <v>7.4594594594594582E-2</v>
      </c>
      <c r="V25" s="56"/>
      <c r="W25" s="56"/>
      <c r="X25" s="56"/>
    </row>
    <row r="26" spans="1:24" x14ac:dyDescent="0.25">
      <c r="A26" t="str">
        <f>IFERROR(INDEX('2019 Data (WP)'!$C$9:$C$73,MATCH($B26,'2019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ca="1" si="5"/>
        <v>6.4252518636349454E-2</v>
      </c>
      <c r="H26" s="17">
        <f t="shared" ca="1" si="5"/>
        <v>6.339953232552778E-2</v>
      </c>
      <c r="I26" s="17">
        <f t="shared" ca="1" si="6"/>
        <v>6.379953794206504E-2</v>
      </c>
      <c r="J26" s="17">
        <f t="shared" ca="1" si="6"/>
        <v>6.3366336633663367E-2</v>
      </c>
      <c r="K26" s="17">
        <f t="shared" ca="1" si="7"/>
        <v>6.0933112965212366E-2</v>
      </c>
      <c r="L26" s="17">
        <f t="shared" ca="1" si="7"/>
        <v>5.8105039179982401E-2</v>
      </c>
      <c r="M26" s="17">
        <f t="shared" ca="1" si="7"/>
        <v>5.7175650399591903E-2</v>
      </c>
      <c r="N26" s="17">
        <f t="shared" ca="1" si="7"/>
        <v>5.7904267924612667E-2</v>
      </c>
      <c r="O26" s="17">
        <f t="shared" ca="1" si="7"/>
        <v>5.6569812291077388E-2</v>
      </c>
      <c r="P26" s="17">
        <f t="shared" ca="1" si="7"/>
        <v>5.6021056190085239E-2</v>
      </c>
      <c r="Q26" s="17">
        <f t="shared" ca="1" si="7"/>
        <v>5.4946439823566486E-2</v>
      </c>
      <c r="R26" s="17">
        <f t="shared" ca="1" si="7"/>
        <v>5.5854146906944881E-2</v>
      </c>
      <c r="S26" s="17">
        <f t="shared" ca="1" si="7"/>
        <v>5.7647858599592122E-2</v>
      </c>
      <c r="T26" s="17">
        <f t="shared" ca="1" si="7"/>
        <v>5.9123741528850714E-2</v>
      </c>
      <c r="U26" s="17">
        <f t="shared" ca="1" si="7"/>
        <v>6.2842605772434057E-2</v>
      </c>
      <c r="V26" s="56"/>
      <c r="W26" s="56"/>
      <c r="X26" s="56"/>
    </row>
    <row r="27" spans="1:24" x14ac:dyDescent="0.25">
      <c r="A27" t="str">
        <f>IFERROR(INDEX('2019 Data (WP)'!$C$9:$C$73,MATCH($B27,'2019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5"/>
        <v>6.3857173902141393E-2</v>
      </c>
      <c r="H27" s="17">
        <f t="shared" ca="1" si="5"/>
        <v>6.1191810591330206E-2</v>
      </c>
      <c r="I27" s="17">
        <f t="shared" ca="1" si="6"/>
        <v>6.0393887607638835E-2</v>
      </c>
      <c r="J27" s="17">
        <f t="shared" ca="1" si="6"/>
        <v>5.8530531470642494E-2</v>
      </c>
      <c r="K27" s="17">
        <f t="shared" ca="1" si="7"/>
        <v>5.7319299203329975E-2</v>
      </c>
      <c r="L27" s="17">
        <f t="shared" ca="1" si="7"/>
        <v>5.6110697400550719E-2</v>
      </c>
      <c r="M27" s="17">
        <f t="shared" ca="1" si="7"/>
        <v>5.4484130415982011E-2</v>
      </c>
      <c r="N27" s="17">
        <f t="shared" ca="1" si="7"/>
        <v>5.2783519242923765E-2</v>
      </c>
      <c r="O27" s="17">
        <f t="shared" ca="1" si="7"/>
        <v>5.220177796154641E-2</v>
      </c>
      <c r="P27" s="17">
        <f t="shared" ca="1" si="7"/>
        <v>5.8075870160344156E-2</v>
      </c>
      <c r="Q27" s="17">
        <f t="shared" ca="1" si="7"/>
        <v>5.7232766250368772E-2</v>
      </c>
      <c r="R27" s="17">
        <f t="shared" ca="1" si="7"/>
        <v>5.6567439621278984E-2</v>
      </c>
      <c r="S27" s="17">
        <f t="shared" ca="1" si="7"/>
        <v>5.4539945460054542E-2</v>
      </c>
      <c r="T27" s="17">
        <f t="shared" ca="1" si="7"/>
        <v>5.1191491894680453E-2</v>
      </c>
      <c r="U27" s="17">
        <f t="shared" ca="1" si="7"/>
        <v>0</v>
      </c>
      <c r="V27" s="56"/>
      <c r="W27" s="56"/>
      <c r="X27" s="56"/>
    </row>
    <row r="28" spans="1:24" x14ac:dyDescent="0.25">
      <c r="A28" t="str">
        <f>IFERROR(INDEX('2019 Data (WP)'!$C$9:$C$73,MATCH($B28,'2019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5"/>
        <v>6.9453809844908967E-2</v>
      </c>
      <c r="H28" s="17">
        <f t="shared" ca="1" si="5"/>
        <v>6.7346938775510207E-2</v>
      </c>
      <c r="I28" s="17">
        <f t="shared" ca="1" si="6"/>
        <v>7.5636273013301766E-2</v>
      </c>
      <c r="J28" s="17">
        <f t="shared" ca="1" si="6"/>
        <v>6.2337734848273367E-2</v>
      </c>
      <c r="K28" s="17">
        <f t="shared" ca="1" si="7"/>
        <v>5.3858062413427846E-2</v>
      </c>
      <c r="L28" s="17">
        <f t="shared" ca="1" si="7"/>
        <v>4.9668969075119661E-2</v>
      </c>
      <c r="M28" s="17">
        <f t="shared" ca="1" si="7"/>
        <v>4.4085733820862685E-2</v>
      </c>
      <c r="N28" s="17">
        <f t="shared" ca="1" si="7"/>
        <v>4.4849518064389228E-2</v>
      </c>
      <c r="O28" s="17">
        <f t="shared" ca="1" si="7"/>
        <v>4.5355625410204145E-2</v>
      </c>
      <c r="P28" s="17">
        <f t="shared" ca="1" si="7"/>
        <v>4.1638313729302351E-2</v>
      </c>
      <c r="Q28" s="17">
        <f t="shared" ca="1" si="7"/>
        <v>3.899266383083657E-2</v>
      </c>
      <c r="R28" s="17">
        <f t="shared" ca="1" si="7"/>
        <v>4.1218341334216195E-2</v>
      </c>
      <c r="S28" s="17">
        <f t="shared" ca="1" si="7"/>
        <v>4.193769257103732E-2</v>
      </c>
      <c r="T28" s="17">
        <f t="shared" ca="1" si="7"/>
        <v>4.5337037465756069E-2</v>
      </c>
      <c r="U28" s="17">
        <f t="shared" ca="1" si="7"/>
        <v>4.6490004649000466E-2</v>
      </c>
      <c r="V28" s="56"/>
      <c r="W28" s="56"/>
      <c r="X28" s="56"/>
    </row>
    <row r="29" spans="1:24" x14ac:dyDescent="0.25">
      <c r="A29" t="str">
        <f>IFERROR(INDEX('2019 Data (WP)'!$C$9:$C$73,MATCH($B29,'2019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 t="str">
        <f t="shared" ca="1" si="5"/>
        <v>N/A</v>
      </c>
      <c r="H29" s="17" t="str">
        <f t="shared" ca="1" si="5"/>
        <v>N/A</v>
      </c>
      <c r="I29" s="17">
        <f t="shared" ca="1" si="6"/>
        <v>4.9449589376201294E-2</v>
      </c>
      <c r="J29" s="17">
        <f t="shared" ca="1" si="6"/>
        <v>4.67256511388267E-2</v>
      </c>
      <c r="K29" s="17">
        <f t="shared" ca="1" si="7"/>
        <v>4.6196779424520121E-2</v>
      </c>
      <c r="L29" s="17">
        <f t="shared" ca="1" si="7"/>
        <v>4.6349711557589018E-2</v>
      </c>
      <c r="M29" s="17">
        <f t="shared" ca="1" si="7"/>
        <v>4.5307310672844318E-2</v>
      </c>
      <c r="N29" s="17">
        <f t="shared" ca="1" si="7"/>
        <v>4.4581911262798632E-2</v>
      </c>
      <c r="O29" s="17">
        <f t="shared" ca="1" si="7"/>
        <v>4.7162930908737292E-2</v>
      </c>
      <c r="P29" s="17">
        <f t="shared" ca="1" si="7"/>
        <v>3.468937243771681E-2</v>
      </c>
      <c r="Q29" s="17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56"/>
      <c r="W29" s="56"/>
      <c r="X29" s="56"/>
    </row>
    <row r="30" spans="1:24" x14ac:dyDescent="0.25">
      <c r="A30" t="str">
        <f>IFERROR(INDEX('2019 Data (WP)'!$C$9:$C$73,MATCH($B30,'2019 Data (WP)'!$D$9:$D$73,0)),"")</f>
        <v/>
      </c>
      <c r="B30" t="s">
        <v>16</v>
      </c>
      <c r="C30" t="s">
        <v>102</v>
      </c>
      <c r="D30" s="35" t="e">
        <f t="shared" ca="1" si="1"/>
        <v>#N/A</v>
      </c>
      <c r="E30" s="35">
        <f t="shared" ca="1" si="2"/>
        <v>29</v>
      </c>
      <c r="F30" s="35"/>
      <c r="G30" s="17" t="str">
        <f t="shared" ca="1" si="5"/>
        <v>N/A</v>
      </c>
      <c r="H30" s="17" t="str">
        <f t="shared" ca="1" si="5"/>
        <v>N/A</v>
      </c>
      <c r="I30" s="17" t="str">
        <f t="shared" ca="1" si="6"/>
        <v>N/A</v>
      </c>
      <c r="J30" s="17" t="str">
        <f t="shared" ca="1" si="6"/>
        <v>N/A</v>
      </c>
      <c r="K30" s="17" t="str">
        <f t="shared" ca="1" si="7"/>
        <v>N/A</v>
      </c>
      <c r="L30" s="17" t="str">
        <f t="shared" ca="1" si="7"/>
        <v>N/A</v>
      </c>
      <c r="M30" s="17" t="str">
        <f t="shared" ca="1" si="7"/>
        <v>N/A</v>
      </c>
      <c r="N30" s="17" t="str">
        <f t="shared" ca="1" si="7"/>
        <v>N/A</v>
      </c>
      <c r="O30" s="17" t="str">
        <f t="shared" ca="1" si="7"/>
        <v>N/A</v>
      </c>
      <c r="P30" s="17" t="str">
        <f t="shared" ca="1" si="7"/>
        <v>N/A</v>
      </c>
      <c r="Q30" s="17" t="str">
        <f t="shared" ca="1" si="7"/>
        <v>N/A</v>
      </c>
      <c r="R30" s="17" t="str">
        <f t="shared" ca="1" si="7"/>
        <v>N/A</v>
      </c>
      <c r="S30" s="17" t="str">
        <f t="shared" ca="1" si="7"/>
        <v>N/A</v>
      </c>
      <c r="T30" s="17" t="str">
        <f t="shared" ca="1" si="7"/>
        <v>N/A</v>
      </c>
      <c r="U30" s="17" t="str">
        <f t="shared" ca="1" si="7"/>
        <v>N/A</v>
      </c>
      <c r="V30" s="56"/>
      <c r="W30" s="56"/>
      <c r="X30" s="56"/>
    </row>
    <row r="31" spans="1:24" x14ac:dyDescent="0.25">
      <c r="A31" t="str">
        <f>IFERROR(INDEX('2019 Data (WP)'!$C$9:$C$73,MATCH($B31,'2019 Data (WP)'!$D$9:$D$73,0)),"")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30</v>
      </c>
      <c r="F31" s="35"/>
      <c r="G31" s="17">
        <f t="shared" ca="1" si="5"/>
        <v>6.8543361923612642E-2</v>
      </c>
      <c r="H31" s="17">
        <f t="shared" ca="1" si="5"/>
        <v>7.1293608898065727E-2</v>
      </c>
      <c r="I31" s="17">
        <f t="shared" ca="1" si="6"/>
        <v>7.652679506637311E-2</v>
      </c>
      <c r="J31" s="17">
        <f t="shared" ca="1" si="6"/>
        <v>7.904959797633028E-2</v>
      </c>
      <c r="K31" s="17">
        <f t="shared" ca="1" si="7"/>
        <v>7.580291242768801E-2</v>
      </c>
      <c r="L31" s="17">
        <f t="shared" ca="1" si="7"/>
        <v>6.4365689618623656E-2</v>
      </c>
      <c r="M31" s="17">
        <f t="shared" ca="1" si="7"/>
        <v>5.9461976573414045E-2</v>
      </c>
      <c r="N31" s="17">
        <f t="shared" ca="1" si="7"/>
        <v>6.1479204473908367E-2</v>
      </c>
      <c r="O31" s="17">
        <f t="shared" ca="1" si="7"/>
        <v>6.4185596906718212E-2</v>
      </c>
      <c r="P31" s="17">
        <f t="shared" ca="1" si="7"/>
        <v>6.5336324634943127E-2</v>
      </c>
      <c r="Q31" s="17">
        <f t="shared" ca="1" si="7"/>
        <v>6.8163170849725452E-2</v>
      </c>
      <c r="R31" s="17">
        <f t="shared" ca="1" si="7"/>
        <v>6.5868920847513446E-2</v>
      </c>
      <c r="S31" s="17">
        <f t="shared" ca="1" si="7"/>
        <v>7.1308026906895486E-2</v>
      </c>
      <c r="T31" s="17">
        <f t="shared" ca="1" si="7"/>
        <v>6.3368865746426292E-2</v>
      </c>
      <c r="U31" s="17">
        <f t="shared" ca="1" si="7"/>
        <v>5.3399258343634119E-2</v>
      </c>
      <c r="V31" s="56"/>
      <c r="W31" s="56"/>
      <c r="X31" s="56"/>
    </row>
    <row r="32" spans="1:24" x14ac:dyDescent="0.25">
      <c r="A32" t="str">
        <f>IFERROR(INDEX('2019 Data (WP)'!$C$9:$C$73,MATCH($B32,'2019 Data (WP)'!$D$9:$D$73,0)),"")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31</v>
      </c>
      <c r="F32" s="35"/>
      <c r="G32" s="17">
        <f t="shared" ca="1" si="5"/>
        <v>5.5356402565415665E-2</v>
      </c>
      <c r="H32" s="17">
        <f t="shared" ca="1" si="5"/>
        <v>5.5893645362655738E-2</v>
      </c>
      <c r="I32" s="17">
        <f t="shared" ca="1" si="6"/>
        <v>5.5725675191039749E-2</v>
      </c>
      <c r="J32" s="17">
        <f t="shared" ca="1" si="6"/>
        <v>5.4308989566957268E-2</v>
      </c>
      <c r="K32" s="17">
        <f t="shared" ca="1" si="7"/>
        <v>5.2658048102239452E-2</v>
      </c>
      <c r="L32" s="17">
        <f t="shared" ca="1" si="7"/>
        <v>5.1168918711891408E-2</v>
      </c>
      <c r="M32" s="17">
        <f t="shared" ca="1" si="7"/>
        <v>4.988244265107708E-2</v>
      </c>
      <c r="N32" s="17">
        <f t="shared" ca="1" si="7"/>
        <v>4.8218854556189725E-2</v>
      </c>
      <c r="O32" s="17">
        <f t="shared" ca="1" si="7"/>
        <v>4.4879640962872301E-2</v>
      </c>
      <c r="P32" s="17">
        <f t="shared" ca="1" si="7"/>
        <v>4.8565121412803537E-2</v>
      </c>
      <c r="Q32" s="17">
        <f t="shared" ca="1" si="7"/>
        <v>4.7455900736145189E-2</v>
      </c>
      <c r="R32" s="17">
        <f t="shared" ca="1" si="7"/>
        <v>4.6630344082854755E-2</v>
      </c>
      <c r="S32" s="17">
        <f t="shared" ca="1" si="7"/>
        <v>4.2565266742338244E-2</v>
      </c>
      <c r="T32" s="17">
        <f t="shared" ca="1" si="7"/>
        <v>4.1550503967402959E-2</v>
      </c>
      <c r="U32" s="17">
        <f t="shared" ca="1" si="7"/>
        <v>3.9960315273108081E-2</v>
      </c>
      <c r="V32" s="56"/>
      <c r="W32" s="56"/>
      <c r="X32" s="56"/>
    </row>
    <row r="33" spans="1:24" x14ac:dyDescent="0.25">
      <c r="A33" t="str">
        <f>IFERROR(INDEX('2019 Data (WP)'!$C$9:$C$73,MATCH($B33,'2019 Data (WP)'!$D$9:$D$73,0)),"")</f>
        <v>Electric Util. (Central)</v>
      </c>
      <c r="B33" t="s">
        <v>447</v>
      </c>
      <c r="C33" t="s">
        <v>448</v>
      </c>
      <c r="D33" s="35" t="e">
        <f t="shared" ca="1" si="1"/>
        <v>#N/A</v>
      </c>
      <c r="E33" s="35" t="e">
        <f t="shared" ca="1" si="2"/>
        <v>#N/A</v>
      </c>
      <c r="F33" s="35"/>
      <c r="G33" s="17" t="str">
        <f t="shared" ca="1" si="5"/>
        <v>N/A</v>
      </c>
      <c r="H33" s="17" t="str">
        <f t="shared" ca="1" si="5"/>
        <v>N/A</v>
      </c>
      <c r="I33" s="17" t="str">
        <f t="shared" ca="1" si="6"/>
        <v>N/A</v>
      </c>
      <c r="J33" s="17" t="str">
        <f t="shared" ca="1" si="6"/>
        <v>N/A</v>
      </c>
      <c r="K33" s="17" t="s">
        <v>106</v>
      </c>
      <c r="L33" s="17" t="s">
        <v>106</v>
      </c>
      <c r="M33" s="17" t="s">
        <v>106</v>
      </c>
      <c r="N33" s="17" t="s">
        <v>106</v>
      </c>
      <c r="O33" s="17" t="s">
        <v>106</v>
      </c>
      <c r="P33" s="17" t="s">
        <v>106</v>
      </c>
      <c r="Q33" s="17" t="s">
        <v>106</v>
      </c>
      <c r="R33" s="17" t="s">
        <v>106</v>
      </c>
      <c r="S33" s="17" t="s">
        <v>106</v>
      </c>
      <c r="T33" s="17" t="s">
        <v>106</v>
      </c>
      <c r="U33" s="17" t="s">
        <v>106</v>
      </c>
      <c r="V33" s="56"/>
      <c r="W33" s="56"/>
      <c r="X33" s="56"/>
    </row>
    <row r="34" spans="1:24" x14ac:dyDescent="0.25">
      <c r="A34" t="str">
        <f>IFERROR(INDEX('2019 Data (WP)'!$C$9:$C$73,MATCH($B34,'2019 Data (WP)'!$D$9:$D$73,0)),"")</f>
        <v>Electric Utility (East)</v>
      </c>
      <c r="B34" t="s">
        <v>18</v>
      </c>
      <c r="C34" t="s">
        <v>69</v>
      </c>
      <c r="D34" s="35">
        <f t="shared" ca="1" si="1"/>
        <v>31</v>
      </c>
      <c r="E34" s="35">
        <f t="shared" ca="1" si="2"/>
        <v>32</v>
      </c>
      <c r="F34" s="35"/>
      <c r="G34" s="17">
        <f t="shared" ca="1" si="5"/>
        <v>4.5827592404001673E-2</v>
      </c>
      <c r="H34" s="17">
        <f t="shared" ca="1" si="5"/>
        <v>4.3782837127845878E-2</v>
      </c>
      <c r="I34" s="17">
        <f t="shared" ca="1" si="6"/>
        <v>4.343036978756884E-2</v>
      </c>
      <c r="J34" s="17">
        <f t="shared" ca="1" si="6"/>
        <v>4.2267608814893692E-2</v>
      </c>
      <c r="K34" s="17">
        <f t="shared" ca="1" si="7"/>
        <v>4.5062765995493727E-2</v>
      </c>
      <c r="L34" s="17">
        <f t="shared" ca="1" si="7"/>
        <v>4.4225693701405236E-2</v>
      </c>
      <c r="M34" s="17">
        <f t="shared" ca="1" si="7"/>
        <v>4.7160841288555889E-2</v>
      </c>
      <c r="N34" s="17">
        <f t="shared" ca="1" si="7"/>
        <v>5.4872529793332334E-2</v>
      </c>
      <c r="O34" s="17">
        <f t="shared" ca="1" si="7"/>
        <v>8.3758774728781113E-2</v>
      </c>
      <c r="P34" s="17">
        <f t="shared" ca="1" si="7"/>
        <v>9.6841134424717562E-2</v>
      </c>
      <c r="Q34" s="17">
        <f t="shared" ca="1" si="7"/>
        <v>0.10249902381882078</v>
      </c>
      <c r="R34" s="17">
        <f t="shared" ca="1" si="7"/>
        <v>0.10960906101571065</v>
      </c>
      <c r="S34" s="17">
        <f t="shared" ca="1" si="7"/>
        <v>0.12213285671730711</v>
      </c>
      <c r="T34" s="17">
        <f t="shared" ca="1" si="7"/>
        <v>0.11865180259469327</v>
      </c>
      <c r="U34" s="17">
        <f t="shared" ca="1" si="7"/>
        <v>0.11015583019881783</v>
      </c>
      <c r="V34" s="56"/>
      <c r="W34" s="56"/>
      <c r="X34" s="56"/>
    </row>
    <row r="35" spans="1:24" x14ac:dyDescent="0.25">
      <c r="A35" t="str">
        <f>IFERROR(INDEX('2019 Data (WP)'!$C$9:$C$73,MATCH($B35,'2019 Data (WP)'!$D$9:$D$73,0)),"")</f>
        <v>Electric Utility (East)</v>
      </c>
      <c r="B35" t="s">
        <v>19</v>
      </c>
      <c r="C35" t="s">
        <v>66</v>
      </c>
      <c r="D35" s="35">
        <f t="shared" ca="1" si="1"/>
        <v>32</v>
      </c>
      <c r="E35" s="35">
        <f t="shared" ca="1" si="2"/>
        <v>33</v>
      </c>
      <c r="F35" s="35"/>
      <c r="G35" s="17">
        <f t="shared" ca="1" si="5"/>
        <v>0.11707317073170732</v>
      </c>
      <c r="H35" s="17">
        <f t="shared" ca="1" si="5"/>
        <v>0.11859545771645609</v>
      </c>
      <c r="I35" s="17">
        <f t="shared" ca="1" si="6"/>
        <v>0.13817187974491346</v>
      </c>
      <c r="J35" s="17">
        <f t="shared" ca="1" si="6"/>
        <v>0.16337644656228725</v>
      </c>
      <c r="K35" s="17">
        <f t="shared" ca="1" si="7"/>
        <v>0.10206251328938974</v>
      </c>
      <c r="L35" s="17">
        <f t="shared" ca="1" si="7"/>
        <v>4.9104859335038366E-2</v>
      </c>
      <c r="M35" s="17">
        <f t="shared" ca="1" si="7"/>
        <v>4.8823489523292872E-2</v>
      </c>
      <c r="N35" s="17">
        <f t="shared" ca="1" si="7"/>
        <v>5.4423114981199283E-2</v>
      </c>
      <c r="O35" s="17">
        <f t="shared" ca="1" si="7"/>
        <v>7.0321240210963726E-2</v>
      </c>
      <c r="P35" s="17">
        <f t="shared" ca="1" si="7"/>
        <v>6.9282610064873726E-2</v>
      </c>
      <c r="Q35" s="17">
        <f t="shared" ca="1" si="7"/>
        <v>7.8481735159817365E-2</v>
      </c>
      <c r="R35" s="17">
        <f t="shared" ca="1" si="7"/>
        <v>7.8355949709726827E-2</v>
      </c>
      <c r="S35" s="17">
        <f t="shared" ca="1" si="7"/>
        <v>8.0965699985278972E-2</v>
      </c>
      <c r="T35" s="17">
        <f t="shared" ca="1" si="7"/>
        <v>6.96118713708445E-2</v>
      </c>
      <c r="U35" s="17">
        <f t="shared" ca="1" si="7"/>
        <v>6.535947712418301E-2</v>
      </c>
      <c r="V35" s="56"/>
      <c r="W35" s="56"/>
      <c r="X35" s="56"/>
    </row>
    <row r="36" spans="1:24" x14ac:dyDescent="0.25">
      <c r="A36" t="str">
        <f>IFERROR(INDEX('2019 Data (WP)'!$C$9:$C$73,MATCH($B36,'2019 Data (WP)'!$D$9:$D$73,0)),"")</f>
        <v>Electric Util. (Central)</v>
      </c>
      <c r="B36" t="s">
        <v>266</v>
      </c>
      <c r="C36" t="s">
        <v>265</v>
      </c>
      <c r="D36" s="35">
        <f t="shared" ca="1" si="1"/>
        <v>33</v>
      </c>
      <c r="E36" s="35">
        <f t="shared" ca="1" si="2"/>
        <v>34</v>
      </c>
      <c r="F36" s="35"/>
      <c r="G36" s="17">
        <f t="shared" ca="1" si="5"/>
        <v>5.3722284495721362E-2</v>
      </c>
      <c r="H36" s="17">
        <f t="shared" ca="1" si="5"/>
        <v>5.0828880668584743E-2</v>
      </c>
      <c r="I36" s="17">
        <f t="shared" ca="1" si="6"/>
        <v>5.0293137142200253E-2</v>
      </c>
      <c r="J36" s="17">
        <f t="shared" ca="1" si="6"/>
        <v>5.1929250330458865E-2</v>
      </c>
      <c r="K36" s="17">
        <f t="shared" ref="K36:U45" ca="1" si="8">IFERROR(INDEX(Dividends,$D36,K$2)/INDEX(BookValue,$E36,K$2),"N/A")</f>
        <v>4.796534117282996E-2</v>
      </c>
      <c r="L36" s="17">
        <f t="shared" ca="1" si="8"/>
        <v>4.9954586739327879E-2</v>
      </c>
      <c r="M36" s="17">
        <f t="shared" ca="1" si="8"/>
        <v>5.2219321148825069E-2</v>
      </c>
      <c r="N36" s="17">
        <f t="shared" ca="1" si="8"/>
        <v>5.5838470472616815E-2</v>
      </c>
      <c r="O36" s="17">
        <f t="shared" ca="1" si="8"/>
        <v>5.8064206535822262E-2</v>
      </c>
      <c r="P36" s="17">
        <f t="shared" ca="1" si="8"/>
        <v>5.6984219754529511E-2</v>
      </c>
      <c r="Q36" s="17">
        <f t="shared" ca="1" si="8"/>
        <v>5.9099783652577703E-2</v>
      </c>
      <c r="R36" s="17">
        <f t="shared" ca="1" si="8"/>
        <v>5.6007324034681463E-2</v>
      </c>
      <c r="S36" s="17">
        <f t="shared" ca="1" si="8"/>
        <v>5.5546297839249012E-2</v>
      </c>
      <c r="T36" s="17">
        <f t="shared" ca="1" si="8"/>
        <v>4.9031332217172922E-2</v>
      </c>
      <c r="U36" s="17">
        <f t="shared" ca="1" si="8"/>
        <v>5.4671562627498976E-2</v>
      </c>
      <c r="V36" s="56"/>
      <c r="W36" s="56"/>
      <c r="X36" s="56"/>
    </row>
    <row r="37" spans="1:24" x14ac:dyDescent="0.25">
      <c r="A37" t="str">
        <f>IFERROR(INDEX('2019 Data (WP)'!$C$9:$C$73,MATCH($B37,'2019 Data (WP)'!$D$9:$D$73,0)),"")</f>
        <v/>
      </c>
      <c r="B37" t="s">
        <v>57</v>
      </c>
      <c r="C37" t="s">
        <v>56</v>
      </c>
      <c r="D37" s="35" t="e">
        <f t="shared" ca="1" si="1"/>
        <v>#N/A</v>
      </c>
      <c r="E37" s="35" t="e">
        <f t="shared" ca="1" si="2"/>
        <v>#N/A</v>
      </c>
      <c r="F37" s="35"/>
      <c r="G37" s="17" t="str">
        <f t="shared" ca="1" si="5"/>
        <v>N/A</v>
      </c>
      <c r="H37" s="17" t="str">
        <f t="shared" ca="1" si="5"/>
        <v>N/A</v>
      </c>
      <c r="I37" s="17" t="str">
        <f t="shared" ca="1" si="6"/>
        <v>N/A</v>
      </c>
      <c r="J37" s="17" t="str">
        <f t="shared" ca="1" si="6"/>
        <v>N/A</v>
      </c>
      <c r="K37" s="17" t="str">
        <f t="shared" ca="1" si="8"/>
        <v>N/A</v>
      </c>
      <c r="L37" s="17" t="str">
        <f t="shared" ca="1" si="8"/>
        <v>N/A</v>
      </c>
      <c r="M37" s="17" t="str">
        <f t="shared" ca="1" si="8"/>
        <v>N/A</v>
      </c>
      <c r="N37" s="17" t="str">
        <f t="shared" ca="1" si="8"/>
        <v>N/A</v>
      </c>
      <c r="O37" s="17" t="str">
        <f t="shared" ca="1" si="8"/>
        <v>N/A</v>
      </c>
      <c r="P37" s="17" t="str">
        <f t="shared" ca="1" si="8"/>
        <v>N/A</v>
      </c>
      <c r="Q37" s="17" t="str">
        <f t="shared" ca="1" si="8"/>
        <v>N/A</v>
      </c>
      <c r="R37" s="17" t="str">
        <f t="shared" ca="1" si="8"/>
        <v>N/A</v>
      </c>
      <c r="S37" s="17" t="str">
        <f t="shared" ca="1" si="8"/>
        <v>N/A</v>
      </c>
      <c r="T37" s="17" t="str">
        <f t="shared" ca="1" si="8"/>
        <v>N/A</v>
      </c>
      <c r="U37" s="17" t="str">
        <f t="shared" ca="1" si="8"/>
        <v>N/A</v>
      </c>
      <c r="V37" s="56"/>
      <c r="W37" s="56"/>
      <c r="X37" s="56"/>
    </row>
    <row r="38" spans="1:24" x14ac:dyDescent="0.25">
      <c r="A38" t="str">
        <f>IFERROR(INDEX('2019 Data (WP)'!$C$9:$C$73,MATCH($B38,'2019 Data (WP)'!$D$9:$D$73,0)),"")</f>
        <v>Electric Util. (Central)</v>
      </c>
      <c r="B38" t="s">
        <v>20</v>
      </c>
      <c r="C38" t="s">
        <v>104</v>
      </c>
      <c r="D38" s="35">
        <f t="shared" ref="D38:D47" ca="1" si="9">MATCH(B38,OFFSET(Dividends,0,0,,1),0)</f>
        <v>35</v>
      </c>
      <c r="E38" s="35">
        <f t="shared" ca="1" si="2"/>
        <v>36</v>
      </c>
      <c r="F38" s="35"/>
      <c r="G38" s="17" t="str">
        <f t="shared" ca="1" si="5"/>
        <v>N/A</v>
      </c>
      <c r="H38" s="17" t="str">
        <f t="shared" ca="1" si="5"/>
        <v>N/A</v>
      </c>
      <c r="I38" s="17" t="str">
        <f t="shared" ca="1" si="6"/>
        <v>N/A</v>
      </c>
      <c r="J38" s="17">
        <f t="shared" ca="1" si="6"/>
        <v>4.7784535186794097E-2</v>
      </c>
      <c r="K38" s="17">
        <f t="shared" ca="1" si="8"/>
        <v>4.2659010957907077E-2</v>
      </c>
      <c r="L38" s="17">
        <f t="shared" ca="1" si="8"/>
        <v>4.2143490562053965E-2</v>
      </c>
      <c r="M38" s="17">
        <f t="shared" ca="1" si="8"/>
        <v>4.0194308313988479E-2</v>
      </c>
      <c r="N38" s="17">
        <f t="shared" ca="1" si="8"/>
        <v>3.9059386209645275E-2</v>
      </c>
      <c r="O38" s="17">
        <f t="shared" ca="1" si="8"/>
        <v>3.9301310043668124E-2</v>
      </c>
      <c r="P38" s="17">
        <f t="shared" ca="1" si="8"/>
        <v>3.8406697024055927E-2</v>
      </c>
      <c r="Q38" s="17">
        <f t="shared" ca="1" si="8"/>
        <v>3.9031272043263579E-2</v>
      </c>
      <c r="R38" s="17">
        <f t="shared" ca="1" si="8"/>
        <v>4.0250230347703801E-2</v>
      </c>
      <c r="S38" s="17">
        <f t="shared" ca="1" si="8"/>
        <v>7.7613615111277345E-2</v>
      </c>
      <c r="T38" s="17">
        <f t="shared" ca="1" si="8"/>
        <v>9.1299087009129906E-2</v>
      </c>
      <c r="U38" s="17">
        <f t="shared" ca="1" si="8"/>
        <v>9.9395245793665044E-2</v>
      </c>
      <c r="V38" s="56"/>
      <c r="W38" s="57"/>
      <c r="X38" s="57"/>
    </row>
    <row r="39" spans="1:24" x14ac:dyDescent="0.25">
      <c r="A39" t="str">
        <f>IFERROR(INDEX('2019 Data (WP)'!$C$9:$C$73,MATCH($B39,'2019 Data (WP)'!$D$9:$D$73,0)),"")</f>
        <v>Electric Utility (West)</v>
      </c>
      <c r="B39" t="s">
        <v>21</v>
      </c>
      <c r="C39" t="s">
        <v>58</v>
      </c>
      <c r="D39" s="35">
        <f t="shared" ca="1" si="9"/>
        <v>36</v>
      </c>
      <c r="E39" s="35">
        <f t="shared" ca="1" si="2"/>
        <v>37</v>
      </c>
      <c r="F39" s="35"/>
      <c r="G39" s="17">
        <f t="shared" ca="1" si="5"/>
        <v>6.1656312765659312E-2</v>
      </c>
      <c r="H39" s="17">
        <f t="shared" ca="1" si="5"/>
        <v>6.1170848267622459E-2</v>
      </c>
      <c r="I39" s="17">
        <f t="shared" ca="1" si="6"/>
        <v>6.2440203434211181E-2</v>
      </c>
      <c r="J39" s="17">
        <f t="shared" ca="1" si="6"/>
        <v>6.4315352697095429E-2</v>
      </c>
      <c r="K39" s="17">
        <f t="shared" ca="1" si="8"/>
        <v>6.5146579804560262E-2</v>
      </c>
      <c r="L39" s="17">
        <f t="shared" ca="1" si="8"/>
        <v>6.912699297580556E-2</v>
      </c>
      <c r="M39" s="17">
        <f t="shared" ca="1" si="8"/>
        <v>7.0995076147944577E-2</v>
      </c>
      <c r="N39" s="17">
        <f t="shared" ca="1" si="8"/>
        <v>7.2701688555347088E-2</v>
      </c>
      <c r="O39" s="17">
        <f t="shared" ca="1" si="8"/>
        <v>7.6185795035635287E-2</v>
      </c>
      <c r="P39" s="17">
        <f t="shared" ca="1" si="8"/>
        <v>7.7738072848097292E-2</v>
      </c>
      <c r="Q39" s="17">
        <f t="shared" ca="1" si="8"/>
        <v>7.9142200663773296E-2</v>
      </c>
      <c r="R39" s="17">
        <f t="shared" ca="1" si="8"/>
        <v>7.9579001411885508E-2</v>
      </c>
      <c r="S39" s="17">
        <f t="shared" ca="1" si="8"/>
        <v>8.0781758957654728E-2</v>
      </c>
      <c r="T39" s="17">
        <f t="shared" ca="1" si="8"/>
        <v>8.111467259763197E-2</v>
      </c>
      <c r="U39" s="17">
        <f t="shared" ca="1" si="8"/>
        <v>9.2227593901078458E-2</v>
      </c>
      <c r="V39" s="56"/>
      <c r="W39" s="56"/>
      <c r="X39" s="56"/>
    </row>
    <row r="40" spans="1:24" x14ac:dyDescent="0.25">
      <c r="A40" t="str">
        <f>IFERROR(INDEX('2019 Data (WP)'!$C$9:$C$73,MATCH($B40,'2019 Data (WP)'!$D$9:$D$73,0)),"")</f>
        <v>Electric Utility (West)</v>
      </c>
      <c r="B40" t="s">
        <v>22</v>
      </c>
      <c r="C40" t="s">
        <v>59</v>
      </c>
      <c r="D40" s="35">
        <f t="shared" ca="1" si="9"/>
        <v>37</v>
      </c>
      <c r="E40" s="35">
        <f t="shared" ca="1" si="2"/>
        <v>38</v>
      </c>
      <c r="F40" s="35"/>
      <c r="G40" s="17">
        <f t="shared" ca="1" si="5"/>
        <v>5.36161321479963E-2</v>
      </c>
      <c r="H40" s="17">
        <f t="shared" ca="1" si="5"/>
        <v>5.237101591587906E-2</v>
      </c>
      <c r="I40" s="17">
        <f t="shared" ca="1" si="6"/>
        <v>5.1050795541563852E-2</v>
      </c>
      <c r="J40" s="17">
        <f t="shared" ca="1" si="6"/>
        <v>5.0164602602288763E-2</v>
      </c>
      <c r="K40" s="17">
        <f t="shared" ca="1" si="8"/>
        <v>4.8667493390112081E-2</v>
      </c>
      <c r="L40" s="17">
        <f t="shared" ca="1" si="8"/>
        <v>4.6967880819002425E-2</v>
      </c>
      <c r="M40" s="17">
        <f t="shared" ca="1" si="8"/>
        <v>4.5297781438204565E-2</v>
      </c>
      <c r="N40" s="17">
        <f t="shared" ca="1" si="8"/>
        <v>4.2614407469735632E-2</v>
      </c>
      <c r="O40" s="17">
        <f t="shared" ca="1" si="8"/>
        <v>3.9070298017966638E-2</v>
      </c>
      <c r="P40" s="17">
        <f t="shared" ca="1" si="8"/>
        <v>3.6160916076540602E-2</v>
      </c>
      <c r="Q40" s="17">
        <f t="shared" ca="1" si="8"/>
        <v>3.8695946599593689E-2</v>
      </c>
      <c r="R40" s="17">
        <f t="shared" ca="1" si="8"/>
        <v>4.1132515253307737E-2</v>
      </c>
      <c r="S40" s="17">
        <f t="shared" ca="1" si="8"/>
        <v>4.3229222954717386E-2</v>
      </c>
      <c r="T40" s="17">
        <f t="shared" ca="1" si="8"/>
        <v>4.4789489399820838E-2</v>
      </c>
      <c r="U40" s="17">
        <f t="shared" ca="1" si="8"/>
        <v>4.6573003182488554E-2</v>
      </c>
      <c r="V40" s="56"/>
      <c r="W40" s="56"/>
      <c r="X40" s="56"/>
    </row>
    <row r="41" spans="1:24" x14ac:dyDescent="0.25">
      <c r="A41" t="str">
        <f>IFERROR(INDEX('2019 Data (WP)'!$C$9:$C$73,MATCH($B41,'2019 Data (WP)'!$D$9:$D$73,0)),"")</f>
        <v/>
      </c>
      <c r="B41" t="s">
        <v>23</v>
      </c>
      <c r="C41" t="s">
        <v>85</v>
      </c>
      <c r="D41" s="35" t="e">
        <f t="shared" ca="1" si="9"/>
        <v>#N/A</v>
      </c>
      <c r="E41" s="35" t="e">
        <f t="shared" ca="1" si="2"/>
        <v>#N/A</v>
      </c>
      <c r="F41" s="35"/>
      <c r="G41" s="17" t="str">
        <f t="shared" ca="1" si="5"/>
        <v>N/A</v>
      </c>
      <c r="H41" s="17" t="str">
        <f t="shared" ca="1" si="5"/>
        <v>N/A</v>
      </c>
      <c r="I41" s="17" t="str">
        <f t="shared" ca="1" si="6"/>
        <v>N/A</v>
      </c>
      <c r="J41" s="17" t="str">
        <f t="shared" ca="1" si="6"/>
        <v>N/A</v>
      </c>
      <c r="K41" s="17" t="str">
        <f t="shared" ca="1" si="8"/>
        <v>N/A</v>
      </c>
      <c r="L41" s="17" t="str">
        <f t="shared" ca="1" si="8"/>
        <v>N/A</v>
      </c>
      <c r="M41" s="17" t="str">
        <f t="shared" ca="1" si="8"/>
        <v>N/A</v>
      </c>
      <c r="N41" s="17" t="str">
        <f t="shared" ca="1" si="8"/>
        <v>N/A</v>
      </c>
      <c r="O41" s="17" t="str">
        <f t="shared" ca="1" si="8"/>
        <v>N/A</v>
      </c>
      <c r="P41" s="17" t="str">
        <f t="shared" ca="1" si="8"/>
        <v>N/A</v>
      </c>
      <c r="Q41" s="17" t="str">
        <f t="shared" ca="1" si="8"/>
        <v>N/A</v>
      </c>
      <c r="R41" s="17" t="str">
        <f t="shared" ca="1" si="8"/>
        <v>N/A</v>
      </c>
      <c r="S41" s="17" t="str">
        <f t="shared" ca="1" si="8"/>
        <v>N/A</v>
      </c>
      <c r="T41" s="17" t="str">
        <f t="shared" ca="1" si="8"/>
        <v>N/A</v>
      </c>
      <c r="U41" s="17" t="str">
        <f t="shared" ca="1" si="8"/>
        <v>N/A</v>
      </c>
      <c r="V41" s="56"/>
      <c r="W41" s="56"/>
      <c r="X41" s="56"/>
    </row>
    <row r="42" spans="1:24" x14ac:dyDescent="0.25">
      <c r="A42" t="str">
        <f>IFERROR(INDEX('2019 Data (WP)'!$C$9:$C$73,MATCH($B42,'2019 Data (WP)'!$D$9:$D$73,0)),"")</f>
        <v/>
      </c>
      <c r="B42" t="s">
        <v>161</v>
      </c>
      <c r="C42" t="s">
        <v>160</v>
      </c>
      <c r="D42" s="35" t="e">
        <f t="shared" ca="1" si="9"/>
        <v>#N/A</v>
      </c>
      <c r="E42" s="35" t="e">
        <f t="shared" ca="1" si="2"/>
        <v>#N/A</v>
      </c>
      <c r="F42" s="35"/>
      <c r="G42" s="17" t="str">
        <f t="shared" ca="1" si="5"/>
        <v>N/A</v>
      </c>
      <c r="H42" s="17" t="str">
        <f t="shared" ca="1" si="5"/>
        <v>N/A</v>
      </c>
      <c r="I42" s="17" t="str">
        <f t="shared" ca="1" si="6"/>
        <v>N/A</v>
      </c>
      <c r="J42" s="17" t="str">
        <f t="shared" ca="1" si="6"/>
        <v>N/A</v>
      </c>
      <c r="K42" s="17" t="str">
        <f t="shared" ca="1" si="8"/>
        <v>N/A</v>
      </c>
      <c r="L42" s="17" t="str">
        <f t="shared" ca="1" si="8"/>
        <v>N/A</v>
      </c>
      <c r="M42" s="17" t="str">
        <f t="shared" ca="1" si="8"/>
        <v>N/A</v>
      </c>
      <c r="N42" s="17" t="str">
        <f t="shared" ca="1" si="8"/>
        <v>N/A</v>
      </c>
      <c r="O42" s="17" t="str">
        <f t="shared" ca="1" si="8"/>
        <v>N/A</v>
      </c>
      <c r="P42" s="17" t="str">
        <f t="shared" ca="1" si="8"/>
        <v>N/A</v>
      </c>
      <c r="Q42" s="17" t="str">
        <f t="shared" ca="1" si="8"/>
        <v>N/A</v>
      </c>
      <c r="R42" s="17" t="str">
        <f t="shared" ca="1" si="8"/>
        <v>N/A</v>
      </c>
      <c r="S42" s="17" t="str">
        <f t="shared" ca="1" si="8"/>
        <v>N/A</v>
      </c>
      <c r="T42" s="17" t="str">
        <f t="shared" ca="1" si="8"/>
        <v>N/A</v>
      </c>
      <c r="U42" s="17" t="str">
        <f t="shared" ca="1" si="8"/>
        <v>N/A</v>
      </c>
      <c r="V42" s="56"/>
      <c r="W42" s="56"/>
      <c r="X42" s="56"/>
    </row>
    <row r="43" spans="1:24" x14ac:dyDescent="0.25">
      <c r="A43" t="str">
        <f>IFERROR(INDEX('2019 Data (WP)'!$C$9:$C$73,MATCH($B43,'2019 Data (WP)'!$D$9:$D$73,0)),"")</f>
        <v/>
      </c>
      <c r="B43" t="s">
        <v>24</v>
      </c>
      <c r="C43" t="s">
        <v>60</v>
      </c>
      <c r="D43" s="35" t="e">
        <f t="shared" ca="1" si="9"/>
        <v>#N/A</v>
      </c>
      <c r="E43" s="35" t="e">
        <f t="shared" ca="1" si="2"/>
        <v>#N/A</v>
      </c>
      <c r="F43" s="35"/>
      <c r="G43" s="17" t="str">
        <f t="shared" ca="1" si="5"/>
        <v>N/A</v>
      </c>
      <c r="H43" s="17" t="str">
        <f t="shared" ca="1" si="5"/>
        <v>N/A</v>
      </c>
      <c r="I43" s="17" t="str">
        <f t="shared" ca="1" si="6"/>
        <v>N/A</v>
      </c>
      <c r="J43" s="17" t="str">
        <f t="shared" ca="1" si="6"/>
        <v>N/A</v>
      </c>
      <c r="K43" s="17" t="str">
        <f t="shared" ca="1" si="8"/>
        <v>N/A</v>
      </c>
      <c r="L43" s="17" t="str">
        <f t="shared" ca="1" si="8"/>
        <v>N/A</v>
      </c>
      <c r="M43" s="17" t="str">
        <f t="shared" ca="1" si="8"/>
        <v>N/A</v>
      </c>
      <c r="N43" s="17" t="str">
        <f t="shared" ca="1" si="8"/>
        <v>N/A</v>
      </c>
      <c r="O43" s="17" t="str">
        <f t="shared" ca="1" si="8"/>
        <v>N/A</v>
      </c>
      <c r="P43" s="17" t="str">
        <f t="shared" ca="1" si="8"/>
        <v>N/A</v>
      </c>
      <c r="Q43" s="17" t="str">
        <f t="shared" ca="1" si="8"/>
        <v>N/A</v>
      </c>
      <c r="R43" s="17" t="str">
        <f t="shared" ca="1" si="8"/>
        <v>N/A</v>
      </c>
      <c r="S43" s="17" t="str">
        <f t="shared" ca="1" si="8"/>
        <v>N/A</v>
      </c>
      <c r="T43" s="17" t="str">
        <f t="shared" ca="1" si="8"/>
        <v>N/A</v>
      </c>
      <c r="U43" s="17" t="str">
        <f t="shared" ca="1" si="8"/>
        <v>N/A</v>
      </c>
      <c r="V43" s="56"/>
      <c r="W43" s="56"/>
      <c r="X43" s="56"/>
    </row>
    <row r="44" spans="1:24" x14ac:dyDescent="0.25">
      <c r="A44" t="str">
        <f>IFERROR(INDEX('2019 Data (WP)'!$C$9:$C$73,MATCH($B44,'2019 Data (WP)'!$D$9:$D$73,0)),"")</f>
        <v>Electric Util. (Central)</v>
      </c>
      <c r="B44" t="s">
        <v>25</v>
      </c>
      <c r="C44" t="s">
        <v>61</v>
      </c>
      <c r="D44" s="35">
        <f t="shared" ca="1" si="9"/>
        <v>38</v>
      </c>
      <c r="E44" s="35">
        <f t="shared" ca="1" si="2"/>
        <v>39</v>
      </c>
      <c r="F44" s="35"/>
      <c r="G44" s="17">
        <f t="shared" ca="1" si="5"/>
        <v>5.3540331246063215E-2</v>
      </c>
      <c r="H44" s="17">
        <f t="shared" ca="1" si="5"/>
        <v>5.591119034113929E-2</v>
      </c>
      <c r="I44" s="17">
        <f t="shared" ca="1" si="6"/>
        <v>5.6036678553234846E-2</v>
      </c>
      <c r="J44" s="17">
        <f t="shared" ca="1" si="6"/>
        <v>5.6132222568717423E-2</v>
      </c>
      <c r="K44" s="17">
        <f t="shared" ca="1" si="8"/>
        <v>5.7933544000766064E-2</v>
      </c>
      <c r="L44" s="17">
        <f t="shared" ca="1" si="8"/>
        <v>5.8244627435227951E-2</v>
      </c>
      <c r="M44" s="17">
        <f t="shared" ca="1" si="8"/>
        <v>5.8359621451104106E-2</v>
      </c>
      <c r="N44" s="17">
        <f t="shared" ca="1" si="8"/>
        <v>6.0071861666292387E-2</v>
      </c>
      <c r="O44" s="17">
        <f t="shared" ca="1" si="8"/>
        <v>6.2230732407850646E-2</v>
      </c>
      <c r="P44" s="17">
        <f t="shared" ca="1" si="8"/>
        <v>6.3624921334172427E-2</v>
      </c>
      <c r="Q44" s="17">
        <f t="shared" ca="1" si="8"/>
        <v>6.5570522979397777E-2</v>
      </c>
      <c r="R44" s="17">
        <f t="shared" ca="1" si="8"/>
        <v>6.7228632626269602E-2</v>
      </c>
      <c r="S44" s="17">
        <f t="shared" ca="1" si="8"/>
        <v>6.8688029889351923E-2</v>
      </c>
      <c r="T44" s="17">
        <f t="shared" ca="1" si="8"/>
        <v>7.2363356428021552E-2</v>
      </c>
      <c r="U44" s="17">
        <f t="shared" ca="1" si="8"/>
        <v>7.7709782882052145E-2</v>
      </c>
      <c r="V44" s="56"/>
      <c r="W44" s="56"/>
      <c r="X44" s="56"/>
    </row>
    <row r="45" spans="1:24" x14ac:dyDescent="0.25">
      <c r="A45" t="str">
        <f>IFERROR(INDEX('2019 Data (WP)'!$C$9:$C$73,MATCH($B45,'2019 Data (WP)'!$D$9:$D$73,0)),"")</f>
        <v>Water Utility</v>
      </c>
      <c r="B45" s="31" t="s">
        <v>188</v>
      </c>
      <c r="C45" s="31" t="s">
        <v>187</v>
      </c>
      <c r="D45" s="35">
        <f t="shared" ca="1" si="9"/>
        <v>39</v>
      </c>
      <c r="E45" s="35">
        <f t="shared" ca="1" si="2"/>
        <v>40</v>
      </c>
      <c r="F45" s="35"/>
      <c r="G45" s="17">
        <f t="shared" ca="1" si="5"/>
        <v>5.2488139699202588E-2</v>
      </c>
      <c r="H45" s="17">
        <f t="shared" ca="1" si="5"/>
        <v>5.2767607150549213E-2</v>
      </c>
      <c r="I45" s="17">
        <f t="shared" ca="1" si="6"/>
        <v>6.0064613964528252E-2</v>
      </c>
      <c r="J45" s="17">
        <f t="shared" ca="1" si="6"/>
        <v>6.1220121298608633E-2</v>
      </c>
      <c r="K45" s="17">
        <f t="shared" ca="1" si="8"/>
        <v>6.0280513279618031E-2</v>
      </c>
      <c r="L45" s="17">
        <f t="shared" ca="1" si="8"/>
        <v>6.0915299474056044E-2</v>
      </c>
      <c r="M45" s="17">
        <f t="shared" ca="1" si="8"/>
        <v>6.2356979405034325E-2</v>
      </c>
      <c r="N45" s="17">
        <f t="shared" ca="1" si="8"/>
        <v>6.3684032476319347E-2</v>
      </c>
      <c r="O45" s="17">
        <f t="shared" ca="1" si="8"/>
        <v>6.4698711250435387E-2</v>
      </c>
      <c r="P45" s="17">
        <f t="shared" ca="1" si="8"/>
        <v>6.5039929015084291E-2</v>
      </c>
      <c r="Q45" s="17">
        <f t="shared" ca="1" si="8"/>
        <v>6.494789795185052E-2</v>
      </c>
      <c r="R45" s="17">
        <f t="shared" ca="1" si="8"/>
        <v>6.9028947623196821E-2</v>
      </c>
      <c r="S45" s="17">
        <f t="shared" ca="1" si="8"/>
        <v>7.0096719513411107E-2</v>
      </c>
      <c r="T45" s="17">
        <f t="shared" ca="1" si="8"/>
        <v>6.8927789934354472E-2</v>
      </c>
      <c r="U45" s="17">
        <f t="shared" ca="1" si="8"/>
        <v>7.1728628439403488E-2</v>
      </c>
      <c r="V45" s="57"/>
      <c r="W45" s="57"/>
      <c r="X45" s="57"/>
    </row>
    <row r="46" spans="1:24" x14ac:dyDescent="0.25">
      <c r="A46" t="str">
        <f>IFERROR(INDEX('2019 Data (WP)'!$C$9:$C$73,MATCH($B46,'2019 Data (WP)'!$D$9:$D$73,0)),"")</f>
        <v>Natural Gas Utility</v>
      </c>
      <c r="B46" s="31" t="s">
        <v>190</v>
      </c>
      <c r="C46" s="31" t="s">
        <v>189</v>
      </c>
      <c r="D46" s="35">
        <f t="shared" ca="1" si="9"/>
        <v>40</v>
      </c>
      <c r="E46" s="35">
        <f t="shared" ca="1" si="2"/>
        <v>41</v>
      </c>
      <c r="F46" s="35"/>
      <c r="G46" s="17">
        <f t="shared" ca="1" si="5"/>
        <v>6.5956894313165412E-2</v>
      </c>
      <c r="H46" s="17">
        <f t="shared" ca="1" si="5"/>
        <v>6.8512867752893086E-2</v>
      </c>
      <c r="I46" s="17">
        <f t="shared" ca="1" si="6"/>
        <v>6.8718329007539256E-2</v>
      </c>
      <c r="J46" s="17">
        <f t="shared" ca="1" si="6"/>
        <v>7.2595281306715068E-2</v>
      </c>
      <c r="K46" s="17">
        <f t="shared" ref="K46:U55" ca="1" si="10">IFERROR(INDEX(Dividends,$D46,K$2)/INDEX(BookValue,$E46,K$2),"N/A")</f>
        <v>7.2149009791651328E-2</v>
      </c>
      <c r="L46" s="17">
        <f t="shared" ca="1" si="10"/>
        <v>7.1565986918045416E-2</v>
      </c>
      <c r="M46" s="17">
        <f t="shared" ca="1" si="10"/>
        <v>7.4509803921568626E-2</v>
      </c>
      <c r="N46" s="17">
        <f t="shared" ca="1" si="10"/>
        <v>7.6049197258473394E-2</v>
      </c>
      <c r="O46" s="17">
        <f t="shared" ca="1" si="10"/>
        <v>7.8579446882334938E-2</v>
      </c>
      <c r="P46" s="17">
        <f t="shared" ca="1" si="10"/>
        <v>7.6882007474639608E-2</v>
      </c>
      <c r="Q46" s="17">
        <f t="shared" ca="1" si="10"/>
        <v>7.7185017026106695E-2</v>
      </c>
      <c r="R46" s="17">
        <f t="shared" ca="1" si="10"/>
        <v>7.4761847341131074E-2</v>
      </c>
      <c r="S46" s="17">
        <f t="shared" ca="1" si="10"/>
        <v>6.4221245082156916E-2</v>
      </c>
      <c r="T46" s="17">
        <f t="shared" ca="1" si="10"/>
        <v>6.5436241610738258E-2</v>
      </c>
      <c r="U46" s="17">
        <f t="shared" ca="1" si="10"/>
        <v>6.3991467804292754E-2</v>
      </c>
      <c r="V46" s="56"/>
      <c r="W46" s="56"/>
      <c r="X46" s="56"/>
    </row>
    <row r="47" spans="1:24" x14ac:dyDescent="0.25">
      <c r="A47" t="str">
        <f>IFERROR(INDEX('2019 Data (WP)'!$C$9:$C$73,MATCH($B47,'2019 Data (WP)'!$D$9:$D$73,0)),"")</f>
        <v>Electric Utility (East)</v>
      </c>
      <c r="B47" t="s">
        <v>141</v>
      </c>
      <c r="C47" t="s">
        <v>209</v>
      </c>
      <c r="D47" s="35">
        <f t="shared" ca="1" si="9"/>
        <v>41</v>
      </c>
      <c r="E47" s="35">
        <f t="shared" ca="1" si="2"/>
        <v>42</v>
      </c>
      <c r="F47" s="35"/>
      <c r="G47" s="17">
        <f t="shared" ca="1" si="5"/>
        <v>7.515164528423425E-2</v>
      </c>
      <c r="H47" s="17">
        <f t="shared" ca="1" si="5"/>
        <v>6.6071145409376822E-2</v>
      </c>
      <c r="I47" s="17">
        <f t="shared" ca="1" si="6"/>
        <v>6.2150055991041439E-2</v>
      </c>
      <c r="J47" s="17">
        <f t="shared" ca="1" si="6"/>
        <v>6.5464261857047429E-2</v>
      </c>
      <c r="K47" s="17">
        <f t="shared" ca="1" si="10"/>
        <v>6.6923076923076918E-2</v>
      </c>
      <c r="L47" s="17">
        <f t="shared" ca="1" si="10"/>
        <v>6.2908496732026142E-2</v>
      </c>
      <c r="M47" s="17">
        <f t="shared" ca="1" si="10"/>
        <v>6.494661921708185E-2</v>
      </c>
      <c r="N47" s="17">
        <f t="shared" ca="1" si="10"/>
        <v>6.3645130183220835E-2</v>
      </c>
      <c r="O47" s="17">
        <f t="shared" ca="1" si="10"/>
        <v>6.3357972544878557E-2</v>
      </c>
      <c r="P47" s="17">
        <f t="shared" ca="1" si="10"/>
        <v>6.1247216035634745E-2</v>
      </c>
      <c r="Q47" s="17">
        <f t="shared" ca="1" si="10"/>
        <v>5.8207217694994179E-2</v>
      </c>
      <c r="R47" s="17">
        <f t="shared" ca="1" si="10"/>
        <v>5.9948979591836732E-2</v>
      </c>
      <c r="S47" s="17">
        <f t="shared" ca="1" si="10"/>
        <v>6.3025210084033612E-2</v>
      </c>
      <c r="T47" s="17">
        <f t="shared" ca="1" si="10"/>
        <v>6.2215477996965099E-2</v>
      </c>
      <c r="U47" s="17">
        <f t="shared" ca="1" si="10"/>
        <v>6.2091503267973858E-2</v>
      </c>
      <c r="V47" s="56"/>
      <c r="W47" s="56"/>
      <c r="X47" s="56"/>
    </row>
    <row r="48" spans="1:24" x14ac:dyDescent="0.25">
      <c r="A48" t="str">
        <f>IFERROR(INDEX('2019 Data (WP)'!$C$9:$C$73,MATCH($B48,'2019 Data (WP)'!$D$9:$D$73,0)),"")</f>
        <v>Natural Gas Utility</v>
      </c>
      <c r="B48" t="s">
        <v>26</v>
      </c>
      <c r="C48" t="s">
        <v>62</v>
      </c>
      <c r="D48" s="35">
        <f t="shared" ref="D48:D79" ca="1" si="11">MATCH(B48,OFFSET(Dividends,0,0,,1),0)</f>
        <v>42</v>
      </c>
      <c r="E48" s="35">
        <f t="shared" ref="E48:E79" ca="1" si="12">MATCH(B48,OFFSET(BookValue,0,0,,1),0)</f>
        <v>43</v>
      </c>
      <c r="F48" s="35"/>
      <c r="G48" s="17">
        <f t="shared" ca="1" si="5"/>
        <v>6.6376926116159626E-2</v>
      </c>
      <c r="H48" s="17">
        <f t="shared" ca="1" si="5"/>
        <v>5.9862316671655195E-2</v>
      </c>
      <c r="I48" s="17">
        <f t="shared" ca="1" si="6"/>
        <v>5.9628468771500652E-2</v>
      </c>
      <c r="J48" s="17">
        <f t="shared" ca="1" si="6"/>
        <v>5.4606443560340112E-2</v>
      </c>
      <c r="K48" s="17">
        <f t="shared" ca="1" si="10"/>
        <v>5.0801714557866327E-2</v>
      </c>
      <c r="L48" s="17">
        <f t="shared" ca="1" si="10"/>
        <v>6.8913982065758883E-2</v>
      </c>
      <c r="M48" s="17">
        <f t="shared" ca="1" si="10"/>
        <v>5.2200614124872063E-2</v>
      </c>
      <c r="N48" s="17">
        <f t="shared" ca="1" si="10"/>
        <v>5.2219321148825062E-2</v>
      </c>
      <c r="O48" s="17">
        <f t="shared" ca="1" si="10"/>
        <v>5.2511032903189765E-2</v>
      </c>
      <c r="P48" s="17">
        <f t="shared" ca="1" si="10"/>
        <v>5.1948051948051945E-2</v>
      </c>
      <c r="Q48" s="17">
        <f t="shared" ca="1" si="10"/>
        <v>5.2192658989050893E-2</v>
      </c>
      <c r="R48" s="17">
        <f t="shared" ca="1" si="10"/>
        <v>5.2460512060215549E-2</v>
      </c>
      <c r="S48" s="17">
        <f t="shared" ca="1" si="10"/>
        <v>5.3358079109152072E-2</v>
      </c>
      <c r="T48" s="17">
        <f t="shared" ca="1" si="10"/>
        <v>4.9686757399006271E-2</v>
      </c>
      <c r="U48" s="17">
        <f t="shared" ca="1" si="10"/>
        <v>5.0215599585175477E-2</v>
      </c>
      <c r="V48" s="56"/>
      <c r="W48" s="56"/>
      <c r="X48" s="56"/>
    </row>
    <row r="49" spans="1:24" x14ac:dyDescent="0.25">
      <c r="A49" t="str">
        <f>IFERROR(INDEX('2019 Data (WP)'!$C$9:$C$73,MATCH($B49,'2019 Data (WP)'!$D$9:$D$73,0)),"")</f>
        <v>Natural Gas Utility</v>
      </c>
      <c r="B49" s="31" t="s">
        <v>192</v>
      </c>
      <c r="C49" s="31" t="s">
        <v>191</v>
      </c>
      <c r="D49" s="35">
        <f t="shared" ca="1" si="11"/>
        <v>43</v>
      </c>
      <c r="E49" s="35">
        <f t="shared" ca="1" si="12"/>
        <v>44</v>
      </c>
      <c r="F49" s="35"/>
      <c r="G49" s="17">
        <f t="shared" ca="1" si="5"/>
        <v>6.5739657190059891E-2</v>
      </c>
      <c r="H49" s="17">
        <f t="shared" ca="1" si="5"/>
        <v>6.6856680389880005E-2</v>
      </c>
      <c r="I49" s="17">
        <f t="shared" ca="1" si="6"/>
        <v>7.1571931684780543E-2</v>
      </c>
      <c r="J49" s="17">
        <f t="shared" ca="1" si="6"/>
        <v>7.2732900030950162E-2</v>
      </c>
      <c r="K49" s="17">
        <f t="shared" ca="1" si="10"/>
        <v>6.2950245741601032E-2</v>
      </c>
      <c r="L49" s="17">
        <f t="shared" ca="1" si="10"/>
        <v>6.5320456540825286E-2</v>
      </c>
      <c r="M49" s="17">
        <f t="shared" ca="1" si="10"/>
        <v>6.5782455641290052E-2</v>
      </c>
      <c r="N49" s="17">
        <f t="shared" ca="1" si="10"/>
        <v>6.5898451566438601E-2</v>
      </c>
      <c r="O49" s="17">
        <f t="shared" ca="1" si="10"/>
        <v>6.5729078691293658E-2</v>
      </c>
      <c r="P49" s="17">
        <f t="shared" ca="1" si="10"/>
        <v>6.5533253445176756E-2</v>
      </c>
      <c r="Q49" s="17">
        <f t="shared" ca="1" si="10"/>
        <v>6.4417177914110432E-2</v>
      </c>
      <c r="R49" s="17">
        <f t="shared" ca="1" si="10"/>
        <v>6.4311266530005226E-2</v>
      </c>
      <c r="S49" s="17">
        <f t="shared" ca="1" si="10"/>
        <v>6.4105267597317703E-2</v>
      </c>
      <c r="T49" s="17">
        <f t="shared" ca="1" si="10"/>
        <v>6.3937483349613716E-2</v>
      </c>
      <c r="U49" s="17">
        <f t="shared" ca="1" si="10"/>
        <v>6.3150243060288033E-2</v>
      </c>
      <c r="V49" s="56"/>
      <c r="W49" s="56"/>
      <c r="X49" s="56"/>
    </row>
    <row r="50" spans="1:24" x14ac:dyDescent="0.25">
      <c r="A50" t="str">
        <f>IFERROR(INDEX('2019 Data (WP)'!$C$9:$C$73,MATCH($B50,'2019 Data (WP)'!$D$9:$D$73,0)),"")</f>
        <v>Electric Utility (West)</v>
      </c>
      <c r="B50" t="str">
        <f>"NWE"</f>
        <v>NWE</v>
      </c>
      <c r="C50" t="s">
        <v>94</v>
      </c>
      <c r="D50" s="35">
        <f t="shared" ca="1" si="11"/>
        <v>44</v>
      </c>
      <c r="E50" s="35">
        <f t="shared" ca="1" si="12"/>
        <v>45</v>
      </c>
      <c r="F50" s="35"/>
      <c r="G50" s="17">
        <f t="shared" ca="1" si="5"/>
        <v>5.8395581401007327E-2</v>
      </c>
      <c r="H50" s="17">
        <f t="shared" ca="1" si="5"/>
        <v>5.6908155186064922E-2</v>
      </c>
      <c r="I50" s="17">
        <f t="shared" ca="1" si="6"/>
        <v>5.6997771905280076E-2</v>
      </c>
      <c r="J50" s="17">
        <f t="shared" ca="1" si="6"/>
        <v>5.7635305741574272E-2</v>
      </c>
      <c r="K50" s="17">
        <f t="shared" ca="1" si="10"/>
        <v>5.7666801222536181E-2</v>
      </c>
      <c r="L50" s="17">
        <f t="shared" ca="1" si="10"/>
        <v>5.7799987958335831E-2</v>
      </c>
      <c r="M50" s="17">
        <f t="shared" ca="1" si="10"/>
        <v>5.0795263341693389E-2</v>
      </c>
      <c r="N50" s="17">
        <f t="shared" ca="1" si="10"/>
        <v>5.7140708995902414E-2</v>
      </c>
      <c r="O50" s="17">
        <f t="shared" ca="1" si="10"/>
        <v>5.8978241810791421E-2</v>
      </c>
      <c r="P50" s="17">
        <f t="shared" ca="1" si="10"/>
        <v>6.0808242895148003E-2</v>
      </c>
      <c r="Q50" s="17">
        <f t="shared" ca="1" si="10"/>
        <v>6.0062712538091242E-2</v>
      </c>
      <c r="R50" s="17">
        <f t="shared" ca="1" si="10"/>
        <v>6.1299176578225076E-2</v>
      </c>
      <c r="S50" s="17">
        <f t="shared" ca="1" si="10"/>
        <v>6.2114724012987621E-2</v>
      </c>
      <c r="T50" s="17">
        <f t="shared" ca="1" si="10"/>
        <v>6.0608930347080828E-2</v>
      </c>
      <c r="U50" s="17">
        <f t="shared" ca="1" si="10"/>
        <v>6.0045518376834049E-2</v>
      </c>
      <c r="V50" s="56"/>
      <c r="W50" s="56"/>
      <c r="X50" s="56"/>
    </row>
    <row r="51" spans="1:24" x14ac:dyDescent="0.25">
      <c r="A51" t="str">
        <f>IFERROR(INDEX('2019 Data (WP)'!$C$9:$C$73,MATCH($B51,'2019 Data (WP)'!$D$9:$D$73,0)),"")</f>
        <v>Electric Util. (Central)</v>
      </c>
      <c r="B51" t="s">
        <v>27</v>
      </c>
      <c r="C51" t="s">
        <v>67</v>
      </c>
      <c r="D51" s="35">
        <f t="shared" ca="1" si="11"/>
        <v>45</v>
      </c>
      <c r="E51" s="35">
        <f t="shared" ca="1" si="12"/>
        <v>46</v>
      </c>
      <c r="F51" s="35"/>
      <c r="G51" s="17">
        <f t="shared" ca="1" si="5"/>
        <v>8.7052341597796151E-2</v>
      </c>
      <c r="H51" s="17">
        <f t="shared" ca="1" si="5"/>
        <v>7.2751003045390811E-2</v>
      </c>
      <c r="I51" s="17">
        <f t="shared" ca="1" si="6"/>
        <v>6.9555245313123251E-2</v>
      </c>
      <c r="J51" s="17">
        <f t="shared" ca="1" si="6"/>
        <v>6.5857705870151426E-2</v>
      </c>
      <c r="K51" s="17">
        <f t="shared" ca="1" si="10"/>
        <v>6.6975935053638733E-2</v>
      </c>
      <c r="L51" s="17">
        <f t="shared" ca="1" si="10"/>
        <v>6.3044130891624139E-2</v>
      </c>
      <c r="M51" s="17">
        <f t="shared" ca="1" si="10"/>
        <v>5.8386085673898344E-2</v>
      </c>
      <c r="N51" s="17">
        <f t="shared" ca="1" si="10"/>
        <v>5.5620915032679734E-2</v>
      </c>
      <c r="O51" s="17">
        <f t="shared" ca="1" si="10"/>
        <v>5.698371893744645E-2</v>
      </c>
      <c r="P51" s="17">
        <f t="shared" ca="1" si="10"/>
        <v>5.8094144661308841E-2</v>
      </c>
      <c r="Q51" s="17">
        <f t="shared" ca="1" si="10"/>
        <v>6.2404092071611253E-2</v>
      </c>
      <c r="R51" s="17">
        <f t="shared" ca="1" si="10"/>
        <v>6.7870722433460082E-2</v>
      </c>
      <c r="S51" s="17">
        <f t="shared" ca="1" si="10"/>
        <v>6.8914522330671385E-2</v>
      </c>
      <c r="T51" s="17">
        <f t="shared" ca="1" si="10"/>
        <v>7.4713271436373574E-2</v>
      </c>
      <c r="U51" s="17">
        <f t="shared" ca="1" si="10"/>
        <v>7.6083248038212231E-2</v>
      </c>
      <c r="V51" s="56"/>
      <c r="W51" s="56"/>
      <c r="X51" s="56"/>
    </row>
    <row r="52" spans="1:24" x14ac:dyDescent="0.25">
      <c r="A52" t="str">
        <f>IFERROR(INDEX('2019 Data (WP)'!$C$9:$C$73,MATCH($B52,'2019 Data (WP)'!$D$9:$D$73,0)),"")</f>
        <v>Natural Gas Utility</v>
      </c>
      <c r="B52" t="s">
        <v>345</v>
      </c>
      <c r="C52" t="s">
        <v>348</v>
      </c>
      <c r="D52" s="35">
        <f t="shared" ca="1" si="11"/>
        <v>46</v>
      </c>
      <c r="E52" s="35">
        <f t="shared" ca="1" si="12"/>
        <v>47</v>
      </c>
      <c r="F52" s="35"/>
      <c r="G52" s="17">
        <f t="shared" ca="1" si="5"/>
        <v>5.1421225539208686E-2</v>
      </c>
      <c r="H52" s="17">
        <f t="shared" ca="1" si="5"/>
        <v>4.9565066541101835E-2</v>
      </c>
      <c r="I52" s="17">
        <f t="shared" ca="1" si="6"/>
        <v>4.7349459598558935E-2</v>
      </c>
      <c r="J52" s="17">
        <f t="shared" ca="1" si="6"/>
        <v>4.4834672146459933E-2</v>
      </c>
      <c r="K52" s="17">
        <f t="shared" ca="1" si="10"/>
        <v>3.8762909433230887E-2</v>
      </c>
      <c r="L52" s="17">
        <f t="shared" ca="1" si="10"/>
        <v>3.4053179715655954E-2</v>
      </c>
      <c r="M52" s="17">
        <f t="shared" ca="1" si="10"/>
        <v>2.4386703440267093E-2</v>
      </c>
      <c r="N52" s="17" t="str">
        <f t="shared" ca="1" si="10"/>
        <v>N/A</v>
      </c>
      <c r="O52" s="17" t="str">
        <f t="shared" ca="1" si="10"/>
        <v>N/A</v>
      </c>
      <c r="P52" s="17" t="str">
        <f t="shared" ca="1" si="10"/>
        <v>N/A</v>
      </c>
      <c r="Q52" s="17" t="str">
        <f t="shared" ca="1" si="10"/>
        <v>N/A</v>
      </c>
      <c r="R52" s="17" t="str">
        <f t="shared" ca="1" si="10"/>
        <v>N/A</v>
      </c>
      <c r="S52" s="17" t="str">
        <f t="shared" ca="1" si="10"/>
        <v>N/A</v>
      </c>
      <c r="T52" s="17" t="str">
        <f t="shared" ca="1" si="10"/>
        <v>N/A</v>
      </c>
      <c r="U52" s="17" t="str">
        <f t="shared" ca="1" si="10"/>
        <v>N/A</v>
      </c>
      <c r="V52" s="56"/>
      <c r="W52" s="56"/>
      <c r="X52" s="56"/>
    </row>
    <row r="53" spans="1:24" x14ac:dyDescent="0.25">
      <c r="A53" t="str">
        <f>IFERROR(INDEX('2019 Data (WP)'!$C$9:$C$73,MATCH($B53,'2019 Data (WP)'!$D$9:$D$73,0)),"")</f>
        <v>Electric Util. (Central)</v>
      </c>
      <c r="B53" t="s">
        <v>28</v>
      </c>
      <c r="C53" t="s">
        <v>68</v>
      </c>
      <c r="D53" s="35">
        <f t="shared" ca="1" si="11"/>
        <v>47</v>
      </c>
      <c r="E53" s="35">
        <f t="shared" ca="1" si="12"/>
        <v>48</v>
      </c>
      <c r="F53" s="35"/>
      <c r="G53" s="17">
        <f t="shared" ca="1" si="5"/>
        <v>7.0469479097228838E-2</v>
      </c>
      <c r="H53" s="17">
        <f t="shared" ca="1" si="5"/>
        <v>7.1942446043165464E-2</v>
      </c>
      <c r="I53" s="17">
        <f t="shared" ca="1" si="6"/>
        <v>7.2921201567261645E-2</v>
      </c>
      <c r="J53" s="17">
        <f t="shared" ca="1" si="6"/>
        <v>7.2657092581029689E-2</v>
      </c>
      <c r="K53" s="17">
        <f t="shared" ca="1" si="10"/>
        <v>7.3399882560187896E-2</v>
      </c>
      <c r="L53" s="17">
        <f t="shared" ca="1" si="10"/>
        <v>7.6961581779501936E-2</v>
      </c>
      <c r="M53" s="17">
        <f t="shared" ca="1" si="10"/>
        <v>7.8627591136526093E-2</v>
      </c>
      <c r="N53" s="17">
        <f t="shared" ca="1" si="10"/>
        <v>8.0705323838589346E-2</v>
      </c>
      <c r="O53" s="17">
        <f t="shared" ca="1" si="10"/>
        <v>8.2455654101995554E-2</v>
      </c>
      <c r="P53" s="17">
        <f t="shared" ca="1" si="10"/>
        <v>7.5178469897024439E-2</v>
      </c>
      <c r="Q53" s="17">
        <f t="shared" ca="1" si="10"/>
        <v>6.7748363222317101E-2</v>
      </c>
      <c r="R53" s="17">
        <f t="shared" ca="1" si="10"/>
        <v>6.3348416289592757E-2</v>
      </c>
      <c r="S53" s="17">
        <f t="shared" ca="1" si="10"/>
        <v>6.2176707246982599E-2</v>
      </c>
      <c r="T53" s="17">
        <f t="shared" ca="1" si="10"/>
        <v>6.6662868212637463E-2</v>
      </c>
      <c r="U53" s="17">
        <f t="shared" ca="1" si="10"/>
        <v>6.8998620027599433E-2</v>
      </c>
      <c r="V53" s="56"/>
      <c r="W53" s="56"/>
      <c r="X53" s="56"/>
    </row>
    <row r="54" spans="1:24" x14ac:dyDescent="0.25">
      <c r="A54" t="str">
        <f>IFERROR(INDEX('2019 Data (WP)'!$C$9:$C$73,MATCH($B54,'2019 Data (WP)'!$D$9:$D$73,0)),"")</f>
        <v/>
      </c>
      <c r="B54" t="s">
        <v>29</v>
      </c>
      <c r="C54" t="s">
        <v>73</v>
      </c>
      <c r="D54" s="35" t="e">
        <f t="shared" ca="1" si="11"/>
        <v>#N/A</v>
      </c>
      <c r="E54" s="35" t="e">
        <f t="shared" ca="1" si="12"/>
        <v>#N/A</v>
      </c>
      <c r="F54" s="35"/>
      <c r="G54" s="17" t="str">
        <f t="shared" ca="1" si="5"/>
        <v>N/A</v>
      </c>
      <c r="H54" s="17" t="str">
        <f t="shared" ca="1" si="5"/>
        <v>N/A</v>
      </c>
      <c r="I54" s="17" t="str">
        <f t="shared" ca="1" si="6"/>
        <v>N/A</v>
      </c>
      <c r="J54" s="17" t="str">
        <f t="shared" ca="1" si="6"/>
        <v>N/A</v>
      </c>
      <c r="K54" s="17" t="str">
        <f t="shared" ca="1" si="10"/>
        <v>N/A</v>
      </c>
      <c r="L54" s="17" t="str">
        <f t="shared" ca="1" si="10"/>
        <v>N/A</v>
      </c>
      <c r="M54" s="17" t="str">
        <f t="shared" ca="1" si="10"/>
        <v>N/A</v>
      </c>
      <c r="N54" s="17" t="str">
        <f t="shared" ca="1" si="10"/>
        <v>N/A</v>
      </c>
      <c r="O54" s="17" t="str">
        <f t="shared" ca="1" si="10"/>
        <v>N/A</v>
      </c>
      <c r="P54" s="17" t="str">
        <f t="shared" ca="1" si="10"/>
        <v>N/A</v>
      </c>
      <c r="Q54" s="17" t="str">
        <f t="shared" ca="1" si="10"/>
        <v>N/A</v>
      </c>
      <c r="R54" s="17" t="str">
        <f t="shared" ca="1" si="10"/>
        <v>N/A</v>
      </c>
      <c r="S54" s="17" t="str">
        <f t="shared" ca="1" si="10"/>
        <v>N/A</v>
      </c>
      <c r="T54" s="17" t="str">
        <f t="shared" ca="1" si="10"/>
        <v>N/A</v>
      </c>
      <c r="U54" s="17" t="str">
        <f t="shared" ca="1" si="10"/>
        <v>N/A</v>
      </c>
      <c r="V54" s="56"/>
      <c r="W54" s="56"/>
      <c r="X54" s="56"/>
    </row>
    <row r="55" spans="1:24" x14ac:dyDescent="0.25">
      <c r="A55" t="str">
        <f>IFERROR(INDEX('2019 Data (WP)'!$C$9:$C$73,MATCH($B55,'2019 Data (WP)'!$D$9:$D$73,0)),"")</f>
        <v>Electric Utility (West)</v>
      </c>
      <c r="B55" t="s">
        <v>30</v>
      </c>
      <c r="C55" t="s">
        <v>71</v>
      </c>
      <c r="D55" s="35">
        <f t="shared" ca="1" si="11"/>
        <v>48</v>
      </c>
      <c r="E55" s="35">
        <f t="shared" ca="1" si="12"/>
        <v>49</v>
      </c>
      <c r="F55" s="35"/>
      <c r="G55" s="17">
        <f t="shared" ca="1" si="5"/>
        <v>0</v>
      </c>
      <c r="H55" s="17">
        <f t="shared" ca="1" si="5"/>
        <v>0</v>
      </c>
      <c r="I55" s="17">
        <f t="shared" ca="1" si="6"/>
        <v>0</v>
      </c>
      <c r="J55" s="17">
        <f t="shared" ca="1" si="6"/>
        <v>4.1512668059349722E-2</v>
      </c>
      <c r="K55" s="17">
        <f t="shared" ca="1" si="10"/>
        <v>5.4390822784810125E-2</v>
      </c>
      <c r="L55" s="17">
        <f t="shared" ca="1" si="10"/>
        <v>5.4023568523850519E-2</v>
      </c>
      <c r="M55" s="17">
        <f t="shared" ca="1" si="10"/>
        <v>5.5001511030522809E-2</v>
      </c>
      <c r="N55" s="17">
        <f t="shared" ca="1" si="10"/>
        <v>5.7950710055403427E-2</v>
      </c>
      <c r="O55" s="17">
        <f t="shared" ca="1" si="10"/>
        <v>5.9959148711866646E-2</v>
      </c>
      <c r="P55" s="17">
        <f t="shared" ca="1" si="10"/>
        <v>6.2003883759751986E-2</v>
      </c>
      <c r="Q55" s="17">
        <f t="shared" ca="1" si="10"/>
        <v>6.3756743501716534E-2</v>
      </c>
      <c r="R55" s="17">
        <f t="shared" ca="1" si="10"/>
        <v>6.0253927264902085E-2</v>
      </c>
      <c r="S55" s="17">
        <f t="shared" ca="1" si="10"/>
        <v>6.0066997805244313E-2</v>
      </c>
      <c r="T55" s="17">
        <f t="shared" ca="1" si="10"/>
        <v>5.9553349875930521E-2</v>
      </c>
      <c r="U55" s="17">
        <f t="shared" ca="1" si="10"/>
        <v>5.8831394571466772E-2</v>
      </c>
      <c r="V55" s="56"/>
      <c r="W55" s="56"/>
      <c r="X55" s="56"/>
    </row>
    <row r="56" spans="1:24" x14ac:dyDescent="0.25">
      <c r="A56" t="str">
        <f>IFERROR(INDEX('2019 Data (WP)'!$C$9:$C$73,MATCH($B56,'2019 Data (WP)'!$D$9:$D$73,0)),"")</f>
        <v>Electric Utility (West)</v>
      </c>
      <c r="B56" t="s">
        <v>31</v>
      </c>
      <c r="C56" t="s">
        <v>72</v>
      </c>
      <c r="D56" s="35">
        <f t="shared" ca="1" si="11"/>
        <v>49</v>
      </c>
      <c r="E56" s="35">
        <f t="shared" ca="1" si="12"/>
        <v>50</v>
      </c>
      <c r="F56" s="35"/>
      <c r="G56" s="17">
        <f t="shared" ca="1" si="5"/>
        <v>6.4651721377101679E-2</v>
      </c>
      <c r="H56" s="17">
        <f t="shared" ca="1" si="5"/>
        <v>6.2939958592132514E-2</v>
      </c>
      <c r="I56" s="17">
        <f t="shared" ca="1" si="6"/>
        <v>6.1599879805112577E-2</v>
      </c>
      <c r="J56" s="17">
        <f t="shared" ca="1" si="6"/>
        <v>6.0265166733627966E-2</v>
      </c>
      <c r="K56" s="17">
        <f t="shared" ref="K56:U65" ca="1" si="13">IFERROR(INDEX(Dividends,$D56,K$2)/INDEX(BookValue,$E56,K$2),"N/A")</f>
        <v>5.9334801251593461E-2</v>
      </c>
      <c r="L56" s="17">
        <f t="shared" ca="1" si="13"/>
        <v>5.9074181677319385E-2</v>
      </c>
      <c r="M56" s="17">
        <f t="shared" ca="1" si="13"/>
        <v>5.8862249677207018E-2</v>
      </c>
      <c r="N56" s="17">
        <f t="shared" ca="1" si="13"/>
        <v>5.8446505030339643E-2</v>
      </c>
      <c r="O56" s="17">
        <f t="shared" ca="1" si="13"/>
        <v>7.3754868650037289E-2</v>
      </c>
      <c r="P56" s="17">
        <f t="shared" ca="1" si="13"/>
        <v>6.0027441115938718E-2</v>
      </c>
      <c r="Q56" s="17">
        <f t="shared" ca="1" si="13"/>
        <v>6.2012756909992924E-2</v>
      </c>
      <c r="R56" s="17">
        <f t="shared" ca="1" si="13"/>
        <v>6.4235898690811213E-2</v>
      </c>
      <c r="S56" s="17">
        <f t="shared" ca="1" si="13"/>
        <v>6.1482609204824928E-2</v>
      </c>
      <c r="T56" s="17">
        <f t="shared" ca="1" si="13"/>
        <v>5.9752454118651301E-2</v>
      </c>
      <c r="U56" s="17">
        <f t="shared" ca="1" si="13"/>
        <v>5.8738216098622183E-2</v>
      </c>
      <c r="V56" s="56"/>
      <c r="W56" s="56"/>
      <c r="X56" s="56"/>
    </row>
    <row r="57" spans="1:24" x14ac:dyDescent="0.25">
      <c r="A57" t="str">
        <f>IFERROR(INDEX('2019 Data (WP)'!$C$9:$C$73,MATCH($B57,'2019 Data (WP)'!$D$9:$D$73,0)),"")</f>
        <v>Electric Utility (West)</v>
      </c>
      <c r="B57" t="s">
        <v>32</v>
      </c>
      <c r="C57" t="s">
        <v>74</v>
      </c>
      <c r="D57" s="35">
        <f t="shared" ca="1" si="11"/>
        <v>50</v>
      </c>
      <c r="E57" s="35">
        <f t="shared" ca="1" si="12"/>
        <v>51</v>
      </c>
      <c r="F57" s="35"/>
      <c r="G57" s="17">
        <f t="shared" ca="1" si="5"/>
        <v>5.2351635465091931E-2</v>
      </c>
      <c r="H57" s="17">
        <f t="shared" ca="1" si="5"/>
        <v>5.5895610913404503E-2</v>
      </c>
      <c r="I57" s="17">
        <f t="shared" ca="1" si="6"/>
        <v>5.1186488654054819E-2</v>
      </c>
      <c r="J57" s="17">
        <f t="shared" ca="1" si="6"/>
        <v>4.6656956256166893E-2</v>
      </c>
      <c r="K57" s="17">
        <f t="shared" ca="1" si="13"/>
        <v>4.1825095057034224E-2</v>
      </c>
      <c r="L57" s="17">
        <f t="shared" ca="1" si="13"/>
        <v>3.8507821901323708E-2</v>
      </c>
      <c r="M57" s="17">
        <f t="shared" ca="1" si="13"/>
        <v>3.3718904917154215E-2</v>
      </c>
      <c r="N57" s="17">
        <f t="shared" ca="1" si="13"/>
        <v>3.2588900603853159E-2</v>
      </c>
      <c r="O57" s="17">
        <f t="shared" ca="1" si="13"/>
        <v>2.893489648291344E-2</v>
      </c>
      <c r="P57" s="17">
        <f t="shared" ca="1" si="13"/>
        <v>2.5489396411092987E-2</v>
      </c>
      <c r="Q57" s="17">
        <f t="shared" ca="1" si="13"/>
        <v>2.8413934193328407E-2</v>
      </c>
      <c r="R57" s="17">
        <f t="shared" ca="1" si="13"/>
        <v>2.6453626792233214E-2</v>
      </c>
      <c r="S57" s="17">
        <f t="shared" ca="1" si="13"/>
        <v>3.2022442174350289E-2</v>
      </c>
      <c r="T57" s="17">
        <f t="shared" ca="1" si="13"/>
        <v>4.1303558460421205E-2</v>
      </c>
      <c r="U57" s="17">
        <f t="shared" ca="1" si="13"/>
        <v>3.8928118776027525E-2</v>
      </c>
      <c r="V57" s="56"/>
      <c r="W57" s="56"/>
      <c r="X57" s="56"/>
    </row>
    <row r="58" spans="1:24" x14ac:dyDescent="0.25">
      <c r="A58" t="str">
        <f>IFERROR(INDEX('2019 Data (WP)'!$C$9:$C$73,MATCH($B58,'2019 Data (WP)'!$D$9:$D$73,0)),"")</f>
        <v>Electric Utility (West)</v>
      </c>
      <c r="B58" t="s">
        <v>33</v>
      </c>
      <c r="C58" t="s">
        <v>92</v>
      </c>
      <c r="D58" s="35">
        <f t="shared" ca="1" si="11"/>
        <v>51</v>
      </c>
      <c r="E58" s="35">
        <f t="shared" ca="1" si="12"/>
        <v>52</v>
      </c>
      <c r="F58" s="35"/>
      <c r="G58" s="17">
        <f t="shared" ca="1" si="5"/>
        <v>5.4312442175239006E-2</v>
      </c>
      <c r="H58" s="17">
        <f t="shared" ca="1" si="5"/>
        <v>5.2370109708134958E-2</v>
      </c>
      <c r="I58" s="17">
        <f t="shared" ca="1" si="6"/>
        <v>5.0867381469739605E-2</v>
      </c>
      <c r="J58" s="17">
        <f t="shared" ca="1" si="6"/>
        <v>4.9426432075541295E-2</v>
      </c>
      <c r="K58" s="17">
        <f t="shared" ca="1" si="13"/>
        <v>4.7812393275907861E-2</v>
      </c>
      <c r="L58" s="17">
        <f t="shared" ca="1" si="13"/>
        <v>4.640188753440818E-2</v>
      </c>
      <c r="M58" s="17">
        <f t="shared" ca="1" si="13"/>
        <v>4.5644342557720645E-2</v>
      </c>
      <c r="N58" s="17">
        <f t="shared" ca="1" si="13"/>
        <v>4.7005795235028972E-2</v>
      </c>
      <c r="O58" s="17">
        <f t="shared" ca="1" si="13"/>
        <v>4.7004809794490593E-2</v>
      </c>
      <c r="P58" s="17">
        <f t="shared" ca="1" si="13"/>
        <v>4.7808945484207187E-2</v>
      </c>
      <c r="Q58" s="17">
        <f t="shared" ca="1" si="13"/>
        <v>4.8966267682263323E-2</v>
      </c>
      <c r="R58" s="17">
        <f t="shared" ca="1" si="13"/>
        <v>4.9263486489123015E-2</v>
      </c>
      <c r="S58" s="17">
        <f t="shared" ca="1" si="13"/>
        <v>4.4828542379147789E-2</v>
      </c>
      <c r="T58" s="17">
        <f t="shared" ca="1" si="13"/>
        <v>4.4188919509645541E-2</v>
      </c>
      <c r="U58" s="17">
        <f t="shared" ca="1" si="13"/>
        <v>3.4468671807179704E-2</v>
      </c>
      <c r="V58" s="56"/>
      <c r="W58" s="56"/>
      <c r="X58" s="56"/>
    </row>
    <row r="59" spans="1:24" x14ac:dyDescent="0.25">
      <c r="A59" t="str">
        <f>IFERROR(INDEX('2019 Data (WP)'!$C$9:$C$73,MATCH($B59,'2019 Data (WP)'!$D$9:$D$73,0)),"")</f>
        <v>Electric Utility (East)</v>
      </c>
      <c r="B59" t="s">
        <v>34</v>
      </c>
      <c r="C59" t="s">
        <v>70</v>
      </c>
      <c r="D59" s="35">
        <f t="shared" ca="1" si="11"/>
        <v>52</v>
      </c>
      <c r="E59" s="35">
        <f t="shared" ca="1" si="12"/>
        <v>53</v>
      </c>
      <c r="F59" s="35"/>
      <c r="G59" s="17">
        <f t="shared" ca="1" si="5"/>
        <v>9.5446182152713888E-2</v>
      </c>
      <c r="H59" s="17">
        <f t="shared" ca="1" si="5"/>
        <v>9.7448618001417436E-2</v>
      </c>
      <c r="I59" s="17">
        <f t="shared" ca="1" si="6"/>
        <v>0.10134091330408453</v>
      </c>
      <c r="J59" s="17">
        <f t="shared" ca="1" si="6"/>
        <v>0.10181068367807204</v>
      </c>
      <c r="K59" s="17">
        <f t="shared" ca="1" si="13"/>
        <v>0.10437409874339078</v>
      </c>
      <c r="L59" s="17">
        <f t="shared" ca="1" si="13"/>
        <v>0.10190217391304347</v>
      </c>
      <c r="M59" s="17">
        <f t="shared" ca="1" si="13"/>
        <v>7.2800117261933847E-2</v>
      </c>
      <c r="N59" s="17">
        <f t="shared" ca="1" si="13"/>
        <v>7.4328765737978461E-2</v>
      </c>
      <c r="O59" s="17">
        <f t="shared" ca="1" si="13"/>
        <v>7.9960019990004988E-2</v>
      </c>
      <c r="P59" s="17">
        <f t="shared" ca="1" si="13"/>
        <v>7.4786324786324784E-2</v>
      </c>
      <c r="Q59" s="17">
        <f t="shared" ca="1" si="13"/>
        <v>8.2430522845030607E-2</v>
      </c>
      <c r="R59" s="17">
        <f t="shared" ca="1" si="13"/>
        <v>9.4708667901997112E-2</v>
      </c>
      <c r="S59" s="17">
        <f t="shared" ca="1" si="13"/>
        <v>9.8863804043086909E-2</v>
      </c>
      <c r="T59" s="17">
        <f t="shared" ca="1" si="13"/>
        <v>8.1961706415854887E-2</v>
      </c>
      <c r="U59" s="17">
        <f t="shared" ca="1" si="13"/>
        <v>8.2688115462677597E-2</v>
      </c>
      <c r="V59" s="56"/>
      <c r="W59" s="56"/>
      <c r="X59" s="56"/>
    </row>
    <row r="60" spans="1:24" x14ac:dyDescent="0.25">
      <c r="A60" t="str">
        <f>IFERROR(INDEX('2019 Data (WP)'!$C$9:$C$73,MATCH($B60,'2019 Data (WP)'!$D$9:$D$73,0)),"")</f>
        <v>Electric Utility (East)</v>
      </c>
      <c r="B60" t="s">
        <v>35</v>
      </c>
      <c r="C60" t="s">
        <v>75</v>
      </c>
      <c r="D60" s="35">
        <f t="shared" ca="1" si="11"/>
        <v>53</v>
      </c>
      <c r="E60" s="35">
        <f t="shared" ca="1" si="12"/>
        <v>54</v>
      </c>
      <c r="F60" s="35"/>
      <c r="G60" s="17">
        <f t="shared" ca="1" si="5"/>
        <v>6.1802358579807024E-2</v>
      </c>
      <c r="H60" s="17">
        <f t="shared" ca="1" si="5"/>
        <v>6.2796445988375971E-2</v>
      </c>
      <c r="I60" s="17">
        <f t="shared" ca="1" si="6"/>
        <v>6.3100329523943066E-2</v>
      </c>
      <c r="J60" s="17">
        <f t="shared" ca="1" si="6"/>
        <v>6.2727935813274974E-2</v>
      </c>
      <c r="K60" s="17">
        <f t="shared" ca="1" si="13"/>
        <v>6.3059945399315559E-2</v>
      </c>
      <c r="L60" s="17">
        <f t="shared" ca="1" si="13"/>
        <v>6.0327158822846977E-2</v>
      </c>
      <c r="M60" s="17">
        <f t="shared" ca="1" si="13"/>
        <v>6.1438831001702027E-2</v>
      </c>
      <c r="N60" s="17">
        <f t="shared" ca="1" si="13"/>
        <v>6.2753301085109167E-2</v>
      </c>
      <c r="O60" s="17">
        <f t="shared" ca="1" si="13"/>
        <v>6.6638509549955413E-2</v>
      </c>
      <c r="P60" s="17">
        <f t="shared" ca="1" si="13"/>
        <v>6.7491009409330519E-2</v>
      </c>
      <c r="Q60" s="17">
        <f t="shared" ca="1" si="13"/>
        <v>7.1957560796260311E-2</v>
      </c>
      <c r="R60" s="17">
        <f t="shared" ca="1" si="13"/>
        <v>7.6577614002763708E-2</v>
      </c>
      <c r="S60" s="17">
        <f t="shared" ca="1" si="13"/>
        <v>8.40007814026177E-2</v>
      </c>
      <c r="T60" s="17">
        <f t="shared" ca="1" si="13"/>
        <v>8.1516059360412452E-2</v>
      </c>
      <c r="U60" s="17">
        <f t="shared" ca="1" si="13"/>
        <v>8.5374073241968093E-2</v>
      </c>
      <c r="V60" s="56"/>
      <c r="W60" s="56"/>
      <c r="X60" s="56"/>
    </row>
    <row r="61" spans="1:24" x14ac:dyDescent="0.25">
      <c r="A61" t="str">
        <f>IFERROR(INDEX('2019 Data (WP)'!$C$9:$C$73,MATCH($B61,'2019 Data (WP)'!$D$9:$D$73,0)),"")</f>
        <v>Electric Utility (East)</v>
      </c>
      <c r="B61" t="s">
        <v>36</v>
      </c>
      <c r="C61" t="s">
        <v>76</v>
      </c>
      <c r="D61" s="35">
        <f t="shared" ca="1" si="11"/>
        <v>55</v>
      </c>
      <c r="E61" s="35">
        <f t="shared" ca="1" si="12"/>
        <v>56</v>
      </c>
      <c r="F61" s="35"/>
      <c r="G61" s="17" t="str">
        <f t="shared" ca="1" si="5"/>
        <v>N/A</v>
      </c>
      <c r="H61" s="17" t="str">
        <f t="shared" ca="1" si="5"/>
        <v>N/A</v>
      </c>
      <c r="I61" s="17" t="str">
        <f t="shared" ca="1" si="6"/>
        <v>N/A</v>
      </c>
      <c r="J61" s="17">
        <f t="shared" ca="1" si="6"/>
        <v>6.6670294982039843E-2</v>
      </c>
      <c r="K61" s="17">
        <f t="shared" ca="1" si="13"/>
        <v>5.7409579911639162E-2</v>
      </c>
      <c r="L61" s="17">
        <f t="shared" ca="1" si="13"/>
        <v>5.7232869519558936E-2</v>
      </c>
      <c r="M61" s="17">
        <f t="shared" ca="1" si="13"/>
        <v>6.0090994935187568E-2</v>
      </c>
      <c r="N61" s="17">
        <f t="shared" ca="1" si="13"/>
        <v>6.1370094927141898E-2</v>
      </c>
      <c r="O61" s="17">
        <f t="shared" ca="1" si="13"/>
        <v>6.2923062255696452E-2</v>
      </c>
      <c r="P61" s="17">
        <f t="shared" ca="1" si="13"/>
        <v>6.4789767224393002E-2</v>
      </c>
      <c r="Q61" s="17">
        <f t="shared" ca="1" si="13"/>
        <v>6.5408978242908297E-2</v>
      </c>
      <c r="R61" s="17">
        <f t="shared" ca="1" si="13"/>
        <v>6.8039520828055436E-2</v>
      </c>
      <c r="S61" s="17">
        <f t="shared" ca="1" si="13"/>
        <v>7.117162418288013E-2</v>
      </c>
      <c r="T61" s="17">
        <f t="shared" ca="1" si="13"/>
        <v>6.9367807031373172E-2</v>
      </c>
      <c r="U61" s="17">
        <f t="shared" ca="1" si="13"/>
        <v>6.886657101865136E-2</v>
      </c>
      <c r="V61" s="56"/>
      <c r="W61" s="56"/>
      <c r="X61" s="56"/>
    </row>
    <row r="62" spans="1:24" x14ac:dyDescent="0.25">
      <c r="A62" t="str">
        <f>IFERROR(INDEX('2019 Data (WP)'!$C$9:$C$73,MATCH($B62,'2019 Data (WP)'!$D$9:$D$73,0)),"")</f>
        <v>Electric Utility (West)</v>
      </c>
      <c r="B62" t="s">
        <v>37</v>
      </c>
      <c r="C62" t="s">
        <v>54</v>
      </c>
      <c r="D62" s="35">
        <f t="shared" ca="1" si="11"/>
        <v>56</v>
      </c>
      <c r="E62" s="35">
        <f t="shared" ca="1" si="12"/>
        <v>57</v>
      </c>
      <c r="F62" s="35"/>
      <c r="G62" s="17">
        <f t="shared" ca="1" si="5"/>
        <v>5.961634457676674E-2</v>
      </c>
      <c r="H62" s="17">
        <f t="shared" ca="1" si="5"/>
        <v>6.3885633161100755E-2</v>
      </c>
      <c r="I62" s="17">
        <f t="shared" ca="1" si="6"/>
        <v>6.5866941418899039E-2</v>
      </c>
      <c r="J62" s="17">
        <f t="shared" ca="1" si="6"/>
        <v>6.5270007538785063E-2</v>
      </c>
      <c r="K62" s="17">
        <f t="shared" ca="1" si="13"/>
        <v>5.8332689484663525E-2</v>
      </c>
      <c r="L62" s="17">
        <f t="shared" ca="1" si="13"/>
        <v>5.8873002523128673E-2</v>
      </c>
      <c r="M62" s="17">
        <f t="shared" ca="1" si="13"/>
        <v>5.741751669240306E-2</v>
      </c>
      <c r="N62" s="17">
        <f t="shared" ca="1" si="13"/>
        <v>5.5962691538974013E-2</v>
      </c>
      <c r="O62" s="17">
        <f t="shared" ca="1" si="13"/>
        <v>5.6573085354642526E-2</v>
      </c>
      <c r="P62" s="17">
        <f t="shared" ca="1" si="13"/>
        <v>4.6825842011560127E-2</v>
      </c>
      <c r="Q62" s="17">
        <f t="shared" ca="1" si="13"/>
        <v>4.1552353301547558E-2</v>
      </c>
      <c r="R62" s="17">
        <f t="shared" ca="1" si="13"/>
        <v>4.2695276150856651E-2</v>
      </c>
      <c r="S62" s="17">
        <f t="shared" ca="1" si="13"/>
        <v>4.1830783792861294E-2</v>
      </c>
      <c r="T62" s="17">
        <f t="shared" ca="1" si="13"/>
        <v>3.8908064010040787E-2</v>
      </c>
      <c r="U62" s="17">
        <f t="shared" ca="1" si="13"/>
        <v>4.1876046901172533E-2</v>
      </c>
    </row>
    <row r="63" spans="1:24" x14ac:dyDescent="0.25">
      <c r="A63" t="str">
        <f>IFERROR(INDEX('2019 Data (WP)'!$C$9:$C$73,MATCH($B63,'2019 Data (WP)'!$D$9:$D$73,0)),"")</f>
        <v/>
      </c>
      <c r="B63" t="s">
        <v>64</v>
      </c>
      <c r="C63" t="s">
        <v>63</v>
      </c>
      <c r="D63" s="35" t="e">
        <f t="shared" ca="1" si="11"/>
        <v>#N/A</v>
      </c>
      <c r="E63" s="35" t="e">
        <f t="shared" ca="1" si="12"/>
        <v>#N/A</v>
      </c>
      <c r="F63" s="35"/>
      <c r="G63" s="17" t="str">
        <f t="shared" ca="1" si="5"/>
        <v>N/A</v>
      </c>
      <c r="H63" s="17" t="str">
        <f t="shared" ca="1" si="5"/>
        <v>N/A</v>
      </c>
      <c r="I63" s="17" t="str">
        <f t="shared" ca="1" si="6"/>
        <v>N/A</v>
      </c>
      <c r="J63" s="17" t="str">
        <f t="shared" ca="1" si="6"/>
        <v>N/A</v>
      </c>
      <c r="K63" s="17" t="str">
        <f t="shared" ca="1" si="13"/>
        <v>N/A</v>
      </c>
      <c r="L63" s="17" t="str">
        <f t="shared" ca="1" si="13"/>
        <v>N/A</v>
      </c>
      <c r="M63" s="17" t="str">
        <f t="shared" ca="1" si="13"/>
        <v>N/A</v>
      </c>
      <c r="N63" s="17" t="str">
        <f t="shared" ca="1" si="13"/>
        <v>N/A</v>
      </c>
      <c r="O63" s="17" t="str">
        <f t="shared" ca="1" si="13"/>
        <v>N/A</v>
      </c>
      <c r="P63" s="17" t="str">
        <f t="shared" ca="1" si="13"/>
        <v>N/A</v>
      </c>
      <c r="Q63" s="17" t="str">
        <f t="shared" ca="1" si="13"/>
        <v>N/A</v>
      </c>
      <c r="R63" s="17" t="str">
        <f t="shared" ca="1" si="13"/>
        <v>N/A</v>
      </c>
      <c r="S63" s="17" t="str">
        <f t="shared" ca="1" si="13"/>
        <v>N/A</v>
      </c>
      <c r="T63" s="17" t="str">
        <f t="shared" ca="1" si="13"/>
        <v>N/A</v>
      </c>
      <c r="U63" s="17" t="str">
        <f t="shared" ca="1" si="13"/>
        <v>N/A</v>
      </c>
    </row>
    <row r="64" spans="1:24" x14ac:dyDescent="0.25">
      <c r="A64" t="str">
        <f>IFERROR(INDEX('2019 Data (WP)'!$C$9:$C$73,MATCH($B64,'2019 Data (WP)'!$D$9:$D$73,0)),"")</f>
        <v>Water Utility</v>
      </c>
      <c r="B64" s="31" t="s">
        <v>196</v>
      </c>
      <c r="C64" s="31" t="s">
        <v>195</v>
      </c>
      <c r="D64" s="35">
        <f t="shared" ca="1" si="11"/>
        <v>57</v>
      </c>
      <c r="E64" s="35">
        <f t="shared" ca="1" si="12"/>
        <v>58</v>
      </c>
      <c r="F64" s="35"/>
      <c r="G64" s="17">
        <f t="shared" ca="1" si="5"/>
        <v>3.985428277859078E-2</v>
      </c>
      <c r="H64" s="17">
        <f t="shared" ca="1" si="5"/>
        <v>3.8369304556354913E-2</v>
      </c>
      <c r="I64" s="17">
        <f t="shared" ca="1" si="6"/>
        <v>3.5772461592513335E-2</v>
      </c>
      <c r="J64" s="17">
        <f t="shared" ca="1" si="6"/>
        <v>4.6074782916888185E-2</v>
      </c>
      <c r="K64" s="17">
        <f t="shared" ca="1" si="13"/>
        <v>3.9297496603920054E-2</v>
      </c>
      <c r="L64" s="17">
        <f t="shared" ca="1" si="13"/>
        <v>4.142326075411578E-2</v>
      </c>
      <c r="M64" s="17">
        <f t="shared" ca="1" si="13"/>
        <v>4.2246380893370135E-2</v>
      </c>
      <c r="N64" s="17">
        <f t="shared" ca="1" si="13"/>
        <v>4.5842753077116299E-2</v>
      </c>
      <c r="O64" s="17">
        <f t="shared" ca="1" si="13"/>
        <v>4.8273048680989937E-2</v>
      </c>
      <c r="P64" s="17">
        <f t="shared" ca="1" si="13"/>
        <v>4.8594971476864562E-2</v>
      </c>
      <c r="Q64" s="17">
        <f t="shared" ca="1" si="13"/>
        <v>4.9465337891903695E-2</v>
      </c>
      <c r="R64" s="17">
        <f t="shared" ca="1" si="13"/>
        <v>4.8309178743961352E-2</v>
      </c>
      <c r="S64" s="17">
        <f t="shared" ca="1" si="13"/>
        <v>4.6094475809333235E-2</v>
      </c>
      <c r="T64" s="17">
        <f t="shared" ca="1" si="13"/>
        <v>4.6884686918784869E-2</v>
      </c>
      <c r="U64" s="17">
        <f t="shared" ca="1" si="13"/>
        <v>4.5268808589055361E-2</v>
      </c>
    </row>
    <row r="65" spans="1:21" x14ac:dyDescent="0.25">
      <c r="A65" t="str">
        <f>IFERROR(INDEX('2019 Data (WP)'!$C$9:$C$73,MATCH($B65,'2019 Data (WP)'!$D$9:$D$73,0)),"")</f>
        <v>Natural Gas Utility</v>
      </c>
      <c r="B65" s="31" t="s">
        <v>198</v>
      </c>
      <c r="C65" s="31" t="s">
        <v>197</v>
      </c>
      <c r="D65" s="35">
        <f t="shared" ca="1" si="11"/>
        <v>58</v>
      </c>
      <c r="E65" s="35">
        <f t="shared" ca="1" si="12"/>
        <v>59</v>
      </c>
      <c r="F65" s="35"/>
      <c r="G65" s="17">
        <f t="shared" ca="1" si="5"/>
        <v>7.2073163345648353E-2</v>
      </c>
      <c r="H65" s="17">
        <f t="shared" ca="1" si="5"/>
        <v>7.5275794938351709E-2</v>
      </c>
      <c r="I65" s="17">
        <f t="shared" ca="1" si="6"/>
        <v>7.6258604400053984E-2</v>
      </c>
      <c r="J65" s="17">
        <f t="shared" ca="1" si="6"/>
        <v>7.3382254836557706E-2</v>
      </c>
      <c r="K65" s="17">
        <f t="shared" ca="1" si="13"/>
        <v>6.534738918685655E-2</v>
      </c>
      <c r="L65" s="17">
        <f t="shared" ca="1" si="13"/>
        <v>6.9767441860465115E-2</v>
      </c>
      <c r="M65" s="17">
        <f t="shared" ca="1" si="13"/>
        <v>7.0355441553682674E-2</v>
      </c>
      <c r="N65" s="17">
        <f t="shared" ca="1" si="13"/>
        <v>7.1208165202943277E-2</v>
      </c>
      <c r="O65" s="17">
        <f t="shared" ca="1" si="13"/>
        <v>7.0943331326855277E-2</v>
      </c>
      <c r="P65" s="17">
        <f t="shared" ca="1" si="13"/>
        <v>7.2611094975312221E-2</v>
      </c>
      <c r="Q65" s="17">
        <f t="shared" ca="1" si="13"/>
        <v>7.1263885977782437E-2</v>
      </c>
      <c r="R65" s="17">
        <f t="shared" ca="1" si="13"/>
        <v>6.6871300153475116E-2</v>
      </c>
      <c r="S65" s="17">
        <f t="shared" ca="1" si="13"/>
        <v>6.4043387952919459E-2</v>
      </c>
      <c r="T65" s="17">
        <f t="shared" ca="1" si="13"/>
        <v>6.21614967996061E-2</v>
      </c>
      <c r="U65" s="17">
        <f t="shared" ca="1" si="13"/>
        <v>6.0894890124437384E-2</v>
      </c>
    </row>
    <row r="66" spans="1:21" x14ac:dyDescent="0.25">
      <c r="A66" t="str">
        <f>IFERROR(INDEX('2019 Data (WP)'!$C$9:$C$73,MATCH($B66,'2019 Data (WP)'!$D$9:$D$73,0)),"")</f>
        <v>Electric Utility (East)</v>
      </c>
      <c r="B66" t="s">
        <v>38</v>
      </c>
      <c r="C66" t="s">
        <v>77</v>
      </c>
      <c r="D66" s="35">
        <f t="shared" ca="1" si="11"/>
        <v>59</v>
      </c>
      <c r="E66" s="35">
        <f t="shared" ca="1" si="12"/>
        <v>60</v>
      </c>
      <c r="F66" s="35"/>
      <c r="G66" s="17">
        <f t="shared" ca="1" si="5"/>
        <v>9.5932318616157419E-2</v>
      </c>
      <c r="H66" s="17">
        <f t="shared" ca="1" si="5"/>
        <v>9.4202343570498573E-2</v>
      </c>
      <c r="I66" s="17">
        <f t="shared" ca="1" si="6"/>
        <v>9.9519130252979301E-2</v>
      </c>
      <c r="J66" s="17">
        <f t="shared" ca="1" si="6"/>
        <v>9.5893266624973938E-2</v>
      </c>
      <c r="K66" s="17">
        <f t="shared" ref="K66:U75" ca="1" si="14">IFERROR(INDEX(Dividends,$D66,K$2)/INDEX(BookValue,$E66,K$2),"N/A")</f>
        <v>8.8927114169133528E-2</v>
      </c>
      <c r="L66" s="17">
        <f t="shared" ca="1" si="14"/>
        <v>9.5324537324006031E-2</v>
      </c>
      <c r="M66" s="17">
        <f t="shared" ca="1" si="14"/>
        <v>9.4785220240262119E-2</v>
      </c>
      <c r="N66" s="17">
        <f t="shared" ca="1" si="14"/>
        <v>9.394688943855882E-2</v>
      </c>
      <c r="O66" s="17">
        <f t="shared" ca="1" si="14"/>
        <v>9.2150818117144886E-2</v>
      </c>
      <c r="P66" s="17">
        <f t="shared" ca="1" si="14"/>
        <v>9.2184270105325317E-2</v>
      </c>
      <c r="Q66" s="17">
        <f t="shared" ca="1" si="14"/>
        <v>9.3847595252966889E-2</v>
      </c>
      <c r="R66" s="17">
        <f t="shared" ca="1" si="14"/>
        <v>9.5471573380343761E-2</v>
      </c>
      <c r="S66" s="17">
        <f t="shared" ca="1" si="14"/>
        <v>9.7353939819693244E-2</v>
      </c>
      <c r="T66" s="17">
        <f t="shared" ca="1" si="14"/>
        <v>9.8274799753542821E-2</v>
      </c>
      <c r="U66" s="17">
        <f t="shared" ca="1" si="14"/>
        <v>0.10074161580363589</v>
      </c>
    </row>
    <row r="67" spans="1:21" x14ac:dyDescent="0.25">
      <c r="A67" t="str">
        <f>IFERROR(INDEX('2019 Data (WP)'!$C$9:$C$73,MATCH($B67,'2019 Data (WP)'!$D$9:$D$73,0)),"")</f>
        <v>Natural Gas Utility</v>
      </c>
      <c r="B67" s="31" t="s">
        <v>200</v>
      </c>
      <c r="C67" s="31" t="s">
        <v>199</v>
      </c>
      <c r="D67" s="35">
        <f t="shared" ca="1" si="11"/>
        <v>60</v>
      </c>
      <c r="E67" s="35">
        <f t="shared" ca="1" si="12"/>
        <v>61</v>
      </c>
      <c r="F67" s="35"/>
      <c r="G67" s="17">
        <f t="shared" ca="1" si="5"/>
        <v>4.874815590857582E-2</v>
      </c>
      <c r="H67" s="17">
        <f t="shared" ca="1" si="5"/>
        <v>4.7853191676178776E-2</v>
      </c>
      <c r="I67" s="17">
        <f t="shared" ca="1" si="6"/>
        <v>4.897574758653167E-2</v>
      </c>
      <c r="J67" s="17">
        <f t="shared" ca="1" si="6"/>
        <v>5.2468399713808726E-2</v>
      </c>
      <c r="K67" s="17">
        <f t="shared" ca="1" si="14"/>
        <v>5.1378660729576982E-2</v>
      </c>
      <c r="L67" s="17">
        <f t="shared" ca="1" si="14"/>
        <v>4.8201374631795059E-2</v>
      </c>
      <c r="M67" s="17">
        <f t="shared" ca="1" si="14"/>
        <v>4.5700691770745296E-2</v>
      </c>
      <c r="N67" s="17">
        <f t="shared" ca="1" si="14"/>
        <v>4.3324143363528952E-2</v>
      </c>
      <c r="O67" s="17">
        <f t="shared" ca="1" si="14"/>
        <v>4.1615235408217245E-2</v>
      </c>
      <c r="P67" s="17">
        <f t="shared" ca="1" si="14"/>
        <v>3.9764414600292605E-2</v>
      </c>
      <c r="Q67" s="17">
        <f t="shared" ca="1" si="14"/>
        <v>3.9039625219597897E-2</v>
      </c>
      <c r="R67" s="17">
        <f t="shared" ca="1" si="14"/>
        <v>3.8869113375066489E-2</v>
      </c>
      <c r="S67" s="17">
        <f t="shared" ca="1" si="14"/>
        <v>3.8322333404300621E-2</v>
      </c>
      <c r="T67" s="17">
        <f t="shared" ca="1" si="14"/>
        <v>3.7423846823324627E-2</v>
      </c>
      <c r="U67" s="17">
        <f t="shared" ca="1" si="14"/>
        <v>3.7996385709652004E-2</v>
      </c>
    </row>
    <row r="68" spans="1:21" x14ac:dyDescent="0.25">
      <c r="A68" t="str">
        <f>IFERROR(INDEX('2019 Data (WP)'!$C$9:$C$73,MATCH($B68,'2019 Data (WP)'!$D$9:$D$73,0)),"")</f>
        <v>Natural Gas Utility</v>
      </c>
      <c r="B68" s="31" t="s">
        <v>244</v>
      </c>
      <c r="C68" s="31" t="s">
        <v>243</v>
      </c>
      <c r="D68" s="35">
        <f t="shared" ca="1" si="11"/>
        <v>61</v>
      </c>
      <c r="E68" s="35">
        <f t="shared" ca="1" si="12"/>
        <v>62</v>
      </c>
      <c r="F68" s="35"/>
      <c r="G68" s="17">
        <f t="shared" ca="1" si="5"/>
        <v>5.6345039826212896E-2</v>
      </c>
      <c r="H68" s="17">
        <f t="shared" ca="1" si="5"/>
        <v>5.2502159898983193E-2</v>
      </c>
      <c r="I68" s="17">
        <f t="shared" ca="1" si="6"/>
        <v>5.0550438103796905E-2</v>
      </c>
      <c r="J68" s="17">
        <f t="shared" ca="1" si="6"/>
        <v>5.0897985893986766E-2</v>
      </c>
      <c r="K68" s="17">
        <f t="shared" ca="1" si="14"/>
        <v>5.0602845119149052E-2</v>
      </c>
      <c r="L68" s="17">
        <f t="shared" ca="1" si="14"/>
        <v>5.0694291381970472E-2</v>
      </c>
      <c r="M68" s="17">
        <f t="shared" ca="1" si="14"/>
        <v>5.0386487260234758E-2</v>
      </c>
      <c r="N68" s="17">
        <f t="shared" ca="1" si="14"/>
        <v>5.3126660208131504E-2</v>
      </c>
      <c r="O68" s="17">
        <f t="shared" ca="1" si="14"/>
        <v>6.2232885956361998E-2</v>
      </c>
      <c r="P68" s="17">
        <f t="shared" ca="1" si="14"/>
        <v>6.2989045383411588E-2</v>
      </c>
      <c r="Q68" s="17">
        <f t="shared" ca="1" si="14"/>
        <v>6.5348595213319469E-2</v>
      </c>
      <c r="R68" s="17">
        <f t="shared" ca="1" si="14"/>
        <v>6.560048021266561E-2</v>
      </c>
      <c r="S68" s="17">
        <f t="shared" ca="1" si="14"/>
        <v>6.7362900673629003E-2</v>
      </c>
      <c r="T68" s="17">
        <f t="shared" ca="1" si="14"/>
        <v>7.3276733373761879E-2</v>
      </c>
      <c r="U68" s="17">
        <f t="shared" ca="1" si="14"/>
        <v>7.4274497320812774E-2</v>
      </c>
    </row>
    <row r="69" spans="1:21" x14ac:dyDescent="0.25">
      <c r="A69" t="str">
        <f>IFERROR(INDEX('2019 Data (WP)'!$C$9:$C$73,MATCH($B69,'2019 Data (WP)'!$D$9:$D$73,0)),"")</f>
        <v/>
      </c>
      <c r="B69" t="s">
        <v>39</v>
      </c>
      <c r="C69" t="s">
        <v>78</v>
      </c>
      <c r="D69" s="35" t="e">
        <f t="shared" ca="1" si="11"/>
        <v>#N/A</v>
      </c>
      <c r="E69" s="35" t="e">
        <f t="shared" ca="1" si="12"/>
        <v>#N/A</v>
      </c>
      <c r="F69" s="35"/>
      <c r="G69" s="17" t="str">
        <f t="shared" ca="1" si="5"/>
        <v>N/A</v>
      </c>
      <c r="H69" s="17" t="str">
        <f t="shared" ca="1" si="5"/>
        <v>N/A</v>
      </c>
      <c r="I69" s="17" t="str">
        <f t="shared" ca="1" si="6"/>
        <v>N/A</v>
      </c>
      <c r="J69" s="17" t="str">
        <f t="shared" ca="1" si="6"/>
        <v>N/A</v>
      </c>
      <c r="K69" s="17" t="str">
        <f t="shared" ca="1" si="14"/>
        <v>N/A</v>
      </c>
      <c r="L69" s="17" t="str">
        <f t="shared" ca="1" si="14"/>
        <v>N/A</v>
      </c>
      <c r="M69" s="17" t="str">
        <f t="shared" ca="1" si="14"/>
        <v>N/A</v>
      </c>
      <c r="N69" s="17" t="str">
        <f t="shared" ca="1" si="14"/>
        <v>N/A</v>
      </c>
      <c r="O69" s="17" t="str">
        <f t="shared" ca="1" si="14"/>
        <v>N/A</v>
      </c>
      <c r="P69" s="17" t="str">
        <f t="shared" ca="1" si="14"/>
        <v>N/A</v>
      </c>
      <c r="Q69" s="17" t="str">
        <f t="shared" ca="1" si="14"/>
        <v>N/A</v>
      </c>
      <c r="R69" s="17" t="str">
        <f t="shared" ca="1" si="14"/>
        <v>N/A</v>
      </c>
      <c r="S69" s="17" t="str">
        <f t="shared" ca="1" si="14"/>
        <v>N/A</v>
      </c>
      <c r="T69" s="17" t="str">
        <f t="shared" ca="1" si="14"/>
        <v>N/A</v>
      </c>
      <c r="U69" s="17" t="str">
        <f t="shared" ca="1" si="14"/>
        <v>N/A</v>
      </c>
    </row>
    <row r="70" spans="1:21" x14ac:dyDescent="0.25">
      <c r="A70" t="str">
        <f>IFERROR(INDEX('2019 Data (WP)'!$C$9:$C$73,MATCH($B70,'2019 Data (WP)'!$D$9:$D$73,0)),"")</f>
        <v>Natural Gas Utility</v>
      </c>
      <c r="B70" s="31" t="s">
        <v>204</v>
      </c>
      <c r="C70" s="31" t="s">
        <v>203</v>
      </c>
      <c r="D70" s="35">
        <f t="shared" ca="1" si="11"/>
        <v>63</v>
      </c>
      <c r="E70" s="35">
        <f t="shared" ca="1" si="12"/>
        <v>64</v>
      </c>
      <c r="F70" s="35"/>
      <c r="G70" s="17">
        <f t="shared" ca="1" si="5"/>
        <v>6.6487336953763396E-2</v>
      </c>
      <c r="H70" s="17">
        <f t="shared" ca="1" si="5"/>
        <v>6.2961949082945515E-2</v>
      </c>
      <c r="I70" s="17">
        <f t="shared" ca="1" si="6"/>
        <v>4.8249763481551564E-2</v>
      </c>
      <c r="J70" s="17">
        <f t="shared" ca="1" si="6"/>
        <v>5.2802376106924807E-2</v>
      </c>
      <c r="K70" s="17">
        <f t="shared" ca="1" si="14"/>
        <v>5.6483449741876711E-2</v>
      </c>
      <c r="L70" s="17">
        <f t="shared" ca="1" si="14"/>
        <v>5.7234726688102894E-2</v>
      </c>
      <c r="M70" s="17">
        <f t="shared" ca="1" si="14"/>
        <v>5.1383655969858388E-2</v>
      </c>
      <c r="N70" s="17">
        <f t="shared" ca="1" si="14"/>
        <v>5.0733580145344848E-2</v>
      </c>
      <c r="O70" s="17">
        <f t="shared" ca="1" si="14"/>
        <v>5.3524112347641761E-2</v>
      </c>
      <c r="P70" s="17">
        <f t="shared" ca="1" si="14"/>
        <v>5.7680888964288753E-2</v>
      </c>
      <c r="Q70" s="17">
        <f t="shared" ca="1" si="14"/>
        <v>5.4058924227407872E-2</v>
      </c>
      <c r="R70" s="17">
        <f t="shared" ca="1" si="14"/>
        <v>5.3498363338788872E-2</v>
      </c>
      <c r="S70" s="17">
        <f t="shared" ca="1" si="14"/>
        <v>5.7159090909090902E-2</v>
      </c>
      <c r="T70" s="17">
        <f t="shared" ca="1" si="14"/>
        <v>5.8211303400701922E-2</v>
      </c>
      <c r="U70" s="17">
        <f t="shared" ca="1" si="14"/>
        <v>6.5448791714614499E-2</v>
      </c>
    </row>
    <row r="71" spans="1:21" x14ac:dyDescent="0.25">
      <c r="A71" t="str">
        <f>IFERROR(INDEX('2019 Data (WP)'!$C$9:$C$73,MATCH($B71,'2019 Data (WP)'!$D$9:$D$73,0)),"")</f>
        <v/>
      </c>
      <c r="B71" t="s">
        <v>40</v>
      </c>
      <c r="C71" t="s">
        <v>81</v>
      </c>
      <c r="D71" s="35" t="e">
        <f t="shared" ca="1" si="11"/>
        <v>#N/A</v>
      </c>
      <c r="E71" s="35" t="e">
        <f t="shared" ca="1" si="12"/>
        <v>#N/A</v>
      </c>
      <c r="F71" s="35"/>
      <c r="G71" s="17" t="str">
        <f t="shared" ca="1" si="5"/>
        <v>N/A</v>
      </c>
      <c r="H71" s="17" t="str">
        <f t="shared" ca="1" si="5"/>
        <v>N/A</v>
      </c>
      <c r="I71" s="17" t="str">
        <f t="shared" ca="1" si="6"/>
        <v>N/A</v>
      </c>
      <c r="J71" s="17" t="str">
        <f t="shared" ca="1" si="6"/>
        <v>N/A</v>
      </c>
      <c r="K71" s="17" t="str">
        <f t="shared" ca="1" si="14"/>
        <v>N/A</v>
      </c>
      <c r="L71" s="17" t="str">
        <f t="shared" ca="1" si="14"/>
        <v>N/A</v>
      </c>
      <c r="M71" s="17" t="str">
        <f t="shared" ca="1" si="14"/>
        <v>N/A</v>
      </c>
      <c r="N71" s="17" t="str">
        <f t="shared" ca="1" si="14"/>
        <v>N/A</v>
      </c>
      <c r="O71" s="17" t="str">
        <f t="shared" ca="1" si="14"/>
        <v>N/A</v>
      </c>
      <c r="P71" s="17" t="str">
        <f t="shared" ca="1" si="14"/>
        <v>N/A</v>
      </c>
      <c r="Q71" s="17" t="str">
        <f t="shared" ca="1" si="14"/>
        <v>N/A</v>
      </c>
      <c r="R71" s="17" t="str">
        <f t="shared" ca="1" si="14"/>
        <v>N/A</v>
      </c>
      <c r="S71" s="17" t="str">
        <f t="shared" ca="1" si="14"/>
        <v>N/A</v>
      </c>
      <c r="T71" s="17" t="str">
        <f t="shared" ca="1" si="14"/>
        <v>N/A</v>
      </c>
      <c r="U71" s="17" t="str">
        <f t="shared" ca="1" si="14"/>
        <v>N/A</v>
      </c>
    </row>
    <row r="72" spans="1:21" x14ac:dyDescent="0.25">
      <c r="A72" t="str">
        <f>IFERROR(INDEX('2019 Data (WP)'!$C$9:$C$73,MATCH($B72,'2019 Data (WP)'!$D$9:$D$73,0)),"")</f>
        <v/>
      </c>
      <c r="B72" t="s">
        <v>41</v>
      </c>
      <c r="C72" t="s">
        <v>79</v>
      </c>
      <c r="D72" s="35" t="e">
        <f t="shared" ca="1" si="11"/>
        <v>#N/A</v>
      </c>
      <c r="E72" s="35" t="e">
        <f t="shared" ca="1" si="12"/>
        <v>#N/A</v>
      </c>
      <c r="F72" s="35"/>
      <c r="G72" s="17" t="str">
        <f t="shared" ca="1" si="5"/>
        <v>N/A</v>
      </c>
      <c r="H72" s="17" t="str">
        <f t="shared" ca="1" si="5"/>
        <v>N/A</v>
      </c>
      <c r="I72" s="17" t="str">
        <f t="shared" ca="1" si="6"/>
        <v>N/A</v>
      </c>
      <c r="J72" s="17" t="str">
        <f t="shared" ca="1" si="6"/>
        <v>N/A</v>
      </c>
      <c r="K72" s="17" t="str">
        <f t="shared" ca="1" si="14"/>
        <v>N/A</v>
      </c>
      <c r="L72" s="17" t="str">
        <f t="shared" ca="1" si="14"/>
        <v>N/A</v>
      </c>
      <c r="M72" s="17" t="str">
        <f t="shared" ca="1" si="14"/>
        <v>N/A</v>
      </c>
      <c r="N72" s="17" t="str">
        <f t="shared" ca="1" si="14"/>
        <v>N/A</v>
      </c>
      <c r="O72" s="17" t="str">
        <f t="shared" ca="1" si="14"/>
        <v>N/A</v>
      </c>
      <c r="P72" s="17" t="str">
        <f t="shared" ca="1" si="14"/>
        <v>N/A</v>
      </c>
      <c r="Q72" s="17" t="str">
        <f t="shared" ca="1" si="14"/>
        <v>N/A</v>
      </c>
      <c r="R72" s="17" t="str">
        <f t="shared" ca="1" si="14"/>
        <v>N/A</v>
      </c>
      <c r="S72" s="17" t="str">
        <f t="shared" ca="1" si="14"/>
        <v>N/A</v>
      </c>
      <c r="T72" s="17" t="str">
        <f t="shared" ca="1" si="14"/>
        <v>N/A</v>
      </c>
      <c r="U72" s="17" t="str">
        <f t="shared" ca="1" si="14"/>
        <v>N/A</v>
      </c>
    </row>
    <row r="73" spans="1:21" x14ac:dyDescent="0.25">
      <c r="A73" t="str">
        <f>IFERROR(INDEX('2019 Data (WP)'!$C$9:$C$73,MATCH($B73,'2019 Data (WP)'!$D$9:$D$73,0)),"")</f>
        <v/>
      </c>
      <c r="B73" t="s">
        <v>83</v>
      </c>
      <c r="C73" t="s">
        <v>82</v>
      </c>
      <c r="D73" s="35">
        <f t="shared" ca="1" si="11"/>
        <v>64</v>
      </c>
      <c r="E73" s="35">
        <f t="shared" ca="1" si="12"/>
        <v>65</v>
      </c>
      <c r="F73" s="35"/>
      <c r="G73" s="17">
        <f t="shared" ca="1" si="5"/>
        <v>5.7886003164434839E-2</v>
      </c>
      <c r="H73" s="17">
        <f t="shared" ca="1" si="5"/>
        <v>5.8674278464954009E-2</v>
      </c>
      <c r="I73" s="17">
        <f t="shared" ca="1" si="6"/>
        <v>6.1864406779661013E-2</v>
      </c>
      <c r="J73" s="17">
        <f t="shared" ca="1" si="6"/>
        <v>6.3383071438003424E-2</v>
      </c>
      <c r="K73" s="17">
        <f t="shared" ca="1" si="14"/>
        <v>6.8187274909963985E-2</v>
      </c>
      <c r="L73" s="17">
        <f t="shared" ca="1" si="14"/>
        <v>6.9310361899103903E-2</v>
      </c>
      <c r="M73" s="17">
        <f t="shared" ca="1" si="14"/>
        <v>7.0573248407643313E-2</v>
      </c>
      <c r="N73" s="17">
        <f t="shared" ca="1" si="14"/>
        <v>7.2081483416035513E-2</v>
      </c>
      <c r="O73" s="17">
        <f t="shared" ca="1" si="14"/>
        <v>7.3031329381879756E-2</v>
      </c>
      <c r="P73" s="17">
        <f t="shared" ca="1" si="14"/>
        <v>7.8857142857142848E-2</v>
      </c>
      <c r="Q73" s="17">
        <f t="shared" ca="1" si="14"/>
        <v>7.9515989628349174E-2</v>
      </c>
      <c r="R73" s="17">
        <f t="shared" ca="1" si="14"/>
        <v>7.7445423424434584E-2</v>
      </c>
      <c r="S73" s="17">
        <f t="shared" ca="1" si="14"/>
        <v>7.7077747989276135E-2</v>
      </c>
      <c r="T73" s="17">
        <f t="shared" ca="1" si="14"/>
        <v>7.8897718826825225E-2</v>
      </c>
      <c r="U73" s="17">
        <f t="shared" ca="1" si="14"/>
        <v>7.9745738225946258E-2</v>
      </c>
    </row>
    <row r="74" spans="1:21" x14ac:dyDescent="0.25">
      <c r="A74" t="str">
        <f>IFERROR(INDEX('2019 Data (WP)'!$C$9:$C$73,MATCH($B74,'2019 Data (WP)'!$D$9:$D$73,0)),"")</f>
        <v>Electric Util. (Central)</v>
      </c>
      <c r="B74" t="s">
        <v>42</v>
      </c>
      <c r="C74" t="s">
        <v>89</v>
      </c>
      <c r="D74" s="35">
        <f t="shared" ca="1" si="11"/>
        <v>65</v>
      </c>
      <c r="E74" s="35">
        <f t="shared" ca="1" si="12"/>
        <v>66</v>
      </c>
      <c r="F74" s="35"/>
      <c r="G74" s="17" t="str">
        <f t="shared" ca="1" si="5"/>
        <v>N/A</v>
      </c>
      <c r="H74" s="17" t="str">
        <f t="shared" ca="1" si="5"/>
        <v>N/A</v>
      </c>
      <c r="I74" s="17" t="str">
        <f t="shared" ca="1" si="6"/>
        <v>N/A</v>
      </c>
      <c r="J74" s="17">
        <f t="shared" ca="1" si="6"/>
        <v>7.6747004173959882E-2</v>
      </c>
      <c r="K74" s="17">
        <f t="shared" ca="1" si="14"/>
        <v>7.5956489122280577E-2</v>
      </c>
      <c r="L74" s="17">
        <f t="shared" ca="1" si="14"/>
        <v>7.5727773406766327E-2</v>
      </c>
      <c r="M74" s="17">
        <f t="shared" ca="1" si="14"/>
        <v>7.5064267352185091E-2</v>
      </c>
      <c r="N74" s="17">
        <f t="shared" ca="1" si="14"/>
        <v>7.5544717171181677E-2</v>
      </c>
      <c r="O74" s="17">
        <f t="shared" ca="1" si="14"/>
        <v>7.5675966821070778E-2</v>
      </c>
      <c r="P74" s="17">
        <f t="shared" ca="1" si="14"/>
        <v>7.7400245892477931E-2</v>
      </c>
      <c r="Q74" s="17">
        <f t="shared" ca="1" si="14"/>
        <v>7.7787871905518974E-2</v>
      </c>
      <c r="R74" s="17">
        <f t="shared" ca="1" si="14"/>
        <v>7.8360807986997905E-2</v>
      </c>
      <c r="S74" s="17">
        <f t="shared" ca="1" si="14"/>
        <v>7.8532462082608959E-2</v>
      </c>
      <c r="T74" s="17">
        <f t="shared" ca="1" si="14"/>
        <v>7.8603701182150154E-2</v>
      </c>
      <c r="U74" s="17">
        <f t="shared" ca="1" si="14"/>
        <v>7.9714841218405705E-2</v>
      </c>
    </row>
    <row r="75" spans="1:21" x14ac:dyDescent="0.25">
      <c r="A75" t="str">
        <f>IFERROR(INDEX('2019 Data (WP)'!$C$9:$C$73,MATCH($B75,'2019 Data (WP)'!$D$9:$D$73,0)),"")</f>
        <v>Electric Util. (Central)</v>
      </c>
      <c r="B75" t="s">
        <v>44</v>
      </c>
      <c r="C75" t="s">
        <v>217</v>
      </c>
      <c r="D75" s="35">
        <f t="shared" ca="1" si="11"/>
        <v>66</v>
      </c>
      <c r="E75" s="35">
        <f t="shared" ca="1" si="12"/>
        <v>67</v>
      </c>
      <c r="F75" s="35"/>
      <c r="G75" s="17">
        <f t="shared" ca="1" si="5"/>
        <v>7.6225482811605544E-2</v>
      </c>
      <c r="H75" s="17">
        <f t="shared" ca="1" si="5"/>
        <v>7.3607385690225194E-2</v>
      </c>
      <c r="I75" s="17">
        <f t="shared" ca="1" si="6"/>
        <v>7.1235172769468794E-2</v>
      </c>
      <c r="J75" s="17">
        <f t="shared" ca="1" si="6"/>
        <v>6.9377272272439214E-2</v>
      </c>
      <c r="K75" s="17">
        <f t="shared" ca="1" si="14"/>
        <v>6.9981974339942743E-2</v>
      </c>
      <c r="L75" s="17">
        <f t="shared" ca="1" si="14"/>
        <v>6.3466588853224398E-2</v>
      </c>
      <c r="M75" s="17">
        <f t="shared" ref="K75:U79" ca="1" si="15">IFERROR(INDEX(Dividends,$D75,M$2)/INDEX(BookValue,$E75,M$2),"N/A")</f>
        <v>7.9599959179508115E-2</v>
      </c>
      <c r="N75" s="17">
        <f t="shared" ca="1" si="15"/>
        <v>7.7136603854161101E-2</v>
      </c>
      <c r="O75" s="17">
        <f t="shared" ca="1" si="15"/>
        <v>6.6467264872050513E-2</v>
      </c>
      <c r="P75" s="17">
        <f t="shared" ca="1" si="15"/>
        <v>6.0482698458854317E-2</v>
      </c>
      <c r="Q75" s="17">
        <f t="shared" ca="1" si="15"/>
        <v>4.9188391539596657E-2</v>
      </c>
      <c r="R75" s="17">
        <f t="shared" ca="1" si="15"/>
        <v>4.4247787610619468E-2</v>
      </c>
      <c r="S75" s="17">
        <f t="shared" ca="1" si="15"/>
        <v>3.7841625788367209E-2</v>
      </c>
      <c r="T75" s="17">
        <f t="shared" ca="1" si="15"/>
        <v>3.7733001282922042E-2</v>
      </c>
      <c r="U75" s="17">
        <f t="shared" ca="1" si="15"/>
        <v>3.7249979755445785E-2</v>
      </c>
    </row>
    <row r="76" spans="1:21" x14ac:dyDescent="0.25">
      <c r="A76" t="str">
        <f>IFERROR(INDEX('2019 Data (WP)'!$C$9:$C$73,MATCH($B76,'2019 Data (WP)'!$D$9:$D$73,0)),"")</f>
        <v>Electric Util. (Central)</v>
      </c>
      <c r="B76" t="s">
        <v>43</v>
      </c>
      <c r="C76" t="s">
        <v>87</v>
      </c>
      <c r="D76" s="35">
        <f t="shared" ca="1" si="11"/>
        <v>67</v>
      </c>
      <c r="E76" s="35">
        <f t="shared" ca="1" si="12"/>
        <v>68</v>
      </c>
      <c r="F76" s="35"/>
      <c r="G76" s="17" t="str">
        <f t="shared" ca="1" si="5"/>
        <v>N/A</v>
      </c>
      <c r="H76" s="17" t="str">
        <f t="shared" ca="1" si="5"/>
        <v>N/A</v>
      </c>
      <c r="I76" s="17" t="str">
        <f t="shared" ca="1" si="6"/>
        <v>N/A</v>
      </c>
      <c r="J76" s="17">
        <f t="shared" ca="1" si="6"/>
        <v>5.8181818181818182E-2</v>
      </c>
      <c r="K76" s="17">
        <f t="shared" ca="1" si="15"/>
        <v>5.662978279497783E-2</v>
      </c>
      <c r="L76" s="17">
        <f t="shared" ca="1" si="15"/>
        <v>5.5665081758088833E-2</v>
      </c>
      <c r="M76" s="17">
        <f t="shared" ca="1" si="15"/>
        <v>5.5955235811350916E-2</v>
      </c>
      <c r="N76" s="17">
        <f t="shared" ca="1" si="15"/>
        <v>5.6953808785962561E-2</v>
      </c>
      <c r="O76" s="17">
        <f t="shared" ca="1" si="15"/>
        <v>5.765702804228183E-2</v>
      </c>
      <c r="P76" s="17">
        <f t="shared" ca="1" si="15"/>
        <v>5.8099950070355413E-2</v>
      </c>
      <c r="Q76" s="17">
        <f t="shared" ca="1" si="15"/>
        <v>5.8350195284927762E-2</v>
      </c>
      <c r="R76" s="17">
        <f t="shared" ca="1" si="15"/>
        <v>5.8292043136111922E-2</v>
      </c>
      <c r="S76" s="17">
        <f t="shared" ca="1" si="15"/>
        <v>5.7471264367816084E-2</v>
      </c>
      <c r="T76" s="17">
        <f t="shared" ca="1" si="15"/>
        <v>5.6429280526673294E-2</v>
      </c>
      <c r="U76" s="17">
        <f t="shared" ca="1" si="15"/>
        <v>5.563440249787114E-2</v>
      </c>
    </row>
    <row r="77" spans="1:21" x14ac:dyDescent="0.25">
      <c r="A77" t="str">
        <f>IFERROR(INDEX('2019 Data (WP)'!$C$9:$C$73,MATCH($B77,'2019 Data (WP)'!$D$9:$D$73,0)),"")</f>
        <v>Natural Gas Utility</v>
      </c>
      <c r="B77" s="31" t="s">
        <v>206</v>
      </c>
      <c r="C77" s="31" t="s">
        <v>205</v>
      </c>
      <c r="D77" s="35">
        <f t="shared" ca="1" si="11"/>
        <v>68</v>
      </c>
      <c r="E77" s="35">
        <f t="shared" ca="1" si="12"/>
        <v>69</v>
      </c>
      <c r="F77" s="35"/>
      <c r="G77" s="17" t="str">
        <f t="shared" ca="1" si="5"/>
        <v>N/A</v>
      </c>
      <c r="H77" s="17" t="str">
        <f t="shared" ca="1" si="5"/>
        <v>N/A</v>
      </c>
      <c r="I77" s="17" t="str">
        <f t="shared" ca="1" si="6"/>
        <v>N/A</v>
      </c>
      <c r="J77" s="17">
        <f t="shared" ca="1" si="6"/>
        <v>6.8831567110777925E-2</v>
      </c>
      <c r="K77" s="17">
        <f t="shared" ca="1" si="15"/>
        <v>7.2074090671446711E-2</v>
      </c>
      <c r="L77" s="17">
        <f t="shared" ca="1" si="15"/>
        <v>7.3279141472790618E-2</v>
      </c>
      <c r="M77" s="17">
        <f t="shared" ca="1" si="15"/>
        <v>7.1416708188008632E-2</v>
      </c>
      <c r="N77" s="17">
        <f t="shared" ca="1" si="15"/>
        <v>6.733187312403667E-2</v>
      </c>
      <c r="O77" s="17">
        <f t="shared" ca="1" si="15"/>
        <v>6.4526602004788769E-2</v>
      </c>
      <c r="P77" s="17">
        <f t="shared" ca="1" si="15"/>
        <v>6.5977099561571537E-2</v>
      </c>
      <c r="Q77" s="17">
        <f t="shared" ca="1" si="15"/>
        <v>6.572605380772939E-2</v>
      </c>
      <c r="R77" s="17">
        <f t="shared" ca="1" si="15"/>
        <v>6.7150883924900651E-2</v>
      </c>
      <c r="S77" s="17">
        <f t="shared" ca="1" si="15"/>
        <v>6.7092347279138473E-2</v>
      </c>
      <c r="T77" s="17">
        <f t="shared" ca="1" si="15"/>
        <v>6.8821216093576693E-2</v>
      </c>
      <c r="U77" s="17">
        <f t="shared" ca="1" si="15"/>
        <v>7.1330080610946117E-2</v>
      </c>
    </row>
    <row r="78" spans="1:21" x14ac:dyDescent="0.25">
      <c r="A78" t="str">
        <f>IFERROR(INDEX('2019 Data (WP)'!$C$9:$C$73,MATCH($B78,'2019 Data (WP)'!$D$9:$D$73,0)),"")</f>
        <v>Electric Utility (West)</v>
      </c>
      <c r="B78" t="s">
        <v>45</v>
      </c>
      <c r="C78" t="s">
        <v>65</v>
      </c>
      <c r="D78" s="35">
        <f t="shared" ca="1" si="11"/>
        <v>69</v>
      </c>
      <c r="E78" s="35">
        <f t="shared" ca="1" si="12"/>
        <v>70</v>
      </c>
      <c r="F78" s="35"/>
      <c r="G78" s="17">
        <f t="shared" ca="1" si="5"/>
        <v>6.3424167557800809E-2</v>
      </c>
      <c r="H78" s="17">
        <f t="shared" ca="1" si="5"/>
        <v>6.4186378224176874E-2</v>
      </c>
      <c r="I78" s="17">
        <f t="shared" ca="1" si="6"/>
        <v>6.3927324725575135E-2</v>
      </c>
      <c r="J78" s="17">
        <f t="shared" ca="1" si="6"/>
        <v>6.3829787234042548E-2</v>
      </c>
      <c r="K78" s="17">
        <f t="shared" ca="1" si="15"/>
        <v>6.2592047128129602E-2</v>
      </c>
      <c r="L78" s="17">
        <f t="shared" ca="1" si="15"/>
        <v>6.1282137214535355E-2</v>
      </c>
      <c r="M78" s="17">
        <f t="shared" ca="1" si="15"/>
        <v>5.9414764568995394E-2</v>
      </c>
      <c r="N78" s="17">
        <f t="shared" ca="1" si="15"/>
        <v>5.7782404997397188E-2</v>
      </c>
      <c r="O78" s="17">
        <f t="shared" ca="1" si="15"/>
        <v>5.8836467612449143E-2</v>
      </c>
      <c r="P78" s="17">
        <f t="shared" ca="1" si="15"/>
        <v>5.9076570117579587E-2</v>
      </c>
      <c r="Q78" s="17">
        <f t="shared" ca="1" si="15"/>
        <v>5.9669431350319227E-2</v>
      </c>
      <c r="R78" s="17">
        <f t="shared" ca="1" si="15"/>
        <v>6.0933475720836731E-2</v>
      </c>
      <c r="S78" s="17">
        <f t="shared" ca="1" si="15"/>
        <v>6.1253746904730871E-2</v>
      </c>
      <c r="T78" s="17">
        <f t="shared" ca="1" si="15"/>
        <v>6.1925825110581832E-2</v>
      </c>
      <c r="U78" s="17">
        <f t="shared" ca="1" si="15"/>
        <v>6.1616020165242966E-2</v>
      </c>
    </row>
    <row r="79" spans="1:21" x14ac:dyDescent="0.25">
      <c r="A79" t="str">
        <f>IFERROR(INDEX('2019 Data (WP)'!$C$9:$C$73,MATCH($B79,'2019 Data (WP)'!$D$9:$D$73,0)),"")</f>
        <v>Water Utility</v>
      </c>
      <c r="B79" s="31" t="s">
        <v>208</v>
      </c>
      <c r="C79" s="31" t="s">
        <v>207</v>
      </c>
      <c r="D79" s="35">
        <f t="shared" ca="1" si="11"/>
        <v>70</v>
      </c>
      <c r="E79" s="35">
        <f t="shared" ca="1" si="12"/>
        <v>71</v>
      </c>
      <c r="F79" s="35"/>
      <c r="G79" s="17">
        <f t="shared" ca="1" si="5"/>
        <v>6.6557257476294679E-2</v>
      </c>
      <c r="H79" s="17">
        <f t="shared" ca="1" si="5"/>
        <v>6.7895247332686703E-2</v>
      </c>
      <c r="I79" s="17">
        <f t="shared" ca="1" si="6"/>
        <v>6.9032721304749203E-2</v>
      </c>
      <c r="J79" s="17">
        <f t="shared" ca="1" si="6"/>
        <v>7.0073307460112116E-2</v>
      </c>
      <c r="K79" s="17">
        <f t="shared" ca="1" si="15"/>
        <v>7.0985915492957741E-2</v>
      </c>
      <c r="L79" s="17">
        <f t="shared" ca="1" si="15"/>
        <v>7.0480441677434516E-2</v>
      </c>
      <c r="M79" s="17">
        <f t="shared" ca="1" si="15"/>
        <v>7.018404907975459E-2</v>
      </c>
      <c r="N79" s="17">
        <f t="shared" ca="1" si="15"/>
        <v>6.9216300940438874E-2</v>
      </c>
      <c r="O79" s="17">
        <f t="shared" ca="1" si="15"/>
        <v>6.975540313187524E-2</v>
      </c>
      <c r="P79" s="17">
        <f t="shared" ca="1" si="15"/>
        <v>7.0766751712098841E-2</v>
      </c>
      <c r="Q79" s="17">
        <f t="shared" ca="1" si="15"/>
        <v>7.1627260083449232E-2</v>
      </c>
      <c r="R79" s="17">
        <f t="shared" ca="1" si="15"/>
        <v>7.3110822135529552E-2</v>
      </c>
      <c r="S79" s="17">
        <f t="shared" ca="1" si="15"/>
        <v>7.9680625712889044E-2</v>
      </c>
      <c r="T79" s="17">
        <f t="shared" ca="1" si="15"/>
        <v>7.9537843268586733E-2</v>
      </c>
      <c r="U79" s="17">
        <f t="shared" ca="1" si="15"/>
        <v>7.7806341045415603E-2</v>
      </c>
    </row>
    <row r="80" spans="1:21" x14ac:dyDescent="0.25">
      <c r="B80" s="31"/>
      <c r="C80" s="31"/>
      <c r="D80" s="35"/>
      <c r="E80" s="35"/>
      <c r="F80" s="35"/>
      <c r="G80" s="35"/>
      <c r="H80" s="35"/>
      <c r="I80" s="35"/>
      <c r="J80" s="35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</row>
  </sheetData>
  <autoFilter ref="A4:X79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79"/>
  <sheetViews>
    <sheetView zoomScale="70" zoomScaleNormal="70" workbookViewId="0"/>
  </sheetViews>
  <sheetFormatPr defaultRowHeight="13.8" x14ac:dyDescent="0.25"/>
  <cols>
    <col min="1" max="1" width="13.3984375" customWidth="1"/>
    <col min="2" max="2" width="7.5" bestFit="1" customWidth="1"/>
    <col min="3" max="3" width="22.19921875" customWidth="1"/>
    <col min="4" max="4" width="3.19921875" bestFit="1" customWidth="1"/>
    <col min="5" max="5" width="2.8984375" bestFit="1" customWidth="1"/>
    <col min="6" max="6" width="5.8984375" customWidth="1"/>
    <col min="7" max="8" width="7.8984375" customWidth="1"/>
    <col min="9" max="10" width="6" customWidth="1"/>
    <col min="11" max="13" width="6.19921875" bestFit="1" customWidth="1"/>
    <col min="14" max="15" width="5" bestFit="1" customWidth="1"/>
    <col min="16" max="16" width="4.8984375" bestFit="1" customWidth="1"/>
    <col min="17" max="17" width="5" bestFit="1" customWidth="1"/>
    <col min="18" max="21" width="5.19921875" bestFit="1" customWidth="1"/>
    <col min="22" max="24" width="9.19921875" style="31" customWidth="1"/>
  </cols>
  <sheetData>
    <row r="1" spans="1:24" x14ac:dyDescent="0.25">
      <c r="A1" t="s">
        <v>320</v>
      </c>
    </row>
    <row r="2" spans="1:24" x14ac:dyDescent="0.25">
      <c r="E2" s="35"/>
      <c r="F2" s="35"/>
      <c r="G2" s="35">
        <f t="shared" ref="G2:U2" ca="1" si="0">MATCH(G3,OFFSET(Earnings,-2,0,1,),0)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>
        <f t="shared" ca="1" si="0"/>
        <v>13</v>
      </c>
      <c r="S2" s="35">
        <f t="shared" ca="1" si="0"/>
        <v>14</v>
      </c>
      <c r="T2" s="35">
        <f t="shared" ca="1" si="0"/>
        <v>15</v>
      </c>
      <c r="U2" s="35">
        <f t="shared" ca="1" si="0"/>
        <v>16</v>
      </c>
      <c r="V2" s="54"/>
      <c r="W2" s="54"/>
      <c r="X2" s="54"/>
    </row>
    <row r="3" spans="1:24" ht="14.4" thickBot="1" x14ac:dyDescent="0.3">
      <c r="D3" s="35" t="s">
        <v>317</v>
      </c>
      <c r="E3" s="35" t="s">
        <v>318</v>
      </c>
      <c r="F3" s="35"/>
      <c r="G3" s="35">
        <v>2020</v>
      </c>
      <c r="H3" s="48">
        <v>2019</v>
      </c>
      <c r="I3" s="48">
        <v>2018</v>
      </c>
      <c r="J3" s="48">
        <v>2017</v>
      </c>
      <c r="K3" s="48">
        <v>2016</v>
      </c>
      <c r="L3" s="48">
        <v>2015</v>
      </c>
      <c r="M3" s="48">
        <v>2014</v>
      </c>
      <c r="N3" s="48">
        <v>2013</v>
      </c>
      <c r="O3" s="48">
        <v>2012</v>
      </c>
      <c r="P3" s="48">
        <v>2011</v>
      </c>
      <c r="Q3" s="48">
        <v>2010</v>
      </c>
      <c r="R3" s="48">
        <v>2009</v>
      </c>
      <c r="S3" s="48">
        <v>2008</v>
      </c>
      <c r="T3" s="48">
        <v>2007</v>
      </c>
      <c r="U3" s="48">
        <v>2006</v>
      </c>
      <c r="V3" s="55"/>
      <c r="W3" s="55"/>
      <c r="X3" s="55"/>
    </row>
    <row r="4" spans="1:24" x14ac:dyDescent="0.25">
      <c r="D4" s="35"/>
      <c r="E4" s="35"/>
      <c r="F4" s="35"/>
      <c r="G4" s="35"/>
      <c r="H4" s="35"/>
      <c r="I4" s="35"/>
      <c r="J4" s="35"/>
      <c r="K4" s="35"/>
      <c r="L4" s="35"/>
    </row>
    <row r="5" spans="1:24" x14ac:dyDescent="0.25">
      <c r="A5" t="str">
        <f>IFERROR(INDEX('2019 Data (WP)'!$C$9:$C$73,MATCH($B5,'2019 Data (WP)'!$D$9:$D$73,0)),"")</f>
        <v>Electric Util. (Central)</v>
      </c>
      <c r="B5" t="s">
        <v>0</v>
      </c>
      <c r="C5" t="s">
        <v>91</v>
      </c>
      <c r="D5" s="35">
        <f t="shared" ref="D5:D36" ca="1" si="1">MATCH(B5,OFFSET(Dividends,0,0,,1),0)</f>
        <v>3</v>
      </c>
      <c r="E5" s="35">
        <f t="shared" ref="E5:E36" ca="1" si="2">MATCH(B5,OFFSET(Earnings,0,0,,1),0)</f>
        <v>3</v>
      </c>
      <c r="F5" s="35"/>
      <c r="G5" s="17">
        <f ca="1">IFERROR(INDEX(Dividends,$D5,G$2)/INDEX(Earnings,$E5,G$2),"N/A")</f>
        <v>0.73731343283582096</v>
      </c>
      <c r="H5" s="17">
        <f ca="1">IFERROR(INDEX(Dividends,$D5,H$2)/INDEX(Earnings,$E5,H$2),"N/A")</f>
        <v>0.70570570570570568</v>
      </c>
      <c r="I5" s="17">
        <f ca="1">IFERROR(INDEX(Dividends,$D5,I$2)/INDEX(Earnings,$E5,I$2),"N/A")</f>
        <v>0.66272189349112431</v>
      </c>
      <c r="J5" s="17">
        <f ca="1">IFERROR(INDEX(Dividends,$D5,J$2)/INDEX(Earnings,$E5,J$2),"N/A")</f>
        <v>0.68370607028754005</v>
      </c>
      <c r="K5" s="17">
        <f ca="1">IFERROR(INDEX(Dividends,$D5,K$2)/INDEX(Earnings,$E5,K$2),"N/A")</f>
        <v>0.66242038216560506</v>
      </c>
      <c r="L5" s="17">
        <f t="shared" ref="K5:U14" ca="1" si="3">IFERROR(INDEX(Dividends,$D5,L$2)/INDEX(Earnings,$E5,L$2),"N/A")</f>
        <v>0.59763313609467461</v>
      </c>
      <c r="M5" s="17">
        <f t="shared" ca="1" si="3"/>
        <v>0.67586206896551726</v>
      </c>
      <c r="N5" s="17">
        <f t="shared" ca="1" si="3"/>
        <v>0.72243346007604559</v>
      </c>
      <c r="O5" s="17">
        <f t="shared" ca="1" si="3"/>
        <v>0.71317829457364346</v>
      </c>
      <c r="P5" s="17">
        <f t="shared" ca="1" si="3"/>
        <v>0.67169811320754724</v>
      </c>
      <c r="Q5" s="17">
        <f t="shared" ca="1" si="3"/>
        <v>0.80365296803652975</v>
      </c>
      <c r="R5" s="17">
        <f t="shared" ca="1" si="3"/>
        <v>0.93121693121693128</v>
      </c>
      <c r="S5" s="17">
        <f t="shared" ca="1" si="3"/>
        <v>0.60992907801418439</v>
      </c>
      <c r="T5" s="17">
        <f t="shared" ca="1" si="3"/>
        <v>0.53246753246753242</v>
      </c>
      <c r="U5" s="17">
        <f t="shared" ca="1" si="3"/>
        <v>0.52346570397111913</v>
      </c>
      <c r="V5" s="56"/>
      <c r="W5" s="57"/>
      <c r="X5" s="57"/>
    </row>
    <row r="6" spans="1:24" x14ac:dyDescent="0.25">
      <c r="A6" t="str">
        <f>IFERROR(INDEX('2019 Data (WP)'!$C$9:$C$73,MATCH($B6,'2019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>
        <f t="shared" ref="G6:H25" ca="1" si="4">IFERROR(INDEX(Dividends,$D6,G$2)/INDEX(Earnings,$E6,G$2),"N/A")</f>
        <v>0.61538461538461531</v>
      </c>
      <c r="H6" s="17">
        <f t="shared" ca="1" si="4"/>
        <v>0.6094420600858369</v>
      </c>
      <c r="I6" s="17">
        <f t="shared" ref="I6:J25" ca="1" si="5">IFERROR(INDEX(Dividends,$D6,I$2)/INDEX(Earnings,$E6,I$2),"N/A")</f>
        <v>0.61187214611872154</v>
      </c>
      <c r="J6" s="17">
        <f t="shared" ca="1" si="5"/>
        <v>0.63316582914572861</v>
      </c>
      <c r="K6" s="17">
        <f t="shared" ca="1" si="3"/>
        <v>0.7151515151515152</v>
      </c>
      <c r="L6" s="17">
        <f t="shared" ca="1" si="3"/>
        <v>0.65088757396449715</v>
      </c>
      <c r="M6" s="17">
        <f t="shared" ca="1" si="3"/>
        <v>0.5862068965517242</v>
      </c>
      <c r="N6" s="17">
        <f t="shared" ca="1" si="3"/>
        <v>0.5714285714285714</v>
      </c>
      <c r="O6" s="17">
        <f t="shared" ca="1" si="3"/>
        <v>0.59016393442622961</v>
      </c>
      <c r="P6" s="17">
        <f t="shared" ca="1" si="3"/>
        <v>0.61818181818181817</v>
      </c>
      <c r="Q6" s="17">
        <f t="shared" ca="1" si="3"/>
        <v>0.57454545454545458</v>
      </c>
      <c r="R6" s="17">
        <f t="shared" ca="1" si="3"/>
        <v>0.79365079365079372</v>
      </c>
      <c r="S6" s="17">
        <f t="shared" ca="1" si="3"/>
        <v>0.55118110236220463</v>
      </c>
      <c r="T6" s="17">
        <f t="shared" ca="1" si="3"/>
        <v>0.47211895910780671</v>
      </c>
      <c r="U6" s="17">
        <f t="shared" ca="1" si="3"/>
        <v>0.55825242718446599</v>
      </c>
      <c r="V6" s="56"/>
      <c r="W6" s="56"/>
      <c r="X6" s="56"/>
    </row>
    <row r="7" spans="1:24" x14ac:dyDescent="0.25">
      <c r="A7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4"/>
        <v>0.54935622317596566</v>
      </c>
      <c r="H7" s="17">
        <f t="shared" ca="1" si="4"/>
        <v>0.50877192982456143</v>
      </c>
      <c r="I7" s="17">
        <f t="shared" ca="1" si="5"/>
        <v>0.61627906976744196</v>
      </c>
      <c r="J7" s="17">
        <f t="shared" ca="1" si="5"/>
        <v>0.52659574468085113</v>
      </c>
      <c r="K7" s="17">
        <f t="shared" ca="1" si="3"/>
        <v>0.56419753086419755</v>
      </c>
      <c r="L7" s="17">
        <f t="shared" ca="1" si="3"/>
        <v>0.54625000000000001</v>
      </c>
      <c r="M7" s="17">
        <f t="shared" ca="1" si="3"/>
        <v>0.52929936305732483</v>
      </c>
      <c r="N7" s="17">
        <f t="shared" ca="1" si="3"/>
        <v>0.47204968944099379</v>
      </c>
      <c r="O7" s="17">
        <f t="shared" ca="1" si="3"/>
        <v>0.45035460992907805</v>
      </c>
      <c r="P7" s="17">
        <f t="shared" ca="1" si="3"/>
        <v>0.49107142857142855</v>
      </c>
      <c r="Q7" s="17">
        <f t="shared" ca="1" si="3"/>
        <v>0.46846846846846846</v>
      </c>
      <c r="R7" s="17">
        <f t="shared" ca="1" si="3"/>
        <v>0.62345679012345678</v>
      </c>
      <c r="S7" s="17">
        <f t="shared" ca="1" si="3"/>
        <v>0.64516129032258063</v>
      </c>
      <c r="T7" s="17">
        <f t="shared" ca="1" si="3"/>
        <v>0.59012345679012335</v>
      </c>
      <c r="U7" s="17">
        <f t="shared" ca="1" si="3"/>
        <v>0.68421052631578949</v>
      </c>
      <c r="V7" s="56"/>
      <c r="W7" s="56"/>
      <c r="X7" s="56"/>
    </row>
    <row r="8" spans="1:24" x14ac:dyDescent="0.25">
      <c r="A8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4"/>
        <v>0.54987212276214825</v>
      </c>
      <c r="H8" s="17">
        <f t="shared" ca="1" si="4"/>
        <v>0.5714285714285714</v>
      </c>
      <c r="I8" s="17">
        <f t="shared" ca="1" si="5"/>
        <v>0.56507936507936507</v>
      </c>
      <c r="J8" s="17">
        <f t="shared" ca="1" si="5"/>
        <v>0.68067226890756305</v>
      </c>
      <c r="K8" s="17">
        <f t="shared" ca="1" si="3"/>
        <v>0.56106870229007633</v>
      </c>
      <c r="L8" s="17">
        <f t="shared" ca="1" si="3"/>
        <v>0.50378787878787878</v>
      </c>
      <c r="M8" s="17">
        <f t="shared" ca="1" si="3"/>
        <v>0.506276150627615</v>
      </c>
      <c r="N8" s="17">
        <f t="shared" ca="1" si="3"/>
        <v>0.40776699029126212</v>
      </c>
      <c r="O8" s="17">
        <f t="shared" ca="1" si="3"/>
        <v>0.57345971563981046</v>
      </c>
      <c r="P8" s="17">
        <f t="shared" ca="1" si="3"/>
        <v>0.52325581395348841</v>
      </c>
      <c r="Q8" s="17">
        <f t="shared" ca="1" si="3"/>
        <v>0.56209150326797386</v>
      </c>
      <c r="R8" s="17">
        <f t="shared" ca="1" si="3"/>
        <v>0.65599999999999992</v>
      </c>
      <c r="S8" s="17">
        <f t="shared" ca="1" si="3"/>
        <v>0.36363636363636365</v>
      </c>
      <c r="T8" s="17">
        <f t="shared" ca="1" si="3"/>
        <v>0</v>
      </c>
      <c r="U8" s="17">
        <f t="shared" ca="1" si="3"/>
        <v>0</v>
      </c>
      <c r="V8" s="56"/>
      <c r="W8" s="56"/>
      <c r="X8" s="56"/>
    </row>
    <row r="9" spans="1:24" x14ac:dyDescent="0.25">
      <c r="A9" t="str">
        <f>IFERROR(INDEX('2019 Data (WP)'!$C$9:$C$73,MATCH($B9,'2019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4"/>
        <v>0.5714285714285714</v>
      </c>
      <c r="H9" s="17">
        <f t="shared" ca="1" si="4"/>
        <v>0.57313432835820888</v>
      </c>
      <c r="I9" s="17">
        <f t="shared" ca="1" si="5"/>
        <v>0.55662650602409647</v>
      </c>
      <c r="J9" s="17">
        <f t="shared" ca="1" si="5"/>
        <v>0.64187725631768955</v>
      </c>
      <c r="K9" s="17">
        <f t="shared" ca="1" si="3"/>
        <v>0.6399253731343284</v>
      </c>
      <c r="L9" s="17">
        <f t="shared" ca="1" si="3"/>
        <v>0.69537815126050428</v>
      </c>
      <c r="M9" s="17">
        <f t="shared" ca="1" si="3"/>
        <v>0.67083333333333339</v>
      </c>
      <c r="N9" s="17">
        <f t="shared" ca="1" si="3"/>
        <v>0.76190476190476186</v>
      </c>
      <c r="O9" s="17">
        <f t="shared" ca="1" si="3"/>
        <v>0.66390041493775931</v>
      </c>
      <c r="P9" s="17">
        <f t="shared" ca="1" si="3"/>
        <v>0.62955465587044523</v>
      </c>
      <c r="Q9" s="17">
        <f t="shared" ca="1" si="3"/>
        <v>0.55595667870036103</v>
      </c>
      <c r="R9" s="17">
        <f t="shared" ca="1" si="3"/>
        <v>0.5539568345323741</v>
      </c>
      <c r="S9" s="17">
        <f t="shared" ca="1" si="3"/>
        <v>0.88194444444444453</v>
      </c>
      <c r="T9" s="17">
        <f t="shared" ca="1" si="3"/>
        <v>0.8523489932885906</v>
      </c>
      <c r="U9" s="17">
        <f t="shared" ca="1" si="3"/>
        <v>0.95488721804511278</v>
      </c>
      <c r="V9" s="56"/>
      <c r="W9" s="56"/>
      <c r="X9" s="56"/>
    </row>
    <row r="10" spans="1:24" x14ac:dyDescent="0.25">
      <c r="A10" t="str">
        <f>IFERROR(INDEX('2019 Data (WP)'!$C$9:$C$73,MATCH($B10,'2019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4"/>
        <v>0.64253393665158365</v>
      </c>
      <c r="H10" s="17">
        <f t="shared" ca="1" si="4"/>
        <v>0.66421568627450978</v>
      </c>
      <c r="I10" s="17">
        <f t="shared" ca="1" si="5"/>
        <v>0.64871794871794863</v>
      </c>
      <c r="J10" s="17">
        <f t="shared" ca="1" si="5"/>
        <v>0.66022099447513816</v>
      </c>
      <c r="K10" s="17">
        <f t="shared" ca="1" si="3"/>
        <v>0.53664302600472813</v>
      </c>
      <c r="L10" s="17">
        <f t="shared" ca="1" si="3"/>
        <v>0.59888579387186625</v>
      </c>
      <c r="M10" s="17">
        <f t="shared" ca="1" si="3"/>
        <v>0.60778443113772451</v>
      </c>
      <c r="N10" s="17">
        <f t="shared" ca="1" si="3"/>
        <v>0.6132075471698113</v>
      </c>
      <c r="O10" s="17">
        <f t="shared" ca="1" si="3"/>
        <v>0.63087248322147649</v>
      </c>
      <c r="P10" s="17">
        <f t="shared" ca="1" si="3"/>
        <v>0.59105431309904155</v>
      </c>
      <c r="Q10" s="17">
        <f t="shared" ca="1" si="3"/>
        <v>0.65769230769230769</v>
      </c>
      <c r="R10" s="17">
        <f t="shared" ca="1" si="3"/>
        <v>0.55218855218855212</v>
      </c>
      <c r="S10" s="17">
        <f t="shared" ca="1" si="3"/>
        <v>0.54849498327759194</v>
      </c>
      <c r="T10" s="17">
        <f t="shared" ca="1" si="3"/>
        <v>0.5524475524475525</v>
      </c>
      <c r="U10" s="17">
        <f t="shared" ca="1" si="3"/>
        <v>0.52447552447552448</v>
      </c>
      <c r="V10" s="56"/>
      <c r="W10" s="56"/>
      <c r="X10" s="56"/>
    </row>
    <row r="11" spans="1:24" x14ac:dyDescent="0.25">
      <c r="A1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 t="str">
        <f t="shared" ca="1" si="4"/>
        <v>N/A</v>
      </c>
      <c r="H11" s="17" t="str">
        <f t="shared" ca="1" si="4"/>
        <v>N/A</v>
      </c>
      <c r="I11" s="17">
        <f t="shared" ca="1" si="5"/>
        <v>0.78703703703703698</v>
      </c>
      <c r="J11" s="17">
        <f t="shared" ca="1" si="5"/>
        <v>0.58518518518518514</v>
      </c>
      <c r="K11" s="17">
        <f t="shared" ca="1" si="3"/>
        <v>0.56060606060606055</v>
      </c>
      <c r="L11" s="17">
        <f t="shared" ca="1" si="3"/>
        <v>0.60526315789473684</v>
      </c>
      <c r="M11" s="17">
        <f t="shared" ca="1" si="3"/>
        <v>0.52500000000000002</v>
      </c>
      <c r="N11" s="17">
        <f t="shared" ca="1" si="3"/>
        <v>0.5</v>
      </c>
      <c r="O11" s="17">
        <f t="shared" ca="1" si="3"/>
        <v>0.6146788990825689</v>
      </c>
      <c r="P11" s="17">
        <f t="shared" ca="1" si="3"/>
        <v>0.60576923076923084</v>
      </c>
      <c r="Q11" s="17">
        <f t="shared" ca="1" si="3"/>
        <v>0.65555555555555556</v>
      </c>
      <c r="R11" s="17">
        <f t="shared" ca="1" si="3"/>
        <v>0.7142857142857143</v>
      </c>
      <c r="S11" s="17">
        <f t="shared" ca="1" si="3"/>
        <v>0.69863013698630139</v>
      </c>
      <c r="T11" s="17">
        <f t="shared" ca="1" si="3"/>
        <v>0.67605633802816911</v>
      </c>
      <c r="U11" s="17">
        <f t="shared" ca="1" si="3"/>
        <v>0.62857142857142845</v>
      </c>
      <c r="V11" s="56"/>
      <c r="W11" s="56"/>
      <c r="X11" s="56"/>
    </row>
    <row r="12" spans="1:24" x14ac:dyDescent="0.25">
      <c r="A12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4"/>
        <v>0.48728813559322032</v>
      </c>
      <c r="H12" s="17">
        <f t="shared" ca="1" si="4"/>
        <v>0.48275862068965525</v>
      </c>
      <c r="I12" s="17">
        <f t="shared" ca="1" si="5"/>
        <v>0.48499999999999999</v>
      </c>
      <c r="J12" s="17">
        <f t="shared" ca="1" si="5"/>
        <v>0.5</v>
      </c>
      <c r="K12" s="17">
        <f t="shared" ca="1" si="3"/>
        <v>0.49704142011834318</v>
      </c>
      <c r="L12" s="17">
        <f t="shared" ca="1" si="3"/>
        <v>0.50485436893203883</v>
      </c>
      <c r="M12" s="17">
        <f t="shared" ca="1" si="3"/>
        <v>0.5</v>
      </c>
      <c r="N12" s="17">
        <f t="shared" ca="1" si="3"/>
        <v>0.55999999999999994</v>
      </c>
      <c r="O12" s="17">
        <f t="shared" ca="1" si="3"/>
        <v>0.65714285714285703</v>
      </c>
      <c r="P12" s="17">
        <f t="shared" ca="1" si="3"/>
        <v>0.60176991150442483</v>
      </c>
      <c r="Q12" s="17">
        <f t="shared" ca="1" si="3"/>
        <v>0.62037037037037035</v>
      </c>
      <c r="R12" s="17">
        <f t="shared" ca="1" si="3"/>
        <v>0.67005076142131981</v>
      </c>
      <c r="S12" s="17">
        <f t="shared" ca="1" si="3"/>
        <v>0.65</v>
      </c>
      <c r="T12" s="17">
        <f t="shared" ca="1" si="3"/>
        <v>0.65979381443298968</v>
      </c>
      <c r="U12" s="17">
        <f t="shared" ca="1" si="3"/>
        <v>0.63</v>
      </c>
      <c r="V12" s="56"/>
      <c r="W12" s="56"/>
      <c r="X12" s="56"/>
    </row>
    <row r="13" spans="1:24" x14ac:dyDescent="0.25">
      <c r="A13" t="str">
        <f>IFERROR(INDEX('2019 Data (WP)'!$C$9:$C$73,MATCH($B13,'2019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4"/>
        <v>0.93617021276595747</v>
      </c>
      <c r="H13" s="17">
        <f t="shared" ca="1" si="4"/>
        <v>0.77876106194690276</v>
      </c>
      <c r="I13" s="17">
        <f t="shared" ca="1" si="5"/>
        <v>0.90833333333333333</v>
      </c>
      <c r="J13" s="17">
        <f t="shared" ca="1" si="5"/>
        <v>1.0347305389221557</v>
      </c>
      <c r="K13" s="17">
        <f t="shared" ca="1" si="3"/>
        <v>0.87272727272727268</v>
      </c>
      <c r="L13" s="17">
        <f t="shared" ca="1" si="3"/>
        <v>0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17" t="str">
        <f t="shared" ca="1" si="3"/>
        <v>N/A</v>
      </c>
      <c r="S13" s="17" t="str">
        <f t="shared" ca="1" si="3"/>
        <v>N/A</v>
      </c>
      <c r="T13" s="17" t="str">
        <f t="shared" ca="1" si="3"/>
        <v>N/A</v>
      </c>
      <c r="U13" s="17" t="str">
        <f t="shared" ca="1" si="3"/>
        <v>N/A</v>
      </c>
      <c r="V13" s="56"/>
      <c r="W13" s="56"/>
      <c r="X13" s="56"/>
    </row>
    <row r="14" spans="1:24" x14ac:dyDescent="0.25">
      <c r="A14" t="str">
        <f>IFERROR(INDEX('2019 Data (WP)'!$C$9:$C$73,MATCH($B14,'2019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4"/>
        <v>0.85263157894736852</v>
      </c>
      <c r="H14" s="17">
        <f t="shared" ca="1" si="4"/>
        <v>0.52188552188552184</v>
      </c>
      <c r="I14" s="17">
        <f t="shared" ca="1" si="5"/>
        <v>0.71980676328502424</v>
      </c>
      <c r="J14" s="17">
        <f t="shared" ca="1" si="5"/>
        <v>0.73333333333333328</v>
      </c>
      <c r="K14" s="17">
        <f t="shared" ca="1" si="3"/>
        <v>0.63720930232558148</v>
      </c>
      <c r="L14" s="17">
        <f t="shared" ca="1" si="3"/>
        <v>0.69841269841269848</v>
      </c>
      <c r="M14" s="17">
        <f t="shared" ca="1" si="3"/>
        <v>0.69021739130434778</v>
      </c>
      <c r="N14" s="17">
        <f t="shared" ca="1" si="3"/>
        <v>0.65945945945945939</v>
      </c>
      <c r="O14" s="17">
        <f t="shared" ca="1" si="3"/>
        <v>0.87878787878787867</v>
      </c>
      <c r="P14" s="17">
        <f t="shared" ca="1" si="3"/>
        <v>0.63953488372093026</v>
      </c>
      <c r="Q14" s="17">
        <f t="shared" ca="1" si="3"/>
        <v>0.60606060606060608</v>
      </c>
      <c r="R14" s="17">
        <f t="shared" ca="1" si="3"/>
        <v>0.51265822784810122</v>
      </c>
      <c r="S14" s="17">
        <f t="shared" ca="1" si="3"/>
        <v>0.50735294117647056</v>
      </c>
      <c r="T14" s="17">
        <f t="shared" ca="1" si="3"/>
        <v>0.82638888888888884</v>
      </c>
      <c r="U14" s="17">
        <f t="shared" ca="1" si="3"/>
        <v>0.38775510204081631</v>
      </c>
      <c r="V14" s="56"/>
      <c r="W14" s="56"/>
      <c r="X14" s="56"/>
    </row>
    <row r="15" spans="1:24" x14ac:dyDescent="0.25">
      <c r="A15" t="str">
        <f>IFERROR(INDEX('2019 Data (WP)'!$C$9:$C$73,MATCH($B15,'2019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4"/>
        <v>0.58176943699731898</v>
      </c>
      <c r="H15" s="17">
        <f t="shared" ca="1" si="4"/>
        <v>0.58073654390934837</v>
      </c>
      <c r="I15" s="17">
        <f t="shared" ca="1" si="5"/>
        <v>0.55619596541786742</v>
      </c>
      <c r="J15" s="17">
        <f t="shared" ca="1" si="5"/>
        <v>0.53550295857988173</v>
      </c>
      <c r="K15" s="17">
        <f t="shared" ref="K15:U24" ca="1" si="6">IFERROR(INDEX(Dividends,$D15,K$2)/INDEX(Earnings,$E15,K$2),"N/A")</f>
        <v>0.63878326996197721</v>
      </c>
      <c r="L15" s="17">
        <f t="shared" ca="1" si="6"/>
        <v>0.57243816254416968</v>
      </c>
      <c r="M15" s="17">
        <f t="shared" ca="1" si="6"/>
        <v>0.53979238754325254</v>
      </c>
      <c r="N15" s="17">
        <f t="shared" ca="1" si="6"/>
        <v>0.58237547892720309</v>
      </c>
      <c r="O15" s="17">
        <f t="shared" ca="1" si="6"/>
        <v>0.75126903553299496</v>
      </c>
      <c r="P15" s="17">
        <f t="shared" ca="1" si="6"/>
        <v>1.4455445544554455</v>
      </c>
      <c r="Q15" s="17">
        <f t="shared" ca="1" si="6"/>
        <v>0.86746987951807231</v>
      </c>
      <c r="R15" s="17">
        <f t="shared" ca="1" si="6"/>
        <v>0.61206896551724144</v>
      </c>
      <c r="S15" s="17">
        <f t="shared" ca="1" si="6"/>
        <v>7.7777777777777777</v>
      </c>
      <c r="T15" s="17">
        <f t="shared" ca="1" si="6"/>
        <v>0.51119402985074625</v>
      </c>
      <c r="U15" s="17">
        <f t="shared" ca="1" si="6"/>
        <v>0.59728506787330315</v>
      </c>
      <c r="V15" s="56"/>
      <c r="W15" s="56"/>
      <c r="X15" s="56"/>
    </row>
    <row r="16" spans="1:24" x14ac:dyDescent="0.25">
      <c r="A16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4"/>
        <v>0.43147208121827413</v>
      </c>
      <c r="H16" s="17">
        <f t="shared" ca="1" si="4"/>
        <v>0.60305343511450382</v>
      </c>
      <c r="I16" s="17">
        <f t="shared" ca="1" si="5"/>
        <v>0.55147058823529405</v>
      </c>
      <c r="J16" s="17">
        <f t="shared" ca="1" si="5"/>
        <v>0.51428571428571435</v>
      </c>
      <c r="K16" s="17">
        <f t="shared" ca="1" si="6"/>
        <v>0.68316831683168311</v>
      </c>
      <c r="L16" s="17">
        <f t="shared" ca="1" si="6"/>
        <v>0.7127659574468086</v>
      </c>
      <c r="M16" s="17">
        <f t="shared" ca="1" si="6"/>
        <v>0.54621848739495804</v>
      </c>
      <c r="N16" s="17">
        <f t="shared" ca="1" si="6"/>
        <v>0.62745098039215685</v>
      </c>
      <c r="O16" s="17">
        <f t="shared" ca="1" si="6"/>
        <v>0.61764705882352944</v>
      </c>
      <c r="P16" s="17">
        <f t="shared" ca="1" si="6"/>
        <v>0.71511627906976749</v>
      </c>
      <c r="Q16" s="17">
        <f t="shared" ca="1" si="6"/>
        <v>0.65745856353591159</v>
      </c>
      <c r="R16" s="17">
        <f t="shared" ca="1" si="6"/>
        <v>0.60512820512820509</v>
      </c>
      <c r="S16" s="17">
        <f t="shared" ca="1" si="6"/>
        <v>0.61578947368421055</v>
      </c>
      <c r="T16" s="17">
        <f t="shared" ca="1" si="6"/>
        <v>0.77333333333333332</v>
      </c>
      <c r="U16" s="17">
        <f t="shared" ca="1" si="6"/>
        <v>0.85820895522388052</v>
      </c>
      <c r="V16" s="56"/>
      <c r="W16" s="56"/>
      <c r="X16" s="56"/>
    </row>
    <row r="17" spans="1:24" x14ac:dyDescent="0.25">
      <c r="A17" t="str">
        <f>IFERROR(INDEX('2019 Data (WP)'!$C$9:$C$73,MATCH($B17,'2019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4"/>
        <v>0.69767441860465118</v>
      </c>
      <c r="H17" s="17">
        <f t="shared" ca="1" si="4"/>
        <v>0.57919463087248324</v>
      </c>
      <c r="I17" s="17">
        <f t="shared" ca="1" si="5"/>
        <v>1.5135135135135136</v>
      </c>
      <c r="J17" s="17">
        <f t="shared" ca="1" si="5"/>
        <v>0.85859872611464971</v>
      </c>
      <c r="K17" s="17">
        <f t="shared" ca="1" si="6"/>
        <v>1.03</v>
      </c>
      <c r="L17" s="17">
        <f t="shared" ca="1" si="6"/>
        <v>0.91666666666666663</v>
      </c>
      <c r="M17" s="17">
        <f t="shared" ca="1" si="6"/>
        <v>0.66901408450704225</v>
      </c>
      <c r="N17" s="17">
        <f t="shared" ca="1" si="6"/>
        <v>0.66935483870967738</v>
      </c>
      <c r="O17" s="17">
        <f t="shared" ca="1" si="6"/>
        <v>0.6</v>
      </c>
      <c r="P17" s="17">
        <f t="shared" ca="1" si="6"/>
        <v>0.62204724409448819</v>
      </c>
      <c r="Q17" s="17">
        <f t="shared" ca="1" si="6"/>
        <v>0.7289719626168224</v>
      </c>
      <c r="R17" s="17">
        <f t="shared" ca="1" si="6"/>
        <v>0.75247524752475248</v>
      </c>
      <c r="S17" s="17">
        <f t="shared" ca="1" si="6"/>
        <v>0.56153846153846154</v>
      </c>
      <c r="T17" s="17">
        <f t="shared" ca="1" si="6"/>
        <v>0.58119658119658124</v>
      </c>
      <c r="U17" s="17">
        <f t="shared" ca="1" si="6"/>
        <v>0.45112781954887216</v>
      </c>
      <c r="V17" s="56"/>
      <c r="W17" s="56"/>
      <c r="X17" s="56"/>
    </row>
    <row r="18" spans="1:24" x14ac:dyDescent="0.25">
      <c r="A18" t="str">
        <f>IFERROR(INDEX('2019 Data (WP)'!$C$9:$C$73,MATCH($B18,'2019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4"/>
        <v>N/A</v>
      </c>
      <c r="H18" s="17" t="str">
        <f t="shared" ca="1" si="4"/>
        <v>N/A</v>
      </c>
      <c r="I18" s="17" t="str">
        <f t="shared" ca="1" si="5"/>
        <v>N/A</v>
      </c>
      <c r="J18" s="17" t="str">
        <f t="shared" ca="1" si="5"/>
        <v>N/A</v>
      </c>
      <c r="K18" s="17" t="str">
        <f t="shared" ca="1" si="6"/>
        <v>N/A</v>
      </c>
      <c r="L18" s="17" t="str">
        <f t="shared" ca="1" si="6"/>
        <v>N/A</v>
      </c>
      <c r="M18" s="17" t="str">
        <f t="shared" ca="1" si="6"/>
        <v>N/A</v>
      </c>
      <c r="N18" s="17" t="str">
        <f t="shared" ca="1" si="6"/>
        <v>N/A</v>
      </c>
      <c r="O18" s="17" t="str">
        <f t="shared" ca="1" si="6"/>
        <v>N/A</v>
      </c>
      <c r="P18" s="17" t="str">
        <f t="shared" ca="1" si="6"/>
        <v>N/A</v>
      </c>
      <c r="Q18" s="17" t="str">
        <f t="shared" ca="1" si="6"/>
        <v>N/A</v>
      </c>
      <c r="R18" s="17" t="str">
        <f t="shared" ca="1" si="6"/>
        <v>N/A</v>
      </c>
      <c r="S18" s="17" t="str">
        <f t="shared" ca="1" si="6"/>
        <v>N/A</v>
      </c>
      <c r="T18" s="17" t="str">
        <f t="shared" ca="1" si="6"/>
        <v>N/A</v>
      </c>
      <c r="U18" s="17" t="str">
        <f t="shared" ca="1" si="6"/>
        <v>N/A</v>
      </c>
      <c r="V18" s="56"/>
      <c r="W18" s="56"/>
      <c r="X18" s="56"/>
    </row>
    <row r="19" spans="1:24" x14ac:dyDescent="0.25">
      <c r="A19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4"/>
        <v>0.40142517814726841</v>
      </c>
      <c r="H19" s="17">
        <f t="shared" ca="1" si="4"/>
        <v>0.41666666666666663</v>
      </c>
      <c r="I19" s="17">
        <f t="shared" ca="1" si="5"/>
        <v>0.40289855072463765</v>
      </c>
      <c r="J19" s="17">
        <f t="shared" ca="1" si="5"/>
        <v>0.47014925373134325</v>
      </c>
      <c r="K19" s="17">
        <f t="shared" ca="1" si="6"/>
        <v>0.41608391608391609</v>
      </c>
      <c r="L19" s="17">
        <f t="shared" ca="1" si="6"/>
        <v>0.41791044776119407</v>
      </c>
      <c r="M19" s="17">
        <f t="shared" ca="1" si="6"/>
        <v>0.43198380566801614</v>
      </c>
      <c r="N19" s="17">
        <f t="shared" ca="1" si="6"/>
        <v>0.44823008849557522</v>
      </c>
      <c r="O19" s="17">
        <f t="shared" ca="1" si="6"/>
        <v>0.48168590065228295</v>
      </c>
      <c r="P19" s="17">
        <f t="shared" ca="1" si="6"/>
        <v>0.47569262937794043</v>
      </c>
      <c r="Q19" s="17">
        <f t="shared" ca="1" si="6"/>
        <v>0.47802197802197799</v>
      </c>
      <c r="R19" s="17">
        <f t="shared" ca="1" si="6"/>
        <v>0.58129797627355195</v>
      </c>
      <c r="S19" s="17">
        <f t="shared" ca="1" si="6"/>
        <v>0.57974137931034486</v>
      </c>
      <c r="T19" s="17">
        <f t="shared" ca="1" si="6"/>
        <v>0.60556844547563815</v>
      </c>
      <c r="U19" s="17">
        <f t="shared" ca="1" si="6"/>
        <v>0.67131647776809067</v>
      </c>
      <c r="V19" s="57"/>
      <c r="W19" s="57"/>
      <c r="X19" s="57"/>
    </row>
    <row r="20" spans="1:24" x14ac:dyDescent="0.25">
      <c r="A20" t="str">
        <f>IFERROR(INDEX('2019 Data (WP)'!$C$9:$C$73,MATCH($B20,'2019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4"/>
        <v>N/A</v>
      </c>
      <c r="H20" s="17" t="str">
        <f t="shared" ca="1" si="4"/>
        <v>N/A</v>
      </c>
      <c r="I20" s="17" t="str">
        <f t="shared" ca="1" si="5"/>
        <v>N/A</v>
      </c>
      <c r="J20" s="17" t="str">
        <f t="shared" ca="1" si="5"/>
        <v>N/A</v>
      </c>
      <c r="K20" s="17" t="str">
        <f t="shared" ca="1" si="6"/>
        <v>N/A</v>
      </c>
      <c r="L20" s="17" t="str">
        <f t="shared" ca="1" si="6"/>
        <v>N/A</v>
      </c>
      <c r="M20" s="17" t="str">
        <f t="shared" ca="1" si="6"/>
        <v>N/A</v>
      </c>
      <c r="N20" s="17" t="str">
        <f t="shared" ca="1" si="6"/>
        <v>N/A</v>
      </c>
      <c r="O20" s="17" t="str">
        <f t="shared" ca="1" si="6"/>
        <v>N/A</v>
      </c>
      <c r="P20" s="17" t="str">
        <f t="shared" ca="1" si="6"/>
        <v>N/A</v>
      </c>
      <c r="Q20" s="17" t="str">
        <f t="shared" ca="1" si="6"/>
        <v>N/A</v>
      </c>
      <c r="R20" s="17" t="str">
        <f t="shared" ca="1" si="6"/>
        <v>N/A</v>
      </c>
      <c r="S20" s="17" t="str">
        <f t="shared" ca="1" si="6"/>
        <v>N/A</v>
      </c>
      <c r="T20" s="17" t="str">
        <f t="shared" ca="1" si="6"/>
        <v>N/A</v>
      </c>
      <c r="U20" s="17" t="str">
        <f t="shared" ca="1" si="6"/>
        <v>N/A</v>
      </c>
      <c r="V20" s="56"/>
      <c r="W20" s="56"/>
      <c r="X20" s="56"/>
    </row>
    <row r="21" spans="1:24" x14ac:dyDescent="0.25">
      <c r="A21" t="str">
        <f>IFERROR(INDEX('2019 Data (WP)'!$C$9:$C$73,MATCH($B21,'2019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4"/>
        <v>0.61742424242424232</v>
      </c>
      <c r="H21" s="17">
        <f t="shared" ca="1" si="4"/>
        <v>0.64016736401673635</v>
      </c>
      <c r="I21" s="17">
        <f t="shared" ca="1" si="5"/>
        <v>0.61637931034482762</v>
      </c>
      <c r="J21" s="17">
        <f t="shared" ca="1" si="5"/>
        <v>0.61290322580645162</v>
      </c>
      <c r="K21" s="17">
        <f t="shared" ca="1" si="6"/>
        <v>0.6262626262626263</v>
      </c>
      <c r="L21" s="17">
        <f t="shared" ca="1" si="6"/>
        <v>0.61375661375661372</v>
      </c>
      <c r="M21" s="17">
        <f t="shared" ca="1" si="6"/>
        <v>0.62068965517241381</v>
      </c>
      <c r="N21" s="17">
        <f t="shared" ca="1" si="6"/>
        <v>0.6144578313253013</v>
      </c>
      <c r="O21" s="17">
        <f t="shared" ca="1" si="6"/>
        <v>0.62745098039215685</v>
      </c>
      <c r="P21" s="17">
        <f t="shared" ca="1" si="6"/>
        <v>0.57931034482758625</v>
      </c>
      <c r="Q21" s="17">
        <f t="shared" ca="1" si="6"/>
        <v>0.49624060150375937</v>
      </c>
      <c r="R21" s="17">
        <f t="shared" ca="1" si="6"/>
        <v>0.5376344086021505</v>
      </c>
      <c r="S21" s="17">
        <f t="shared" ca="1" si="6"/>
        <v>0.29268292682926828</v>
      </c>
      <c r="T21" s="17">
        <f t="shared" ca="1" si="6"/>
        <v>0.3125</v>
      </c>
      <c r="U21" s="17">
        <f t="shared" ca="1" si="6"/>
        <v>0</v>
      </c>
      <c r="V21" s="56"/>
      <c r="W21" s="56"/>
      <c r="X21" s="56"/>
    </row>
    <row r="22" spans="1:24" x14ac:dyDescent="0.25">
      <c r="A22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 t="str">
        <f t="shared" ca="1" si="4"/>
        <v>N/A</v>
      </c>
      <c r="H22" s="17" t="str">
        <f t="shared" ca="1" si="4"/>
        <v>N/A</v>
      </c>
      <c r="I22" s="17">
        <f t="shared" ca="1" si="5"/>
        <v>0.89855072463768126</v>
      </c>
      <c r="J22" s="17">
        <f t="shared" ca="1" si="5"/>
        <v>0.5539906103286385</v>
      </c>
      <c r="K22" s="17">
        <f t="shared" ca="1" si="6"/>
        <v>0.53846153846153855</v>
      </c>
      <c r="L22" s="17">
        <f t="shared" ca="1" si="6"/>
        <v>0.51470588235294124</v>
      </c>
      <c r="M22" s="17">
        <f t="shared" ca="1" si="6"/>
        <v>0.52604166666666674</v>
      </c>
      <c r="N22" s="17">
        <f t="shared" ca="1" si="6"/>
        <v>0.59036144578313254</v>
      </c>
      <c r="O22" s="17">
        <f t="shared" ca="1" si="6"/>
        <v>0.62745098039215685</v>
      </c>
      <c r="P22" s="17">
        <f t="shared" ca="1" si="6"/>
        <v>0.83333333333333337</v>
      </c>
      <c r="Q22" s="17">
        <f t="shared" ca="1" si="6"/>
        <v>0.81415929203539839</v>
      </c>
      <c r="R22" s="17">
        <f t="shared" ca="1" si="6"/>
        <v>0.75630252100840345</v>
      </c>
      <c r="S22" s="17">
        <f t="shared" ca="1" si="6"/>
        <v>0.79279279279279269</v>
      </c>
      <c r="T22" s="17">
        <f t="shared" ca="1" si="6"/>
        <v>0.82857142857142851</v>
      </c>
      <c r="U22" s="17">
        <f t="shared" ca="1" si="6"/>
        <v>1.0555555555555554</v>
      </c>
      <c r="V22" s="56"/>
      <c r="W22" s="56"/>
      <c r="X22" s="56"/>
    </row>
    <row r="23" spans="1:24" x14ac:dyDescent="0.25">
      <c r="A23" t="str">
        <f>IFERROR(INDEX('2019 Data (WP)'!$C$9:$C$73,MATCH($B23,'2019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4"/>
        <v>0.7766497461928934</v>
      </c>
      <c r="H23" s="17">
        <f t="shared" ca="1" si="4"/>
        <v>0.72549019607843135</v>
      </c>
      <c r="I23" s="17">
        <f t="shared" ca="1" si="5"/>
        <v>0.62857142857142856</v>
      </c>
      <c r="J23" s="17">
        <f t="shared" ca="1" si="5"/>
        <v>0.67317073170731712</v>
      </c>
      <c r="K23" s="17">
        <f t="shared" ca="1" si="6"/>
        <v>0.68020304568527923</v>
      </c>
      <c r="L23" s="17">
        <f t="shared" ca="1" si="6"/>
        <v>0.64197530864197538</v>
      </c>
      <c r="M23" s="17">
        <f t="shared" ca="1" si="6"/>
        <v>0.69613259668508287</v>
      </c>
      <c r="N23" s="17">
        <f t="shared" ca="1" si="6"/>
        <v>0.62595419847328237</v>
      </c>
      <c r="O23" s="17">
        <f t="shared" ca="1" si="6"/>
        <v>0.62694300518134716</v>
      </c>
      <c r="P23" s="17">
        <f t="shared" ca="1" si="6"/>
        <v>0.67226890756302526</v>
      </c>
      <c r="Q23" s="17">
        <f t="shared" ca="1" si="6"/>
        <v>0.68587896253602298</v>
      </c>
      <c r="R23" s="17">
        <f t="shared" ca="1" si="6"/>
        <v>0.75159235668789803</v>
      </c>
      <c r="S23" s="17">
        <f t="shared" ca="1" si="6"/>
        <v>0.6964285714285714</v>
      </c>
      <c r="T23" s="17">
        <f t="shared" ca="1" si="6"/>
        <v>0.66666666666666663</v>
      </c>
      <c r="U23" s="17">
        <f t="shared" ca="1" si="6"/>
        <v>0.77966101694915246</v>
      </c>
      <c r="V23" s="56"/>
      <c r="W23" s="56"/>
      <c r="X23" s="56"/>
    </row>
    <row r="24" spans="1:24" x14ac:dyDescent="0.25">
      <c r="A24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4"/>
        <v>0.6071428571428571</v>
      </c>
      <c r="H24" s="17">
        <f t="shared" ca="1" si="4"/>
        <v>0.6071428571428571</v>
      </c>
      <c r="I24" s="17">
        <f t="shared" ca="1" si="5"/>
        <v>0.5</v>
      </c>
      <c r="J24" s="17">
        <f t="shared" ca="1" si="5"/>
        <v>0.75609756097560976</v>
      </c>
      <c r="K24" s="17">
        <f t="shared" ca="1" si="6"/>
        <v>1.1111111111111109</v>
      </c>
      <c r="L24" s="17">
        <f t="shared" ca="1" si="6"/>
        <v>0.58823529411764708</v>
      </c>
      <c r="M24" s="17">
        <f t="shared" ca="1" si="6"/>
        <v>0.7142857142857143</v>
      </c>
      <c r="N24" s="17">
        <f t="shared" ca="1" si="6"/>
        <v>0.51724137931034486</v>
      </c>
      <c r="O24" s="17">
        <f t="shared" ca="1" si="6"/>
        <v>0.46875</v>
      </c>
      <c r="P24" s="17">
        <f t="shared" ca="1" si="6"/>
        <v>0.7142857142857143</v>
      </c>
      <c r="Q24" s="17">
        <f t="shared" ca="1" si="6"/>
        <v>0.69767441860465118</v>
      </c>
      <c r="R24" s="17">
        <f t="shared" ca="1" si="6"/>
        <v>0.3783783783783784</v>
      </c>
      <c r="S24" s="17">
        <f t="shared" ca="1" si="6"/>
        <v>0.65</v>
      </c>
      <c r="T24" s="17">
        <f t="shared" ca="1" si="6"/>
        <v>0.24683544303797469</v>
      </c>
      <c r="U24" s="17">
        <f t="shared" ca="1" si="6"/>
        <v>0.40677966101694918</v>
      </c>
      <c r="V24" s="56"/>
      <c r="W24" s="56"/>
      <c r="X24" s="56"/>
    </row>
    <row r="25" spans="1:24" x14ac:dyDescent="0.25">
      <c r="A25" t="str">
        <f>IFERROR(INDEX('2019 Data (WP)'!$C$9:$C$73,MATCH($B25,'2019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4"/>
        <v>1.8956043956043955</v>
      </c>
      <c r="H25" s="17">
        <f t="shared" ca="1" si="4"/>
        <v>1.6757990867579908</v>
      </c>
      <c r="I25" s="17">
        <f t="shared" ca="1" si="5"/>
        <v>1.0276923076923077</v>
      </c>
      <c r="J25" s="17">
        <f t="shared" ca="1" si="5"/>
        <v>0.859773371104816</v>
      </c>
      <c r="K25" s="17">
        <f t="shared" ref="K25:U34" ca="1" si="7">IFERROR(INDEX(Dividends,$D25,K$2)/INDEX(Earnings,$E25,K$2),"N/A")</f>
        <v>0.81395348837209303</v>
      </c>
      <c r="L25" s="17">
        <f t="shared" ca="1" si="7"/>
        <v>0.80937499999999996</v>
      </c>
      <c r="M25" s="17">
        <f t="shared" ca="1" si="7"/>
        <v>0.78688524590163933</v>
      </c>
      <c r="N25" s="17">
        <f t="shared" ca="1" si="7"/>
        <v>0.72815533980582525</v>
      </c>
      <c r="O25" s="17">
        <f t="shared" ca="1" si="7"/>
        <v>0.76727272727272722</v>
      </c>
      <c r="P25" s="17">
        <f t="shared" ca="1" si="7"/>
        <v>0.71376811594202905</v>
      </c>
      <c r="Q25" s="17">
        <f t="shared" ca="1" si="7"/>
        <v>0.63321799307958482</v>
      </c>
      <c r="R25" s="17">
        <f t="shared" ca="1" si="7"/>
        <v>0.66287878787878785</v>
      </c>
      <c r="S25" s="17">
        <f t="shared" ca="1" si="7"/>
        <v>0.51973684210526316</v>
      </c>
      <c r="T25" s="17">
        <f t="shared" ca="1" si="7"/>
        <v>0.68544600938967137</v>
      </c>
      <c r="U25" s="17">
        <f t="shared" ca="1" si="7"/>
        <v>0.57499999999999996</v>
      </c>
      <c r="V25" s="56"/>
      <c r="W25" s="56"/>
      <c r="X25" s="56"/>
    </row>
    <row r="26" spans="1:24" x14ac:dyDescent="0.25">
      <c r="A26" t="str">
        <f>IFERROR(INDEX('2019 Data (WP)'!$C$9:$C$73,MATCH($B26,'2019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ref="G26:H45" ca="1" si="8">IFERROR(INDEX(Dividends,$D26,G$2)/INDEX(Earnings,$E26,G$2),"N/A")</f>
        <v>0.58192090395480223</v>
      </c>
      <c r="H26" s="17">
        <f t="shared" ca="1" si="8"/>
        <v>0.61014263074484953</v>
      </c>
      <c r="I26" s="17">
        <f t="shared" ref="I26:J45" ca="1" si="9">IFERROR(INDEX(Dividends,$D26,I$2)/INDEX(Earnings,$E26,I$2),"N/A")</f>
        <v>0.58184764991896276</v>
      </c>
      <c r="J26" s="17">
        <f t="shared" ca="1" si="9"/>
        <v>0.58638743455497377</v>
      </c>
      <c r="K26" s="17">
        <f t="shared" ca="1" si="7"/>
        <v>0.63354037267080743</v>
      </c>
      <c r="L26" s="17">
        <f t="shared" ca="1" si="7"/>
        <v>0.63963963963963955</v>
      </c>
      <c r="M26" s="17">
        <f t="shared" ca="1" si="7"/>
        <v>0.52745098039215688</v>
      </c>
      <c r="N26" s="17">
        <f t="shared" ca="1" si="7"/>
        <v>0.68882978723404253</v>
      </c>
      <c r="O26" s="17">
        <f t="shared" ca="1" si="7"/>
        <v>0.62371134020618557</v>
      </c>
      <c r="P26" s="17">
        <f t="shared" ca="1" si="7"/>
        <v>0.63215258855585832</v>
      </c>
      <c r="Q26" s="17">
        <f t="shared" ca="1" si="7"/>
        <v>0.58288770053475936</v>
      </c>
      <c r="R26" s="17">
        <f t="shared" ca="1" si="7"/>
        <v>0.65432098765432101</v>
      </c>
      <c r="S26" s="17">
        <f t="shared" ca="1" si="7"/>
        <v>0.77655677655677657</v>
      </c>
      <c r="T26" s="17">
        <f t="shared" ca="1" si="7"/>
        <v>0.79699248120300747</v>
      </c>
      <c r="U26" s="17">
        <f t="shared" ca="1" si="7"/>
        <v>0.84693877551020413</v>
      </c>
      <c r="V26" s="56"/>
      <c r="W26" s="56"/>
      <c r="X26" s="56"/>
    </row>
    <row r="27" spans="1:24" x14ac:dyDescent="0.25">
      <c r="A27" t="str">
        <f>IFERROR(INDEX('2019 Data (WP)'!$C$9:$C$73,MATCH($B27,'2019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8"/>
        <v>0.97448979591836737</v>
      </c>
      <c r="H27" s="17">
        <f t="shared" ca="1" si="8"/>
        <v>0.73865877712031558</v>
      </c>
      <c r="I27" s="17">
        <f t="shared" ca="1" si="9"/>
        <v>0.88135593220338992</v>
      </c>
      <c r="J27" s="17">
        <f t="shared" ca="1" si="9"/>
        <v>0.82701421800947872</v>
      </c>
      <c r="K27" s="17">
        <f t="shared" ca="1" si="7"/>
        <v>0.90566037735849059</v>
      </c>
      <c r="L27" s="17">
        <f t="shared" ca="1" si="7"/>
        <v>0.79024390243902454</v>
      </c>
      <c r="M27" s="17">
        <f t="shared" ca="1" si="7"/>
        <v>0.76271186440677963</v>
      </c>
      <c r="N27" s="17">
        <f t="shared" ca="1" si="7"/>
        <v>0.77638190954773867</v>
      </c>
      <c r="O27" s="17">
        <f t="shared" ca="1" si="7"/>
        <v>0.81671159029649587</v>
      </c>
      <c r="P27" s="17">
        <f t="shared" ca="1" si="7"/>
        <v>0.71739130434782616</v>
      </c>
      <c r="Q27" s="17">
        <f t="shared" ca="1" si="7"/>
        <v>0.72388059701492546</v>
      </c>
      <c r="R27" s="17">
        <f t="shared" ca="1" si="7"/>
        <v>0.83185840707964598</v>
      </c>
      <c r="S27" s="17">
        <f t="shared" ca="1" si="7"/>
        <v>0.89108910891089121</v>
      </c>
      <c r="T27" s="17">
        <f t="shared" ca="1" si="7"/>
        <v>0.71666666666666667</v>
      </c>
      <c r="U27" s="17">
        <f t="shared" ca="1" si="7"/>
        <v>0</v>
      </c>
      <c r="V27" s="56"/>
      <c r="W27" s="56"/>
      <c r="X27" s="56"/>
    </row>
    <row r="28" spans="1:24" x14ac:dyDescent="0.25">
      <c r="A28" t="str">
        <f>IFERROR(INDEX('2019 Data (WP)'!$C$9:$C$73,MATCH($B28,'2019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8"/>
        <v>1.4970930232558142</v>
      </c>
      <c r="H28" s="17">
        <f t="shared" ca="1" si="8"/>
        <v>0.62185929648241212</v>
      </c>
      <c r="I28" s="17">
        <f t="shared" ca="1" si="9"/>
        <v>-1.926984126984127</v>
      </c>
      <c r="J28" s="17">
        <f t="shared" ca="1" si="9"/>
        <v>0.49512195121951225</v>
      </c>
      <c r="K28" s="17">
        <f t="shared" ca="1" si="7"/>
        <v>0.50329949238578686</v>
      </c>
      <c r="L28" s="17">
        <f t="shared" ca="1" si="7"/>
        <v>0.4175903614457831</v>
      </c>
      <c r="M28" s="17">
        <f t="shared" ca="1" si="7"/>
        <v>0.34249422632794457</v>
      </c>
      <c r="N28" s="17">
        <f t="shared" ca="1" si="7"/>
        <v>0.36190476190476195</v>
      </c>
      <c r="O28" s="17">
        <f t="shared" ca="1" si="7"/>
        <v>0.28857142857142859</v>
      </c>
      <c r="P28" s="17">
        <f t="shared" ca="1" si="7"/>
        <v>0.39783281733746129</v>
      </c>
      <c r="Q28" s="17">
        <f t="shared" ca="1" si="7"/>
        <v>0.37761194029850742</v>
      </c>
      <c r="R28" s="17">
        <f t="shared" ca="1" si="7"/>
        <v>0.38425925925925924</v>
      </c>
      <c r="S28" s="17">
        <f t="shared" ca="1" si="7"/>
        <v>0.3328804347826087</v>
      </c>
      <c r="T28" s="17">
        <f t="shared" ca="1" si="7"/>
        <v>0.35391566265060243</v>
      </c>
      <c r="U28" s="17">
        <f t="shared" ca="1" si="7"/>
        <v>0.33536585365853661</v>
      </c>
      <c r="V28" s="56"/>
      <c r="W28" s="56"/>
      <c r="X28" s="56"/>
    </row>
    <row r="29" spans="1:24" x14ac:dyDescent="0.25">
      <c r="A29" t="str">
        <f>IFERROR(INDEX('2019 Data (WP)'!$C$9:$C$73,MATCH($B29,'2019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 t="str">
        <f t="shared" ca="1" si="8"/>
        <v>N/A</v>
      </c>
      <c r="H29" s="17" t="str">
        <f t="shared" ca="1" si="8"/>
        <v>N/A</v>
      </c>
      <c r="I29" s="17">
        <f t="shared" ca="1" si="9"/>
        <v>0.68357487922705318</v>
      </c>
      <c r="J29" s="17">
        <f t="shared" ca="1" si="9"/>
        <v>0.54338842975206614</v>
      </c>
      <c r="K29" s="17">
        <f t="shared" ca="1" si="7"/>
        <v>0.5125523012552301</v>
      </c>
      <c r="L29" s="17">
        <f t="shared" ca="1" si="7"/>
        <v>0.57389162561576357</v>
      </c>
      <c r="M29" s="17">
        <f t="shared" ca="1" si="7"/>
        <v>0.486784140969163</v>
      </c>
      <c r="N29" s="17">
        <f t="shared" ca="1" si="7"/>
        <v>0.47499999999999992</v>
      </c>
      <c r="O29" s="17">
        <f t="shared" ca="1" si="7"/>
        <v>0.42920353982300885</v>
      </c>
      <c r="P29" s="17">
        <f t="shared" ca="1" si="7"/>
        <v>0.26612903225806456</v>
      </c>
      <c r="Q29" s="17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56"/>
      <c r="W29" s="56"/>
      <c r="X29" s="56"/>
    </row>
    <row r="30" spans="1:24" x14ac:dyDescent="0.25">
      <c r="A30" t="str">
        <f>IFERROR(INDEX('2019 Data (WP)'!$C$9:$C$73,MATCH($B30,'2019 Data (WP)'!$D$9:$D$73,0)),"")</f>
        <v/>
      </c>
      <c r="B30" t="s">
        <v>16</v>
      </c>
      <c r="C30" t="s">
        <v>102</v>
      </c>
      <c r="D30" s="35" t="e">
        <f t="shared" ca="1" si="1"/>
        <v>#N/A</v>
      </c>
      <c r="E30" s="35" t="e">
        <f t="shared" ca="1" si="2"/>
        <v>#N/A</v>
      </c>
      <c r="F30" s="35"/>
      <c r="G30" s="17" t="str">
        <f t="shared" ca="1" si="8"/>
        <v>N/A</v>
      </c>
      <c r="H30" s="17" t="str">
        <f t="shared" ca="1" si="8"/>
        <v>N/A</v>
      </c>
      <c r="I30" s="17" t="str">
        <f t="shared" ca="1" si="9"/>
        <v>N/A</v>
      </c>
      <c r="J30" s="17" t="str">
        <f t="shared" ca="1" si="9"/>
        <v>N/A</v>
      </c>
      <c r="K30" s="17" t="str">
        <f t="shared" ca="1" si="7"/>
        <v>N/A</v>
      </c>
      <c r="L30" s="17" t="str">
        <f t="shared" ca="1" si="7"/>
        <v>N/A</v>
      </c>
      <c r="M30" s="17" t="str">
        <f t="shared" ca="1" si="7"/>
        <v>N/A</v>
      </c>
      <c r="N30" s="17" t="str">
        <f t="shared" ca="1" si="7"/>
        <v>N/A</v>
      </c>
      <c r="O30" s="17" t="str">
        <f t="shared" ca="1" si="7"/>
        <v>N/A</v>
      </c>
      <c r="P30" s="17" t="str">
        <f t="shared" ca="1" si="7"/>
        <v>N/A</v>
      </c>
      <c r="Q30" s="17" t="str">
        <f t="shared" ca="1" si="7"/>
        <v>N/A</v>
      </c>
      <c r="R30" s="17" t="str">
        <f t="shared" ca="1" si="7"/>
        <v>N/A</v>
      </c>
      <c r="S30" s="17" t="str">
        <f t="shared" ca="1" si="7"/>
        <v>N/A</v>
      </c>
      <c r="T30" s="17" t="str">
        <f t="shared" ca="1" si="7"/>
        <v>N/A</v>
      </c>
      <c r="U30" s="17" t="str">
        <f t="shared" ca="1" si="7"/>
        <v>N/A</v>
      </c>
      <c r="V30" s="56"/>
      <c r="W30" s="56"/>
      <c r="X30" s="56"/>
    </row>
    <row r="31" spans="1:24" x14ac:dyDescent="0.25">
      <c r="A31" t="str">
        <f>IFERROR(INDEX('2019 Data (WP)'!$C$9:$C$73,MATCH($B31,'2019 Data (WP)'!$D$9:$D$73,0)),"")</f>
        <v>Electric Util. (Central)</v>
      </c>
      <c r="B31" t="s">
        <v>17</v>
      </c>
      <c r="C31" t="s">
        <v>55</v>
      </c>
      <c r="D31" s="35">
        <f t="shared" ca="1" si="1"/>
        <v>29</v>
      </c>
      <c r="E31" s="35">
        <f t="shared" ca="1" si="2"/>
        <v>29</v>
      </c>
      <c r="F31" s="35"/>
      <c r="G31" s="17">
        <f t="shared" ca="1" si="8"/>
        <v>0.54202898550724643</v>
      </c>
      <c r="H31" s="17">
        <f t="shared" ca="1" si="8"/>
        <v>0.580952380952381</v>
      </c>
      <c r="I31" s="17">
        <f t="shared" ca="1" si="9"/>
        <v>0.608843537414966</v>
      </c>
      <c r="J31" s="17">
        <f t="shared" ca="1" si="9"/>
        <v>0.67437379576107892</v>
      </c>
      <c r="K31" s="17">
        <f t="shared" ca="1" si="7"/>
        <v>0.49709302325581395</v>
      </c>
      <c r="L31" s="17">
        <f t="shared" ca="1" si="7"/>
        <v>0.57487091222030984</v>
      </c>
      <c r="M31" s="17">
        <f t="shared" ca="1" si="7"/>
        <v>0.57538994800693244</v>
      </c>
      <c r="N31" s="17">
        <f t="shared" ca="1" si="7"/>
        <v>0.66935483870967738</v>
      </c>
      <c r="O31" s="17">
        <f t="shared" ca="1" si="7"/>
        <v>0.55149501661129574</v>
      </c>
      <c r="P31" s="17">
        <f t="shared" ca="1" si="7"/>
        <v>0.43973509933774835</v>
      </c>
      <c r="Q31" s="17">
        <f t="shared" ca="1" si="7"/>
        <v>0.48648648648648651</v>
      </c>
      <c r="R31" s="17">
        <f t="shared" ca="1" si="7"/>
        <v>0.47619047619047622</v>
      </c>
      <c r="S31" s="17">
        <f t="shared" ca="1" si="7"/>
        <v>0.48387096774193544</v>
      </c>
      <c r="T31" s="17">
        <f t="shared" ca="1" si="7"/>
        <v>0.46071428571428574</v>
      </c>
      <c r="U31" s="17">
        <f t="shared" ca="1" si="7"/>
        <v>0.40298507462686567</v>
      </c>
      <c r="V31" s="56"/>
      <c r="W31" s="56"/>
      <c r="X31" s="56"/>
    </row>
    <row r="32" spans="1:24" x14ac:dyDescent="0.25">
      <c r="A32" t="str">
        <f>IFERROR(INDEX('2019 Data (WP)'!$C$9:$C$73,MATCH($B32,'2019 Data (WP)'!$D$9:$D$73,0)),"")</f>
        <v>Electric Utility (East)</v>
      </c>
      <c r="B32" t="s">
        <v>211</v>
      </c>
      <c r="C32" t="s">
        <v>212</v>
      </c>
      <c r="D32" s="35">
        <f t="shared" ca="1" si="1"/>
        <v>30</v>
      </c>
      <c r="E32" s="35">
        <f t="shared" ca="1" si="2"/>
        <v>30</v>
      </c>
      <c r="F32" s="35"/>
      <c r="G32" s="17">
        <f t="shared" ca="1" si="8"/>
        <v>0.6394366197183099</v>
      </c>
      <c r="H32" s="17">
        <f t="shared" ca="1" si="8"/>
        <v>0.62028985507246381</v>
      </c>
      <c r="I32" s="17">
        <f t="shared" ca="1" si="9"/>
        <v>0.6215384615384616</v>
      </c>
      <c r="J32" s="17">
        <f t="shared" ca="1" si="9"/>
        <v>0.61093247588424437</v>
      </c>
      <c r="K32" s="17">
        <f t="shared" ca="1" si="7"/>
        <v>0.60135135135135132</v>
      </c>
      <c r="L32" s="17">
        <f t="shared" ca="1" si="7"/>
        <v>0.60507246376811596</v>
      </c>
      <c r="M32" s="17">
        <f t="shared" ca="1" si="7"/>
        <v>0.60852713178294571</v>
      </c>
      <c r="N32" s="17">
        <f t="shared" ca="1" si="7"/>
        <v>0.59036144578313243</v>
      </c>
      <c r="O32" s="17">
        <f t="shared" ca="1" si="7"/>
        <v>0.69841269841269848</v>
      </c>
      <c r="P32" s="17">
        <f t="shared" ca="1" si="7"/>
        <v>0.49549549549549549</v>
      </c>
      <c r="Q32" s="17">
        <f t="shared" ca="1" si="7"/>
        <v>0.48809523809523803</v>
      </c>
      <c r="R32" s="17">
        <f t="shared" ca="1" si="7"/>
        <v>0.49738219895287961</v>
      </c>
      <c r="S32" s="17">
        <f t="shared" ca="1" si="7"/>
        <v>0.44354838709677413</v>
      </c>
      <c r="T32" s="17">
        <f t="shared" ca="1" si="7"/>
        <v>0.48742138364779874</v>
      </c>
      <c r="U32" s="17">
        <f t="shared" ca="1" si="7"/>
        <v>0.88414634146341464</v>
      </c>
      <c r="V32" s="56"/>
      <c r="W32" s="56"/>
      <c r="X32" s="56"/>
    </row>
    <row r="33" spans="1:24" x14ac:dyDescent="0.25">
      <c r="A33" t="str">
        <f>IFERROR(INDEX('2019 Data (WP)'!$C$9:$C$73,MATCH($B33,'2019 Data (WP)'!$D$9:$D$73,0)),"")</f>
        <v>Electric Utility (East)</v>
      </c>
      <c r="B33" t="s">
        <v>18</v>
      </c>
      <c r="C33" t="s">
        <v>69</v>
      </c>
      <c r="D33" s="35">
        <f t="shared" ca="1" si="1"/>
        <v>31</v>
      </c>
      <c r="E33" s="35">
        <f t="shared" ca="1" si="2"/>
        <v>31</v>
      </c>
      <c r="F33" s="35"/>
      <c r="G33" s="17">
        <f t="shared" ca="1" si="8"/>
        <v>0.58846153846153848</v>
      </c>
      <c r="H33" s="17">
        <f t="shared" ca="1" si="8"/>
        <v>0.48172757475083061</v>
      </c>
      <c r="I33" s="17">
        <f t="shared" ca="1" si="9"/>
        <v>0.66666666666666663</v>
      </c>
      <c r="J33" s="17">
        <f t="shared" ca="1" si="9"/>
        <v>0.47122302158273388</v>
      </c>
      <c r="K33" s="17">
        <f t="shared" ca="1" si="7"/>
        <v>0.7</v>
      </c>
      <c r="L33" s="17">
        <f t="shared" ca="1" si="7"/>
        <v>0.48818897637795272</v>
      </c>
      <c r="M33" s="17">
        <f t="shared" ca="1" si="7"/>
        <v>0.59047619047619049</v>
      </c>
      <c r="N33" s="17">
        <f t="shared" ca="1" si="7"/>
        <v>0.62987012987012991</v>
      </c>
      <c r="O33" s="17">
        <f t="shared" ca="1" si="7"/>
        <v>1.09375</v>
      </c>
      <c r="P33" s="17">
        <f t="shared" ca="1" si="7"/>
        <v>0.56000000000000005</v>
      </c>
      <c r="Q33" s="17">
        <f t="shared" ca="1" si="7"/>
        <v>0.54263565891472865</v>
      </c>
      <c r="R33" s="17">
        <f t="shared" ca="1" si="7"/>
        <v>0.48951048951048953</v>
      </c>
      <c r="S33" s="17">
        <f t="shared" ca="1" si="7"/>
        <v>0.5</v>
      </c>
      <c r="T33" s="17">
        <f t="shared" ca="1" si="7"/>
        <v>0.45161290322580644</v>
      </c>
      <c r="U33" s="17">
        <f t="shared" ca="1" si="7"/>
        <v>0.46857142857142853</v>
      </c>
      <c r="V33" s="56"/>
      <c r="W33" s="56"/>
      <c r="X33" s="56"/>
    </row>
    <row r="34" spans="1:24" x14ac:dyDescent="0.25">
      <c r="A34" t="str">
        <f>IFERROR(INDEX('2019 Data (WP)'!$C$9:$C$73,MATCH($B34,'2019 Data (WP)'!$D$9:$D$73,0)),"")</f>
        <v>Electric Utility (East)</v>
      </c>
      <c r="B34" t="s">
        <v>19</v>
      </c>
      <c r="C34" t="s">
        <v>66</v>
      </c>
      <c r="D34" s="35">
        <f t="shared" ca="1" si="1"/>
        <v>32</v>
      </c>
      <c r="E34" s="35">
        <f t="shared" ca="1" si="2"/>
        <v>32</v>
      </c>
      <c r="F34" s="35"/>
      <c r="G34" s="17">
        <f t="shared" ca="1" si="8"/>
        <v>0.84324324324324318</v>
      </c>
      <c r="H34" s="17">
        <f t="shared" ca="1" si="8"/>
        <v>0.83152173913043481</v>
      </c>
      <c r="I34" s="17">
        <f t="shared" ca="1" si="9"/>
        <v>1.368421052631579</v>
      </c>
      <c r="J34" s="17">
        <f t="shared" ca="1" si="9"/>
        <v>0.52747252747252749</v>
      </c>
      <c r="K34" s="17">
        <f t="shared" ca="1" si="7"/>
        <v>0.68571428571428561</v>
      </c>
      <c r="L34" s="17">
        <f t="shared" ca="1" si="7"/>
        <v>0.72</v>
      </c>
      <c r="M34" s="17">
        <f t="shared" ca="1" si="7"/>
        <v>1.6941176470588235</v>
      </c>
      <c r="N34" s="17">
        <f t="shared" ca="1" si="7"/>
        <v>0.55555555555555547</v>
      </c>
      <c r="O34" s="17">
        <f t="shared" ca="1" si="7"/>
        <v>1.0328638497652582</v>
      </c>
      <c r="P34" s="17">
        <f t="shared" ca="1" si="7"/>
        <v>1.1702127659574471</v>
      </c>
      <c r="Q34" s="17">
        <f t="shared" ca="1" si="7"/>
        <v>0.67692307692307696</v>
      </c>
      <c r="R34" s="17">
        <f t="shared" ca="1" si="7"/>
        <v>0.66265060240963869</v>
      </c>
      <c r="S34" s="17">
        <f t="shared" ca="1" si="7"/>
        <v>0.50228310502283113</v>
      </c>
      <c r="T34" s="17">
        <f t="shared" ca="1" si="7"/>
        <v>0.48578199052132698</v>
      </c>
      <c r="U34" s="17">
        <f t="shared" ca="1" si="7"/>
        <v>0.48429319371727753</v>
      </c>
      <c r="V34" s="56"/>
      <c r="W34" s="56"/>
      <c r="X34" s="56"/>
    </row>
    <row r="35" spans="1:24" x14ac:dyDescent="0.25">
      <c r="A35" t="str">
        <f>IFERROR(INDEX('2019 Data (WP)'!$C$9:$C$73,MATCH($B35,'2019 Data (WP)'!$D$9:$D$73,0)),"")</f>
        <v>Electric Util. (Central)</v>
      </c>
      <c r="B35" t="s">
        <v>266</v>
      </c>
      <c r="C35" t="s">
        <v>265</v>
      </c>
      <c r="D35" s="35">
        <f t="shared" ca="1" si="1"/>
        <v>33</v>
      </c>
      <c r="E35" s="35">
        <f t="shared" ca="1" si="2"/>
        <v>33</v>
      </c>
      <c r="F35" s="35"/>
      <c r="G35" s="17">
        <f t="shared" ca="1" si="8"/>
        <v>0.75576923076923075</v>
      </c>
      <c r="H35" s="17">
        <f t="shared" ca="1" si="8"/>
        <v>0.69216417910447758</v>
      </c>
      <c r="I35" s="17">
        <f t="shared" ca="1" si="9"/>
        <v>0.69444444444444442</v>
      </c>
      <c r="J35" s="17">
        <f t="shared" ca="1" si="9"/>
        <v>0.62030075187969913</v>
      </c>
      <c r="K35" s="17">
        <f t="shared" ref="K35:U44" ca="1" si="10">IFERROR(INDEX(Dividends,$D35,K$2)/INDEX(Earnings,$E35,K$2),"N/A")</f>
        <v>0.82010582010582023</v>
      </c>
      <c r="L35" s="17">
        <f t="shared" ca="1" si="10"/>
        <v>0.67772511848341233</v>
      </c>
      <c r="M35" s="17">
        <f t="shared" ca="1" si="10"/>
        <v>0.94202898550724645</v>
      </c>
      <c r="N35" s="17">
        <f t="shared" ca="1" si="10"/>
        <v>0.76687116564417179</v>
      </c>
      <c r="O35" s="17">
        <f t="shared" ca="1" si="10"/>
        <v>0.73333333333333339</v>
      </c>
      <c r="P35" s="17">
        <f t="shared" ca="1" si="10"/>
        <v>0.67241379310344829</v>
      </c>
      <c r="Q35" s="17">
        <f t="shared" ca="1" si="10"/>
        <v>0.6913580246913581</v>
      </c>
      <c r="R35" s="17">
        <f t="shared" ca="1" si="10"/>
        <v>0.6887417218543046</v>
      </c>
      <c r="S35" s="17">
        <f t="shared" ca="1" si="10"/>
        <v>0.65789473684210531</v>
      </c>
      <c r="T35" s="17">
        <f t="shared" ca="1" si="10"/>
        <v>0.63714063714063718</v>
      </c>
      <c r="U35" s="17">
        <f t="shared" ca="1" si="10"/>
        <v>0.49300956585724803</v>
      </c>
      <c r="V35" s="56"/>
      <c r="W35" s="56"/>
      <c r="X35" s="56"/>
    </row>
    <row r="36" spans="1:24" x14ac:dyDescent="0.25">
      <c r="A36" t="str">
        <f>IFERROR(INDEX('2019 Data (WP)'!$C$9:$C$73,MATCH($B36,'2019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8"/>
        <v>N/A</v>
      </c>
      <c r="H36" s="17" t="str">
        <f t="shared" ca="1" si="8"/>
        <v>N/A</v>
      </c>
      <c r="I36" s="17" t="str">
        <f t="shared" ca="1" si="9"/>
        <v>N/A</v>
      </c>
      <c r="J36" s="17" t="str">
        <f t="shared" ca="1" si="9"/>
        <v>N/A</v>
      </c>
      <c r="K36" s="17" t="str">
        <f t="shared" ca="1" si="10"/>
        <v>N/A</v>
      </c>
      <c r="L36" s="17" t="str">
        <f t="shared" ca="1" si="10"/>
        <v>N/A</v>
      </c>
      <c r="M36" s="17" t="str">
        <f t="shared" ca="1" si="10"/>
        <v>N/A</v>
      </c>
      <c r="N36" s="17" t="str">
        <f t="shared" ca="1" si="10"/>
        <v>N/A</v>
      </c>
      <c r="O36" s="17" t="str">
        <f t="shared" ca="1" si="10"/>
        <v>N/A</v>
      </c>
      <c r="P36" s="17" t="str">
        <f t="shared" ca="1" si="10"/>
        <v>N/A</v>
      </c>
      <c r="Q36" s="17" t="str">
        <f t="shared" ca="1" si="10"/>
        <v>N/A</v>
      </c>
      <c r="R36" s="17" t="str">
        <f t="shared" ca="1" si="10"/>
        <v>N/A</v>
      </c>
      <c r="S36" s="17" t="str">
        <f t="shared" ca="1" si="10"/>
        <v>N/A</v>
      </c>
      <c r="T36" s="17" t="str">
        <f t="shared" ca="1" si="10"/>
        <v>N/A</v>
      </c>
      <c r="U36" s="17" t="str">
        <f t="shared" ca="1" si="10"/>
        <v>N/A</v>
      </c>
      <c r="V36" s="56"/>
      <c r="W36" s="56"/>
      <c r="X36" s="56"/>
    </row>
    <row r="37" spans="1:24" x14ac:dyDescent="0.25">
      <c r="A37" t="str">
        <f>IFERROR(INDEX('2019 Data (WP)'!$C$9:$C$73,MATCH($B37,'2019 Data (WP)'!$D$9:$D$73,0)),"")</f>
        <v>Electric Util. (Central)</v>
      </c>
      <c r="B37" t="s">
        <v>20</v>
      </c>
      <c r="C37" t="s">
        <v>104</v>
      </c>
      <c r="D37" s="35">
        <f t="shared" ref="D37:D46" ca="1" si="11">MATCH(B37,OFFSET(Dividends,0,0,,1),0)</f>
        <v>35</v>
      </c>
      <c r="E37" s="35">
        <f t="shared" ref="E37:E46" ca="1" si="12">MATCH(B37,OFFSET(Earnings,0,0,,1),0)</f>
        <v>35</v>
      </c>
      <c r="F37" s="35"/>
      <c r="G37" s="17" t="str">
        <f t="shared" ca="1" si="8"/>
        <v>N/A</v>
      </c>
      <c r="H37" s="17" t="str">
        <f t="shared" ca="1" si="8"/>
        <v>N/A</v>
      </c>
      <c r="I37" s="17" t="str">
        <f t="shared" ca="1" si="9"/>
        <v>N/A</v>
      </c>
      <c r="J37" s="17">
        <f t="shared" ca="1" si="9"/>
        <v>-18.333333333333336</v>
      </c>
      <c r="K37" s="17">
        <f t="shared" ca="1" si="10"/>
        <v>0.65527950310559002</v>
      </c>
      <c r="L37" s="17">
        <f t="shared" ca="1" si="10"/>
        <v>0.72846715328467149</v>
      </c>
      <c r="M37" s="17">
        <f t="shared" ca="1" si="10"/>
        <v>0.59554140127388533</v>
      </c>
      <c r="N37" s="17">
        <f t="shared" ca="1" si="10"/>
        <v>0.5444444444444444</v>
      </c>
      <c r="O37" s="17">
        <f t="shared" ca="1" si="10"/>
        <v>0.6333333333333333</v>
      </c>
      <c r="P37" s="17">
        <f t="shared" ca="1" si="10"/>
        <v>0.66799999999999993</v>
      </c>
      <c r="Q37" s="17">
        <f t="shared" ca="1" si="10"/>
        <v>0.54248366013071891</v>
      </c>
      <c r="R37" s="17">
        <f t="shared" ca="1" si="10"/>
        <v>0.80582524271844658</v>
      </c>
      <c r="S37" s="17">
        <f t="shared" ca="1" si="10"/>
        <v>1.4310344827586208</v>
      </c>
      <c r="T37" s="17">
        <f t="shared" ca="1" si="10"/>
        <v>0.89729729729729724</v>
      </c>
      <c r="U37" s="17">
        <f t="shared" ca="1" si="10"/>
        <v>1.0246913580246912</v>
      </c>
      <c r="V37" s="56"/>
      <c r="W37" s="57"/>
      <c r="X37" s="57"/>
    </row>
    <row r="38" spans="1:24" x14ac:dyDescent="0.25">
      <c r="A38" t="str">
        <f>IFERROR(INDEX('2019 Data (WP)'!$C$9:$C$73,MATCH($B38,'2019 Data (WP)'!$D$9:$D$73,0)),"")</f>
        <v>Electric Utility (West)</v>
      </c>
      <c r="B38" t="s">
        <v>21</v>
      </c>
      <c r="C38" t="s">
        <v>58</v>
      </c>
      <c r="D38" s="35">
        <f t="shared" ca="1" si="11"/>
        <v>36</v>
      </c>
      <c r="E38" s="35">
        <f t="shared" ca="1" si="12"/>
        <v>36</v>
      </c>
      <c r="F38" s="35"/>
      <c r="G38" s="17">
        <f t="shared" ca="1" si="8"/>
        <v>0.72928176795580113</v>
      </c>
      <c r="H38" s="17">
        <f t="shared" ca="1" si="8"/>
        <v>0.64321608040201006</v>
      </c>
      <c r="I38" s="17">
        <f t="shared" ca="1" si="9"/>
        <v>0.6702702702702702</v>
      </c>
      <c r="J38" s="17">
        <f t="shared" ca="1" si="9"/>
        <v>0.75609756097560976</v>
      </c>
      <c r="K38" s="17">
        <f t="shared" ca="1" si="10"/>
        <v>0.54148471615720528</v>
      </c>
      <c r="L38" s="17">
        <f t="shared" ca="1" si="10"/>
        <v>0.82666666666666666</v>
      </c>
      <c r="M38" s="17">
        <f t="shared" ca="1" si="10"/>
        <v>0.75609756097560976</v>
      </c>
      <c r="N38" s="17">
        <f t="shared" ca="1" si="10"/>
        <v>0.76543209876543206</v>
      </c>
      <c r="O38" s="17">
        <f t="shared" ca="1" si="10"/>
        <v>0.74251497005988032</v>
      </c>
      <c r="P38" s="17">
        <f t="shared" ca="1" si="10"/>
        <v>0.86111111111111116</v>
      </c>
      <c r="Q38" s="17">
        <f t="shared" ca="1" si="10"/>
        <v>1.024793388429752</v>
      </c>
      <c r="R38" s="17">
        <f t="shared" ca="1" si="10"/>
        <v>1.3626373626373627</v>
      </c>
      <c r="S38" s="17">
        <f t="shared" ca="1" si="10"/>
        <v>1.1588785046728971</v>
      </c>
      <c r="T38" s="17">
        <f t="shared" ca="1" si="10"/>
        <v>1.117117117117117</v>
      </c>
      <c r="U38" s="17">
        <f t="shared" ca="1" si="10"/>
        <v>0.93233082706766912</v>
      </c>
      <c r="V38" s="56"/>
      <c r="W38" s="56"/>
      <c r="X38" s="56"/>
    </row>
    <row r="39" spans="1:24" x14ac:dyDescent="0.25">
      <c r="A39" t="str">
        <f>IFERROR(INDEX('2019 Data (WP)'!$C$9:$C$73,MATCH($B39,'2019 Data (WP)'!$D$9:$D$73,0)),"")</f>
        <v>Electric Utility (West)</v>
      </c>
      <c r="B39" t="s">
        <v>22</v>
      </c>
      <c r="C39" t="s">
        <v>59</v>
      </c>
      <c r="D39" s="35">
        <f t="shared" ca="1" si="11"/>
        <v>37</v>
      </c>
      <c r="E39" s="35">
        <f t="shared" ca="1" si="12"/>
        <v>37</v>
      </c>
      <c r="F39" s="35"/>
      <c r="G39" s="17">
        <f t="shared" ca="1" si="8"/>
        <v>0.57995735607675902</v>
      </c>
      <c r="H39" s="17">
        <f t="shared" ca="1" si="8"/>
        <v>0.55531453362255967</v>
      </c>
      <c r="I39" s="17">
        <f t="shared" ca="1" si="9"/>
        <v>0.53452115812917589</v>
      </c>
      <c r="J39" s="17">
        <f t="shared" ca="1" si="9"/>
        <v>0.5320665083135393</v>
      </c>
      <c r="K39" s="17">
        <f t="shared" ca="1" si="10"/>
        <v>0.52791878172588835</v>
      </c>
      <c r="L39" s="17">
        <f t="shared" ca="1" si="10"/>
        <v>0.49612403100775193</v>
      </c>
      <c r="M39" s="17">
        <f t="shared" ca="1" si="10"/>
        <v>0.45714285714285713</v>
      </c>
      <c r="N39" s="17">
        <f t="shared" ca="1" si="10"/>
        <v>0.43131868131868134</v>
      </c>
      <c r="O39" s="17">
        <f t="shared" ca="1" si="10"/>
        <v>0.40652818991097922</v>
      </c>
      <c r="P39" s="17">
        <f t="shared" ca="1" si="10"/>
        <v>0.35714285714285715</v>
      </c>
      <c r="Q39" s="17">
        <f t="shared" ca="1" si="10"/>
        <v>0.40677966101694912</v>
      </c>
      <c r="R39" s="17">
        <f t="shared" ca="1" si="10"/>
        <v>0.45454545454545453</v>
      </c>
      <c r="S39" s="17">
        <f t="shared" ca="1" si="10"/>
        <v>0.55045871559633019</v>
      </c>
      <c r="T39" s="17">
        <f t="shared" ca="1" si="10"/>
        <v>0.64516129032258063</v>
      </c>
      <c r="U39" s="17">
        <f t="shared" ca="1" si="10"/>
        <v>0.51063829787234039</v>
      </c>
      <c r="V39" s="56"/>
      <c r="W39" s="56"/>
      <c r="X39" s="56"/>
    </row>
    <row r="40" spans="1:24" x14ac:dyDescent="0.25">
      <c r="A40" t="str">
        <f>IFERROR(INDEX('2019 Data (WP)'!$C$9:$C$73,MATCH($B40,'2019 Data (WP)'!$D$9:$D$73,0)),"")</f>
        <v/>
      </c>
      <c r="B40" t="s">
        <v>23</v>
      </c>
      <c r="C40" t="s">
        <v>85</v>
      </c>
      <c r="D40" s="35" t="e">
        <f t="shared" ca="1" si="11"/>
        <v>#N/A</v>
      </c>
      <c r="E40" s="35" t="e">
        <f t="shared" ca="1" si="12"/>
        <v>#N/A</v>
      </c>
      <c r="F40" s="35"/>
      <c r="G40" s="17" t="str">
        <f t="shared" ca="1" si="8"/>
        <v>N/A</v>
      </c>
      <c r="H40" s="17" t="str">
        <f t="shared" ca="1" si="8"/>
        <v>N/A</v>
      </c>
      <c r="I40" s="17" t="str">
        <f t="shared" ca="1" si="9"/>
        <v>N/A</v>
      </c>
      <c r="J40" s="17" t="str">
        <f t="shared" ca="1" si="9"/>
        <v>N/A</v>
      </c>
      <c r="K40" s="17" t="str">
        <f t="shared" ca="1" si="10"/>
        <v>N/A</v>
      </c>
      <c r="L40" s="17" t="str">
        <f t="shared" ca="1" si="10"/>
        <v>N/A</v>
      </c>
      <c r="M40" s="17" t="str">
        <f t="shared" ca="1" si="10"/>
        <v>N/A</v>
      </c>
      <c r="N40" s="17" t="str">
        <f t="shared" ca="1" si="10"/>
        <v>N/A</v>
      </c>
      <c r="O40" s="17" t="str">
        <f t="shared" ca="1" si="10"/>
        <v>N/A</v>
      </c>
      <c r="P40" s="17" t="str">
        <f t="shared" ca="1" si="10"/>
        <v>N/A</v>
      </c>
      <c r="Q40" s="17" t="str">
        <f t="shared" ca="1" si="10"/>
        <v>N/A</v>
      </c>
      <c r="R40" s="17" t="str">
        <f t="shared" ca="1" si="10"/>
        <v>N/A</v>
      </c>
      <c r="S40" s="17" t="str">
        <f t="shared" ca="1" si="10"/>
        <v>N/A</v>
      </c>
      <c r="T40" s="17" t="str">
        <f t="shared" ca="1" si="10"/>
        <v>N/A</v>
      </c>
      <c r="U40" s="17" t="str">
        <f t="shared" ca="1" si="10"/>
        <v>N/A</v>
      </c>
      <c r="V40" s="56"/>
      <c r="W40" s="56"/>
      <c r="X40" s="56"/>
    </row>
    <row r="41" spans="1:24" x14ac:dyDescent="0.25">
      <c r="A41" t="str">
        <f>IFERROR(INDEX('2019 Data (WP)'!$C$9:$C$73,MATCH($B41,'2019 Data (WP)'!$D$9:$D$73,0)),"")</f>
        <v/>
      </c>
      <c r="B41" t="s">
        <v>161</v>
      </c>
      <c r="C41" t="s">
        <v>160</v>
      </c>
      <c r="D41" s="35" t="e">
        <f t="shared" ca="1" si="11"/>
        <v>#N/A</v>
      </c>
      <c r="E41" s="35" t="e">
        <f t="shared" ca="1" si="12"/>
        <v>#N/A</v>
      </c>
      <c r="F41" s="35"/>
      <c r="G41" s="17" t="str">
        <f t="shared" ca="1" si="8"/>
        <v>N/A</v>
      </c>
      <c r="H41" s="17" t="str">
        <f t="shared" ca="1" si="8"/>
        <v>N/A</v>
      </c>
      <c r="I41" s="17" t="str">
        <f t="shared" ca="1" si="9"/>
        <v>N/A</v>
      </c>
      <c r="J41" s="17" t="str">
        <f t="shared" ca="1" si="9"/>
        <v>N/A</v>
      </c>
      <c r="K41" s="17" t="str">
        <f t="shared" ca="1" si="10"/>
        <v>N/A</v>
      </c>
      <c r="L41" s="17" t="str">
        <f t="shared" ca="1" si="10"/>
        <v>N/A</v>
      </c>
      <c r="M41" s="17" t="str">
        <f t="shared" ca="1" si="10"/>
        <v>N/A</v>
      </c>
      <c r="N41" s="17" t="str">
        <f t="shared" ca="1" si="10"/>
        <v>N/A</v>
      </c>
      <c r="O41" s="17" t="str">
        <f t="shared" ca="1" si="10"/>
        <v>N/A</v>
      </c>
      <c r="P41" s="17" t="str">
        <f t="shared" ca="1" si="10"/>
        <v>N/A</v>
      </c>
      <c r="Q41" s="17" t="str">
        <f t="shared" ca="1" si="10"/>
        <v>N/A</v>
      </c>
      <c r="R41" s="17" t="str">
        <f t="shared" ca="1" si="10"/>
        <v>N/A</v>
      </c>
      <c r="S41" s="17" t="str">
        <f t="shared" ca="1" si="10"/>
        <v>N/A</v>
      </c>
      <c r="T41" s="17" t="str">
        <f t="shared" ca="1" si="10"/>
        <v>N/A</v>
      </c>
      <c r="U41" s="17" t="str">
        <f t="shared" ca="1" si="10"/>
        <v>N/A</v>
      </c>
      <c r="V41" s="56"/>
      <c r="W41" s="56"/>
      <c r="X41" s="56"/>
    </row>
    <row r="42" spans="1:24" x14ac:dyDescent="0.25">
      <c r="A42" t="str">
        <f>IFERROR(INDEX('2019 Data (WP)'!$C$9:$C$73,MATCH($B42,'2019 Data (WP)'!$D$9:$D$73,0)),"")</f>
        <v/>
      </c>
      <c r="B42" t="s">
        <v>24</v>
      </c>
      <c r="C42" t="s">
        <v>60</v>
      </c>
      <c r="D42" s="35" t="e">
        <f t="shared" ca="1" si="11"/>
        <v>#N/A</v>
      </c>
      <c r="E42" s="35" t="e">
        <f t="shared" ca="1" si="12"/>
        <v>#N/A</v>
      </c>
      <c r="F42" s="35"/>
      <c r="G42" s="17" t="str">
        <f t="shared" ca="1" si="8"/>
        <v>N/A</v>
      </c>
      <c r="H42" s="17" t="str">
        <f t="shared" ca="1" si="8"/>
        <v>N/A</v>
      </c>
      <c r="I42" s="17" t="str">
        <f t="shared" ca="1" si="9"/>
        <v>N/A</v>
      </c>
      <c r="J42" s="17" t="str">
        <f t="shared" ca="1" si="9"/>
        <v>N/A</v>
      </c>
      <c r="K42" s="17" t="str">
        <f t="shared" ca="1" si="10"/>
        <v>N/A</v>
      </c>
      <c r="L42" s="17" t="str">
        <f t="shared" ca="1" si="10"/>
        <v>N/A</v>
      </c>
      <c r="M42" s="17" t="str">
        <f t="shared" ca="1" si="10"/>
        <v>N/A</v>
      </c>
      <c r="N42" s="17" t="str">
        <f t="shared" ca="1" si="10"/>
        <v>N/A</v>
      </c>
      <c r="O42" s="17" t="str">
        <f t="shared" ca="1" si="10"/>
        <v>N/A</v>
      </c>
      <c r="P42" s="17" t="str">
        <f t="shared" ca="1" si="10"/>
        <v>N/A</v>
      </c>
      <c r="Q42" s="17" t="str">
        <f t="shared" ca="1" si="10"/>
        <v>N/A</v>
      </c>
      <c r="R42" s="17" t="str">
        <f t="shared" ca="1" si="10"/>
        <v>N/A</v>
      </c>
      <c r="S42" s="17" t="str">
        <f t="shared" ca="1" si="10"/>
        <v>N/A</v>
      </c>
      <c r="T42" s="17" t="str">
        <f t="shared" ca="1" si="10"/>
        <v>N/A</v>
      </c>
      <c r="U42" s="17" t="str">
        <f t="shared" ca="1" si="10"/>
        <v>N/A</v>
      </c>
      <c r="V42" s="56"/>
      <c r="W42" s="56"/>
      <c r="X42" s="56"/>
    </row>
    <row r="43" spans="1:24" x14ac:dyDescent="0.25">
      <c r="A43" t="str">
        <f>IFERROR(INDEX('2019 Data (WP)'!$C$9:$C$73,MATCH($B43,'2019 Data (WP)'!$D$9:$D$73,0)),"")</f>
        <v>Electric Util. (Central)</v>
      </c>
      <c r="B43" t="s">
        <v>25</v>
      </c>
      <c r="C43" t="s">
        <v>61</v>
      </c>
      <c r="D43" s="35">
        <f t="shared" ca="1" si="11"/>
        <v>38</v>
      </c>
      <c r="E43" s="35">
        <f t="shared" ca="1" si="12"/>
        <v>38</v>
      </c>
      <c r="F43" s="35"/>
      <c r="G43" s="17">
        <f t="shared" ca="1" si="8"/>
        <v>0.55576923076923079</v>
      </c>
      <c r="H43" s="17">
        <f t="shared" ca="1" si="8"/>
        <v>0.54980079681274896</v>
      </c>
      <c r="I43" s="17">
        <f t="shared" ca="1" si="9"/>
        <v>0.54320987654320985</v>
      </c>
      <c r="J43" s="17">
        <f t="shared" ca="1" si="9"/>
        <v>0.57272727272727264</v>
      </c>
      <c r="K43" s="17">
        <f t="shared" ca="1" si="10"/>
        <v>0.55504587155963292</v>
      </c>
      <c r="L43" s="17">
        <f t="shared" ca="1" si="10"/>
        <v>0.56310679611650483</v>
      </c>
      <c r="M43" s="17">
        <f t="shared" ca="1" si="10"/>
        <v>0.47844827586206906</v>
      </c>
      <c r="N43" s="17">
        <f t="shared" ca="1" si="10"/>
        <v>0.49537037037037035</v>
      </c>
      <c r="O43" s="17">
        <f t="shared" ca="1" si="10"/>
        <v>0.55913978494623651</v>
      </c>
      <c r="P43" s="17">
        <f t="shared" ca="1" si="10"/>
        <v>0.5744318181818181</v>
      </c>
      <c r="Q43" s="17">
        <f t="shared" ca="1" si="10"/>
        <v>0.59568086382723451</v>
      </c>
      <c r="R43" s="17">
        <f t="shared" ca="1" si="10"/>
        <v>0.66055668703326542</v>
      </c>
      <c r="S43" s="17">
        <f t="shared" ca="1" si="10"/>
        <v>0.60239445494643984</v>
      </c>
      <c r="T43" s="17">
        <f t="shared" ca="1" si="10"/>
        <v>0.62128222075346995</v>
      </c>
      <c r="U43" s="17">
        <f t="shared" ca="1" si="10"/>
        <v>0.67516387472687545</v>
      </c>
      <c r="V43" s="56"/>
      <c r="W43" s="56"/>
      <c r="X43" s="56"/>
    </row>
    <row r="44" spans="1:24" x14ac:dyDescent="0.25">
      <c r="A44" t="str">
        <f>IFERROR(INDEX('2019 Data (WP)'!$C$9:$C$73,MATCH($B44,'2019 Data (WP)'!$D$9:$D$73,0)),"")</f>
        <v>Water Utility</v>
      </c>
      <c r="B44" s="31" t="s">
        <v>188</v>
      </c>
      <c r="C44" s="31" t="s">
        <v>187</v>
      </c>
      <c r="D44" s="35">
        <f t="shared" ca="1" si="11"/>
        <v>39</v>
      </c>
      <c r="E44" s="35">
        <f t="shared" ca="1" si="12"/>
        <v>39</v>
      </c>
      <c r="F44" s="35"/>
      <c r="G44" s="17">
        <f t="shared" ca="1" si="8"/>
        <v>0.47706422018348621</v>
      </c>
      <c r="H44" s="17">
        <f t="shared" ca="1" si="8"/>
        <v>0.48756218905472642</v>
      </c>
      <c r="I44" s="17">
        <f t="shared" ca="1" si="9"/>
        <v>0.46479591836734696</v>
      </c>
      <c r="J44" s="17">
        <f t="shared" ca="1" si="9"/>
        <v>0.62173913043478268</v>
      </c>
      <c r="K44" s="17">
        <f t="shared" ca="1" si="10"/>
        <v>0.58550724637681173</v>
      </c>
      <c r="L44" s="17">
        <f t="shared" ca="1" si="10"/>
        <v>0.63606557377049189</v>
      </c>
      <c r="M44" s="17">
        <f t="shared" ca="1" si="10"/>
        <v>0.67522123893805319</v>
      </c>
      <c r="N44" s="17">
        <f t="shared" ca="1" si="10"/>
        <v>0.73106796116504857</v>
      </c>
      <c r="O44" s="17">
        <f t="shared" ca="1" si="10"/>
        <v>0.82555555555555549</v>
      </c>
      <c r="P44" s="17">
        <f t="shared" ca="1" si="10"/>
        <v>0.87261904761904763</v>
      </c>
      <c r="Q44" s="17">
        <f t="shared" ca="1" si="10"/>
        <v>0.75312500000000004</v>
      </c>
      <c r="R44" s="17">
        <f t="shared" ca="1" si="10"/>
        <v>0.99027777777777781</v>
      </c>
      <c r="S44" s="17">
        <f t="shared" ca="1" si="10"/>
        <v>0.78988764044943816</v>
      </c>
      <c r="T44" s="17">
        <f t="shared" ca="1" si="10"/>
        <v>0.79655172413793096</v>
      </c>
      <c r="U44" s="17">
        <f t="shared" ca="1" si="10"/>
        <v>0.83292682926829276</v>
      </c>
      <c r="V44" s="57"/>
      <c r="W44" s="57"/>
      <c r="X44" s="57"/>
    </row>
    <row r="45" spans="1:24" x14ac:dyDescent="0.25">
      <c r="A45" t="str">
        <f>IFERROR(INDEX('2019 Data (WP)'!$C$9:$C$73,MATCH($B45,'2019 Data (WP)'!$D$9:$D$73,0)),"")</f>
        <v>Natural Gas Utility</v>
      </c>
      <c r="B45" s="31" t="s">
        <v>190</v>
      </c>
      <c r="C45" s="31" t="s">
        <v>189</v>
      </c>
      <c r="D45" s="35">
        <f t="shared" ca="1" si="11"/>
        <v>40</v>
      </c>
      <c r="E45" s="35">
        <f t="shared" ca="1" si="12"/>
        <v>40</v>
      </c>
      <c r="F45" s="35"/>
      <c r="G45" s="17">
        <f t="shared" ca="1" si="8"/>
        <v>0.61352657004830924</v>
      </c>
      <c r="H45" s="17">
        <f t="shared" ca="1" si="8"/>
        <v>0.6071428571428571</v>
      </c>
      <c r="I45" s="17">
        <f t="shared" ca="1" si="9"/>
        <v>0.4088235294117647</v>
      </c>
      <c r="J45" s="17">
        <f t="shared" ca="1" si="9"/>
        <v>0.60115606936416188</v>
      </c>
      <c r="K45" s="17">
        <f t="shared" ref="K45:U54" ca="1" si="13">IFERROR(INDEX(Dividends,$D45,K$2)/INDEX(Earnings,$E45,K$2),"N/A")</f>
        <v>0.60869565217391297</v>
      </c>
      <c r="L45" s="17">
        <f t="shared" ca="1" si="13"/>
        <v>0.52247191011235961</v>
      </c>
      <c r="M45" s="17">
        <f t="shared" ca="1" si="13"/>
        <v>0.41105769230769229</v>
      </c>
      <c r="N45" s="17">
        <f t="shared" ca="1" si="13"/>
        <v>0.59340659340659341</v>
      </c>
      <c r="O45" s="17">
        <f t="shared" ca="1" si="13"/>
        <v>0.56826568265682664</v>
      </c>
      <c r="P45" s="17">
        <f t="shared" ca="1" si="13"/>
        <v>0.55813953488372092</v>
      </c>
      <c r="Q45" s="17">
        <f t="shared" ca="1" si="13"/>
        <v>0.55284552845528456</v>
      </c>
      <c r="R45" s="17">
        <f t="shared" ca="1" si="13"/>
        <v>0.51666666666666672</v>
      </c>
      <c r="S45" s="17">
        <f t="shared" ca="1" si="13"/>
        <v>0.41111111111111109</v>
      </c>
      <c r="T45" s="17">
        <f t="shared" ca="1" si="13"/>
        <v>0.65250965250965254</v>
      </c>
      <c r="U45" s="17">
        <f t="shared" ca="1" si="13"/>
        <v>0.51446945337620575</v>
      </c>
      <c r="V45" s="56"/>
      <c r="W45" s="56"/>
      <c r="X45" s="56"/>
    </row>
    <row r="46" spans="1:24" x14ac:dyDescent="0.25">
      <c r="A46" t="str">
        <f>IFERROR(INDEX('2019 Data (WP)'!$C$9:$C$73,MATCH($B46,'2019 Data (WP)'!$D$9:$D$73,0)),"")</f>
        <v>Electric Utility (East)</v>
      </c>
      <c r="B46" t="s">
        <v>141</v>
      </c>
      <c r="C46" t="s">
        <v>209</v>
      </c>
      <c r="D46" s="35">
        <f t="shared" ca="1" si="11"/>
        <v>41</v>
      </c>
      <c r="E46" s="35">
        <f t="shared" ca="1" si="12"/>
        <v>41</v>
      </c>
      <c r="F46" s="35"/>
      <c r="G46" s="17">
        <f t="shared" ref="G46:H65" ca="1" si="14">IFERROR(INDEX(Dividends,$D46,G$2)/INDEX(Earnings,$E46,G$2),"N/A")</f>
        <v>0.66666666666666663</v>
      </c>
      <c r="H46" s="17">
        <f t="shared" ca="1" si="14"/>
        <v>0.64432989690721654</v>
      </c>
      <c r="I46" s="17">
        <f t="shared" ref="I46:J65" ca="1" si="15">IFERROR(INDEX(Dividends,$D46,I$2)/INDEX(Earnings,$E46,I$2),"N/A")</f>
        <v>0.66467065868263486</v>
      </c>
      <c r="J46" s="17">
        <f t="shared" ca="1" si="15"/>
        <v>0.60122699386503076</v>
      </c>
      <c r="K46" s="17">
        <f t="shared" ca="1" si="13"/>
        <v>0.6</v>
      </c>
      <c r="L46" s="17">
        <f t="shared" ca="1" si="13"/>
        <v>0.50657894736842102</v>
      </c>
      <c r="M46" s="17">
        <f t="shared" ca="1" si="13"/>
        <v>0.52142857142857146</v>
      </c>
      <c r="N46" s="17">
        <f t="shared" ca="1" si="13"/>
        <v>0.54545454545454553</v>
      </c>
      <c r="O46" s="17">
        <f t="shared" ca="1" si="13"/>
        <v>0.52631578947368418</v>
      </c>
      <c r="P46" s="17">
        <f t="shared" ca="1" si="13"/>
        <v>0.45454545454545459</v>
      </c>
      <c r="Q46" s="17">
        <f t="shared" ca="1" si="13"/>
        <v>0.42016806722689076</v>
      </c>
      <c r="R46" s="17">
        <f t="shared" ca="1" si="13"/>
        <v>0.47474747474747475</v>
      </c>
      <c r="S46" s="17">
        <f t="shared" ca="1" si="13"/>
        <v>0.44117647058823528</v>
      </c>
      <c r="T46" s="17">
        <f t="shared" ca="1" si="13"/>
        <v>0.5</v>
      </c>
      <c r="U46" s="17">
        <f t="shared" ca="1" si="13"/>
        <v>0.46913580246913578</v>
      </c>
      <c r="V46" s="56"/>
      <c r="W46" s="56"/>
      <c r="X46" s="56"/>
    </row>
    <row r="47" spans="1:24" x14ac:dyDescent="0.25">
      <c r="A47" t="str">
        <f>IFERROR(INDEX('2019 Data (WP)'!$C$9:$C$73,MATCH($B47,'2019 Data (WP)'!$D$9:$D$73,0)),"")</f>
        <v>Natural Gas Utility</v>
      </c>
      <c r="B47" t="s">
        <v>26</v>
      </c>
      <c r="C47" t="s">
        <v>62</v>
      </c>
      <c r="D47" s="35">
        <f t="shared" ref="D47:D78" ca="1" si="16">MATCH(B47,OFFSET(Dividends,0,0,,1),0)</f>
        <v>42</v>
      </c>
      <c r="E47" s="35">
        <f t="shared" ref="E47:E78" ca="1" si="17">MATCH(B47,OFFSET(Earnings,0,0,,1),0)</f>
        <v>42</v>
      </c>
      <c r="F47" s="35"/>
      <c r="G47" s="17">
        <f t="shared" ca="1" si="14"/>
        <v>0.63636363636363635</v>
      </c>
      <c r="H47" s="17">
        <f t="shared" ca="1" si="14"/>
        <v>0.61068702290076338</v>
      </c>
      <c r="I47" s="17">
        <f t="shared" ca="1" si="15"/>
        <v>0.6</v>
      </c>
      <c r="J47" s="17">
        <f t="shared" ca="1" si="15"/>
        <v>1.7948717948717947</v>
      </c>
      <c r="K47" s="17">
        <f t="shared" ca="1" si="13"/>
        <v>0.64</v>
      </c>
      <c r="L47" s="17">
        <f t="shared" ca="1" si="13"/>
        <v>1.3174603174603174</v>
      </c>
      <c r="M47" s="17">
        <f t="shared" ca="1" si="13"/>
        <v>0.6107784431137725</v>
      </c>
      <c r="N47" s="17">
        <f t="shared" ca="1" si="13"/>
        <v>0.62420382165605093</v>
      </c>
      <c r="O47" s="17">
        <f t="shared" ca="1" si="13"/>
        <v>0.68613138686131381</v>
      </c>
      <c r="P47" s="17">
        <f t="shared" ca="1" si="13"/>
        <v>0.87619047619047619</v>
      </c>
      <c r="Q47" s="17">
        <f t="shared" ca="1" si="13"/>
        <v>0.86792452830188682</v>
      </c>
      <c r="R47" s="17">
        <f t="shared" ca="1" si="13"/>
        <v>1.0952380952380953</v>
      </c>
      <c r="S47" s="17">
        <f t="shared" ca="1" si="13"/>
        <v>0.68656716417910446</v>
      </c>
      <c r="T47" s="17">
        <f t="shared" ca="1" si="13"/>
        <v>0.80701754385964919</v>
      </c>
      <c r="U47" s="17">
        <f t="shared" ca="1" si="13"/>
        <v>0.80701754385964919</v>
      </c>
      <c r="V47" s="56"/>
      <c r="W47" s="56"/>
      <c r="X47" s="56"/>
    </row>
    <row r="48" spans="1:24" x14ac:dyDescent="0.25">
      <c r="A48" t="str">
        <f>IFERROR(INDEX('2019 Data (WP)'!$C$9:$C$73,MATCH($B48,'2019 Data (WP)'!$D$9:$D$73,0)),"")</f>
        <v>Natural Gas Utility</v>
      </c>
      <c r="B48" s="31" t="s">
        <v>192</v>
      </c>
      <c r="C48" s="31" t="s">
        <v>191</v>
      </c>
      <c r="D48" s="35">
        <f t="shared" ca="1" si="16"/>
        <v>43</v>
      </c>
      <c r="E48" s="35">
        <f t="shared" ca="1" si="17"/>
        <v>43</v>
      </c>
      <c r="F48" s="35"/>
      <c r="G48" s="17">
        <f t="shared" ca="1" si="14"/>
        <v>0.83043478260869563</v>
      </c>
      <c r="H48" s="17">
        <f t="shared" ca="1" si="14"/>
        <v>0.86757990867579904</v>
      </c>
      <c r="I48" s="17">
        <f t="shared" ca="1" si="15"/>
        <v>0.81115879828326176</v>
      </c>
      <c r="J48" s="17">
        <f t="shared" ca="1" si="15"/>
        <v>-0.96907216494845361</v>
      </c>
      <c r="K48" s="17">
        <f t="shared" ca="1" si="13"/>
        <v>0.88207547169811318</v>
      </c>
      <c r="L48" s="17">
        <f t="shared" ca="1" si="13"/>
        <v>0.94897959183673475</v>
      </c>
      <c r="M48" s="17">
        <f t="shared" ca="1" si="13"/>
        <v>0.85648148148148151</v>
      </c>
      <c r="N48" s="17">
        <f t="shared" ca="1" si="13"/>
        <v>0.8169642857142857</v>
      </c>
      <c r="O48" s="17">
        <f t="shared" ca="1" si="13"/>
        <v>0.80630630630630629</v>
      </c>
      <c r="P48" s="17">
        <f t="shared" ca="1" si="13"/>
        <v>0.73221757322175729</v>
      </c>
      <c r="Q48" s="17">
        <f t="shared" ca="1" si="13"/>
        <v>0.61538461538461542</v>
      </c>
      <c r="R48" s="17">
        <f t="shared" ca="1" si="13"/>
        <v>0.56537102473498235</v>
      </c>
      <c r="S48" s="17">
        <f t="shared" ca="1" si="13"/>
        <v>0.59143968871595332</v>
      </c>
      <c r="T48" s="17">
        <f t="shared" ca="1" si="13"/>
        <v>0.52173913043478259</v>
      </c>
      <c r="U48" s="17">
        <f t="shared" ca="1" si="13"/>
        <v>0.59148936170212763</v>
      </c>
      <c r="V48" s="56"/>
      <c r="W48" s="56"/>
      <c r="X48" s="56"/>
    </row>
    <row r="49" spans="1:24" x14ac:dyDescent="0.25">
      <c r="A49" t="str">
        <f>IFERROR(INDEX('2019 Data (WP)'!$C$9:$C$73,MATCH($B49,'2019 Data (WP)'!$D$9:$D$73,0)),"")</f>
        <v>Electric Utility (West)</v>
      </c>
      <c r="B49" t="str">
        <f>"NWE"</f>
        <v>NWE</v>
      </c>
      <c r="C49" t="s">
        <v>94</v>
      </c>
      <c r="D49" s="35">
        <f t="shared" ca="1" si="16"/>
        <v>44</v>
      </c>
      <c r="E49" s="35">
        <f t="shared" ca="1" si="17"/>
        <v>44</v>
      </c>
      <c r="F49" s="35"/>
      <c r="G49" s="17">
        <f t="shared" ca="1" si="14"/>
        <v>0.78431372549019607</v>
      </c>
      <c r="H49" s="17">
        <f t="shared" ca="1" si="14"/>
        <v>0.65155807365439089</v>
      </c>
      <c r="I49" s="17">
        <f t="shared" ca="1" si="15"/>
        <v>0.6470588235294118</v>
      </c>
      <c r="J49" s="17">
        <f t="shared" ca="1" si="15"/>
        <v>0.62874251497005995</v>
      </c>
      <c r="K49" s="17">
        <f t="shared" ca="1" si="13"/>
        <v>0.58997050147492625</v>
      </c>
      <c r="L49" s="17">
        <f t="shared" ca="1" si="13"/>
        <v>0.66206896551724137</v>
      </c>
      <c r="M49" s="17">
        <f t="shared" ca="1" si="13"/>
        <v>0.53511705685618727</v>
      </c>
      <c r="N49" s="17">
        <f t="shared" ca="1" si="13"/>
        <v>0.61788617886178865</v>
      </c>
      <c r="O49" s="17">
        <f t="shared" ca="1" si="13"/>
        <v>0.65486725663716816</v>
      </c>
      <c r="P49" s="17">
        <f t="shared" ca="1" si="13"/>
        <v>0.56916996047430835</v>
      </c>
      <c r="Q49" s="17">
        <f t="shared" ca="1" si="13"/>
        <v>0.63551401869158874</v>
      </c>
      <c r="R49" s="17">
        <f t="shared" ca="1" si="13"/>
        <v>0.6633663366336634</v>
      </c>
      <c r="S49" s="17">
        <f t="shared" ca="1" si="13"/>
        <v>0.74576271186440679</v>
      </c>
      <c r="T49" s="17">
        <f t="shared" ca="1" si="13"/>
        <v>0.88888888888888895</v>
      </c>
      <c r="U49" s="17">
        <f t="shared" ca="1" si="13"/>
        <v>0.94656488549618312</v>
      </c>
      <c r="V49" s="56"/>
      <c r="W49" s="56"/>
      <c r="X49" s="56"/>
    </row>
    <row r="50" spans="1:24" x14ac:dyDescent="0.25">
      <c r="A50" t="str">
        <f>IFERROR(INDEX('2019 Data (WP)'!$C$9:$C$73,MATCH($B50,'2019 Data (WP)'!$D$9:$D$73,0)),"")</f>
        <v>Electric Util. (Central)</v>
      </c>
      <c r="B50" t="s">
        <v>27</v>
      </c>
      <c r="C50" t="s">
        <v>67</v>
      </c>
      <c r="D50" s="35">
        <f t="shared" ca="1" si="16"/>
        <v>45</v>
      </c>
      <c r="E50" s="35">
        <f t="shared" ca="1" si="17"/>
        <v>45</v>
      </c>
      <c r="F50" s="35"/>
      <c r="G50" s="17">
        <f t="shared" ca="1" si="14"/>
        <v>0.75961538461538458</v>
      </c>
      <c r="H50" s="17">
        <f t="shared" ca="1" si="14"/>
        <v>0.67187499999999989</v>
      </c>
      <c r="I50" s="17">
        <f t="shared" ca="1" si="15"/>
        <v>0.65801886792452824</v>
      </c>
      <c r="J50" s="17">
        <f t="shared" ca="1" si="15"/>
        <v>0.66145833333333337</v>
      </c>
      <c r="K50" s="17">
        <f t="shared" ca="1" si="13"/>
        <v>0.68343195266272194</v>
      </c>
      <c r="L50" s="17">
        <f t="shared" ca="1" si="13"/>
        <v>0.62130177514792906</v>
      </c>
      <c r="M50" s="17">
        <f t="shared" ca="1" si="13"/>
        <v>0.47979797979797978</v>
      </c>
      <c r="N50" s="17">
        <f ca="1">IFERROR(INDEX(Dividends,$D50,N$2)/INDEX(Earnings,$E50,N$2),"N/A")</f>
        <v>0.43865979381443299</v>
      </c>
      <c r="O50" s="17">
        <f t="shared" ca="1" si="13"/>
        <v>0.44581005586592182</v>
      </c>
      <c r="P50" s="17">
        <f t="shared" ca="1" si="13"/>
        <v>0.44</v>
      </c>
      <c r="Q50" s="17">
        <f t="shared" ca="1" si="13"/>
        <v>0.48963210702341131</v>
      </c>
      <c r="R50" s="17">
        <f t="shared" ca="1" si="13"/>
        <v>0.53684210526315779</v>
      </c>
      <c r="S50" s="17">
        <f t="shared" ca="1" si="13"/>
        <v>0.56144578313253002</v>
      </c>
      <c r="T50" s="17">
        <f t="shared" ca="1" si="13"/>
        <v>0.51818181818181819</v>
      </c>
      <c r="U50" s="17">
        <f t="shared" ca="1" si="13"/>
        <v>0.54612244897959183</v>
      </c>
      <c r="V50" s="56"/>
      <c r="W50" s="56"/>
      <c r="X50" s="56"/>
    </row>
    <row r="51" spans="1:24" x14ac:dyDescent="0.25">
      <c r="A51" t="str">
        <f>IFERROR(INDEX('2019 Data (WP)'!$C$9:$C$73,MATCH($B51,'2019 Data (WP)'!$D$9:$D$73,0)),"")</f>
        <v>Natural Gas Utility</v>
      </c>
      <c r="B51" t="s">
        <v>345</v>
      </c>
      <c r="C51" t="s">
        <v>348</v>
      </c>
      <c r="D51" s="35">
        <f t="shared" ca="1" si="16"/>
        <v>46</v>
      </c>
      <c r="E51" s="35">
        <f t="shared" ca="1" si="17"/>
        <v>46</v>
      </c>
      <c r="F51" s="35"/>
      <c r="G51" s="17">
        <f t="shared" ca="1" si="14"/>
        <v>0.58695652173913049</v>
      </c>
      <c r="H51" s="17">
        <f t="shared" ca="1" si="14"/>
        <v>0.56980056980056981</v>
      </c>
      <c r="I51" s="17">
        <f t="shared" ca="1" si="15"/>
        <v>0.56615384615384623</v>
      </c>
      <c r="J51" s="17">
        <f t="shared" ca="1" si="15"/>
        <v>0.55629139072847678</v>
      </c>
      <c r="K51" s="17">
        <f t="shared" ca="1" si="13"/>
        <v>0.52830188679245282</v>
      </c>
      <c r="L51" s="17">
        <f t="shared" ca="1" si="13"/>
        <v>0.5357142857142857</v>
      </c>
      <c r="M51" s="17">
        <f t="shared" ca="1" si="13"/>
        <v>0.40579710144927539</v>
      </c>
      <c r="N51" s="17" t="str">
        <f t="shared" ca="1" si="13"/>
        <v>N/A</v>
      </c>
      <c r="O51" s="17" t="str">
        <f t="shared" ca="1" si="13"/>
        <v>N/A</v>
      </c>
      <c r="P51" s="17" t="str">
        <f t="shared" ca="1" si="13"/>
        <v>N/A</v>
      </c>
      <c r="Q51" s="17" t="str">
        <f t="shared" ca="1" si="13"/>
        <v>N/A</v>
      </c>
      <c r="R51" s="17" t="str">
        <f t="shared" ca="1" si="13"/>
        <v>N/A</v>
      </c>
      <c r="S51" s="17" t="str">
        <f t="shared" ca="1" si="13"/>
        <v>N/A</v>
      </c>
      <c r="T51" s="17" t="str">
        <f t="shared" ca="1" si="13"/>
        <v>N/A</v>
      </c>
      <c r="U51" s="17" t="str">
        <f t="shared" ca="1" si="13"/>
        <v>N/A</v>
      </c>
      <c r="V51" s="56"/>
      <c r="W51" s="56"/>
      <c r="X51" s="56"/>
    </row>
    <row r="52" spans="1:24" x14ac:dyDescent="0.25">
      <c r="A52" t="str">
        <f>IFERROR(INDEX('2019 Data (WP)'!$C$9:$C$73,MATCH($B52,'2019 Data (WP)'!$D$9:$D$73,0)),"")</f>
        <v>Electric Util. (Central)</v>
      </c>
      <c r="B52" t="s">
        <v>28</v>
      </c>
      <c r="C52" t="s">
        <v>68</v>
      </c>
      <c r="D52" s="35">
        <f t="shared" ca="1" si="16"/>
        <v>47</v>
      </c>
      <c r="E52" s="35">
        <f t="shared" ca="1" si="17"/>
        <v>47</v>
      </c>
      <c r="F52" s="35"/>
      <c r="G52" s="17">
        <f t="shared" ca="1" si="14"/>
        <v>0.63247863247863256</v>
      </c>
      <c r="H52" s="17">
        <f t="shared" ca="1" si="14"/>
        <v>0.64516129032258063</v>
      </c>
      <c r="I52" s="17">
        <f t="shared" ca="1" si="15"/>
        <v>0.65048543689320393</v>
      </c>
      <c r="J52" s="17">
        <f t="shared" ca="1" si="15"/>
        <v>0.68817204301075263</v>
      </c>
      <c r="K52" s="17">
        <f t="shared" ca="1" si="13"/>
        <v>0.78125</v>
      </c>
      <c r="L52" s="17">
        <f t="shared" ca="1" si="13"/>
        <v>0.78846153846153844</v>
      </c>
      <c r="M52" s="17">
        <f t="shared" ca="1" si="13"/>
        <v>0.78064516129032258</v>
      </c>
      <c r="N52" s="17">
        <f t="shared" ca="1" si="13"/>
        <v>0.86861313868613133</v>
      </c>
      <c r="O52" s="17">
        <f t="shared" ca="1" si="13"/>
        <v>1.1333333333333333</v>
      </c>
      <c r="P52" s="17">
        <f t="shared" ca="1" si="13"/>
        <v>2.6444444444444444</v>
      </c>
      <c r="Q52" s="17">
        <f t="shared" ca="1" si="13"/>
        <v>3.1315789473684208</v>
      </c>
      <c r="R52" s="17">
        <f t="shared" ca="1" si="13"/>
        <v>1.676056338028169</v>
      </c>
      <c r="S52" s="17">
        <f t="shared" ca="1" si="13"/>
        <v>1.0917431192660549</v>
      </c>
      <c r="T52" s="17">
        <f t="shared" ca="1" si="13"/>
        <v>0.65730337078651679</v>
      </c>
      <c r="U52" s="17">
        <f t="shared" ca="1" si="13"/>
        <v>0.68047337278106501</v>
      </c>
      <c r="V52" s="56"/>
      <c r="W52" s="56"/>
      <c r="X52" s="56"/>
    </row>
    <row r="53" spans="1:24" x14ac:dyDescent="0.25">
      <c r="A53" t="str">
        <f>IFERROR(INDEX('2019 Data (WP)'!$C$9:$C$73,MATCH($B53,'2019 Data (WP)'!$D$9:$D$73,0)),"")</f>
        <v/>
      </c>
      <c r="B53" t="s">
        <v>29</v>
      </c>
      <c r="C53" t="s">
        <v>73</v>
      </c>
      <c r="D53" s="35" t="e">
        <f t="shared" ca="1" si="16"/>
        <v>#N/A</v>
      </c>
      <c r="E53" s="35" t="e">
        <f t="shared" ca="1" si="17"/>
        <v>#N/A</v>
      </c>
      <c r="F53" s="35"/>
      <c r="G53" s="17" t="str">
        <f t="shared" ca="1" si="14"/>
        <v>N/A</v>
      </c>
      <c r="H53" s="17" t="str">
        <f t="shared" ca="1" si="14"/>
        <v>N/A</v>
      </c>
      <c r="I53" s="17" t="str">
        <f t="shared" ca="1" si="15"/>
        <v>N/A</v>
      </c>
      <c r="J53" s="17" t="str">
        <f t="shared" ca="1" si="15"/>
        <v>N/A</v>
      </c>
      <c r="K53" s="17" t="str">
        <f t="shared" ca="1" si="13"/>
        <v>N/A</v>
      </c>
      <c r="L53" s="17" t="str">
        <f t="shared" ca="1" si="13"/>
        <v>N/A</v>
      </c>
      <c r="M53" s="17" t="str">
        <f t="shared" ca="1" si="13"/>
        <v>N/A</v>
      </c>
      <c r="N53" s="17" t="str">
        <f t="shared" ca="1" si="13"/>
        <v>N/A</v>
      </c>
      <c r="O53" s="17" t="str">
        <f t="shared" ca="1" si="13"/>
        <v>N/A</v>
      </c>
      <c r="P53" s="17" t="str">
        <f t="shared" ca="1" si="13"/>
        <v>N/A</v>
      </c>
      <c r="Q53" s="17" t="str">
        <f t="shared" ca="1" si="13"/>
        <v>N/A</v>
      </c>
      <c r="R53" s="17" t="str">
        <f t="shared" ca="1" si="13"/>
        <v>N/A</v>
      </c>
      <c r="S53" s="17" t="str">
        <f t="shared" ca="1" si="13"/>
        <v>N/A</v>
      </c>
      <c r="T53" s="17" t="str">
        <f t="shared" ca="1" si="13"/>
        <v>N/A</v>
      </c>
      <c r="U53" s="17" t="str">
        <f t="shared" ca="1" si="13"/>
        <v>N/A</v>
      </c>
      <c r="V53" s="56"/>
      <c r="W53" s="56"/>
      <c r="X53" s="56"/>
    </row>
    <row r="54" spans="1:24" x14ac:dyDescent="0.25">
      <c r="A54" t="str">
        <f>IFERROR(INDEX('2019 Data (WP)'!$C$9:$C$73,MATCH($B54,'2019 Data (WP)'!$D$9:$D$73,0)),"")</f>
        <v>Electric Utility (West)</v>
      </c>
      <c r="B54" t="s">
        <v>30</v>
      </c>
      <c r="C54" t="s">
        <v>71</v>
      </c>
      <c r="D54" s="35">
        <f t="shared" ca="1" si="16"/>
        <v>48</v>
      </c>
      <c r="E54" s="35">
        <f t="shared" ca="1" si="17"/>
        <v>48</v>
      </c>
      <c r="F54" s="35"/>
      <c r="G54" s="17">
        <f t="shared" ca="1" si="14"/>
        <v>0</v>
      </c>
      <c r="H54" s="17">
        <f t="shared" ca="1" si="14"/>
        <v>0</v>
      </c>
      <c r="I54" s="17">
        <f t="shared" ca="1" si="15"/>
        <v>0</v>
      </c>
      <c r="J54" s="17">
        <f t="shared" ca="1" si="15"/>
        <v>0.44285714285714289</v>
      </c>
      <c r="K54" s="17">
        <f t="shared" ca="1" si="13"/>
        <v>0.68021201413427557</v>
      </c>
      <c r="L54" s="17">
        <f t="shared" ca="1" si="13"/>
        <v>0.91</v>
      </c>
      <c r="M54" s="17">
        <f t="shared" ca="1" si="13"/>
        <v>0.59477124183006536</v>
      </c>
      <c r="N54" s="17">
        <f t="shared" ca="1" si="13"/>
        <v>0.99453551912568305</v>
      </c>
      <c r="O54" s="17">
        <f t="shared" ca="1" si="13"/>
        <v>0.87922705314009675</v>
      </c>
      <c r="P54" s="17">
        <f t="shared" ca="1" si="13"/>
        <v>0.65467625899280579</v>
      </c>
      <c r="Q54" s="17">
        <f t="shared" ca="1" si="13"/>
        <v>0.64539007092198586</v>
      </c>
      <c r="R54" s="17">
        <f t="shared" ca="1" si="13"/>
        <v>0.5544554455445545</v>
      </c>
      <c r="S54" s="17">
        <f t="shared" ca="1" si="13"/>
        <v>0.48447204968944096</v>
      </c>
      <c r="T54" s="17">
        <f t="shared" ca="1" si="13"/>
        <v>0.51798561151079137</v>
      </c>
      <c r="U54" s="17">
        <f t="shared" ca="1" si="13"/>
        <v>0.47826086956521746</v>
      </c>
      <c r="V54" s="56"/>
      <c r="W54" s="56"/>
      <c r="X54" s="56"/>
    </row>
    <row r="55" spans="1:24" x14ac:dyDescent="0.25">
      <c r="A55" t="str">
        <f>IFERROR(INDEX('2019 Data (WP)'!$C$9:$C$73,MATCH($B55,'2019 Data (WP)'!$D$9:$D$73,0)),"")</f>
        <v>Electric Utility (West)</v>
      </c>
      <c r="B55" t="s">
        <v>31</v>
      </c>
      <c r="C55" t="s">
        <v>72</v>
      </c>
      <c r="D55" s="35">
        <f t="shared" ca="1" si="16"/>
        <v>49</v>
      </c>
      <c r="E55" s="35">
        <f t="shared" ca="1" si="17"/>
        <v>49</v>
      </c>
      <c r="F55" s="35"/>
      <c r="G55" s="17">
        <f t="shared" ca="1" si="14"/>
        <v>0.66324435318275154</v>
      </c>
      <c r="H55" s="17">
        <f t="shared" ca="1" si="14"/>
        <v>0.63731656184486385</v>
      </c>
      <c r="I55" s="17">
        <f t="shared" ca="1" si="15"/>
        <v>0.63215859030837007</v>
      </c>
      <c r="J55" s="17">
        <f t="shared" ca="1" si="15"/>
        <v>0.60948081264108356</v>
      </c>
      <c r="K55" s="17">
        <f t="shared" ref="K55:U64" ca="1" si="18">IFERROR(INDEX(Dividends,$D55,K$2)/INDEX(Earnings,$E55,K$2),"N/A")</f>
        <v>0.64810126582278482</v>
      </c>
      <c r="L55" s="17">
        <f t="shared" ca="1" si="18"/>
        <v>0.62244897959183676</v>
      </c>
      <c r="M55" s="17">
        <f t="shared" ca="1" si="18"/>
        <v>0.6494413407821229</v>
      </c>
      <c r="N55" s="17">
        <f t="shared" ca="1" si="18"/>
        <v>0.60792349726775952</v>
      </c>
      <c r="O55" s="17">
        <f t="shared" ca="1" si="18"/>
        <v>0.76285714285714279</v>
      </c>
      <c r="P55" s="17">
        <f t="shared" ca="1" si="18"/>
        <v>0.7023411371237458</v>
      </c>
      <c r="Q55" s="17">
        <f t="shared" ca="1" si="18"/>
        <v>0.68181818181818188</v>
      </c>
      <c r="R55" s="17">
        <f t="shared" ca="1" si="18"/>
        <v>0.92920353982300896</v>
      </c>
      <c r="S55" s="17">
        <f t="shared" ca="1" si="18"/>
        <v>0.99056603773584906</v>
      </c>
      <c r="T55" s="17">
        <f t="shared" ca="1" si="18"/>
        <v>0.70945945945945954</v>
      </c>
      <c r="U55" s="17">
        <f t="shared" ca="1" si="18"/>
        <v>0.63880126182965302</v>
      </c>
      <c r="V55" s="56"/>
      <c r="W55" s="56"/>
      <c r="X55" s="56"/>
    </row>
    <row r="56" spans="1:24" x14ac:dyDescent="0.25">
      <c r="A56" t="str">
        <f>IFERROR(INDEX('2019 Data (WP)'!$C$9:$C$73,MATCH($B56,'2019 Data (WP)'!$D$9:$D$73,0)),"")</f>
        <v>Electric Utility (West)</v>
      </c>
      <c r="B56" t="s">
        <v>32</v>
      </c>
      <c r="C56" t="s">
        <v>74</v>
      </c>
      <c r="D56" s="35">
        <f t="shared" ca="1" si="16"/>
        <v>50</v>
      </c>
      <c r="E56" s="35">
        <f t="shared" ca="1" si="17"/>
        <v>50</v>
      </c>
      <c r="F56" s="35"/>
      <c r="G56" s="17">
        <f t="shared" ca="1" si="14"/>
        <v>0.58139534883720934</v>
      </c>
      <c r="H56" s="17">
        <f t="shared" ca="1" si="14"/>
        <v>0.51666666666666672</v>
      </c>
      <c r="I56" s="17">
        <f t="shared" ca="1" si="15"/>
        <v>0.65361445783132532</v>
      </c>
      <c r="J56" s="17">
        <f t="shared" ca="1" si="15"/>
        <v>0.51718750000000002</v>
      </c>
      <c r="K56" s="17">
        <f t="shared" ca="1" si="18"/>
        <v>0.53333333333333333</v>
      </c>
      <c r="L56" s="17">
        <f t="shared" ca="1" si="18"/>
        <v>0.48780487804878053</v>
      </c>
      <c r="M56" s="17">
        <f t="shared" ca="1" si="18"/>
        <v>0.52068965517241383</v>
      </c>
      <c r="N56" s="17">
        <f t="shared" ca="1" si="18"/>
        <v>0.48226950354609938</v>
      </c>
      <c r="O56" s="17">
        <f t="shared" ca="1" si="18"/>
        <v>0.4427480916030534</v>
      </c>
      <c r="P56" s="17">
        <f t="shared" ca="1" si="18"/>
        <v>0.46296296296296291</v>
      </c>
      <c r="Q56" s="17">
        <f t="shared" ca="1" si="18"/>
        <v>0.57471264367816088</v>
      </c>
      <c r="R56" s="17">
        <f t="shared" ca="1" si="18"/>
        <v>0.86206896551724144</v>
      </c>
      <c r="S56" s="17">
        <f t="shared" ca="1" si="18"/>
        <v>5.5</v>
      </c>
      <c r="T56" s="17">
        <f t="shared" ca="1" si="18"/>
        <v>1.1973684210526316</v>
      </c>
      <c r="U56" s="17">
        <f t="shared" ca="1" si="18"/>
        <v>0.5</v>
      </c>
      <c r="V56" s="56"/>
      <c r="W56" s="56"/>
      <c r="X56" s="56"/>
    </row>
    <row r="57" spans="1:24" x14ac:dyDescent="0.25">
      <c r="A57" t="str">
        <f>IFERROR(INDEX('2019 Data (WP)'!$C$9:$C$73,MATCH($B57,'2019 Data (WP)'!$D$9:$D$73,0)),"")</f>
        <v>Electric Utility (West)</v>
      </c>
      <c r="B57" t="s">
        <v>33</v>
      </c>
      <c r="C57" t="s">
        <v>92</v>
      </c>
      <c r="D57" s="35">
        <f t="shared" ca="1" si="16"/>
        <v>51</v>
      </c>
      <c r="E57" s="35">
        <f t="shared" ca="1" si="17"/>
        <v>51</v>
      </c>
      <c r="F57" s="35"/>
      <c r="G57" s="17">
        <f t="shared" ca="1" si="14"/>
        <v>0.92151162790697672</v>
      </c>
      <c r="H57" s="17">
        <f t="shared" ca="1" si="14"/>
        <v>0.63514644351464433</v>
      </c>
      <c r="I57" s="17">
        <f t="shared" ca="1" si="15"/>
        <v>0.60253164556962024</v>
      </c>
      <c r="J57" s="17">
        <f t="shared" ca="1" si="15"/>
        <v>0.58515283842794763</v>
      </c>
      <c r="K57" s="17">
        <f t="shared" ca="1" si="18"/>
        <v>0.58333333333333326</v>
      </c>
      <c r="L57" s="17">
        <f t="shared" ca="1" si="18"/>
        <v>0.57843137254901955</v>
      </c>
      <c r="M57" s="17">
        <f t="shared" ca="1" si="18"/>
        <v>0.51146788990825687</v>
      </c>
      <c r="N57" s="17">
        <f t="shared" ca="1" si="18"/>
        <v>0.61864406779661019</v>
      </c>
      <c r="O57" s="17">
        <f t="shared" ca="1" si="18"/>
        <v>0.57486631016042777</v>
      </c>
      <c r="P57" s="17">
        <f t="shared" ca="1" si="18"/>
        <v>0.54102564102564099</v>
      </c>
      <c r="Q57" s="17">
        <f t="shared" ca="1" si="18"/>
        <v>0.62349397590361444</v>
      </c>
      <c r="R57" s="17">
        <f t="shared" ca="1" si="18"/>
        <v>0.77099236641221369</v>
      </c>
      <c r="S57" s="17">
        <f t="shared" ca="1" si="18"/>
        <v>0.69784172661870503</v>
      </c>
      <c r="T57" s="17">
        <f t="shared" ca="1" si="18"/>
        <v>0.39914163090128757</v>
      </c>
      <c r="U57" s="17">
        <f t="shared" ca="1" si="18"/>
        <v>0.5921052631578948</v>
      </c>
      <c r="V57" s="56"/>
      <c r="W57" s="56"/>
      <c r="X57" s="56"/>
    </row>
    <row r="58" spans="1:24" x14ac:dyDescent="0.25">
      <c r="A58" t="str">
        <f>IFERROR(INDEX('2019 Data (WP)'!$C$9:$C$73,MATCH($B58,'2019 Data (WP)'!$D$9:$D$73,0)),"")</f>
        <v>Electric Utility (East)</v>
      </c>
      <c r="B58" t="s">
        <v>34</v>
      </c>
      <c r="C58" t="s">
        <v>70</v>
      </c>
      <c r="D58" s="35">
        <f t="shared" ca="1" si="16"/>
        <v>52</v>
      </c>
      <c r="E58" s="35">
        <f t="shared" ca="1" si="17"/>
        <v>52</v>
      </c>
      <c r="F58" s="35"/>
      <c r="G58" s="17">
        <f t="shared" ca="1" si="14"/>
        <v>0.81372549019607843</v>
      </c>
      <c r="H58" s="17">
        <f t="shared" ca="1" si="14"/>
        <v>0.69620253164556956</v>
      </c>
      <c r="I58" s="17">
        <f t="shared" ca="1" si="15"/>
        <v>0.63565891472868208</v>
      </c>
      <c r="J58" s="17">
        <f t="shared" ca="1" si="15"/>
        <v>0.74881516587677732</v>
      </c>
      <c r="K58" s="17">
        <f t="shared" ca="1" si="18"/>
        <v>0.54480286738351258</v>
      </c>
      <c r="L58" s="17">
        <f t="shared" ca="1" si="18"/>
        <v>0.63291139240506322</v>
      </c>
      <c r="M58" s="17">
        <f t="shared" ca="1" si="18"/>
        <v>0.62605042016806722</v>
      </c>
      <c r="N58" s="17">
        <f t="shared" ca="1" si="18"/>
        <v>0.61764705882352944</v>
      </c>
      <c r="O58" s="17">
        <f t="shared" ca="1" si="18"/>
        <v>0.55172413793103448</v>
      </c>
      <c r="P58" s="17">
        <f t="shared" ca="1" si="18"/>
        <v>0.53639846743295017</v>
      </c>
      <c r="Q58" s="17">
        <f t="shared" ca="1" si="18"/>
        <v>0.611353711790393</v>
      </c>
      <c r="R58" s="17">
        <f t="shared" ca="1" si="18"/>
        <v>1.1596638655462184</v>
      </c>
      <c r="S58" s="17">
        <f t="shared" ca="1" si="18"/>
        <v>0.54693877551020409</v>
      </c>
      <c r="T58" s="17">
        <f t="shared" ca="1" si="18"/>
        <v>0.46387832699619774</v>
      </c>
      <c r="U58" s="17">
        <f t="shared" ca="1" si="18"/>
        <v>0.48034934497816595</v>
      </c>
      <c r="V58" s="56"/>
      <c r="W58" s="56"/>
      <c r="X58" s="56"/>
    </row>
    <row r="59" spans="1:24" x14ac:dyDescent="0.25">
      <c r="A59" t="str">
        <f>IFERROR(INDEX('2019 Data (WP)'!$C$9:$C$73,MATCH($B59,'2019 Data (WP)'!$D$9:$D$73,0)),"")</f>
        <v>Electric Utility (East)</v>
      </c>
      <c r="B59" t="s">
        <v>35</v>
      </c>
      <c r="C59" t="s">
        <v>75</v>
      </c>
      <c r="D59" s="35">
        <f t="shared" ca="1" si="16"/>
        <v>53</v>
      </c>
      <c r="E59" s="35">
        <f t="shared" ca="1" si="17"/>
        <v>53</v>
      </c>
      <c r="F59" s="35"/>
      <c r="G59" s="17">
        <f t="shared" ca="1" si="14"/>
        <v>0.54293628808864269</v>
      </c>
      <c r="H59" s="17">
        <f t="shared" ca="1" si="14"/>
        <v>0.48205128205128206</v>
      </c>
      <c r="I59" s="17">
        <f t="shared" ca="1" si="15"/>
        <v>0.65217391304347838</v>
      </c>
      <c r="J59" s="17">
        <f t="shared" ca="1" si="15"/>
        <v>0.60992907801418439</v>
      </c>
      <c r="K59" s="17">
        <f t="shared" ca="1" si="18"/>
        <v>0.57950530035335679</v>
      </c>
      <c r="L59" s="17">
        <f t="shared" ca="1" si="18"/>
        <v>0.47272727272727277</v>
      </c>
      <c r="M59" s="17">
        <f t="shared" ca="1" si="18"/>
        <v>0.49498327759197319</v>
      </c>
      <c r="N59" s="17">
        <f t="shared" ca="1" si="18"/>
        <v>0.58775510204081627</v>
      </c>
      <c r="O59" s="17">
        <f t="shared" ca="1" si="18"/>
        <v>0.58196721311475408</v>
      </c>
      <c r="P59" s="17">
        <f t="shared" ca="1" si="18"/>
        <v>0.44051446945337625</v>
      </c>
      <c r="Q59" s="17">
        <f t="shared" ca="1" si="18"/>
        <v>0.44625407166123782</v>
      </c>
      <c r="R59" s="17">
        <f t="shared" ca="1" si="18"/>
        <v>0.43181818181818182</v>
      </c>
      <c r="S59" s="17">
        <f t="shared" ca="1" si="18"/>
        <v>0.44482758620689655</v>
      </c>
      <c r="T59" s="17">
        <f t="shared" ca="1" si="18"/>
        <v>0.45173745173745172</v>
      </c>
      <c r="U59" s="17">
        <f t="shared" ca="1" si="18"/>
        <v>0.61788617886178854</v>
      </c>
      <c r="V59" s="56"/>
      <c r="W59" s="56"/>
      <c r="X59" s="56"/>
    </row>
    <row r="60" spans="1:24" x14ac:dyDescent="0.25">
      <c r="A60" t="str">
        <f>IFERROR(INDEX('2019 Data (WP)'!$C$9:$C$73,MATCH($B60,'2019 Data (WP)'!$D$9:$D$73,0)),"")</f>
        <v>Electric Utility (East)</v>
      </c>
      <c r="B60" t="s">
        <v>36</v>
      </c>
      <c r="C60" t="s">
        <v>76</v>
      </c>
      <c r="D60" s="35">
        <f t="shared" ca="1" si="16"/>
        <v>55</v>
      </c>
      <c r="E60" s="35">
        <f t="shared" ca="1" si="17"/>
        <v>55</v>
      </c>
      <c r="F60" s="35"/>
      <c r="G60" s="17" t="str">
        <f t="shared" ca="1" si="14"/>
        <v>N/A</v>
      </c>
      <c r="H60" s="17" t="str">
        <f t="shared" ca="1" si="14"/>
        <v>N/A</v>
      </c>
      <c r="I60" s="17" t="str">
        <f t="shared" ca="1" si="15"/>
        <v>N/A</v>
      </c>
      <c r="J60" s="17">
        <f t="shared" ca="1" si="15"/>
        <v>0.58333333333333337</v>
      </c>
      <c r="K60" s="17">
        <f t="shared" ca="1" si="18"/>
        <v>0.55288461538461531</v>
      </c>
      <c r="L60" s="17">
        <f t="shared" ca="1" si="18"/>
        <v>0.57217847769028873</v>
      </c>
      <c r="M60" s="17">
        <f t="shared" ca="1" si="18"/>
        <v>0.55408970976253302</v>
      </c>
      <c r="N60" s="17">
        <f t="shared" ca="1" si="18"/>
        <v>0.59882005899705004</v>
      </c>
      <c r="O60" s="17">
        <f t="shared" ca="1" si="18"/>
        <v>0.62857142857142856</v>
      </c>
      <c r="P60" s="17">
        <f t="shared" ca="1" si="18"/>
        <v>0.65319865319865311</v>
      </c>
      <c r="Q60" s="17">
        <f t="shared" ca="1" si="18"/>
        <v>0.63758389261744963</v>
      </c>
      <c r="R60" s="17">
        <f t="shared" ca="1" si="18"/>
        <v>0.65964912280701749</v>
      </c>
      <c r="S60" s="17">
        <f t="shared" ca="1" si="18"/>
        <v>0.62372881355932197</v>
      </c>
      <c r="T60" s="17">
        <f t="shared" ca="1" si="18"/>
        <v>0.64233576642335766</v>
      </c>
      <c r="U60" s="17">
        <f t="shared" ca="1" si="18"/>
        <v>0.64864864864864868</v>
      </c>
      <c r="V60" s="56"/>
      <c r="W60" s="56"/>
      <c r="X60" s="56"/>
    </row>
    <row r="61" spans="1:24" x14ac:dyDescent="0.25">
      <c r="A61" t="str">
        <f>IFERROR(INDEX('2019 Data (WP)'!$C$9:$C$73,MATCH($B61,'2019 Data (WP)'!$D$9:$D$73,0)),"")</f>
        <v>Electric Utility (West)</v>
      </c>
      <c r="B61" t="s">
        <v>37</v>
      </c>
      <c r="C61" t="s">
        <v>54</v>
      </c>
      <c r="D61" s="35">
        <f t="shared" ca="1" si="16"/>
        <v>56</v>
      </c>
      <c r="E61" s="35">
        <f t="shared" ca="1" si="17"/>
        <v>56</v>
      </c>
      <c r="F61" s="35"/>
      <c r="G61" s="17">
        <f t="shared" ca="1" si="14"/>
        <v>0.63525835866261393</v>
      </c>
      <c r="H61" s="17">
        <f t="shared" ca="1" si="14"/>
        <v>0.64824120603015079</v>
      </c>
      <c r="I61" s="17">
        <f t="shared" ca="1" si="15"/>
        <v>0.65328467153284664</v>
      </c>
      <c r="J61" s="17">
        <f t="shared" ca="1" si="15"/>
        <v>0.71058315334773225</v>
      </c>
      <c r="K61" s="17">
        <f t="shared" ca="1" si="18"/>
        <v>0.71226415094339623</v>
      </c>
      <c r="L61" s="17">
        <f t="shared" ca="1" si="18"/>
        <v>0.53537284894837467</v>
      </c>
      <c r="M61" s="17">
        <f t="shared" ca="1" si="18"/>
        <v>0.57019438444924408</v>
      </c>
      <c r="N61" s="17">
        <f t="shared" ca="1" si="18"/>
        <v>0.59715639810426546</v>
      </c>
      <c r="O61" s="17">
        <f t="shared" ca="1" si="18"/>
        <v>0.55172413793103448</v>
      </c>
      <c r="P61" s="17">
        <f t="shared" ca="1" si="18"/>
        <v>0.42953020134228187</v>
      </c>
      <c r="Q61" s="17">
        <f t="shared" ca="1" si="18"/>
        <v>0.38805970149253738</v>
      </c>
      <c r="R61" s="17">
        <f t="shared" ca="1" si="18"/>
        <v>0.32635983263598328</v>
      </c>
      <c r="S61" s="17">
        <f t="shared" ca="1" si="18"/>
        <v>0.30925507900677207</v>
      </c>
      <c r="T61" s="17">
        <f t="shared" ca="1" si="18"/>
        <v>0.29107981220657281</v>
      </c>
      <c r="U61" s="17">
        <f t="shared" ca="1" si="18"/>
        <v>0.28368794326241131</v>
      </c>
    </row>
    <row r="62" spans="1:24" x14ac:dyDescent="0.25">
      <c r="A62" t="str">
        <f>IFERROR(INDEX('2019 Data (WP)'!$C$9:$C$73,MATCH($B62,'2019 Data (WP)'!$D$9:$D$73,0)),"")</f>
        <v/>
      </c>
      <c r="B62" t="s">
        <v>64</v>
      </c>
      <c r="C62" t="s">
        <v>63</v>
      </c>
      <c r="D62" s="35" t="e">
        <f t="shared" ca="1" si="16"/>
        <v>#N/A</v>
      </c>
      <c r="E62" s="35" t="e">
        <f t="shared" ca="1" si="17"/>
        <v>#N/A</v>
      </c>
      <c r="F62" s="35"/>
      <c r="G62" s="17" t="str">
        <f t="shared" ca="1" si="14"/>
        <v>N/A</v>
      </c>
      <c r="H62" s="17" t="str">
        <f t="shared" ca="1" si="14"/>
        <v>N/A</v>
      </c>
      <c r="I62" s="17" t="str">
        <f t="shared" ca="1" si="15"/>
        <v>N/A</v>
      </c>
      <c r="J62" s="17" t="str">
        <f t="shared" ca="1" si="15"/>
        <v>N/A</v>
      </c>
      <c r="K62" s="17" t="str">
        <f t="shared" ca="1" si="18"/>
        <v>N/A</v>
      </c>
      <c r="L62" s="17" t="str">
        <f t="shared" ca="1" si="18"/>
        <v>N/A</v>
      </c>
      <c r="M62" s="17" t="str">
        <f t="shared" ca="1" si="18"/>
        <v>N/A</v>
      </c>
      <c r="N62" s="17" t="str">
        <f t="shared" ca="1" si="18"/>
        <v>N/A</v>
      </c>
      <c r="O62" s="17" t="str">
        <f t="shared" ca="1" si="18"/>
        <v>N/A</v>
      </c>
      <c r="P62" s="17" t="str">
        <f t="shared" ca="1" si="18"/>
        <v>N/A</v>
      </c>
      <c r="Q62" s="17" t="str">
        <f t="shared" ca="1" si="18"/>
        <v>N/A</v>
      </c>
      <c r="R62" s="17" t="str">
        <f t="shared" ca="1" si="18"/>
        <v>N/A</v>
      </c>
      <c r="S62" s="17" t="str">
        <f t="shared" ca="1" si="18"/>
        <v>N/A</v>
      </c>
      <c r="T62" s="17" t="str">
        <f t="shared" ca="1" si="18"/>
        <v>N/A</v>
      </c>
      <c r="U62" s="17" t="str">
        <f t="shared" ca="1" si="18"/>
        <v>N/A</v>
      </c>
    </row>
    <row r="63" spans="1:24" x14ac:dyDescent="0.25">
      <c r="A63" t="str">
        <f>IFERROR(INDEX('2019 Data (WP)'!$C$9:$C$73,MATCH($B63,'2019 Data (WP)'!$D$9:$D$73,0)),"")</f>
        <v>Water Utility</v>
      </c>
      <c r="B63" s="31" t="s">
        <v>196</v>
      </c>
      <c r="C63" s="31" t="s">
        <v>195</v>
      </c>
      <c r="D63" s="35">
        <f t="shared" ca="1" si="16"/>
        <v>57</v>
      </c>
      <c r="E63" s="35">
        <f t="shared" ca="1" si="17"/>
        <v>57</v>
      </c>
      <c r="F63" s="35"/>
      <c r="G63" s="17">
        <f t="shared" ca="1" si="14"/>
        <v>0.59813084112149528</v>
      </c>
      <c r="H63" s="17">
        <f t="shared" ca="1" si="14"/>
        <v>0.88888888888888884</v>
      </c>
      <c r="I63" s="17">
        <f t="shared" ca="1" si="15"/>
        <v>0.61538461538461542</v>
      </c>
      <c r="J63" s="17">
        <f t="shared" ca="1" si="15"/>
        <v>0.36363636363636365</v>
      </c>
      <c r="K63" s="17">
        <f t="shared" ca="1" si="18"/>
        <v>0.31517509727626464</v>
      </c>
      <c r="L63" s="17">
        <f t="shared" ca="1" si="18"/>
        <v>0.42162162162162159</v>
      </c>
      <c r="M63" s="17">
        <f t="shared" ca="1" si="18"/>
        <v>0.29527559055118108</v>
      </c>
      <c r="N63" s="17">
        <f t="shared" ca="1" si="18"/>
        <v>0.65178571428571419</v>
      </c>
      <c r="O63" s="17">
        <f t="shared" ca="1" si="18"/>
        <v>0.60169491525423724</v>
      </c>
      <c r="P63" s="17">
        <f t="shared" ca="1" si="18"/>
        <v>0.62162162162162149</v>
      </c>
      <c r="Q63" s="17">
        <f t="shared" ca="1" si="18"/>
        <v>0.80952380952380965</v>
      </c>
      <c r="R63" s="17">
        <f t="shared" ca="1" si="18"/>
        <v>0.81481481481481477</v>
      </c>
      <c r="S63" s="17">
        <f t="shared" ca="1" si="18"/>
        <v>0.59501845018450183</v>
      </c>
      <c r="T63" s="17">
        <f t="shared" ca="1" si="18"/>
        <v>0.58173076923076916</v>
      </c>
      <c r="U63" s="17">
        <f t="shared" ca="1" si="18"/>
        <v>0.47478991596638653</v>
      </c>
    </row>
    <row r="64" spans="1:24" x14ac:dyDescent="0.25">
      <c r="A64" t="str">
        <f>IFERROR(INDEX('2019 Data (WP)'!$C$9:$C$73,MATCH($B64,'2019 Data (WP)'!$D$9:$D$73,0)),"")</f>
        <v>Natural Gas Utility</v>
      </c>
      <c r="B64" s="31" t="s">
        <v>198</v>
      </c>
      <c r="C64" s="31" t="s">
        <v>197</v>
      </c>
      <c r="D64" s="35">
        <f t="shared" ca="1" si="16"/>
        <v>58</v>
      </c>
      <c r="E64" s="35">
        <f t="shared" ca="1" si="17"/>
        <v>58</v>
      </c>
      <c r="F64" s="35"/>
      <c r="G64" s="17">
        <f t="shared" ca="1" si="14"/>
        <v>0.70833333333333337</v>
      </c>
      <c r="H64" s="17">
        <f t="shared" ca="1" si="14"/>
        <v>1.0357142857142856</v>
      </c>
      <c r="I64" s="17">
        <f t="shared" ca="1" si="15"/>
        <v>0.8188405797101449</v>
      </c>
      <c r="J64" s="17">
        <f t="shared" ca="1" si="15"/>
        <v>0.89430894308943099</v>
      </c>
      <c r="K64" s="17">
        <f t="shared" ca="1" si="18"/>
        <v>0.79104477611940294</v>
      </c>
      <c r="L64" s="17">
        <f t="shared" ca="1" si="18"/>
        <v>0.70833333333333337</v>
      </c>
      <c r="M64" s="17">
        <f t="shared" ca="1" si="18"/>
        <v>0.61341853035143767</v>
      </c>
      <c r="N64" s="17">
        <f t="shared" ca="1" si="18"/>
        <v>0.59405940594059414</v>
      </c>
      <c r="O64" s="17">
        <f t="shared" ca="1" si="18"/>
        <v>0.54455445544554459</v>
      </c>
      <c r="P64" s="17">
        <f t="shared" ca="1" si="18"/>
        <v>0.51903114186851207</v>
      </c>
      <c r="Q64" s="17">
        <f t="shared" ca="1" si="18"/>
        <v>0.50370370370370365</v>
      </c>
      <c r="R64" s="17">
        <f t="shared" ca="1" si="18"/>
        <v>0.51260504201680679</v>
      </c>
      <c r="S64" s="17">
        <f t="shared" ca="1" si="18"/>
        <v>0.48898678414096919</v>
      </c>
      <c r="T64" s="17">
        <f t="shared" ca="1" si="18"/>
        <v>0.48325358851674644</v>
      </c>
      <c r="U64" s="17">
        <f t="shared" ca="1" si="18"/>
        <v>0.37398373983739841</v>
      </c>
    </row>
    <row r="65" spans="1:21" x14ac:dyDescent="0.25">
      <c r="A65" t="str">
        <f>IFERROR(INDEX('2019 Data (WP)'!$C$9:$C$73,MATCH($B65,'2019 Data (WP)'!$D$9:$D$73,0)),"")</f>
        <v>Electric Utility (East)</v>
      </c>
      <c r="B65" t="s">
        <v>38</v>
      </c>
      <c r="C65" t="s">
        <v>77</v>
      </c>
      <c r="D65" s="35">
        <f t="shared" ca="1" si="16"/>
        <v>59</v>
      </c>
      <c r="E65" s="35">
        <f t="shared" ca="1" si="17"/>
        <v>59</v>
      </c>
      <c r="F65" s="35"/>
      <c r="G65" s="17">
        <f t="shared" ca="1" si="14"/>
        <v>0.78153846153846152</v>
      </c>
      <c r="H65" s="17">
        <f t="shared" ca="1" si="14"/>
        <v>0.77602523659306</v>
      </c>
      <c r="I65" s="17">
        <f t="shared" ca="1" si="15"/>
        <v>0.79333333333333333</v>
      </c>
      <c r="J65" s="17">
        <f t="shared" ca="1" si="15"/>
        <v>0.71651090342679125</v>
      </c>
      <c r="K65" s="17">
        <f t="shared" ref="K65:U74" ca="1" si="19">IFERROR(INDEX(Dividends,$D65,K$2)/INDEX(Earnings,$E65,K$2),"N/A")</f>
        <v>0.78551236749116604</v>
      </c>
      <c r="L65" s="17">
        <f t="shared" ca="1" si="19"/>
        <v>0.75809859154929582</v>
      </c>
      <c r="M65" s="17">
        <f t="shared" ca="1" si="19"/>
        <v>0.75198555956678703</v>
      </c>
      <c r="N65" s="17">
        <f t="shared" ca="1" si="19"/>
        <v>0.74555555555555542</v>
      </c>
      <c r="O65" s="17">
        <f t="shared" ca="1" si="19"/>
        <v>0.72771535580524349</v>
      </c>
      <c r="P65" s="17">
        <f t="shared" ca="1" si="19"/>
        <v>0.73450980392156873</v>
      </c>
      <c r="Q65" s="17">
        <f t="shared" ca="1" si="19"/>
        <v>0.76398305084745766</v>
      </c>
      <c r="R65" s="17">
        <f t="shared" ca="1" si="19"/>
        <v>0.74698275862068975</v>
      </c>
      <c r="S65" s="17">
        <f t="shared" ca="1" si="19"/>
        <v>0.73911111111111116</v>
      </c>
      <c r="T65" s="17">
        <f t="shared" ca="1" si="19"/>
        <v>0.69956140350877194</v>
      </c>
      <c r="U65" s="17">
        <f t="shared" ca="1" si="19"/>
        <v>0.73095238095238091</v>
      </c>
    </row>
    <row r="66" spans="1:21" x14ac:dyDescent="0.25">
      <c r="A66" t="str">
        <f>IFERROR(INDEX('2019 Data (WP)'!$C$9:$C$73,MATCH($B66,'2019 Data (WP)'!$D$9:$D$73,0)),"")</f>
        <v>Natural Gas Utility</v>
      </c>
      <c r="B66" s="31" t="s">
        <v>200</v>
      </c>
      <c r="C66" s="31" t="s">
        <v>199</v>
      </c>
      <c r="D66" s="35">
        <f t="shared" ca="1" si="16"/>
        <v>60</v>
      </c>
      <c r="E66" s="35">
        <f t="shared" ca="1" si="17"/>
        <v>60</v>
      </c>
      <c r="F66" s="35"/>
      <c r="G66" s="17">
        <f t="shared" ref="G66:H78" ca="1" si="20">IFERROR(INDEX(Dividends,$D66,G$2)/INDEX(Earnings,$E66,G$2),"N/A")</f>
        <v>0.55072463768115942</v>
      </c>
      <c r="H66" s="17">
        <f t="shared" ca="1" si="20"/>
        <v>0.5532994923857868</v>
      </c>
      <c r="I66" s="17">
        <f t="shared" ref="I66:J78" ca="1" si="21">IFERROR(INDEX(Dividends,$D66,I$2)/INDEX(Earnings,$E66,I$2),"N/A")</f>
        <v>0.56521739130434778</v>
      </c>
      <c r="J66" s="17">
        <f t="shared" ca="1" si="21"/>
        <v>0.54696132596685076</v>
      </c>
      <c r="K66" s="17">
        <f t="shared" ca="1" si="19"/>
        <v>0.56603773584905659</v>
      </c>
      <c r="L66" s="17">
        <f t="shared" ca="1" si="19"/>
        <v>0.5547945205479452</v>
      </c>
      <c r="M66" s="17">
        <f t="shared" ca="1" si="19"/>
        <v>0.4850498338870432</v>
      </c>
      <c r="N66" s="17">
        <f t="shared" ca="1" si="19"/>
        <v>0.42443729903536981</v>
      </c>
      <c r="O66" s="17">
        <f t="shared" ca="1" si="19"/>
        <v>0.41258741258741261</v>
      </c>
      <c r="P66" s="17">
        <f t="shared" ca="1" si="19"/>
        <v>0.43621399176954734</v>
      </c>
      <c r="Q66" s="17">
        <f t="shared" ca="1" si="19"/>
        <v>0.44052863436123346</v>
      </c>
      <c r="R66" s="17">
        <f t="shared" ca="1" si="19"/>
        <v>0.48969072164948452</v>
      </c>
      <c r="S66" s="17">
        <f t="shared" ca="1" si="19"/>
        <v>0.64748201438848929</v>
      </c>
      <c r="T66" s="17">
        <f t="shared" ca="1" si="19"/>
        <v>0.44102564102564101</v>
      </c>
      <c r="U66" s="17">
        <f t="shared" ca="1" si="19"/>
        <v>0.41414141414141414</v>
      </c>
    </row>
    <row r="67" spans="1:21" x14ac:dyDescent="0.25">
      <c r="A67" t="str">
        <f>IFERROR(INDEX('2019 Data (WP)'!$C$9:$C$73,MATCH($B67,'2019 Data (WP)'!$D$9:$D$73,0)),"")</f>
        <v>Natural Gas Utility</v>
      </c>
      <c r="B67" s="31" t="s">
        <v>244</v>
      </c>
      <c r="C67" s="31" t="s">
        <v>243</v>
      </c>
      <c r="D67" s="35">
        <f t="shared" ca="1" si="16"/>
        <v>61</v>
      </c>
      <c r="E67" s="35">
        <f t="shared" ca="1" si="17"/>
        <v>61</v>
      </c>
      <c r="F67" s="35"/>
      <c r="G67" s="17">
        <f t="shared" ca="1" si="20"/>
        <v>1.729166666666667</v>
      </c>
      <c r="H67" s="17">
        <f t="shared" ca="1" si="20"/>
        <v>0.67329545454545459</v>
      </c>
      <c r="I67" s="17">
        <f t="shared" ca="1" si="21"/>
        <v>0.51963048498845266</v>
      </c>
      <c r="J67" s="17">
        <f t="shared" ca="1" si="21"/>
        <v>0.61224489795918369</v>
      </c>
      <c r="K67" s="17">
        <f t="shared" ca="1" si="19"/>
        <v>0.60493827160493818</v>
      </c>
      <c r="L67" s="17">
        <f t="shared" ca="1" si="19"/>
        <v>0.58227848101265822</v>
      </c>
      <c r="M67" s="17">
        <f t="shared" ca="1" si="19"/>
        <v>0.74893617021276593</v>
      </c>
      <c r="N67" s="17">
        <f t="shared" ca="1" si="19"/>
        <v>0.84158415841584155</v>
      </c>
      <c r="O67" s="17">
        <f t="shared" ca="1" si="19"/>
        <v>0.59498207885304655</v>
      </c>
      <c r="P67" s="17">
        <f t="shared" ca="1" si="19"/>
        <v>0.56293706293706303</v>
      </c>
      <c r="Q67" s="17">
        <f t="shared" ca="1" si="19"/>
        <v>0.64609053497942381</v>
      </c>
      <c r="R67" s="17">
        <f t="shared" ca="1" si="19"/>
        <v>0.52397260273972601</v>
      </c>
      <c r="S67" s="17">
        <f t="shared" ca="1" si="19"/>
        <v>0.56439393939393934</v>
      </c>
      <c r="T67" s="17">
        <f t="shared" ca="1" si="19"/>
        <v>0.62770562770562766</v>
      </c>
      <c r="U67" s="17">
        <f t="shared" ca="1" si="19"/>
        <v>0.59071729957805896</v>
      </c>
    </row>
    <row r="68" spans="1:21" x14ac:dyDescent="0.25">
      <c r="A68" t="str">
        <f>IFERROR(INDEX('2019 Data (WP)'!$C$9:$C$73,MATCH($B68,'2019 Data (WP)'!$D$9:$D$73,0)),"")</f>
        <v/>
      </c>
      <c r="B68" t="s">
        <v>39</v>
      </c>
      <c r="C68" t="s">
        <v>78</v>
      </c>
      <c r="D68" s="35" t="e">
        <f t="shared" ca="1" si="16"/>
        <v>#N/A</v>
      </c>
      <c r="E68" s="35" t="e">
        <f t="shared" ca="1" si="17"/>
        <v>#N/A</v>
      </c>
      <c r="F68" s="35"/>
      <c r="G68" s="17" t="str">
        <f t="shared" ca="1" si="20"/>
        <v>N/A</v>
      </c>
      <c r="H68" s="17" t="str">
        <f t="shared" ca="1" si="20"/>
        <v>N/A</v>
      </c>
      <c r="I68" s="17" t="str">
        <f t="shared" ca="1" si="21"/>
        <v>N/A</v>
      </c>
      <c r="J68" s="17" t="str">
        <f t="shared" ca="1" si="21"/>
        <v>N/A</v>
      </c>
      <c r="K68" s="17" t="str">
        <f t="shared" ca="1" si="19"/>
        <v>N/A</v>
      </c>
      <c r="L68" s="17" t="str">
        <f t="shared" ca="1" si="19"/>
        <v>N/A</v>
      </c>
      <c r="M68" s="17" t="str">
        <f t="shared" ca="1" si="19"/>
        <v>N/A</v>
      </c>
      <c r="N68" s="17" t="str">
        <f t="shared" ca="1" si="19"/>
        <v>N/A</v>
      </c>
      <c r="O68" s="17" t="str">
        <f t="shared" ca="1" si="19"/>
        <v>N/A</v>
      </c>
      <c r="P68" s="17" t="str">
        <f t="shared" ca="1" si="19"/>
        <v>N/A</v>
      </c>
      <c r="Q68" s="17" t="str">
        <f t="shared" ca="1" si="19"/>
        <v>N/A</v>
      </c>
      <c r="R68" s="17" t="str">
        <f t="shared" ca="1" si="19"/>
        <v>N/A</v>
      </c>
      <c r="S68" s="17" t="str">
        <f t="shared" ca="1" si="19"/>
        <v>N/A</v>
      </c>
      <c r="T68" s="17" t="str">
        <f t="shared" ca="1" si="19"/>
        <v>N/A</v>
      </c>
      <c r="U68" s="17" t="str">
        <f t="shared" ca="1" si="19"/>
        <v>N/A</v>
      </c>
    </row>
    <row r="69" spans="1:21" x14ac:dyDescent="0.25">
      <c r="A69" t="str">
        <f>IFERROR(INDEX('2019 Data (WP)'!$C$9:$C$73,MATCH($B69,'2019 Data (WP)'!$D$9:$D$73,0)),"")</f>
        <v>Natural Gas Utility</v>
      </c>
      <c r="B69" s="31" t="s">
        <v>204</v>
      </c>
      <c r="C69" s="31" t="s">
        <v>203</v>
      </c>
      <c r="D69" s="35">
        <f t="shared" ca="1" si="16"/>
        <v>63</v>
      </c>
      <c r="E69" s="35">
        <f t="shared" ca="1" si="17"/>
        <v>63</v>
      </c>
      <c r="F69" s="35"/>
      <c r="G69" s="17">
        <f t="shared" ca="1" si="20"/>
        <v>0.49063670411985022</v>
      </c>
      <c r="H69" s="17">
        <f t="shared" ca="1" si="20"/>
        <v>0.50438596491228072</v>
      </c>
      <c r="I69" s="17">
        <f t="shared" ca="1" si="21"/>
        <v>0.37226277372262773</v>
      </c>
      <c r="J69" s="17">
        <f t="shared" ca="1" si="21"/>
        <v>0.41921397379912662</v>
      </c>
      <c r="K69" s="17">
        <f t="shared" ca="1" si="19"/>
        <v>0.45365853658536592</v>
      </c>
      <c r="L69" s="17">
        <f t="shared" ca="1" si="19"/>
        <v>0.44278606965174133</v>
      </c>
      <c r="M69" s="17">
        <f t="shared" ca="1" si="19"/>
        <v>0.41197916666666667</v>
      </c>
      <c r="N69" s="17">
        <f t="shared" ca="1" si="19"/>
        <v>0.46453232893910862</v>
      </c>
      <c r="O69" s="17">
        <f t="shared" ca="1" si="19"/>
        <v>0.60272804774083544</v>
      </c>
      <c r="P69" s="17">
        <f t="shared" ca="1" si="19"/>
        <v>0.49526584122359801</v>
      </c>
      <c r="Q69" s="17">
        <f t="shared" ca="1" si="19"/>
        <v>0.3780718336483932</v>
      </c>
      <c r="R69" s="17">
        <f t="shared" ca="1" si="19"/>
        <v>0.3324856961220598</v>
      </c>
      <c r="S69" s="17">
        <f t="shared" ca="1" si="19"/>
        <v>0.37905048982667672</v>
      </c>
      <c r="T69" s="17">
        <f t="shared" ca="1" si="19"/>
        <v>0.40762711864406781</v>
      </c>
      <c r="U69" s="17">
        <f t="shared" ca="1" si="19"/>
        <v>0.41363636363636364</v>
      </c>
    </row>
    <row r="70" spans="1:21" x14ac:dyDescent="0.25">
      <c r="A70" t="str">
        <f>IFERROR(INDEX('2019 Data (WP)'!$C$9:$C$73,MATCH($B70,'2019 Data (WP)'!$D$9:$D$73,0)),"")</f>
        <v/>
      </c>
      <c r="B70" t="s">
        <v>40</v>
      </c>
      <c r="C70" t="s">
        <v>81</v>
      </c>
      <c r="D70" s="35" t="e">
        <f t="shared" ca="1" si="16"/>
        <v>#N/A</v>
      </c>
      <c r="E70" s="35" t="e">
        <f t="shared" ca="1" si="17"/>
        <v>#N/A</v>
      </c>
      <c r="F70" s="35"/>
      <c r="G70" s="17" t="str">
        <f t="shared" ca="1" si="20"/>
        <v>N/A</v>
      </c>
      <c r="H70" s="17" t="str">
        <f t="shared" ca="1" si="20"/>
        <v>N/A</v>
      </c>
      <c r="I70" s="17" t="str">
        <f t="shared" ca="1" si="21"/>
        <v>N/A</v>
      </c>
      <c r="J70" s="17" t="str">
        <f t="shared" ca="1" si="21"/>
        <v>N/A</v>
      </c>
      <c r="K70" s="17" t="str">
        <f t="shared" ca="1" si="19"/>
        <v>N/A</v>
      </c>
      <c r="L70" s="17" t="str">
        <f t="shared" ca="1" si="19"/>
        <v>N/A</v>
      </c>
      <c r="M70" s="17" t="str">
        <f t="shared" ca="1" si="19"/>
        <v>N/A</v>
      </c>
      <c r="N70" s="17" t="str">
        <f t="shared" ca="1" si="19"/>
        <v>N/A</v>
      </c>
      <c r="O70" s="17" t="str">
        <f t="shared" ca="1" si="19"/>
        <v>N/A</v>
      </c>
      <c r="P70" s="17" t="str">
        <f t="shared" ca="1" si="19"/>
        <v>N/A</v>
      </c>
      <c r="Q70" s="17" t="str">
        <f t="shared" ca="1" si="19"/>
        <v>N/A</v>
      </c>
      <c r="R70" s="17" t="str">
        <f t="shared" ca="1" si="19"/>
        <v>N/A</v>
      </c>
      <c r="S70" s="17" t="str">
        <f t="shared" ca="1" si="19"/>
        <v>N/A</v>
      </c>
      <c r="T70" s="17" t="str">
        <f t="shared" ca="1" si="19"/>
        <v>N/A</v>
      </c>
      <c r="U70" s="17" t="str">
        <f t="shared" ca="1" si="19"/>
        <v>N/A</v>
      </c>
    </row>
    <row r="71" spans="1:21" x14ac:dyDescent="0.25">
      <c r="A71" t="str">
        <f>IFERROR(INDEX('2019 Data (WP)'!$C$9:$C$73,MATCH($B71,'2019 Data (WP)'!$D$9:$D$73,0)),"")</f>
        <v/>
      </c>
      <c r="B71" t="s">
        <v>41</v>
      </c>
      <c r="C71" t="s">
        <v>79</v>
      </c>
      <c r="D71" s="35" t="e">
        <f t="shared" ca="1" si="16"/>
        <v>#N/A</v>
      </c>
      <c r="E71" s="35" t="e">
        <f t="shared" ca="1" si="17"/>
        <v>#N/A</v>
      </c>
      <c r="F71" s="35"/>
      <c r="G71" s="17" t="str">
        <f t="shared" ca="1" si="20"/>
        <v>N/A</v>
      </c>
      <c r="H71" s="17" t="str">
        <f t="shared" ca="1" si="20"/>
        <v>N/A</v>
      </c>
      <c r="I71" s="17" t="str">
        <f t="shared" ca="1" si="21"/>
        <v>N/A</v>
      </c>
      <c r="J71" s="17" t="str">
        <f t="shared" ca="1" si="21"/>
        <v>N/A</v>
      </c>
      <c r="K71" s="17" t="str">
        <f t="shared" ca="1" si="19"/>
        <v>N/A</v>
      </c>
      <c r="L71" s="17" t="str">
        <f t="shared" ca="1" si="19"/>
        <v>N/A</v>
      </c>
      <c r="M71" s="17" t="str">
        <f t="shared" ca="1" si="19"/>
        <v>N/A</v>
      </c>
      <c r="N71" s="17" t="str">
        <f t="shared" ca="1" si="19"/>
        <v>N/A</v>
      </c>
      <c r="O71" s="17" t="str">
        <f t="shared" ca="1" si="19"/>
        <v>N/A</v>
      </c>
      <c r="P71" s="17" t="str">
        <f t="shared" ca="1" si="19"/>
        <v>N/A</v>
      </c>
      <c r="Q71" s="17" t="str">
        <f t="shared" ca="1" si="19"/>
        <v>N/A</v>
      </c>
      <c r="R71" s="17" t="str">
        <f t="shared" ca="1" si="19"/>
        <v>N/A</v>
      </c>
      <c r="S71" s="17" t="str">
        <f t="shared" ca="1" si="19"/>
        <v>N/A</v>
      </c>
      <c r="T71" s="17" t="str">
        <f t="shared" ca="1" si="19"/>
        <v>N/A</v>
      </c>
      <c r="U71" s="17" t="str">
        <f t="shared" ca="1" si="19"/>
        <v>N/A</v>
      </c>
    </row>
    <row r="72" spans="1:21" x14ac:dyDescent="0.25">
      <c r="A72" t="str">
        <f>IFERROR(INDEX('2019 Data (WP)'!$C$9:$C$73,MATCH($B72,'2019 Data (WP)'!$D$9:$D$73,0)),"")</f>
        <v/>
      </c>
      <c r="B72" t="s">
        <v>83</v>
      </c>
      <c r="C72" t="s">
        <v>82</v>
      </c>
      <c r="D72" s="35">
        <f t="shared" ca="1" si="16"/>
        <v>64</v>
      </c>
      <c r="E72" s="35">
        <f t="shared" ca="1" si="17"/>
        <v>64</v>
      </c>
      <c r="F72" s="35"/>
      <c r="G72" s="17">
        <f t="shared" ca="1" si="20"/>
        <v>0.69767441860465118</v>
      </c>
      <c r="H72" s="17">
        <f t="shared" ca="1" si="20"/>
        <v>0.49831649831649827</v>
      </c>
      <c r="I72" s="17">
        <f t="shared" ca="1" si="21"/>
        <v>0.6547085201793722</v>
      </c>
      <c r="J72" s="17">
        <f t="shared" ca="1" si="21"/>
        <v>0.69902912621359214</v>
      </c>
      <c r="K72" s="17">
        <f t="shared" ca="1" si="19"/>
        <v>0.73195876288659789</v>
      </c>
      <c r="L72" s="17">
        <f t="shared" ca="1" si="19"/>
        <v>0.7407407407407407</v>
      </c>
      <c r="M72" s="17">
        <f t="shared" ca="1" si="19"/>
        <v>0.77374301675977653</v>
      </c>
      <c r="N72" s="17">
        <f t="shared" ca="1" si="19"/>
        <v>0.87898089171974514</v>
      </c>
      <c r="O72" s="17">
        <f t="shared" ca="1" si="19"/>
        <v>0.965034965034965</v>
      </c>
      <c r="P72" s="17">
        <f t="shared" ca="1" si="19"/>
        <v>0.91999999999999993</v>
      </c>
      <c r="Q72" s="17">
        <f t="shared" ca="1" si="19"/>
        <v>1.5681818181818181</v>
      </c>
      <c r="R72" s="17">
        <f t="shared" ca="1" si="19"/>
        <v>1.3398058252427183</v>
      </c>
      <c r="S72" s="17">
        <f t="shared" ca="1" si="19"/>
        <v>0.83636363636363631</v>
      </c>
      <c r="T72" s="17">
        <f t="shared" ca="1" si="19"/>
        <v>0.9078947368421052</v>
      </c>
      <c r="U72" s="17">
        <f t="shared" ca="1" si="19"/>
        <v>0.97872340425531912</v>
      </c>
    </row>
    <row r="73" spans="1:21" x14ac:dyDescent="0.25">
      <c r="A73" t="str">
        <f>IFERROR(INDEX('2019 Data (WP)'!$C$9:$C$73,MATCH($B73,'2019 Data (WP)'!$D$9:$D$73,0)),"")</f>
        <v>Electric Util. (Central)</v>
      </c>
      <c r="B73" t="s">
        <v>42</v>
      </c>
      <c r="C73" t="s">
        <v>89</v>
      </c>
      <c r="D73" s="35">
        <f t="shared" ca="1" si="16"/>
        <v>65</v>
      </c>
      <c r="E73" s="35">
        <f t="shared" ca="1" si="17"/>
        <v>65</v>
      </c>
      <c r="F73" s="35"/>
      <c r="G73" s="17" t="str">
        <f t="shared" ca="1" si="20"/>
        <v>N/A</v>
      </c>
      <c r="H73" s="17" t="str">
        <f t="shared" ca="1" si="20"/>
        <v>N/A</v>
      </c>
      <c r="I73" s="17" t="str">
        <f t="shared" ca="1" si="21"/>
        <v>N/A</v>
      </c>
      <c r="J73" s="17">
        <f t="shared" ca="1" si="21"/>
        <v>0.65769230769230769</v>
      </c>
      <c r="K73" s="17">
        <f t="shared" ca="1" si="19"/>
        <v>0.6352941176470589</v>
      </c>
      <c r="L73" s="17">
        <f t="shared" ca="1" si="19"/>
        <v>0.64435146443514646</v>
      </c>
      <c r="M73" s="17">
        <f t="shared" ca="1" si="19"/>
        <v>0.72277227722772275</v>
      </c>
      <c r="N73" s="17">
        <f t="shared" ca="1" si="19"/>
        <v>0.85843373493975905</v>
      </c>
      <c r="O73" s="17">
        <f t="shared" ca="1" si="19"/>
        <v>0.72422680412371132</v>
      </c>
      <c r="P73" s="17">
        <f t="shared" ca="1" si="19"/>
        <v>0.80057803468208089</v>
      </c>
      <c r="Q73" s="17">
        <f t="shared" ca="1" si="19"/>
        <v>0.83536585365853666</v>
      </c>
      <c r="R73" s="17">
        <f t="shared" ca="1" si="19"/>
        <v>0.75418994413407825</v>
      </c>
      <c r="S73" s="17">
        <f t="shared" ca="1" si="19"/>
        <v>0.80368098159509216</v>
      </c>
      <c r="T73" s="17">
        <f t="shared" ca="1" si="19"/>
        <v>0.69398907103825136</v>
      </c>
      <c r="U73" s="17">
        <f t="shared" ca="1" si="19"/>
        <v>0.85416666666666674</v>
      </c>
    </row>
    <row r="74" spans="1:21" x14ac:dyDescent="0.25">
      <c r="A74" t="str">
        <f>IFERROR(INDEX('2019 Data (WP)'!$C$9:$C$73,MATCH($B74,'2019 Data (WP)'!$D$9:$D$73,0)),"")</f>
        <v>Electric Util. (Central)</v>
      </c>
      <c r="B74" t="s">
        <v>44</v>
      </c>
      <c r="C74" t="s">
        <v>217</v>
      </c>
      <c r="D74" s="35">
        <f t="shared" ca="1" si="16"/>
        <v>66</v>
      </c>
      <c r="E74" s="35">
        <f t="shared" ca="1" si="17"/>
        <v>66</v>
      </c>
      <c r="F74" s="35"/>
      <c r="G74" s="17">
        <f t="shared" ca="1" si="20"/>
        <v>0.66754617414248019</v>
      </c>
      <c r="H74" s="17">
        <f t="shared" ca="1" si="20"/>
        <v>0.65921787709497204</v>
      </c>
      <c r="I74" s="17">
        <f t="shared" ca="1" si="21"/>
        <v>0.66167664670658688</v>
      </c>
      <c r="J74" s="17">
        <f t="shared" ca="1" si="21"/>
        <v>0.66242038216560506</v>
      </c>
      <c r="K74" s="17">
        <f t="shared" ca="1" si="19"/>
        <v>0.66891891891891897</v>
      </c>
      <c r="L74" s="17">
        <f t="shared" ca="1" si="19"/>
        <v>0.74358974358974361</v>
      </c>
      <c r="M74" s="17">
        <f t="shared" ref="K74:U78" ca="1" si="22">IFERROR(INDEX(Dividends,$D74,M$2)/INDEX(Earnings,$E74,M$2),"N/A")</f>
        <v>0.60231660231660233</v>
      </c>
      <c r="N74" s="17">
        <f t="shared" ca="1" si="22"/>
        <v>0.57569721115537853</v>
      </c>
      <c r="O74" s="17">
        <f t="shared" ca="1" si="22"/>
        <v>0.51063829787234039</v>
      </c>
      <c r="P74" s="17">
        <f t="shared" ca="1" si="22"/>
        <v>0.47706422018348621</v>
      </c>
      <c r="Q74" s="17">
        <f t="shared" ca="1" si="22"/>
        <v>0.41666666666666669</v>
      </c>
      <c r="R74" s="17">
        <f t="shared" ca="1" si="22"/>
        <v>0.421875</v>
      </c>
      <c r="S74" s="17">
        <f t="shared" ca="1" si="22"/>
        <v>0.35643564356435647</v>
      </c>
      <c r="T74" s="17">
        <f t="shared" ca="1" si="22"/>
        <v>0.35211267605633806</v>
      </c>
      <c r="U74" s="17">
        <f t="shared" ca="1" si="22"/>
        <v>0.34848484848484851</v>
      </c>
    </row>
    <row r="75" spans="1:21" x14ac:dyDescent="0.25">
      <c r="A75" t="str">
        <f>IFERROR(INDEX('2019 Data (WP)'!$C$9:$C$73,MATCH($B75,'2019 Data (WP)'!$D$9:$D$73,0)),"")</f>
        <v>Electric Util. (Central)</v>
      </c>
      <c r="B75" t="s">
        <v>43</v>
      </c>
      <c r="C75" t="s">
        <v>87</v>
      </c>
      <c r="D75" s="35">
        <f t="shared" ca="1" si="16"/>
        <v>67</v>
      </c>
      <c r="E75" s="35">
        <f t="shared" ca="1" si="17"/>
        <v>67</v>
      </c>
      <c r="F75" s="35"/>
      <c r="G75" s="17" t="str">
        <f t="shared" ca="1" si="20"/>
        <v>N/A</v>
      </c>
      <c r="H75" s="17" t="str">
        <f t="shared" ca="1" si="20"/>
        <v>N/A</v>
      </c>
      <c r="I75" s="17" t="str">
        <f t="shared" ca="1" si="21"/>
        <v>N/A</v>
      </c>
      <c r="J75" s="17">
        <f t="shared" ca="1" si="21"/>
        <v>0.70484581497797361</v>
      </c>
      <c r="K75" s="17">
        <f t="shared" ca="1" si="22"/>
        <v>0.625514403292181</v>
      </c>
      <c r="L75" s="17">
        <f t="shared" ca="1" si="22"/>
        <v>0.68899521531100483</v>
      </c>
      <c r="M75" s="17">
        <f t="shared" ca="1" si="22"/>
        <v>0.5957446808510638</v>
      </c>
      <c r="N75" s="17">
        <f t="shared" ca="1" si="22"/>
        <v>0.59911894273127753</v>
      </c>
      <c r="O75" s="17">
        <f t="shared" ca="1" si="22"/>
        <v>0.61395348837209307</v>
      </c>
      <c r="P75" s="17">
        <f t="shared" ca="1" si="22"/>
        <v>0.71508379888268159</v>
      </c>
      <c r="Q75" s="17">
        <f t="shared" ca="1" si="22"/>
        <v>0.68888888888888888</v>
      </c>
      <c r="R75" s="17">
        <f t="shared" ca="1" si="22"/>
        <v>0.9375</v>
      </c>
      <c r="S75" s="17">
        <f t="shared" ca="1" si="22"/>
        <v>0.88549618320610679</v>
      </c>
      <c r="T75" s="17">
        <f t="shared" ca="1" si="22"/>
        <v>0.58695652173913049</v>
      </c>
      <c r="U75" s="17">
        <f t="shared" ca="1" si="22"/>
        <v>0.52127659574468088</v>
      </c>
    </row>
    <row r="76" spans="1:21" x14ac:dyDescent="0.25">
      <c r="A76" t="str">
        <f>IFERROR(INDEX('2019 Data (WP)'!$C$9:$C$73,MATCH($B76,'2019 Data (WP)'!$D$9:$D$73,0)),"")</f>
        <v>Natural Gas Utility</v>
      </c>
      <c r="B76" s="31" t="s">
        <v>206</v>
      </c>
      <c r="C76" s="31" t="s">
        <v>205</v>
      </c>
      <c r="D76" s="35">
        <f t="shared" ca="1" si="16"/>
        <v>68</v>
      </c>
      <c r="E76" s="35">
        <f t="shared" ca="1" si="17"/>
        <v>68</v>
      </c>
      <c r="F76" s="35"/>
      <c r="G76" s="17" t="str">
        <f t="shared" ca="1" si="20"/>
        <v>N/A</v>
      </c>
      <c r="H76" s="17" t="str">
        <f t="shared" ca="1" si="20"/>
        <v>N/A</v>
      </c>
      <c r="I76" s="17" t="str">
        <f t="shared" ca="1" si="21"/>
        <v>N/A</v>
      </c>
      <c r="J76" s="17">
        <f t="shared" ca="1" si="21"/>
        <v>0.64951768488745987</v>
      </c>
      <c r="K76" s="17">
        <f t="shared" ca="1" si="22"/>
        <v>0.5902140672782874</v>
      </c>
      <c r="L76" s="17">
        <f t="shared" ca="1" si="22"/>
        <v>0.57911392405063289</v>
      </c>
      <c r="M76" s="17">
        <f t="shared" ca="1" si="22"/>
        <v>0.64179104477611937</v>
      </c>
      <c r="N76" s="17">
        <f t="shared" ca="1" si="22"/>
        <v>0.7186147186147186</v>
      </c>
      <c r="O76" s="17">
        <f t="shared" ca="1" si="22"/>
        <v>0.59328358208955223</v>
      </c>
      <c r="P76" s="17">
        <f t="shared" ca="1" si="22"/>
        <v>0.68888888888888888</v>
      </c>
      <c r="Q76" s="17">
        <f t="shared" ca="1" si="22"/>
        <v>0.66079295154185025</v>
      </c>
      <c r="R76" s="17">
        <f t="shared" ca="1" si="22"/>
        <v>0.58102766798418981</v>
      </c>
      <c r="S76" s="17">
        <f t="shared" ca="1" si="22"/>
        <v>0.57704918032786878</v>
      </c>
      <c r="T76" s="17">
        <f t="shared" ca="1" si="22"/>
        <v>0.65311004784688997</v>
      </c>
      <c r="U76" s="17">
        <f t="shared" ca="1" si="22"/>
        <v>0.69329896907216493</v>
      </c>
    </row>
    <row r="77" spans="1:21" x14ac:dyDescent="0.25">
      <c r="A77" t="str">
        <f>IFERROR(INDEX('2019 Data (WP)'!$C$9:$C$73,MATCH($B77,'2019 Data (WP)'!$D$9:$D$73,0)),"")</f>
        <v>Electric Utility (West)</v>
      </c>
      <c r="B77" t="s">
        <v>45</v>
      </c>
      <c r="C77" t="s">
        <v>65</v>
      </c>
      <c r="D77" s="35">
        <f t="shared" ca="1" si="16"/>
        <v>69</v>
      </c>
      <c r="E77" s="35">
        <f t="shared" ca="1" si="17"/>
        <v>69</v>
      </c>
      <c r="F77" s="35"/>
      <c r="G77" s="17">
        <f t="shared" ca="1" si="20"/>
        <v>0.61648745519713255</v>
      </c>
      <c r="H77" s="17">
        <f t="shared" ca="1" si="20"/>
        <v>0.61363636363636365</v>
      </c>
      <c r="I77" s="17">
        <f t="shared" ca="1" si="21"/>
        <v>0.61538461538461531</v>
      </c>
      <c r="J77" s="17">
        <f t="shared" ca="1" si="21"/>
        <v>0.62608695652173918</v>
      </c>
      <c r="K77" s="17">
        <f t="shared" ca="1" si="22"/>
        <v>0.61538461538461542</v>
      </c>
      <c r="L77" s="17">
        <f t="shared" ca="1" si="22"/>
        <v>0.60952380952380947</v>
      </c>
      <c r="M77" s="17">
        <f t="shared" ca="1" si="22"/>
        <v>0.59113300492610843</v>
      </c>
      <c r="N77" s="17">
        <f t="shared" ca="1" si="22"/>
        <v>0.5811518324607331</v>
      </c>
      <c r="O77" s="17">
        <f t="shared" ca="1" si="22"/>
        <v>0.57837837837837835</v>
      </c>
      <c r="P77" s="17">
        <f t="shared" ca="1" si="22"/>
        <v>0.59883720930232565</v>
      </c>
      <c r="Q77" s="17">
        <f t="shared" ca="1" si="22"/>
        <v>0.64102564102564097</v>
      </c>
      <c r="R77" s="17">
        <f t="shared" ca="1" si="22"/>
        <v>0.65100671140939592</v>
      </c>
      <c r="S77" s="17">
        <f t="shared" ca="1" si="22"/>
        <v>0.64383561643835618</v>
      </c>
      <c r="T77" s="17">
        <f t="shared" ca="1" si="22"/>
        <v>0.67407407407407405</v>
      </c>
      <c r="U77" s="17">
        <f t="shared" ca="1" si="22"/>
        <v>0.65185185185185179</v>
      </c>
    </row>
    <row r="78" spans="1:21" x14ac:dyDescent="0.25">
      <c r="A78" t="str">
        <f>IFERROR(INDEX('2019 Data (WP)'!$C$9:$C$73,MATCH($B78,'2019 Data (WP)'!$D$9:$D$73,0)),"")</f>
        <v>Water Utility</v>
      </c>
      <c r="B78" s="31" t="s">
        <v>208</v>
      </c>
      <c r="C78" s="31" t="s">
        <v>207</v>
      </c>
      <c r="D78" s="35">
        <f t="shared" ca="1" si="16"/>
        <v>70</v>
      </c>
      <c r="E78" s="35">
        <f t="shared" ca="1" si="17"/>
        <v>70</v>
      </c>
      <c r="F78" s="35"/>
      <c r="G78" s="17">
        <f t="shared" ca="1" si="20"/>
        <v>0.57480314960629919</v>
      </c>
      <c r="H78" s="17">
        <f t="shared" ca="1" si="20"/>
        <v>0.63063063063063052</v>
      </c>
      <c r="I78" s="17">
        <f t="shared" ca="1" si="21"/>
        <v>0.64711538461538465</v>
      </c>
      <c r="J78" s="17">
        <f t="shared" ca="1" si="21"/>
        <v>0.64356435643564358</v>
      </c>
      <c r="K78" s="17">
        <f t="shared" ca="1" si="22"/>
        <v>0.68478260869565211</v>
      </c>
      <c r="L78" s="17">
        <f t="shared" ca="1" si="22"/>
        <v>0.61855670103092786</v>
      </c>
      <c r="M78" s="17">
        <f t="shared" ca="1" si="22"/>
        <v>0.64269662921348303</v>
      </c>
      <c r="N78" s="17">
        <f t="shared" ca="1" si="22"/>
        <v>0.7360000000000001</v>
      </c>
      <c r="O78" s="17">
        <f t="shared" ca="1" si="22"/>
        <v>0.74861111111111123</v>
      </c>
      <c r="P78" s="17">
        <f t="shared" ca="1" si="22"/>
        <v>0.74225352112676068</v>
      </c>
      <c r="Q78" s="17">
        <f t="shared" ca="1" si="22"/>
        <v>0.72535211267605637</v>
      </c>
      <c r="R78" s="17">
        <f t="shared" ca="1" si="22"/>
        <v>0.79062500000000002</v>
      </c>
      <c r="S78" s="17">
        <f t="shared" ca="1" si="22"/>
        <v>0.85789473684210527</v>
      </c>
      <c r="T78" s="17">
        <f t="shared" ca="1" si="22"/>
        <v>0.83333333333333337</v>
      </c>
      <c r="U78" s="17">
        <f t="shared" ca="1" si="22"/>
        <v>0.78275862068965529</v>
      </c>
    </row>
    <row r="79" spans="1:21" x14ac:dyDescent="0.25">
      <c r="B79" s="31"/>
      <c r="C79" s="31"/>
      <c r="D79" s="35"/>
      <c r="E79" s="35"/>
      <c r="F79" s="35"/>
      <c r="G79" s="35"/>
      <c r="H79" s="35"/>
      <c r="I79" s="35"/>
      <c r="J79" s="35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</sheetData>
  <autoFilter ref="A4:X78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X79"/>
  <sheetViews>
    <sheetView zoomScale="70" zoomScaleNormal="70" workbookViewId="0">
      <selection activeCell="V33" sqref="V33"/>
    </sheetView>
  </sheetViews>
  <sheetFormatPr defaultRowHeight="13.8" x14ac:dyDescent="0.25"/>
  <cols>
    <col min="1" max="1" width="13.19921875" customWidth="1"/>
    <col min="2" max="2" width="7.5" bestFit="1" customWidth="1"/>
    <col min="3" max="3" width="22.19921875" customWidth="1"/>
    <col min="4" max="4" width="3.19921875" bestFit="1" customWidth="1"/>
    <col min="5" max="5" width="2.8984375" bestFit="1" customWidth="1"/>
    <col min="6" max="10" width="6.19921875" customWidth="1"/>
    <col min="11" max="13" width="6.19921875" bestFit="1" customWidth="1"/>
    <col min="14" max="15" width="5" bestFit="1" customWidth="1"/>
    <col min="16" max="16" width="4.8984375" bestFit="1" customWidth="1"/>
    <col min="17" max="17" width="5" bestFit="1" customWidth="1"/>
    <col min="18" max="21" width="5.19921875" bestFit="1" customWidth="1"/>
    <col min="22" max="24" width="9.19921875" style="31" customWidth="1"/>
  </cols>
  <sheetData>
    <row r="1" spans="1:24" x14ac:dyDescent="0.25">
      <c r="A1" t="s">
        <v>321</v>
      </c>
    </row>
    <row r="2" spans="1:24" x14ac:dyDescent="0.25">
      <c r="E2" s="35"/>
      <c r="F2" s="35"/>
      <c r="G2" s="35">
        <f t="shared" ref="G2:U2" ca="1" si="0">MATCH(G3,OFFSET(CapSpending,-2,0,1,),0)</f>
        <v>2</v>
      </c>
      <c r="H2" s="35">
        <f t="shared" ca="1" si="0"/>
        <v>3</v>
      </c>
      <c r="I2" s="35">
        <f t="shared" ca="1" si="0"/>
        <v>4</v>
      </c>
      <c r="J2" s="35">
        <f t="shared" ca="1" si="0"/>
        <v>5</v>
      </c>
      <c r="K2" s="35">
        <f t="shared" ca="1" si="0"/>
        <v>6</v>
      </c>
      <c r="L2" s="35">
        <f t="shared" ca="1" si="0"/>
        <v>7</v>
      </c>
      <c r="M2" s="35">
        <f t="shared" ca="1" si="0"/>
        <v>8</v>
      </c>
      <c r="N2" s="35">
        <f t="shared" ca="1" si="0"/>
        <v>9</v>
      </c>
      <c r="O2" s="35">
        <f t="shared" ca="1" si="0"/>
        <v>10</v>
      </c>
      <c r="P2" s="35">
        <f t="shared" ca="1" si="0"/>
        <v>11</v>
      </c>
      <c r="Q2" s="35">
        <f t="shared" ca="1" si="0"/>
        <v>12</v>
      </c>
      <c r="R2" s="35">
        <f t="shared" ca="1" si="0"/>
        <v>13</v>
      </c>
      <c r="S2" s="35">
        <f t="shared" ca="1" si="0"/>
        <v>14</v>
      </c>
      <c r="T2" s="35">
        <f t="shared" ca="1" si="0"/>
        <v>15</v>
      </c>
      <c r="U2" s="35">
        <f t="shared" ca="1" si="0"/>
        <v>16</v>
      </c>
      <c r="V2" s="54"/>
      <c r="W2" s="54"/>
      <c r="X2" s="54"/>
    </row>
    <row r="3" spans="1:24" ht="14.4" thickBot="1" x14ac:dyDescent="0.3">
      <c r="D3" s="35" t="s">
        <v>214</v>
      </c>
      <c r="E3" s="35" t="s">
        <v>322</v>
      </c>
      <c r="F3" s="35"/>
      <c r="G3" s="35">
        <v>2020</v>
      </c>
      <c r="H3" s="48">
        <v>2019</v>
      </c>
      <c r="I3" s="48">
        <v>2018</v>
      </c>
      <c r="J3" s="48">
        <v>2017</v>
      </c>
      <c r="K3" s="48">
        <v>2016</v>
      </c>
      <c r="L3" s="48">
        <v>2015</v>
      </c>
      <c r="M3" s="48">
        <v>2014</v>
      </c>
      <c r="N3" s="48">
        <v>2013</v>
      </c>
      <c r="O3" s="48">
        <v>2012</v>
      </c>
      <c r="P3" s="48">
        <v>2011</v>
      </c>
      <c r="Q3" s="48">
        <v>2010</v>
      </c>
      <c r="R3" s="48">
        <v>2009</v>
      </c>
      <c r="S3" s="48">
        <v>2008</v>
      </c>
      <c r="T3" s="48">
        <v>2007</v>
      </c>
      <c r="U3" s="48">
        <v>2006</v>
      </c>
      <c r="V3" s="55"/>
      <c r="W3" s="55"/>
      <c r="X3" s="55"/>
    </row>
    <row r="4" spans="1:24" x14ac:dyDescent="0.25">
      <c r="D4" s="35"/>
      <c r="E4" s="35"/>
      <c r="F4" s="35"/>
      <c r="G4" s="35"/>
      <c r="H4" s="35"/>
      <c r="I4" s="35"/>
      <c r="J4" s="35"/>
      <c r="K4" s="35"/>
      <c r="L4" s="35"/>
    </row>
    <row r="5" spans="1:24" x14ac:dyDescent="0.25">
      <c r="A5" t="str">
        <f>IFERROR(INDEX('2019 Data (WP)'!$C$9:$C$73,MATCH($B5,'2019 Data (WP)'!$D$9:$D$73,0)),"")</f>
        <v>Electric Util. (Central)</v>
      </c>
      <c r="B5" t="s">
        <v>0</v>
      </c>
      <c r="C5" t="s">
        <v>91</v>
      </c>
      <c r="D5" s="35">
        <f t="shared" ref="D5:D36" ca="1" si="1">MATCH(B5,OFFSET(CashFlow,0,0,,1),0)</f>
        <v>3</v>
      </c>
      <c r="E5" s="35">
        <f t="shared" ref="E5:E36" ca="1" si="2">MATCH(B5,OFFSET(CapSpending,0,0,,1),0)</f>
        <v>3</v>
      </c>
      <c r="F5" s="35"/>
      <c r="G5" s="17">
        <f ca="1">IFERROR(INDEX(CashFlow,$D5,G$2)/INDEX(CapSpending,$E5,G$2),"N/A")</f>
        <v>0.54612760397764393</v>
      </c>
      <c r="H5" s="17">
        <f ca="1">IFERROR(INDEX(CashFlow,$D5,H$2)/INDEX(CapSpending,$E5,H$2),"N/A")</f>
        <v>0.62706727855225564</v>
      </c>
      <c r="I5" s="17">
        <f ca="1">IFERROR(INDEX(CashFlow,$D5,I$2)/INDEX(CapSpending,$E5,I$2),"N/A")</f>
        <v>1.2154632377184307</v>
      </c>
      <c r="J5" s="17">
        <f ca="1">IFERROR(INDEX(CashFlow,$D5,J$2)/INDEX(CapSpending,$E5,J$2),"N/A")</f>
        <v>1.6149509803921569</v>
      </c>
      <c r="K5" s="17">
        <f ca="1">IFERROR(INDEX(CashFlow,$D5,K$2)/INDEX(CapSpending,$E5,K$2),"N/A")</f>
        <v>1.321942110177404</v>
      </c>
      <c r="L5" s="17">
        <f t="shared" ref="I5:U14" ca="1" si="3">IFERROR(INDEX(CashFlow,$D5,L$2)/INDEX(CapSpending,$E5,L$2),"N/A")</f>
        <v>1.162472179421332</v>
      </c>
      <c r="M5" s="17">
        <f t="shared" ca="1" si="3"/>
        <v>0.45476400352592355</v>
      </c>
      <c r="N5" s="17">
        <f t="shared" ca="1" si="3"/>
        <v>0.67359798361688716</v>
      </c>
      <c r="O5" s="17">
        <f t="shared" ca="1" si="3"/>
        <v>0.48626080201961358</v>
      </c>
      <c r="P5" s="17">
        <f t="shared" ca="1" si="3"/>
        <v>0.77002664994513248</v>
      </c>
      <c r="Q5" s="17">
        <f t="shared" ca="1" si="3"/>
        <v>0.62591687041564792</v>
      </c>
      <c r="R5" s="17">
        <f t="shared" ca="1" si="3"/>
        <v>0.39467285587975243</v>
      </c>
      <c r="S5" s="17">
        <f t="shared" ca="1" si="3"/>
        <v>0.45831528800346466</v>
      </c>
      <c r="T5" s="17">
        <f t="shared" ca="1" si="3"/>
        <v>0.64747252747252737</v>
      </c>
      <c r="U5" s="17">
        <f t="shared" ca="1" si="3"/>
        <v>1.2317979197622584</v>
      </c>
      <c r="V5" s="56"/>
      <c r="W5" s="57"/>
      <c r="X5" s="57"/>
    </row>
    <row r="6" spans="1:24" x14ac:dyDescent="0.25">
      <c r="A6" t="str">
        <f>IFERROR(INDEX('2019 Data (WP)'!$C$9:$C$73,MATCH($B6,'2019 Data (WP)'!$D$9:$D$73,0)),"")</f>
        <v>Electric Util. (Central)</v>
      </c>
      <c r="B6" t="s">
        <v>1</v>
      </c>
      <c r="C6" t="s">
        <v>84</v>
      </c>
      <c r="D6" s="35">
        <f t="shared" ca="1" si="1"/>
        <v>4</v>
      </c>
      <c r="E6" s="35">
        <f t="shared" ca="1" si="2"/>
        <v>4</v>
      </c>
      <c r="F6" s="35"/>
      <c r="G6" s="17" t="str">
        <f t="shared" ref="G6:H25" ca="1" si="4">IFERROR(INDEX(CashFlow,$D6,G$2)/INDEX(CapSpending,$E6,G$2),"N/A")</f>
        <v>N/A</v>
      </c>
      <c r="H6" s="17" t="str">
        <f t="shared" ca="1" si="4"/>
        <v>N/A</v>
      </c>
      <c r="I6" s="17" t="str">
        <f t="shared" ca="1" si="3"/>
        <v>N/A</v>
      </c>
      <c r="J6" s="17">
        <f t="shared" ca="1" si="3"/>
        <v>0.48927444794952679</v>
      </c>
      <c r="K6" s="17" t="str">
        <f t="shared" ca="1" si="3"/>
        <v>N/A</v>
      </c>
      <c r="L6" s="17">
        <f t="shared" ca="1" si="3"/>
        <v>0.81120527306967982</v>
      </c>
      <c r="M6" s="17">
        <f t="shared" ca="1" si="3"/>
        <v>0.91007669928590318</v>
      </c>
      <c r="N6" s="17">
        <f t="shared" ca="1" si="3"/>
        <v>1.0075369309617124</v>
      </c>
      <c r="O6" s="17">
        <f t="shared" ca="1" si="3"/>
        <v>0.56507571401188428</v>
      </c>
      <c r="P6" s="17">
        <f t="shared" ca="1" si="3"/>
        <v>0.90801186943620182</v>
      </c>
      <c r="Q6" s="17">
        <f t="shared" ca="1" si="3"/>
        <v>0.66615502686108985</v>
      </c>
      <c r="R6" s="17">
        <f t="shared" ca="1" si="3"/>
        <v>0.3870077291129923</v>
      </c>
      <c r="S6" s="17">
        <f t="shared" ca="1" si="3"/>
        <v>0.57250565468710735</v>
      </c>
      <c r="T6" s="17">
        <f t="shared" ca="1" si="3"/>
        <v>1.0419381107491859</v>
      </c>
      <c r="U6" s="17">
        <f t="shared" ca="1" si="3"/>
        <v>1.2653419053185271</v>
      </c>
      <c r="V6" s="56"/>
      <c r="W6" s="56"/>
      <c r="X6" s="56"/>
    </row>
    <row r="7" spans="1:24" x14ac:dyDescent="0.25">
      <c r="A7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35">
        <f t="shared" ca="1" si="1"/>
        <v>6</v>
      </c>
      <c r="E7" s="35">
        <f t="shared" ca="1" si="2"/>
        <v>6</v>
      </c>
      <c r="F7" s="35"/>
      <c r="G7" s="17">
        <f t="shared" ca="1" si="4"/>
        <v>0.94513574660633481</v>
      </c>
      <c r="H7" s="17">
        <f t="shared" ca="1" si="4"/>
        <v>0.79000969932104759</v>
      </c>
      <c r="I7" s="17">
        <f t="shared" ca="1" si="3"/>
        <v>0.82399070577984324</v>
      </c>
      <c r="J7" s="17">
        <f t="shared" ca="1" si="3"/>
        <v>0.95817120622568097</v>
      </c>
      <c r="K7" s="17">
        <f t="shared" ca="1" si="3"/>
        <v>0.76119402985074625</v>
      </c>
      <c r="L7" s="17">
        <f t="shared" ca="1" si="3"/>
        <v>1.1743311036789299</v>
      </c>
      <c r="M7" s="17">
        <f t="shared" ca="1" si="3"/>
        <v>1.4086589229144668</v>
      </c>
      <c r="N7" s="17">
        <f t="shared" ca="1" si="3"/>
        <v>1.0552683896620279</v>
      </c>
      <c r="O7" s="17">
        <f t="shared" ca="1" si="3"/>
        <v>1.4027149321266967</v>
      </c>
      <c r="P7" s="17">
        <f t="shared" ca="1" si="3"/>
        <v>1.0009389671361504</v>
      </c>
      <c r="Q7" s="17">
        <f t="shared" ca="1" si="3"/>
        <v>0.9971711456859973</v>
      </c>
      <c r="R7" s="17">
        <f t="shared" ca="1" si="3"/>
        <v>0.81435406698564594</v>
      </c>
      <c r="S7" s="17">
        <f t="shared" ca="1" si="3"/>
        <v>0.75741239892183287</v>
      </c>
      <c r="T7" s="17">
        <f t="shared" ca="1" si="3"/>
        <v>1.1423635107118175</v>
      </c>
      <c r="U7" s="17">
        <f t="shared" ca="1" si="3"/>
        <v>0.74091141833077323</v>
      </c>
      <c r="V7" s="56"/>
      <c r="W7" s="56"/>
      <c r="X7" s="56"/>
    </row>
    <row r="8" spans="1:24" x14ac:dyDescent="0.25">
      <c r="A8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35">
        <f t="shared" ca="1" si="1"/>
        <v>7</v>
      </c>
      <c r="E8" s="35">
        <f t="shared" ca="1" si="2"/>
        <v>7</v>
      </c>
      <c r="F8" s="35"/>
      <c r="G8" s="17">
        <f t="shared" ca="1" si="4"/>
        <v>0.72039800995024872</v>
      </c>
      <c r="H8" s="17">
        <f t="shared" ca="1" si="4"/>
        <v>0.72682553563620467</v>
      </c>
      <c r="I8" s="17">
        <f t="shared" ca="1" si="3"/>
        <v>0.7006151742993848</v>
      </c>
      <c r="J8" s="17">
        <f t="shared" ca="1" si="3"/>
        <v>0.63962170233947235</v>
      </c>
      <c r="K8" s="17">
        <f t="shared" ca="1" si="3"/>
        <v>0.71471267490830059</v>
      </c>
      <c r="L8" s="17">
        <f t="shared" ca="1" si="3"/>
        <v>0.78868910404180115</v>
      </c>
      <c r="M8" s="17">
        <f t="shared" ca="1" si="3"/>
        <v>0.89207957957957951</v>
      </c>
      <c r="N8" s="17">
        <f t="shared" ca="1" si="3"/>
        <v>0.79268957992362254</v>
      </c>
      <c r="O8" s="17">
        <f t="shared" ca="1" si="3"/>
        <v>0.81379836096817226</v>
      </c>
      <c r="P8" s="17">
        <f t="shared" ca="1" si="3"/>
        <v>0.70940170940170943</v>
      </c>
      <c r="Q8" s="17">
        <f t="shared" ca="1" si="3"/>
        <v>0.81302857142857143</v>
      </c>
      <c r="R8" s="17">
        <f t="shared" ca="1" si="3"/>
        <v>0.64198354458527906</v>
      </c>
      <c r="S8" s="17">
        <f t="shared" ca="1" si="3"/>
        <v>0.45440126883425858</v>
      </c>
      <c r="T8" s="17">
        <f t="shared" ca="1" si="3"/>
        <v>-9.8713351613583647E-2</v>
      </c>
      <c r="U8" s="17">
        <f t="shared" ca="1" si="3"/>
        <v>0.15005807200929153</v>
      </c>
      <c r="V8" s="56"/>
      <c r="W8" s="56"/>
      <c r="X8" s="56"/>
    </row>
    <row r="9" spans="1:24" x14ac:dyDescent="0.25">
      <c r="A9" t="str">
        <f>IFERROR(INDEX('2019 Data (WP)'!$C$9:$C$73,MATCH($B9,'2019 Data (WP)'!$D$9:$D$73,0)),"")</f>
        <v>Electric Util. (Central)</v>
      </c>
      <c r="B9" t="s">
        <v>3</v>
      </c>
      <c r="C9" t="s">
        <v>80</v>
      </c>
      <c r="D9" s="35">
        <f t="shared" ca="1" si="1"/>
        <v>8</v>
      </c>
      <c r="E9" s="35">
        <f t="shared" ca="1" si="2"/>
        <v>8</v>
      </c>
      <c r="F9" s="35"/>
      <c r="G9" s="17">
        <f t="shared" ca="1" si="4"/>
        <v>0.6201627764127764</v>
      </c>
      <c r="H9" s="17">
        <f t="shared" ca="1" si="4"/>
        <v>0.78949490876096384</v>
      </c>
      <c r="I9" s="17">
        <f t="shared" ca="1" si="3"/>
        <v>0.79899602593599672</v>
      </c>
      <c r="J9" s="17">
        <f t="shared" ca="1" si="3"/>
        <v>0.75207251022438371</v>
      </c>
      <c r="K9" s="17">
        <f t="shared" ca="1" si="3"/>
        <v>0.74985767960833438</v>
      </c>
      <c r="L9" s="17">
        <f t="shared" ca="1" si="3"/>
        <v>0.74910659272951319</v>
      </c>
      <c r="M9" s="17">
        <f t="shared" ca="1" si="3"/>
        <v>0.75306708431218994</v>
      </c>
      <c r="N9" s="17">
        <f t="shared" ca="1" si="3"/>
        <v>0.89401942409269042</v>
      </c>
      <c r="O9" s="17">
        <f t="shared" ca="1" si="3"/>
        <v>1.0705432008749545</v>
      </c>
      <c r="P9" s="17">
        <f t="shared" ca="1" si="3"/>
        <v>1.305043323705843</v>
      </c>
      <c r="Q9" s="17">
        <f t="shared" ca="1" si="3"/>
        <v>1.3568518121381083</v>
      </c>
      <c r="R9" s="17">
        <f t="shared" ca="1" si="3"/>
        <v>0.8059880239520959</v>
      </c>
      <c r="S9" s="17">
        <f t="shared" ca="1" si="3"/>
        <v>0.66068130515083112</v>
      </c>
      <c r="T9" s="17">
        <f t="shared" ca="1" si="3"/>
        <v>0.97239792984473838</v>
      </c>
      <c r="U9" s="17">
        <f t="shared" ca="1" si="3"/>
        <v>1.2056112224448898</v>
      </c>
      <c r="V9" s="56"/>
      <c r="W9" s="56"/>
      <c r="X9" s="56"/>
    </row>
    <row r="10" spans="1:24" x14ac:dyDescent="0.25">
      <c r="A10" t="str">
        <f>IFERROR(INDEX('2019 Data (WP)'!$C$9:$C$73,MATCH($B10,'2019 Data (WP)'!$D$9:$D$73,0)),"")</f>
        <v>Electric Util. (Central)</v>
      </c>
      <c r="B10" t="s">
        <v>2</v>
      </c>
      <c r="C10" t="s">
        <v>103</v>
      </c>
      <c r="D10" s="35">
        <f t="shared" ca="1" si="1"/>
        <v>5</v>
      </c>
      <c r="E10" s="35">
        <f t="shared" ca="1" si="2"/>
        <v>5</v>
      </c>
      <c r="F10" s="35"/>
      <c r="G10" s="17">
        <f t="shared" ca="1" si="4"/>
        <v>0.80861770718666459</v>
      </c>
      <c r="H10" s="17">
        <f t="shared" ca="1" si="4"/>
        <v>0.75241312741312738</v>
      </c>
      <c r="I10" s="17">
        <f t="shared" ca="1" si="3"/>
        <v>0.68024518932340161</v>
      </c>
      <c r="J10" s="17">
        <f t="shared" ca="1" si="3"/>
        <v>0.67413251887672854</v>
      </c>
      <c r="K10" s="17">
        <f t="shared" ca="1" si="3"/>
        <v>0.84817225838758137</v>
      </c>
      <c r="L10" s="17">
        <f t="shared" ca="1" si="3"/>
        <v>0.85172929120409901</v>
      </c>
      <c r="M10" s="17">
        <f t="shared" ca="1" si="3"/>
        <v>0.87229387379087986</v>
      </c>
      <c r="N10" s="17">
        <f t="shared" ca="1" si="3"/>
        <v>0.90613298902517747</v>
      </c>
      <c r="O10" s="17">
        <f t="shared" ca="1" si="3"/>
        <v>1.0730345790044968</v>
      </c>
      <c r="P10" s="17">
        <f t="shared" ca="1" si="3"/>
        <v>1.189198606271777</v>
      </c>
      <c r="Q10" s="17">
        <f t="shared" ca="1" si="3"/>
        <v>1.2420055270430319</v>
      </c>
      <c r="R10" s="17">
        <f t="shared" ca="1" si="3"/>
        <v>1.0205037132709074</v>
      </c>
      <c r="S10" s="17">
        <f t="shared" ca="1" si="3"/>
        <v>0.69535143932458554</v>
      </c>
      <c r="T10" s="17">
        <f t="shared" ca="1" si="3"/>
        <v>0.7654543407273956</v>
      </c>
      <c r="U10" s="17">
        <f t="shared" ca="1" si="3"/>
        <v>0.74971891162581517</v>
      </c>
      <c r="V10" s="56"/>
      <c r="W10" s="56"/>
      <c r="X10" s="56"/>
    </row>
    <row r="11" spans="1:24" x14ac:dyDescent="0.25">
      <c r="A1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35">
        <f t="shared" ca="1" si="1"/>
        <v>10</v>
      </c>
      <c r="E11" s="35">
        <f t="shared" ca="1" si="2"/>
        <v>10</v>
      </c>
      <c r="F11" s="35"/>
      <c r="G11" s="17" t="str">
        <f t="shared" ca="1" si="4"/>
        <v>N/A</v>
      </c>
      <c r="H11" s="17" t="str">
        <f t="shared" ca="1" si="4"/>
        <v>N/A</v>
      </c>
      <c r="I11" s="17">
        <f t="shared" ca="1" si="3"/>
        <v>0.68318965517241381</v>
      </c>
      <c r="J11" s="17">
        <f t="shared" ca="1" si="3"/>
        <v>0.78736059479553899</v>
      </c>
      <c r="K11" s="17">
        <f t="shared" ca="1" si="3"/>
        <v>0.95877721167207042</v>
      </c>
      <c r="L11" s="17">
        <f t="shared" ca="1" si="3"/>
        <v>0.90609874152952574</v>
      </c>
      <c r="M11" s="17">
        <f t="shared" ca="1" si="3"/>
        <v>1.0255434782608694</v>
      </c>
      <c r="N11" s="17">
        <f t="shared" ca="1" si="3"/>
        <v>1.0519630484988454</v>
      </c>
      <c r="O11" s="17">
        <f t="shared" ca="1" si="3"/>
        <v>0.76108870967741937</v>
      </c>
      <c r="P11" s="17">
        <f t="shared" ca="1" si="3"/>
        <v>0.76050420168067223</v>
      </c>
      <c r="Q11" s="17">
        <f t="shared" ca="1" si="3"/>
        <v>0.75026399155227042</v>
      </c>
      <c r="R11" s="17">
        <f t="shared" ca="1" si="3"/>
        <v>0.77316486161251508</v>
      </c>
      <c r="S11" s="17">
        <f t="shared" ca="1" si="3"/>
        <v>0.71898734177215184</v>
      </c>
      <c r="T11" s="17">
        <f t="shared" ca="1" si="3"/>
        <v>0.76890756302521013</v>
      </c>
      <c r="U11" s="17">
        <f t="shared" ca="1" si="3"/>
        <v>0.61472915398660988</v>
      </c>
      <c r="V11" s="56"/>
      <c r="W11" s="56"/>
      <c r="X11" s="56"/>
    </row>
    <row r="12" spans="1:24" x14ac:dyDescent="0.25">
      <c r="A12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35">
        <f t="shared" ca="1" si="1"/>
        <v>12</v>
      </c>
      <c r="E12" s="35">
        <f t="shared" ca="1" si="2"/>
        <v>12</v>
      </c>
      <c r="F12" s="35"/>
      <c r="G12" s="17">
        <f t="shared" ca="1" si="4"/>
        <v>0.52194836444039794</v>
      </c>
      <c r="H12" s="17">
        <f t="shared" ca="1" si="4"/>
        <v>0.53319238900634247</v>
      </c>
      <c r="I12" s="17">
        <f t="shared" ca="1" si="3"/>
        <v>0.54879065888240208</v>
      </c>
      <c r="J12" s="17">
        <f t="shared" ca="1" si="3"/>
        <v>0.61752356069795655</v>
      </c>
      <c r="K12" s="17">
        <f t="shared" ca="1" si="3"/>
        <v>0.5917957544463569</v>
      </c>
      <c r="L12" s="17">
        <f t="shared" ca="1" si="3"/>
        <v>0.60495368924966175</v>
      </c>
      <c r="M12" s="17">
        <f t="shared" ca="1" si="3"/>
        <v>0.6510817307692307</v>
      </c>
      <c r="N12" s="17">
        <f t="shared" ca="1" si="3"/>
        <v>0.55121741928563772</v>
      </c>
      <c r="O12" s="17">
        <f t="shared" ca="1" si="3"/>
        <v>0.58638098756310786</v>
      </c>
      <c r="P12" s="17">
        <f t="shared" ca="1" si="3"/>
        <v>0.68444702130743595</v>
      </c>
      <c r="Q12" s="17">
        <f t="shared" ca="1" si="3"/>
        <v>0.77068793619142573</v>
      </c>
      <c r="R12" s="17">
        <f t="shared" ca="1" si="3"/>
        <v>0.77892824704813812</v>
      </c>
      <c r="S12" s="17">
        <f t="shared" ca="1" si="3"/>
        <v>0.80634615384615371</v>
      </c>
      <c r="T12" s="17">
        <f t="shared" ca="1" si="3"/>
        <v>0.94127020259503758</v>
      </c>
      <c r="U12" s="17">
        <f t="shared" ca="1" si="3"/>
        <v>0.81798962137228526</v>
      </c>
      <c r="V12" s="56"/>
      <c r="W12" s="56"/>
      <c r="X12" s="56"/>
    </row>
    <row r="13" spans="1:24" x14ac:dyDescent="0.25">
      <c r="A13" t="str">
        <f>IFERROR(INDEX('2019 Data (WP)'!$C$9:$C$73,MATCH($B13,'2019 Data (WP)'!$D$9:$D$73,0)),"")</f>
        <v>Electric Utility (East)</v>
      </c>
      <c r="B13" t="s">
        <v>260</v>
      </c>
      <c r="C13" t="s">
        <v>261</v>
      </c>
      <c r="D13" s="35">
        <f t="shared" ca="1" si="1"/>
        <v>13</v>
      </c>
      <c r="E13" s="35">
        <f t="shared" ca="1" si="2"/>
        <v>13</v>
      </c>
      <c r="F13" s="35"/>
      <c r="G13" s="17">
        <f t="shared" ca="1" si="4"/>
        <v>0.56379195376750402</v>
      </c>
      <c r="H13" s="17">
        <f t="shared" ca="1" si="4"/>
        <v>0.6197135446035863</v>
      </c>
      <c r="I13" s="17">
        <f t="shared" ca="1" si="3"/>
        <v>0.84506311602974227</v>
      </c>
      <c r="J13" s="17">
        <f t="shared" ca="1" si="3"/>
        <v>0.57411433687172275</v>
      </c>
      <c r="K13" s="17">
        <f t="shared" ca="1" si="3"/>
        <v>0.85771180304127448</v>
      </c>
      <c r="L13" s="17">
        <f t="shared" ca="1" si="3"/>
        <v>0.88923779617470744</v>
      </c>
      <c r="M13" s="17" t="str">
        <f t="shared" ca="1" si="3"/>
        <v>N/A</v>
      </c>
      <c r="N13" s="17" t="str">
        <f t="shared" ca="1" si="3"/>
        <v>N/A</v>
      </c>
      <c r="O13" s="17" t="str">
        <f t="shared" ca="1" si="3"/>
        <v>N/A</v>
      </c>
      <c r="P13" s="17" t="str">
        <f t="shared" ca="1" si="3"/>
        <v>N/A</v>
      </c>
      <c r="Q13" s="17" t="str">
        <f t="shared" ca="1" si="3"/>
        <v>N/A</v>
      </c>
      <c r="R13" s="17" t="str">
        <f t="shared" ca="1" si="3"/>
        <v>N/A</v>
      </c>
      <c r="S13" s="17" t="str">
        <f t="shared" ca="1" si="3"/>
        <v>N/A</v>
      </c>
      <c r="T13" s="17" t="str">
        <f t="shared" ca="1" si="3"/>
        <v>N/A</v>
      </c>
      <c r="U13" s="17" t="str">
        <f t="shared" ca="1" si="3"/>
        <v>N/A</v>
      </c>
      <c r="V13" s="56"/>
      <c r="W13" s="56"/>
      <c r="X13" s="56"/>
    </row>
    <row r="14" spans="1:24" x14ac:dyDescent="0.25">
      <c r="A14" t="str">
        <f>IFERROR(INDEX('2019 Data (WP)'!$C$9:$C$73,MATCH($B14,'2019 Data (WP)'!$D$9:$D$73,0)),"")</f>
        <v>Electric Utility (West)</v>
      </c>
      <c r="B14" t="s">
        <v>4</v>
      </c>
      <c r="C14" t="s">
        <v>86</v>
      </c>
      <c r="D14" s="35">
        <f t="shared" ca="1" si="1"/>
        <v>14</v>
      </c>
      <c r="E14" s="35">
        <f t="shared" ca="1" si="2"/>
        <v>14</v>
      </c>
      <c r="F14" s="35"/>
      <c r="G14" s="17">
        <f t="shared" ca="1" si="4"/>
        <v>0.88285665353656451</v>
      </c>
      <c r="H14" s="17">
        <f t="shared" ca="1" si="4"/>
        <v>0.92044936997115534</v>
      </c>
      <c r="I14" s="17">
        <f t="shared" ca="1" si="3"/>
        <v>0.77569659442724459</v>
      </c>
      <c r="J14" s="17">
        <f t="shared" ca="1" si="3"/>
        <v>0.77414231257941546</v>
      </c>
      <c r="K14" s="17">
        <f t="shared" ca="1" si="3"/>
        <v>0.83504179151553382</v>
      </c>
      <c r="L14" s="17">
        <f t="shared" ca="1" si="3"/>
        <v>0.76183844011142066</v>
      </c>
      <c r="M14" s="17">
        <f t="shared" ca="1" si="3"/>
        <v>0.79576178297405908</v>
      </c>
      <c r="N14" s="17">
        <f t="shared" ca="1" si="3"/>
        <v>0.86422200198216059</v>
      </c>
      <c r="O14" s="17">
        <f t="shared" ca="1" si="3"/>
        <v>0.80212397052449069</v>
      </c>
      <c r="P14" s="17">
        <f t="shared" ca="1" si="3"/>
        <v>0.89938154138915327</v>
      </c>
      <c r="Q14" s="17">
        <f t="shared" ca="1" si="3"/>
        <v>0.99450851180669964</v>
      </c>
      <c r="R14" s="17">
        <f t="shared" ca="1" si="3"/>
        <v>1.1526697770865733</v>
      </c>
      <c r="S14" s="17">
        <f t="shared" ca="1" si="3"/>
        <v>0.97333007095669211</v>
      </c>
      <c r="T14" s="17">
        <f t="shared" ca="1" si="3"/>
        <v>0.72531551596139565</v>
      </c>
      <c r="U14" s="17">
        <f t="shared" ca="1" si="3"/>
        <v>1.3584605597964376</v>
      </c>
      <c r="V14" s="56"/>
      <c r="W14" s="56"/>
      <c r="X14" s="56"/>
    </row>
    <row r="15" spans="1:24" x14ac:dyDescent="0.25">
      <c r="A15" t="str">
        <f>IFERROR(INDEX('2019 Data (WP)'!$C$9:$C$73,MATCH($B15,'2019 Data (WP)'!$D$9:$D$73,0)),"")</f>
        <v>Electric Utility (West)</v>
      </c>
      <c r="B15" t="s">
        <v>5</v>
      </c>
      <c r="C15" t="s">
        <v>46</v>
      </c>
      <c r="D15" s="35">
        <f t="shared" ca="1" si="1"/>
        <v>15</v>
      </c>
      <c r="E15" s="35">
        <f t="shared" ca="1" si="2"/>
        <v>15</v>
      </c>
      <c r="F15" s="35"/>
      <c r="G15" s="17">
        <f t="shared" ca="1" si="4"/>
        <v>0.60625153424433353</v>
      </c>
      <c r="H15" s="17">
        <f t="shared" ca="1" si="4"/>
        <v>0.52719350961538458</v>
      </c>
      <c r="I15" s="17">
        <f t="shared" ref="I15:U24" ca="1" si="5">IFERROR(INDEX(CashFlow,$D15,I$2)/INDEX(CapSpending,$E15,I$2),"N/A")</f>
        <v>0.86701639344262293</v>
      </c>
      <c r="J15" s="17">
        <f t="shared" ca="1" si="5"/>
        <v>1.1749055674166529</v>
      </c>
      <c r="K15" s="17">
        <f t="shared" ca="1" si="5"/>
        <v>0.70665617270069714</v>
      </c>
      <c r="L15" s="17">
        <f t="shared" ca="1" si="5"/>
        <v>0.63673148252219847</v>
      </c>
      <c r="M15" s="17">
        <f t="shared" ca="1" si="5"/>
        <v>0.70011210762331844</v>
      </c>
      <c r="N15" s="17">
        <f t="shared" ca="1" si="5"/>
        <v>0.74372804816859006</v>
      </c>
      <c r="O15" s="17">
        <f t="shared" ca="1" si="5"/>
        <v>0.70777412003038742</v>
      </c>
      <c r="P15" s="17">
        <f t="shared" ca="1" si="5"/>
        <v>0.39928236818498958</v>
      </c>
      <c r="Q15" s="17">
        <f t="shared" ca="1" si="5"/>
        <v>0.4050843233363795</v>
      </c>
      <c r="R15" s="17">
        <f t="shared" ca="1" si="5"/>
        <v>0.60813391753735535</v>
      </c>
      <c r="S15" s="17">
        <f t="shared" ca="1" si="5"/>
        <v>0.34688124045577351</v>
      </c>
      <c r="T15" s="17">
        <f t="shared" ca="1" si="5"/>
        <v>0.76456977584960228</v>
      </c>
      <c r="U15" s="17">
        <f t="shared" ca="1" si="5"/>
        <v>0.54500216356555609</v>
      </c>
      <c r="V15" s="56"/>
      <c r="W15" s="56"/>
      <c r="X15" s="56"/>
    </row>
    <row r="16" spans="1:24" x14ac:dyDescent="0.25">
      <c r="A16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35">
        <f t="shared" ca="1" si="1"/>
        <v>16</v>
      </c>
      <c r="E16" s="35">
        <f t="shared" ca="1" si="2"/>
        <v>16</v>
      </c>
      <c r="F16" s="35"/>
      <c r="G16" s="17">
        <f t="shared" ca="1" si="4"/>
        <v>0.65413787291420866</v>
      </c>
      <c r="H16" s="17">
        <f t="shared" ca="1" si="4"/>
        <v>0.55646162028009216</v>
      </c>
      <c r="I16" s="17">
        <f t="shared" ca="1" si="5"/>
        <v>0.54979656819387945</v>
      </c>
      <c r="J16" s="17">
        <f t="shared" ca="1" si="5"/>
        <v>0.55547323578440455</v>
      </c>
      <c r="K16" s="17">
        <f t="shared" ca="1" si="5"/>
        <v>0.49046721139744404</v>
      </c>
      <c r="L16" s="17">
        <f t="shared" ca="1" si="5"/>
        <v>0.60097455332972394</v>
      </c>
      <c r="M16" s="17">
        <f t="shared" ca="1" si="5"/>
        <v>0.89351684172401302</v>
      </c>
      <c r="N16" s="17">
        <f t="shared" ca="1" si="5"/>
        <v>0.858307453416149</v>
      </c>
      <c r="O16" s="17">
        <f t="shared" ca="1" si="5"/>
        <v>0.76224926011180538</v>
      </c>
      <c r="P16" s="17">
        <f t="shared" ca="1" si="5"/>
        <v>0.72996823155665369</v>
      </c>
      <c r="Q16" s="17">
        <f t="shared" ca="1" si="5"/>
        <v>0.64963012777404161</v>
      </c>
      <c r="R16" s="17">
        <f t="shared" ca="1" si="5"/>
        <v>0.7262485918137439</v>
      </c>
      <c r="S16" s="17">
        <f t="shared" ca="1" si="5"/>
        <v>0.77187888842803809</v>
      </c>
      <c r="T16" s="17">
        <f t="shared" ca="1" si="5"/>
        <v>0.84937466014138119</v>
      </c>
      <c r="U16" s="17">
        <f t="shared" ca="1" si="5"/>
        <v>0.63440860215053774</v>
      </c>
      <c r="V16" s="56"/>
      <c r="W16" s="56"/>
      <c r="X16" s="56"/>
    </row>
    <row r="17" spans="1:24" x14ac:dyDescent="0.25">
      <c r="A17" t="str">
        <f>IFERROR(INDEX('2019 Data (WP)'!$C$9:$C$73,MATCH($B17,'2019 Data (WP)'!$D$9:$D$73,0)),"")</f>
        <v>Electric Util. (Central)</v>
      </c>
      <c r="B17" t="s">
        <v>6</v>
      </c>
      <c r="C17" t="s">
        <v>90</v>
      </c>
      <c r="D17" s="35">
        <f t="shared" ca="1" si="1"/>
        <v>17</v>
      </c>
      <c r="E17" s="35">
        <f t="shared" ca="1" si="2"/>
        <v>17</v>
      </c>
      <c r="F17" s="35"/>
      <c r="G17" s="17">
        <f t="shared" ca="1" si="4"/>
        <v>0.73428207306711979</v>
      </c>
      <c r="H17" s="17">
        <f t="shared" ca="1" si="4"/>
        <v>0.82605210420841679</v>
      </c>
      <c r="I17" s="17">
        <f t="shared" ca="1" si="5"/>
        <v>0.98360655737704927</v>
      </c>
      <c r="J17" s="17">
        <f t="shared" ca="1" si="5"/>
        <v>1.2194679564691657</v>
      </c>
      <c r="K17" s="17">
        <f t="shared" ca="1" si="5"/>
        <v>1.1203167834297898</v>
      </c>
      <c r="L17" s="17">
        <f t="shared" ca="1" si="5"/>
        <v>0.92290988056460366</v>
      </c>
      <c r="M17" s="17">
        <f t="shared" ca="1" si="5"/>
        <v>1.2041901188242652</v>
      </c>
      <c r="N17" s="17">
        <f t="shared" ca="1" si="5"/>
        <v>1.1817878585723816</v>
      </c>
      <c r="O17" s="17">
        <f t="shared" ca="1" si="5"/>
        <v>1.3724867724867724</v>
      </c>
      <c r="P17" s="17">
        <f t="shared" ca="1" si="5"/>
        <v>1.1223021582733814</v>
      </c>
      <c r="Q17" s="17">
        <f t="shared" ca="1" si="5"/>
        <v>0.88347875035181533</v>
      </c>
      <c r="R17" s="17">
        <f t="shared" ca="1" si="5"/>
        <v>0.99324552516041875</v>
      </c>
      <c r="S17" s="17">
        <f t="shared" ca="1" si="5"/>
        <v>1.1598235493722431</v>
      </c>
      <c r="T17" s="17">
        <f t="shared" ca="1" si="5"/>
        <v>0.98290845886442635</v>
      </c>
      <c r="U17" s="17">
        <f t="shared" ca="1" si="5"/>
        <v>1.0794145126128933</v>
      </c>
      <c r="V17" s="56"/>
      <c r="W17" s="56"/>
      <c r="X17" s="56"/>
    </row>
    <row r="18" spans="1:24" x14ac:dyDescent="0.25">
      <c r="A18" t="str">
        <f>IFERROR(INDEX('2019 Data (WP)'!$C$9:$C$73,MATCH($B18,'2019 Data (WP)'!$D$9:$D$73,0)),"")</f>
        <v/>
      </c>
      <c r="B18" t="s">
        <v>7</v>
      </c>
      <c r="C18" t="s">
        <v>48</v>
      </c>
      <c r="D18" s="35" t="e">
        <f t="shared" ca="1" si="1"/>
        <v>#N/A</v>
      </c>
      <c r="E18" s="35" t="e">
        <f t="shared" ca="1" si="2"/>
        <v>#N/A</v>
      </c>
      <c r="F18" s="35"/>
      <c r="G18" s="17" t="str">
        <f t="shared" ca="1" si="4"/>
        <v>N/A</v>
      </c>
      <c r="H18" s="17" t="str">
        <f t="shared" ca="1" si="4"/>
        <v>N/A</v>
      </c>
      <c r="I18" s="17" t="str">
        <f t="shared" ca="1" si="5"/>
        <v>N/A</v>
      </c>
      <c r="J18" s="17" t="str">
        <f t="shared" ca="1" si="5"/>
        <v>N/A</v>
      </c>
      <c r="K18" s="17" t="str">
        <f t="shared" ca="1" si="5"/>
        <v>N/A</v>
      </c>
      <c r="L18" s="17" t="str">
        <f t="shared" ca="1" si="5"/>
        <v>N/A</v>
      </c>
      <c r="M18" s="17" t="str">
        <f t="shared" ca="1" si="5"/>
        <v>N/A</v>
      </c>
      <c r="N18" s="17" t="str">
        <f t="shared" ca="1" si="5"/>
        <v>N/A</v>
      </c>
      <c r="O18" s="17" t="str">
        <f t="shared" ca="1" si="5"/>
        <v>N/A</v>
      </c>
      <c r="P18" s="17" t="str">
        <f t="shared" ca="1" si="5"/>
        <v>N/A</v>
      </c>
      <c r="Q18" s="17" t="str">
        <f t="shared" ca="1" si="5"/>
        <v>N/A</v>
      </c>
      <c r="R18" s="17" t="str">
        <f t="shared" ca="1" si="5"/>
        <v>N/A</v>
      </c>
      <c r="S18" s="17" t="str">
        <f t="shared" ca="1" si="5"/>
        <v>N/A</v>
      </c>
      <c r="T18" s="17" t="str">
        <f t="shared" ca="1" si="5"/>
        <v>N/A</v>
      </c>
      <c r="U18" s="17" t="str">
        <f t="shared" ca="1" si="5"/>
        <v>N/A</v>
      </c>
      <c r="V18" s="56"/>
      <c r="W18" s="56"/>
      <c r="X18" s="56"/>
    </row>
    <row r="19" spans="1:24" x14ac:dyDescent="0.25">
      <c r="A19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35">
        <f t="shared" ca="1" si="1"/>
        <v>18</v>
      </c>
      <c r="E19" s="35">
        <f t="shared" ca="1" si="2"/>
        <v>18</v>
      </c>
      <c r="F19" s="35"/>
      <c r="G19" s="17">
        <f t="shared" ca="1" si="4"/>
        <v>0.77801223886895965</v>
      </c>
      <c r="H19" s="17">
        <f t="shared" ca="1" si="4"/>
        <v>0.57685818310984827</v>
      </c>
      <c r="I19" s="17">
        <f t="shared" ca="1" si="5"/>
        <v>0.39262946997753623</v>
      </c>
      <c r="J19" s="17">
        <f t="shared" ca="1" si="5"/>
        <v>0.50498741493427801</v>
      </c>
      <c r="K19" s="17">
        <f t="shared" ca="1" si="5"/>
        <v>0.4955369997120645</v>
      </c>
      <c r="L19" s="17">
        <f t="shared" ca="1" si="5"/>
        <v>0.53347412882787748</v>
      </c>
      <c r="M19" s="17">
        <f t="shared" ca="1" si="5"/>
        <v>0.71006006006006006</v>
      </c>
      <c r="N19" s="17">
        <f t="shared" ca="1" si="5"/>
        <v>0.64736528728788334</v>
      </c>
      <c r="O19" s="17">
        <f t="shared" ca="1" si="5"/>
        <v>0.79048380647740912</v>
      </c>
      <c r="P19" s="17">
        <f t="shared" ca="1" si="5"/>
        <v>1.1244661378889567</v>
      </c>
      <c r="Q19" s="17">
        <f t="shared" ca="1" si="5"/>
        <v>1.0997168921044354</v>
      </c>
      <c r="R19" s="17">
        <f t="shared" ca="1" si="5"/>
        <v>1.1377118644067798</v>
      </c>
      <c r="S19" s="17">
        <f t="shared" ca="1" si="5"/>
        <v>0.83250083250083251</v>
      </c>
      <c r="T19" s="17">
        <f t="shared" ca="1" si="5"/>
        <v>0.81897952551186226</v>
      </c>
      <c r="U19" s="17">
        <f t="shared" ca="1" si="5"/>
        <v>0.44731977818853974</v>
      </c>
      <c r="V19" s="57"/>
      <c r="W19" s="57"/>
      <c r="X19" s="57"/>
    </row>
    <row r="20" spans="1:24" x14ac:dyDescent="0.25">
      <c r="A20" t="str">
        <f>IFERROR(INDEX('2019 Data (WP)'!$C$9:$C$73,MATCH($B20,'2019 Data (WP)'!$D$9:$D$73,0)),"")</f>
        <v/>
      </c>
      <c r="B20" t="s">
        <v>8</v>
      </c>
      <c r="C20" t="s">
        <v>49</v>
      </c>
      <c r="D20" s="35" t="e">
        <f t="shared" ca="1" si="1"/>
        <v>#N/A</v>
      </c>
      <c r="E20" s="35" t="e">
        <f t="shared" ca="1" si="2"/>
        <v>#N/A</v>
      </c>
      <c r="F20" s="35"/>
      <c r="G20" s="17" t="str">
        <f t="shared" ca="1" si="4"/>
        <v>N/A</v>
      </c>
      <c r="H20" s="17" t="str">
        <f t="shared" ca="1" si="4"/>
        <v>N/A</v>
      </c>
      <c r="I20" s="17" t="str">
        <f t="shared" ca="1" si="5"/>
        <v>N/A</v>
      </c>
      <c r="J20" s="17" t="str">
        <f t="shared" ca="1" si="5"/>
        <v>N/A</v>
      </c>
      <c r="K20" s="17" t="str">
        <f t="shared" ca="1" si="5"/>
        <v>N/A</v>
      </c>
      <c r="L20" s="17" t="str">
        <f t="shared" ca="1" si="5"/>
        <v>N/A</v>
      </c>
      <c r="M20" s="17" t="str">
        <f t="shared" ca="1" si="5"/>
        <v>N/A</v>
      </c>
      <c r="N20" s="17" t="str">
        <f t="shared" ca="1" si="5"/>
        <v>N/A</v>
      </c>
      <c r="O20" s="17" t="str">
        <f t="shared" ca="1" si="5"/>
        <v>N/A</v>
      </c>
      <c r="P20" s="17" t="str">
        <f t="shared" ca="1" si="5"/>
        <v>N/A</v>
      </c>
      <c r="Q20" s="17" t="str">
        <f t="shared" ca="1" si="5"/>
        <v>N/A</v>
      </c>
      <c r="R20" s="17" t="str">
        <f t="shared" ca="1" si="5"/>
        <v>N/A</v>
      </c>
      <c r="S20" s="17" t="str">
        <f t="shared" ca="1" si="5"/>
        <v>N/A</v>
      </c>
      <c r="T20" s="17" t="str">
        <f t="shared" ca="1" si="5"/>
        <v>N/A</v>
      </c>
      <c r="U20" s="17" t="str">
        <f t="shared" ca="1" si="5"/>
        <v>N/A</v>
      </c>
      <c r="V20" s="56"/>
      <c r="W20" s="56"/>
      <c r="X20" s="56"/>
    </row>
    <row r="21" spans="1:24" x14ac:dyDescent="0.25">
      <c r="A21" t="str">
        <f>IFERROR(INDEX('2019 Data (WP)'!$C$9:$C$73,MATCH($B21,'2019 Data (WP)'!$D$9:$D$73,0)),"")</f>
        <v>Electric Util. (Central)</v>
      </c>
      <c r="B21" t="s">
        <v>9</v>
      </c>
      <c r="C21" t="s">
        <v>47</v>
      </c>
      <c r="D21" s="35">
        <f t="shared" ca="1" si="1"/>
        <v>19</v>
      </c>
      <c r="E21" s="35">
        <f t="shared" ca="1" si="2"/>
        <v>19</v>
      </c>
      <c r="F21" s="35"/>
      <c r="G21" s="17">
        <f t="shared" ca="1" si="4"/>
        <v>0.77815188926300038</v>
      </c>
      <c r="H21" s="17">
        <f t="shared" ca="1" si="4"/>
        <v>0.79465731246627092</v>
      </c>
      <c r="I21" s="17">
        <f t="shared" ca="1" si="5"/>
        <v>0.76663478617297443</v>
      </c>
      <c r="J21" s="17">
        <f t="shared" ca="1" si="5"/>
        <v>0.89428281461434367</v>
      </c>
      <c r="K21" s="17">
        <f t="shared" ca="1" si="5"/>
        <v>0.81462925851703405</v>
      </c>
      <c r="L21" s="17">
        <f t="shared" ca="1" si="5"/>
        <v>0.81392876129718239</v>
      </c>
      <c r="M21" s="17">
        <f t="shared" ca="1" si="5"/>
        <v>0.73682373472949392</v>
      </c>
      <c r="N21" s="17">
        <f t="shared" ca="1" si="5"/>
        <v>0.81522394055031133</v>
      </c>
      <c r="O21" s="17">
        <f t="shared" ca="1" si="5"/>
        <v>0.8224278949634094</v>
      </c>
      <c r="P21" s="17">
        <f t="shared" ca="1" si="5"/>
        <v>1.052146355517142</v>
      </c>
      <c r="Q21" s="17">
        <f t="shared" ca="1" si="5"/>
        <v>1.1255700820918211</v>
      </c>
      <c r="R21" s="17">
        <f t="shared" ca="1" si="5"/>
        <v>0.96600724435775986</v>
      </c>
      <c r="S21" s="17">
        <f t="shared" ca="1" si="5"/>
        <v>1.1086335048599198</v>
      </c>
      <c r="T21" s="17">
        <f t="shared" ca="1" si="5"/>
        <v>0.54937611408199638</v>
      </c>
      <c r="U21" s="17">
        <f t="shared" ca="1" si="5"/>
        <v>1.0718323910874625</v>
      </c>
      <c r="V21" s="56"/>
      <c r="W21" s="56"/>
      <c r="X21" s="56"/>
    </row>
    <row r="22" spans="1:24" x14ac:dyDescent="0.25">
      <c r="A22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35">
        <f t="shared" ca="1" si="1"/>
        <v>20</v>
      </c>
      <c r="E22" s="35">
        <f t="shared" ca="1" si="2"/>
        <v>20</v>
      </c>
      <c r="F22" s="35"/>
      <c r="G22" s="17" t="str">
        <f t="shared" ca="1" si="4"/>
        <v>N/A</v>
      </c>
      <c r="H22" s="17" t="str">
        <f t="shared" ca="1" si="4"/>
        <v>N/A</v>
      </c>
      <c r="I22" s="17">
        <f t="shared" ca="1" si="5"/>
        <v>0.6203762418093427</v>
      </c>
      <c r="J22" s="17">
        <f t="shared" ca="1" si="5"/>
        <v>0.77178612059158136</v>
      </c>
      <c r="K22" s="17">
        <f t="shared" ca="1" si="5"/>
        <v>0.55861022094788326</v>
      </c>
      <c r="L22" s="17">
        <f t="shared" ca="1" si="5"/>
        <v>0.74108599394080632</v>
      </c>
      <c r="M22" s="17">
        <f t="shared" ca="1" si="5"/>
        <v>0.72399512789281351</v>
      </c>
      <c r="N22" s="17">
        <f t="shared" ca="1" si="5"/>
        <v>0.87139542591978791</v>
      </c>
      <c r="O22" s="17">
        <f t="shared" ca="1" si="5"/>
        <v>0.94867193108399128</v>
      </c>
      <c r="P22" s="17">
        <f t="shared" ca="1" si="5"/>
        <v>0.80620451934124848</v>
      </c>
      <c r="Q22" s="17">
        <f t="shared" ca="1" si="5"/>
        <v>0.66699378475629711</v>
      </c>
      <c r="R22" s="17">
        <f t="shared" ca="1" si="5"/>
        <v>0.58950899664531875</v>
      </c>
      <c r="S22" s="17">
        <f t="shared" ca="1" si="5"/>
        <v>0.79885057471264365</v>
      </c>
      <c r="T22" s="17">
        <f t="shared" ca="1" si="5"/>
        <v>0.84852546916890081</v>
      </c>
      <c r="U22" s="17">
        <f t="shared" ca="1" si="5"/>
        <v>0.77488514548238896</v>
      </c>
      <c r="V22" s="56"/>
      <c r="W22" s="56"/>
      <c r="X22" s="56"/>
    </row>
    <row r="23" spans="1:24" x14ac:dyDescent="0.25">
      <c r="A23" t="str">
        <f>IFERROR(INDEX('2019 Data (WP)'!$C$9:$C$73,MATCH($B23,'2019 Data (WP)'!$D$9:$D$73,0)),"")</f>
        <v>Electric Utility (East)</v>
      </c>
      <c r="B23" t="s">
        <v>10</v>
      </c>
      <c r="C23" t="s">
        <v>50</v>
      </c>
      <c r="D23" s="35">
        <f t="shared" ca="1" si="1"/>
        <v>21</v>
      </c>
      <c r="E23" s="35">
        <f t="shared" ca="1" si="2"/>
        <v>21</v>
      </c>
      <c r="F23" s="35"/>
      <c r="G23" s="17">
        <f t="shared" ca="1" si="4"/>
        <v>0.82985989492119094</v>
      </c>
      <c r="H23" s="17">
        <f t="shared" ca="1" si="4"/>
        <v>0.86832061068702282</v>
      </c>
      <c r="I23" s="17">
        <f t="shared" ca="1" si="5"/>
        <v>0.81843216449421707</v>
      </c>
      <c r="J23" s="17">
        <f t="shared" ca="1" si="5"/>
        <v>0.7572483342337476</v>
      </c>
      <c r="K23" s="17">
        <f t="shared" ca="1" si="5"/>
        <v>0.65348914304657713</v>
      </c>
      <c r="L23" s="17">
        <f t="shared" ca="1" si="5"/>
        <v>0.76062553967187951</v>
      </c>
      <c r="M23" s="17">
        <f t="shared" ca="1" si="5"/>
        <v>0.88352100738588202</v>
      </c>
      <c r="N23" s="17">
        <f t="shared" ca="1" si="5"/>
        <v>0.85933533348719127</v>
      </c>
      <c r="O23" s="17">
        <f t="shared" ca="1" si="5"/>
        <v>1.0114649681528662</v>
      </c>
      <c r="P23" s="17">
        <f t="shared" ca="1" si="5"/>
        <v>0.98377010125074449</v>
      </c>
      <c r="Q23" s="17">
        <f t="shared" ca="1" si="5"/>
        <v>0.89752802529462483</v>
      </c>
      <c r="R23" s="17">
        <f t="shared" ca="1" si="5"/>
        <v>0.75144212280476863</v>
      </c>
      <c r="S23" s="17">
        <f t="shared" ca="1" si="5"/>
        <v>0.70463638503177228</v>
      </c>
      <c r="T23" s="17">
        <f t="shared" ca="1" si="5"/>
        <v>0.81433408577878108</v>
      </c>
      <c r="U23" s="17">
        <f t="shared" ca="1" si="5"/>
        <v>0.73585168664622247</v>
      </c>
      <c r="V23" s="56"/>
      <c r="W23" s="56"/>
      <c r="X23" s="56"/>
    </row>
    <row r="24" spans="1:24" x14ac:dyDescent="0.25">
      <c r="A24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35">
        <f t="shared" ca="1" si="1"/>
        <v>22</v>
      </c>
      <c r="E24" s="35">
        <f t="shared" ca="1" si="2"/>
        <v>22</v>
      </c>
      <c r="F24" s="35"/>
      <c r="G24" s="17">
        <f t="shared" ca="1" si="4"/>
        <v>9.2719298245614024</v>
      </c>
      <c r="H24" s="17">
        <f t="shared" ca="1" si="4"/>
        <v>4.4743589743589736</v>
      </c>
      <c r="I24" s="17">
        <f t="shared" ca="1" si="5"/>
        <v>1.0629047178538391</v>
      </c>
      <c r="J24" s="17">
        <f t="shared" ca="1" si="5"/>
        <v>3.6384364820846904</v>
      </c>
      <c r="K24" s="17">
        <f t="shared" ca="1" si="5"/>
        <v>4.0944206008583688</v>
      </c>
      <c r="L24" s="17">
        <f t="shared" ca="1" si="5"/>
        <v>4.2227488151658772</v>
      </c>
      <c r="M24" s="17">
        <f t="shared" ca="1" si="5"/>
        <v>2.4922118380062308</v>
      </c>
      <c r="N24" s="17">
        <f t="shared" ca="1" si="5"/>
        <v>3.2551020408163267</v>
      </c>
      <c r="O24" s="17">
        <f t="shared" ca="1" si="5"/>
        <v>3.7284345047923324</v>
      </c>
      <c r="P24" s="17">
        <f t="shared" ca="1" si="5"/>
        <v>0.86743215031315235</v>
      </c>
      <c r="Q24" s="17">
        <f t="shared" ca="1" si="5"/>
        <v>9.931034482758621</v>
      </c>
      <c r="R24" s="17">
        <f t="shared" ca="1" si="5"/>
        <v>6.7045454545454541</v>
      </c>
      <c r="S24" s="17">
        <f t="shared" ca="1" si="5"/>
        <v>2.0765864332603936</v>
      </c>
      <c r="T24" s="17">
        <f t="shared" ca="1" si="5"/>
        <v>2.2300556586270868</v>
      </c>
      <c r="U24" s="17">
        <f t="shared" ca="1" si="5"/>
        <v>0.47489082969432311</v>
      </c>
      <c r="V24" s="56"/>
      <c r="W24" s="56"/>
      <c r="X24" s="56"/>
    </row>
    <row r="25" spans="1:24" x14ac:dyDescent="0.25">
      <c r="A25" t="str">
        <f>IFERROR(INDEX('2019 Data (WP)'!$C$9:$C$73,MATCH($B25,'2019 Data (WP)'!$D$9:$D$73,0)),"")</f>
        <v>Electric Utility (East)</v>
      </c>
      <c r="B25" t="s">
        <v>11</v>
      </c>
      <c r="C25" t="s">
        <v>52</v>
      </c>
      <c r="D25" s="35">
        <f t="shared" ca="1" si="1"/>
        <v>24</v>
      </c>
      <c r="E25" s="35">
        <f t="shared" ca="1" si="2"/>
        <v>24</v>
      </c>
      <c r="F25" s="35"/>
      <c r="G25" s="17">
        <f t="shared" ca="1" si="4"/>
        <v>0.73410095059579583</v>
      </c>
      <c r="H25" s="17">
        <f t="shared" ca="1" si="4"/>
        <v>0.96348645465253246</v>
      </c>
      <c r="I25" s="17">
        <f t="shared" ref="I25:U34" ca="1" si="6">IFERROR(INDEX(CashFlow,$D25,I$2)/INDEX(CapSpending,$E25,I$2),"N/A")</f>
        <v>1.0366517285531369</v>
      </c>
      <c r="J25" s="17">
        <f t="shared" ca="1" si="6"/>
        <v>0.80770582035367144</v>
      </c>
      <c r="K25" s="17">
        <f t="shared" ca="1" si="6"/>
        <v>0.65273909006499542</v>
      </c>
      <c r="L25" s="17">
        <f t="shared" ca="1" si="6"/>
        <v>0.6400684565194138</v>
      </c>
      <c r="M25" s="17">
        <f t="shared" ca="1" si="6"/>
        <v>0.62527376259307932</v>
      </c>
      <c r="N25" s="17">
        <f t="shared" ca="1" si="6"/>
        <v>0.77458203457069985</v>
      </c>
      <c r="O25" s="17">
        <f t="shared" ca="1" si="6"/>
        <v>0.72883947185545517</v>
      </c>
      <c r="P25" s="17">
        <f t="shared" ca="1" si="6"/>
        <v>0.78705148205928233</v>
      </c>
      <c r="Q25" s="17">
        <f t="shared" ca="1" si="6"/>
        <v>0.86642905634758993</v>
      </c>
      <c r="R25" s="17">
        <f t="shared" ca="1" si="6"/>
        <v>0.75238244024371193</v>
      </c>
      <c r="S25" s="17">
        <f t="shared" ca="1" si="6"/>
        <v>0.83147358057105347</v>
      </c>
      <c r="T25" s="17">
        <f t="shared" ca="1" si="6"/>
        <v>0.73787394713912291</v>
      </c>
      <c r="U25" s="17">
        <f t="shared" ca="1" si="6"/>
        <v>0.84582256675279943</v>
      </c>
      <c r="V25" s="56"/>
      <c r="W25" s="56"/>
      <c r="X25" s="56"/>
    </row>
    <row r="26" spans="1:24" x14ac:dyDescent="0.25">
      <c r="A26" t="str">
        <f>IFERROR(INDEX('2019 Data (WP)'!$C$9:$C$73,MATCH($B26,'2019 Data (WP)'!$D$9:$D$73,0)),"")</f>
        <v>Electric Util. (Central)</v>
      </c>
      <c r="B26" t="s">
        <v>12</v>
      </c>
      <c r="C26" t="s">
        <v>51</v>
      </c>
      <c r="D26" s="35">
        <f t="shared" ca="1" si="1"/>
        <v>25</v>
      </c>
      <c r="E26" s="35">
        <f t="shared" ca="1" si="2"/>
        <v>25</v>
      </c>
      <c r="F26" s="35"/>
      <c r="G26" s="17">
        <f t="shared" ref="G26:H45" ca="1" si="7">IFERROR(INDEX(CashFlow,$D26,G$2)/INDEX(CapSpending,$E26,G$2),"N/A")</f>
        <v>0.73840743531775932</v>
      </c>
      <c r="H26" s="17">
        <f t="shared" ca="1" si="7"/>
        <v>0.83151616213442792</v>
      </c>
      <c r="I26" s="17">
        <f t="shared" ca="1" si="6"/>
        <v>0.84369342184671092</v>
      </c>
      <c r="J26" s="17">
        <f t="shared" ca="1" si="6"/>
        <v>0.93861117754923062</v>
      </c>
      <c r="K26" s="17">
        <f t="shared" ca="1" si="6"/>
        <v>0.93006931648679469</v>
      </c>
      <c r="L26" s="17">
        <f t="shared" ca="1" si="6"/>
        <v>0.83864948911594839</v>
      </c>
      <c r="M26" s="17">
        <f t="shared" ca="1" si="6"/>
        <v>1.023926751317267</v>
      </c>
      <c r="N26" s="17">
        <f t="shared" ca="1" si="6"/>
        <v>0.9557296582971494</v>
      </c>
      <c r="O26" s="17">
        <f t="shared" ca="1" si="6"/>
        <v>0.92528409090909092</v>
      </c>
      <c r="P26" s="17">
        <f t="shared" ca="1" si="6"/>
        <v>1.0910127737226278</v>
      </c>
      <c r="Q26" s="17">
        <f t="shared" ca="1" si="6"/>
        <v>1.5076306459071989</v>
      </c>
      <c r="R26" s="17">
        <f t="shared" ca="1" si="6"/>
        <v>1.4993608181527642</v>
      </c>
      <c r="S26" s="17">
        <f t="shared" ca="1" si="6"/>
        <v>0.98040845404891941</v>
      </c>
      <c r="T26" s="17">
        <f t="shared" ca="1" si="6"/>
        <v>1.0662226690123147</v>
      </c>
      <c r="U26" s="17">
        <f t="shared" ca="1" si="6"/>
        <v>1.0342171717171718</v>
      </c>
      <c r="V26" s="56"/>
      <c r="W26" s="56"/>
      <c r="X26" s="56"/>
    </row>
    <row r="27" spans="1:24" x14ac:dyDescent="0.25">
      <c r="A27" t="str">
        <f>IFERROR(INDEX('2019 Data (WP)'!$C$9:$C$73,MATCH($B27,'2019 Data (WP)'!$D$9:$D$73,0)),"")</f>
        <v>Electric Utility (East)</v>
      </c>
      <c r="B27" t="s">
        <v>13</v>
      </c>
      <c r="C27" t="s">
        <v>93</v>
      </c>
      <c r="D27" s="35">
        <f t="shared" ca="1" si="1"/>
        <v>26</v>
      </c>
      <c r="E27" s="35">
        <f t="shared" ca="1" si="2"/>
        <v>26</v>
      </c>
      <c r="F27" s="35"/>
      <c r="G27" s="17">
        <f t="shared" ca="1" si="7"/>
        <v>0.84537762943413808</v>
      </c>
      <c r="H27" s="17">
        <f t="shared" ca="1" si="7"/>
        <v>0.7993145719369934</v>
      </c>
      <c r="I27" s="17">
        <f t="shared" ca="1" si="6"/>
        <v>0.81200154858691453</v>
      </c>
      <c r="J27" s="17">
        <f t="shared" ca="1" si="6"/>
        <v>0.87046857341563066</v>
      </c>
      <c r="K27" s="17">
        <f t="shared" ca="1" si="6"/>
        <v>0.81509701426419767</v>
      </c>
      <c r="L27" s="17">
        <f t="shared" ca="1" si="6"/>
        <v>0.95586739882041905</v>
      </c>
      <c r="M27" s="17">
        <f t="shared" ca="1" si="6"/>
        <v>1.196323046618516</v>
      </c>
      <c r="N27" s="17">
        <f t="shared" ca="1" si="6"/>
        <v>1.0933946595119459</v>
      </c>
      <c r="O27" s="17">
        <f t="shared" ca="1" si="6"/>
        <v>0.86997696442283079</v>
      </c>
      <c r="P27" s="17">
        <f t="shared" ca="1" si="6"/>
        <v>0.8858950806286997</v>
      </c>
      <c r="Q27" s="17">
        <f t="shared" ca="1" si="6"/>
        <v>0.78262473485197825</v>
      </c>
      <c r="R27" s="17">
        <f t="shared" ca="1" si="6"/>
        <v>0.76977759723773742</v>
      </c>
      <c r="S27" s="17">
        <f t="shared" ca="1" si="6"/>
        <v>0.70981150314161423</v>
      </c>
      <c r="T27" s="17">
        <f t="shared" ca="1" si="6"/>
        <v>1.0912639655404495</v>
      </c>
      <c r="U27" s="17">
        <f t="shared" ca="1" si="6"/>
        <v>0.97459727385377937</v>
      </c>
      <c r="V27" s="56"/>
      <c r="W27" s="56"/>
      <c r="X27" s="56"/>
    </row>
    <row r="28" spans="1:24" x14ac:dyDescent="0.25">
      <c r="A28" t="str">
        <f>IFERROR(INDEX('2019 Data (WP)'!$C$9:$C$73,MATCH($B28,'2019 Data (WP)'!$D$9:$D$73,0)),"")</f>
        <v>Electric Utility (West)</v>
      </c>
      <c r="B28" t="s">
        <v>14</v>
      </c>
      <c r="C28" t="s">
        <v>53</v>
      </c>
      <c r="D28" s="35">
        <f t="shared" ca="1" si="1"/>
        <v>27</v>
      </c>
      <c r="E28" s="35">
        <f t="shared" ca="1" si="2"/>
        <v>27</v>
      </c>
      <c r="F28" s="35"/>
      <c r="G28" s="17">
        <f t="shared" ca="1" si="7"/>
        <v>0.54853865819111447</v>
      </c>
      <c r="H28" s="17">
        <f t="shared" ca="1" si="7"/>
        <v>0.67891338232019594</v>
      </c>
      <c r="I28" s="17">
        <f t="shared" ca="1" si="6"/>
        <v>0.33911409783943924</v>
      </c>
      <c r="J28" s="17">
        <f t="shared" ca="1" si="6"/>
        <v>0.93888841603540729</v>
      </c>
      <c r="K28" s="17">
        <f t="shared" ca="1" si="6"/>
        <v>0.90969374400139602</v>
      </c>
      <c r="L28" s="17">
        <f t="shared" ca="1" si="6"/>
        <v>0.79811844540407151</v>
      </c>
      <c r="M28" s="17">
        <f t="shared" ca="1" si="6"/>
        <v>0.83001084327300023</v>
      </c>
      <c r="N28" s="17">
        <f t="shared" ca="1" si="6"/>
        <v>0.79639688575049805</v>
      </c>
      <c r="O28" s="17">
        <f t="shared" ca="1" si="6"/>
        <v>0.75608606879220985</v>
      </c>
      <c r="P28" s="17">
        <f t="shared" ca="1" si="6"/>
        <v>0.61191299044521241</v>
      </c>
      <c r="Q28" s="17">
        <f t="shared" ca="1" si="6"/>
        <v>0.60334193918531265</v>
      </c>
      <c r="R28" s="17">
        <f t="shared" ca="1" si="6"/>
        <v>0.79072768787848702</v>
      </c>
      <c r="S28" s="17">
        <f t="shared" ca="1" si="6"/>
        <v>0.9326257498846332</v>
      </c>
      <c r="T28" s="17">
        <f t="shared" ca="1" si="6"/>
        <v>0.87572054415494582</v>
      </c>
      <c r="U28" s="17">
        <f t="shared" ca="1" si="6"/>
        <v>0.93178314491264136</v>
      </c>
      <c r="V28" s="56"/>
      <c r="W28" s="56"/>
      <c r="X28" s="56"/>
    </row>
    <row r="29" spans="1:24" x14ac:dyDescent="0.25">
      <c r="A29" t="str">
        <f>IFERROR(INDEX('2019 Data (WP)'!$C$9:$C$73,MATCH($B29,'2019 Data (WP)'!$D$9:$D$73,0)),"")</f>
        <v>Electric Utility (West)</v>
      </c>
      <c r="B29" t="s">
        <v>15</v>
      </c>
      <c r="C29" t="s">
        <v>88</v>
      </c>
      <c r="D29" s="35">
        <f t="shared" ca="1" si="1"/>
        <v>28</v>
      </c>
      <c r="E29" s="35">
        <f t="shared" ca="1" si="2"/>
        <v>28</v>
      </c>
      <c r="F29" s="35"/>
      <c r="G29" s="17" t="str">
        <f t="shared" ca="1" si="7"/>
        <v>N/A</v>
      </c>
      <c r="H29" s="17" t="str">
        <f t="shared" ca="1" si="7"/>
        <v>N/A</v>
      </c>
      <c r="I29" s="17">
        <f t="shared" ca="1" si="6"/>
        <v>0.8610258658483122</v>
      </c>
      <c r="J29" s="17">
        <f t="shared" ca="1" si="6"/>
        <v>1.0446776104247759</v>
      </c>
      <c r="K29" s="17">
        <f t="shared" ca="1" si="6"/>
        <v>0.8503130335799659</v>
      </c>
      <c r="L29" s="17">
        <f t="shared" ca="1" si="6"/>
        <v>0.67220014028524666</v>
      </c>
      <c r="M29" s="17">
        <f t="shared" ca="1" si="6"/>
        <v>0.6908598988354312</v>
      </c>
      <c r="N29" s="17">
        <f t="shared" ca="1" si="6"/>
        <v>0.78566457898399444</v>
      </c>
      <c r="O29" s="17">
        <f t="shared" ca="1" si="6"/>
        <v>0.84505150022391395</v>
      </c>
      <c r="P29" s="17">
        <f t="shared" ca="1" si="6"/>
        <v>1.0254237288135593</v>
      </c>
      <c r="Q29" s="17">
        <f t="shared" ca="1" si="6"/>
        <v>0.97835580026580582</v>
      </c>
      <c r="R29" s="17">
        <f t="shared" ca="1" si="6"/>
        <v>0.68398923646148679</v>
      </c>
      <c r="S29" s="17">
        <f t="shared" ca="1" si="6"/>
        <v>0.77665732959850597</v>
      </c>
      <c r="T29" s="17">
        <f t="shared" ca="1" si="6"/>
        <v>0.83531445861249198</v>
      </c>
      <c r="U29" s="17">
        <f t="shared" ca="1" si="6"/>
        <v>1.2583241858763263</v>
      </c>
      <c r="V29" s="56"/>
      <c r="W29" s="56"/>
      <c r="X29" s="56"/>
    </row>
    <row r="30" spans="1:24" x14ac:dyDescent="0.25">
      <c r="A30" t="str">
        <f>IFERROR(INDEX('2019 Data (WP)'!$C$9:$C$73,MATCH($B30,'2019 Data (WP)'!$D$9:$D$73,0)),"")</f>
        <v/>
      </c>
      <c r="B30" t="s">
        <v>16</v>
      </c>
      <c r="C30" t="s">
        <v>102</v>
      </c>
      <c r="D30" s="35">
        <f t="shared" ca="1" si="1"/>
        <v>29</v>
      </c>
      <c r="E30" s="35" t="e">
        <f t="shared" ca="1" si="2"/>
        <v>#N/A</v>
      </c>
      <c r="F30" s="35"/>
      <c r="G30" s="17" t="str">
        <f t="shared" ca="1" si="7"/>
        <v>N/A</v>
      </c>
      <c r="H30" s="17" t="str">
        <f t="shared" ca="1" si="7"/>
        <v>N/A</v>
      </c>
      <c r="I30" s="17" t="str">
        <f t="shared" ca="1" si="6"/>
        <v>N/A</v>
      </c>
      <c r="J30" s="17" t="str">
        <f t="shared" ca="1" si="6"/>
        <v>N/A</v>
      </c>
      <c r="K30" s="17" t="str">
        <f t="shared" ca="1" si="6"/>
        <v>N/A</v>
      </c>
      <c r="L30" s="17" t="str">
        <f t="shared" ca="1" si="6"/>
        <v>N/A</v>
      </c>
      <c r="M30" s="17" t="str">
        <f t="shared" ca="1" si="6"/>
        <v>N/A</v>
      </c>
      <c r="N30" s="17" t="str">
        <f t="shared" ca="1" si="6"/>
        <v>N/A</v>
      </c>
      <c r="O30" s="17" t="str">
        <f t="shared" ca="1" si="6"/>
        <v>N/A</v>
      </c>
      <c r="P30" s="17" t="str">
        <f t="shared" ca="1" si="6"/>
        <v>N/A</v>
      </c>
      <c r="Q30" s="17" t="str">
        <f t="shared" ca="1" si="6"/>
        <v>N/A</v>
      </c>
      <c r="R30" s="17" t="str">
        <f t="shared" ca="1" si="6"/>
        <v>N/A</v>
      </c>
      <c r="S30" s="17" t="str">
        <f t="shared" ca="1" si="6"/>
        <v>N/A</v>
      </c>
      <c r="T30" s="17" t="str">
        <f t="shared" ca="1" si="6"/>
        <v>N/A</v>
      </c>
      <c r="U30" s="17" t="str">
        <f t="shared" ca="1" si="6"/>
        <v>N/A</v>
      </c>
      <c r="V30" s="56"/>
      <c r="W30" s="56"/>
      <c r="X30" s="56"/>
    </row>
    <row r="31" spans="1:24" x14ac:dyDescent="0.25">
      <c r="A31" t="str">
        <f>IFERROR(INDEX('2019 Data (WP)'!$C$9:$C$73,MATCH($B31,'2019 Data (WP)'!$D$9:$D$73,0)),"")</f>
        <v>Electric Util. (Central)</v>
      </c>
      <c r="B31" t="s">
        <v>17</v>
      </c>
      <c r="C31" t="s">
        <v>55</v>
      </c>
      <c r="D31" s="35">
        <f t="shared" ca="1" si="1"/>
        <v>30</v>
      </c>
      <c r="E31" s="35">
        <f t="shared" ca="1" si="2"/>
        <v>29</v>
      </c>
      <c r="F31" s="35"/>
      <c r="G31" s="17">
        <f t="shared" ca="1" si="7"/>
        <v>0.74260777356335905</v>
      </c>
      <c r="H31" s="17">
        <f t="shared" ca="1" si="7"/>
        <v>0.79137319891359392</v>
      </c>
      <c r="I31" s="17">
        <f t="shared" ca="1" si="6"/>
        <v>0.73472296454658814</v>
      </c>
      <c r="J31" s="17">
        <f t="shared" ca="1" si="6"/>
        <v>0.75673839184597957</v>
      </c>
      <c r="K31" s="17">
        <f t="shared" ca="1" si="6"/>
        <v>1.0836902419261489</v>
      </c>
      <c r="L31" s="17">
        <f t="shared" ca="1" si="6"/>
        <v>1.0548075777433574</v>
      </c>
      <c r="M31" s="17">
        <f t="shared" ca="1" si="6"/>
        <v>1.1925516124679529</v>
      </c>
      <c r="N31" s="17">
        <f t="shared" ca="1" si="6"/>
        <v>1.0329348931841302</v>
      </c>
      <c r="O31" s="17">
        <f t="shared" ca="1" si="6"/>
        <v>0.87893289328932889</v>
      </c>
      <c r="P31" s="17">
        <f t="shared" ca="1" si="6"/>
        <v>1.1530417625780993</v>
      </c>
      <c r="Q31" s="17">
        <f t="shared" ca="1" si="6"/>
        <v>1.2408074440942518</v>
      </c>
      <c r="R31" s="17">
        <f t="shared" ca="1" si="6"/>
        <v>1.0229407236335644</v>
      </c>
      <c r="S31" s="17">
        <f t="shared" ca="1" si="6"/>
        <v>0.92587271943686256</v>
      </c>
      <c r="T31" s="17">
        <f t="shared" ca="1" si="6"/>
        <v>1.1403576982892689</v>
      </c>
      <c r="U31" s="17">
        <f t="shared" ca="1" si="6"/>
        <v>1.1333333333333333</v>
      </c>
      <c r="V31" s="56"/>
      <c r="W31" s="56"/>
      <c r="X31" s="56"/>
    </row>
    <row r="32" spans="1:24" x14ac:dyDescent="0.25">
      <c r="A32" t="str">
        <f>IFERROR(INDEX('2019 Data (WP)'!$C$9:$C$73,MATCH($B32,'2019 Data (WP)'!$D$9:$D$73,0)),"")</f>
        <v>Electric Utility (East)</v>
      </c>
      <c r="B32" t="s">
        <v>211</v>
      </c>
      <c r="C32" t="s">
        <v>212</v>
      </c>
      <c r="D32" s="35">
        <f t="shared" ca="1" si="1"/>
        <v>31</v>
      </c>
      <c r="E32" s="35">
        <f t="shared" ca="1" si="2"/>
        <v>30</v>
      </c>
      <c r="F32" s="35"/>
      <c r="G32" s="17">
        <f t="shared" ca="1" si="7"/>
        <v>0.80340286679874151</v>
      </c>
      <c r="H32" s="17">
        <f t="shared" ca="1" si="7"/>
        <v>0.75356900067980959</v>
      </c>
      <c r="I32" s="17">
        <f t="shared" ca="1" si="6"/>
        <v>0.8342333291473063</v>
      </c>
      <c r="J32" s="17">
        <f t="shared" ca="1" si="6"/>
        <v>0.78866396761133606</v>
      </c>
      <c r="K32" s="17">
        <f t="shared" ca="1" si="6"/>
        <v>0.87495992305226034</v>
      </c>
      <c r="L32" s="17">
        <f t="shared" ca="1" si="6"/>
        <v>0.90857247976453281</v>
      </c>
      <c r="M32" s="17">
        <f t="shared" ca="1" si="6"/>
        <v>0.90096857086380699</v>
      </c>
      <c r="N32" s="17">
        <f t="shared" ca="1" si="6"/>
        <v>1.1296256221597056</v>
      </c>
      <c r="O32" s="17">
        <f t="shared" ca="1" si="6"/>
        <v>0.86049488054607515</v>
      </c>
      <c r="P32" s="17">
        <f t="shared" ca="1" si="6"/>
        <v>0.80223757815070751</v>
      </c>
      <c r="Q32" s="17">
        <f t="shared" ca="1" si="6"/>
        <v>1.0493621741541874</v>
      </c>
      <c r="R32" s="17">
        <f t="shared" ca="1" si="6"/>
        <v>0.9590021272481144</v>
      </c>
      <c r="S32" s="17">
        <f t="shared" ca="1" si="6"/>
        <v>0.76501986097318775</v>
      </c>
      <c r="T32" s="17">
        <f t="shared" ca="1" si="6"/>
        <v>0.67544843049327352</v>
      </c>
      <c r="U32" s="17">
        <f t="shared" ca="1" si="6"/>
        <v>0.67219387755102034</v>
      </c>
      <c r="V32" s="56"/>
      <c r="W32" s="56"/>
      <c r="X32" s="56"/>
    </row>
    <row r="33" spans="1:24" x14ac:dyDescent="0.25">
      <c r="A33" t="str">
        <f>IFERROR(INDEX('2019 Data (WP)'!$C$9:$C$73,MATCH($B33,'2019 Data (WP)'!$D$9:$D$73,0)),"")</f>
        <v>Electric Utility (East)</v>
      </c>
      <c r="B33" t="s">
        <v>18</v>
      </c>
      <c r="C33" t="s">
        <v>69</v>
      </c>
      <c r="D33" s="35">
        <f t="shared" ca="1" si="1"/>
        <v>32</v>
      </c>
      <c r="E33" s="35">
        <f t="shared" ca="1" si="2"/>
        <v>31</v>
      </c>
      <c r="F33" s="35"/>
      <c r="G33" s="17">
        <f t="shared" ca="1" si="7"/>
        <v>1.0937424205675479</v>
      </c>
      <c r="H33" s="17">
        <f t="shared" ca="1" si="7"/>
        <v>1.2025775271848571</v>
      </c>
      <c r="I33" s="17">
        <f t="shared" ca="1" si="6"/>
        <v>1.0508669046404895</v>
      </c>
      <c r="J33" s="17">
        <f t="shared" ca="1" si="6"/>
        <v>1.0631271434014986</v>
      </c>
      <c r="K33" s="17">
        <f t="shared" ca="1" si="6"/>
        <v>0.75680639585133969</v>
      </c>
      <c r="L33" s="17">
        <f t="shared" ca="1" si="6"/>
        <v>0.82058397683397688</v>
      </c>
      <c r="M33" s="17">
        <f t="shared" ca="1" si="6"/>
        <v>0.93477645727221292</v>
      </c>
      <c r="N33" s="17">
        <f t="shared" ca="1" si="6"/>
        <v>1.0686477037978706</v>
      </c>
      <c r="O33" s="17">
        <f t="shared" ca="1" si="6"/>
        <v>0.9754873006497341</v>
      </c>
      <c r="P33" s="17">
        <f t="shared" ca="1" si="6"/>
        <v>1.1872640735269981</v>
      </c>
      <c r="Q33" s="17">
        <f t="shared" ca="1" si="6"/>
        <v>1.6555223880597016</v>
      </c>
      <c r="R33" s="17">
        <f t="shared" ca="1" si="6"/>
        <v>1.6623664583753275</v>
      </c>
      <c r="S33" s="17">
        <f t="shared" ca="1" si="6"/>
        <v>1.6121199324324325</v>
      </c>
      <c r="T33" s="17">
        <f t="shared" ca="1" si="6"/>
        <v>1.8358872960949084</v>
      </c>
      <c r="U33" s="17">
        <f t="shared" ca="1" si="6"/>
        <v>1.8601108033240998</v>
      </c>
      <c r="V33" s="56"/>
      <c r="W33" s="56"/>
      <c r="X33" s="56"/>
    </row>
    <row r="34" spans="1:24" x14ac:dyDescent="0.25">
      <c r="A34" t="str">
        <f>IFERROR(INDEX('2019 Data (WP)'!$C$9:$C$73,MATCH($B34,'2019 Data (WP)'!$D$9:$D$73,0)),"")</f>
        <v>Electric Utility (East)</v>
      </c>
      <c r="B34" t="s">
        <v>19</v>
      </c>
      <c r="C34" t="s">
        <v>66</v>
      </c>
      <c r="D34" s="35">
        <f t="shared" ca="1" si="1"/>
        <v>33</v>
      </c>
      <c r="E34" s="35">
        <f t="shared" ca="1" si="2"/>
        <v>32</v>
      </c>
      <c r="F34" s="35"/>
      <c r="G34" s="17">
        <f t="shared" ca="1" si="7"/>
        <v>0.82869991823385114</v>
      </c>
      <c r="H34" s="17">
        <f t="shared" ca="1" si="7"/>
        <v>0.79995942381821872</v>
      </c>
      <c r="I34" s="17">
        <f t="shared" ca="1" si="6"/>
        <v>0.76229665071770347</v>
      </c>
      <c r="J34" s="17">
        <f t="shared" ca="1" si="6"/>
        <v>1.0253958300674089</v>
      </c>
      <c r="K34" s="17">
        <f t="shared" ca="1" si="6"/>
        <v>0.94188058840496103</v>
      </c>
      <c r="L34" s="17">
        <f t="shared" ca="1" si="6"/>
        <v>0.92594760720035119</v>
      </c>
      <c r="M34" s="17">
        <f t="shared" ca="1" si="6"/>
        <v>0.54050843430743645</v>
      </c>
      <c r="N34" s="17">
        <f t="shared" ca="1" si="6"/>
        <v>0.91346571966951728</v>
      </c>
      <c r="O34" s="17">
        <f t="shared" ca="1" si="6"/>
        <v>0.8542401580358403</v>
      </c>
      <c r="P34" s="17">
        <f t="shared" ca="1" si="6"/>
        <v>1.054892601431981</v>
      </c>
      <c r="Q34" s="17">
        <f t="shared" ca="1" si="6"/>
        <v>1.3203416149068323</v>
      </c>
      <c r="R34" s="17">
        <f t="shared" ca="1" si="6"/>
        <v>1.2173792721737926</v>
      </c>
      <c r="S34" s="17">
        <f t="shared" ca="1" si="6"/>
        <v>0.95429596791218074</v>
      </c>
      <c r="T34" s="17">
        <f t="shared" ca="1" si="6"/>
        <v>1.5572148590629085</v>
      </c>
      <c r="U34" s="17">
        <f t="shared" ca="1" si="6"/>
        <v>1.7526699029126214</v>
      </c>
      <c r="V34" s="56"/>
      <c r="W34" s="56"/>
      <c r="X34" s="56"/>
    </row>
    <row r="35" spans="1:24" x14ac:dyDescent="0.25">
      <c r="A35" t="str">
        <f>IFERROR(INDEX('2019 Data (WP)'!$C$9:$C$73,MATCH($B35,'2019 Data (WP)'!$D$9:$D$73,0)),"")</f>
        <v>Electric Util. (Central)</v>
      </c>
      <c r="B35" t="s">
        <v>266</v>
      </c>
      <c r="C35" t="s">
        <v>265</v>
      </c>
      <c r="D35" s="35">
        <f t="shared" ca="1" si="1"/>
        <v>34</v>
      </c>
      <c r="E35" s="35">
        <f t="shared" ca="1" si="2"/>
        <v>33</v>
      </c>
      <c r="F35" s="35"/>
      <c r="G35" s="17">
        <f t="shared" ca="1" si="7"/>
        <v>0.65283716630070487</v>
      </c>
      <c r="H35" s="17">
        <f t="shared" ca="1" si="7"/>
        <v>0.6776684518620002</v>
      </c>
      <c r="I35" s="17">
        <f t="shared" ref="I35:U44" ca="1" si="8">IFERROR(INDEX(CashFlow,$D35,I$2)/INDEX(CapSpending,$E35,I$2),"N/A")</f>
        <v>0.7187749667110519</v>
      </c>
      <c r="J35" s="17">
        <f t="shared" ca="1" si="8"/>
        <v>0.75657986352875639</v>
      </c>
      <c r="K35" s="17">
        <f t="shared" ca="1" si="8"/>
        <v>0.76076368595363331</v>
      </c>
      <c r="L35" s="17">
        <f t="shared" ca="1" si="8"/>
        <v>0.65453175997991464</v>
      </c>
      <c r="M35" s="17">
        <f t="shared" ca="1" si="8"/>
        <v>0.60383333333333333</v>
      </c>
      <c r="N35" s="17">
        <f t="shared" ca="1" si="8"/>
        <v>0.77089201877934277</v>
      </c>
      <c r="O35" s="17">
        <f t="shared" ca="1" si="8"/>
        <v>0.72235915492957747</v>
      </c>
      <c r="P35" s="17">
        <f t="shared" ca="1" si="8"/>
        <v>0.66040609137055839</v>
      </c>
      <c r="Q35" s="17">
        <f t="shared" ca="1" si="8"/>
        <v>0.67668534555951765</v>
      </c>
      <c r="R35" s="17">
        <f t="shared" ca="1" si="8"/>
        <v>0.63104281767955794</v>
      </c>
      <c r="S35" s="17">
        <f t="shared" ca="1" si="8"/>
        <v>0.6559985027138312</v>
      </c>
      <c r="T35" s="17">
        <f t="shared" ca="1" si="8"/>
        <v>0.57389114855704049</v>
      </c>
      <c r="U35" s="17">
        <f t="shared" ca="1" si="8"/>
        <v>0.63397876327295444</v>
      </c>
      <c r="V35" s="56"/>
      <c r="W35" s="56"/>
      <c r="X35" s="56"/>
    </row>
    <row r="36" spans="1:24" x14ac:dyDescent="0.25">
      <c r="A36" t="str">
        <f>IFERROR(INDEX('2019 Data (WP)'!$C$9:$C$73,MATCH($B36,'2019 Data (WP)'!$D$9:$D$73,0)),"")</f>
        <v/>
      </c>
      <c r="B36" t="s">
        <v>57</v>
      </c>
      <c r="C36" t="s">
        <v>56</v>
      </c>
      <c r="D36" s="35" t="e">
        <f t="shared" ca="1" si="1"/>
        <v>#N/A</v>
      </c>
      <c r="E36" s="35" t="e">
        <f t="shared" ca="1" si="2"/>
        <v>#N/A</v>
      </c>
      <c r="F36" s="35"/>
      <c r="G36" s="17" t="str">
        <f t="shared" ca="1" si="7"/>
        <v>N/A</v>
      </c>
      <c r="H36" s="17" t="str">
        <f t="shared" ca="1" si="7"/>
        <v>N/A</v>
      </c>
      <c r="I36" s="17" t="str">
        <f t="shared" ca="1" si="8"/>
        <v>N/A</v>
      </c>
      <c r="J36" s="17" t="str">
        <f t="shared" ca="1" si="8"/>
        <v>N/A</v>
      </c>
      <c r="K36" s="17" t="str">
        <f t="shared" ca="1" si="8"/>
        <v>N/A</v>
      </c>
      <c r="L36" s="17" t="str">
        <f t="shared" ca="1" si="8"/>
        <v>N/A</v>
      </c>
      <c r="M36" s="17" t="str">
        <f t="shared" ca="1" si="8"/>
        <v>N/A</v>
      </c>
      <c r="N36" s="17" t="str">
        <f t="shared" ca="1" si="8"/>
        <v>N/A</v>
      </c>
      <c r="O36" s="17" t="str">
        <f t="shared" ca="1" si="8"/>
        <v>N/A</v>
      </c>
      <c r="P36" s="17" t="str">
        <f t="shared" ca="1" si="8"/>
        <v>N/A</v>
      </c>
      <c r="Q36" s="17" t="str">
        <f t="shared" ca="1" si="8"/>
        <v>N/A</v>
      </c>
      <c r="R36" s="17" t="str">
        <f t="shared" ca="1" si="8"/>
        <v>N/A</v>
      </c>
      <c r="S36" s="17" t="str">
        <f t="shared" ca="1" si="8"/>
        <v>N/A</v>
      </c>
      <c r="T36" s="17" t="str">
        <f t="shared" ca="1" si="8"/>
        <v>N/A</v>
      </c>
      <c r="U36" s="17" t="str">
        <f t="shared" ca="1" si="8"/>
        <v>N/A</v>
      </c>
      <c r="V36" s="56"/>
      <c r="W36" s="56"/>
      <c r="X36" s="56"/>
    </row>
    <row r="37" spans="1:24" x14ac:dyDescent="0.25">
      <c r="A37" t="str">
        <f>IFERROR(INDEX('2019 Data (WP)'!$C$9:$C$73,MATCH($B37,'2019 Data (WP)'!$D$9:$D$73,0)),"")</f>
        <v>Electric Util. (Central)</v>
      </c>
      <c r="B37" t="s">
        <v>20</v>
      </c>
      <c r="C37" t="s">
        <v>104</v>
      </c>
      <c r="D37" s="35">
        <f t="shared" ref="D37:D46" ca="1" si="9">MATCH(B37,OFFSET(CashFlow,0,0,,1),0)</f>
        <v>36</v>
      </c>
      <c r="E37" s="35">
        <f t="shared" ref="E37:E46" ca="1" si="10">MATCH(B37,OFFSET(CapSpending,0,0,,1),0)</f>
        <v>35</v>
      </c>
      <c r="F37" s="35"/>
      <c r="G37" s="17" t="str">
        <f t="shared" ca="1" si="7"/>
        <v>N/A</v>
      </c>
      <c r="H37" s="17" t="str">
        <f t="shared" ca="1" si="7"/>
        <v>N/A</v>
      </c>
      <c r="I37" s="17" t="str">
        <f t="shared" ca="1" si="8"/>
        <v>N/A</v>
      </c>
      <c r="J37" s="17">
        <f t="shared" ca="1" si="8"/>
        <v>0.78066914498141271</v>
      </c>
      <c r="K37" s="17">
        <f t="shared" ca="1" si="8"/>
        <v>1.1726668996854246</v>
      </c>
      <c r="L37" s="17">
        <f t="shared" ca="1" si="8"/>
        <v>0.9002939181550984</v>
      </c>
      <c r="M37" s="17">
        <f t="shared" ca="1" si="8"/>
        <v>0.78561630413482275</v>
      </c>
      <c r="N37" s="17">
        <f t="shared" ca="1" si="8"/>
        <v>0.90598870056497183</v>
      </c>
      <c r="O37" s="17">
        <f t="shared" ca="1" si="8"/>
        <v>0.85931653778997241</v>
      </c>
      <c r="P37" s="17">
        <f t="shared" ca="1" si="8"/>
        <v>1.0335689045936396</v>
      </c>
      <c r="Q37" s="17">
        <f t="shared" ca="1" si="8"/>
        <v>0.86481947942905124</v>
      </c>
      <c r="R37" s="17">
        <f t="shared" ca="1" si="8"/>
        <v>0.50315919247958085</v>
      </c>
      <c r="S37" s="17">
        <f t="shared" ca="1" si="8"/>
        <v>0.34909706546275399</v>
      </c>
      <c r="T37" s="17">
        <f t="shared" ca="1" si="8"/>
        <v>0.68931880994960171</v>
      </c>
      <c r="U37" s="17">
        <f t="shared" ca="1" si="8"/>
        <v>0.63843863711544813</v>
      </c>
      <c r="V37" s="56"/>
      <c r="W37" s="57"/>
      <c r="X37" s="57"/>
    </row>
    <row r="38" spans="1:24" x14ac:dyDescent="0.25">
      <c r="A38" t="str">
        <f>IFERROR(INDEX('2019 Data (WP)'!$C$9:$C$73,MATCH($B38,'2019 Data (WP)'!$D$9:$D$73,0)),"")</f>
        <v>Electric Utility (West)</v>
      </c>
      <c r="B38" t="s">
        <v>21</v>
      </c>
      <c r="C38" t="s">
        <v>58</v>
      </c>
      <c r="D38" s="35">
        <f t="shared" ca="1" si="9"/>
        <v>37</v>
      </c>
      <c r="E38" s="35">
        <f t="shared" ca="1" si="10"/>
        <v>36</v>
      </c>
      <c r="F38" s="35"/>
      <c r="G38" s="17">
        <f t="shared" ca="1" si="7"/>
        <v>1.2727531285551763</v>
      </c>
      <c r="H38" s="17">
        <f t="shared" ca="1" si="7"/>
        <v>1.0843258694616482</v>
      </c>
      <c r="I38" s="17">
        <f t="shared" ca="1" si="8"/>
        <v>0.85126646403242145</v>
      </c>
      <c r="J38" s="17">
        <f t="shared" ca="1" si="8"/>
        <v>0.80909490333919165</v>
      </c>
      <c r="K38" s="17">
        <f t="shared" ca="1" si="8"/>
        <v>1.3723684210526315</v>
      </c>
      <c r="L38" s="17">
        <f t="shared" ca="1" si="8"/>
        <v>0.97725258493353029</v>
      </c>
      <c r="M38" s="17">
        <f t="shared" ca="1" si="8"/>
        <v>1.0289855072463769</v>
      </c>
      <c r="N38" s="17">
        <f t="shared" ca="1" si="8"/>
        <v>0.92188841201716731</v>
      </c>
      <c r="O38" s="17">
        <f t="shared" ca="1" si="8"/>
        <v>0.9873646209386282</v>
      </c>
      <c r="P38" s="17">
        <f t="shared" ca="1" si="8"/>
        <v>1.3002450980392157</v>
      </c>
      <c r="Q38" s="17">
        <f t="shared" ca="1" si="8"/>
        <v>1.4976599063962557</v>
      </c>
      <c r="R38" s="17">
        <f t="shared" ca="1" si="8"/>
        <v>0.78658166363084403</v>
      </c>
      <c r="S38" s="17">
        <f t="shared" ca="1" si="8"/>
        <v>0.87355584082156612</v>
      </c>
      <c r="T38" s="17">
        <f t="shared" ca="1" si="8"/>
        <v>1.1521406727828745</v>
      </c>
      <c r="U38" s="17">
        <f t="shared" ca="1" si="8"/>
        <v>1.234907120743034</v>
      </c>
      <c r="V38" s="56"/>
      <c r="W38" s="56"/>
      <c r="X38" s="56"/>
    </row>
    <row r="39" spans="1:24" x14ac:dyDescent="0.25">
      <c r="A39" t="str">
        <f>IFERROR(INDEX('2019 Data (WP)'!$C$9:$C$73,MATCH($B39,'2019 Data (WP)'!$D$9:$D$73,0)),"")</f>
        <v>Electric Utility (West)</v>
      </c>
      <c r="B39" t="s">
        <v>22</v>
      </c>
      <c r="C39" t="s">
        <v>59</v>
      </c>
      <c r="D39" s="35">
        <f t="shared" ca="1" si="9"/>
        <v>38</v>
      </c>
      <c r="E39" s="35">
        <f t="shared" ca="1" si="10"/>
        <v>37</v>
      </c>
      <c r="F39" s="35"/>
      <c r="G39" s="17">
        <f t="shared" ca="1" si="7"/>
        <v>1.3292762090230446</v>
      </c>
      <c r="H39" s="17">
        <f t="shared" ca="1" si="7"/>
        <v>1.4589363241678728</v>
      </c>
      <c r="I39" s="17">
        <f t="shared" ca="1" si="8"/>
        <v>1.4247867900562512</v>
      </c>
      <c r="J39" s="17">
        <f t="shared" ca="1" si="8"/>
        <v>1.3253267396679618</v>
      </c>
      <c r="K39" s="17">
        <f t="shared" ca="1" si="8"/>
        <v>1.1637813985064493</v>
      </c>
      <c r="L39" s="17">
        <f t="shared" ca="1" si="8"/>
        <v>1.1470638589282658</v>
      </c>
      <c r="M39" s="17">
        <f t="shared" ca="1" si="8"/>
        <v>1.2061628760088041</v>
      </c>
      <c r="N39" s="17">
        <f t="shared" ca="1" si="8"/>
        <v>1.3439368061485908</v>
      </c>
      <c r="O39" s="17">
        <f t="shared" ca="1" si="8"/>
        <v>1.2410041841004185</v>
      </c>
      <c r="P39" s="17">
        <f t="shared" ca="1" si="8"/>
        <v>0.86305826678497499</v>
      </c>
      <c r="Q39" s="17">
        <f t="shared" ca="1" si="8"/>
        <v>0.78147823546596551</v>
      </c>
      <c r="R39" s="17">
        <f t="shared" ca="1" si="8"/>
        <v>0.96444866920152106</v>
      </c>
      <c r="S39" s="17">
        <f t="shared" ca="1" si="8"/>
        <v>0.82315546137545748</v>
      </c>
      <c r="T39" s="17">
        <f t="shared" ca="1" si="8"/>
        <v>0.64406514249921709</v>
      </c>
      <c r="U39" s="17">
        <f t="shared" ca="1" si="8"/>
        <v>0.88832880961613014</v>
      </c>
      <c r="V39" s="56"/>
      <c r="W39" s="56"/>
      <c r="X39" s="56"/>
    </row>
    <row r="40" spans="1:24" x14ac:dyDescent="0.25">
      <c r="A40" t="str">
        <f>IFERROR(INDEX('2019 Data (WP)'!$C$9:$C$73,MATCH($B40,'2019 Data (WP)'!$D$9:$D$73,0)),"")</f>
        <v/>
      </c>
      <c r="B40" t="s">
        <v>23</v>
      </c>
      <c r="C40" t="s">
        <v>85</v>
      </c>
      <c r="D40" s="35" t="e">
        <f t="shared" ca="1" si="9"/>
        <v>#N/A</v>
      </c>
      <c r="E40" s="35" t="e">
        <f t="shared" ca="1" si="10"/>
        <v>#N/A</v>
      </c>
      <c r="F40" s="35"/>
      <c r="G40" s="17" t="str">
        <f t="shared" ca="1" si="7"/>
        <v>N/A</v>
      </c>
      <c r="H40" s="17" t="str">
        <f t="shared" ca="1" si="7"/>
        <v>N/A</v>
      </c>
      <c r="I40" s="17" t="str">
        <f t="shared" ca="1" si="8"/>
        <v>N/A</v>
      </c>
      <c r="J40" s="17" t="str">
        <f t="shared" ca="1" si="8"/>
        <v>N/A</v>
      </c>
      <c r="K40" s="17" t="str">
        <f t="shared" ca="1" si="8"/>
        <v>N/A</v>
      </c>
      <c r="L40" s="17" t="str">
        <f t="shared" ca="1" si="8"/>
        <v>N/A</v>
      </c>
      <c r="M40" s="17" t="str">
        <f t="shared" ca="1" si="8"/>
        <v>N/A</v>
      </c>
      <c r="N40" s="17" t="str">
        <f t="shared" ca="1" si="8"/>
        <v>N/A</v>
      </c>
      <c r="O40" s="17" t="str">
        <f t="shared" ca="1" si="8"/>
        <v>N/A</v>
      </c>
      <c r="P40" s="17" t="str">
        <f t="shared" ca="1" si="8"/>
        <v>N/A</v>
      </c>
      <c r="Q40" s="17" t="str">
        <f t="shared" ca="1" si="8"/>
        <v>N/A</v>
      </c>
      <c r="R40" s="17" t="str">
        <f t="shared" ca="1" si="8"/>
        <v>N/A</v>
      </c>
      <c r="S40" s="17" t="str">
        <f t="shared" ca="1" si="8"/>
        <v>N/A</v>
      </c>
      <c r="T40" s="17" t="str">
        <f t="shared" ca="1" si="8"/>
        <v>N/A</v>
      </c>
      <c r="U40" s="17" t="str">
        <f t="shared" ca="1" si="8"/>
        <v>N/A</v>
      </c>
      <c r="V40" s="56"/>
      <c r="W40" s="56"/>
      <c r="X40" s="56"/>
    </row>
    <row r="41" spans="1:24" x14ac:dyDescent="0.25">
      <c r="A41" t="str">
        <f>IFERROR(INDEX('2019 Data (WP)'!$C$9:$C$73,MATCH($B41,'2019 Data (WP)'!$D$9:$D$73,0)),"")</f>
        <v/>
      </c>
      <c r="B41" t="s">
        <v>161</v>
      </c>
      <c r="C41" t="s">
        <v>160</v>
      </c>
      <c r="D41" s="35" t="e">
        <f t="shared" ca="1" si="9"/>
        <v>#N/A</v>
      </c>
      <c r="E41" s="35" t="e">
        <f t="shared" ca="1" si="10"/>
        <v>#N/A</v>
      </c>
      <c r="F41" s="35"/>
      <c r="G41" s="17" t="str">
        <f t="shared" ca="1" si="7"/>
        <v>N/A</v>
      </c>
      <c r="H41" s="17" t="str">
        <f t="shared" ca="1" si="7"/>
        <v>N/A</v>
      </c>
      <c r="I41" s="17" t="str">
        <f t="shared" ca="1" si="8"/>
        <v>N/A</v>
      </c>
      <c r="J41" s="17" t="str">
        <f t="shared" ca="1" si="8"/>
        <v>N/A</v>
      </c>
      <c r="K41" s="17" t="str">
        <f t="shared" ca="1" si="8"/>
        <v>N/A</v>
      </c>
      <c r="L41" s="17" t="str">
        <f t="shared" ca="1" si="8"/>
        <v>N/A</v>
      </c>
      <c r="M41" s="17" t="str">
        <f t="shared" ca="1" si="8"/>
        <v>N/A</v>
      </c>
      <c r="N41" s="17" t="str">
        <f t="shared" ca="1" si="8"/>
        <v>N/A</v>
      </c>
      <c r="O41" s="17" t="str">
        <f t="shared" ca="1" si="8"/>
        <v>N/A</v>
      </c>
      <c r="P41" s="17" t="str">
        <f t="shared" ca="1" si="8"/>
        <v>N/A</v>
      </c>
      <c r="Q41" s="17" t="str">
        <f t="shared" ca="1" si="8"/>
        <v>N/A</v>
      </c>
      <c r="R41" s="17" t="str">
        <f t="shared" ca="1" si="8"/>
        <v>N/A</v>
      </c>
      <c r="S41" s="17" t="str">
        <f t="shared" ca="1" si="8"/>
        <v>N/A</v>
      </c>
      <c r="T41" s="17" t="str">
        <f t="shared" ca="1" si="8"/>
        <v>N/A</v>
      </c>
      <c r="U41" s="17" t="str">
        <f t="shared" ca="1" si="8"/>
        <v>N/A</v>
      </c>
      <c r="V41" s="56"/>
      <c r="W41" s="56"/>
      <c r="X41" s="56"/>
    </row>
    <row r="42" spans="1:24" x14ac:dyDescent="0.25">
      <c r="A42" t="str">
        <f>IFERROR(INDEX('2019 Data (WP)'!$C$9:$C$73,MATCH($B42,'2019 Data (WP)'!$D$9:$D$73,0)),"")</f>
        <v/>
      </c>
      <c r="B42" t="s">
        <v>24</v>
      </c>
      <c r="C42" t="s">
        <v>60</v>
      </c>
      <c r="D42" s="35" t="e">
        <f t="shared" ca="1" si="9"/>
        <v>#N/A</v>
      </c>
      <c r="E42" s="35" t="e">
        <f t="shared" ca="1" si="10"/>
        <v>#N/A</v>
      </c>
      <c r="F42" s="35"/>
      <c r="G42" s="17" t="str">
        <f t="shared" ca="1" si="7"/>
        <v>N/A</v>
      </c>
      <c r="H42" s="17" t="str">
        <f t="shared" ca="1" si="7"/>
        <v>N/A</v>
      </c>
      <c r="I42" s="17" t="str">
        <f t="shared" ca="1" si="8"/>
        <v>N/A</v>
      </c>
      <c r="J42" s="17" t="str">
        <f t="shared" ca="1" si="8"/>
        <v>N/A</v>
      </c>
      <c r="K42" s="17" t="str">
        <f t="shared" ca="1" si="8"/>
        <v>N/A</v>
      </c>
      <c r="L42" s="17" t="str">
        <f t="shared" ca="1" si="8"/>
        <v>N/A</v>
      </c>
      <c r="M42" s="17" t="str">
        <f t="shared" ca="1" si="8"/>
        <v>N/A</v>
      </c>
      <c r="N42" s="17" t="str">
        <f t="shared" ca="1" si="8"/>
        <v>N/A</v>
      </c>
      <c r="O42" s="17" t="str">
        <f t="shared" ca="1" si="8"/>
        <v>N/A</v>
      </c>
      <c r="P42" s="17" t="str">
        <f t="shared" ca="1" si="8"/>
        <v>N/A</v>
      </c>
      <c r="Q42" s="17" t="str">
        <f t="shared" ca="1" si="8"/>
        <v>N/A</v>
      </c>
      <c r="R42" s="17" t="str">
        <f t="shared" ca="1" si="8"/>
        <v>N/A</v>
      </c>
      <c r="S42" s="17" t="str">
        <f t="shared" ca="1" si="8"/>
        <v>N/A</v>
      </c>
      <c r="T42" s="17" t="str">
        <f t="shared" ca="1" si="8"/>
        <v>N/A</v>
      </c>
      <c r="U42" s="17" t="str">
        <f t="shared" ca="1" si="8"/>
        <v>N/A</v>
      </c>
      <c r="V42" s="56"/>
      <c r="W42" s="56"/>
      <c r="X42" s="56"/>
    </row>
    <row r="43" spans="1:24" x14ac:dyDescent="0.25">
      <c r="A43" t="str">
        <f>IFERROR(INDEX('2019 Data (WP)'!$C$9:$C$73,MATCH($B43,'2019 Data (WP)'!$D$9:$D$73,0)),"")</f>
        <v>Electric Util. (Central)</v>
      </c>
      <c r="B43" t="s">
        <v>25</v>
      </c>
      <c r="C43" t="s">
        <v>61</v>
      </c>
      <c r="D43" s="35">
        <f t="shared" ca="1" si="9"/>
        <v>39</v>
      </c>
      <c r="E43" s="35">
        <f t="shared" ca="1" si="10"/>
        <v>38</v>
      </c>
      <c r="F43" s="35"/>
      <c r="G43" s="17">
        <f t="shared" ca="1" si="7"/>
        <v>0.82018871283603356</v>
      </c>
      <c r="H43" s="17">
        <f t="shared" ca="1" si="7"/>
        <v>0.96576500422654266</v>
      </c>
      <c r="I43" s="17">
        <f t="shared" ca="1" si="8"/>
        <v>0.66280019604639762</v>
      </c>
      <c r="J43" s="17">
        <f t="shared" ca="1" si="8"/>
        <v>1.1946136582237896</v>
      </c>
      <c r="K43" s="17">
        <f t="shared" ca="1" si="8"/>
        <v>1.4368006630750105</v>
      </c>
      <c r="L43" s="17">
        <f t="shared" ca="1" si="8"/>
        <v>1.6044273339749762</v>
      </c>
      <c r="M43" s="17">
        <f t="shared" ca="1" si="8"/>
        <v>1.3060231949120837</v>
      </c>
      <c r="N43" s="17">
        <f t="shared" ca="1" si="8"/>
        <v>0.95544554455445541</v>
      </c>
      <c r="O43" s="17">
        <f t="shared" ca="1" si="8"/>
        <v>1.0479041916167664</v>
      </c>
      <c r="P43" s="17">
        <f t="shared" ca="1" si="8"/>
        <v>1.5627659574468087</v>
      </c>
      <c r="Q43" s="17">
        <f t="shared" ca="1" si="8"/>
        <v>1.5711845102505695</v>
      </c>
      <c r="R43" s="17">
        <f t="shared" ca="1" si="8"/>
        <v>1.1282922684791843</v>
      </c>
      <c r="S43" s="17">
        <f t="shared" ca="1" si="8"/>
        <v>0.87008769080870396</v>
      </c>
      <c r="T43" s="17">
        <f t="shared" ca="1" si="8"/>
        <v>0.59473175447075877</v>
      </c>
      <c r="U43" s="17">
        <f t="shared" ca="1" si="8"/>
        <v>0.79673691366417398</v>
      </c>
      <c r="V43" s="56"/>
      <c r="W43" s="56"/>
      <c r="X43" s="56"/>
    </row>
    <row r="44" spans="1:24" x14ac:dyDescent="0.25">
      <c r="A44" t="str">
        <f>IFERROR(INDEX('2019 Data (WP)'!$C$9:$C$73,MATCH($B44,'2019 Data (WP)'!$D$9:$D$73,0)),"")</f>
        <v>Water Utility</v>
      </c>
      <c r="B44" s="31" t="s">
        <v>188</v>
      </c>
      <c r="C44" s="31" t="s">
        <v>187</v>
      </c>
      <c r="D44" s="35">
        <f t="shared" ca="1" si="9"/>
        <v>40</v>
      </c>
      <c r="E44" s="35">
        <f t="shared" ca="1" si="10"/>
        <v>39</v>
      </c>
      <c r="F44" s="35"/>
      <c r="G44" s="17">
        <f t="shared" ca="1" si="7"/>
        <v>0.53746898263027298</v>
      </c>
      <c r="H44" s="17">
        <f t="shared" ca="1" si="7"/>
        <v>0.56631455399061037</v>
      </c>
      <c r="I44" s="17">
        <f t="shared" ca="1" si="8"/>
        <v>0.65665529010238921</v>
      </c>
      <c r="J44" s="17">
        <f t="shared" ca="1" si="8"/>
        <v>0.72724317295188556</v>
      </c>
      <c r="K44" s="17">
        <f t="shared" ca="1" si="8"/>
        <v>0.74716202270381837</v>
      </c>
      <c r="L44" s="17">
        <f t="shared" ca="1" si="8"/>
        <v>1.2392947103274559</v>
      </c>
      <c r="M44" s="17">
        <f t="shared" ca="1" si="8"/>
        <v>1.3162027123483226</v>
      </c>
      <c r="N44" s="17">
        <f t="shared" ca="1" si="8"/>
        <v>1.3656597774244832</v>
      </c>
      <c r="O44" s="17">
        <f t="shared" ca="1" si="8"/>
        <v>1.1400293255131964</v>
      </c>
      <c r="P44" s="17">
        <f t="shared" ca="1" si="8"/>
        <v>0.97599999999999998</v>
      </c>
      <c r="Q44" s="17">
        <f t="shared" ca="1" si="8"/>
        <v>0.81335436382755</v>
      </c>
      <c r="R44" s="17">
        <f t="shared" ca="1" si="8"/>
        <v>0.94291470785762244</v>
      </c>
      <c r="S44" s="17">
        <f t="shared" ca="1" si="8"/>
        <v>0.72182932578972181</v>
      </c>
      <c r="T44" s="17">
        <f t="shared" ca="1" si="8"/>
        <v>0.90157004830917886</v>
      </c>
      <c r="U44" s="17">
        <f t="shared" ca="1" si="8"/>
        <v>0.57805724197745012</v>
      </c>
      <c r="V44" s="57"/>
      <c r="W44" s="57"/>
      <c r="X44" s="57"/>
    </row>
    <row r="45" spans="1:24" x14ac:dyDescent="0.25">
      <c r="A45" t="str">
        <f>IFERROR(INDEX('2019 Data (WP)'!$C$9:$C$73,MATCH($B45,'2019 Data (WP)'!$D$9:$D$73,0)),"")</f>
        <v>Natural Gas Utility</v>
      </c>
      <c r="B45" s="31" t="s">
        <v>190</v>
      </c>
      <c r="C45" s="31" t="s">
        <v>189</v>
      </c>
      <c r="D45" s="35">
        <f t="shared" ca="1" si="9"/>
        <v>41</v>
      </c>
      <c r="E45" s="35">
        <f t="shared" ca="1" si="10"/>
        <v>40</v>
      </c>
      <c r="F45" s="35"/>
      <c r="G45" s="17">
        <f t="shared" ca="1" si="7"/>
        <v>0.70891514500537045</v>
      </c>
      <c r="H45" s="17">
        <f t="shared" ca="1" si="7"/>
        <v>0.51165581076448408</v>
      </c>
      <c r="I45" s="17">
        <f t="shared" ref="I45:U54" ca="1" si="11">IFERROR(INDEX(CashFlow,$D45,I$2)/INDEX(CapSpending,$E45,I$2),"N/A")</f>
        <v>0.84815321477428185</v>
      </c>
      <c r="J45" s="17">
        <f t="shared" ca="1" si="11"/>
        <v>0.70481452249408039</v>
      </c>
      <c r="K45" s="17">
        <f t="shared" ca="1" si="11"/>
        <v>0.59213699951760734</v>
      </c>
      <c r="L45" s="17">
        <f t="shared" ca="1" si="11"/>
        <v>0.67207878626563744</v>
      </c>
      <c r="M45" s="17">
        <f t="shared" ca="1" si="11"/>
        <v>1.7905449770190414</v>
      </c>
      <c r="N45" s="17">
        <f t="shared" ca="1" si="11"/>
        <v>1.4577677224736048</v>
      </c>
      <c r="O45" s="17">
        <f t="shared" ca="1" si="11"/>
        <v>1.4769108280254777</v>
      </c>
      <c r="P45" s="17">
        <f t="shared" ca="1" si="11"/>
        <v>1.5057573073516386</v>
      </c>
      <c r="Q45" s="17">
        <f t="shared" ca="1" si="11"/>
        <v>1.547528517110266</v>
      </c>
      <c r="R45" s="17">
        <f t="shared" ca="1" si="11"/>
        <v>1.7486157253599113</v>
      </c>
      <c r="S45" s="17">
        <f t="shared" ca="1" si="11"/>
        <v>2.1058139534883722</v>
      </c>
      <c r="T45" s="17">
        <f t="shared" ca="1" si="11"/>
        <v>1.6712328767123288</v>
      </c>
      <c r="U45" s="17">
        <f t="shared" ca="1" si="11"/>
        <v>2.1359374999999998</v>
      </c>
      <c r="V45" s="56"/>
      <c r="W45" s="56"/>
      <c r="X45" s="56"/>
    </row>
    <row r="46" spans="1:24" x14ac:dyDescent="0.25">
      <c r="A46" t="str">
        <f>IFERROR(INDEX('2019 Data (WP)'!$C$9:$C$73,MATCH($B46,'2019 Data (WP)'!$D$9:$D$73,0)),"")</f>
        <v>Electric Utility (East)</v>
      </c>
      <c r="B46" t="s">
        <v>141</v>
      </c>
      <c r="C46" t="s">
        <v>209</v>
      </c>
      <c r="D46" s="35">
        <f t="shared" ca="1" si="9"/>
        <v>42</v>
      </c>
      <c r="E46" s="35">
        <f t="shared" ca="1" si="10"/>
        <v>41</v>
      </c>
      <c r="F46" s="35"/>
      <c r="G46" s="17">
        <f t="shared" ref="G46:H65" ca="1" si="12">IFERROR(INDEX(CashFlow,$D46,G$2)/INDEX(CapSpending,$E46,G$2),"N/A")</f>
        <v>0.57781057150523218</v>
      </c>
      <c r="H46" s="17">
        <f t="shared" ca="1" si="12"/>
        <v>0.67059010656911089</v>
      </c>
      <c r="I46" s="17">
        <f t="shared" ca="1" si="11"/>
        <v>0.56470588235294117</v>
      </c>
      <c r="J46" s="17">
        <f t="shared" ca="1" si="11"/>
        <v>0.53157894736842104</v>
      </c>
      <c r="K46" s="17">
        <f t="shared" ca="1" si="11"/>
        <v>0.62912621359223297</v>
      </c>
      <c r="L46" s="17">
        <f t="shared" ca="1" si="11"/>
        <v>0.71145374449339205</v>
      </c>
      <c r="M46" s="17">
        <f t="shared" ca="1" si="11"/>
        <v>0.76515151515151514</v>
      </c>
      <c r="N46" s="17">
        <f t="shared" ca="1" si="11"/>
        <v>0.68489583333333337</v>
      </c>
      <c r="O46" s="17">
        <f t="shared" ca="1" si="11"/>
        <v>0.3888888888888889</v>
      </c>
      <c r="P46" s="17">
        <f t="shared" ca="1" si="11"/>
        <v>0.58291457286432158</v>
      </c>
      <c r="Q46" s="17">
        <f t="shared" ca="1" si="11"/>
        <v>0.6945244956772334</v>
      </c>
      <c r="R46" s="17">
        <f t="shared" ca="1" si="11"/>
        <v>0.60330578512396693</v>
      </c>
      <c r="S46" s="17">
        <f t="shared" ca="1" si="11"/>
        <v>0.62812499999999993</v>
      </c>
      <c r="T46" s="17">
        <f t="shared" ca="1" si="11"/>
        <v>0.55519480519480513</v>
      </c>
      <c r="U46" s="17">
        <f t="shared" ca="1" si="11"/>
        <v>0.73160173160173159</v>
      </c>
      <c r="V46" s="56"/>
      <c r="W46" s="56"/>
      <c r="X46" s="56"/>
    </row>
    <row r="47" spans="1:24" x14ac:dyDescent="0.25">
      <c r="A47" t="str">
        <f>IFERROR(INDEX('2019 Data (WP)'!$C$9:$C$73,MATCH($B47,'2019 Data (WP)'!$D$9:$D$73,0)),"")</f>
        <v>Natural Gas Utility</v>
      </c>
      <c r="B47" t="s">
        <v>26</v>
      </c>
      <c r="C47" t="s">
        <v>62</v>
      </c>
      <c r="D47" s="35">
        <f t="shared" ref="D47:D78" ca="1" si="13">MATCH(B47,OFFSET(CashFlow,0,0,,1),0)</f>
        <v>43</v>
      </c>
      <c r="E47" s="35">
        <f t="shared" ref="E47:E78" ca="1" si="14">MATCH(B47,OFFSET(CapSpending,0,0,,1),0)</f>
        <v>42</v>
      </c>
      <c r="F47" s="35"/>
      <c r="G47" s="17">
        <f t="shared" ca="1" si="12"/>
        <v>0.70142602495543671</v>
      </c>
      <c r="H47" s="17">
        <f t="shared" ca="1" si="12"/>
        <v>0.67182531269874923</v>
      </c>
      <c r="I47" s="17">
        <f t="shared" ca="1" si="11"/>
        <v>0.57812819987712472</v>
      </c>
      <c r="J47" s="17">
        <f t="shared" ca="1" si="11"/>
        <v>0.41216216216216212</v>
      </c>
      <c r="K47" s="17">
        <f t="shared" ca="1" si="11"/>
        <v>0.59320920043811609</v>
      </c>
      <c r="L47" s="17">
        <f t="shared" ca="1" si="11"/>
        <v>0.53142589118198869</v>
      </c>
      <c r="M47" s="17">
        <f t="shared" ca="1" si="11"/>
        <v>0.56005608350210323</v>
      </c>
      <c r="N47" s="17">
        <f t="shared" ca="1" si="11"/>
        <v>0.56816285666611044</v>
      </c>
      <c r="O47" s="17">
        <f t="shared" ca="1" si="11"/>
        <v>0.64886128364389228</v>
      </c>
      <c r="P47" s="17">
        <f t="shared" ca="1" si="11"/>
        <v>0.74824473420260784</v>
      </c>
      <c r="Q47" s="17">
        <f t="shared" ca="1" si="11"/>
        <v>1.108408617095205</v>
      </c>
      <c r="R47" s="17">
        <f t="shared" ca="1" si="11"/>
        <v>1.0551994301994303</v>
      </c>
      <c r="S47" s="17">
        <f t="shared" ca="1" si="11"/>
        <v>0.93834841628959276</v>
      </c>
      <c r="T47" s="17">
        <f t="shared" ca="1" si="11"/>
        <v>1.1144347826086958</v>
      </c>
      <c r="U47" s="17">
        <f t="shared" ca="1" si="11"/>
        <v>1.3658222413052812</v>
      </c>
      <c r="V47" s="56"/>
      <c r="W47" s="56"/>
      <c r="X47" s="56"/>
    </row>
    <row r="48" spans="1:24" x14ac:dyDescent="0.25">
      <c r="A48" t="str">
        <f>IFERROR(INDEX('2019 Data (WP)'!$C$9:$C$73,MATCH($B48,'2019 Data (WP)'!$D$9:$D$73,0)),"")</f>
        <v>Natural Gas Utility</v>
      </c>
      <c r="B48" s="31" t="s">
        <v>192</v>
      </c>
      <c r="C48" s="31" t="s">
        <v>191</v>
      </c>
      <c r="D48" s="35">
        <f t="shared" ca="1" si="13"/>
        <v>44</v>
      </c>
      <c r="E48" s="35">
        <f t="shared" ca="1" si="14"/>
        <v>43</v>
      </c>
      <c r="F48" s="35"/>
      <c r="G48" s="17">
        <f t="shared" ca="1" si="12"/>
        <v>0.61929652618969844</v>
      </c>
      <c r="H48" s="17">
        <f t="shared" ca="1" si="12"/>
        <v>0.6472141868947302</v>
      </c>
      <c r="I48" s="17">
        <f t="shared" ca="1" si="11"/>
        <v>0.71030678148546822</v>
      </c>
      <c r="J48" s="17">
        <f t="shared" ca="1" si="11"/>
        <v>0.14018565854971077</v>
      </c>
      <c r="K48" s="17">
        <f t="shared" ca="1" si="11"/>
        <v>1.0119023189000615</v>
      </c>
      <c r="L48" s="17">
        <f t="shared" ca="1" si="11"/>
        <v>1.1233409610983982</v>
      </c>
      <c r="M48" s="17">
        <f t="shared" ca="1" si="11"/>
        <v>1.1481144934120855</v>
      </c>
      <c r="N48" s="17">
        <f t="shared" ca="1" si="11"/>
        <v>0.98206977197427392</v>
      </c>
      <c r="O48" s="17">
        <f t="shared" ca="1" si="11"/>
        <v>1.0063200815494393</v>
      </c>
      <c r="P48" s="17">
        <f t="shared" ca="1" si="11"/>
        <v>1.3321799307958477</v>
      </c>
      <c r="Q48" s="17">
        <f t="shared" ca="1" si="11"/>
        <v>0.55448615121377387</v>
      </c>
      <c r="R48" s="17">
        <f t="shared" ca="1" si="11"/>
        <v>1.0208128804241114</v>
      </c>
      <c r="S48" s="17">
        <f t="shared" ca="1" si="11"/>
        <v>1.3524464831804281</v>
      </c>
      <c r="T48" s="17">
        <f t="shared" ca="1" si="11"/>
        <v>1.2081751172660262</v>
      </c>
      <c r="U48" s="17">
        <f t="shared" ca="1" si="11"/>
        <v>1.3355780022446688</v>
      </c>
      <c r="V48" s="56"/>
      <c r="W48" s="56"/>
      <c r="X48" s="56"/>
    </row>
    <row r="49" spans="1:24" x14ac:dyDescent="0.25">
      <c r="A49" t="str">
        <f>IFERROR(INDEX('2019 Data (WP)'!$C$9:$C$73,MATCH($B49,'2019 Data (WP)'!$D$9:$D$73,0)),"")</f>
        <v>Electric Utility (West)</v>
      </c>
      <c r="B49" t="str">
        <f>"NWE"</f>
        <v>NWE</v>
      </c>
      <c r="C49" t="s">
        <v>94</v>
      </c>
      <c r="D49" s="35">
        <f t="shared" ca="1" si="13"/>
        <v>45</v>
      </c>
      <c r="E49" s="35">
        <f t="shared" ca="1" si="14"/>
        <v>44</v>
      </c>
      <c r="F49" s="35"/>
      <c r="G49" s="17">
        <f t="shared" ca="1" si="12"/>
        <v>0.83742675476873196</v>
      </c>
      <c r="H49" s="17">
        <f t="shared" ca="1" si="12"/>
        <v>1.1293103448275861</v>
      </c>
      <c r="I49" s="17">
        <f t="shared" ca="1" si="11"/>
        <v>1.2332092858408648</v>
      </c>
      <c r="J49" s="17">
        <f t="shared" ca="1" si="11"/>
        <v>1.2068226469012322</v>
      </c>
      <c r="K49" s="17">
        <f t="shared" ca="1" si="11"/>
        <v>1.130938391807957</v>
      </c>
      <c r="L49" s="17">
        <f t="shared" ca="1" si="11"/>
        <v>1.0059432840889795</v>
      </c>
      <c r="M49" s="17">
        <f t="shared" ca="1" si="11"/>
        <v>0.93492972410203024</v>
      </c>
      <c r="N49" s="17">
        <f t="shared" ca="1" si="11"/>
        <v>0.91661062542030924</v>
      </c>
      <c r="O49" s="17">
        <f t="shared" ca="1" si="11"/>
        <v>0.87979626485568774</v>
      </c>
      <c r="P49" s="17">
        <f t="shared" ca="1" si="11"/>
        <v>1.0420991926182239</v>
      </c>
      <c r="Q49" s="17">
        <f t="shared" ca="1" si="11"/>
        <v>0.75583055687767731</v>
      </c>
      <c r="R49" s="17">
        <f t="shared" ca="1" si="11"/>
        <v>0.87811370983076631</v>
      </c>
      <c r="S49" s="17">
        <f t="shared" ca="1" si="11"/>
        <v>1.2699740409576001</v>
      </c>
      <c r="T49" s="17">
        <f t="shared" ca="1" si="11"/>
        <v>1.2330226364846872</v>
      </c>
      <c r="U49" s="17">
        <f t="shared" ca="1" si="11"/>
        <v>1.2883588465646136</v>
      </c>
      <c r="V49" s="56"/>
      <c r="W49" s="56"/>
      <c r="X49" s="56"/>
    </row>
    <row r="50" spans="1:24" x14ac:dyDescent="0.25">
      <c r="A50" t="str">
        <f>IFERROR(INDEX('2019 Data (WP)'!$C$9:$C$73,MATCH($B50,'2019 Data (WP)'!$D$9:$D$73,0)),"")</f>
        <v>Electric Util. (Central)</v>
      </c>
      <c r="B50" t="s">
        <v>27</v>
      </c>
      <c r="C50" t="s">
        <v>67</v>
      </c>
      <c r="D50" s="35">
        <f t="shared" ca="1" si="13"/>
        <v>46</v>
      </c>
      <c r="E50" s="35">
        <f t="shared" ca="1" si="14"/>
        <v>45</v>
      </c>
      <c r="F50" s="35"/>
      <c r="G50" s="17">
        <f t="shared" ca="1" si="12"/>
        <v>1.2408489695478315</v>
      </c>
      <c r="H50" s="17">
        <f t="shared" ca="1" si="12"/>
        <v>1.2660579345088161</v>
      </c>
      <c r="I50" s="17">
        <f t="shared" ca="1" si="11"/>
        <v>1.3025766016713092</v>
      </c>
      <c r="J50" s="17">
        <f t="shared" ca="1" si="11"/>
        <v>0.81027380663920523</v>
      </c>
      <c r="K50" s="17">
        <f t="shared" ca="1" si="11"/>
        <v>1.0012102874432678</v>
      </c>
      <c r="L50" s="17">
        <f t="shared" ca="1" si="11"/>
        <v>1.178271965001823</v>
      </c>
      <c r="M50" s="17">
        <f t="shared" ca="1" si="11"/>
        <v>1.1894921190893171</v>
      </c>
      <c r="N50" s="17">
        <f t="shared" ca="1" si="11"/>
        <v>0.69278557114228456</v>
      </c>
      <c r="O50" s="17">
        <f t="shared" ca="1" si="11"/>
        <v>0.63085070037581137</v>
      </c>
      <c r="P50" s="17">
        <f t="shared" ca="1" si="11"/>
        <v>0.51166023166023167</v>
      </c>
      <c r="Q50" s="17">
        <f t="shared" ca="1" si="11"/>
        <v>0.69012147604859042</v>
      </c>
      <c r="R50" s="17">
        <f t="shared" ca="1" si="11"/>
        <v>0.61441647597254001</v>
      </c>
      <c r="S50" s="17">
        <f t="shared" ca="1" si="11"/>
        <v>0.59860383944153572</v>
      </c>
      <c r="T50" s="17">
        <f t="shared" ca="1" si="11"/>
        <v>0.78801843317972364</v>
      </c>
      <c r="U50" s="17">
        <f t="shared" ca="1" si="11"/>
        <v>0.83733133433283358</v>
      </c>
      <c r="V50" s="56"/>
      <c r="W50" s="56"/>
      <c r="X50" s="56"/>
    </row>
    <row r="51" spans="1:24" x14ac:dyDescent="0.25">
      <c r="A51" t="str">
        <f>IFERROR(INDEX('2019 Data (WP)'!$C$9:$C$73,MATCH($B51,'2019 Data (WP)'!$D$9:$D$73,0)),"")</f>
        <v>Natural Gas Utility</v>
      </c>
      <c r="B51" t="s">
        <v>345</v>
      </c>
      <c r="C51" t="s">
        <v>348</v>
      </c>
      <c r="D51" s="35">
        <f t="shared" ca="1" si="13"/>
        <v>47</v>
      </c>
      <c r="E51" s="35">
        <f t="shared" ca="1" si="14"/>
        <v>46</v>
      </c>
      <c r="F51" s="35"/>
      <c r="G51" s="17">
        <f t="shared" ca="1" si="12"/>
        <v>0.83023124647490132</v>
      </c>
      <c r="H51" s="17">
        <f t="shared" ca="1" si="12"/>
        <v>0.87974203338391499</v>
      </c>
      <c r="I51" s="17">
        <f t="shared" ca="1" si="11"/>
        <v>0.84248400852878469</v>
      </c>
      <c r="J51" s="17">
        <f t="shared" ca="1" si="11"/>
        <v>0.87492660011743972</v>
      </c>
      <c r="K51" s="17">
        <f t="shared" ca="1" si="11"/>
        <v>0.91864005412719896</v>
      </c>
      <c r="L51" s="17">
        <f t="shared" ca="1" si="11"/>
        <v>0.85635653409090917</v>
      </c>
      <c r="M51" s="17">
        <f t="shared" ca="1" si="11"/>
        <v>0.79277699859747552</v>
      </c>
      <c r="N51" s="17" t="str">
        <f t="shared" ca="1" si="11"/>
        <v>N/A</v>
      </c>
      <c r="O51" s="17" t="str">
        <f t="shared" ca="1" si="11"/>
        <v>N/A</v>
      </c>
      <c r="P51" s="17" t="str">
        <f t="shared" ca="1" si="11"/>
        <v>N/A</v>
      </c>
      <c r="Q51" s="17" t="str">
        <f t="shared" ca="1" si="11"/>
        <v>N/A</v>
      </c>
      <c r="R51" s="17" t="str">
        <f t="shared" ca="1" si="11"/>
        <v>N/A</v>
      </c>
      <c r="S51" s="17" t="str">
        <f t="shared" ca="1" si="11"/>
        <v>N/A</v>
      </c>
      <c r="T51" s="17" t="str">
        <f t="shared" ca="1" si="11"/>
        <v>N/A</v>
      </c>
      <c r="U51" s="17" t="str">
        <f t="shared" ca="1" si="11"/>
        <v>N/A</v>
      </c>
      <c r="V51" s="56"/>
      <c r="W51" s="56"/>
      <c r="X51" s="56"/>
    </row>
    <row r="52" spans="1:24" x14ac:dyDescent="0.25">
      <c r="A52" t="str">
        <f>IFERROR(INDEX('2019 Data (WP)'!$C$9:$C$73,MATCH($B52,'2019 Data (WP)'!$D$9:$D$73,0)),"")</f>
        <v>Electric Util. (Central)</v>
      </c>
      <c r="B52" t="s">
        <v>28</v>
      </c>
      <c r="C52" t="s">
        <v>68</v>
      </c>
      <c r="D52" s="35">
        <f t="shared" ca="1" si="13"/>
        <v>48</v>
      </c>
      <c r="E52" s="35">
        <f t="shared" ca="1" si="14"/>
        <v>47</v>
      </c>
      <c r="F52" s="35"/>
      <c r="G52" s="17">
        <f t="shared" ca="1" si="12"/>
        <v>0.47879464285714279</v>
      </c>
      <c r="H52" s="17">
        <f t="shared" ca="1" si="12"/>
        <v>0.79531371030209153</v>
      </c>
      <c r="I52" s="17">
        <f t="shared" ca="1" si="11"/>
        <v>1.489089541008277</v>
      </c>
      <c r="J52" s="17">
        <f t="shared" ca="1" si="11"/>
        <v>1.1014880952380952</v>
      </c>
      <c r="K52" s="17">
        <f t="shared" ca="1" si="11"/>
        <v>0.84016593460224509</v>
      </c>
      <c r="L52" s="17">
        <f t="shared" ca="1" si="11"/>
        <v>0.74296524000945852</v>
      </c>
      <c r="M52" s="17">
        <f t="shared" ca="1" si="11"/>
        <v>0.70284414106939708</v>
      </c>
      <c r="N52" s="17">
        <f t="shared" ca="1" si="11"/>
        <v>0.66607851786501993</v>
      </c>
      <c r="O52" s="17">
        <f t="shared" ca="1" si="11"/>
        <v>0.84629803186504216</v>
      </c>
      <c r="P52" s="17">
        <f t="shared" ca="1" si="11"/>
        <v>1.1582557569818717</v>
      </c>
      <c r="Q52" s="17">
        <f t="shared" ca="1" si="11"/>
        <v>1.0921329406815314</v>
      </c>
      <c r="R52" s="17">
        <f t="shared" ca="1" si="11"/>
        <v>0.55843105539830173</v>
      </c>
      <c r="S52" s="17">
        <f t="shared" ca="1" si="11"/>
        <v>0.37410167686984291</v>
      </c>
      <c r="T52" s="17">
        <f t="shared" ca="1" si="11"/>
        <v>0.65468951538603282</v>
      </c>
      <c r="U52" s="17">
        <f t="shared" ca="1" si="11"/>
        <v>1.4400510204081634</v>
      </c>
      <c r="V52" s="59"/>
      <c r="W52" s="59"/>
      <c r="X52" s="56"/>
    </row>
    <row r="53" spans="1:24" x14ac:dyDescent="0.25">
      <c r="A53" t="str">
        <f>IFERROR(INDEX('2019 Data (WP)'!$C$9:$C$73,MATCH($B53,'2019 Data (WP)'!$D$9:$D$73,0)),"")</f>
        <v/>
      </c>
      <c r="B53" t="s">
        <v>29</v>
      </c>
      <c r="C53" t="s">
        <v>73</v>
      </c>
      <c r="D53" s="35" t="e">
        <f t="shared" ca="1" si="13"/>
        <v>#N/A</v>
      </c>
      <c r="E53" s="35" t="e">
        <f t="shared" ca="1" si="14"/>
        <v>#N/A</v>
      </c>
      <c r="F53" s="35"/>
      <c r="G53" s="17" t="str">
        <f t="shared" ca="1" si="12"/>
        <v>N/A</v>
      </c>
      <c r="H53" s="17" t="str">
        <f t="shared" ca="1" si="12"/>
        <v>N/A</v>
      </c>
      <c r="I53" s="17" t="str">
        <f t="shared" ca="1" si="11"/>
        <v>N/A</v>
      </c>
      <c r="J53" s="17" t="str">
        <f t="shared" ca="1" si="11"/>
        <v>N/A</v>
      </c>
      <c r="K53" s="17" t="str">
        <f t="shared" ca="1" si="11"/>
        <v>N/A</v>
      </c>
      <c r="L53" s="17" t="str">
        <f t="shared" ca="1" si="11"/>
        <v>N/A</v>
      </c>
      <c r="M53" s="17" t="str">
        <f t="shared" ca="1" si="11"/>
        <v>N/A</v>
      </c>
      <c r="N53" s="17" t="str">
        <f t="shared" ca="1" si="11"/>
        <v>N/A</v>
      </c>
      <c r="O53" s="17" t="str">
        <f t="shared" ca="1" si="11"/>
        <v>N/A</v>
      </c>
      <c r="P53" s="17" t="str">
        <f t="shared" ca="1" si="11"/>
        <v>N/A</v>
      </c>
      <c r="Q53" s="17" t="str">
        <f t="shared" ca="1" si="11"/>
        <v>N/A</v>
      </c>
      <c r="R53" s="17" t="str">
        <f t="shared" ca="1" si="11"/>
        <v>N/A</v>
      </c>
      <c r="S53" s="17" t="str">
        <f t="shared" ca="1" si="11"/>
        <v>N/A</v>
      </c>
      <c r="T53" s="17" t="str">
        <f t="shared" ca="1" si="11"/>
        <v>N/A</v>
      </c>
      <c r="U53" s="17" t="str">
        <f t="shared" ca="1" si="11"/>
        <v>N/A</v>
      </c>
      <c r="V53" s="56"/>
      <c r="W53" s="56"/>
      <c r="X53" s="56"/>
    </row>
    <row r="54" spans="1:24" x14ac:dyDescent="0.25">
      <c r="A54" t="str">
        <f>IFERROR(INDEX('2019 Data (WP)'!$C$9:$C$73,MATCH($B54,'2019 Data (WP)'!$D$9:$D$73,0)),"")</f>
        <v>Electric Utility (West)</v>
      </c>
      <c r="B54" t="s">
        <v>30</v>
      </c>
      <c r="C54" t="s">
        <v>71</v>
      </c>
      <c r="D54" s="35">
        <f t="shared" ca="1" si="13"/>
        <v>49</v>
      </c>
      <c r="E54" s="35">
        <f t="shared" ca="1" si="14"/>
        <v>48</v>
      </c>
      <c r="F54" s="35"/>
      <c r="G54" s="17">
        <f t="shared" ca="1" si="12"/>
        <v>0.28129032258064518</v>
      </c>
      <c r="H54" s="17">
        <f t="shared" ca="1" si="12"/>
        <v>-0.69827297116029508</v>
      </c>
      <c r="I54" s="17">
        <f t="shared" ca="1" si="11"/>
        <v>-0.58351306014857418</v>
      </c>
      <c r="J54" s="17">
        <f t="shared" ca="1" si="11"/>
        <v>0.82379779176932211</v>
      </c>
      <c r="K54" s="17">
        <f t="shared" ca="1" si="11"/>
        <v>0.73079996448548346</v>
      </c>
      <c r="L54" s="17">
        <f t="shared" ca="1" si="11"/>
        <v>0.69317101008179571</v>
      </c>
      <c r="M54" s="17">
        <f t="shared" ca="1" si="11"/>
        <v>0.80059084194977859</v>
      </c>
      <c r="N54" s="17">
        <f t="shared" ca="1" si="11"/>
        <v>0.55525346430450806</v>
      </c>
      <c r="O54" s="17">
        <f t="shared" ca="1" si="11"/>
        <v>0.6814456035767511</v>
      </c>
      <c r="P54" s="17">
        <f t="shared" ca="1" si="11"/>
        <v>0.82542113323124056</v>
      </c>
      <c r="Q54" s="17">
        <f t="shared" ca="1" si="11"/>
        <v>0.8547817047817049</v>
      </c>
      <c r="R54" s="17">
        <f t="shared" ca="1" si="11"/>
        <v>0.78342696629213493</v>
      </c>
      <c r="S54" s="17">
        <f t="shared" ca="1" si="11"/>
        <v>0.83986863057324845</v>
      </c>
      <c r="T54" s="17">
        <f t="shared" ca="1" si="11"/>
        <v>1.0245273377618804</v>
      </c>
      <c r="U54" s="17">
        <f t="shared" ca="1" si="11"/>
        <v>1.1240579710144927</v>
      </c>
      <c r="V54" s="56"/>
      <c r="W54" s="56"/>
      <c r="X54" s="56"/>
    </row>
    <row r="55" spans="1:24" x14ac:dyDescent="0.25">
      <c r="A55" t="str">
        <f>IFERROR(INDEX('2019 Data (WP)'!$C$9:$C$73,MATCH($B55,'2019 Data (WP)'!$D$9:$D$73,0)),"")</f>
        <v>Electric Utility (West)</v>
      </c>
      <c r="B55" t="s">
        <v>31</v>
      </c>
      <c r="C55" t="s">
        <v>72</v>
      </c>
      <c r="D55" s="35">
        <f t="shared" ca="1" si="13"/>
        <v>50</v>
      </c>
      <c r="E55" s="35">
        <f t="shared" ca="1" si="14"/>
        <v>49</v>
      </c>
      <c r="F55" s="35"/>
      <c r="G55" s="17">
        <f t="shared" ca="1" si="12"/>
        <v>0.91055411182831758</v>
      </c>
      <c r="H55" s="17">
        <f t="shared" ca="1" si="12"/>
        <v>1.0347551342812007</v>
      </c>
      <c r="I55" s="17">
        <f t="shared" ref="I55:U64" ca="1" si="15">IFERROR(INDEX(CashFlow,$D55,I$2)/INDEX(CapSpending,$E55,I$2),"N/A")</f>
        <v>1.0626979690702441</v>
      </c>
      <c r="J55" s="17">
        <f t="shared" ca="1" si="15"/>
        <v>0.76429240862230552</v>
      </c>
      <c r="K55" s="17">
        <f t="shared" ca="1" si="15"/>
        <v>0.80687580575848727</v>
      </c>
      <c r="L55" s="17">
        <f t="shared" ca="1" si="15"/>
        <v>0.92360052829421913</v>
      </c>
      <c r="M55" s="17">
        <f t="shared" ca="1" si="15"/>
        <v>0.96537726838586446</v>
      </c>
      <c r="N55" s="17">
        <f t="shared" ca="1" si="15"/>
        <v>0.871246928090608</v>
      </c>
      <c r="O55" s="17">
        <f t="shared" ca="1" si="15"/>
        <v>0.96032516379519528</v>
      </c>
      <c r="P55" s="17">
        <f t="shared" ca="1" si="15"/>
        <v>0.91056517003509618</v>
      </c>
      <c r="Q55" s="17">
        <f t="shared" ca="1" si="15"/>
        <v>0.97356076759061838</v>
      </c>
      <c r="R55" s="17">
        <f t="shared" ca="1" si="15"/>
        <v>1.0567765567765566</v>
      </c>
      <c r="S55" s="17">
        <f t="shared" ca="1" si="15"/>
        <v>0.85983086680761101</v>
      </c>
      <c r="T55" s="17">
        <f t="shared" ca="1" si="15"/>
        <v>0.99167644861807691</v>
      </c>
      <c r="U55" s="17">
        <f t="shared" ca="1" si="15"/>
        <v>1.2773020682387037</v>
      </c>
      <c r="V55" s="56"/>
      <c r="W55" s="56"/>
      <c r="X55" s="56"/>
    </row>
    <row r="56" spans="1:24" x14ac:dyDescent="0.25">
      <c r="A56" t="str">
        <f>IFERROR(INDEX('2019 Data (WP)'!$C$9:$C$73,MATCH($B56,'2019 Data (WP)'!$D$9:$D$73,0)),"")</f>
        <v>Electric Utility (West)</v>
      </c>
      <c r="B56" t="s">
        <v>32</v>
      </c>
      <c r="C56" t="s">
        <v>74</v>
      </c>
      <c r="D56" s="35">
        <f t="shared" ca="1" si="13"/>
        <v>51</v>
      </c>
      <c r="E56" s="35">
        <f t="shared" ca="1" si="14"/>
        <v>50</v>
      </c>
      <c r="F56" s="35"/>
      <c r="G56" s="17">
        <f t="shared" ca="1" si="12"/>
        <v>0.71786120591581348</v>
      </c>
      <c r="H56" s="17">
        <f t="shared" ca="1" si="12"/>
        <v>0.78428331394597384</v>
      </c>
      <c r="I56" s="17">
        <f t="shared" ca="1" si="15"/>
        <v>0.8150031786395423</v>
      </c>
      <c r="J56" s="17">
        <f t="shared" ca="1" si="15"/>
        <v>0.84338691707782909</v>
      </c>
      <c r="K56" s="17">
        <f t="shared" ca="1" si="15"/>
        <v>0.5682240509689408</v>
      </c>
      <c r="L56" s="17">
        <f t="shared" ca="1" si="15"/>
        <v>0.56723228290317984</v>
      </c>
      <c r="M56" s="17">
        <f t="shared" ca="1" si="15"/>
        <v>0.62597267854054983</v>
      </c>
      <c r="N56" s="17">
        <f t="shared" ca="1" si="15"/>
        <v>0.80407415884641797</v>
      </c>
      <c r="O56" s="17">
        <f t="shared" ca="1" si="15"/>
        <v>0.87158329035585347</v>
      </c>
      <c r="P56" s="17">
        <f t="shared" ca="1" si="15"/>
        <v>0.7743664717348927</v>
      </c>
      <c r="Q56" s="17">
        <f t="shared" ca="1" si="15"/>
        <v>0.82112068965517226</v>
      </c>
      <c r="R56" s="17">
        <f t="shared" ca="1" si="15"/>
        <v>0.69756244357508279</v>
      </c>
      <c r="S56" s="17">
        <f t="shared" ca="1" si="15"/>
        <v>0.44054189663823379</v>
      </c>
      <c r="T56" s="17">
        <f t="shared" ca="1" si="15"/>
        <v>0.42772911051212942</v>
      </c>
      <c r="U56" s="17">
        <f t="shared" ca="1" si="15"/>
        <v>0.88550185873605947</v>
      </c>
      <c r="V56" s="56"/>
      <c r="W56" s="56"/>
      <c r="X56" s="56"/>
    </row>
    <row r="57" spans="1:24" x14ac:dyDescent="0.25">
      <c r="A57" t="str">
        <f>IFERROR(INDEX('2019 Data (WP)'!$C$9:$C$73,MATCH($B57,'2019 Data (WP)'!$D$9:$D$73,0)),"")</f>
        <v>Electric Utility (West)</v>
      </c>
      <c r="B57" t="s">
        <v>33</v>
      </c>
      <c r="C57" t="s">
        <v>92</v>
      </c>
      <c r="D57" s="35">
        <f t="shared" ca="1" si="13"/>
        <v>52</v>
      </c>
      <c r="E57" s="35">
        <f t="shared" ca="1" si="14"/>
        <v>51</v>
      </c>
      <c r="F57" s="35"/>
      <c r="G57" s="17">
        <f t="shared" ca="1" si="12"/>
        <v>0.77683873915029689</v>
      </c>
      <c r="H57" s="17">
        <f t="shared" ca="1" si="12"/>
        <v>1.028175247086591</v>
      </c>
      <c r="I57" s="17">
        <f t="shared" ca="1" si="15"/>
        <v>0.9983495873968492</v>
      </c>
      <c r="J57" s="17">
        <f t="shared" ca="1" si="15"/>
        <v>1.0681345353675451</v>
      </c>
      <c r="K57" s="17">
        <f t="shared" ca="1" si="15"/>
        <v>0.88014011574779172</v>
      </c>
      <c r="L57" s="17">
        <f t="shared" ca="1" si="15"/>
        <v>0.7976243504083147</v>
      </c>
      <c r="M57" s="17">
        <f t="shared" ca="1" si="15"/>
        <v>0.47269478753981203</v>
      </c>
      <c r="N57" s="17">
        <f t="shared" ca="1" si="15"/>
        <v>0.58683490060707055</v>
      </c>
      <c r="O57" s="17">
        <f t="shared" ca="1" si="15"/>
        <v>1.283790523690773</v>
      </c>
      <c r="P57" s="17">
        <f t="shared" ca="1" si="15"/>
        <v>1.2466716905300177</v>
      </c>
      <c r="Q57" s="17">
        <f t="shared" ca="1" si="15"/>
        <v>0.80669456066945622</v>
      </c>
      <c r="R57" s="17">
        <f t="shared" ca="1" si="15"/>
        <v>0.43970175059433758</v>
      </c>
      <c r="S57" s="17">
        <f t="shared" ca="1" si="15"/>
        <v>0.77013559875837279</v>
      </c>
      <c r="T57" s="17">
        <f t="shared" ca="1" si="15"/>
        <v>0.71650405386835236</v>
      </c>
      <c r="U57" s="17">
        <f t="shared" ca="1" si="15"/>
        <v>0.78167115902964956</v>
      </c>
      <c r="V57" s="56"/>
      <c r="W57" s="56"/>
      <c r="X57" s="56"/>
    </row>
    <row r="58" spans="1:24" x14ac:dyDescent="0.25">
      <c r="A58" t="str">
        <f>IFERROR(INDEX('2019 Data (WP)'!$C$9:$C$73,MATCH($B58,'2019 Data (WP)'!$D$9:$D$73,0)),"")</f>
        <v>Electric Utility (East)</v>
      </c>
      <c r="B58" t="s">
        <v>34</v>
      </c>
      <c r="C58" t="s">
        <v>70</v>
      </c>
      <c r="D58" s="35">
        <f t="shared" ca="1" si="13"/>
        <v>53</v>
      </c>
      <c r="E58" s="35">
        <f t="shared" ca="1" si="14"/>
        <v>52</v>
      </c>
      <c r="F58" s="35"/>
      <c r="G58" s="17">
        <f t="shared" ca="1" si="12"/>
        <v>0.9020118343195267</v>
      </c>
      <c r="H58" s="17">
        <f t="shared" ca="1" si="12"/>
        <v>0.98158287705326042</v>
      </c>
      <c r="I58" s="17">
        <f t="shared" ca="1" si="15"/>
        <v>0.92614015572858732</v>
      </c>
      <c r="J58" s="17">
        <f t="shared" ca="1" si="15"/>
        <v>0.81518370960602038</v>
      </c>
      <c r="K58" s="17">
        <f t="shared" ca="1" si="15"/>
        <v>0.99581005586592164</v>
      </c>
      <c r="L58" s="17">
        <f t="shared" ca="1" si="15"/>
        <v>0.72038909021552544</v>
      </c>
      <c r="M58" s="17">
        <f t="shared" ca="1" si="15"/>
        <v>0.74523848282598082</v>
      </c>
      <c r="N58" s="17">
        <f t="shared" ca="1" si="15"/>
        <v>0.69425321759952108</v>
      </c>
      <c r="O58" s="17">
        <f t="shared" ca="1" si="15"/>
        <v>0.90742128935532218</v>
      </c>
      <c r="P58" s="17">
        <f t="shared" ca="1" si="15"/>
        <v>1.0674418604651164</v>
      </c>
      <c r="Q58" s="17">
        <f t="shared" ca="1" si="15"/>
        <v>1.1077481840193706</v>
      </c>
      <c r="R58" s="17">
        <f t="shared" ca="1" si="15"/>
        <v>1.0668103448275861</v>
      </c>
      <c r="S58" s="17">
        <f t="shared" ca="1" si="15"/>
        <v>1.245377707342842</v>
      </c>
      <c r="T58" s="17">
        <f t="shared" ca="1" si="15"/>
        <v>1.1300398759415151</v>
      </c>
      <c r="U58" s="17">
        <f t="shared" ca="1" si="15"/>
        <v>1.1765193370165747</v>
      </c>
      <c r="V58" s="56"/>
      <c r="W58" s="56"/>
      <c r="X58" s="56"/>
    </row>
    <row r="59" spans="1:24" x14ac:dyDescent="0.25">
      <c r="A59" t="str">
        <f>IFERROR(INDEX('2019 Data (WP)'!$C$9:$C$73,MATCH($B59,'2019 Data (WP)'!$D$9:$D$73,0)),"")</f>
        <v>Electric Utility (East)</v>
      </c>
      <c r="B59" t="s">
        <v>35</v>
      </c>
      <c r="C59" t="s">
        <v>75</v>
      </c>
      <c r="D59" s="35">
        <f t="shared" ca="1" si="13"/>
        <v>54</v>
      </c>
      <c r="E59" s="35">
        <f t="shared" ca="1" si="14"/>
        <v>53</v>
      </c>
      <c r="F59" s="35"/>
      <c r="G59" s="17">
        <f t="shared" ca="1" si="12"/>
        <v>1.1282758620689655</v>
      </c>
      <c r="H59" s="17">
        <f t="shared" ca="1" si="12"/>
        <v>1.0754536771728749</v>
      </c>
      <c r="I59" s="17">
        <f t="shared" ca="1" si="15"/>
        <v>0.70136562741561459</v>
      </c>
      <c r="J59" s="17">
        <f t="shared" ca="1" si="15"/>
        <v>0.63914667952271897</v>
      </c>
      <c r="K59" s="17">
        <f t="shared" ca="1" si="15"/>
        <v>0.60971504148130329</v>
      </c>
      <c r="L59" s="17">
        <f t="shared" ca="1" si="15"/>
        <v>0.80405493786788762</v>
      </c>
      <c r="M59" s="17">
        <f t="shared" ca="1" si="15"/>
        <v>1.0443049327354259</v>
      </c>
      <c r="N59" s="17">
        <f t="shared" ca="1" si="15"/>
        <v>0.92945834083138379</v>
      </c>
      <c r="O59" s="17">
        <f t="shared" ca="1" si="15"/>
        <v>0.95813679245283012</v>
      </c>
      <c r="P59" s="17">
        <f t="shared" ca="1" si="15"/>
        <v>1.3019188729657518</v>
      </c>
      <c r="Q59" s="17">
        <f t="shared" ca="1" si="15"/>
        <v>1.2347153900210821</v>
      </c>
      <c r="R59" s="17">
        <f t="shared" ca="1" si="15"/>
        <v>1.4055273547659335</v>
      </c>
      <c r="S59" s="17">
        <f t="shared" ca="1" si="15"/>
        <v>1.3365714285714285</v>
      </c>
      <c r="T59" s="17">
        <f t="shared" ca="1" si="15"/>
        <v>1.6439079592606562</v>
      </c>
      <c r="U59" s="17">
        <f t="shared" ca="1" si="15"/>
        <v>1.944748631159781</v>
      </c>
      <c r="V59" s="56"/>
      <c r="W59" s="56"/>
      <c r="X59" s="56"/>
    </row>
    <row r="60" spans="1:24" x14ac:dyDescent="0.25">
      <c r="A60" t="str">
        <f>IFERROR(INDEX('2019 Data (WP)'!$C$9:$C$73,MATCH($B60,'2019 Data (WP)'!$D$9:$D$73,0)),"")</f>
        <v>Electric Utility (East)</v>
      </c>
      <c r="B60" t="s">
        <v>36</v>
      </c>
      <c r="C60" t="s">
        <v>76</v>
      </c>
      <c r="D60" s="35">
        <f t="shared" ca="1" si="13"/>
        <v>56</v>
      </c>
      <c r="E60" s="35">
        <f t="shared" ca="1" si="14"/>
        <v>55</v>
      </c>
      <c r="F60" s="35"/>
      <c r="G60" s="17" t="str">
        <f t="shared" ca="1" si="12"/>
        <v>N/A</v>
      </c>
      <c r="H60" s="17" t="str">
        <f t="shared" ca="1" si="12"/>
        <v>N/A</v>
      </c>
      <c r="I60" s="17" t="str">
        <f t="shared" ca="1" si="15"/>
        <v>N/A</v>
      </c>
      <c r="J60" s="17">
        <f t="shared" ca="1" si="15"/>
        <v>0.8580434275040858</v>
      </c>
      <c r="K60" s="17">
        <f t="shared" ca="1" si="15"/>
        <v>0.6592760180995475</v>
      </c>
      <c r="L60" s="17">
        <f t="shared" ca="1" si="15"/>
        <v>0.83083405626471674</v>
      </c>
      <c r="M60" s="17">
        <f t="shared" ca="1" si="15"/>
        <v>0.90303188708834292</v>
      </c>
      <c r="N60" s="17">
        <f t="shared" ca="1" si="15"/>
        <v>0.83273839877613465</v>
      </c>
      <c r="O60" s="17">
        <f t="shared" ca="1" si="15"/>
        <v>0.77261583721500371</v>
      </c>
      <c r="P60" s="17">
        <f t="shared" ca="1" si="15"/>
        <v>0.88348516015280631</v>
      </c>
      <c r="Q60" s="17">
        <f t="shared" ca="1" si="15"/>
        <v>0.85947046843177199</v>
      </c>
      <c r="R60" s="17">
        <f t="shared" ca="1" si="15"/>
        <v>0.76045883940620773</v>
      </c>
      <c r="S60" s="17">
        <f t="shared" ca="1" si="15"/>
        <v>0.76325732899022802</v>
      </c>
      <c r="T60" s="17">
        <f t="shared" ca="1" si="15"/>
        <v>0.92275506919858374</v>
      </c>
      <c r="U60" s="17">
        <f t="shared" ca="1" si="15"/>
        <v>1.2581359309276068</v>
      </c>
      <c r="V60" s="56"/>
      <c r="W60" s="56"/>
      <c r="X60" s="56"/>
    </row>
    <row r="61" spans="1:24" x14ac:dyDescent="0.25">
      <c r="A61" t="str">
        <f>IFERROR(INDEX('2019 Data (WP)'!$C$9:$C$73,MATCH($B61,'2019 Data (WP)'!$D$9:$D$73,0)),"")</f>
        <v>Electric Utility (West)</v>
      </c>
      <c r="B61" t="s">
        <v>37</v>
      </c>
      <c r="C61" t="s">
        <v>54</v>
      </c>
      <c r="D61" s="35">
        <f t="shared" ca="1" si="13"/>
        <v>57</v>
      </c>
      <c r="E61" s="35">
        <f t="shared" ca="1" si="14"/>
        <v>56</v>
      </c>
      <c r="F61" s="35"/>
      <c r="G61" s="17">
        <f t="shared" ca="1" si="12"/>
        <v>0.76557680444170262</v>
      </c>
      <c r="H61" s="17">
        <f t="shared" ca="1" si="12"/>
        <v>0.87679962237432141</v>
      </c>
      <c r="I61" s="17">
        <f t="shared" ca="1" si="15"/>
        <v>0.80075242367240629</v>
      </c>
      <c r="J61" s="17">
        <f t="shared" ca="1" si="15"/>
        <v>0.6730952835592896</v>
      </c>
      <c r="K61" s="17">
        <f t="shared" ca="1" si="15"/>
        <v>0.56381336815861327</v>
      </c>
      <c r="L61" s="17">
        <f t="shared" ca="1" si="15"/>
        <v>0.8120525529069309</v>
      </c>
      <c r="M61" s="17">
        <f t="shared" ca="1" si="15"/>
        <v>0.74191512856917496</v>
      </c>
      <c r="N61" s="17">
        <f t="shared" ca="1" si="15"/>
        <v>0.84288565725691467</v>
      </c>
      <c r="O61" s="17">
        <f t="shared" ca="1" si="15"/>
        <v>0.73171531649721222</v>
      </c>
      <c r="P61" s="17">
        <f t="shared" ca="1" si="15"/>
        <v>0.72361427486712226</v>
      </c>
      <c r="Q61" s="17">
        <f t="shared" ca="1" si="15"/>
        <v>0.90438432835820892</v>
      </c>
      <c r="R61" s="17">
        <f t="shared" ca="1" si="15"/>
        <v>1.0241103661681279</v>
      </c>
      <c r="S61" s="17">
        <f t="shared" ca="1" si="15"/>
        <v>0.87343565525383693</v>
      </c>
      <c r="T61" s="17">
        <f t="shared" ca="1" si="15"/>
        <v>0.90050655929341472</v>
      </c>
      <c r="U61" s="17">
        <f t="shared" ca="1" si="15"/>
        <v>0.92552899148117618</v>
      </c>
    </row>
    <row r="62" spans="1:24" x14ac:dyDescent="0.25">
      <c r="A62" t="str">
        <f>IFERROR(INDEX('2019 Data (WP)'!$C$9:$C$73,MATCH($B62,'2019 Data (WP)'!$D$9:$D$73,0)),"")</f>
        <v/>
      </c>
      <c r="B62" t="s">
        <v>64</v>
      </c>
      <c r="C62" t="s">
        <v>63</v>
      </c>
      <c r="D62" s="35" t="e">
        <f t="shared" ca="1" si="13"/>
        <v>#N/A</v>
      </c>
      <c r="E62" s="35" t="e">
        <f t="shared" ca="1" si="14"/>
        <v>#N/A</v>
      </c>
      <c r="F62" s="35"/>
      <c r="G62" s="17" t="str">
        <f t="shared" ca="1" si="12"/>
        <v>N/A</v>
      </c>
      <c r="H62" s="17" t="str">
        <f t="shared" ca="1" si="12"/>
        <v>N/A</v>
      </c>
      <c r="I62" s="17" t="str">
        <f t="shared" ca="1" si="15"/>
        <v>N/A</v>
      </c>
      <c r="J62" s="17" t="str">
        <f t="shared" ca="1" si="15"/>
        <v>N/A</v>
      </c>
      <c r="K62" s="17" t="str">
        <f t="shared" ca="1" si="15"/>
        <v>N/A</v>
      </c>
      <c r="L62" s="17" t="str">
        <f t="shared" ca="1" si="15"/>
        <v>N/A</v>
      </c>
      <c r="M62" s="17" t="str">
        <f t="shared" ca="1" si="15"/>
        <v>N/A</v>
      </c>
      <c r="N62" s="17" t="str">
        <f t="shared" ca="1" si="15"/>
        <v>N/A</v>
      </c>
      <c r="O62" s="17" t="str">
        <f t="shared" ca="1" si="15"/>
        <v>N/A</v>
      </c>
      <c r="P62" s="17" t="str">
        <f t="shared" ca="1" si="15"/>
        <v>N/A</v>
      </c>
      <c r="Q62" s="17" t="str">
        <f t="shared" ca="1" si="15"/>
        <v>N/A</v>
      </c>
      <c r="R62" s="17" t="str">
        <f t="shared" ca="1" si="15"/>
        <v>N/A</v>
      </c>
      <c r="S62" s="17" t="str">
        <f t="shared" ca="1" si="15"/>
        <v>N/A</v>
      </c>
      <c r="T62" s="17" t="str">
        <f t="shared" ca="1" si="15"/>
        <v>N/A</v>
      </c>
      <c r="U62" s="17" t="str">
        <f t="shared" ca="1" si="15"/>
        <v>N/A</v>
      </c>
    </row>
    <row r="63" spans="1:24" x14ac:dyDescent="0.25">
      <c r="A63" t="str">
        <f>IFERROR(INDEX('2019 Data (WP)'!$C$9:$C$73,MATCH($B63,'2019 Data (WP)'!$D$9:$D$73,0)),"")</f>
        <v>Water Utility</v>
      </c>
      <c r="B63" s="31" t="s">
        <v>196</v>
      </c>
      <c r="C63" s="31" t="s">
        <v>195</v>
      </c>
      <c r="D63" s="35">
        <f t="shared" ca="1" si="13"/>
        <v>58</v>
      </c>
      <c r="E63" s="35">
        <f t="shared" ca="1" si="14"/>
        <v>57</v>
      </c>
      <c r="F63" s="35"/>
      <c r="G63" s="17">
        <f t="shared" ca="1" si="12"/>
        <v>0.70986824415165373</v>
      </c>
      <c r="H63" s="17">
        <f t="shared" ca="1" si="12"/>
        <v>0.58630619100943848</v>
      </c>
      <c r="I63" s="17">
        <f t="shared" ca="1" si="15"/>
        <v>0.64641101278269419</v>
      </c>
      <c r="J63" s="17">
        <f t="shared" ca="1" si="15"/>
        <v>0.72109030837004406</v>
      </c>
      <c r="K63" s="17">
        <f t="shared" ca="1" si="15"/>
        <v>0.68541426927502869</v>
      </c>
      <c r="L63" s="17">
        <f t="shared" ca="1" si="15"/>
        <v>0.73620920022905145</v>
      </c>
      <c r="M63" s="17">
        <f t="shared" ca="1" si="15"/>
        <v>0.88087649402390444</v>
      </c>
      <c r="N63" s="17">
        <f t="shared" ca="1" si="15"/>
        <v>0.62005559119093434</v>
      </c>
      <c r="O63" s="17">
        <f t="shared" ca="1" si="15"/>
        <v>0.52364149611856037</v>
      </c>
      <c r="P63" s="17">
        <f t="shared" ca="1" si="15"/>
        <v>0.74673420421221015</v>
      </c>
      <c r="Q63" s="17">
        <f t="shared" ca="1" si="15"/>
        <v>0.42103399433427768</v>
      </c>
      <c r="R63" s="17">
        <f t="shared" ca="1" si="15"/>
        <v>0.69589905362776028</v>
      </c>
      <c r="S63" s="17">
        <f t="shared" ca="1" si="15"/>
        <v>0.6422356973372001</v>
      </c>
      <c r="T63" s="17">
        <f t="shared" ca="1" si="15"/>
        <v>0.3472411186696901</v>
      </c>
      <c r="U63" s="17">
        <f t="shared" ca="1" si="15"/>
        <v>0.61524547803617569</v>
      </c>
    </row>
    <row r="64" spans="1:24" x14ac:dyDescent="0.25">
      <c r="A64" t="str">
        <f>IFERROR(INDEX('2019 Data (WP)'!$C$9:$C$73,MATCH($B64,'2019 Data (WP)'!$D$9:$D$73,0)),"")</f>
        <v>Natural Gas Utility</v>
      </c>
      <c r="B64" s="31" t="s">
        <v>198</v>
      </c>
      <c r="C64" s="31" t="s">
        <v>197</v>
      </c>
      <c r="D64" s="35">
        <f t="shared" ca="1" si="13"/>
        <v>59</v>
      </c>
      <c r="E64" s="35">
        <f t="shared" ca="1" si="14"/>
        <v>58</v>
      </c>
      <c r="F64" s="35"/>
      <c r="G64" s="17">
        <f t="shared" ca="1" si="12"/>
        <v>0.6858974358974359</v>
      </c>
      <c r="H64" s="17">
        <f t="shared" ca="1" si="12"/>
        <v>0.46875572658970127</v>
      </c>
      <c r="I64" s="17">
        <f t="shared" ca="1" si="15"/>
        <v>0.73025821007771374</v>
      </c>
      <c r="J64" s="17">
        <f t="shared" ca="1" si="15"/>
        <v>0.8117167006703585</v>
      </c>
      <c r="K64" s="17">
        <f t="shared" ca="1" si="15"/>
        <v>0.76472269868496279</v>
      </c>
      <c r="L64" s="17">
        <f t="shared" ca="1" si="15"/>
        <v>0.49609856262833674</v>
      </c>
      <c r="M64" s="17">
        <f t="shared" ca="1" si="15"/>
        <v>0.53281468182724911</v>
      </c>
      <c r="N64" s="17">
        <f t="shared" ca="1" si="15"/>
        <v>0.51167596610870014</v>
      </c>
      <c r="O64" s="17">
        <f t="shared" ca="1" si="15"/>
        <v>0.5845386533665835</v>
      </c>
      <c r="P64" s="17">
        <f t="shared" ca="1" si="15"/>
        <v>0.69774718397997493</v>
      </c>
      <c r="Q64" s="17">
        <f t="shared" ca="1" si="15"/>
        <v>0.753042233357194</v>
      </c>
      <c r="R64" s="17">
        <f t="shared" ca="1" si="15"/>
        <v>1.0136314067611778</v>
      </c>
      <c r="S64" s="17">
        <f t="shared" ca="1" si="15"/>
        <v>1.6679462571976966</v>
      </c>
      <c r="T64" s="17">
        <f t="shared" ca="1" si="15"/>
        <v>1.7046908315565032</v>
      </c>
      <c r="U64" s="17">
        <f t="shared" ca="1" si="15"/>
        <v>1.395700636942675</v>
      </c>
    </row>
    <row r="65" spans="1:21" x14ac:dyDescent="0.25">
      <c r="A65" t="str">
        <f>IFERROR(INDEX('2019 Data (WP)'!$C$9:$C$73,MATCH($B65,'2019 Data (WP)'!$D$9:$D$73,0)),"")</f>
        <v>Electric Utility (East)</v>
      </c>
      <c r="B65" t="s">
        <v>38</v>
      </c>
      <c r="C65" t="s">
        <v>77</v>
      </c>
      <c r="D65" s="35">
        <f t="shared" ca="1" si="13"/>
        <v>60</v>
      </c>
      <c r="E65" s="35">
        <f t="shared" ca="1" si="14"/>
        <v>59</v>
      </c>
      <c r="F65" s="35"/>
      <c r="G65" s="17">
        <f t="shared" ca="1" si="12"/>
        <v>0.9906289933267074</v>
      </c>
      <c r="H65" s="17">
        <f t="shared" ca="1" si="12"/>
        <v>0.88289418653283147</v>
      </c>
      <c r="I65" s="17">
        <f t="shared" ref="I65:U74" ca="1" si="16">IFERROR(INDEX(CashFlow,$D65,I$2)/INDEX(CapSpending,$E65,I$2),"N/A")</f>
        <v>0.82853081793513372</v>
      </c>
      <c r="J65" s="17">
        <f t="shared" ca="1" si="16"/>
        <v>0.90104520157458934</v>
      </c>
      <c r="K65" s="17">
        <f t="shared" ca="1" si="16"/>
        <v>0.77089825226934028</v>
      </c>
      <c r="L65" s="17">
        <f t="shared" ca="1" si="16"/>
        <v>0.8791579623975575</v>
      </c>
      <c r="M65" s="17">
        <f t="shared" ca="1" si="16"/>
        <v>0.80179222357229651</v>
      </c>
      <c r="N65" s="17">
        <f t="shared" ca="1" si="16"/>
        <v>0.85514777525170504</v>
      </c>
      <c r="O65" s="17">
        <f t="shared" ca="1" si="16"/>
        <v>0.9346806207145435</v>
      </c>
      <c r="P65" s="17">
        <f t="shared" ca="1" si="16"/>
        <v>0.93957934990439762</v>
      </c>
      <c r="Q65" s="17">
        <f t="shared" ca="1" si="16"/>
        <v>0.93147574819401446</v>
      </c>
      <c r="R65" s="17">
        <f t="shared" ca="1" si="16"/>
        <v>0.77781677781677783</v>
      </c>
      <c r="S65" s="17">
        <f t="shared" ca="1" si="16"/>
        <v>0.86992348440258971</v>
      </c>
      <c r="T65" s="17">
        <f t="shared" ca="1" si="16"/>
        <v>0.90830822212656048</v>
      </c>
      <c r="U65" s="17">
        <f t="shared" ca="1" si="16"/>
        <v>1.0002492522432702</v>
      </c>
    </row>
    <row r="66" spans="1:21" x14ac:dyDescent="0.25">
      <c r="A66" t="str">
        <f>IFERROR(INDEX('2019 Data (WP)'!$C$9:$C$73,MATCH($B66,'2019 Data (WP)'!$D$9:$D$73,0)),"")</f>
        <v>Natural Gas Utility</v>
      </c>
      <c r="B66" s="31" t="s">
        <v>200</v>
      </c>
      <c r="C66" s="31" t="s">
        <v>199</v>
      </c>
      <c r="D66" s="35">
        <f t="shared" ca="1" si="13"/>
        <v>61</v>
      </c>
      <c r="E66" s="35">
        <f t="shared" ca="1" si="14"/>
        <v>60</v>
      </c>
      <c r="F66" s="35"/>
      <c r="G66" s="17">
        <f t="shared" ref="G66:H78" ca="1" si="17">IFERROR(INDEX(CashFlow,$D66,G$2)/INDEX(CapSpending,$E66,G$2),"N/A")</f>
        <v>0.68392597213557915</v>
      </c>
      <c r="H66" s="17">
        <f t="shared" ca="1" si="17"/>
        <v>0.55127528583992957</v>
      </c>
      <c r="I66" s="17">
        <f t="shared" ca="1" si="16"/>
        <v>0.56334810301855442</v>
      </c>
      <c r="J66" s="17">
        <f t="shared" ca="1" si="16"/>
        <v>0.6811381863047502</v>
      </c>
      <c r="K66" s="17">
        <f t="shared" ca="1" si="16"/>
        <v>0.83312410329985664</v>
      </c>
      <c r="L66" s="17">
        <f t="shared" ca="1" si="16"/>
        <v>0.83699029126213587</v>
      </c>
      <c r="M66" s="17">
        <f t="shared" ca="1" si="16"/>
        <v>0.99308404641894255</v>
      </c>
      <c r="N66" s="17">
        <f t="shared" ca="1" si="16"/>
        <v>1.0491219139730212</v>
      </c>
      <c r="O66" s="17">
        <f t="shared" ca="1" si="16"/>
        <v>0.9015743440233237</v>
      </c>
      <c r="P66" s="17">
        <f t="shared" ca="1" si="16"/>
        <v>0.82098914354644159</v>
      </c>
      <c r="Q66" s="17">
        <f t="shared" ca="1" si="16"/>
        <v>1.3662507929794883</v>
      </c>
      <c r="R66" s="17">
        <f t="shared" ca="1" si="16"/>
        <v>1.2793017456359101</v>
      </c>
      <c r="S66" s="17">
        <f t="shared" ca="1" si="16"/>
        <v>0.84824845451869302</v>
      </c>
      <c r="T66" s="17">
        <f t="shared" ca="1" si="16"/>
        <v>0.77973125706392055</v>
      </c>
      <c r="U66" s="17">
        <f t="shared" ca="1" si="16"/>
        <v>0.72226926333615582</v>
      </c>
    </row>
    <row r="67" spans="1:21" x14ac:dyDescent="0.25">
      <c r="A67" t="str">
        <f>IFERROR(INDEX('2019 Data (WP)'!$C$9:$C$73,MATCH($B67,'2019 Data (WP)'!$D$9:$D$73,0)),"")</f>
        <v>Natural Gas Utility</v>
      </c>
      <c r="B67" s="31" t="s">
        <v>244</v>
      </c>
      <c r="C67" s="31" t="s">
        <v>243</v>
      </c>
      <c r="D67" s="35">
        <f t="shared" ca="1" si="13"/>
        <v>62</v>
      </c>
      <c r="E67" s="35">
        <f t="shared" ca="1" si="14"/>
        <v>61</v>
      </c>
      <c r="F67" s="35"/>
      <c r="G67" s="17">
        <f t="shared" ca="1" si="17"/>
        <v>0.42466860653087612</v>
      </c>
      <c r="H67" s="17">
        <f t="shared" ca="1" si="17"/>
        <v>0.44075037147102519</v>
      </c>
      <c r="I67" s="17">
        <f t="shared" ca="1" si="16"/>
        <v>0.76613230519480524</v>
      </c>
      <c r="J67" s="17">
        <f t="shared" ca="1" si="16"/>
        <v>0.72061253718188834</v>
      </c>
      <c r="K67" s="17">
        <f t="shared" ca="1" si="16"/>
        <v>0.95844357976653705</v>
      </c>
      <c r="L67" s="17">
        <f t="shared" ca="1" si="16"/>
        <v>0.92070616397366845</v>
      </c>
      <c r="M67" s="17">
        <f t="shared" ca="1" si="16"/>
        <v>0.97651515151515156</v>
      </c>
      <c r="N67" s="17">
        <f t="shared" ca="1" si="16"/>
        <v>0.78025</v>
      </c>
      <c r="O67" s="17">
        <f t="shared" ca="1" si="16"/>
        <v>0.94985495234148365</v>
      </c>
      <c r="P67" s="17">
        <f t="shared" ca="1" si="16"/>
        <v>1.5316749585406302</v>
      </c>
      <c r="Q67" s="17">
        <f t="shared" ca="1" si="16"/>
        <v>1.6069612827532265</v>
      </c>
      <c r="R67" s="17">
        <f t="shared" ca="1" si="16"/>
        <v>1.9284807448159123</v>
      </c>
      <c r="S67" s="17">
        <f t="shared" ca="1" si="16"/>
        <v>1.63986013986014</v>
      </c>
      <c r="T67" s="17">
        <f t="shared" ca="1" si="16"/>
        <v>1.424264705882353</v>
      </c>
      <c r="U67" s="17">
        <f t="shared" ca="1" si="16"/>
        <v>1.2829235432805659</v>
      </c>
    </row>
    <row r="68" spans="1:21" x14ac:dyDescent="0.25">
      <c r="A68" t="str">
        <f>IFERROR(INDEX('2019 Data (WP)'!$C$9:$C$73,MATCH($B68,'2019 Data (WP)'!$D$9:$D$73,0)),"")</f>
        <v/>
      </c>
      <c r="B68" t="s">
        <v>39</v>
      </c>
      <c r="C68" t="s">
        <v>78</v>
      </c>
      <c r="D68" s="35" t="e">
        <f t="shared" ca="1" si="13"/>
        <v>#N/A</v>
      </c>
      <c r="E68" s="35" t="e">
        <f t="shared" ca="1" si="14"/>
        <v>#N/A</v>
      </c>
      <c r="F68" s="35"/>
      <c r="G68" s="17" t="str">
        <f t="shared" ca="1" si="17"/>
        <v>N/A</v>
      </c>
      <c r="H68" s="17" t="str">
        <f t="shared" ca="1" si="17"/>
        <v>N/A</v>
      </c>
      <c r="I68" s="17" t="str">
        <f t="shared" ca="1" si="16"/>
        <v>N/A</v>
      </c>
      <c r="J68" s="17" t="str">
        <f t="shared" ca="1" si="16"/>
        <v>N/A</v>
      </c>
      <c r="K68" s="17" t="str">
        <f t="shared" ca="1" si="16"/>
        <v>N/A</v>
      </c>
      <c r="L68" s="17" t="str">
        <f t="shared" ca="1" si="16"/>
        <v>N/A</v>
      </c>
      <c r="M68" s="17" t="str">
        <f t="shared" ca="1" si="16"/>
        <v>N/A</v>
      </c>
      <c r="N68" s="17" t="str">
        <f t="shared" ca="1" si="16"/>
        <v>N/A</v>
      </c>
      <c r="O68" s="17" t="str">
        <f t="shared" ca="1" si="16"/>
        <v>N/A</v>
      </c>
      <c r="P68" s="17" t="str">
        <f t="shared" ca="1" si="16"/>
        <v>N/A</v>
      </c>
      <c r="Q68" s="17" t="str">
        <f t="shared" ca="1" si="16"/>
        <v>N/A</v>
      </c>
      <c r="R68" s="17" t="str">
        <f t="shared" ca="1" si="16"/>
        <v>N/A</v>
      </c>
      <c r="S68" s="17" t="str">
        <f t="shared" ca="1" si="16"/>
        <v>N/A</v>
      </c>
      <c r="T68" s="17" t="str">
        <f t="shared" ca="1" si="16"/>
        <v>N/A</v>
      </c>
      <c r="U68" s="17" t="str">
        <f t="shared" ca="1" si="16"/>
        <v>N/A</v>
      </c>
    </row>
    <row r="69" spans="1:21" x14ac:dyDescent="0.25">
      <c r="A69" t="str">
        <f>IFERROR(INDEX('2019 Data (WP)'!$C$9:$C$73,MATCH($B69,'2019 Data (WP)'!$D$9:$D$73,0)),"")</f>
        <v>Natural Gas Utility</v>
      </c>
      <c r="B69" s="31" t="s">
        <v>204</v>
      </c>
      <c r="C69" s="31" t="s">
        <v>203</v>
      </c>
      <c r="D69" s="35">
        <f t="shared" ca="1" si="13"/>
        <v>64</v>
      </c>
      <c r="E69" s="35">
        <f t="shared" ca="1" si="14"/>
        <v>63</v>
      </c>
      <c r="F69" s="35"/>
      <c r="G69" s="17">
        <f t="shared" ca="1" si="17"/>
        <v>1.5956493921944979</v>
      </c>
      <c r="H69" s="17">
        <f t="shared" ca="1" si="17"/>
        <v>1.2221892613467813</v>
      </c>
      <c r="I69" s="17">
        <f t="shared" ca="1" si="16"/>
        <v>1.6379624014554275</v>
      </c>
      <c r="J69" s="17">
        <f t="shared" ca="1" si="16"/>
        <v>1.2878540305010893</v>
      </c>
      <c r="K69" s="17">
        <f t="shared" ca="1" si="16"/>
        <v>1.3495085995085996</v>
      </c>
      <c r="L69" s="17">
        <f t="shared" ca="1" si="16"/>
        <v>1.4837685250529287</v>
      </c>
      <c r="M69" s="17">
        <f t="shared" ca="1" si="16"/>
        <v>1.5323251417769377</v>
      </c>
      <c r="N69" s="17">
        <f t="shared" ca="1" si="16"/>
        <v>1.319268635724332</v>
      </c>
      <c r="O69" s="17">
        <f t="shared" ca="1" si="16"/>
        <v>1.518426294820717</v>
      </c>
      <c r="P69" s="17">
        <f t="shared" ca="1" si="16"/>
        <v>1.2776744186046511</v>
      </c>
      <c r="Q69" s="17">
        <f t="shared" ca="1" si="16"/>
        <v>1.3563653573118788</v>
      </c>
      <c r="R69" s="17">
        <f t="shared" ca="1" si="16"/>
        <v>1.5229357798165137</v>
      </c>
      <c r="S69" s="17">
        <f t="shared" ca="1" si="16"/>
        <v>1.7224149895905623</v>
      </c>
      <c r="T69" s="17">
        <f t="shared" ca="1" si="16"/>
        <v>1.6179211469534052</v>
      </c>
      <c r="U69" s="17">
        <f t="shared" ca="1" si="16"/>
        <v>1.6947194719471945</v>
      </c>
    </row>
    <row r="70" spans="1:21" x14ac:dyDescent="0.25">
      <c r="A70" t="str">
        <f>IFERROR(INDEX('2019 Data (WP)'!$C$9:$C$73,MATCH($B70,'2019 Data (WP)'!$D$9:$D$73,0)),"")</f>
        <v/>
      </c>
      <c r="B70" t="s">
        <v>40</v>
      </c>
      <c r="C70" t="s">
        <v>81</v>
      </c>
      <c r="D70" s="35" t="e">
        <f t="shared" ca="1" si="13"/>
        <v>#N/A</v>
      </c>
      <c r="E70" s="35" t="e">
        <f t="shared" ca="1" si="14"/>
        <v>#N/A</v>
      </c>
      <c r="F70" s="35"/>
      <c r="G70" s="17" t="str">
        <f t="shared" ca="1" si="17"/>
        <v>N/A</v>
      </c>
      <c r="H70" s="17" t="str">
        <f t="shared" ca="1" si="17"/>
        <v>N/A</v>
      </c>
      <c r="I70" s="17" t="str">
        <f t="shared" ca="1" si="16"/>
        <v>N/A</v>
      </c>
      <c r="J70" s="17" t="str">
        <f t="shared" ca="1" si="16"/>
        <v>N/A</v>
      </c>
      <c r="K70" s="17" t="str">
        <f t="shared" ca="1" si="16"/>
        <v>N/A</v>
      </c>
      <c r="L70" s="17" t="str">
        <f t="shared" ca="1" si="16"/>
        <v>N/A</v>
      </c>
      <c r="M70" s="17" t="str">
        <f t="shared" ca="1" si="16"/>
        <v>N/A</v>
      </c>
      <c r="N70" s="17" t="str">
        <f t="shared" ca="1" si="16"/>
        <v>N/A</v>
      </c>
      <c r="O70" s="17" t="str">
        <f t="shared" ca="1" si="16"/>
        <v>N/A</v>
      </c>
      <c r="P70" s="17" t="str">
        <f t="shared" ca="1" si="16"/>
        <v>N/A</v>
      </c>
      <c r="Q70" s="17" t="str">
        <f t="shared" ca="1" si="16"/>
        <v>N/A</v>
      </c>
      <c r="R70" s="17" t="str">
        <f t="shared" ca="1" si="16"/>
        <v>N/A</v>
      </c>
      <c r="S70" s="17" t="str">
        <f t="shared" ca="1" si="16"/>
        <v>N/A</v>
      </c>
      <c r="T70" s="17" t="str">
        <f t="shared" ca="1" si="16"/>
        <v>N/A</v>
      </c>
      <c r="U70" s="17" t="str">
        <f t="shared" ca="1" si="16"/>
        <v>N/A</v>
      </c>
    </row>
    <row r="71" spans="1:21" x14ac:dyDescent="0.25">
      <c r="A71" t="str">
        <f>IFERROR(INDEX('2019 Data (WP)'!$C$9:$C$73,MATCH($B71,'2019 Data (WP)'!$D$9:$D$73,0)),"")</f>
        <v/>
      </c>
      <c r="B71" t="s">
        <v>41</v>
      </c>
      <c r="C71" t="s">
        <v>79</v>
      </c>
      <c r="D71" s="35" t="e">
        <f t="shared" ca="1" si="13"/>
        <v>#N/A</v>
      </c>
      <c r="E71" s="35" t="e">
        <f t="shared" ca="1" si="14"/>
        <v>#N/A</v>
      </c>
      <c r="F71" s="35"/>
      <c r="G71" s="17" t="str">
        <f t="shared" ca="1" si="17"/>
        <v>N/A</v>
      </c>
      <c r="H71" s="17" t="str">
        <f t="shared" ca="1" si="17"/>
        <v>N/A</v>
      </c>
      <c r="I71" s="17" t="str">
        <f t="shared" ca="1" si="16"/>
        <v>N/A</v>
      </c>
      <c r="J71" s="17" t="str">
        <f t="shared" ca="1" si="16"/>
        <v>N/A</v>
      </c>
      <c r="K71" s="17" t="str">
        <f t="shared" ca="1" si="16"/>
        <v>N/A</v>
      </c>
      <c r="L71" s="17" t="str">
        <f t="shared" ca="1" si="16"/>
        <v>N/A</v>
      </c>
      <c r="M71" s="17" t="str">
        <f t="shared" ca="1" si="16"/>
        <v>N/A</v>
      </c>
      <c r="N71" s="17" t="str">
        <f t="shared" ca="1" si="16"/>
        <v>N/A</v>
      </c>
      <c r="O71" s="17" t="str">
        <f t="shared" ca="1" si="16"/>
        <v>N/A</v>
      </c>
      <c r="P71" s="17" t="str">
        <f t="shared" ca="1" si="16"/>
        <v>N/A</v>
      </c>
      <c r="Q71" s="17" t="str">
        <f t="shared" ca="1" si="16"/>
        <v>N/A</v>
      </c>
      <c r="R71" s="17" t="str">
        <f t="shared" ca="1" si="16"/>
        <v>N/A</v>
      </c>
      <c r="S71" s="17" t="str">
        <f t="shared" ca="1" si="16"/>
        <v>N/A</v>
      </c>
      <c r="T71" s="17" t="str">
        <f t="shared" ca="1" si="16"/>
        <v>N/A</v>
      </c>
      <c r="U71" s="17" t="str">
        <f t="shared" ca="1" si="16"/>
        <v>N/A</v>
      </c>
    </row>
    <row r="72" spans="1:21" x14ac:dyDescent="0.25">
      <c r="A72" t="str">
        <f>IFERROR(INDEX('2019 Data (WP)'!$C$9:$C$73,MATCH($B72,'2019 Data (WP)'!$D$9:$D$73,0)),"")</f>
        <v/>
      </c>
      <c r="B72" t="s">
        <v>83</v>
      </c>
      <c r="C72" t="s">
        <v>82</v>
      </c>
      <c r="D72" s="35">
        <f t="shared" ca="1" si="13"/>
        <v>65</v>
      </c>
      <c r="E72" s="35">
        <f t="shared" ca="1" si="14"/>
        <v>64</v>
      </c>
      <c r="F72" s="35"/>
      <c r="G72" s="17">
        <f t="shared" ca="1" si="17"/>
        <v>0.70711399534712871</v>
      </c>
      <c r="H72" s="17">
        <f t="shared" ca="1" si="17"/>
        <v>0.80536072144288573</v>
      </c>
      <c r="I72" s="17">
        <f t="shared" ca="1" si="16"/>
        <v>0.81447043440360301</v>
      </c>
      <c r="J72" s="17">
        <f t="shared" ca="1" si="16"/>
        <v>0.63623944361649287</v>
      </c>
      <c r="K72" s="17">
        <f t="shared" ca="1" si="16"/>
        <v>0.75125448028673847</v>
      </c>
      <c r="L72" s="17">
        <f t="shared" ca="1" si="16"/>
        <v>0.69297064368435224</v>
      </c>
      <c r="M72" s="17">
        <f t="shared" ca="1" si="16"/>
        <v>0.72137060414788101</v>
      </c>
      <c r="N72" s="17">
        <f t="shared" ca="1" si="16"/>
        <v>0.66254253015774822</v>
      </c>
      <c r="O72" s="17">
        <f t="shared" ca="1" si="16"/>
        <v>0.7765037215851941</v>
      </c>
      <c r="P72" s="17">
        <f t="shared" ca="1" si="16"/>
        <v>0.79800498753117211</v>
      </c>
      <c r="Q72" s="17">
        <f t="shared" ca="1" si="16"/>
        <v>0.7734357848518113</v>
      </c>
      <c r="R72" s="17">
        <f t="shared" ca="1" si="16"/>
        <v>0.63540705187373092</v>
      </c>
      <c r="S72" s="17">
        <f t="shared" ca="1" si="16"/>
        <v>1.0140418502202642</v>
      </c>
      <c r="T72" s="17">
        <f t="shared" ca="1" si="16"/>
        <v>0.81225715294948786</v>
      </c>
      <c r="U72" s="17">
        <f t="shared" ca="1" si="16"/>
        <v>0.71649311387302661</v>
      </c>
    </row>
    <row r="73" spans="1:21" x14ac:dyDescent="0.25">
      <c r="A73" t="str">
        <f>IFERROR(INDEX('2019 Data (WP)'!$C$9:$C$73,MATCH($B73,'2019 Data (WP)'!$D$9:$D$73,0)),"")</f>
        <v>Electric Util. (Central)</v>
      </c>
      <c r="B73" t="s">
        <v>42</v>
      </c>
      <c r="C73" t="s">
        <v>89</v>
      </c>
      <c r="D73" s="35">
        <f t="shared" ca="1" si="13"/>
        <v>66</v>
      </c>
      <c r="E73" s="35">
        <f t="shared" ca="1" si="14"/>
        <v>65</v>
      </c>
      <c r="F73" s="35"/>
      <c r="G73" s="17" t="str">
        <f t="shared" ca="1" si="17"/>
        <v>N/A</v>
      </c>
      <c r="H73" s="17" t="str">
        <f t="shared" ca="1" si="17"/>
        <v>N/A</v>
      </c>
      <c r="I73" s="17" t="str">
        <f t="shared" ca="1" si="16"/>
        <v>N/A</v>
      </c>
      <c r="J73" s="17">
        <f t="shared" ca="1" si="16"/>
        <v>0.8168044077134986</v>
      </c>
      <c r="K73" s="17">
        <f t="shared" ca="1" si="16"/>
        <v>0.87014377485469563</v>
      </c>
      <c r="L73" s="17">
        <f t="shared" ca="1" si="16"/>
        <v>0.95104166666666667</v>
      </c>
      <c r="M73" s="17">
        <f t="shared" ca="1" si="16"/>
        <v>0.98231066887783325</v>
      </c>
      <c r="N73" s="17">
        <f t="shared" ca="1" si="16"/>
        <v>1.053414327607876</v>
      </c>
      <c r="O73" s="17">
        <f t="shared" ca="1" si="16"/>
        <v>1.1307865168539326</v>
      </c>
      <c r="P73" s="17">
        <f t="shared" ca="1" si="16"/>
        <v>1.2011215906194239</v>
      </c>
      <c r="Q73" s="17">
        <f t="shared" ca="1" si="16"/>
        <v>1.3088712054229297</v>
      </c>
      <c r="R73" s="17">
        <f t="shared" ca="1" si="16"/>
        <v>0.82616857518302977</v>
      </c>
      <c r="S73" s="17">
        <f t="shared" ca="1" si="16"/>
        <v>0.82159138002486531</v>
      </c>
      <c r="T73" s="17">
        <f t="shared" ca="1" si="16"/>
        <v>0.9801415202008672</v>
      </c>
      <c r="U73" s="17">
        <f t="shared" ca="1" si="16"/>
        <v>0.99891833423472143</v>
      </c>
    </row>
    <row r="74" spans="1:21" x14ac:dyDescent="0.25">
      <c r="A74" t="str">
        <f>IFERROR(INDEX('2019 Data (WP)'!$C$9:$C$73,MATCH($B74,'2019 Data (WP)'!$D$9:$D$73,0)),"")</f>
        <v>Electric Util. (Central)</v>
      </c>
      <c r="B74" t="s">
        <v>44</v>
      </c>
      <c r="C74" t="s">
        <v>217</v>
      </c>
      <c r="D74" s="35">
        <f t="shared" ca="1" si="13"/>
        <v>67</v>
      </c>
      <c r="E74" s="35">
        <f t="shared" ca="1" si="14"/>
        <v>66</v>
      </c>
      <c r="F74" s="35"/>
      <c r="G74" s="17">
        <f t="shared" ca="1" si="17"/>
        <v>0.97182304874612568</v>
      </c>
      <c r="H74" s="17">
        <f t="shared" ca="1" si="17"/>
        <v>0.91084135621598994</v>
      </c>
      <c r="I74" s="17">
        <f t="shared" ca="1" si="16"/>
        <v>0.90052199850857573</v>
      </c>
      <c r="J74" s="17">
        <f t="shared" ca="1" si="16"/>
        <v>0.91641166049283307</v>
      </c>
      <c r="K74" s="17">
        <f t="shared" ca="1" si="16"/>
        <v>1.1950786965196187</v>
      </c>
      <c r="L74" s="17">
        <f t="shared" ca="1" si="16"/>
        <v>0.96509598603839442</v>
      </c>
      <c r="M74" s="17">
        <f t="shared" ref="I74:U78" ca="1" si="18">IFERROR(INDEX(CashFlow,$D74,M$2)/INDEX(CapSpending,$E74,M$2),"N/A")</f>
        <v>1.3688725490196079</v>
      </c>
      <c r="N74" s="17">
        <f t="shared" ca="1" si="18"/>
        <v>1.4220907297830374</v>
      </c>
      <c r="O74" s="17">
        <f t="shared" ca="1" si="18"/>
        <v>1.2983479105928084</v>
      </c>
      <c r="P74" s="17">
        <f t="shared" ca="1" si="18"/>
        <v>1.0219140083217753</v>
      </c>
      <c r="Q74" s="17">
        <f t="shared" ca="1" si="18"/>
        <v>0.96719390743995315</v>
      </c>
      <c r="R74" s="17">
        <f t="shared" ca="1" si="18"/>
        <v>0.88876179582499293</v>
      </c>
      <c r="S74" s="17">
        <f t="shared" ca="1" si="18"/>
        <v>0.6076495990129549</v>
      </c>
      <c r="T74" s="17">
        <f t="shared" ca="1" si="18"/>
        <v>0.56474820143884896</v>
      </c>
      <c r="U74" s="17">
        <f t="shared" ca="1" si="18"/>
        <v>0.69429803545759461</v>
      </c>
    </row>
    <row r="75" spans="1:21" x14ac:dyDescent="0.25">
      <c r="A75" t="str">
        <f>IFERROR(INDEX('2019 Data (WP)'!$C$9:$C$73,MATCH($B75,'2019 Data (WP)'!$D$9:$D$73,0)),"")</f>
        <v>Electric Util. (Central)</v>
      </c>
      <c r="B75" t="s">
        <v>43</v>
      </c>
      <c r="C75" t="s">
        <v>87</v>
      </c>
      <c r="D75" s="35">
        <f t="shared" ca="1" si="13"/>
        <v>68</v>
      </c>
      <c r="E75" s="35">
        <f t="shared" ca="1" si="14"/>
        <v>67</v>
      </c>
      <c r="F75" s="35"/>
      <c r="G75" s="17" t="str">
        <f t="shared" ca="1" si="17"/>
        <v>N/A</v>
      </c>
      <c r="H75" s="17" t="str">
        <f t="shared" ca="1" si="17"/>
        <v>N/A</v>
      </c>
      <c r="I75" s="17" t="str">
        <f t="shared" ca="1" si="18"/>
        <v>N/A</v>
      </c>
      <c r="J75" s="17">
        <f t="shared" ca="1" si="18"/>
        <v>0.91078066914498146</v>
      </c>
      <c r="K75" s="17">
        <f t="shared" ca="1" si="18"/>
        <v>0.63031567962431512</v>
      </c>
      <c r="L75" s="17">
        <f t="shared" ca="1" si="18"/>
        <v>0.86051675413807027</v>
      </c>
      <c r="M75" s="17">
        <f t="shared" ca="1" si="18"/>
        <v>0.70386398763523961</v>
      </c>
      <c r="N75" s="17">
        <f t="shared" ca="1" si="18"/>
        <v>0.72443275238408411</v>
      </c>
      <c r="O75" s="17">
        <f t="shared" ca="1" si="18"/>
        <v>0.67135050741608115</v>
      </c>
      <c r="P75" s="17">
        <f t="shared" ca="1" si="18"/>
        <v>0.71454316092989723</v>
      </c>
      <c r="Q75" s="17">
        <f t="shared" ca="1" si="18"/>
        <v>0.87917791156321368</v>
      </c>
      <c r="R75" s="17">
        <f t="shared" ca="1" si="18"/>
        <v>0.68346965950161698</v>
      </c>
      <c r="S75" s="17">
        <f t="shared" ca="1" si="18"/>
        <v>0.36230209176008316</v>
      </c>
      <c r="T75" s="17">
        <f t="shared" ca="1" si="18"/>
        <v>0.48156182212581344</v>
      </c>
      <c r="U75" s="17">
        <f t="shared" ca="1" si="18"/>
        <v>0.99898631525595538</v>
      </c>
    </row>
    <row r="76" spans="1:21" x14ac:dyDescent="0.25">
      <c r="A76" t="str">
        <f>IFERROR(INDEX('2019 Data (WP)'!$C$9:$C$73,MATCH($B76,'2019 Data (WP)'!$D$9:$D$73,0)),"")</f>
        <v>Natural Gas Utility</v>
      </c>
      <c r="B76" s="31" t="s">
        <v>206</v>
      </c>
      <c r="C76" s="31" t="s">
        <v>205</v>
      </c>
      <c r="D76" s="35">
        <f t="shared" ca="1" si="13"/>
        <v>69</v>
      </c>
      <c r="E76" s="35">
        <f t="shared" ca="1" si="14"/>
        <v>68</v>
      </c>
      <c r="F76" s="35"/>
      <c r="G76" s="17" t="str">
        <f t="shared" ca="1" si="17"/>
        <v>N/A</v>
      </c>
      <c r="H76" s="17" t="str">
        <f t="shared" ca="1" si="17"/>
        <v>N/A</v>
      </c>
      <c r="I76" s="17" t="str">
        <f t="shared" ca="1" si="18"/>
        <v>N/A</v>
      </c>
      <c r="J76" s="17">
        <f t="shared" ca="1" si="18"/>
        <v>0.60606661379857263</v>
      </c>
      <c r="K76" s="17">
        <f t="shared" ca="1" si="18"/>
        <v>0.55874092009685239</v>
      </c>
      <c r="L76" s="17">
        <f t="shared" ca="1" si="18"/>
        <v>0.60057902637786831</v>
      </c>
      <c r="M76" s="17">
        <f t="shared" ca="1" si="18"/>
        <v>0.62934312311524843</v>
      </c>
      <c r="N76" s="17">
        <f t="shared" ca="1" si="18"/>
        <v>0.70953326713008935</v>
      </c>
      <c r="O76" s="17">
        <f t="shared" ca="1" si="18"/>
        <v>0.93003693065244164</v>
      </c>
      <c r="P76" s="17">
        <f t="shared" ca="1" si="18"/>
        <v>1.0193040386080772</v>
      </c>
      <c r="Q76" s="17">
        <f t="shared" ca="1" si="18"/>
        <v>1.5971250971250972</v>
      </c>
      <c r="R76" s="17">
        <f t="shared" ca="1" si="18"/>
        <v>1.6039711191335739</v>
      </c>
      <c r="S76" s="17">
        <f t="shared" ca="1" si="18"/>
        <v>1.6046597633136095</v>
      </c>
      <c r="T76" s="17">
        <f t="shared" ca="1" si="18"/>
        <v>1.1683198076345056</v>
      </c>
      <c r="U76" s="17">
        <f t="shared" ca="1" si="18"/>
        <v>1.1753365973072216</v>
      </c>
    </row>
    <row r="77" spans="1:21" x14ac:dyDescent="0.25">
      <c r="A77" t="str">
        <f>IFERROR(INDEX('2019 Data (WP)'!$C$9:$C$73,MATCH($B77,'2019 Data (WP)'!$D$9:$D$73,0)),"")</f>
        <v>Electric Utility (West)</v>
      </c>
      <c r="B77" t="s">
        <v>45</v>
      </c>
      <c r="C77" t="s">
        <v>65</v>
      </c>
      <c r="D77" s="35">
        <f t="shared" ca="1" si="13"/>
        <v>70</v>
      </c>
      <c r="E77" s="35">
        <f t="shared" ca="1" si="14"/>
        <v>69</v>
      </c>
      <c r="F77" s="35"/>
      <c r="G77" s="17">
        <f t="shared" ca="1" si="17"/>
        <v>0.66216216216216217</v>
      </c>
      <c r="H77" s="17">
        <f t="shared" ca="1" si="17"/>
        <v>0.77529484792054626</v>
      </c>
      <c r="I77" s="17">
        <f t="shared" ca="1" si="18"/>
        <v>0.76877110937905946</v>
      </c>
      <c r="J77" s="17">
        <f t="shared" ca="1" si="18"/>
        <v>0.83601040232522561</v>
      </c>
      <c r="K77" s="17">
        <f t="shared" ca="1" si="18"/>
        <v>0.78575880336553439</v>
      </c>
      <c r="L77" s="17">
        <f t="shared" ca="1" si="18"/>
        <v>0.62794543199669295</v>
      </c>
      <c r="M77" s="17">
        <f t="shared" ca="1" si="18"/>
        <v>0.67725620357199312</v>
      </c>
      <c r="N77" s="17">
        <f t="shared" ca="1" si="18"/>
        <v>0.60149603989439726</v>
      </c>
      <c r="O77" s="17">
        <f t="shared" ca="1" si="18"/>
        <v>0.75963546610973987</v>
      </c>
      <c r="P77" s="17">
        <f t="shared" ca="1" si="18"/>
        <v>0.83480370533745041</v>
      </c>
      <c r="Q77" s="17">
        <f t="shared" ca="1" si="18"/>
        <v>0.76397650641722858</v>
      </c>
      <c r="R77" s="17">
        <f t="shared" ca="1" si="18"/>
        <v>0.89016897081413204</v>
      </c>
      <c r="S77" s="17">
        <f t="shared" ca="1" si="18"/>
        <v>0.75198625724715473</v>
      </c>
      <c r="T77" s="17">
        <f t="shared" ca="1" si="18"/>
        <v>0.70633946830265859</v>
      </c>
      <c r="U77" s="17">
        <f t="shared" ca="1" si="18"/>
        <v>0.90265265265265271</v>
      </c>
    </row>
    <row r="78" spans="1:21" x14ac:dyDescent="0.25">
      <c r="A78" t="str">
        <f>IFERROR(INDEX('2019 Data (WP)'!$C$9:$C$73,MATCH($B78,'2019 Data (WP)'!$D$9:$D$73,0)),"")</f>
        <v>Water Utility</v>
      </c>
      <c r="B78" s="31" t="s">
        <v>208</v>
      </c>
      <c r="C78" s="31" t="s">
        <v>207</v>
      </c>
      <c r="D78" s="35">
        <f t="shared" ca="1" si="13"/>
        <v>71</v>
      </c>
      <c r="E78" s="35">
        <f t="shared" ca="1" si="14"/>
        <v>70</v>
      </c>
      <c r="F78" s="35"/>
      <c r="G78" s="17">
        <f t="shared" ca="1" si="17"/>
        <v>21.077777777777779</v>
      </c>
      <c r="H78" s="17">
        <f t="shared" ca="1" si="17"/>
        <v>10.475308641975309</v>
      </c>
      <c r="I78" s="17" t="str">
        <f t="shared" ca="1" si="18"/>
        <v>N/A</v>
      </c>
      <c r="J78" s="17">
        <f t="shared" ca="1" si="18"/>
        <v>0.78747433264887068</v>
      </c>
      <c r="K78" s="17">
        <f t="shared" ca="1" si="18"/>
        <v>1.382295719844358</v>
      </c>
      <c r="L78" s="17">
        <f t="shared" ca="1" si="18"/>
        <v>1.3131768953068592</v>
      </c>
      <c r="M78" s="17">
        <f t="shared" ca="1" si="18"/>
        <v>1.2313974591651542</v>
      </c>
      <c r="N78" s="17">
        <f t="shared" ca="1" si="18"/>
        <v>1.5625823451910408</v>
      </c>
      <c r="O78" s="17">
        <f t="shared" ca="1" si="18"/>
        <v>1.1851851851851853</v>
      </c>
      <c r="P78" s="17">
        <f t="shared" ca="1" si="18"/>
        <v>1.4783783783783786</v>
      </c>
      <c r="Q78" s="17">
        <f t="shared" ca="1" si="18"/>
        <v>1.2815884476534296</v>
      </c>
      <c r="R78" s="17">
        <f t="shared" ca="1" si="18"/>
        <v>0.80697278911564629</v>
      </c>
      <c r="S78" s="17">
        <f t="shared" ca="1" si="18"/>
        <v>0.40681086056143578</v>
      </c>
      <c r="T78" s="17">
        <f t="shared" ca="1" si="18"/>
        <v>0.50620934358367831</v>
      </c>
      <c r="U78" s="17">
        <f t="shared" ca="1" si="18"/>
        <v>0.41657638136511377</v>
      </c>
    </row>
    <row r="79" spans="1:21" x14ac:dyDescent="0.25">
      <c r="B79" s="31"/>
      <c r="C79" s="31"/>
      <c r="D79" s="35"/>
      <c r="E79" s="35"/>
      <c r="F79" s="35"/>
      <c r="G79" s="35"/>
      <c r="H79" s="35"/>
      <c r="I79" s="35"/>
      <c r="J79" s="35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</row>
  </sheetData>
  <autoFilter ref="A4:X78"/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Y66"/>
  <sheetViews>
    <sheetView zoomScaleNormal="100" workbookViewId="0">
      <selection activeCell="I3" sqref="I3"/>
    </sheetView>
  </sheetViews>
  <sheetFormatPr defaultRowHeight="13.8" x14ac:dyDescent="0.25"/>
  <cols>
    <col min="1" max="1" width="24.59765625" customWidth="1"/>
    <col min="3" max="10" width="9.3984375" customWidth="1"/>
  </cols>
  <sheetData>
    <row r="1" spans="1:25" x14ac:dyDescent="0.25">
      <c r="A1" s="118">
        <v>44364</v>
      </c>
      <c r="B1" t="s">
        <v>373</v>
      </c>
    </row>
    <row r="2" spans="1:25" x14ac:dyDescent="0.25">
      <c r="A2" s="113">
        <v>1</v>
      </c>
      <c r="B2" s="113">
        <v>2</v>
      </c>
      <c r="C2" s="113">
        <v>3</v>
      </c>
      <c r="D2" s="113">
        <v>4</v>
      </c>
      <c r="E2" s="113">
        <v>5</v>
      </c>
      <c r="F2" s="113">
        <v>6</v>
      </c>
      <c r="G2" s="113">
        <v>7</v>
      </c>
      <c r="H2" s="113">
        <v>8</v>
      </c>
      <c r="I2" s="113">
        <v>9</v>
      </c>
      <c r="J2" s="113">
        <v>10</v>
      </c>
    </row>
    <row r="3" spans="1:25" ht="41.4" x14ac:dyDescent="0.25">
      <c r="A3" t="s">
        <v>117</v>
      </c>
      <c r="B3" t="s">
        <v>118</v>
      </c>
      <c r="C3" s="112" t="s">
        <v>362</v>
      </c>
      <c r="D3" s="112" t="s">
        <v>363</v>
      </c>
      <c r="E3" s="112" t="s">
        <v>364</v>
      </c>
      <c r="F3" s="112" t="s">
        <v>365</v>
      </c>
      <c r="G3" s="112" t="s">
        <v>366</v>
      </c>
      <c r="H3" s="112" t="s">
        <v>367</v>
      </c>
      <c r="I3" s="112" t="s">
        <v>368</v>
      </c>
      <c r="J3" s="112" t="s">
        <v>369</v>
      </c>
      <c r="R3" s="112"/>
      <c r="S3" s="112"/>
      <c r="T3" s="112"/>
      <c r="U3" s="112"/>
      <c r="V3" s="112"/>
      <c r="W3" s="112"/>
      <c r="X3" s="112"/>
      <c r="Y3" s="112"/>
    </row>
    <row r="4" spans="1:25" x14ac:dyDescent="0.25">
      <c r="A4" t="s">
        <v>409</v>
      </c>
      <c r="B4" t="s">
        <v>163</v>
      </c>
      <c r="C4">
        <v>0.627</v>
      </c>
      <c r="D4">
        <v>2.7810000000000001</v>
      </c>
      <c r="G4">
        <v>3.11</v>
      </c>
      <c r="H4">
        <v>3.2240000000000002</v>
      </c>
    </row>
    <row r="5" spans="1:25" x14ac:dyDescent="0.25">
      <c r="A5" t="s">
        <v>91</v>
      </c>
      <c r="B5" t="s">
        <v>0</v>
      </c>
      <c r="C5">
        <v>4.08</v>
      </c>
      <c r="D5">
        <v>6.0659999999999998</v>
      </c>
      <c r="E5">
        <v>10.55</v>
      </c>
      <c r="F5">
        <v>5.25</v>
      </c>
      <c r="G5">
        <v>6.5890000000000004</v>
      </c>
      <c r="H5">
        <v>7.3730000000000002</v>
      </c>
      <c r="I5">
        <v>7.65</v>
      </c>
      <c r="J5">
        <v>9.25</v>
      </c>
    </row>
    <row r="6" spans="1:25" x14ac:dyDescent="0.25">
      <c r="A6" t="s">
        <v>84</v>
      </c>
      <c r="B6" t="s">
        <v>1</v>
      </c>
      <c r="C6">
        <v>6.3410000000000002</v>
      </c>
      <c r="E6">
        <v>6.75</v>
      </c>
      <c r="F6">
        <v>6.15</v>
      </c>
      <c r="G6">
        <v>3.1019999999999999</v>
      </c>
      <c r="H6">
        <v>4.3170000000000002</v>
      </c>
      <c r="I6">
        <v>4.4000000000000004</v>
      </c>
      <c r="J6">
        <v>5.2</v>
      </c>
    </row>
    <row r="7" spans="1:25" x14ac:dyDescent="0.25">
      <c r="A7" t="s">
        <v>410</v>
      </c>
      <c r="B7" t="s">
        <v>2</v>
      </c>
      <c r="C7">
        <v>11.787000000000001</v>
      </c>
      <c r="D7">
        <v>12.888</v>
      </c>
      <c r="E7">
        <v>13.6</v>
      </c>
      <c r="F7">
        <v>12.5</v>
      </c>
      <c r="G7">
        <v>7.9459999999999997</v>
      </c>
      <c r="H7">
        <v>8.7669999999999995</v>
      </c>
      <c r="I7">
        <v>9.1999999999999993</v>
      </c>
      <c r="J7">
        <v>11</v>
      </c>
    </row>
    <row r="8" spans="1:25" x14ac:dyDescent="0.25">
      <c r="A8" t="s">
        <v>411</v>
      </c>
      <c r="B8" t="s">
        <v>165</v>
      </c>
      <c r="C8">
        <v>3.0840000000000001</v>
      </c>
      <c r="D8">
        <v>3.4430000000000001</v>
      </c>
      <c r="E8">
        <v>3.45</v>
      </c>
      <c r="F8">
        <v>3.25</v>
      </c>
      <c r="G8">
        <v>2.9550000000000001</v>
      </c>
      <c r="H8">
        <v>2.8370000000000002</v>
      </c>
      <c r="I8">
        <v>3.05</v>
      </c>
      <c r="J8">
        <v>4</v>
      </c>
    </row>
    <row r="9" spans="1:25" x14ac:dyDescent="0.25">
      <c r="A9" t="s">
        <v>412</v>
      </c>
      <c r="B9" t="s">
        <v>167</v>
      </c>
      <c r="C9">
        <v>8.0359999999999996</v>
      </c>
      <c r="D9">
        <v>8.7780000000000005</v>
      </c>
      <c r="E9">
        <v>9.15</v>
      </c>
      <c r="F9">
        <v>9</v>
      </c>
      <c r="G9">
        <v>5.14</v>
      </c>
      <c r="H9">
        <v>6.15</v>
      </c>
      <c r="I9">
        <v>6.75</v>
      </c>
      <c r="J9">
        <v>8.3000000000000007</v>
      </c>
    </row>
    <row r="10" spans="1:25" x14ac:dyDescent="0.25">
      <c r="A10" t="s">
        <v>80</v>
      </c>
      <c r="B10" t="s">
        <v>3</v>
      </c>
      <c r="C10">
        <v>9.0470000000000006</v>
      </c>
      <c r="D10">
        <v>9.5619999999999994</v>
      </c>
      <c r="E10">
        <v>9.85</v>
      </c>
      <c r="F10">
        <v>10.5</v>
      </c>
      <c r="G10">
        <v>6.8040000000000003</v>
      </c>
      <c r="H10">
        <v>7.64</v>
      </c>
      <c r="I10">
        <v>7.95</v>
      </c>
      <c r="J10">
        <v>10.25</v>
      </c>
    </row>
    <row r="11" spans="1:25" x14ac:dyDescent="0.25">
      <c r="A11" t="s">
        <v>413</v>
      </c>
      <c r="B11" t="s">
        <v>169</v>
      </c>
      <c r="C11">
        <v>1.056</v>
      </c>
      <c r="D11">
        <v>1.089</v>
      </c>
      <c r="E11">
        <v>1.25</v>
      </c>
      <c r="F11">
        <v>1.45</v>
      </c>
      <c r="G11">
        <v>3.7930000000000001</v>
      </c>
      <c r="H11">
        <v>4.0469999999999997</v>
      </c>
      <c r="I11">
        <v>2.8</v>
      </c>
      <c r="J11">
        <v>4.7</v>
      </c>
    </row>
    <row r="12" spans="1:25" x14ac:dyDescent="0.25">
      <c r="A12" t="s">
        <v>414</v>
      </c>
      <c r="B12" t="s">
        <v>171</v>
      </c>
      <c r="C12">
        <v>2.69</v>
      </c>
      <c r="D12">
        <v>2.7839999999999998</v>
      </c>
      <c r="E12">
        <v>2.8</v>
      </c>
      <c r="F12">
        <v>2.25</v>
      </c>
      <c r="G12">
        <v>2.1179999999999999</v>
      </c>
      <c r="H12">
        <v>1.9019999999999999</v>
      </c>
      <c r="I12">
        <v>2.35</v>
      </c>
      <c r="J12">
        <v>3.1</v>
      </c>
    </row>
    <row r="13" spans="1:25" x14ac:dyDescent="0.25">
      <c r="A13" t="s">
        <v>415</v>
      </c>
      <c r="B13" t="s">
        <v>173</v>
      </c>
      <c r="C13">
        <v>4.4589999999999996</v>
      </c>
      <c r="D13">
        <v>5.3029999999999999</v>
      </c>
      <c r="G13">
        <v>2.5539999999999998</v>
      </c>
      <c r="H13">
        <v>2.6560000000000001</v>
      </c>
    </row>
    <row r="14" spans="1:25" x14ac:dyDescent="0.25">
      <c r="A14" t="s">
        <v>416</v>
      </c>
      <c r="B14" t="s">
        <v>175</v>
      </c>
      <c r="C14">
        <v>10.717000000000001</v>
      </c>
      <c r="D14">
        <v>13.189</v>
      </c>
      <c r="E14">
        <v>14.15</v>
      </c>
      <c r="F14">
        <v>13.8</v>
      </c>
      <c r="G14">
        <v>6.6180000000000003</v>
      </c>
      <c r="H14">
        <v>7.2380000000000004</v>
      </c>
      <c r="I14">
        <v>7.5</v>
      </c>
      <c r="J14">
        <v>9.1999999999999993</v>
      </c>
    </row>
    <row r="15" spans="1:25" x14ac:dyDescent="0.25">
      <c r="A15" t="s">
        <v>417</v>
      </c>
      <c r="B15" t="s">
        <v>260</v>
      </c>
      <c r="C15">
        <v>7.819</v>
      </c>
      <c r="D15">
        <v>5.7830000000000004</v>
      </c>
      <c r="E15">
        <v>7.75</v>
      </c>
      <c r="F15">
        <v>9.75</v>
      </c>
      <c r="G15">
        <v>4.4889999999999999</v>
      </c>
      <c r="H15">
        <v>4.8869999999999996</v>
      </c>
      <c r="I15">
        <v>5.35</v>
      </c>
      <c r="J15">
        <v>7</v>
      </c>
    </row>
    <row r="16" spans="1:25" x14ac:dyDescent="0.25">
      <c r="A16" t="s">
        <v>86</v>
      </c>
      <c r="B16" t="s">
        <v>4</v>
      </c>
      <c r="C16">
        <v>6.2960000000000003</v>
      </c>
      <c r="D16">
        <v>6.46</v>
      </c>
      <c r="E16">
        <v>6.2</v>
      </c>
      <c r="F16">
        <v>6</v>
      </c>
      <c r="G16">
        <v>4.8739999999999997</v>
      </c>
      <c r="H16">
        <v>5.0110000000000001</v>
      </c>
      <c r="I16">
        <v>5.85</v>
      </c>
      <c r="J16">
        <v>6</v>
      </c>
    </row>
    <row r="17" spans="1:10" x14ac:dyDescent="0.25">
      <c r="A17" t="s">
        <v>46</v>
      </c>
      <c r="B17" t="s">
        <v>5</v>
      </c>
      <c r="C17">
        <v>6.0890000000000004</v>
      </c>
      <c r="D17">
        <v>7.625</v>
      </c>
      <c r="E17">
        <v>11.05</v>
      </c>
      <c r="F17">
        <v>6.75</v>
      </c>
      <c r="G17">
        <v>7.1539999999999999</v>
      </c>
      <c r="H17">
        <v>6.6109999999999998</v>
      </c>
      <c r="I17">
        <v>6.95</v>
      </c>
      <c r="J17">
        <v>8.5</v>
      </c>
    </row>
    <row r="18" spans="1:10" x14ac:dyDescent="0.25">
      <c r="A18" t="s">
        <v>418</v>
      </c>
      <c r="B18" t="s">
        <v>177</v>
      </c>
      <c r="C18">
        <v>5.399</v>
      </c>
      <c r="D18">
        <v>5.6529999999999996</v>
      </c>
      <c r="E18">
        <v>3.95</v>
      </c>
      <c r="F18">
        <v>3.65</v>
      </c>
      <c r="G18">
        <v>2.9990000000000001</v>
      </c>
      <c r="H18">
        <v>3.1080000000000001</v>
      </c>
      <c r="I18">
        <v>3.3</v>
      </c>
      <c r="J18">
        <v>3.6</v>
      </c>
    </row>
    <row r="19" spans="1:10" x14ac:dyDescent="0.25">
      <c r="A19" t="s">
        <v>90</v>
      </c>
      <c r="B19" t="s">
        <v>6</v>
      </c>
      <c r="C19">
        <v>3.3079999999999998</v>
      </c>
      <c r="D19">
        <v>3.294</v>
      </c>
      <c r="E19">
        <v>4.8499999999999996</v>
      </c>
      <c r="F19">
        <v>5</v>
      </c>
      <c r="G19">
        <v>4.0339999999999998</v>
      </c>
      <c r="H19">
        <v>3.24</v>
      </c>
      <c r="I19">
        <v>4.7</v>
      </c>
      <c r="J19">
        <v>5.75</v>
      </c>
    </row>
    <row r="20" spans="1:10" x14ac:dyDescent="0.25">
      <c r="A20" t="s">
        <v>419</v>
      </c>
      <c r="B20" t="s">
        <v>178</v>
      </c>
      <c r="C20">
        <v>10.727</v>
      </c>
      <c r="D20">
        <v>16.471</v>
      </c>
      <c r="E20">
        <v>9.9</v>
      </c>
      <c r="F20">
        <v>11.8</v>
      </c>
      <c r="G20">
        <v>5.4169999999999998</v>
      </c>
      <c r="H20">
        <v>6.4669999999999996</v>
      </c>
      <c r="I20">
        <v>6.55</v>
      </c>
      <c r="J20">
        <v>9</v>
      </c>
    </row>
    <row r="21" spans="1:10" x14ac:dyDescent="0.25">
      <c r="A21" t="s">
        <v>47</v>
      </c>
      <c r="B21" t="s">
        <v>9</v>
      </c>
      <c r="C21">
        <v>5.9119999999999999</v>
      </c>
      <c r="D21">
        <v>7.319</v>
      </c>
      <c r="E21">
        <v>7.7</v>
      </c>
      <c r="F21">
        <v>7.5</v>
      </c>
      <c r="G21">
        <v>5.2869999999999999</v>
      </c>
      <c r="H21">
        <v>5.6109999999999998</v>
      </c>
      <c r="I21">
        <v>6</v>
      </c>
      <c r="J21">
        <v>7.5</v>
      </c>
    </row>
    <row r="22" spans="1:10" x14ac:dyDescent="0.25">
      <c r="A22" t="s">
        <v>420</v>
      </c>
      <c r="B22" t="s">
        <v>180</v>
      </c>
      <c r="C22">
        <v>4.3949999999999996</v>
      </c>
      <c r="D22">
        <v>4.7309999999999999</v>
      </c>
      <c r="E22">
        <v>4</v>
      </c>
      <c r="F22">
        <v>3.35</v>
      </c>
      <c r="G22">
        <v>3.456</v>
      </c>
      <c r="H22">
        <v>2.9350000000000001</v>
      </c>
      <c r="I22">
        <v>3.95</v>
      </c>
      <c r="J22">
        <v>4.7</v>
      </c>
    </row>
    <row r="23" spans="1:10" x14ac:dyDescent="0.25">
      <c r="A23" t="s">
        <v>50</v>
      </c>
      <c r="B23" t="s">
        <v>10</v>
      </c>
      <c r="C23">
        <v>11.106</v>
      </c>
      <c r="D23">
        <v>10.894</v>
      </c>
      <c r="E23">
        <v>10.85</v>
      </c>
      <c r="F23">
        <v>12.5</v>
      </c>
      <c r="G23">
        <v>8.41</v>
      </c>
      <c r="H23">
        <v>8.9160000000000004</v>
      </c>
      <c r="I23">
        <v>9.0500000000000007</v>
      </c>
      <c r="J23">
        <v>11.5</v>
      </c>
    </row>
    <row r="24" spans="1:10" x14ac:dyDescent="0.25">
      <c r="A24" t="s">
        <v>421</v>
      </c>
      <c r="B24" t="s">
        <v>182</v>
      </c>
      <c r="C24">
        <v>0.307</v>
      </c>
      <c r="D24">
        <v>1.081</v>
      </c>
      <c r="E24">
        <v>0.45</v>
      </c>
      <c r="F24">
        <v>0.5</v>
      </c>
      <c r="G24">
        <v>1.117</v>
      </c>
      <c r="H24">
        <v>1.149</v>
      </c>
      <c r="I24">
        <v>1.2</v>
      </c>
      <c r="J24">
        <v>2</v>
      </c>
    </row>
    <row r="25" spans="1:10" x14ac:dyDescent="0.25">
      <c r="A25" t="s">
        <v>422</v>
      </c>
      <c r="B25" t="s">
        <v>11</v>
      </c>
      <c r="C25">
        <v>8.5389999999999997</v>
      </c>
      <c r="D25">
        <v>6.2480000000000002</v>
      </c>
      <c r="E25">
        <v>7.45</v>
      </c>
      <c r="F25">
        <v>8</v>
      </c>
      <c r="G25">
        <v>6.8970000000000002</v>
      </c>
      <c r="H25">
        <v>6.4770000000000003</v>
      </c>
      <c r="I25">
        <v>6.15</v>
      </c>
      <c r="J25">
        <v>9.5</v>
      </c>
    </row>
    <row r="26" spans="1:10" x14ac:dyDescent="0.25">
      <c r="A26" t="s">
        <v>51</v>
      </c>
      <c r="B26" t="s">
        <v>12</v>
      </c>
      <c r="C26">
        <v>12.542999999999999</v>
      </c>
      <c r="D26">
        <v>14.913</v>
      </c>
      <c r="E26">
        <v>18.75</v>
      </c>
      <c r="F26">
        <v>13</v>
      </c>
      <c r="G26">
        <v>11.773</v>
      </c>
      <c r="H26">
        <v>12.582000000000001</v>
      </c>
      <c r="I26">
        <v>12.75</v>
      </c>
      <c r="J26">
        <v>16</v>
      </c>
    </row>
    <row r="27" spans="1:10" x14ac:dyDescent="0.25">
      <c r="A27" t="s">
        <v>93</v>
      </c>
      <c r="B27" t="s">
        <v>13</v>
      </c>
      <c r="C27">
        <v>11.503</v>
      </c>
      <c r="D27">
        <v>12.914999999999999</v>
      </c>
      <c r="E27">
        <v>15.15</v>
      </c>
      <c r="F27">
        <v>12.75</v>
      </c>
      <c r="G27">
        <v>10.013</v>
      </c>
      <c r="H27">
        <v>10.487</v>
      </c>
      <c r="I27">
        <v>11.7</v>
      </c>
      <c r="J27">
        <v>13.75</v>
      </c>
    </row>
    <row r="28" spans="1:10" x14ac:dyDescent="0.25">
      <c r="A28" t="s">
        <v>53</v>
      </c>
      <c r="B28" t="s">
        <v>14</v>
      </c>
      <c r="C28">
        <v>11.749000000000001</v>
      </c>
      <c r="D28">
        <v>13.839</v>
      </c>
      <c r="E28">
        <v>15.05</v>
      </c>
      <c r="F28">
        <v>16.25</v>
      </c>
      <c r="G28">
        <v>11.031000000000001</v>
      </c>
      <c r="H28">
        <v>4.6929999999999996</v>
      </c>
      <c r="I28">
        <v>10.85</v>
      </c>
      <c r="J28">
        <v>13.5</v>
      </c>
    </row>
    <row r="29" spans="1:10" x14ac:dyDescent="0.25">
      <c r="A29" t="s">
        <v>88</v>
      </c>
      <c r="B29" t="s">
        <v>15</v>
      </c>
      <c r="C29">
        <v>5.9089999999999998</v>
      </c>
      <c r="D29">
        <v>6.843</v>
      </c>
      <c r="E29">
        <v>6.6</v>
      </c>
      <c r="F29">
        <v>7.5</v>
      </c>
      <c r="G29">
        <v>6.173</v>
      </c>
      <c r="H29">
        <v>5.8920000000000003</v>
      </c>
      <c r="I29">
        <v>6.3</v>
      </c>
      <c r="J29">
        <v>7.25</v>
      </c>
    </row>
    <row r="30" spans="1:10" x14ac:dyDescent="0.25">
      <c r="A30" t="s">
        <v>55</v>
      </c>
      <c r="B30" t="s">
        <v>17</v>
      </c>
      <c r="C30">
        <v>22.074999999999999</v>
      </c>
      <c r="D30">
        <v>22.452000000000002</v>
      </c>
      <c r="E30">
        <v>22.5</v>
      </c>
      <c r="F30">
        <v>16.75</v>
      </c>
      <c r="G30">
        <v>16.704999999999998</v>
      </c>
      <c r="H30">
        <v>16.495999999999999</v>
      </c>
      <c r="I30">
        <v>16.350000000000001</v>
      </c>
      <c r="J30">
        <v>17.75</v>
      </c>
    </row>
    <row r="31" spans="1:10" x14ac:dyDescent="0.25">
      <c r="A31" t="s">
        <v>475</v>
      </c>
      <c r="B31" t="s">
        <v>447</v>
      </c>
      <c r="D31">
        <v>4.1900000000000004</v>
      </c>
      <c r="E31">
        <v>5.7</v>
      </c>
      <c r="F31">
        <v>5.75</v>
      </c>
      <c r="H31">
        <v>4.8860000000000001</v>
      </c>
      <c r="I31">
        <v>7.1</v>
      </c>
      <c r="J31">
        <v>9.25</v>
      </c>
    </row>
    <row r="32" spans="1:10" x14ac:dyDescent="0.25">
      <c r="A32" t="s">
        <v>423</v>
      </c>
      <c r="B32" t="s">
        <v>211</v>
      </c>
      <c r="C32">
        <v>7.41</v>
      </c>
      <c r="D32">
        <v>7.9630000000000001</v>
      </c>
      <c r="E32">
        <v>9.35</v>
      </c>
      <c r="F32">
        <v>6.75</v>
      </c>
      <c r="G32">
        <v>5.8440000000000003</v>
      </c>
      <c r="H32">
        <v>6.6429999999999998</v>
      </c>
      <c r="I32">
        <v>7.25</v>
      </c>
      <c r="J32">
        <v>8.25</v>
      </c>
    </row>
    <row r="33" spans="1:10" x14ac:dyDescent="0.25">
      <c r="A33" t="s">
        <v>69</v>
      </c>
      <c r="B33" t="s">
        <v>18</v>
      </c>
      <c r="C33">
        <v>7.8730000000000002</v>
      </c>
      <c r="D33">
        <v>7.8440000000000003</v>
      </c>
      <c r="E33">
        <v>7.55</v>
      </c>
      <c r="F33">
        <v>7.25</v>
      </c>
      <c r="G33">
        <v>8.3699999999999992</v>
      </c>
      <c r="H33">
        <v>8.2430000000000003</v>
      </c>
      <c r="I33">
        <v>9.3000000000000007</v>
      </c>
      <c r="J33">
        <v>11.5</v>
      </c>
    </row>
    <row r="34" spans="1:10" x14ac:dyDescent="0.25">
      <c r="A34" t="s">
        <v>66</v>
      </c>
      <c r="B34" t="s">
        <v>19</v>
      </c>
      <c r="C34">
        <v>6.3789999999999996</v>
      </c>
      <c r="D34">
        <v>5.2249999999999996</v>
      </c>
      <c r="E34">
        <v>5.45</v>
      </c>
      <c r="F34">
        <v>5.25</v>
      </c>
      <c r="G34">
        <v>6.5410000000000004</v>
      </c>
      <c r="H34">
        <v>3.9830000000000001</v>
      </c>
      <c r="I34">
        <v>5.2</v>
      </c>
      <c r="J34">
        <v>6.25</v>
      </c>
    </row>
    <row r="35" spans="1:10" x14ac:dyDescent="0.25">
      <c r="A35" t="s">
        <v>424</v>
      </c>
      <c r="B35" t="s">
        <v>266</v>
      </c>
      <c r="C35">
        <v>7.181</v>
      </c>
      <c r="D35">
        <v>7.51</v>
      </c>
      <c r="E35">
        <v>8.5</v>
      </c>
      <c r="F35">
        <v>7.75</v>
      </c>
      <c r="G35">
        <v>5.4329999999999998</v>
      </c>
      <c r="H35">
        <v>5.3979999999999997</v>
      </c>
      <c r="I35">
        <v>5.7</v>
      </c>
      <c r="J35">
        <v>6.75</v>
      </c>
    </row>
    <row r="36" spans="1:10" x14ac:dyDescent="0.25">
      <c r="A36" t="s">
        <v>58</v>
      </c>
      <c r="B36" t="s">
        <v>21</v>
      </c>
      <c r="C36">
        <v>4.5519999999999996</v>
      </c>
      <c r="D36">
        <v>4.9349999999999996</v>
      </c>
      <c r="E36">
        <v>3.9</v>
      </c>
      <c r="F36">
        <v>4.5</v>
      </c>
      <c r="G36">
        <v>3.6829999999999998</v>
      </c>
      <c r="H36">
        <v>4.2009999999999996</v>
      </c>
      <c r="I36">
        <v>4.4000000000000004</v>
      </c>
      <c r="J36">
        <v>5.25</v>
      </c>
    </row>
    <row r="37" spans="1:10" x14ac:dyDescent="0.25">
      <c r="A37" t="s">
        <v>59</v>
      </c>
      <c r="B37" t="s">
        <v>22</v>
      </c>
      <c r="C37">
        <v>5.6619999999999999</v>
      </c>
      <c r="D37">
        <v>5.5110000000000001</v>
      </c>
      <c r="E37">
        <v>6.35</v>
      </c>
      <c r="F37">
        <v>7.25</v>
      </c>
      <c r="G37">
        <v>7.5039999999999996</v>
      </c>
      <c r="H37">
        <v>7.8520000000000003</v>
      </c>
      <c r="I37">
        <v>7.85</v>
      </c>
      <c r="J37">
        <v>9.5</v>
      </c>
    </row>
    <row r="38" spans="1:10" x14ac:dyDescent="0.25">
      <c r="A38" t="s">
        <v>61</v>
      </c>
      <c r="B38" t="s">
        <v>25</v>
      </c>
      <c r="C38">
        <v>3.1190000000000002</v>
      </c>
      <c r="D38">
        <v>6.1210000000000004</v>
      </c>
      <c r="E38">
        <v>6.45</v>
      </c>
      <c r="F38">
        <v>8.0500000000000007</v>
      </c>
      <c r="G38">
        <v>3.726</v>
      </c>
      <c r="H38">
        <v>4.0570000000000004</v>
      </c>
      <c r="I38">
        <v>4.7</v>
      </c>
      <c r="J38">
        <v>6.55</v>
      </c>
    </row>
    <row r="39" spans="1:10" x14ac:dyDescent="0.25">
      <c r="A39" t="s">
        <v>425</v>
      </c>
      <c r="B39" t="s">
        <v>188</v>
      </c>
      <c r="C39">
        <v>3.0760000000000001</v>
      </c>
      <c r="D39">
        <v>4.3949999999999996</v>
      </c>
      <c r="E39">
        <v>3.5</v>
      </c>
      <c r="F39">
        <v>3.5</v>
      </c>
      <c r="G39">
        <v>2.2370000000000001</v>
      </c>
      <c r="H39">
        <v>2.8860000000000001</v>
      </c>
      <c r="I39">
        <v>2.95</v>
      </c>
      <c r="J39">
        <v>3.45</v>
      </c>
    </row>
    <row r="40" spans="1:10" x14ac:dyDescent="0.25">
      <c r="A40" t="s">
        <v>426</v>
      </c>
      <c r="B40" t="s">
        <v>190</v>
      </c>
      <c r="C40">
        <v>3.8010000000000002</v>
      </c>
      <c r="D40">
        <v>4.3860000000000001</v>
      </c>
      <c r="E40">
        <v>2.2000000000000002</v>
      </c>
      <c r="F40">
        <v>2.2999999999999998</v>
      </c>
      <c r="G40">
        <v>2.6789999999999998</v>
      </c>
      <c r="H40">
        <v>3.72</v>
      </c>
      <c r="I40">
        <v>3.1</v>
      </c>
      <c r="J40">
        <v>3.7</v>
      </c>
    </row>
    <row r="41" spans="1:10" x14ac:dyDescent="0.25">
      <c r="A41" t="s">
        <v>427</v>
      </c>
      <c r="B41" t="s">
        <v>141</v>
      </c>
      <c r="C41">
        <v>22.803000000000001</v>
      </c>
      <c r="D41">
        <v>27.204999999999998</v>
      </c>
      <c r="E41">
        <v>18.7</v>
      </c>
      <c r="F41">
        <v>18.75</v>
      </c>
      <c r="G41">
        <v>12.108000000000001</v>
      </c>
      <c r="H41">
        <v>15.37</v>
      </c>
      <c r="I41">
        <v>15.05</v>
      </c>
      <c r="J41">
        <v>21</v>
      </c>
    </row>
    <row r="42" spans="1:10" x14ac:dyDescent="0.25">
      <c r="A42" t="s">
        <v>62</v>
      </c>
      <c r="B42" t="s">
        <v>26</v>
      </c>
      <c r="C42">
        <v>5.032</v>
      </c>
      <c r="D42">
        <v>4.883</v>
      </c>
      <c r="E42">
        <v>4.5999999999999996</v>
      </c>
      <c r="F42">
        <v>5.15</v>
      </c>
      <c r="G42">
        <v>2.0739999999999998</v>
      </c>
      <c r="H42">
        <v>2.823</v>
      </c>
      <c r="I42">
        <v>3.05</v>
      </c>
      <c r="J42">
        <v>3.75</v>
      </c>
    </row>
    <row r="43" spans="1:10" x14ac:dyDescent="0.25">
      <c r="A43" t="s">
        <v>474</v>
      </c>
      <c r="B43" t="s">
        <v>192</v>
      </c>
      <c r="C43">
        <v>7.4329999999999998</v>
      </c>
      <c r="D43">
        <v>7.4320000000000004</v>
      </c>
      <c r="E43">
        <v>6.65</v>
      </c>
      <c r="F43">
        <v>6.25</v>
      </c>
      <c r="G43">
        <v>1.042</v>
      </c>
      <c r="H43">
        <v>5.2789999999999999</v>
      </c>
      <c r="I43">
        <v>5.15</v>
      </c>
      <c r="J43">
        <v>6.35</v>
      </c>
    </row>
    <row r="44" spans="1:10" x14ac:dyDescent="0.25">
      <c r="A44" t="s">
        <v>428</v>
      </c>
      <c r="B44" t="s">
        <v>144</v>
      </c>
      <c r="C44">
        <v>5.5990000000000002</v>
      </c>
      <c r="D44">
        <v>5.6429999999999998</v>
      </c>
      <c r="E44">
        <v>6.65</v>
      </c>
      <c r="F44">
        <v>6</v>
      </c>
      <c r="G44">
        <v>6.7569999999999997</v>
      </c>
      <c r="H44">
        <v>6.9589999999999996</v>
      </c>
      <c r="I44">
        <v>7.2</v>
      </c>
      <c r="J44">
        <v>8.25</v>
      </c>
    </row>
    <row r="45" spans="1:10" x14ac:dyDescent="0.25">
      <c r="A45" t="s">
        <v>67</v>
      </c>
      <c r="B45" t="s">
        <v>27</v>
      </c>
      <c r="C45">
        <v>4.1269999999999998</v>
      </c>
      <c r="D45">
        <v>2.8719999999999999</v>
      </c>
      <c r="E45">
        <v>3.15</v>
      </c>
      <c r="F45">
        <v>3</v>
      </c>
      <c r="G45">
        <v>3.3439999999999999</v>
      </c>
      <c r="H45">
        <v>3.7410000000000001</v>
      </c>
      <c r="I45">
        <v>4.05</v>
      </c>
      <c r="J45">
        <v>5</v>
      </c>
    </row>
    <row r="46" spans="1:10" x14ac:dyDescent="0.25">
      <c r="A46" t="s">
        <v>429</v>
      </c>
      <c r="B46" t="s">
        <v>345</v>
      </c>
      <c r="C46">
        <v>6.8120000000000003</v>
      </c>
      <c r="D46">
        <v>7.5039999999999996</v>
      </c>
      <c r="E46">
        <v>8.5</v>
      </c>
      <c r="F46">
        <v>8.9</v>
      </c>
      <c r="G46">
        <v>5.96</v>
      </c>
      <c r="H46">
        <v>6.3220000000000001</v>
      </c>
      <c r="I46">
        <v>6.6</v>
      </c>
      <c r="J46">
        <v>9</v>
      </c>
    </row>
    <row r="47" spans="1:10" x14ac:dyDescent="0.25">
      <c r="A47" t="s">
        <v>68</v>
      </c>
      <c r="B47" t="s">
        <v>28</v>
      </c>
      <c r="C47">
        <v>3.36</v>
      </c>
      <c r="D47">
        <v>2.6579999999999999</v>
      </c>
      <c r="E47">
        <v>5.0999999999999996</v>
      </c>
      <c r="F47">
        <v>2.75</v>
      </c>
      <c r="G47">
        <v>3.7010000000000001</v>
      </c>
      <c r="H47">
        <v>3.9580000000000002</v>
      </c>
      <c r="I47">
        <v>4.0999999999999996</v>
      </c>
      <c r="J47">
        <v>4.75</v>
      </c>
    </row>
    <row r="48" spans="1:10" x14ac:dyDescent="0.25">
      <c r="A48" t="s">
        <v>71</v>
      </c>
      <c r="B48" t="s">
        <v>30</v>
      </c>
      <c r="C48">
        <v>10.959</v>
      </c>
      <c r="D48">
        <v>12.519</v>
      </c>
      <c r="G48">
        <v>9.0280000000000005</v>
      </c>
      <c r="H48">
        <v>-7.3049999999999997</v>
      </c>
    </row>
    <row r="49" spans="1:10" x14ac:dyDescent="0.25">
      <c r="A49" t="s">
        <v>72</v>
      </c>
      <c r="B49" t="s">
        <v>31</v>
      </c>
      <c r="C49">
        <v>12.804</v>
      </c>
      <c r="D49">
        <v>10.734</v>
      </c>
      <c r="E49">
        <v>11.25</v>
      </c>
      <c r="F49">
        <v>11.75</v>
      </c>
      <c r="G49">
        <v>9.7859999999999996</v>
      </c>
      <c r="H49">
        <v>11.407</v>
      </c>
      <c r="I49">
        <v>10.95</v>
      </c>
      <c r="J49">
        <v>13.5</v>
      </c>
    </row>
    <row r="50" spans="1:10" x14ac:dyDescent="0.25">
      <c r="A50" t="s">
        <v>74</v>
      </c>
      <c r="B50" t="s">
        <v>32</v>
      </c>
      <c r="C50">
        <v>6.2830000000000004</v>
      </c>
      <c r="D50">
        <v>6.2919999999999998</v>
      </c>
      <c r="E50">
        <v>8</v>
      </c>
      <c r="F50">
        <v>5</v>
      </c>
      <c r="G50">
        <v>5.2990000000000004</v>
      </c>
      <c r="H50">
        <v>5.1280000000000001</v>
      </c>
      <c r="I50">
        <v>5.75</v>
      </c>
      <c r="J50">
        <v>7</v>
      </c>
    </row>
    <row r="51" spans="1:10" x14ac:dyDescent="0.25">
      <c r="A51" t="s">
        <v>92</v>
      </c>
      <c r="B51" t="s">
        <v>33</v>
      </c>
      <c r="C51">
        <v>5.7679999999999998</v>
      </c>
      <c r="D51">
        <v>6.665</v>
      </c>
      <c r="E51">
        <v>5.15</v>
      </c>
      <c r="F51">
        <v>5.25</v>
      </c>
      <c r="G51">
        <v>6.1609999999999996</v>
      </c>
      <c r="H51">
        <v>6.6539999999999999</v>
      </c>
      <c r="I51">
        <v>6.95</v>
      </c>
      <c r="J51">
        <v>8.75</v>
      </c>
    </row>
    <row r="52" spans="1:10" x14ac:dyDescent="0.25">
      <c r="A52" t="s">
        <v>70</v>
      </c>
      <c r="B52" t="s">
        <v>34</v>
      </c>
      <c r="C52">
        <v>4.5179999999999998</v>
      </c>
      <c r="D52">
        <v>4.4950000000000001</v>
      </c>
      <c r="E52">
        <v>4.3</v>
      </c>
      <c r="F52">
        <v>3.25</v>
      </c>
      <c r="G52">
        <v>3.6829999999999998</v>
      </c>
      <c r="H52">
        <v>4.1630000000000003</v>
      </c>
      <c r="I52">
        <v>3.95</v>
      </c>
      <c r="J52">
        <v>5</v>
      </c>
    </row>
    <row r="53" spans="1:10" x14ac:dyDescent="0.25">
      <c r="A53" t="s">
        <v>75</v>
      </c>
      <c r="B53" t="s">
        <v>35</v>
      </c>
      <c r="C53">
        <v>8.2970000000000006</v>
      </c>
      <c r="D53">
        <v>7.7619999999999996</v>
      </c>
      <c r="E53">
        <v>5.95</v>
      </c>
      <c r="F53">
        <v>6</v>
      </c>
      <c r="G53">
        <v>5.3029999999999999</v>
      </c>
      <c r="H53">
        <v>5.444</v>
      </c>
      <c r="I53">
        <v>6.45</v>
      </c>
      <c r="J53">
        <v>7.75</v>
      </c>
    </row>
    <row r="54" spans="1:10" x14ac:dyDescent="0.25">
      <c r="A54" t="s">
        <v>430</v>
      </c>
      <c r="B54" t="s">
        <v>194</v>
      </c>
      <c r="C54">
        <v>2.8660000000000001</v>
      </c>
      <c r="D54">
        <v>2.9129999999999998</v>
      </c>
      <c r="G54">
        <v>1.7250000000000001</v>
      </c>
      <c r="H54">
        <v>1.7989999999999999</v>
      </c>
    </row>
    <row r="55" spans="1:10" x14ac:dyDescent="0.25">
      <c r="A55" t="s">
        <v>54</v>
      </c>
      <c r="B55" t="s">
        <v>37</v>
      </c>
      <c r="C55">
        <v>15.711</v>
      </c>
      <c r="D55">
        <v>13.821999999999999</v>
      </c>
      <c r="E55">
        <v>16.899999999999999</v>
      </c>
      <c r="F55">
        <v>10.25</v>
      </c>
      <c r="G55">
        <v>10.574999999999999</v>
      </c>
      <c r="H55">
        <v>11.068</v>
      </c>
      <c r="I55">
        <v>11.4</v>
      </c>
      <c r="J55">
        <v>15.5</v>
      </c>
    </row>
    <row r="56" spans="1:10" x14ac:dyDescent="0.25">
      <c r="A56" t="s">
        <v>431</v>
      </c>
      <c r="B56" t="s">
        <v>196</v>
      </c>
      <c r="C56">
        <v>7.2640000000000002</v>
      </c>
      <c r="D56">
        <v>5.085</v>
      </c>
      <c r="E56">
        <v>5</v>
      </c>
      <c r="F56">
        <v>5.25</v>
      </c>
      <c r="G56">
        <v>5.2380000000000004</v>
      </c>
      <c r="H56">
        <v>3.2869999999999999</v>
      </c>
      <c r="I56">
        <v>3.9</v>
      </c>
      <c r="J56">
        <v>5.0999999999999996</v>
      </c>
    </row>
    <row r="57" spans="1:10" x14ac:dyDescent="0.25">
      <c r="A57" t="s">
        <v>432</v>
      </c>
      <c r="B57" t="s">
        <v>198</v>
      </c>
      <c r="C57">
        <v>3.431</v>
      </c>
      <c r="D57">
        <v>3.9889999999999999</v>
      </c>
      <c r="E57">
        <v>4.5</v>
      </c>
      <c r="F57">
        <v>6.5</v>
      </c>
      <c r="G57">
        <v>2.7850000000000001</v>
      </c>
      <c r="H57">
        <v>2.9129999999999998</v>
      </c>
      <c r="I57">
        <v>2.15</v>
      </c>
      <c r="J57">
        <v>3.75</v>
      </c>
    </row>
    <row r="58" spans="1:10" x14ac:dyDescent="0.25">
      <c r="A58" t="s">
        <v>77</v>
      </c>
      <c r="B58" t="s">
        <v>38</v>
      </c>
      <c r="C58">
        <v>7.367</v>
      </c>
      <c r="D58">
        <v>7.7389999999999999</v>
      </c>
      <c r="E58">
        <v>7.2</v>
      </c>
      <c r="F58">
        <v>5.25</v>
      </c>
      <c r="G58">
        <v>6.6379999999999999</v>
      </c>
      <c r="H58">
        <v>6.4119999999999999</v>
      </c>
      <c r="I58">
        <v>6.4</v>
      </c>
      <c r="J58">
        <v>7.5</v>
      </c>
    </row>
    <row r="59" spans="1:10" x14ac:dyDescent="0.25">
      <c r="A59" t="s">
        <v>433</v>
      </c>
      <c r="B59" t="s">
        <v>200</v>
      </c>
      <c r="C59">
        <v>12.968</v>
      </c>
      <c r="D59">
        <v>14.444000000000001</v>
      </c>
      <c r="E59">
        <v>15.75</v>
      </c>
      <c r="F59">
        <v>20.7</v>
      </c>
      <c r="G59">
        <v>8.8330000000000002</v>
      </c>
      <c r="H59">
        <v>8.1370000000000005</v>
      </c>
      <c r="I59">
        <v>9.6999999999999993</v>
      </c>
      <c r="J59">
        <v>13.55</v>
      </c>
    </row>
    <row r="60" spans="1:10" x14ac:dyDescent="0.25">
      <c r="A60" t="s">
        <v>434</v>
      </c>
      <c r="B60" t="s">
        <v>244</v>
      </c>
      <c r="C60">
        <v>9.077</v>
      </c>
      <c r="D60">
        <v>9.8559999999999999</v>
      </c>
      <c r="E60">
        <v>11.2</v>
      </c>
      <c r="F60">
        <v>12.75</v>
      </c>
      <c r="G60">
        <v>6.5410000000000004</v>
      </c>
      <c r="H60">
        <v>7.5510000000000002</v>
      </c>
      <c r="I60">
        <v>7.3</v>
      </c>
      <c r="J60">
        <v>9.5500000000000007</v>
      </c>
    </row>
    <row r="61" spans="1:10" x14ac:dyDescent="0.25">
      <c r="A61" t="s">
        <v>435</v>
      </c>
      <c r="B61" t="s">
        <v>202</v>
      </c>
      <c r="C61">
        <v>0.216</v>
      </c>
      <c r="D61">
        <v>0.254</v>
      </c>
      <c r="G61">
        <v>0.97499999999999998</v>
      </c>
      <c r="H61">
        <v>1.649</v>
      </c>
    </row>
    <row r="62" spans="1:10" x14ac:dyDescent="0.25">
      <c r="A62" t="s">
        <v>436</v>
      </c>
      <c r="B62" t="s">
        <v>204</v>
      </c>
      <c r="C62">
        <v>3.6720000000000002</v>
      </c>
      <c r="D62">
        <v>3.298</v>
      </c>
      <c r="E62">
        <v>3.9</v>
      </c>
      <c r="F62">
        <v>4.3</v>
      </c>
      <c r="G62">
        <v>4.7290000000000001</v>
      </c>
      <c r="H62">
        <v>5.4020000000000001</v>
      </c>
      <c r="I62">
        <v>5.2</v>
      </c>
      <c r="J62">
        <v>6.55</v>
      </c>
    </row>
    <row r="63" spans="1:10" x14ac:dyDescent="0.25">
      <c r="A63" t="s">
        <v>437</v>
      </c>
      <c r="B63" t="s">
        <v>83</v>
      </c>
      <c r="C63">
        <v>8.0519999999999996</v>
      </c>
      <c r="D63">
        <v>6.883</v>
      </c>
      <c r="G63">
        <v>5.1230000000000002</v>
      </c>
      <c r="H63">
        <v>5.6059999999999999</v>
      </c>
    </row>
    <row r="64" spans="1:10" x14ac:dyDescent="0.25">
      <c r="A64" t="s">
        <v>438</v>
      </c>
      <c r="B64" t="s">
        <v>44</v>
      </c>
      <c r="C64">
        <v>6.2089999999999996</v>
      </c>
      <c r="D64">
        <v>6.7050000000000001</v>
      </c>
      <c r="E64">
        <v>9.4499999999999993</v>
      </c>
      <c r="F64">
        <v>7.75</v>
      </c>
      <c r="G64">
        <v>5.69</v>
      </c>
      <c r="H64">
        <v>6.0380000000000003</v>
      </c>
      <c r="I64">
        <v>6.45</v>
      </c>
      <c r="J64">
        <v>8.5</v>
      </c>
    </row>
    <row r="65" spans="1:10" x14ac:dyDescent="0.25">
      <c r="A65" t="s">
        <v>65</v>
      </c>
      <c r="B65" t="s">
        <v>45</v>
      </c>
      <c r="C65">
        <v>6.5369999999999999</v>
      </c>
      <c r="D65">
        <v>7.6980000000000004</v>
      </c>
      <c r="E65">
        <v>9.1999999999999993</v>
      </c>
      <c r="F65">
        <v>7.25</v>
      </c>
      <c r="G65">
        <v>5.4649999999999999</v>
      </c>
      <c r="H65">
        <v>5.9180000000000001</v>
      </c>
      <c r="I65">
        <v>6.3</v>
      </c>
      <c r="J65">
        <v>8</v>
      </c>
    </row>
    <row r="66" spans="1:10" x14ac:dyDescent="0.25">
      <c r="A66" t="s">
        <v>439</v>
      </c>
      <c r="B66" t="s">
        <v>208</v>
      </c>
      <c r="C66">
        <v>1.948</v>
      </c>
      <c r="E66">
        <v>2</v>
      </c>
      <c r="F66">
        <v>1.85</v>
      </c>
      <c r="G66">
        <v>1.534</v>
      </c>
      <c r="H66">
        <v>1.575</v>
      </c>
      <c r="I66">
        <v>1.75</v>
      </c>
      <c r="J66">
        <v>2.5</v>
      </c>
    </row>
  </sheetData>
  <autoFilter ref="A3:J71"/>
  <pageMargins left="0.7" right="0.7" top="0.75" bottom="0.75" header="0.3" footer="0.3"/>
  <pageSetup scale="9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7030A0"/>
  </sheetPr>
  <dimension ref="A1:AM88"/>
  <sheetViews>
    <sheetView zoomScale="90" zoomScaleNormal="90" workbookViewId="0">
      <selection activeCell="C7" sqref="C7"/>
    </sheetView>
  </sheetViews>
  <sheetFormatPr defaultRowHeight="13.8" x14ac:dyDescent="0.25"/>
  <cols>
    <col min="1" max="2" width="3.09765625" customWidth="1"/>
    <col min="3" max="3" width="17.69921875" bestFit="1" customWidth="1"/>
    <col min="4" max="4" width="9.19921875" bestFit="1" customWidth="1"/>
    <col min="5" max="5" width="19.3984375" customWidth="1"/>
    <col min="6" max="6" width="1.59765625" style="272" customWidth="1"/>
    <col min="7" max="7" width="9.69921875" customWidth="1"/>
    <col min="8" max="8" width="9.59765625" bestFit="1" customWidth="1"/>
    <col min="9" max="9" width="7.5" bestFit="1" customWidth="1"/>
    <col min="10" max="10" width="6.3984375" bestFit="1" customWidth="1"/>
    <col min="11" max="11" width="7.59765625" customWidth="1"/>
    <col min="12" max="12" width="9.69921875" customWidth="1"/>
    <col min="13" max="13" width="10.09765625" customWidth="1"/>
    <col min="14" max="14" width="10.5" customWidth="1"/>
    <col min="15" max="19" width="8.5" customWidth="1"/>
    <col min="20" max="20" width="10.09765625" style="31" customWidth="1"/>
    <col min="21" max="21" width="1.59765625" style="31" customWidth="1"/>
    <col min="22" max="24" width="8.3984375" bestFit="1" customWidth="1"/>
    <col min="25" max="25" width="9" bestFit="1" customWidth="1"/>
    <col min="26" max="30" width="9.19921875" customWidth="1"/>
  </cols>
  <sheetData>
    <row r="1" spans="1:39" x14ac:dyDescent="0.25">
      <c r="C1" t="s">
        <v>351</v>
      </c>
      <c r="D1" s="205" t="s">
        <v>584</v>
      </c>
      <c r="V1" s="2"/>
    </row>
    <row r="2" spans="1:39" x14ac:dyDescent="0.25">
      <c r="C2" t="s">
        <v>352</v>
      </c>
      <c r="D2" s="204" t="s">
        <v>582</v>
      </c>
    </row>
    <row r="3" spans="1:39" x14ac:dyDescent="0.25">
      <c r="C3" t="s">
        <v>353</v>
      </c>
      <c r="D3" s="205" t="s">
        <v>583</v>
      </c>
    </row>
    <row r="4" spans="1:39" x14ac:dyDescent="0.25">
      <c r="G4" s="49" t="s">
        <v>115</v>
      </c>
      <c r="H4" s="49"/>
      <c r="I4" s="49"/>
      <c r="J4" s="49"/>
    </row>
    <row r="5" spans="1:39" ht="69" x14ac:dyDescent="0.25">
      <c r="C5" s="47" t="s">
        <v>267</v>
      </c>
      <c r="D5" s="272"/>
      <c r="E5" s="272"/>
      <c r="G5" s="273">
        <v>2023</v>
      </c>
      <c r="H5" s="281" t="s">
        <v>572</v>
      </c>
      <c r="I5" s="281"/>
      <c r="J5" s="281"/>
      <c r="K5" s="47" t="str">
        <f>$G$5&amp;CHAR(10)&amp;"Cash Flow"&amp;CHAR(10)&amp;"/Share"</f>
        <v>2023
Cash Flow
/Share</v>
      </c>
      <c r="L5" s="47" t="str">
        <f>$G$5&amp;CHAR(10)&amp;"Earnings"&amp;CHAR(10)&amp;"/Share"</f>
        <v>2023
Earnings
/Share</v>
      </c>
      <c r="M5" s="47" t="str">
        <f>$G$5&amp;CHAR(10)&amp;"Div'd Decl'd"&amp;CHAR(10)&amp;"/Share"</f>
        <v>2023
Div'd Decl'd
/Share</v>
      </c>
      <c r="N5" s="47" t="str">
        <f>$G$5&amp;CHAR(10)&amp;"Cap'l Spending"&amp;CHAR(10)&amp;"/Share"</f>
        <v>2023
Cap'l Spending
/Share</v>
      </c>
      <c r="O5" s="47" t="str">
        <f>$G$5&amp;CHAR(10)&amp;"Book Value"&amp;CHAR(10)&amp;"/Share"</f>
        <v>2023
Book Value
/Share</v>
      </c>
      <c r="P5" s="47" t="str">
        <f>($G$5+1)&amp;CHAR(10)&amp;"Cash Flow"&amp;CHAR(10)&amp;"/Share"</f>
        <v>2024
Cash Flow
/Share</v>
      </c>
      <c r="Q5" s="47" t="str">
        <f>($G$5+1)&amp;CHAR(10)&amp;"Cap'l Spending"&amp;CHAR(10)&amp;"/Share"</f>
        <v>2024
Cap'l Spending
/Share</v>
      </c>
      <c r="R5" s="47" t="s">
        <v>441</v>
      </c>
      <c r="S5" s="47" t="s">
        <v>442</v>
      </c>
      <c r="T5" s="242" t="s">
        <v>323</v>
      </c>
      <c r="U5" s="242"/>
    </row>
    <row r="6" spans="1:39" ht="28.2" thickBot="1" x14ac:dyDescent="0.3">
      <c r="G6" s="24" t="s">
        <v>113</v>
      </c>
      <c r="H6" s="24" t="s">
        <v>110</v>
      </c>
      <c r="I6" s="24" t="s">
        <v>111</v>
      </c>
      <c r="J6" s="24" t="s">
        <v>112</v>
      </c>
      <c r="K6" s="48"/>
      <c r="L6" s="48"/>
      <c r="M6" s="48"/>
      <c r="N6" s="48"/>
      <c r="O6" s="48"/>
      <c r="P6" s="48"/>
      <c r="Q6" s="48"/>
      <c r="R6" s="48"/>
      <c r="S6" s="48"/>
      <c r="T6" s="55"/>
      <c r="U6" s="274"/>
      <c r="V6" s="24" t="s">
        <v>114</v>
      </c>
      <c r="W6" s="24" t="s">
        <v>245</v>
      </c>
      <c r="X6" s="24" t="s">
        <v>349</v>
      </c>
      <c r="Y6" s="24" t="s">
        <v>324</v>
      </c>
      <c r="Z6" s="83" t="s">
        <v>325</v>
      </c>
      <c r="AA6" s="24" t="s">
        <v>377</v>
      </c>
      <c r="AB6" s="83" t="s">
        <v>325</v>
      </c>
      <c r="AC6" s="83"/>
      <c r="AD6" s="83"/>
      <c r="AF6" s="24" t="s">
        <v>343</v>
      </c>
    </row>
    <row r="7" spans="1:39" ht="15" customHeight="1" x14ac:dyDescent="0.25">
      <c r="G7" s="39" t="s">
        <v>116</v>
      </c>
      <c r="H7" s="39" t="s">
        <v>116</v>
      </c>
      <c r="I7" s="39" t="s">
        <v>116</v>
      </c>
      <c r="K7" s="39" t="s">
        <v>116</v>
      </c>
      <c r="L7" s="39" t="s">
        <v>116</v>
      </c>
      <c r="M7" s="39" t="s">
        <v>116</v>
      </c>
      <c r="N7" s="39" t="s">
        <v>116</v>
      </c>
      <c r="O7" s="39" t="s">
        <v>116</v>
      </c>
      <c r="P7" s="39" t="s">
        <v>116</v>
      </c>
      <c r="Q7" s="39" t="s">
        <v>116</v>
      </c>
      <c r="R7" s="39"/>
      <c r="S7" s="39"/>
      <c r="T7" s="243" t="s">
        <v>116</v>
      </c>
      <c r="U7" s="243"/>
      <c r="Y7" s="39"/>
    </row>
    <row r="8" spans="1:39" x14ac:dyDescent="0.25">
      <c r="D8" s="53">
        <v>1</v>
      </c>
      <c r="E8" s="53">
        <v>2</v>
      </c>
      <c r="F8" s="53"/>
      <c r="G8" s="53">
        <v>3</v>
      </c>
      <c r="H8" s="53">
        <v>4</v>
      </c>
      <c r="I8" s="53">
        <v>5</v>
      </c>
      <c r="J8" s="53">
        <v>6</v>
      </c>
      <c r="K8" s="53">
        <v>7</v>
      </c>
      <c r="L8" s="53">
        <v>8</v>
      </c>
      <c r="M8" s="53">
        <v>9</v>
      </c>
      <c r="N8" s="53">
        <v>10</v>
      </c>
      <c r="O8" s="53">
        <v>11</v>
      </c>
      <c r="P8" s="53">
        <v>12</v>
      </c>
      <c r="Q8" s="53">
        <v>13</v>
      </c>
      <c r="R8" s="53">
        <v>14</v>
      </c>
      <c r="S8" s="53">
        <v>15</v>
      </c>
      <c r="T8" s="244">
        <v>16</v>
      </c>
      <c r="U8" s="244"/>
      <c r="V8" s="53">
        <v>17</v>
      </c>
      <c r="W8" s="53">
        <v>18</v>
      </c>
      <c r="X8" s="53">
        <v>19</v>
      </c>
      <c r="Y8" s="53">
        <v>20</v>
      </c>
      <c r="Z8" s="53">
        <v>21</v>
      </c>
      <c r="AA8" s="53">
        <v>22</v>
      </c>
      <c r="AB8" s="53">
        <v>23</v>
      </c>
      <c r="AC8" s="53"/>
      <c r="AD8" s="53"/>
    </row>
    <row r="9" spans="1:39" hidden="1" x14ac:dyDescent="0.25">
      <c r="A9">
        <f>IF(OR(B9="E",B9="N"),1,"")</f>
        <v>1</v>
      </c>
      <c r="B9" t="str">
        <f>LEFT(C9,1)</f>
        <v>N</v>
      </c>
      <c r="C9" t="s">
        <v>271</v>
      </c>
      <c r="D9" s="31" t="s">
        <v>206</v>
      </c>
      <c r="E9" s="31" t="s">
        <v>205</v>
      </c>
      <c r="F9" s="31"/>
      <c r="G9" s="226" t="s">
        <v>106</v>
      </c>
      <c r="H9" s="226" t="s">
        <v>106</v>
      </c>
      <c r="I9" s="226" t="s">
        <v>106</v>
      </c>
      <c r="J9" s="56" t="s">
        <v>384</v>
      </c>
      <c r="K9" s="227" t="s">
        <v>106</v>
      </c>
      <c r="L9" s="227" t="s">
        <v>106</v>
      </c>
      <c r="M9" s="227" t="s">
        <v>106</v>
      </c>
      <c r="N9" s="227" t="s">
        <v>106</v>
      </c>
      <c r="O9" s="227" t="s">
        <v>106</v>
      </c>
      <c r="P9" s="227" t="s">
        <v>106</v>
      </c>
      <c r="Q9" s="227" t="s">
        <v>106</v>
      </c>
      <c r="R9" s="227" t="s">
        <v>106</v>
      </c>
      <c r="S9" s="227" t="s">
        <v>106</v>
      </c>
      <c r="T9" s="226" t="s">
        <v>106</v>
      </c>
      <c r="U9" s="226"/>
      <c r="V9" s="56" t="str">
        <f>IFERROR(J9/K9,"N/A")</f>
        <v>N/A</v>
      </c>
      <c r="W9" s="247" t="str">
        <f>IFERROR(J9/O9,"N/A")</f>
        <v>N/A</v>
      </c>
      <c r="X9" s="248" t="str">
        <f>IFERROR(M9/O9,"N/A")</f>
        <v>N/A</v>
      </c>
      <c r="Y9" s="247" t="str">
        <f>IFERROR(M9/L9,"N/A")</f>
        <v>N/A</v>
      </c>
      <c r="Z9" s="247" t="str">
        <f>IFERROR(K9/N9,"N/A")</f>
        <v>N/A</v>
      </c>
      <c r="AA9" s="248" t="str">
        <f>IFERROR(M9/J9,"N/A")</f>
        <v>N/A</v>
      </c>
      <c r="AB9" s="247" t="str">
        <f>IFERROR(P9/Q9,"N/A")</f>
        <v>N/A</v>
      </c>
      <c r="AC9" s="247" t="str">
        <f>IFERROR(R9/S9,"N/A")</f>
        <v>N/A</v>
      </c>
      <c r="AD9" s="52"/>
      <c r="AF9" s="33">
        <f>ABS(SUM(G9:I9,K9:O9))</f>
        <v>0</v>
      </c>
    </row>
    <row r="10" spans="1:39" hidden="1" x14ac:dyDescent="0.25">
      <c r="A10">
        <f t="shared" ref="A10:A73" si="0">IF(OR(B10="E",B10="N"),1,"")</f>
        <v>1</v>
      </c>
      <c r="B10" t="str">
        <f t="shared" ref="B10:B73" si="1">LEFT(C10,1)</f>
        <v>E</v>
      </c>
      <c r="C10" t="s">
        <v>342</v>
      </c>
      <c r="D10" s="31" t="s">
        <v>20</v>
      </c>
      <c r="E10" s="31" t="s">
        <v>104</v>
      </c>
      <c r="F10" s="31"/>
      <c r="G10" s="226" t="s">
        <v>106</v>
      </c>
      <c r="H10" s="226" t="s">
        <v>106</v>
      </c>
      <c r="I10" s="226" t="s">
        <v>106</v>
      </c>
      <c r="J10" s="56" t="s">
        <v>384</v>
      </c>
      <c r="K10" s="227" t="s">
        <v>106</v>
      </c>
      <c r="L10" s="227" t="s">
        <v>106</v>
      </c>
      <c r="M10" s="227" t="s">
        <v>106</v>
      </c>
      <c r="N10" s="227" t="s">
        <v>106</v>
      </c>
      <c r="O10" s="227" t="s">
        <v>106</v>
      </c>
      <c r="P10" s="227" t="s">
        <v>106</v>
      </c>
      <c r="Q10" s="227" t="s">
        <v>106</v>
      </c>
      <c r="R10" s="227" t="s">
        <v>106</v>
      </c>
      <c r="S10" s="227" t="s">
        <v>106</v>
      </c>
      <c r="T10" s="226" t="s">
        <v>106</v>
      </c>
      <c r="U10" s="226"/>
      <c r="V10" s="56" t="str">
        <f>IFERROR(J10/K10,"N/A")</f>
        <v>N/A</v>
      </c>
      <c r="W10" s="247" t="str">
        <f>IFERROR(J10/O10,"N/A")</f>
        <v>N/A</v>
      </c>
      <c r="X10" s="248" t="str">
        <f>IFERROR(M10/O10,"N/A")</f>
        <v>N/A</v>
      </c>
      <c r="Y10" s="247" t="str">
        <f>IFERROR(M10/L10,"N/A")</f>
        <v>N/A</v>
      </c>
      <c r="Z10" s="247" t="str">
        <f>IFERROR(K10/N10,"N/A")</f>
        <v>N/A</v>
      </c>
      <c r="AA10" s="248" t="str">
        <f>IFERROR(M10/J10,"N/A")</f>
        <v>N/A</v>
      </c>
      <c r="AB10" s="247" t="str">
        <f>IFERROR(P10/Q10,"N/A")</f>
        <v>N/A</v>
      </c>
      <c r="AC10" s="247" t="str">
        <f>IFERROR(R10/S10,"N/A")</f>
        <v>N/A</v>
      </c>
      <c r="AD10" s="52"/>
      <c r="AF10" s="33">
        <f t="shared" ref="AF10:AF73" si="2">ABS(SUM(G10:I10,K10:O10))</f>
        <v>0</v>
      </c>
      <c r="AG10" s="2"/>
      <c r="AM10" s="26"/>
    </row>
    <row r="11" spans="1:39" hidden="1" x14ac:dyDescent="0.25">
      <c r="A11">
        <f t="shared" si="0"/>
        <v>1</v>
      </c>
      <c r="B11" t="str">
        <f t="shared" si="1"/>
        <v>E</v>
      </c>
      <c r="C11" t="s">
        <v>342</v>
      </c>
      <c r="D11" s="31" t="s">
        <v>43</v>
      </c>
      <c r="E11" s="31" t="s">
        <v>87</v>
      </c>
      <c r="F11" s="31"/>
      <c r="G11" s="226" t="s">
        <v>106</v>
      </c>
      <c r="H11" s="226" t="s">
        <v>106</v>
      </c>
      <c r="I11" s="226" t="s">
        <v>106</v>
      </c>
      <c r="J11" s="56" t="s">
        <v>384</v>
      </c>
      <c r="K11" s="227" t="s">
        <v>106</v>
      </c>
      <c r="L11" s="227" t="s">
        <v>106</v>
      </c>
      <c r="M11" s="227" t="s">
        <v>106</v>
      </c>
      <c r="N11" s="227" t="s">
        <v>106</v>
      </c>
      <c r="O11" s="227" t="s">
        <v>106</v>
      </c>
      <c r="P11" s="227" t="s">
        <v>106</v>
      </c>
      <c r="Q11" s="227" t="s">
        <v>106</v>
      </c>
      <c r="R11" s="227" t="s">
        <v>106</v>
      </c>
      <c r="S11" s="227" t="s">
        <v>106</v>
      </c>
      <c r="T11" s="226" t="s">
        <v>106</v>
      </c>
      <c r="U11" s="226"/>
      <c r="V11" s="56" t="str">
        <f>IFERROR(J11/K11,"N/A")</f>
        <v>N/A</v>
      </c>
      <c r="W11" s="247" t="str">
        <f>IFERROR(J11/O11,"N/A")</f>
        <v>N/A</v>
      </c>
      <c r="X11" s="248" t="str">
        <f>IFERROR(M11/O11,"N/A")</f>
        <v>N/A</v>
      </c>
      <c r="Y11" s="247" t="str">
        <f>IFERROR(M11/L11,"N/A")</f>
        <v>N/A</v>
      </c>
      <c r="Z11" s="247" t="str">
        <f>IFERROR(K11/N11,"N/A")</f>
        <v>N/A</v>
      </c>
      <c r="AA11" s="248" t="str">
        <f>IFERROR(M11/J11,"N/A")</f>
        <v>N/A</v>
      </c>
      <c r="AB11" s="247" t="str">
        <f>IFERROR(P11/Q11,"N/A")</f>
        <v>N/A</v>
      </c>
      <c r="AC11" s="247" t="str">
        <f>IFERROR(R11/S11,"N/A")</f>
        <v>N/A</v>
      </c>
      <c r="AD11" s="52"/>
      <c r="AF11" s="33">
        <f t="shared" si="2"/>
        <v>0</v>
      </c>
      <c r="AG11" s="2"/>
      <c r="AM11" s="26"/>
    </row>
    <row r="12" spans="1:39" hidden="1" x14ac:dyDescent="0.25">
      <c r="A12">
        <f t="shared" si="0"/>
        <v>1</v>
      </c>
      <c r="B12" t="str">
        <f t="shared" si="1"/>
        <v>E</v>
      </c>
      <c r="C12" t="s">
        <v>342</v>
      </c>
      <c r="D12" s="31" t="s">
        <v>42</v>
      </c>
      <c r="E12" s="31" t="s">
        <v>89</v>
      </c>
      <c r="F12" s="31"/>
      <c r="G12" s="226" t="s">
        <v>106</v>
      </c>
      <c r="H12" s="226" t="s">
        <v>106</v>
      </c>
      <c r="I12" s="226" t="s">
        <v>106</v>
      </c>
      <c r="J12" s="56" t="s">
        <v>384</v>
      </c>
      <c r="K12" s="227" t="s">
        <v>106</v>
      </c>
      <c r="L12" s="227" t="s">
        <v>106</v>
      </c>
      <c r="M12" s="227" t="s">
        <v>106</v>
      </c>
      <c r="N12" s="227" t="s">
        <v>106</v>
      </c>
      <c r="O12" s="227" t="s">
        <v>106</v>
      </c>
      <c r="P12" s="227" t="s">
        <v>106</v>
      </c>
      <c r="Q12" s="227" t="s">
        <v>106</v>
      </c>
      <c r="R12" s="227" t="s">
        <v>106</v>
      </c>
      <c r="S12" s="227" t="s">
        <v>106</v>
      </c>
      <c r="T12" s="226" t="s">
        <v>106</v>
      </c>
      <c r="U12" s="226"/>
      <c r="V12" s="56" t="str">
        <f>IFERROR(J12/K12,"N/A")</f>
        <v>N/A</v>
      </c>
      <c r="W12" s="247" t="str">
        <f>IFERROR(J12/O12,"N/A")</f>
        <v>N/A</v>
      </c>
      <c r="X12" s="248" t="str">
        <f>IFERROR(M12/O12,"N/A")</f>
        <v>N/A</v>
      </c>
      <c r="Y12" s="247" t="str">
        <f>IFERROR(M12/L12,"N/A")</f>
        <v>N/A</v>
      </c>
      <c r="Z12" s="247" t="str">
        <f>IFERROR(K12/N12,"N/A")</f>
        <v>N/A</v>
      </c>
      <c r="AA12" s="248" t="str">
        <f>IFERROR(M12/J12,"N/A")</f>
        <v>N/A</v>
      </c>
      <c r="AB12" s="247" t="str">
        <f>IFERROR(P12/Q12,"N/A")</f>
        <v>N/A</v>
      </c>
      <c r="AC12" s="247" t="str">
        <f>IFERROR(R12/S12,"N/A")</f>
        <v>N/A</v>
      </c>
      <c r="AD12" s="52"/>
      <c r="AF12" s="33">
        <f t="shared" si="2"/>
        <v>0</v>
      </c>
      <c r="AG12" s="2"/>
      <c r="AM12" s="26"/>
    </row>
    <row r="13" spans="1:39" hidden="1" x14ac:dyDescent="0.25">
      <c r="A13" t="str">
        <f t="shared" si="0"/>
        <v/>
      </c>
      <c r="B13" t="str">
        <f t="shared" si="1"/>
        <v>W</v>
      </c>
      <c r="C13" t="s">
        <v>270</v>
      </c>
      <c r="D13" s="31"/>
      <c r="E13" s="31"/>
      <c r="F13" s="31"/>
      <c r="G13" s="195"/>
      <c r="H13" s="195"/>
      <c r="I13" s="195"/>
      <c r="J13" s="196"/>
      <c r="K13" s="193"/>
      <c r="L13" s="193"/>
      <c r="M13" s="193"/>
      <c r="N13" s="193"/>
      <c r="O13" s="193"/>
      <c r="P13" s="193"/>
      <c r="Q13" s="193"/>
      <c r="R13" s="193"/>
      <c r="S13" s="193"/>
      <c r="T13" s="225"/>
      <c r="U13" s="225"/>
      <c r="V13" s="196" t="str">
        <f t="shared" ref="V13:V74" si="3">IFERROR(J13/K13,"")</f>
        <v/>
      </c>
      <c r="W13" s="197" t="str">
        <f t="shared" ref="W13:W73" si="4">IFERROR(J13/O13,"")</f>
        <v/>
      </c>
      <c r="X13" s="198" t="str">
        <f t="shared" ref="X13:X73" si="5">IFERROR(M13/O13,"")</f>
        <v/>
      </c>
      <c r="Y13" s="197" t="str">
        <f t="shared" ref="Y13:Y73" si="6">IFERROR(M13/L13,"")</f>
        <v/>
      </c>
      <c r="Z13" s="197" t="str">
        <f t="shared" ref="Z13:Z73" si="7">IFERROR(K13/N13,"")</f>
        <v/>
      </c>
      <c r="AA13" s="198" t="str">
        <f t="shared" ref="AA13:AA73" si="8">IFERROR(M13/J13,"")</f>
        <v/>
      </c>
      <c r="AB13" s="197" t="str">
        <f t="shared" ref="AB13:AB31" si="9">IFERROR(P13/Q13,"")</f>
        <v/>
      </c>
      <c r="AC13" s="197" t="str">
        <f t="shared" ref="AC13:AC74" si="10">IFERROR(R13/S13,"")</f>
        <v/>
      </c>
      <c r="AD13" s="52"/>
      <c r="AF13" s="33">
        <f t="shared" si="2"/>
        <v>0</v>
      </c>
      <c r="AG13" s="2"/>
      <c r="AM13" s="26"/>
    </row>
    <row r="14" spans="1:39" hidden="1" x14ac:dyDescent="0.25">
      <c r="A14" t="str">
        <f t="shared" si="0"/>
        <v/>
      </c>
      <c r="B14" t="str">
        <f t="shared" si="1"/>
        <v>W</v>
      </c>
      <c r="C14" t="s">
        <v>270</v>
      </c>
      <c r="D14" s="31" t="s">
        <v>165</v>
      </c>
      <c r="E14" s="31" t="s">
        <v>164</v>
      </c>
      <c r="F14" s="31"/>
      <c r="G14" s="195">
        <v>25.2</v>
      </c>
      <c r="H14" s="195">
        <v>99.2</v>
      </c>
      <c r="I14" s="195">
        <v>75.2</v>
      </c>
      <c r="J14" s="196">
        <f>AVERAGE(H14:I14)</f>
        <v>87.2</v>
      </c>
      <c r="K14" s="193">
        <v>4.55</v>
      </c>
      <c r="L14" s="193">
        <v>3.37</v>
      </c>
      <c r="M14" s="193">
        <v>1.66</v>
      </c>
      <c r="N14" s="193">
        <v>5.0999999999999996</v>
      </c>
      <c r="O14" s="193">
        <v>20.99</v>
      </c>
      <c r="P14" s="193">
        <v>4.2</v>
      </c>
      <c r="Q14" s="193">
        <v>5</v>
      </c>
      <c r="R14" s="193">
        <v>5.3</v>
      </c>
      <c r="S14" s="193">
        <v>4.75</v>
      </c>
      <c r="T14" s="225">
        <v>45387</v>
      </c>
      <c r="U14" s="225"/>
      <c r="V14" s="196">
        <f t="shared" si="3"/>
        <v>19.164835164835168</v>
      </c>
      <c r="W14" s="197">
        <f t="shared" si="4"/>
        <v>4.1543592186755598</v>
      </c>
      <c r="X14" s="198">
        <f t="shared" si="5"/>
        <v>7.9085278704144835E-2</v>
      </c>
      <c r="Y14" s="197">
        <f t="shared" si="6"/>
        <v>0.49258160237388721</v>
      </c>
      <c r="Z14" s="197">
        <f t="shared" si="7"/>
        <v>0.89215686274509809</v>
      </c>
      <c r="AA14" s="198">
        <f t="shared" si="8"/>
        <v>1.903669724770642E-2</v>
      </c>
      <c r="AB14" s="197">
        <f t="shared" si="9"/>
        <v>0.84000000000000008</v>
      </c>
      <c r="AC14" s="197">
        <f t="shared" si="10"/>
        <v>1.1157894736842104</v>
      </c>
      <c r="AD14" s="52"/>
      <c r="AF14" s="33">
        <f t="shared" si="2"/>
        <v>235.27000000000004</v>
      </c>
      <c r="AG14" s="2"/>
      <c r="AM14" s="26"/>
    </row>
    <row r="15" spans="1:39" hidden="1" x14ac:dyDescent="0.25">
      <c r="A15" t="str">
        <f t="shared" si="0"/>
        <v/>
      </c>
      <c r="B15" t="str">
        <f t="shared" si="1"/>
        <v>W</v>
      </c>
      <c r="C15" t="s">
        <v>270</v>
      </c>
      <c r="D15" s="31" t="s">
        <v>167</v>
      </c>
      <c r="E15" s="31" t="s">
        <v>166</v>
      </c>
      <c r="F15" s="31"/>
      <c r="G15" s="195">
        <v>22.6</v>
      </c>
      <c r="H15" s="195">
        <v>162.6</v>
      </c>
      <c r="I15" s="195">
        <v>114.3</v>
      </c>
      <c r="J15" s="196">
        <f t="shared" ref="J15:J20" si="11">AVERAGE(H15:I15)</f>
        <v>138.44999999999999</v>
      </c>
      <c r="K15" s="193">
        <v>8.4600000000000009</v>
      </c>
      <c r="L15" s="193">
        <v>4.9000000000000004</v>
      </c>
      <c r="M15" s="193">
        <v>2.78</v>
      </c>
      <c r="N15" s="193">
        <v>13.22</v>
      </c>
      <c r="O15" s="193">
        <v>50.31</v>
      </c>
      <c r="P15" s="193">
        <v>9.1</v>
      </c>
      <c r="Q15" s="193">
        <v>15.25</v>
      </c>
      <c r="R15" s="193">
        <v>12</v>
      </c>
      <c r="S15" s="193">
        <v>15.25</v>
      </c>
      <c r="T15" s="225">
        <v>45387</v>
      </c>
      <c r="U15" s="225"/>
      <c r="V15" s="196">
        <f t="shared" si="3"/>
        <v>16.365248226950353</v>
      </c>
      <c r="W15" s="197">
        <f t="shared" si="4"/>
        <v>2.7519379844961236</v>
      </c>
      <c r="X15" s="198">
        <f t="shared" si="5"/>
        <v>5.525740409461339E-2</v>
      </c>
      <c r="Y15" s="197">
        <f t="shared" si="6"/>
        <v>0.56734693877551012</v>
      </c>
      <c r="Z15" s="197">
        <f t="shared" si="7"/>
        <v>0.63993948562783665</v>
      </c>
      <c r="AA15" s="198">
        <f t="shared" si="8"/>
        <v>2.0079451065366558E-2</v>
      </c>
      <c r="AB15" s="197">
        <f t="shared" si="9"/>
        <v>0.59672131147540985</v>
      </c>
      <c r="AC15" s="197">
        <f t="shared" si="10"/>
        <v>0.78688524590163933</v>
      </c>
      <c r="AD15" s="52"/>
      <c r="AF15" s="33">
        <f t="shared" si="2"/>
        <v>379.16999999999996</v>
      </c>
      <c r="AG15" s="2"/>
      <c r="AM15" s="26"/>
    </row>
    <row r="16" spans="1:39" hidden="1" x14ac:dyDescent="0.25">
      <c r="A16" t="str">
        <f t="shared" si="0"/>
        <v/>
      </c>
      <c r="B16" t="str">
        <f t="shared" si="1"/>
        <v>W</v>
      </c>
      <c r="C16" t="s">
        <v>270</v>
      </c>
      <c r="D16" s="31" t="s">
        <v>533</v>
      </c>
      <c r="E16" s="31" t="s">
        <v>548</v>
      </c>
      <c r="F16" s="31"/>
      <c r="G16" s="195">
        <v>18.600000000000001</v>
      </c>
      <c r="H16" s="195">
        <v>49.3</v>
      </c>
      <c r="I16" s="195">
        <v>32.1</v>
      </c>
      <c r="J16" s="196">
        <f t="shared" si="11"/>
        <v>40.700000000000003</v>
      </c>
      <c r="K16" s="193">
        <v>3.08</v>
      </c>
      <c r="L16" s="193">
        <v>1.86</v>
      </c>
      <c r="M16" s="193">
        <v>1.19</v>
      </c>
      <c r="N16" s="193">
        <v>4.3899999999999997</v>
      </c>
      <c r="O16" s="193">
        <v>21.57</v>
      </c>
      <c r="P16" s="193">
        <v>3.35</v>
      </c>
      <c r="Q16" s="193">
        <v>5.0999999999999996</v>
      </c>
      <c r="R16" s="193">
        <v>4.3499999999999996</v>
      </c>
      <c r="S16" s="193">
        <v>5</v>
      </c>
      <c r="T16" s="225">
        <v>45387</v>
      </c>
      <c r="U16" s="225"/>
      <c r="V16" s="196">
        <f t="shared" si="3"/>
        <v>13.214285714285715</v>
      </c>
      <c r="W16" s="197">
        <f t="shared" si="4"/>
        <v>1.8868799258229023</v>
      </c>
      <c r="X16" s="198">
        <f t="shared" si="5"/>
        <v>5.5169216504404262E-2</v>
      </c>
      <c r="Y16" s="197">
        <f t="shared" si="6"/>
        <v>0.63978494623655913</v>
      </c>
      <c r="Z16" s="197">
        <f t="shared" si="7"/>
        <v>0.70159453302961283</v>
      </c>
      <c r="AA16" s="198">
        <f t="shared" si="8"/>
        <v>2.9238329238329235E-2</v>
      </c>
      <c r="AB16" s="197">
        <f t="shared" si="9"/>
        <v>0.65686274509803932</v>
      </c>
      <c r="AC16" s="197">
        <f t="shared" si="10"/>
        <v>0.86999999999999988</v>
      </c>
      <c r="AD16" s="52"/>
      <c r="AF16" s="33">
        <f t="shared" si="2"/>
        <v>132.09</v>
      </c>
      <c r="AG16" s="2"/>
      <c r="AM16" s="26"/>
    </row>
    <row r="17" spans="1:39" hidden="1" x14ac:dyDescent="0.25">
      <c r="A17" t="str">
        <f t="shared" si="0"/>
        <v/>
      </c>
      <c r="B17" t="str">
        <f t="shared" si="1"/>
        <v>W</v>
      </c>
      <c r="C17" t="s">
        <v>270</v>
      </c>
      <c r="D17" s="31" t="s">
        <v>177</v>
      </c>
      <c r="E17" s="31" t="s">
        <v>176</v>
      </c>
      <c r="F17" s="31"/>
      <c r="G17" s="195">
        <v>19.7</v>
      </c>
      <c r="H17" s="195">
        <v>63.9</v>
      </c>
      <c r="I17" s="195">
        <v>45.4</v>
      </c>
      <c r="J17" s="196">
        <f t="shared" si="11"/>
        <v>54.65</v>
      </c>
      <c r="K17" s="193">
        <v>3.03</v>
      </c>
      <c r="L17" s="193">
        <v>0.91</v>
      </c>
      <c r="M17" s="193">
        <v>1.04</v>
      </c>
      <c r="N17" s="193">
        <v>6.65</v>
      </c>
      <c r="O17" s="193">
        <v>24.72</v>
      </c>
      <c r="P17" s="193">
        <v>3.8</v>
      </c>
      <c r="Q17" s="193">
        <v>6.15</v>
      </c>
      <c r="R17" s="193">
        <v>4.3499999999999996</v>
      </c>
      <c r="S17" s="193">
        <v>6.45</v>
      </c>
      <c r="T17" s="225">
        <v>45387</v>
      </c>
      <c r="U17" s="225"/>
      <c r="V17" s="196">
        <f t="shared" si="3"/>
        <v>18.036303630363037</v>
      </c>
      <c r="W17" s="197">
        <f t="shared" si="4"/>
        <v>2.2107605177993528</v>
      </c>
      <c r="X17" s="198">
        <f t="shared" si="5"/>
        <v>4.2071197411003243E-2</v>
      </c>
      <c r="Y17" s="197">
        <f t="shared" si="6"/>
        <v>1.1428571428571428</v>
      </c>
      <c r="Z17" s="197">
        <f t="shared" si="7"/>
        <v>0.45563909774436084</v>
      </c>
      <c r="AA17" s="198">
        <f t="shared" si="8"/>
        <v>1.9030192131747486E-2</v>
      </c>
      <c r="AB17" s="197">
        <f t="shared" si="9"/>
        <v>0.61788617886178854</v>
      </c>
      <c r="AC17" s="197">
        <f t="shared" si="10"/>
        <v>0.67441860465116277</v>
      </c>
      <c r="AD17" s="52"/>
      <c r="AF17" s="33">
        <f t="shared" si="2"/>
        <v>165.35</v>
      </c>
    </row>
    <row r="18" spans="1:39" hidden="1" x14ac:dyDescent="0.25">
      <c r="A18" t="str">
        <f t="shared" si="0"/>
        <v/>
      </c>
      <c r="B18" t="str">
        <f t="shared" si="1"/>
        <v>W</v>
      </c>
      <c r="C18" t="s">
        <v>270</v>
      </c>
      <c r="D18" s="31"/>
      <c r="E18" s="31"/>
      <c r="F18" s="31"/>
      <c r="G18" s="195"/>
      <c r="H18" s="195"/>
      <c r="I18" s="195"/>
      <c r="J18" s="196"/>
      <c r="K18" s="193"/>
      <c r="L18" s="193"/>
      <c r="M18" s="193"/>
      <c r="N18" s="193"/>
      <c r="O18" s="193"/>
      <c r="P18" s="193"/>
      <c r="Q18" s="193"/>
      <c r="R18" s="193"/>
      <c r="S18" s="193"/>
      <c r="T18" s="225"/>
      <c r="U18" s="225"/>
      <c r="V18" s="196" t="str">
        <f>IFERROR(J18/K18,"N/A")</f>
        <v>N/A</v>
      </c>
      <c r="W18" s="197" t="str">
        <f>IFERROR(J18/O18,"N/A")</f>
        <v>N/A</v>
      </c>
      <c r="X18" s="198" t="str">
        <f t="shared" si="5"/>
        <v/>
      </c>
      <c r="Y18" s="197" t="str">
        <f t="shared" si="6"/>
        <v/>
      </c>
      <c r="Z18" s="197" t="str">
        <f t="shared" si="7"/>
        <v/>
      </c>
      <c r="AA18" s="198" t="str">
        <f>IFERROR(M18/J18,"N/A")</f>
        <v>N/A</v>
      </c>
      <c r="AB18" s="197" t="str">
        <f t="shared" si="9"/>
        <v/>
      </c>
      <c r="AC18" s="197" t="str">
        <f t="shared" si="10"/>
        <v/>
      </c>
      <c r="AD18" s="52"/>
      <c r="AF18" s="33">
        <f t="shared" si="2"/>
        <v>0</v>
      </c>
    </row>
    <row r="19" spans="1:39" hidden="1" x14ac:dyDescent="0.25">
      <c r="A19" t="str">
        <f t="shared" si="0"/>
        <v/>
      </c>
      <c r="B19" t="str">
        <f t="shared" si="1"/>
        <v>W</v>
      </c>
      <c r="C19" t="s">
        <v>270</v>
      </c>
      <c r="D19" s="31" t="s">
        <v>188</v>
      </c>
      <c r="E19" s="31" t="s">
        <v>187</v>
      </c>
      <c r="F19" s="31"/>
      <c r="G19" s="195">
        <v>24.4</v>
      </c>
      <c r="H19" s="195">
        <v>90.6</v>
      </c>
      <c r="I19" s="195">
        <v>61.3</v>
      </c>
      <c r="J19" s="196">
        <f t="shared" si="11"/>
        <v>75.949999999999989</v>
      </c>
      <c r="K19" s="193">
        <v>3.41</v>
      </c>
      <c r="L19" s="193">
        <v>1.76</v>
      </c>
      <c r="M19" s="193">
        <v>1.26</v>
      </c>
      <c r="N19" s="193">
        <v>5.0599999999999996</v>
      </c>
      <c r="O19" s="193">
        <v>23.74</v>
      </c>
      <c r="P19" s="193">
        <v>3.4</v>
      </c>
      <c r="Q19" s="193">
        <v>5.45</v>
      </c>
      <c r="R19" s="193">
        <v>4.0999999999999996</v>
      </c>
      <c r="S19" s="193">
        <v>6</v>
      </c>
      <c r="T19" s="225">
        <v>45387</v>
      </c>
      <c r="U19" s="225"/>
      <c r="V19" s="196">
        <f>IFERROR(J19/K19,"N/A")</f>
        <v>22.27272727272727</v>
      </c>
      <c r="W19" s="197">
        <f>IFERROR(J19/O19,"N/A")</f>
        <v>3.1992417860151638</v>
      </c>
      <c r="X19" s="198">
        <f t="shared" si="5"/>
        <v>5.3074978938500425E-2</v>
      </c>
      <c r="Y19" s="197">
        <f t="shared" si="6"/>
        <v>0.71590909090909094</v>
      </c>
      <c r="Z19" s="197">
        <f t="shared" si="7"/>
        <v>0.67391304347826098</v>
      </c>
      <c r="AA19" s="198">
        <f>IFERROR(M19/J19,"N/A")</f>
        <v>1.6589861751152075E-2</v>
      </c>
      <c r="AB19" s="197">
        <f t="shared" si="9"/>
        <v>0.62385321100917424</v>
      </c>
      <c r="AC19" s="197">
        <f t="shared" si="10"/>
        <v>0.68333333333333324</v>
      </c>
      <c r="AD19" s="52"/>
      <c r="AF19" s="33">
        <f t="shared" si="2"/>
        <v>211.53</v>
      </c>
    </row>
    <row r="20" spans="1:39" hidden="1" x14ac:dyDescent="0.25">
      <c r="A20" t="str">
        <f t="shared" si="0"/>
        <v/>
      </c>
      <c r="B20" t="str">
        <f t="shared" si="1"/>
        <v>W</v>
      </c>
      <c r="C20" t="s">
        <v>270</v>
      </c>
      <c r="D20" s="31" t="s">
        <v>196</v>
      </c>
      <c r="E20" s="31" t="s">
        <v>195</v>
      </c>
      <c r="F20" s="31"/>
      <c r="G20" s="195">
        <v>19.5</v>
      </c>
      <c r="H20" s="195">
        <v>83.7</v>
      </c>
      <c r="I20" s="195">
        <v>57</v>
      </c>
      <c r="J20" s="196">
        <f t="shared" si="11"/>
        <v>70.349999999999994</v>
      </c>
      <c r="K20" s="193">
        <v>6.03</v>
      </c>
      <c r="L20" s="193">
        <v>2.68</v>
      </c>
      <c r="M20" s="193">
        <v>1.52</v>
      </c>
      <c r="N20" s="193">
        <v>9.01</v>
      </c>
      <c r="O20" s="193">
        <v>38.520000000000003</v>
      </c>
      <c r="P20" s="193">
        <v>4.5999999999999996</v>
      </c>
      <c r="Q20" s="193">
        <v>8.25</v>
      </c>
      <c r="R20" s="193">
        <v>5.0999999999999996</v>
      </c>
      <c r="S20" s="193">
        <v>8.75</v>
      </c>
      <c r="T20" s="225">
        <v>45387</v>
      </c>
      <c r="U20" s="225"/>
      <c r="V20" s="196">
        <f t="shared" si="3"/>
        <v>11.666666666666666</v>
      </c>
      <c r="W20" s="197">
        <f t="shared" si="4"/>
        <v>1.8263239875389405</v>
      </c>
      <c r="X20" s="198">
        <f t="shared" si="5"/>
        <v>3.9460020768431983E-2</v>
      </c>
      <c r="Y20" s="197">
        <f t="shared" si="6"/>
        <v>0.56716417910447758</v>
      </c>
      <c r="Z20" s="197">
        <f t="shared" si="7"/>
        <v>0.66925638179800229</v>
      </c>
      <c r="AA20" s="198">
        <f t="shared" si="8"/>
        <v>2.160625444207534E-2</v>
      </c>
      <c r="AB20" s="197">
        <f t="shared" si="9"/>
        <v>0.5575757575757575</v>
      </c>
      <c r="AC20" s="197">
        <f t="shared" si="10"/>
        <v>0.58285714285714285</v>
      </c>
      <c r="AD20" s="52"/>
      <c r="AF20" s="33">
        <f t="shared" si="2"/>
        <v>217.96</v>
      </c>
    </row>
    <row r="21" spans="1:39" hidden="1" x14ac:dyDescent="0.25">
      <c r="A21" t="str">
        <f t="shared" si="0"/>
        <v/>
      </c>
      <c r="B21" t="str">
        <f t="shared" si="1"/>
        <v>W</v>
      </c>
      <c r="C21" t="s">
        <v>270</v>
      </c>
      <c r="D21" s="31" t="s">
        <v>208</v>
      </c>
      <c r="E21" s="31" t="s">
        <v>207</v>
      </c>
      <c r="F21" s="31"/>
      <c r="G21" s="226" t="s">
        <v>106</v>
      </c>
      <c r="H21" s="226" t="s">
        <v>106</v>
      </c>
      <c r="I21" s="226" t="s">
        <v>106</v>
      </c>
      <c r="J21" s="56" t="s">
        <v>384</v>
      </c>
      <c r="K21" s="227" t="s">
        <v>106</v>
      </c>
      <c r="L21" s="227" t="s">
        <v>106</v>
      </c>
      <c r="M21" s="227" t="s">
        <v>106</v>
      </c>
      <c r="N21" s="227" t="s">
        <v>106</v>
      </c>
      <c r="O21" s="227" t="s">
        <v>106</v>
      </c>
      <c r="P21" s="227" t="s">
        <v>106</v>
      </c>
      <c r="Q21" s="227" t="s">
        <v>106</v>
      </c>
      <c r="R21" s="227" t="s">
        <v>106</v>
      </c>
      <c r="S21" s="227" t="s">
        <v>106</v>
      </c>
      <c r="T21" s="226" t="s">
        <v>106</v>
      </c>
      <c r="U21" s="226"/>
      <c r="V21" s="56" t="str">
        <f>IFERROR(J21/K21,"N/A")</f>
        <v>N/A</v>
      </c>
      <c r="W21" s="247" t="str">
        <f>IFERROR(J21/O21,"N/A")</f>
        <v>N/A</v>
      </c>
      <c r="X21" s="248" t="s">
        <v>106</v>
      </c>
      <c r="Y21" s="247" t="s">
        <v>106</v>
      </c>
      <c r="Z21" s="247" t="s">
        <v>106</v>
      </c>
      <c r="AA21" s="248" t="s">
        <v>106</v>
      </c>
      <c r="AB21" s="247" t="s">
        <v>106</v>
      </c>
      <c r="AC21" s="247" t="s">
        <v>106</v>
      </c>
      <c r="AD21" s="52"/>
      <c r="AF21" s="33">
        <f t="shared" si="2"/>
        <v>0</v>
      </c>
    </row>
    <row r="22" spans="1:39" x14ac:dyDescent="0.25">
      <c r="A22">
        <f t="shared" si="0"/>
        <v>1</v>
      </c>
      <c r="B22" t="str">
        <f t="shared" si="1"/>
        <v>E</v>
      </c>
      <c r="C22" t="s">
        <v>268</v>
      </c>
      <c r="D22" s="31" t="s">
        <v>260</v>
      </c>
      <c r="E22" s="31" t="s">
        <v>261</v>
      </c>
      <c r="F22" s="31"/>
      <c r="G22" s="195">
        <v>16.3</v>
      </c>
      <c r="H22" s="195">
        <v>44.8</v>
      </c>
      <c r="I22" s="195">
        <v>27.5</v>
      </c>
      <c r="J22" s="196">
        <f t="shared" ref="J22:J69" si="12">AVERAGE(H22:I22)</f>
        <v>36.15</v>
      </c>
      <c r="K22" s="193">
        <v>5.08</v>
      </c>
      <c r="L22" s="193">
        <v>2.09</v>
      </c>
      <c r="M22" s="193">
        <v>1.76</v>
      </c>
      <c r="N22" s="193">
        <v>7.68</v>
      </c>
      <c r="O22" s="193">
        <v>50.8</v>
      </c>
      <c r="P22" s="193">
        <v>5.3</v>
      </c>
      <c r="Q22" s="193">
        <v>7.5</v>
      </c>
      <c r="R22" s="193">
        <v>6.25</v>
      </c>
      <c r="S22" s="193">
        <v>8</v>
      </c>
      <c r="T22" s="225">
        <v>45422</v>
      </c>
      <c r="U22" s="225"/>
      <c r="V22" s="196">
        <f>IFERROR(J22/K22,"")</f>
        <v>7.1161417322834639</v>
      </c>
      <c r="W22" s="197">
        <f t="shared" si="4"/>
        <v>0.71161417322834641</v>
      </c>
      <c r="X22" s="198">
        <f t="shared" si="5"/>
        <v>3.4645669291338582E-2</v>
      </c>
      <c r="Y22" s="197">
        <f t="shared" si="6"/>
        <v>0.8421052631578948</v>
      </c>
      <c r="Z22" s="197">
        <f t="shared" si="7"/>
        <v>0.66145833333333337</v>
      </c>
      <c r="AA22" s="198">
        <f t="shared" si="8"/>
        <v>4.8686030428769018E-2</v>
      </c>
      <c r="AB22" s="197">
        <f t="shared" si="9"/>
        <v>0.70666666666666667</v>
      </c>
      <c r="AC22" s="197">
        <f t="shared" si="10"/>
        <v>0.78125</v>
      </c>
      <c r="AD22" s="52"/>
      <c r="AF22" s="33">
        <f t="shared" si="2"/>
        <v>156.01</v>
      </c>
    </row>
    <row r="23" spans="1:39" x14ac:dyDescent="0.25">
      <c r="A23">
        <f t="shared" si="0"/>
        <v>1</v>
      </c>
      <c r="B23" t="str">
        <f t="shared" si="1"/>
        <v>E</v>
      </c>
      <c r="C23" t="s">
        <v>268</v>
      </c>
      <c r="D23" s="31" t="s">
        <v>10</v>
      </c>
      <c r="E23" s="31" t="s">
        <v>50</v>
      </c>
      <c r="F23" s="31"/>
      <c r="G23" s="195">
        <v>17.7</v>
      </c>
      <c r="H23" s="195">
        <v>100.9</v>
      </c>
      <c r="I23" s="195">
        <v>80.5</v>
      </c>
      <c r="J23" s="196">
        <f t="shared" si="12"/>
        <v>90.7</v>
      </c>
      <c r="K23" s="193">
        <v>10.98</v>
      </c>
      <c r="L23" s="193">
        <v>5.04</v>
      </c>
      <c r="M23" s="193">
        <v>3.24</v>
      </c>
      <c r="N23" s="193">
        <v>13.01</v>
      </c>
      <c r="O23" s="193">
        <v>61.25</v>
      </c>
      <c r="P23" s="193">
        <v>12.1</v>
      </c>
      <c r="Q23" s="193">
        <v>14.4</v>
      </c>
      <c r="R23" s="193">
        <v>14.6</v>
      </c>
      <c r="S23" s="193">
        <v>15.5</v>
      </c>
      <c r="T23" s="225">
        <v>45422</v>
      </c>
      <c r="U23" s="225"/>
      <c r="V23" s="196">
        <f t="shared" si="3"/>
        <v>8.2604735883424407</v>
      </c>
      <c r="W23" s="197">
        <f t="shared" si="4"/>
        <v>1.4808163265306122</v>
      </c>
      <c r="X23" s="198">
        <f t="shared" si="5"/>
        <v>5.2897959183673474E-2</v>
      </c>
      <c r="Y23" s="197">
        <f t="shared" si="6"/>
        <v>0.6428571428571429</v>
      </c>
      <c r="Z23" s="197">
        <f t="shared" si="7"/>
        <v>0.84396617986164491</v>
      </c>
      <c r="AA23" s="198">
        <f t="shared" si="8"/>
        <v>3.5722160970231537E-2</v>
      </c>
      <c r="AB23" s="197">
        <f t="shared" si="9"/>
        <v>0.84027777777777768</v>
      </c>
      <c r="AC23" s="197">
        <f t="shared" si="10"/>
        <v>0.9419354838709677</v>
      </c>
      <c r="AD23" s="52"/>
      <c r="AF23" s="33">
        <f t="shared" si="2"/>
        <v>292.62</v>
      </c>
    </row>
    <row r="24" spans="1:39" x14ac:dyDescent="0.25">
      <c r="A24">
        <f t="shared" si="0"/>
        <v>1</v>
      </c>
      <c r="B24" t="str">
        <f t="shared" si="1"/>
        <v>E</v>
      </c>
      <c r="C24" t="s">
        <v>268</v>
      </c>
      <c r="D24" s="31" t="s">
        <v>11</v>
      </c>
      <c r="E24" s="31" t="s">
        <v>52</v>
      </c>
      <c r="F24" s="31"/>
      <c r="G24" s="194">
        <v>18.3</v>
      </c>
      <c r="H24" s="195">
        <v>63.9</v>
      </c>
      <c r="I24" s="195">
        <v>39.200000000000003</v>
      </c>
      <c r="J24" s="196">
        <f t="shared" si="12"/>
        <v>51.55</v>
      </c>
      <c r="K24" s="193">
        <v>5.58</v>
      </c>
      <c r="L24" s="193">
        <v>1.99</v>
      </c>
      <c r="M24" s="193">
        <v>2.67</v>
      </c>
      <c r="N24" s="193">
        <v>12.19</v>
      </c>
      <c r="O24" s="193">
        <v>30.72</v>
      </c>
      <c r="P24" s="193">
        <v>6.5</v>
      </c>
      <c r="Q24" s="193">
        <v>12.7</v>
      </c>
      <c r="R24" s="193">
        <v>7.95</v>
      </c>
      <c r="S24" s="193">
        <v>9</v>
      </c>
      <c r="T24" s="225">
        <v>45422</v>
      </c>
      <c r="U24" s="225"/>
      <c r="V24" s="196">
        <f t="shared" si="3"/>
        <v>9.2383512544802855</v>
      </c>
      <c r="W24" s="197">
        <f t="shared" si="4"/>
        <v>1.6780598958333333</v>
      </c>
      <c r="X24" s="198">
        <f t="shared" si="5"/>
        <v>8.69140625E-2</v>
      </c>
      <c r="Y24" s="197">
        <f t="shared" si="6"/>
        <v>1.3417085427135678</v>
      </c>
      <c r="Z24" s="197">
        <f t="shared" si="7"/>
        <v>0.45775225594749797</v>
      </c>
      <c r="AA24" s="198">
        <f t="shared" si="8"/>
        <v>5.1794374393792433E-2</v>
      </c>
      <c r="AB24" s="197">
        <f t="shared" si="9"/>
        <v>0.51181102362204722</v>
      </c>
      <c r="AC24" s="197">
        <f t="shared" si="10"/>
        <v>0.8833333333333333</v>
      </c>
      <c r="AD24" s="52"/>
      <c r="AF24" s="33">
        <f t="shared" si="2"/>
        <v>174.54999999999998</v>
      </c>
    </row>
    <row r="25" spans="1:39" x14ac:dyDescent="0.25">
      <c r="A25">
        <f t="shared" si="0"/>
        <v>1</v>
      </c>
      <c r="B25" t="str">
        <f t="shared" si="1"/>
        <v>E</v>
      </c>
      <c r="C25" t="s">
        <v>268</v>
      </c>
      <c r="D25" s="31" t="s">
        <v>13</v>
      </c>
      <c r="E25" s="31" t="s">
        <v>93</v>
      </c>
      <c r="F25" s="31"/>
      <c r="G25" s="195">
        <v>16.5</v>
      </c>
      <c r="H25" s="195">
        <v>106.4</v>
      </c>
      <c r="I25" s="195">
        <v>83.1</v>
      </c>
      <c r="J25" s="196">
        <f t="shared" si="12"/>
        <v>94.75</v>
      </c>
      <c r="K25" s="193">
        <v>13.22</v>
      </c>
      <c r="L25" s="193">
        <v>5.56</v>
      </c>
      <c r="M25" s="193">
        <v>4.0599999999999996</v>
      </c>
      <c r="N25" s="193">
        <v>16.350000000000001</v>
      </c>
      <c r="O25" s="193">
        <v>63.7</v>
      </c>
      <c r="P25" s="193">
        <v>13.55</v>
      </c>
      <c r="Q25" s="193">
        <v>17.600000000000001</v>
      </c>
      <c r="R25" s="193">
        <v>15.05</v>
      </c>
      <c r="S25" s="193">
        <v>16.75</v>
      </c>
      <c r="T25" s="225">
        <v>45422</v>
      </c>
      <c r="U25" s="225"/>
      <c r="V25" s="196">
        <f t="shared" si="3"/>
        <v>7.167170953101361</v>
      </c>
      <c r="W25" s="197">
        <f t="shared" si="4"/>
        <v>1.4874411302982731</v>
      </c>
      <c r="X25" s="198">
        <f t="shared" si="5"/>
        <v>6.3736263736263732E-2</v>
      </c>
      <c r="Y25" s="197">
        <f t="shared" si="6"/>
        <v>0.73021582733812951</v>
      </c>
      <c r="Z25" s="197">
        <f t="shared" si="7"/>
        <v>0.80856269113149848</v>
      </c>
      <c r="AA25" s="198">
        <f t="shared" si="8"/>
        <v>4.2849604221635883E-2</v>
      </c>
      <c r="AB25" s="197">
        <f t="shared" si="9"/>
        <v>0.76988636363636365</v>
      </c>
      <c r="AC25" s="197">
        <f t="shared" si="10"/>
        <v>0.89850746268656723</v>
      </c>
      <c r="AD25" s="52"/>
      <c r="AF25" s="33">
        <f t="shared" si="2"/>
        <v>308.89</v>
      </c>
    </row>
    <row r="26" spans="1:39" x14ac:dyDescent="0.25">
      <c r="A26">
        <f t="shared" si="0"/>
        <v>1</v>
      </c>
      <c r="B26" t="str">
        <f t="shared" si="1"/>
        <v>E</v>
      </c>
      <c r="C26" t="s">
        <v>268</v>
      </c>
      <c r="D26" s="31" t="s">
        <v>211</v>
      </c>
      <c r="E26" s="31" t="s">
        <v>212</v>
      </c>
      <c r="F26" s="31"/>
      <c r="G26" s="195">
        <v>13.1</v>
      </c>
      <c r="H26" s="195">
        <v>86.8</v>
      </c>
      <c r="I26" s="195">
        <v>52</v>
      </c>
      <c r="J26" s="196">
        <f t="shared" si="12"/>
        <v>69.400000000000006</v>
      </c>
      <c r="K26" s="193">
        <v>6.68</v>
      </c>
      <c r="L26" s="193">
        <v>4.34</v>
      </c>
      <c r="M26" s="193">
        <v>2.7</v>
      </c>
      <c r="N26" s="193">
        <v>12.41</v>
      </c>
      <c r="O26" s="193">
        <v>40.549999999999997</v>
      </c>
      <c r="P26" s="193">
        <v>9.4</v>
      </c>
      <c r="Q26" s="193">
        <v>12.4</v>
      </c>
      <c r="R26" s="193">
        <v>10.45</v>
      </c>
      <c r="S26" s="193">
        <v>13</v>
      </c>
      <c r="T26" s="225">
        <v>45422</v>
      </c>
      <c r="U26" s="225"/>
      <c r="V26" s="196">
        <f t="shared" si="3"/>
        <v>10.389221556886229</v>
      </c>
      <c r="W26" s="197">
        <f t="shared" si="4"/>
        <v>1.711467324290999</v>
      </c>
      <c r="X26" s="198">
        <f t="shared" si="5"/>
        <v>6.6584463625154133E-2</v>
      </c>
      <c r="Y26" s="197">
        <f t="shared" si="6"/>
        <v>0.62211981566820285</v>
      </c>
      <c r="Z26" s="197">
        <f t="shared" si="7"/>
        <v>0.53827558420628518</v>
      </c>
      <c r="AA26" s="198">
        <f t="shared" si="8"/>
        <v>3.8904899135446688E-2</v>
      </c>
      <c r="AB26" s="197">
        <f t="shared" si="9"/>
        <v>0.75806451612903225</v>
      </c>
      <c r="AC26" s="197">
        <f t="shared" si="10"/>
        <v>0.80384615384615377</v>
      </c>
      <c r="AD26" s="52"/>
      <c r="AF26" s="33">
        <f t="shared" si="2"/>
        <v>218.57999999999998</v>
      </c>
    </row>
    <row r="27" spans="1:39" x14ac:dyDescent="0.25">
      <c r="A27">
        <f t="shared" si="0"/>
        <v>1</v>
      </c>
      <c r="B27" t="str">
        <f t="shared" si="1"/>
        <v>E</v>
      </c>
      <c r="C27" t="s">
        <v>268</v>
      </c>
      <c r="D27" s="31" t="s">
        <v>18</v>
      </c>
      <c r="E27" s="31" t="s">
        <v>69</v>
      </c>
      <c r="F27" s="31"/>
      <c r="G27" s="195">
        <v>15.4</v>
      </c>
      <c r="H27" s="195">
        <v>44.4</v>
      </c>
      <c r="I27" s="195">
        <v>34.1</v>
      </c>
      <c r="J27" s="196">
        <f t="shared" si="12"/>
        <v>39.25</v>
      </c>
      <c r="K27" s="193">
        <v>6.12</v>
      </c>
      <c r="L27" s="193">
        <v>2.38</v>
      </c>
      <c r="M27" s="193">
        <v>1.44</v>
      </c>
      <c r="N27" s="193">
        <v>7.42</v>
      </c>
      <c r="O27" s="193">
        <v>25.78</v>
      </c>
      <c r="P27" s="193">
        <v>6.25</v>
      </c>
      <c r="Q27" s="193">
        <v>7.8</v>
      </c>
      <c r="R27" s="193">
        <v>7.5</v>
      </c>
      <c r="S27" s="193">
        <v>8</v>
      </c>
      <c r="T27" s="225">
        <v>45422</v>
      </c>
      <c r="U27" s="225"/>
      <c r="V27" s="196">
        <f t="shared" si="3"/>
        <v>6.4133986928104578</v>
      </c>
      <c r="W27" s="197">
        <f t="shared" si="4"/>
        <v>1.5224980605120249</v>
      </c>
      <c r="X27" s="198">
        <f t="shared" si="5"/>
        <v>5.5857253685027149E-2</v>
      </c>
      <c r="Y27" s="197">
        <f t="shared" si="6"/>
        <v>0.60504201680672265</v>
      </c>
      <c r="Z27" s="197">
        <f t="shared" si="7"/>
        <v>0.82479784366576825</v>
      </c>
      <c r="AA27" s="198">
        <f t="shared" si="8"/>
        <v>3.6687898089171972E-2</v>
      </c>
      <c r="AB27" s="197">
        <f t="shared" si="9"/>
        <v>0.80128205128205132</v>
      </c>
      <c r="AC27" s="197">
        <f t="shared" si="10"/>
        <v>0.9375</v>
      </c>
      <c r="AD27" s="52"/>
      <c r="AF27" s="33">
        <f t="shared" si="2"/>
        <v>137.04000000000002</v>
      </c>
    </row>
    <row r="28" spans="1:39" x14ac:dyDescent="0.25">
      <c r="A28">
        <f t="shared" si="0"/>
        <v>1</v>
      </c>
      <c r="B28" t="str">
        <f t="shared" si="1"/>
        <v>E</v>
      </c>
      <c r="C28" t="s">
        <v>268</v>
      </c>
      <c r="D28" s="31" t="s">
        <v>19</v>
      </c>
      <c r="E28" s="31" t="s">
        <v>66</v>
      </c>
      <c r="F28" s="31"/>
      <c r="G28" s="195">
        <v>14.4</v>
      </c>
      <c r="H28" s="195">
        <v>43.3</v>
      </c>
      <c r="I28" s="195">
        <v>32.200000000000003</v>
      </c>
      <c r="J28" s="196">
        <f t="shared" si="12"/>
        <v>37.75</v>
      </c>
      <c r="K28" s="193">
        <v>4.78</v>
      </c>
      <c r="L28" s="193">
        <v>2.56</v>
      </c>
      <c r="M28" s="193">
        <v>1.6</v>
      </c>
      <c r="N28" s="193">
        <v>5.84</v>
      </c>
      <c r="O28" s="193">
        <v>18.170000000000002</v>
      </c>
      <c r="P28" s="193">
        <v>4.95</v>
      </c>
      <c r="Q28" s="193">
        <v>6.05</v>
      </c>
      <c r="R28" s="193">
        <v>6.2</v>
      </c>
      <c r="S28" s="193">
        <v>6.5</v>
      </c>
      <c r="T28" s="225">
        <v>45422</v>
      </c>
      <c r="U28" s="225"/>
      <c r="V28" s="196">
        <f t="shared" si="3"/>
        <v>7.8974895397489533</v>
      </c>
      <c r="W28" s="197">
        <f t="shared" si="4"/>
        <v>2.0776004402861856</v>
      </c>
      <c r="X28" s="198">
        <f t="shared" si="5"/>
        <v>8.8057237204182709E-2</v>
      </c>
      <c r="Y28" s="197">
        <f t="shared" si="6"/>
        <v>0.625</v>
      </c>
      <c r="Z28" s="197">
        <f t="shared" si="7"/>
        <v>0.81849315068493156</v>
      </c>
      <c r="AA28" s="198">
        <f t="shared" si="8"/>
        <v>4.2384105960264901E-2</v>
      </c>
      <c r="AB28" s="197">
        <f t="shared" si="9"/>
        <v>0.81818181818181823</v>
      </c>
      <c r="AC28" s="197">
        <f t="shared" si="10"/>
        <v>0.9538461538461539</v>
      </c>
      <c r="AD28" s="52"/>
      <c r="AF28" s="33">
        <f t="shared" si="2"/>
        <v>122.85000000000001</v>
      </c>
    </row>
    <row r="29" spans="1:39" x14ac:dyDescent="0.25">
      <c r="A29">
        <f t="shared" si="0"/>
        <v>1</v>
      </c>
      <c r="B29" t="str">
        <f t="shared" si="1"/>
        <v>E</v>
      </c>
      <c r="C29" t="s">
        <v>268</v>
      </c>
      <c r="D29" s="31" t="s">
        <v>141</v>
      </c>
      <c r="E29" s="31" t="s">
        <v>209</v>
      </c>
      <c r="F29" s="31"/>
      <c r="G29" s="195">
        <v>19.8</v>
      </c>
      <c r="H29" s="195">
        <v>86.5</v>
      </c>
      <c r="I29" s="195">
        <v>47.2</v>
      </c>
      <c r="J29" s="196">
        <f t="shared" si="12"/>
        <v>66.849999999999994</v>
      </c>
      <c r="K29" s="193">
        <v>6.14</v>
      </c>
      <c r="L29" s="193">
        <v>3.17</v>
      </c>
      <c r="M29" s="193">
        <v>1.87</v>
      </c>
      <c r="N29" s="193">
        <v>12.24</v>
      </c>
      <c r="O29" s="193">
        <v>23.13</v>
      </c>
      <c r="P29" s="193">
        <v>6.45</v>
      </c>
      <c r="Q29" s="193">
        <v>11</v>
      </c>
      <c r="R29" s="193">
        <v>7.75</v>
      </c>
      <c r="S29" s="193">
        <v>12</v>
      </c>
      <c r="T29" s="225">
        <v>45422</v>
      </c>
      <c r="U29" s="225"/>
      <c r="V29" s="196">
        <f t="shared" si="3"/>
        <v>10.887622149837133</v>
      </c>
      <c r="W29" s="197">
        <f t="shared" si="4"/>
        <v>2.890185905750108</v>
      </c>
      <c r="X29" s="198">
        <f t="shared" si="5"/>
        <v>8.0847384349329879E-2</v>
      </c>
      <c r="Y29" s="197">
        <f t="shared" si="6"/>
        <v>0.58990536277602523</v>
      </c>
      <c r="Z29" s="197">
        <f t="shared" si="7"/>
        <v>0.50163398692810457</v>
      </c>
      <c r="AA29" s="198">
        <f t="shared" si="8"/>
        <v>2.7973074046372479E-2</v>
      </c>
      <c r="AB29" s="197">
        <f t="shared" si="9"/>
        <v>0.58636363636363642</v>
      </c>
      <c r="AC29" s="197">
        <f t="shared" si="10"/>
        <v>0.64583333333333337</v>
      </c>
      <c r="AD29" s="52"/>
      <c r="AF29" s="33">
        <f t="shared" si="2"/>
        <v>200.04999999999998</v>
      </c>
    </row>
    <row r="30" spans="1:39" x14ac:dyDescent="0.25">
      <c r="A30">
        <f t="shared" si="0"/>
        <v>1</v>
      </c>
      <c r="B30" t="str">
        <f t="shared" si="1"/>
        <v>E</v>
      </c>
      <c r="C30" t="s">
        <v>268</v>
      </c>
      <c r="D30" s="31" t="s">
        <v>34</v>
      </c>
      <c r="E30" s="31" t="s">
        <v>70</v>
      </c>
      <c r="F30" s="31"/>
      <c r="G30" s="195">
        <v>16.2</v>
      </c>
      <c r="H30" s="195">
        <v>31.7</v>
      </c>
      <c r="I30" s="195">
        <v>22.2</v>
      </c>
      <c r="J30" s="196">
        <f t="shared" si="12"/>
        <v>26.95</v>
      </c>
      <c r="K30" s="193">
        <v>3.44</v>
      </c>
      <c r="L30" s="193">
        <v>1.6</v>
      </c>
      <c r="M30" s="193">
        <v>0.95</v>
      </c>
      <c r="N30" s="193">
        <v>3.24</v>
      </c>
      <c r="O30" s="193">
        <v>18.899999999999999</v>
      </c>
      <c r="P30" s="193">
        <v>3.55</v>
      </c>
      <c r="Q30" s="193">
        <v>3.65</v>
      </c>
      <c r="R30" s="193">
        <v>4.0999999999999996</v>
      </c>
      <c r="S30" s="193">
        <v>4</v>
      </c>
      <c r="T30" s="225">
        <v>45422</v>
      </c>
      <c r="U30" s="225"/>
      <c r="V30" s="196">
        <f>IFERROR(J30/K30,"N/A")</f>
        <v>7.8343023255813948</v>
      </c>
      <c r="W30" s="197">
        <f>IFERROR(J30/O30,"N/A")</f>
        <v>1.425925925925926</v>
      </c>
      <c r="X30" s="198">
        <f t="shared" si="5"/>
        <v>5.0264550264550269E-2</v>
      </c>
      <c r="Y30" s="197">
        <f t="shared" si="6"/>
        <v>0.59374999999999989</v>
      </c>
      <c r="Z30" s="197">
        <f t="shared" si="7"/>
        <v>1.0617283950617282</v>
      </c>
      <c r="AA30" s="198">
        <f>IFERROR(M30/J30,"N/A")</f>
        <v>3.525046382189239E-2</v>
      </c>
      <c r="AB30" s="197">
        <f t="shared" si="9"/>
        <v>0.9726027397260274</v>
      </c>
      <c r="AC30" s="197">
        <f t="shared" si="10"/>
        <v>1.0249999999999999</v>
      </c>
      <c r="AD30" s="52"/>
      <c r="AF30" s="33">
        <f t="shared" si="2"/>
        <v>98.22999999999999</v>
      </c>
      <c r="AG30" s="2"/>
      <c r="AM30" s="26"/>
    </row>
    <row r="31" spans="1:39" x14ac:dyDescent="0.25">
      <c r="A31">
        <f t="shared" si="0"/>
        <v>1</v>
      </c>
      <c r="B31" t="str">
        <f t="shared" si="1"/>
        <v>E</v>
      </c>
      <c r="C31" t="s">
        <v>268</v>
      </c>
      <c r="D31" s="31" t="s">
        <v>35</v>
      </c>
      <c r="E31" s="31" t="s">
        <v>75</v>
      </c>
      <c r="F31" s="31"/>
      <c r="G31" s="195">
        <v>18.8</v>
      </c>
      <c r="H31" s="195">
        <v>65.5</v>
      </c>
      <c r="I31" s="195">
        <v>53.7</v>
      </c>
      <c r="J31" s="196">
        <f t="shared" si="12"/>
        <v>59.6</v>
      </c>
      <c r="K31" s="193">
        <v>6.16</v>
      </c>
      <c r="L31" s="193">
        <v>3.48</v>
      </c>
      <c r="M31" s="193">
        <v>2.2799999999999998</v>
      </c>
      <c r="N31" s="193">
        <v>6.68</v>
      </c>
      <c r="O31" s="193">
        <v>31.08</v>
      </c>
      <c r="P31" s="193">
        <v>6.5</v>
      </c>
      <c r="Q31" s="193">
        <v>7.2</v>
      </c>
      <c r="R31" s="193">
        <v>8.1</v>
      </c>
      <c r="S31" s="193">
        <v>9</v>
      </c>
      <c r="T31" s="225">
        <v>45422</v>
      </c>
      <c r="U31" s="225"/>
      <c r="V31" s="196">
        <f>IFERROR(J31/K31,"N/A")</f>
        <v>9.675324675324676</v>
      </c>
      <c r="W31" s="197">
        <f>IFERROR(J31/O31,"N/A")</f>
        <v>1.9176319176319179</v>
      </c>
      <c r="X31" s="198">
        <f t="shared" si="5"/>
        <v>7.3359073359073351E-2</v>
      </c>
      <c r="Y31" s="197">
        <f t="shared" si="6"/>
        <v>0.65517241379310343</v>
      </c>
      <c r="Z31" s="197">
        <f t="shared" si="7"/>
        <v>0.92215568862275454</v>
      </c>
      <c r="AA31" s="198">
        <f>IFERROR(M31/J31,"N/A")</f>
        <v>3.8255033557046979E-2</v>
      </c>
      <c r="AB31" s="197">
        <f t="shared" si="9"/>
        <v>0.90277777777777779</v>
      </c>
      <c r="AC31" s="197">
        <f t="shared" si="10"/>
        <v>0.89999999999999991</v>
      </c>
      <c r="AD31" s="52"/>
      <c r="AF31" s="33">
        <f t="shared" si="2"/>
        <v>187.68</v>
      </c>
      <c r="AG31" s="2"/>
      <c r="AM31" s="26"/>
    </row>
    <row r="32" spans="1:39" x14ac:dyDescent="0.25">
      <c r="A32">
        <f t="shared" si="0"/>
        <v>1</v>
      </c>
      <c r="B32" t="str">
        <f t="shared" si="1"/>
        <v>E</v>
      </c>
      <c r="C32" t="s">
        <v>268</v>
      </c>
      <c r="D32" s="31" t="s">
        <v>38</v>
      </c>
      <c r="E32" s="31" t="s">
        <v>77</v>
      </c>
      <c r="F32" s="31"/>
      <c r="G32" s="195">
        <v>18.600000000000001</v>
      </c>
      <c r="H32" s="195">
        <v>75.8</v>
      </c>
      <c r="I32" s="195">
        <v>58.8</v>
      </c>
      <c r="J32" s="196">
        <f t="shared" si="12"/>
        <v>67.3</v>
      </c>
      <c r="K32" s="193">
        <v>7.79</v>
      </c>
      <c r="L32" s="193">
        <v>3.64</v>
      </c>
      <c r="M32" s="193">
        <v>2.78</v>
      </c>
      <c r="N32" s="193">
        <v>8.8800000000000008</v>
      </c>
      <c r="O32" s="193">
        <v>28.82</v>
      </c>
      <c r="P32" s="193">
        <v>8</v>
      </c>
      <c r="Q32" s="193">
        <v>8.85</v>
      </c>
      <c r="R32" s="193">
        <v>9.25</v>
      </c>
      <c r="S32" s="193">
        <v>8.5</v>
      </c>
      <c r="T32" s="225">
        <v>45422</v>
      </c>
      <c r="U32" s="225"/>
      <c r="V32" s="196">
        <f t="shared" si="3"/>
        <v>8.6392811296534013</v>
      </c>
      <c r="W32" s="197">
        <f t="shared" si="4"/>
        <v>2.3351839000693961</v>
      </c>
      <c r="X32" s="198">
        <f t="shared" si="5"/>
        <v>9.6460791117279662E-2</v>
      </c>
      <c r="Y32" s="197">
        <f t="shared" si="6"/>
        <v>0.76373626373626369</v>
      </c>
      <c r="Z32" s="197">
        <f t="shared" si="7"/>
        <v>0.87725225225225223</v>
      </c>
      <c r="AA32" s="198">
        <f t="shared" si="8"/>
        <v>4.1307578008915304E-2</v>
      </c>
      <c r="AB32" s="197">
        <f>IFERROR(P32/Q32,"")</f>
        <v>0.903954802259887</v>
      </c>
      <c r="AC32" s="197">
        <f t="shared" si="10"/>
        <v>1.088235294117647</v>
      </c>
      <c r="AD32" s="52"/>
      <c r="AF32" s="33">
        <f t="shared" si="2"/>
        <v>205.10999999999996</v>
      </c>
      <c r="AG32" s="2"/>
      <c r="AM32" s="26"/>
    </row>
    <row r="33" spans="1:39" hidden="1" x14ac:dyDescent="0.25">
      <c r="A33">
        <f t="shared" si="0"/>
        <v>1</v>
      </c>
      <c r="B33" t="str">
        <f t="shared" si="1"/>
        <v>N</v>
      </c>
      <c r="C33" t="s">
        <v>271</v>
      </c>
      <c r="D33" s="31" t="s">
        <v>175</v>
      </c>
      <c r="E33" s="31" t="s">
        <v>174</v>
      </c>
      <c r="F33" s="31"/>
      <c r="G33" s="195">
        <v>17.399999999999999</v>
      </c>
      <c r="H33" s="195">
        <v>125.3</v>
      </c>
      <c r="I33" s="195">
        <v>101</v>
      </c>
      <c r="J33" s="196">
        <f t="shared" si="12"/>
        <v>113.15</v>
      </c>
      <c r="K33" s="193">
        <v>10.039999999999999</v>
      </c>
      <c r="L33" s="193">
        <v>6.1</v>
      </c>
      <c r="M33" s="193">
        <v>2.96</v>
      </c>
      <c r="N33" s="193">
        <v>18.899999999999999</v>
      </c>
      <c r="O33" s="193">
        <v>73.2</v>
      </c>
      <c r="P33" s="193">
        <v>10.75</v>
      </c>
      <c r="Q33" s="193">
        <v>18.7</v>
      </c>
      <c r="R33" s="193">
        <v>13.65</v>
      </c>
      <c r="S33" s="193">
        <v>20</v>
      </c>
      <c r="T33" s="225">
        <v>45345</v>
      </c>
      <c r="U33" s="225"/>
      <c r="V33" s="196">
        <f>IFERROR(J33/K33,"")</f>
        <v>11.2699203187251</v>
      </c>
      <c r="W33" s="197">
        <f>IFERROR(J33/O33,"")</f>
        <v>1.5457650273224044</v>
      </c>
      <c r="X33" s="198">
        <f>IFERROR(M33/O33,"")</f>
        <v>4.0437158469945354E-2</v>
      </c>
      <c r="Y33" s="197">
        <f>IFERROR(M33/L33,"")</f>
        <v>0.48524590163934428</v>
      </c>
      <c r="Z33" s="197">
        <f>IFERROR(K33/N33,"")</f>
        <v>0.53121693121693125</v>
      </c>
      <c r="AA33" s="198">
        <f t="shared" si="8"/>
        <v>2.615996464869642E-2</v>
      </c>
      <c r="AB33" s="197">
        <f>IFERROR(P33/Q33,"")</f>
        <v>0.57486631016042788</v>
      </c>
      <c r="AC33" s="197">
        <f t="shared" si="10"/>
        <v>0.6825</v>
      </c>
      <c r="AD33" s="52"/>
      <c r="AF33" s="33">
        <f t="shared" si="2"/>
        <v>354.89999999999992</v>
      </c>
      <c r="AG33" s="2"/>
      <c r="AM33" s="26"/>
    </row>
    <row r="34" spans="1:39" hidden="1" x14ac:dyDescent="0.25">
      <c r="A34">
        <f t="shared" si="0"/>
        <v>1</v>
      </c>
      <c r="B34" t="str">
        <f t="shared" si="1"/>
        <v>N</v>
      </c>
      <c r="C34" t="s">
        <v>271</v>
      </c>
      <c r="D34" s="31" t="s">
        <v>178</v>
      </c>
      <c r="E34" s="31" t="s">
        <v>215</v>
      </c>
      <c r="F34" s="31"/>
      <c r="G34" s="195">
        <v>20.8</v>
      </c>
      <c r="H34" s="195">
        <v>132.9</v>
      </c>
      <c r="I34" s="195">
        <v>83.8</v>
      </c>
      <c r="J34" s="196">
        <f t="shared" si="12"/>
        <v>108.35</v>
      </c>
      <c r="K34" s="193">
        <v>8.8000000000000007</v>
      </c>
      <c r="L34" s="193">
        <v>4.8499999999999996</v>
      </c>
      <c r="M34" s="193">
        <v>2.25</v>
      </c>
      <c r="N34" s="193">
        <v>10.8</v>
      </c>
      <c r="O34" s="193">
        <v>49.3</v>
      </c>
      <c r="P34" s="193">
        <v>9.35</v>
      </c>
      <c r="Q34" s="193">
        <v>11.55</v>
      </c>
      <c r="R34" s="193">
        <v>11.7</v>
      </c>
      <c r="S34" s="193">
        <v>12.25</v>
      </c>
      <c r="T34" s="225">
        <v>45345</v>
      </c>
      <c r="U34" s="225"/>
      <c r="V34" s="196">
        <f>IFERROR(J34/K34,"")</f>
        <v>12.312499999999998</v>
      </c>
      <c r="W34" s="197">
        <f>IFERROR(J34/O34,"")</f>
        <v>2.1977687626774847</v>
      </c>
      <c r="X34" s="198">
        <f>IFERROR(M34/O34,"")</f>
        <v>4.5638945233265719E-2</v>
      </c>
      <c r="Y34" s="197">
        <f>IFERROR(M34/L34,"")</f>
        <v>0.46391752577319589</v>
      </c>
      <c r="Z34" s="197">
        <f>IFERROR(K34/N34,"")</f>
        <v>0.81481481481481488</v>
      </c>
      <c r="AA34" s="198">
        <f t="shared" si="8"/>
        <v>2.0766035994462393E-2</v>
      </c>
      <c r="AB34" s="197">
        <f>IFERROR(P34/Q34,"")</f>
        <v>0.80952380952380942</v>
      </c>
      <c r="AC34" s="197">
        <f t="shared" si="10"/>
        <v>0.95510204081632644</v>
      </c>
      <c r="AD34" s="52"/>
      <c r="AF34" s="33">
        <f t="shared" si="2"/>
        <v>313.5</v>
      </c>
      <c r="AG34" s="2"/>
      <c r="AM34" s="26"/>
    </row>
    <row r="35" spans="1:39" hidden="1" x14ac:dyDescent="0.25">
      <c r="A35">
        <f t="shared" si="0"/>
        <v>1</v>
      </c>
      <c r="B35" t="str">
        <f t="shared" si="1"/>
        <v>N</v>
      </c>
      <c r="C35" t="s">
        <v>271</v>
      </c>
      <c r="D35" s="31" t="s">
        <v>190</v>
      </c>
      <c r="E35" s="31" t="s">
        <v>189</v>
      </c>
      <c r="F35" s="31"/>
      <c r="G35" s="195">
        <v>15</v>
      </c>
      <c r="H35" s="195">
        <v>55.8</v>
      </c>
      <c r="I35" s="195">
        <v>38.9</v>
      </c>
      <c r="J35" s="196">
        <f t="shared" si="12"/>
        <v>47.349999999999994</v>
      </c>
      <c r="K35" s="193">
        <v>4.22</v>
      </c>
      <c r="L35" s="193">
        <v>2.7</v>
      </c>
      <c r="M35" s="193">
        <v>1.56</v>
      </c>
      <c r="N35" s="193">
        <v>5.13</v>
      </c>
      <c r="O35" s="193">
        <v>20.399999999999999</v>
      </c>
      <c r="P35" s="193">
        <v>4.4000000000000004</v>
      </c>
      <c r="Q35" s="193">
        <v>5.15</v>
      </c>
      <c r="R35" s="193">
        <v>5.25</v>
      </c>
      <c r="S35" s="193">
        <v>6.25</v>
      </c>
      <c r="T35" s="225">
        <v>45345</v>
      </c>
      <c r="U35" s="225"/>
      <c r="V35" s="196">
        <f t="shared" si="3"/>
        <v>11.220379146919431</v>
      </c>
      <c r="W35" s="197">
        <f t="shared" si="4"/>
        <v>2.3210784313725488</v>
      </c>
      <c r="X35" s="198">
        <f t="shared" si="5"/>
        <v>7.6470588235294124E-2</v>
      </c>
      <c r="Y35" s="197">
        <f t="shared" si="6"/>
        <v>0.57777777777777772</v>
      </c>
      <c r="Z35" s="197">
        <f t="shared" si="7"/>
        <v>0.82261208576998046</v>
      </c>
      <c r="AA35" s="198">
        <f t="shared" si="8"/>
        <v>3.2946145723336859E-2</v>
      </c>
      <c r="AB35" s="197">
        <f t="shared" ref="AB35:AB74" si="13">IFERROR(P35/Q35,"")</f>
        <v>0.85436893203883502</v>
      </c>
      <c r="AC35" s="197">
        <f t="shared" si="10"/>
        <v>0.84</v>
      </c>
      <c r="AD35" s="52"/>
      <c r="AF35" s="33">
        <f t="shared" si="2"/>
        <v>143.70999999999998</v>
      </c>
      <c r="AG35" s="2"/>
      <c r="AM35" s="26"/>
    </row>
    <row r="36" spans="1:39" hidden="1" x14ac:dyDescent="0.25">
      <c r="A36">
        <f t="shared" si="0"/>
        <v>1</v>
      </c>
      <c r="B36" t="str">
        <f t="shared" si="1"/>
        <v>N</v>
      </c>
      <c r="C36" t="s">
        <v>271</v>
      </c>
      <c r="D36" s="31" t="s">
        <v>26</v>
      </c>
      <c r="E36" s="31" t="s">
        <v>142</v>
      </c>
      <c r="F36" s="31"/>
      <c r="G36" s="194">
        <v>15.4</v>
      </c>
      <c r="H36" s="195">
        <v>29</v>
      </c>
      <c r="I36" s="195">
        <v>22.9</v>
      </c>
      <c r="J36" s="196">
        <f t="shared" si="12"/>
        <v>25.95</v>
      </c>
      <c r="K36" s="193">
        <v>3.6</v>
      </c>
      <c r="L36" s="193">
        <v>1.6</v>
      </c>
      <c r="M36" s="193">
        <v>1</v>
      </c>
      <c r="N36" s="193">
        <v>7.95</v>
      </c>
      <c r="O36" s="193">
        <v>19.45</v>
      </c>
      <c r="P36" s="193">
        <v>3.8</v>
      </c>
      <c r="Q36" s="193">
        <v>7</v>
      </c>
      <c r="R36" s="193">
        <v>4.25</v>
      </c>
      <c r="S36" s="193">
        <v>6.75</v>
      </c>
      <c r="T36" s="225">
        <v>45345</v>
      </c>
      <c r="U36" s="225"/>
      <c r="V36" s="196">
        <f t="shared" si="3"/>
        <v>7.208333333333333</v>
      </c>
      <c r="W36" s="197">
        <f t="shared" si="4"/>
        <v>1.3341902313624678</v>
      </c>
      <c r="X36" s="198">
        <f t="shared" si="5"/>
        <v>5.1413881748071981E-2</v>
      </c>
      <c r="Y36" s="197">
        <f t="shared" si="6"/>
        <v>0.625</v>
      </c>
      <c r="Z36" s="197">
        <f t="shared" si="7"/>
        <v>0.45283018867924529</v>
      </c>
      <c r="AA36" s="198">
        <f t="shared" si="8"/>
        <v>3.8535645472061661E-2</v>
      </c>
      <c r="AB36" s="197">
        <f t="shared" si="13"/>
        <v>0.54285714285714282</v>
      </c>
      <c r="AC36" s="197">
        <f t="shared" si="10"/>
        <v>0.62962962962962965</v>
      </c>
      <c r="AD36" s="52"/>
      <c r="AF36" s="33">
        <f t="shared" si="2"/>
        <v>100.89999999999999</v>
      </c>
      <c r="AG36" s="2"/>
      <c r="AM36" s="26"/>
    </row>
    <row r="37" spans="1:39" hidden="1" x14ac:dyDescent="0.25">
      <c r="A37">
        <f t="shared" si="0"/>
        <v>1</v>
      </c>
      <c r="B37" t="str">
        <f t="shared" si="1"/>
        <v>N</v>
      </c>
      <c r="C37" t="s">
        <v>271</v>
      </c>
      <c r="D37" s="31" t="s">
        <v>192</v>
      </c>
      <c r="E37" s="31" t="s">
        <v>191</v>
      </c>
      <c r="F37" s="31"/>
      <c r="G37" s="194">
        <v>13.8</v>
      </c>
      <c r="H37" s="195">
        <v>52.4</v>
      </c>
      <c r="I37" s="195">
        <v>35.700000000000003</v>
      </c>
      <c r="J37" s="196">
        <f t="shared" si="12"/>
        <v>44.05</v>
      </c>
      <c r="K37" s="193">
        <v>5.85</v>
      </c>
      <c r="L37" s="193">
        <v>2.65</v>
      </c>
      <c r="M37" s="193">
        <v>1.94</v>
      </c>
      <c r="N37" s="193">
        <v>9</v>
      </c>
      <c r="O37" s="193">
        <v>31.7</v>
      </c>
      <c r="P37" s="193">
        <v>6.15</v>
      </c>
      <c r="Q37" s="193">
        <v>9.25</v>
      </c>
      <c r="R37" s="193">
        <v>7.55</v>
      </c>
      <c r="S37" s="193">
        <v>10</v>
      </c>
      <c r="T37" s="225">
        <v>45345</v>
      </c>
      <c r="U37" s="225"/>
      <c r="V37" s="196">
        <f t="shared" si="3"/>
        <v>7.5299145299145298</v>
      </c>
      <c r="W37" s="197">
        <f t="shared" si="4"/>
        <v>1.389589905362776</v>
      </c>
      <c r="X37" s="198">
        <f t="shared" si="5"/>
        <v>6.1198738170347003E-2</v>
      </c>
      <c r="Y37" s="197">
        <f t="shared" si="6"/>
        <v>0.73207547169811327</v>
      </c>
      <c r="Z37" s="197">
        <f t="shared" si="7"/>
        <v>0.64999999999999991</v>
      </c>
      <c r="AA37" s="198">
        <f t="shared" si="8"/>
        <v>4.4040862656072648E-2</v>
      </c>
      <c r="AB37" s="197">
        <f t="shared" si="13"/>
        <v>0.66486486486486496</v>
      </c>
      <c r="AC37" s="197">
        <f t="shared" si="10"/>
        <v>0.755</v>
      </c>
      <c r="AD37" s="52"/>
      <c r="AF37" s="33">
        <f t="shared" si="2"/>
        <v>153.04</v>
      </c>
      <c r="AG37" s="2"/>
      <c r="AM37" s="26"/>
    </row>
    <row r="38" spans="1:39" hidden="1" x14ac:dyDescent="0.25">
      <c r="A38">
        <f t="shared" si="0"/>
        <v>1</v>
      </c>
      <c r="B38" t="str">
        <f t="shared" si="1"/>
        <v>N</v>
      </c>
      <c r="C38" s="31" t="s">
        <v>271</v>
      </c>
      <c r="D38" s="31" t="s">
        <v>345</v>
      </c>
      <c r="E38" s="31" t="s">
        <v>348</v>
      </c>
      <c r="F38" s="31"/>
      <c r="G38" s="195">
        <v>15.2</v>
      </c>
      <c r="H38" s="195">
        <v>84.3</v>
      </c>
      <c r="I38" s="195">
        <v>55.5</v>
      </c>
      <c r="J38" s="196">
        <f t="shared" si="12"/>
        <v>69.900000000000006</v>
      </c>
      <c r="K38" s="193">
        <v>9.1</v>
      </c>
      <c r="L38" s="193">
        <v>4.1500000000000004</v>
      </c>
      <c r="M38" s="193">
        <v>2.6</v>
      </c>
      <c r="N38" s="193">
        <v>11.75</v>
      </c>
      <c r="O38" s="193">
        <v>47.05</v>
      </c>
      <c r="P38" s="193">
        <v>9.85</v>
      </c>
      <c r="Q38" s="193">
        <v>11.95</v>
      </c>
      <c r="R38" s="193">
        <v>13.95</v>
      </c>
      <c r="S38" s="193">
        <v>12.6</v>
      </c>
      <c r="T38" s="225">
        <v>45345</v>
      </c>
      <c r="U38" s="225"/>
      <c r="V38" s="196">
        <f>IFERROR(J38/K38,"")</f>
        <v>7.6813186813186825</v>
      </c>
      <c r="W38" s="197">
        <f>IFERROR(J38/O38,"")</f>
        <v>1.4856535600425083</v>
      </c>
      <c r="X38" s="198">
        <f>IFERROR(M38/O38,"")</f>
        <v>5.526036131774708E-2</v>
      </c>
      <c r="Y38" s="197">
        <f>IFERROR(M38/L38,"")</f>
        <v>0.62650602409638556</v>
      </c>
      <c r="Z38" s="197">
        <f>IFERROR(K38/N38,"")</f>
        <v>0.77446808510638299</v>
      </c>
      <c r="AA38" s="198">
        <f t="shared" si="8"/>
        <v>3.7195994277539342E-2</v>
      </c>
      <c r="AB38" s="197">
        <f t="shared" si="13"/>
        <v>0.82426778242677823</v>
      </c>
      <c r="AC38" s="197">
        <f t="shared" si="10"/>
        <v>1.1071428571428572</v>
      </c>
      <c r="AD38" s="52"/>
      <c r="AF38" s="33">
        <f t="shared" si="2"/>
        <v>229.64999999999998</v>
      </c>
      <c r="AG38" s="2"/>
      <c r="AM38" s="26"/>
    </row>
    <row r="39" spans="1:39" hidden="1" x14ac:dyDescent="0.25">
      <c r="A39">
        <f t="shared" si="0"/>
        <v>1</v>
      </c>
      <c r="B39" t="str">
        <f t="shared" si="1"/>
        <v>N</v>
      </c>
      <c r="C39" t="s">
        <v>271</v>
      </c>
      <c r="D39" s="31" t="s">
        <v>198</v>
      </c>
      <c r="E39" s="31" t="s">
        <v>197</v>
      </c>
      <c r="F39" s="31"/>
      <c r="G39" s="195" t="s">
        <v>106</v>
      </c>
      <c r="H39" s="195" t="s">
        <v>106</v>
      </c>
      <c r="I39" s="195" t="s">
        <v>106</v>
      </c>
      <c r="J39" s="196" t="s">
        <v>106</v>
      </c>
      <c r="K39" s="193" t="s">
        <v>106</v>
      </c>
      <c r="L39" s="193" t="s">
        <v>106</v>
      </c>
      <c r="M39" s="193" t="s">
        <v>106</v>
      </c>
      <c r="N39" s="193" t="s">
        <v>106</v>
      </c>
      <c r="O39" s="193" t="s">
        <v>106</v>
      </c>
      <c r="P39" s="193" t="s">
        <v>106</v>
      </c>
      <c r="Q39" s="193" t="s">
        <v>106</v>
      </c>
      <c r="R39" s="193" t="s">
        <v>106</v>
      </c>
      <c r="S39" s="193" t="s">
        <v>106</v>
      </c>
      <c r="T39" s="225" t="s">
        <v>106</v>
      </c>
      <c r="U39" s="225"/>
      <c r="V39" s="196" t="str">
        <f>IFERROR(J39/K39,"N/A")</f>
        <v>N/A</v>
      </c>
      <c r="W39" s="197" t="str">
        <f>IFERROR(J39/O39,"N/A")</f>
        <v>N/A</v>
      </c>
      <c r="X39" s="198" t="str">
        <f>IFERROR(M39/O39,"N/A")</f>
        <v>N/A</v>
      </c>
      <c r="Y39" s="197" t="str">
        <f>IFERROR(M39/L39,"N/A")</f>
        <v>N/A</v>
      </c>
      <c r="Z39" s="197" t="str">
        <f>IFERROR(K39/N39,"N/A")</f>
        <v>N/A</v>
      </c>
      <c r="AA39" s="198" t="str">
        <f>IFERROR(M39/J39,"N/A")</f>
        <v>N/A</v>
      </c>
      <c r="AB39" s="197" t="str">
        <f>IFERROR(P39/Q39,"N/A")</f>
        <v>N/A</v>
      </c>
      <c r="AC39" s="197" t="str">
        <f>IFERROR(R39/S39,"N/A")</f>
        <v>N/A</v>
      </c>
      <c r="AD39" s="52"/>
      <c r="AF39" s="33">
        <f t="shared" si="2"/>
        <v>0</v>
      </c>
    </row>
    <row r="40" spans="1:39" hidden="1" x14ac:dyDescent="0.25">
      <c r="A40">
        <f t="shared" si="0"/>
        <v>1</v>
      </c>
      <c r="B40" t="str">
        <f t="shared" si="1"/>
        <v>N</v>
      </c>
      <c r="C40" t="s">
        <v>271</v>
      </c>
      <c r="D40" s="31" t="s">
        <v>200</v>
      </c>
      <c r="E40" s="31" t="s">
        <v>199</v>
      </c>
      <c r="F40" s="31"/>
      <c r="G40" s="195">
        <v>15.4</v>
      </c>
      <c r="H40" s="195">
        <v>68</v>
      </c>
      <c r="I40" s="195">
        <v>53.8</v>
      </c>
      <c r="J40" s="196">
        <f t="shared" si="12"/>
        <v>60.9</v>
      </c>
      <c r="K40" s="193">
        <v>9.15</v>
      </c>
      <c r="L40" s="193">
        <v>2.85</v>
      </c>
      <c r="M40" s="193">
        <v>2.48</v>
      </c>
      <c r="N40" s="193">
        <v>12.85</v>
      </c>
      <c r="O40" s="193">
        <v>50</v>
      </c>
      <c r="P40" s="193">
        <v>9.4</v>
      </c>
      <c r="Q40" s="193">
        <v>12.5</v>
      </c>
      <c r="R40" s="193">
        <v>11.5</v>
      </c>
      <c r="S40" s="193">
        <v>14.5</v>
      </c>
      <c r="T40" s="225">
        <v>45345</v>
      </c>
      <c r="U40" s="225"/>
      <c r="V40" s="196">
        <f>IFERROR(J40/K40,"N/A")</f>
        <v>6.6557377049180326</v>
      </c>
      <c r="W40" s="197">
        <f>IFERROR(J40/O40,"N/A")</f>
        <v>1.218</v>
      </c>
      <c r="X40" s="198">
        <f t="shared" si="5"/>
        <v>4.9599999999999998E-2</v>
      </c>
      <c r="Y40" s="197">
        <f t="shared" si="6"/>
        <v>0.87017543859649116</v>
      </c>
      <c r="Z40" s="197">
        <f t="shared" si="7"/>
        <v>0.71206225680933855</v>
      </c>
      <c r="AA40" s="198">
        <f>IFERROR(M40/J40,"N/A")</f>
        <v>4.0722495894909685E-2</v>
      </c>
      <c r="AB40" s="197">
        <f t="shared" si="13"/>
        <v>0.752</v>
      </c>
      <c r="AC40" s="197">
        <f t="shared" si="10"/>
        <v>0.7931034482758621</v>
      </c>
      <c r="AD40" s="52"/>
      <c r="AF40" s="33">
        <f t="shared" si="2"/>
        <v>214.52999999999997</v>
      </c>
    </row>
    <row r="41" spans="1:39" hidden="1" x14ac:dyDescent="0.25">
      <c r="A41">
        <f t="shared" si="0"/>
        <v>1</v>
      </c>
      <c r="B41" t="str">
        <f t="shared" si="1"/>
        <v>N</v>
      </c>
      <c r="C41" t="s">
        <v>271</v>
      </c>
      <c r="D41" s="31" t="s">
        <v>244</v>
      </c>
      <c r="E41" s="31" t="s">
        <v>243</v>
      </c>
      <c r="F41" s="31"/>
      <c r="G41" s="195">
        <v>14.5</v>
      </c>
      <c r="H41" s="195">
        <v>75.8</v>
      </c>
      <c r="I41" s="195">
        <v>53.8</v>
      </c>
      <c r="J41" s="196">
        <f>AVERAGE(H41:I41)</f>
        <v>64.8</v>
      </c>
      <c r="K41" s="193">
        <v>8.6</v>
      </c>
      <c r="L41" s="193">
        <v>3.85</v>
      </c>
      <c r="M41" s="193">
        <v>2.88</v>
      </c>
      <c r="N41" s="193">
        <v>12.45</v>
      </c>
      <c r="O41" s="193">
        <v>50.29</v>
      </c>
      <c r="P41" s="193">
        <v>9.0500000000000007</v>
      </c>
      <c r="Q41" s="193">
        <v>13.8</v>
      </c>
      <c r="R41" s="193">
        <v>11</v>
      </c>
      <c r="S41" s="193">
        <v>14.5</v>
      </c>
      <c r="T41" s="225">
        <v>45345</v>
      </c>
      <c r="U41" s="225"/>
      <c r="V41" s="196">
        <f>IFERROR(J41/K41,"N/A")</f>
        <v>7.5348837209302326</v>
      </c>
      <c r="W41" s="197">
        <f>IFERROR(J41/O41,"N/A")</f>
        <v>1.2885265460330084</v>
      </c>
      <c r="X41" s="198">
        <f t="shared" si="5"/>
        <v>5.7267846490355934E-2</v>
      </c>
      <c r="Y41" s="197">
        <f t="shared" si="6"/>
        <v>0.74805194805194797</v>
      </c>
      <c r="Z41" s="197">
        <f t="shared" si="7"/>
        <v>0.69076305220883538</v>
      </c>
      <c r="AA41" s="198">
        <f>IFERROR(M41/J41,"N/A")</f>
        <v>4.4444444444444446E-2</v>
      </c>
      <c r="AB41" s="197">
        <f t="shared" si="13"/>
        <v>0.65579710144927539</v>
      </c>
      <c r="AC41" s="197">
        <f t="shared" si="10"/>
        <v>0.75862068965517238</v>
      </c>
      <c r="AD41" s="52"/>
      <c r="AF41" s="33">
        <f t="shared" si="2"/>
        <v>222.16999999999996</v>
      </c>
    </row>
    <row r="42" spans="1:39" s="31" customFormat="1" hidden="1" x14ac:dyDescent="0.25">
      <c r="A42" s="31">
        <f t="shared" si="0"/>
        <v>1</v>
      </c>
      <c r="B42" s="31" t="str">
        <f t="shared" si="1"/>
        <v>N</v>
      </c>
      <c r="C42" t="s">
        <v>271</v>
      </c>
      <c r="D42" s="31" t="s">
        <v>204</v>
      </c>
      <c r="E42" s="31" t="s">
        <v>203</v>
      </c>
      <c r="G42" s="195">
        <v>8.3000000000000007</v>
      </c>
      <c r="H42" s="195">
        <v>43.2</v>
      </c>
      <c r="I42" s="195">
        <v>20.2</v>
      </c>
      <c r="J42" s="196">
        <f>AVERAGE(H42:I42)</f>
        <v>31.700000000000003</v>
      </c>
      <c r="K42" s="193">
        <v>5.43</v>
      </c>
      <c r="L42" s="193">
        <v>2.84</v>
      </c>
      <c r="M42" s="193">
        <v>1.47</v>
      </c>
      <c r="N42" s="193">
        <v>4.62</v>
      </c>
      <c r="O42" s="193">
        <v>20</v>
      </c>
      <c r="P42" s="193">
        <v>5.6</v>
      </c>
      <c r="Q42" s="193">
        <v>4.5</v>
      </c>
      <c r="R42" s="193">
        <v>6</v>
      </c>
      <c r="S42" s="193">
        <v>5</v>
      </c>
      <c r="T42" s="225">
        <v>45345</v>
      </c>
      <c r="U42" s="225"/>
      <c r="V42" s="196">
        <f t="shared" si="3"/>
        <v>5.8379373848987113</v>
      </c>
      <c r="W42" s="197">
        <f t="shared" si="4"/>
        <v>1.5850000000000002</v>
      </c>
      <c r="X42" s="198">
        <f t="shared" si="5"/>
        <v>7.3499999999999996E-2</v>
      </c>
      <c r="Y42" s="197">
        <f t="shared" si="6"/>
        <v>0.51760563380281688</v>
      </c>
      <c r="Z42" s="197">
        <f t="shared" si="7"/>
        <v>1.1753246753246753</v>
      </c>
      <c r="AA42" s="198">
        <f t="shared" si="8"/>
        <v>4.6372239747634061E-2</v>
      </c>
      <c r="AB42" s="197">
        <f t="shared" si="13"/>
        <v>1.2444444444444445</v>
      </c>
      <c r="AC42" s="197">
        <f t="shared" si="10"/>
        <v>1.2</v>
      </c>
      <c r="AD42" s="197"/>
      <c r="AF42" s="199">
        <f t="shared" si="2"/>
        <v>106.06</v>
      </c>
    </row>
    <row r="43" spans="1:39" hidden="1" x14ac:dyDescent="0.25">
      <c r="A43">
        <f t="shared" si="0"/>
        <v>1</v>
      </c>
      <c r="B43" t="str">
        <f t="shared" si="1"/>
        <v>E</v>
      </c>
      <c r="C43" t="s">
        <v>342</v>
      </c>
      <c r="D43" s="31" t="s">
        <v>0</v>
      </c>
      <c r="E43" s="31" t="s">
        <v>91</v>
      </c>
      <c r="F43" s="31"/>
      <c r="G43" s="194">
        <v>15.4</v>
      </c>
      <c r="H43" s="195">
        <v>66.7</v>
      </c>
      <c r="I43" s="195">
        <v>49.3</v>
      </c>
      <c r="J43" s="196">
        <f t="shared" si="12"/>
        <v>58</v>
      </c>
      <c r="K43" s="193">
        <v>8.67</v>
      </c>
      <c r="L43" s="193">
        <v>4.3</v>
      </c>
      <c r="M43" s="193">
        <v>2.71</v>
      </c>
      <c r="N43" s="193">
        <v>4.92</v>
      </c>
      <c r="O43" s="193">
        <v>48.78</v>
      </c>
      <c r="P43" s="193">
        <v>8.3000000000000007</v>
      </c>
      <c r="Q43" s="193">
        <v>5.95</v>
      </c>
      <c r="R43" s="193">
        <v>9.65</v>
      </c>
      <c r="S43" s="193">
        <v>7.25</v>
      </c>
      <c r="T43" s="225">
        <v>45359</v>
      </c>
      <c r="U43" s="225"/>
      <c r="V43" s="196">
        <f t="shared" si="3"/>
        <v>6.6897347174163784</v>
      </c>
      <c r="W43" s="197">
        <f t="shared" si="4"/>
        <v>1.1890118901189011</v>
      </c>
      <c r="X43" s="198">
        <f t="shared" si="5"/>
        <v>5.5555555555555552E-2</v>
      </c>
      <c r="Y43" s="197">
        <f t="shared" si="6"/>
        <v>0.63023255813953494</v>
      </c>
      <c r="Z43" s="197">
        <f t="shared" si="7"/>
        <v>1.7621951219512195</v>
      </c>
      <c r="AA43" s="198">
        <f t="shared" si="8"/>
        <v>4.6724137931034485E-2</v>
      </c>
      <c r="AB43" s="197">
        <f t="shared" si="13"/>
        <v>1.3949579831932775</v>
      </c>
      <c r="AC43" s="197">
        <f t="shared" si="10"/>
        <v>1.3310344827586207</v>
      </c>
      <c r="AD43" s="52"/>
      <c r="AF43" s="33">
        <f t="shared" si="2"/>
        <v>200.78</v>
      </c>
    </row>
    <row r="44" spans="1:39" hidden="1" x14ac:dyDescent="0.25">
      <c r="A44">
        <f t="shared" si="0"/>
        <v>1</v>
      </c>
      <c r="B44" t="str">
        <f t="shared" si="1"/>
        <v>E</v>
      </c>
      <c r="C44" t="s">
        <v>342</v>
      </c>
      <c r="D44" s="31" t="s">
        <v>1</v>
      </c>
      <c r="E44" s="31" t="s">
        <v>84</v>
      </c>
      <c r="F44" s="31"/>
      <c r="G44" s="194">
        <v>16.5</v>
      </c>
      <c r="H44" s="195">
        <v>56.3</v>
      </c>
      <c r="I44" s="195">
        <v>45.2</v>
      </c>
      <c r="J44" s="196">
        <f t="shared" si="12"/>
        <v>50.75</v>
      </c>
      <c r="K44" s="193">
        <v>5.38</v>
      </c>
      <c r="L44" s="193">
        <v>2.78</v>
      </c>
      <c r="M44" s="193">
        <v>1.81</v>
      </c>
      <c r="N44" s="193">
        <v>7.24</v>
      </c>
      <c r="O44" s="193">
        <v>26.46</v>
      </c>
      <c r="P44" s="193">
        <v>5.65</v>
      </c>
      <c r="Q44" s="193">
        <v>5.8</v>
      </c>
      <c r="R44" s="193">
        <v>6.5</v>
      </c>
      <c r="S44" s="193">
        <v>5.4</v>
      </c>
      <c r="T44" s="225">
        <v>45359</v>
      </c>
      <c r="U44" s="225"/>
      <c r="V44" s="196">
        <f t="shared" si="3"/>
        <v>9.4330855018587361</v>
      </c>
      <c r="W44" s="197">
        <f t="shared" si="4"/>
        <v>1.9179894179894179</v>
      </c>
      <c r="X44" s="198">
        <f t="shared" si="5"/>
        <v>6.8405139833711257E-2</v>
      </c>
      <c r="Y44" s="197">
        <f t="shared" si="6"/>
        <v>0.65107913669064754</v>
      </c>
      <c r="Z44" s="197">
        <f t="shared" si="7"/>
        <v>0.74309392265193364</v>
      </c>
      <c r="AA44" s="198">
        <f t="shared" si="8"/>
        <v>3.5665024630541872E-2</v>
      </c>
      <c r="AB44" s="197">
        <f t="shared" si="13"/>
        <v>0.97413793103448287</v>
      </c>
      <c r="AC44" s="197">
        <f t="shared" si="10"/>
        <v>1.2037037037037037</v>
      </c>
      <c r="AD44" s="52"/>
      <c r="AF44" s="33">
        <f t="shared" si="2"/>
        <v>161.67000000000002</v>
      </c>
    </row>
    <row r="45" spans="1:39" hidden="1" x14ac:dyDescent="0.25">
      <c r="A45">
        <f t="shared" si="0"/>
        <v>1</v>
      </c>
      <c r="B45" t="str">
        <f t="shared" si="1"/>
        <v>E</v>
      </c>
      <c r="C45" t="s">
        <v>342</v>
      </c>
      <c r="D45" s="31" t="s">
        <v>3</v>
      </c>
      <c r="E45" s="31" t="s">
        <v>80</v>
      </c>
      <c r="F45" s="31"/>
      <c r="G45" s="194">
        <v>15.4</v>
      </c>
      <c r="H45" s="195">
        <v>91.2</v>
      </c>
      <c r="I45" s="195">
        <v>69.7</v>
      </c>
      <c r="J45" s="196">
        <f t="shared" si="12"/>
        <v>80.45</v>
      </c>
      <c r="K45" s="193">
        <v>9.99</v>
      </c>
      <c r="L45" s="193">
        <v>4.37</v>
      </c>
      <c r="M45" s="193">
        <v>2.52</v>
      </c>
      <c r="N45" s="193">
        <v>12.9</v>
      </c>
      <c r="O45" s="193">
        <v>40.26</v>
      </c>
      <c r="P45" s="193">
        <v>10.55</v>
      </c>
      <c r="Q45" s="193">
        <v>12.55</v>
      </c>
      <c r="R45" s="193">
        <v>12.25</v>
      </c>
      <c r="S45" s="193">
        <v>13</v>
      </c>
      <c r="T45" s="225">
        <v>45359</v>
      </c>
      <c r="U45" s="225"/>
      <c r="V45" s="196">
        <f t="shared" si="3"/>
        <v>8.0530530530530537</v>
      </c>
      <c r="W45" s="197">
        <f t="shared" si="4"/>
        <v>1.9982613015399902</v>
      </c>
      <c r="X45" s="198">
        <f t="shared" si="5"/>
        <v>6.259314456035768E-2</v>
      </c>
      <c r="Y45" s="197">
        <f t="shared" si="6"/>
        <v>0.57665903890160186</v>
      </c>
      <c r="Z45" s="197">
        <f t="shared" si="7"/>
        <v>0.77441860465116275</v>
      </c>
      <c r="AA45" s="198">
        <f t="shared" si="8"/>
        <v>3.1323803604723428E-2</v>
      </c>
      <c r="AB45" s="197">
        <f t="shared" si="13"/>
        <v>0.84063745019920322</v>
      </c>
      <c r="AC45" s="197">
        <f t="shared" si="10"/>
        <v>0.94230769230769229</v>
      </c>
      <c r="AD45" s="52"/>
      <c r="AF45" s="33">
        <f t="shared" si="2"/>
        <v>246.34000000000003</v>
      </c>
    </row>
    <row r="46" spans="1:39" hidden="1" x14ac:dyDescent="0.25">
      <c r="A46">
        <f t="shared" si="0"/>
        <v>1</v>
      </c>
      <c r="B46" t="str">
        <f t="shared" si="1"/>
        <v>E</v>
      </c>
      <c r="C46" t="s">
        <v>342</v>
      </c>
      <c r="D46" s="31" t="s">
        <v>2</v>
      </c>
      <c r="E46" s="31" t="s">
        <v>103</v>
      </c>
      <c r="F46" s="31"/>
      <c r="G46" s="194">
        <v>14.2</v>
      </c>
      <c r="H46" s="195">
        <v>98.3</v>
      </c>
      <c r="I46" s="195">
        <v>69.400000000000006</v>
      </c>
      <c r="J46" s="196">
        <f t="shared" si="12"/>
        <v>83.85</v>
      </c>
      <c r="K46" s="193">
        <v>10.92</v>
      </c>
      <c r="L46" s="193">
        <v>5.24</v>
      </c>
      <c r="M46" s="193">
        <v>3.37</v>
      </c>
      <c r="N46" s="193">
        <v>15.35</v>
      </c>
      <c r="O46" s="193">
        <v>48.46</v>
      </c>
      <c r="P46" s="193">
        <v>11.65</v>
      </c>
      <c r="Q46" s="193">
        <v>14.15</v>
      </c>
      <c r="R46" s="193">
        <v>15.2</v>
      </c>
      <c r="S46" s="193">
        <v>14</v>
      </c>
      <c r="T46" s="225">
        <v>45359</v>
      </c>
      <c r="U46" s="225"/>
      <c r="V46" s="196">
        <f t="shared" si="3"/>
        <v>7.6785714285714279</v>
      </c>
      <c r="W46" s="197">
        <f>IFERROR(J46/O46,"")</f>
        <v>1.7302930251754023</v>
      </c>
      <c r="X46" s="198">
        <f t="shared" si="5"/>
        <v>6.9541890218737107E-2</v>
      </c>
      <c r="Y46" s="197">
        <f t="shared" si="6"/>
        <v>0.64312977099236646</v>
      </c>
      <c r="Z46" s="197">
        <f t="shared" si="7"/>
        <v>0.71140065146579801</v>
      </c>
      <c r="AA46" s="198">
        <f t="shared" si="8"/>
        <v>4.0190816935002989E-2</v>
      </c>
      <c r="AB46" s="197">
        <f t="shared" si="13"/>
        <v>0.82332155477031799</v>
      </c>
      <c r="AC46" s="197">
        <f t="shared" si="10"/>
        <v>1.0857142857142856</v>
      </c>
      <c r="AD46" s="52"/>
      <c r="AF46" s="33">
        <f t="shared" si="2"/>
        <v>265.24</v>
      </c>
    </row>
    <row r="47" spans="1:39" hidden="1" x14ac:dyDescent="0.25">
      <c r="A47">
        <f t="shared" si="0"/>
        <v>1</v>
      </c>
      <c r="B47" t="str">
        <f t="shared" si="1"/>
        <v>E</v>
      </c>
      <c r="C47" t="s">
        <v>342</v>
      </c>
      <c r="D47" s="31" t="s">
        <v>6</v>
      </c>
      <c r="E47" s="31" t="s">
        <v>90</v>
      </c>
      <c r="F47" s="31"/>
      <c r="G47" s="194">
        <v>18.8</v>
      </c>
      <c r="H47" s="195">
        <v>31.5</v>
      </c>
      <c r="I47" s="195">
        <v>25.4</v>
      </c>
      <c r="J47" s="196">
        <f t="shared" si="12"/>
        <v>28.45</v>
      </c>
      <c r="K47" s="193">
        <v>3.59</v>
      </c>
      <c r="L47" s="193">
        <v>1.37</v>
      </c>
      <c r="M47" s="193">
        <v>0.76</v>
      </c>
      <c r="N47" s="193">
        <v>6.97</v>
      </c>
      <c r="O47" s="193">
        <v>15.32</v>
      </c>
      <c r="P47" s="193">
        <v>3.85</v>
      </c>
      <c r="Q47" s="193">
        <v>7</v>
      </c>
      <c r="R47" s="193">
        <v>4.5</v>
      </c>
      <c r="S47" s="193">
        <v>6.5</v>
      </c>
      <c r="T47" s="225">
        <v>45359</v>
      </c>
      <c r="U47" s="225"/>
      <c r="V47" s="196">
        <f t="shared" si="3"/>
        <v>7.9247910863509752</v>
      </c>
      <c r="W47" s="197">
        <f t="shared" si="4"/>
        <v>1.8570496083550914</v>
      </c>
      <c r="X47" s="198">
        <f t="shared" si="5"/>
        <v>4.960835509138381E-2</v>
      </c>
      <c r="Y47" s="197">
        <f t="shared" si="6"/>
        <v>0.55474452554744524</v>
      </c>
      <c r="Z47" s="197">
        <f t="shared" si="7"/>
        <v>0.51506456241032994</v>
      </c>
      <c r="AA47" s="198">
        <f t="shared" si="8"/>
        <v>2.671353251318102E-2</v>
      </c>
      <c r="AB47" s="197">
        <f t="shared" si="13"/>
        <v>0.55000000000000004</v>
      </c>
      <c r="AC47" s="197">
        <f t="shared" si="10"/>
        <v>0.69230769230769229</v>
      </c>
      <c r="AD47" s="52"/>
      <c r="AF47" s="33">
        <f t="shared" si="2"/>
        <v>103.71000000000001</v>
      </c>
    </row>
    <row r="48" spans="1:39" hidden="1" x14ac:dyDescent="0.25">
      <c r="A48">
        <f t="shared" si="0"/>
        <v>1</v>
      </c>
      <c r="B48" t="str">
        <f t="shared" si="1"/>
        <v>E</v>
      </c>
      <c r="C48" t="s">
        <v>342</v>
      </c>
      <c r="D48" s="31" t="s">
        <v>9</v>
      </c>
      <c r="E48" s="31" t="s">
        <v>47</v>
      </c>
      <c r="F48" s="31"/>
      <c r="G48" s="194">
        <v>17.399999999999999</v>
      </c>
      <c r="H48" s="195">
        <v>65.7</v>
      </c>
      <c r="I48" s="195">
        <v>49.9</v>
      </c>
      <c r="J48" s="196">
        <f t="shared" si="12"/>
        <v>57.8</v>
      </c>
      <c r="K48" s="193">
        <v>6.98</v>
      </c>
      <c r="L48" s="193">
        <v>3.01</v>
      </c>
      <c r="M48" s="193">
        <v>1.95</v>
      </c>
      <c r="N48" s="193">
        <v>8.18</v>
      </c>
      <c r="O48" s="193">
        <v>24.86</v>
      </c>
      <c r="P48" s="193">
        <v>7.3</v>
      </c>
      <c r="Q48" s="193">
        <v>9</v>
      </c>
      <c r="R48" s="193">
        <v>8.5</v>
      </c>
      <c r="S48" s="193">
        <v>9.75</v>
      </c>
      <c r="T48" s="225">
        <v>45359</v>
      </c>
      <c r="U48" s="225"/>
      <c r="V48" s="196">
        <f>IFERROR(J48/K48,"N/A")</f>
        <v>8.2808022922636102</v>
      </c>
      <c r="W48" s="197">
        <f>IFERROR(J48/O48,"N/A")</f>
        <v>2.3250201126307322</v>
      </c>
      <c r="X48" s="198">
        <f t="shared" si="5"/>
        <v>7.8439259855189056E-2</v>
      </c>
      <c r="Y48" s="197">
        <f t="shared" si="6"/>
        <v>0.64784053156146182</v>
      </c>
      <c r="Z48" s="197">
        <f t="shared" si="7"/>
        <v>0.85330073349633262</v>
      </c>
      <c r="AA48" s="198">
        <f>IFERROR(M48/J48,"N/A")</f>
        <v>3.3737024221453291E-2</v>
      </c>
      <c r="AB48" s="197">
        <f t="shared" si="13"/>
        <v>0.81111111111111112</v>
      </c>
      <c r="AC48" s="197">
        <f t="shared" si="10"/>
        <v>0.87179487179487181</v>
      </c>
      <c r="AD48" s="52"/>
      <c r="AF48" s="33">
        <f t="shared" si="2"/>
        <v>177.97999999999996</v>
      </c>
    </row>
    <row r="49" spans="1:32" hidden="1" x14ac:dyDescent="0.25">
      <c r="A49">
        <f t="shared" si="0"/>
        <v>1</v>
      </c>
      <c r="B49" t="str">
        <f t="shared" si="1"/>
        <v>E</v>
      </c>
      <c r="C49" t="s">
        <v>342</v>
      </c>
      <c r="D49" s="31" t="s">
        <v>12</v>
      </c>
      <c r="E49" s="31" t="s">
        <v>51</v>
      </c>
      <c r="F49" s="31"/>
      <c r="G49" s="194">
        <v>14.3</v>
      </c>
      <c r="H49" s="195">
        <v>121.3</v>
      </c>
      <c r="I49" s="195">
        <v>90.1</v>
      </c>
      <c r="J49" s="196">
        <f t="shared" si="12"/>
        <v>105.69999999999999</v>
      </c>
      <c r="K49" s="193">
        <v>14.54</v>
      </c>
      <c r="L49" s="193">
        <v>6.76</v>
      </c>
      <c r="M49" s="193">
        <v>3.88</v>
      </c>
      <c r="N49" s="193">
        <v>17.02</v>
      </c>
      <c r="O49" s="193">
        <v>53.55</v>
      </c>
      <c r="P49" s="193">
        <v>15.3</v>
      </c>
      <c r="Q49" s="193">
        <v>17.5</v>
      </c>
      <c r="R49" s="193">
        <v>17.5</v>
      </c>
      <c r="S49" s="193">
        <v>18.5</v>
      </c>
      <c r="T49" s="225">
        <v>45359</v>
      </c>
      <c r="U49" s="225"/>
      <c r="V49" s="197">
        <f t="shared" si="3"/>
        <v>7.2696011004126539</v>
      </c>
      <c r="W49" s="197">
        <f t="shared" si="4"/>
        <v>1.9738562091503267</v>
      </c>
      <c r="X49" s="198">
        <f t="shared" si="5"/>
        <v>7.2455648926237168E-2</v>
      </c>
      <c r="Y49" s="197">
        <f t="shared" si="6"/>
        <v>0.57396449704142016</v>
      </c>
      <c r="Z49" s="197">
        <f t="shared" si="7"/>
        <v>0.85428907168037604</v>
      </c>
      <c r="AA49" s="198">
        <f t="shared" si="8"/>
        <v>3.6707663197729425E-2</v>
      </c>
      <c r="AB49" s="197">
        <f t="shared" si="13"/>
        <v>0.87428571428571433</v>
      </c>
      <c r="AC49" s="197">
        <f t="shared" si="10"/>
        <v>0.94594594594594594</v>
      </c>
      <c r="AD49" s="52"/>
      <c r="AE49" s="33"/>
      <c r="AF49" s="33">
        <f t="shared" si="2"/>
        <v>321.45</v>
      </c>
    </row>
    <row r="50" spans="1:32" hidden="1" x14ac:dyDescent="0.25">
      <c r="A50">
        <f t="shared" si="0"/>
        <v>1</v>
      </c>
      <c r="B50" t="str">
        <f t="shared" si="1"/>
        <v>E</v>
      </c>
      <c r="C50" t="s">
        <v>342</v>
      </c>
      <c r="D50" s="31" t="s">
        <v>17</v>
      </c>
      <c r="E50" s="31" t="s">
        <v>55</v>
      </c>
      <c r="F50" s="31"/>
      <c r="G50" s="194">
        <v>9.8000000000000007</v>
      </c>
      <c r="H50" s="195">
        <v>111.9</v>
      </c>
      <c r="I50" s="195">
        <v>87.1</v>
      </c>
      <c r="J50" s="196">
        <f t="shared" si="12"/>
        <v>99.5</v>
      </c>
      <c r="K50" s="193">
        <v>21.53</v>
      </c>
      <c r="L50" s="193">
        <v>11.1</v>
      </c>
      <c r="M50" s="193">
        <v>4.34</v>
      </c>
      <c r="N50" s="193">
        <v>20.86</v>
      </c>
      <c r="O50" s="193">
        <v>68.7</v>
      </c>
      <c r="P50" s="193">
        <v>17.45</v>
      </c>
      <c r="Q50" s="193">
        <v>21</v>
      </c>
      <c r="R50" s="193">
        <v>21.35</v>
      </c>
      <c r="S50" s="193">
        <v>19.75</v>
      </c>
      <c r="T50" s="225">
        <v>45359</v>
      </c>
      <c r="U50" s="225"/>
      <c r="V50" s="196">
        <f t="shared" si="3"/>
        <v>4.6214584300975377</v>
      </c>
      <c r="W50" s="197">
        <f t="shared" si="4"/>
        <v>1.4483260553129549</v>
      </c>
      <c r="X50" s="198">
        <f t="shared" si="5"/>
        <v>6.317321688500728E-2</v>
      </c>
      <c r="Y50" s="197">
        <f t="shared" si="6"/>
        <v>0.39099099099099099</v>
      </c>
      <c r="Z50" s="197">
        <f t="shared" si="7"/>
        <v>1.0321188878235859</v>
      </c>
      <c r="AA50" s="198">
        <f t="shared" si="8"/>
        <v>4.3618090452261303E-2</v>
      </c>
      <c r="AB50" s="197">
        <f t="shared" si="13"/>
        <v>0.83095238095238089</v>
      </c>
      <c r="AC50" s="197">
        <f t="shared" si="10"/>
        <v>1.0810126582278481</v>
      </c>
      <c r="AD50" s="52"/>
      <c r="AF50" s="33">
        <f t="shared" si="2"/>
        <v>335.33</v>
      </c>
    </row>
    <row r="51" spans="1:32" hidden="1" x14ac:dyDescent="0.25">
      <c r="A51">
        <f t="shared" si="0"/>
        <v>1</v>
      </c>
      <c r="B51" t="str">
        <f t="shared" si="1"/>
        <v>E</v>
      </c>
      <c r="C51" t="s">
        <v>342</v>
      </c>
      <c r="D51" s="31" t="s">
        <v>447</v>
      </c>
      <c r="E51" s="31" t="s">
        <v>448</v>
      </c>
      <c r="F51" s="31"/>
      <c r="G51" s="194">
        <v>12</v>
      </c>
      <c r="H51" s="195">
        <v>65.400000000000006</v>
      </c>
      <c r="I51" s="195">
        <v>46.9</v>
      </c>
      <c r="J51" s="196">
        <f t="shared" si="12"/>
        <v>56.150000000000006</v>
      </c>
      <c r="K51" s="193">
        <v>7.9</v>
      </c>
      <c r="L51" s="193">
        <v>3.6</v>
      </c>
      <c r="M51" s="193">
        <v>2.48</v>
      </c>
      <c r="N51" s="193">
        <v>9.1999999999999993</v>
      </c>
      <c r="O51" s="193">
        <v>42.7</v>
      </c>
      <c r="P51" s="193">
        <v>8.1999999999999993</v>
      </c>
      <c r="Q51" s="193">
        <v>9.25</v>
      </c>
      <c r="R51" s="193">
        <v>9.35</v>
      </c>
      <c r="S51" s="193">
        <v>9.5</v>
      </c>
      <c r="T51" s="225">
        <v>45359</v>
      </c>
      <c r="U51" s="225"/>
      <c r="V51" s="196">
        <f t="shared" si="3"/>
        <v>7.1075949367088613</v>
      </c>
      <c r="W51" s="197">
        <f t="shared" si="4"/>
        <v>1.3149882903981265</v>
      </c>
      <c r="X51" s="198">
        <f t="shared" si="5"/>
        <v>5.8079625292740043E-2</v>
      </c>
      <c r="Y51" s="197">
        <f t="shared" si="6"/>
        <v>0.68888888888888888</v>
      </c>
      <c r="Z51" s="197">
        <f t="shared" si="7"/>
        <v>0.85869565217391319</v>
      </c>
      <c r="AA51" s="198">
        <f t="shared" si="8"/>
        <v>4.4167408726625106E-2</v>
      </c>
      <c r="AB51" s="197">
        <f t="shared" si="13"/>
        <v>0.88648648648648642</v>
      </c>
      <c r="AC51" s="197">
        <f t="shared" si="10"/>
        <v>0.98421052631578942</v>
      </c>
      <c r="AD51" s="52"/>
      <c r="AF51" s="33">
        <f t="shared" si="2"/>
        <v>190.18</v>
      </c>
    </row>
    <row r="52" spans="1:32" hidden="1" x14ac:dyDescent="0.25">
      <c r="A52">
        <f t="shared" si="0"/>
        <v>1</v>
      </c>
      <c r="B52" t="str">
        <f t="shared" si="1"/>
        <v>E</v>
      </c>
      <c r="C52" t="s">
        <v>342</v>
      </c>
      <c r="D52" s="31" t="s">
        <v>266</v>
      </c>
      <c r="E52" s="31" t="s">
        <v>265</v>
      </c>
      <c r="F52" s="31"/>
      <c r="G52" s="194">
        <v>16.7</v>
      </c>
      <c r="H52" s="195">
        <v>62.1</v>
      </c>
      <c r="I52" s="195">
        <v>49.8</v>
      </c>
      <c r="J52" s="196">
        <f t="shared" si="12"/>
        <v>55.95</v>
      </c>
      <c r="K52" s="193">
        <v>6.71</v>
      </c>
      <c r="L52" s="193">
        <v>3.1</v>
      </c>
      <c r="M52" s="193">
        <v>2.29</v>
      </c>
      <c r="N52" s="193">
        <v>7.18</v>
      </c>
      <c r="O52" s="193">
        <v>39.24</v>
      </c>
      <c r="P52" s="193">
        <v>7</v>
      </c>
      <c r="Q52" s="193">
        <v>8.25</v>
      </c>
      <c r="R52" s="193">
        <v>8</v>
      </c>
      <c r="S52" s="193">
        <v>8.25</v>
      </c>
      <c r="T52" s="225">
        <v>45359</v>
      </c>
      <c r="U52" s="225"/>
      <c r="V52" s="196">
        <f>IFERROR(J52/K52,"N/A")</f>
        <v>8.3383010432190758</v>
      </c>
      <c r="W52" s="197">
        <f>IFERROR(J52/O52,"N/A")</f>
        <v>1.4258409785932722</v>
      </c>
      <c r="X52" s="198">
        <f>IFERROR(M52/O52,"N/A")</f>
        <v>5.8358817533129458E-2</v>
      </c>
      <c r="Y52" s="197">
        <f>IFERROR(M52/L52,"N/A")</f>
        <v>0.73870967741935478</v>
      </c>
      <c r="Z52" s="197">
        <f>IFERROR(K52/N52,"N/A")</f>
        <v>0.93454038997214484</v>
      </c>
      <c r="AA52" s="198">
        <f>IFERROR(M52/J52,"N/A")</f>
        <v>4.0929401251117069E-2</v>
      </c>
      <c r="AB52" s="197">
        <f>IFERROR(P52/Q52,"N/A")</f>
        <v>0.84848484848484851</v>
      </c>
      <c r="AC52" s="197">
        <f>IFERROR(R52/S52,"N/A")</f>
        <v>0.96969696969696972</v>
      </c>
      <c r="AD52" s="52"/>
      <c r="AF52" s="33">
        <f t="shared" si="2"/>
        <v>187.12</v>
      </c>
    </row>
    <row r="53" spans="1:32" hidden="1" x14ac:dyDescent="0.25">
      <c r="A53">
        <f t="shared" si="0"/>
        <v>1</v>
      </c>
      <c r="B53" t="str">
        <f t="shared" si="1"/>
        <v>E</v>
      </c>
      <c r="C53" s="31" t="s">
        <v>342</v>
      </c>
      <c r="D53" s="31" t="s">
        <v>25</v>
      </c>
      <c r="E53" s="31" t="s">
        <v>61</v>
      </c>
      <c r="F53" s="31"/>
      <c r="G53" s="194">
        <v>18.600000000000001</v>
      </c>
      <c r="H53" s="195">
        <v>83.3</v>
      </c>
      <c r="I53" s="195">
        <v>65.099999999999994</v>
      </c>
      <c r="J53" s="196">
        <f t="shared" si="12"/>
        <v>74.199999999999989</v>
      </c>
      <c r="K53" s="193">
        <v>6.04</v>
      </c>
      <c r="L53" s="193">
        <v>3.25</v>
      </c>
      <c r="M53" s="193">
        <v>1.67</v>
      </c>
      <c r="N53" s="193">
        <v>6.1</v>
      </c>
      <c r="O53" s="193">
        <v>31.52</v>
      </c>
      <c r="P53" s="193">
        <v>6.7</v>
      </c>
      <c r="Q53" s="193">
        <v>6.15</v>
      </c>
      <c r="R53" s="193">
        <v>8.25</v>
      </c>
      <c r="S53" s="193">
        <v>7</v>
      </c>
      <c r="T53" s="225">
        <v>45359</v>
      </c>
      <c r="U53" s="225"/>
      <c r="V53" s="56">
        <f>IFERROR(J53/K53,"N/A")</f>
        <v>12.284768211920527</v>
      </c>
      <c r="W53" s="247">
        <f>IFERROR(J53/O53,"N/A")</f>
        <v>2.3540609137055832</v>
      </c>
      <c r="X53" s="248">
        <f t="shared" si="5"/>
        <v>5.298223350253807E-2</v>
      </c>
      <c r="Y53" s="247">
        <f t="shared" si="6"/>
        <v>0.51384615384615384</v>
      </c>
      <c r="Z53" s="247">
        <f t="shared" si="7"/>
        <v>0.99016393442622952</v>
      </c>
      <c r="AA53" s="248">
        <f>IFERROR(M53/J53,"N/A")</f>
        <v>2.2506738544474394E-2</v>
      </c>
      <c r="AB53" s="247">
        <f t="shared" si="13"/>
        <v>1.089430894308943</v>
      </c>
      <c r="AC53" s="247">
        <f t="shared" si="10"/>
        <v>1.1785714285714286</v>
      </c>
      <c r="AD53" s="52"/>
      <c r="AF53" s="33">
        <f t="shared" si="2"/>
        <v>215.57999999999998</v>
      </c>
    </row>
    <row r="54" spans="1:32" hidden="1" x14ac:dyDescent="0.25">
      <c r="A54">
        <f t="shared" si="0"/>
        <v>1</v>
      </c>
      <c r="B54" t="str">
        <f t="shared" si="1"/>
        <v>E</v>
      </c>
      <c r="C54" t="s">
        <v>342</v>
      </c>
      <c r="D54" s="31" t="s">
        <v>27</v>
      </c>
      <c r="E54" s="31" t="s">
        <v>67</v>
      </c>
      <c r="F54" s="31"/>
      <c r="G54" s="194">
        <v>15.3</v>
      </c>
      <c r="H54" s="195">
        <v>40.4</v>
      </c>
      <c r="I54" s="195">
        <v>31.3</v>
      </c>
      <c r="J54" s="196">
        <f t="shared" si="12"/>
        <v>35.85</v>
      </c>
      <c r="K54" s="193">
        <v>4.55</v>
      </c>
      <c r="L54" s="193">
        <v>2.0699999999999998</v>
      </c>
      <c r="M54" s="193">
        <v>1.66</v>
      </c>
      <c r="N54" s="193">
        <v>4.75</v>
      </c>
      <c r="O54" s="193">
        <v>22.25</v>
      </c>
      <c r="P54" s="193">
        <v>4.75</v>
      </c>
      <c r="Q54" s="193">
        <v>4.75</v>
      </c>
      <c r="R54" s="193">
        <v>5.9</v>
      </c>
      <c r="S54" s="193">
        <v>4.75</v>
      </c>
      <c r="T54" s="225">
        <v>45359</v>
      </c>
      <c r="U54" s="225"/>
      <c r="V54" s="196">
        <f>IFERROR(J54/K54,"N/A")</f>
        <v>7.8791208791208796</v>
      </c>
      <c r="W54" s="197">
        <f>IFERROR(J54/O54,"N/A")</f>
        <v>1.6112359550561799</v>
      </c>
      <c r="X54" s="198">
        <f t="shared" si="5"/>
        <v>7.4606741573033708E-2</v>
      </c>
      <c r="Y54" s="197">
        <f t="shared" si="6"/>
        <v>0.80193236714975846</v>
      </c>
      <c r="Z54" s="197">
        <f t="shared" si="7"/>
        <v>0.95789473684210524</v>
      </c>
      <c r="AA54" s="198">
        <f>IFERROR(M54/J54,"N/A")</f>
        <v>4.630404463040446E-2</v>
      </c>
      <c r="AB54" s="197">
        <f t="shared" si="13"/>
        <v>1</v>
      </c>
      <c r="AC54" s="197">
        <f t="shared" si="10"/>
        <v>1.2421052631578948</v>
      </c>
      <c r="AD54" s="52"/>
      <c r="AF54" s="33">
        <f t="shared" si="2"/>
        <v>122.27999999999999</v>
      </c>
    </row>
    <row r="55" spans="1:32" hidden="1" x14ac:dyDescent="0.25">
      <c r="A55">
        <f t="shared" si="0"/>
        <v>1</v>
      </c>
      <c r="B55" t="str">
        <f t="shared" si="1"/>
        <v>E</v>
      </c>
      <c r="C55" t="s">
        <v>342</v>
      </c>
      <c r="D55" s="31" t="s">
        <v>28</v>
      </c>
      <c r="E55" s="31" t="s">
        <v>68</v>
      </c>
      <c r="F55" s="31"/>
      <c r="G55" s="194">
        <v>16.399999999999999</v>
      </c>
      <c r="H55" s="195">
        <v>92.7</v>
      </c>
      <c r="I55" s="195">
        <v>57.3</v>
      </c>
      <c r="J55" s="196">
        <f t="shared" si="12"/>
        <v>75</v>
      </c>
      <c r="K55" s="195">
        <v>9.35</v>
      </c>
      <c r="L55" s="195">
        <v>7</v>
      </c>
      <c r="M55" s="193">
        <v>1.75</v>
      </c>
      <c r="N55" s="193">
        <v>4.72</v>
      </c>
      <c r="O55" s="193">
        <v>29.42</v>
      </c>
      <c r="P55" s="193">
        <v>7.4</v>
      </c>
      <c r="Q55" s="193">
        <v>6</v>
      </c>
      <c r="R55" s="193">
        <v>7.2</v>
      </c>
      <c r="S55" s="193">
        <v>6.25</v>
      </c>
      <c r="T55" s="225">
        <v>45359</v>
      </c>
      <c r="U55" s="225"/>
      <c r="V55" s="196">
        <f>IFERROR(J55/K55,"N/A")</f>
        <v>8.0213903743315509</v>
      </c>
      <c r="W55" s="197">
        <f>IFERROR(J55/O55,"N/A")</f>
        <v>2.5492861998640377</v>
      </c>
      <c r="X55" s="198">
        <f t="shared" si="5"/>
        <v>5.9483344663494218E-2</v>
      </c>
      <c r="Y55" s="197">
        <f t="shared" si="6"/>
        <v>0.25</v>
      </c>
      <c r="Z55" s="197">
        <f t="shared" si="7"/>
        <v>1.9809322033898304</v>
      </c>
      <c r="AA55" s="198">
        <f>IFERROR(M55/J55,"N/A")</f>
        <v>2.3333333333333334E-2</v>
      </c>
      <c r="AB55" s="197">
        <f t="shared" si="13"/>
        <v>1.2333333333333334</v>
      </c>
      <c r="AC55" s="197">
        <f t="shared" si="10"/>
        <v>1.1520000000000001</v>
      </c>
      <c r="AD55" s="52"/>
      <c r="AF55" s="33">
        <f t="shared" si="2"/>
        <v>218.64</v>
      </c>
    </row>
    <row r="56" spans="1:32" hidden="1" x14ac:dyDescent="0.25">
      <c r="A56">
        <f t="shared" si="0"/>
        <v>1</v>
      </c>
      <c r="B56" t="str">
        <f t="shared" si="1"/>
        <v>E</v>
      </c>
      <c r="C56" t="s">
        <v>342</v>
      </c>
      <c r="D56" s="31" t="s">
        <v>44</v>
      </c>
      <c r="E56" s="31" t="s">
        <v>217</v>
      </c>
      <c r="F56" s="31"/>
      <c r="G56" s="194">
        <v>15.2</v>
      </c>
      <c r="H56" s="195">
        <v>99.3</v>
      </c>
      <c r="I56" s="195">
        <v>75.5</v>
      </c>
      <c r="J56" s="196">
        <f t="shared" si="12"/>
        <v>87.4</v>
      </c>
      <c r="K56" s="193">
        <v>8.64</v>
      </c>
      <c r="L56" s="193">
        <v>4.63</v>
      </c>
      <c r="M56" s="193">
        <v>3.12</v>
      </c>
      <c r="N56" s="193">
        <v>9.14</v>
      </c>
      <c r="O56" s="193">
        <v>37.25</v>
      </c>
      <c r="P56" s="193">
        <v>9.35</v>
      </c>
      <c r="Q56" s="193">
        <v>9.3000000000000007</v>
      </c>
      <c r="R56" s="193">
        <v>11.85</v>
      </c>
      <c r="S56" s="193">
        <v>9.25</v>
      </c>
      <c r="T56" s="225">
        <v>45359</v>
      </c>
      <c r="U56" s="225"/>
      <c r="V56" s="196">
        <f t="shared" si="3"/>
        <v>10.11574074074074</v>
      </c>
      <c r="W56" s="197">
        <f t="shared" si="4"/>
        <v>2.3463087248322148</v>
      </c>
      <c r="X56" s="198">
        <f t="shared" si="5"/>
        <v>8.3758389261744975E-2</v>
      </c>
      <c r="Y56" s="197">
        <f t="shared" si="6"/>
        <v>0.67386609071274306</v>
      </c>
      <c r="Z56" s="197">
        <f t="shared" si="7"/>
        <v>0.94529540481400443</v>
      </c>
      <c r="AA56" s="198">
        <f t="shared" si="8"/>
        <v>3.5697940503432495E-2</v>
      </c>
      <c r="AB56" s="197">
        <f t="shared" si="13"/>
        <v>1.0053763440860215</v>
      </c>
      <c r="AC56" s="197">
        <f t="shared" si="10"/>
        <v>1.2810810810810811</v>
      </c>
      <c r="AD56" s="52"/>
      <c r="AF56" s="33">
        <f t="shared" si="2"/>
        <v>252.77999999999997</v>
      </c>
    </row>
    <row r="57" spans="1:32" hidden="1" x14ac:dyDescent="0.25">
      <c r="A57">
        <f t="shared" si="0"/>
        <v>1</v>
      </c>
      <c r="B57" t="str">
        <f t="shared" si="1"/>
        <v>E</v>
      </c>
      <c r="C57" t="s">
        <v>269</v>
      </c>
      <c r="D57" s="31" t="s">
        <v>4</v>
      </c>
      <c r="E57" s="31" t="s">
        <v>86</v>
      </c>
      <c r="F57" s="31"/>
      <c r="G57" s="195">
        <v>14.6</v>
      </c>
      <c r="H57" s="193">
        <v>45.3</v>
      </c>
      <c r="I57" s="193">
        <v>30.5</v>
      </c>
      <c r="J57" s="196">
        <f t="shared" si="12"/>
        <v>37.9</v>
      </c>
      <c r="K57" s="193">
        <v>5.63</v>
      </c>
      <c r="L57" s="193">
        <v>2.2400000000000002</v>
      </c>
      <c r="M57" s="193">
        <v>1.84</v>
      </c>
      <c r="N57" s="193">
        <v>6.39</v>
      </c>
      <c r="O57" s="193">
        <v>31.83</v>
      </c>
      <c r="P57" s="193">
        <v>5.85</v>
      </c>
      <c r="Q57" s="193">
        <v>6.95</v>
      </c>
      <c r="R57" s="193">
        <v>6.5</v>
      </c>
      <c r="S57" s="193">
        <v>7.5</v>
      </c>
      <c r="T57" s="225">
        <v>45401</v>
      </c>
      <c r="U57" s="225"/>
      <c r="V57" s="196">
        <f t="shared" si="3"/>
        <v>6.731793960923623</v>
      </c>
      <c r="W57" s="197">
        <f t="shared" si="4"/>
        <v>1.1907005969211435</v>
      </c>
      <c r="X57" s="198">
        <f t="shared" si="5"/>
        <v>5.780710021991832E-2</v>
      </c>
      <c r="Y57" s="197">
        <f t="shared" si="6"/>
        <v>0.8214285714285714</v>
      </c>
      <c r="Z57" s="197">
        <f t="shared" si="7"/>
        <v>0.88106416275430366</v>
      </c>
      <c r="AA57" s="198">
        <f t="shared" si="8"/>
        <v>4.8548812664907653E-2</v>
      </c>
      <c r="AB57" s="197">
        <f t="shared" si="13"/>
        <v>0.84172661870503585</v>
      </c>
      <c r="AC57" s="197">
        <f t="shared" si="10"/>
        <v>0.8666666666666667</v>
      </c>
      <c r="AD57" s="52"/>
      <c r="AF57" s="33">
        <f t="shared" si="2"/>
        <v>138.32999999999998</v>
      </c>
    </row>
    <row r="58" spans="1:32" hidden="1" x14ac:dyDescent="0.25">
      <c r="A58">
        <f t="shared" si="0"/>
        <v>1</v>
      </c>
      <c r="B58" t="str">
        <f t="shared" si="1"/>
        <v>E</v>
      </c>
      <c r="C58" t="s">
        <v>269</v>
      </c>
      <c r="D58" s="31" t="s">
        <v>5</v>
      </c>
      <c r="E58" s="31" t="s">
        <v>46</v>
      </c>
      <c r="F58" s="31"/>
      <c r="G58" s="195">
        <v>14.2</v>
      </c>
      <c r="H58" s="193">
        <v>74</v>
      </c>
      <c r="I58" s="193">
        <v>46.4</v>
      </c>
      <c r="J58" s="196">
        <f t="shared" si="12"/>
        <v>60.2</v>
      </c>
      <c r="K58" s="193">
        <v>7.76</v>
      </c>
      <c r="L58" s="193">
        <v>3.91</v>
      </c>
      <c r="M58" s="193">
        <v>2.5</v>
      </c>
      <c r="N58" s="193">
        <v>8.15</v>
      </c>
      <c r="O58" s="193">
        <v>47.15</v>
      </c>
      <c r="P58" s="193">
        <v>7.95</v>
      </c>
      <c r="Q58" s="193">
        <v>11.7</v>
      </c>
      <c r="R58" s="193">
        <v>9.65</v>
      </c>
      <c r="S58" s="193">
        <v>11.25</v>
      </c>
      <c r="T58" s="225">
        <v>45401</v>
      </c>
      <c r="U58" s="225"/>
      <c r="V58" s="196">
        <f>IFERROR(J58/K58,"N/A")</f>
        <v>7.7577319587628875</v>
      </c>
      <c r="W58" s="197">
        <f>IFERROR(J58/O58,"N/A")</f>
        <v>1.2767762460233298</v>
      </c>
      <c r="X58" s="198">
        <f>IFERROR(M58/O58,"N/A")</f>
        <v>5.3022269353128315E-2</v>
      </c>
      <c r="Y58" s="197">
        <f>IFERROR(M58/L58,"N/A")</f>
        <v>0.63938618925831203</v>
      </c>
      <c r="Z58" s="197">
        <f>IFERROR(K58/N58,"N/A")</f>
        <v>0.95214723926380362</v>
      </c>
      <c r="AA58" s="198">
        <f>IFERROR(M58/J58,"N/A")</f>
        <v>4.1528239202657809E-2</v>
      </c>
      <c r="AB58" s="197">
        <f>IFERROR(P58/Q58,"N/A")</f>
        <v>0.67948717948717952</v>
      </c>
      <c r="AC58" s="197">
        <f>IFERROR(R58/S58,"N/A")</f>
        <v>0.85777777777777786</v>
      </c>
      <c r="AD58" s="52"/>
      <c r="AF58" s="33">
        <f t="shared" si="2"/>
        <v>204.07</v>
      </c>
    </row>
    <row r="59" spans="1:32" hidden="1" x14ac:dyDescent="0.25">
      <c r="A59">
        <f t="shared" si="0"/>
        <v>1</v>
      </c>
      <c r="B59" t="str">
        <f t="shared" si="1"/>
        <v>E</v>
      </c>
      <c r="C59" t="s">
        <v>269</v>
      </c>
      <c r="D59" s="31" t="s">
        <v>14</v>
      </c>
      <c r="E59" s="31" t="s">
        <v>53</v>
      </c>
      <c r="F59" s="31"/>
      <c r="G59" s="195">
        <v>14.3</v>
      </c>
      <c r="H59" s="193">
        <v>74.900000000000006</v>
      </c>
      <c r="I59" s="193">
        <v>58.8</v>
      </c>
      <c r="J59" s="196">
        <f t="shared" si="12"/>
        <v>66.849999999999994</v>
      </c>
      <c r="K59" s="193">
        <v>11.8</v>
      </c>
      <c r="L59" s="193">
        <v>4.76</v>
      </c>
      <c r="M59" s="193">
        <v>2.99</v>
      </c>
      <c r="N59" s="193">
        <v>14.19</v>
      </c>
      <c r="O59" s="193">
        <v>36.020000000000003</v>
      </c>
      <c r="P59" s="193">
        <v>12.85</v>
      </c>
      <c r="Q59" s="193">
        <v>15.75</v>
      </c>
      <c r="R59" s="193">
        <v>15</v>
      </c>
      <c r="S59" s="193">
        <v>17</v>
      </c>
      <c r="T59" s="225">
        <v>45401</v>
      </c>
      <c r="U59" s="225"/>
      <c r="V59" s="196">
        <f>IFERROR(J59/K59,"N/A")</f>
        <v>5.6652542372881349</v>
      </c>
      <c r="W59" s="197">
        <f>IFERROR(J59/O59,"N/A")</f>
        <v>1.855913381454747</v>
      </c>
      <c r="X59" s="198">
        <f t="shared" si="5"/>
        <v>8.3009439200444193E-2</v>
      </c>
      <c r="Y59" s="197">
        <f t="shared" si="6"/>
        <v>0.62815126050420178</v>
      </c>
      <c r="Z59" s="197">
        <f t="shared" si="7"/>
        <v>0.8315715292459479</v>
      </c>
      <c r="AA59" s="198">
        <f>IFERROR(M59/J59,"N/A")</f>
        <v>4.4727000747943162E-2</v>
      </c>
      <c r="AB59" s="197">
        <f t="shared" si="13"/>
        <v>0.81587301587301586</v>
      </c>
      <c r="AC59" s="197">
        <f t="shared" si="10"/>
        <v>0.88235294117647056</v>
      </c>
      <c r="AD59" s="52"/>
      <c r="AF59" s="33">
        <f t="shared" si="2"/>
        <v>217.76000000000002</v>
      </c>
    </row>
    <row r="60" spans="1:32" hidden="1" x14ac:dyDescent="0.25">
      <c r="A60">
        <v>0</v>
      </c>
      <c r="B60" t="str">
        <f t="shared" si="1"/>
        <v>E</v>
      </c>
      <c r="C60" t="s">
        <v>269</v>
      </c>
      <c r="D60" s="31" t="s">
        <v>15</v>
      </c>
      <c r="E60" s="31" t="s">
        <v>88</v>
      </c>
      <c r="F60" s="31"/>
      <c r="G60" s="226" t="s">
        <v>106</v>
      </c>
      <c r="H60" s="227" t="s">
        <v>106</v>
      </c>
      <c r="I60" s="227" t="s">
        <v>106</v>
      </c>
      <c r="J60" s="56" t="s">
        <v>106</v>
      </c>
      <c r="K60" s="227" t="s">
        <v>106</v>
      </c>
      <c r="L60" s="227" t="s">
        <v>106</v>
      </c>
      <c r="M60" s="227" t="s">
        <v>106</v>
      </c>
      <c r="N60" s="227" t="s">
        <v>106</v>
      </c>
      <c r="O60" s="227" t="s">
        <v>106</v>
      </c>
      <c r="P60" s="227" t="s">
        <v>106</v>
      </c>
      <c r="Q60" s="227" t="s">
        <v>106</v>
      </c>
      <c r="R60" s="227" t="s">
        <v>106</v>
      </c>
      <c r="S60" s="227" t="s">
        <v>106</v>
      </c>
      <c r="T60" s="246" t="s">
        <v>106</v>
      </c>
      <c r="U60" s="246"/>
      <c r="V60" s="56" t="str">
        <f>IFERROR(J60/K60,"N/A")</f>
        <v>N/A</v>
      </c>
      <c r="W60" s="247" t="str">
        <f>IFERROR(J60/O60,"N/A")</f>
        <v>N/A</v>
      </c>
      <c r="X60" s="248" t="str">
        <f>IFERROR(M60/O60,"N/A")</f>
        <v>N/A</v>
      </c>
      <c r="Y60" s="247" t="str">
        <f>IFERROR(M60/L60,"N/A")</f>
        <v>N/A</v>
      </c>
      <c r="Z60" s="247" t="str">
        <f>IFERROR(K60/N60,"N/A")</f>
        <v>N/A</v>
      </c>
      <c r="AA60" s="248" t="str">
        <f>IFERROR(M60/J60,"N/A")</f>
        <v>N/A</v>
      </c>
      <c r="AB60" s="247" t="str">
        <f>IFERROR(P60/Q60,"N/A")</f>
        <v>N/A</v>
      </c>
      <c r="AC60" s="247" t="str">
        <f>IFERROR(R60/S60,"N/A")</f>
        <v>N/A</v>
      </c>
      <c r="AD60" s="52"/>
      <c r="AF60" s="33">
        <f t="shared" si="2"/>
        <v>0</v>
      </c>
    </row>
    <row r="61" spans="1:32" hidden="1" x14ac:dyDescent="0.25">
      <c r="A61">
        <f t="shared" si="0"/>
        <v>1</v>
      </c>
      <c r="B61" t="str">
        <f t="shared" si="1"/>
        <v>E</v>
      </c>
      <c r="C61" t="s">
        <v>269</v>
      </c>
      <c r="D61" s="31" t="s">
        <v>21</v>
      </c>
      <c r="E61" s="31" t="s">
        <v>58</v>
      </c>
      <c r="F61" s="31"/>
      <c r="G61" s="195">
        <v>6</v>
      </c>
      <c r="H61" s="193">
        <v>43.7</v>
      </c>
      <c r="I61" s="193">
        <v>9.1</v>
      </c>
      <c r="J61" s="196">
        <f t="shared" si="12"/>
        <v>26.400000000000002</v>
      </c>
      <c r="K61" s="193">
        <v>4.63</v>
      </c>
      <c r="L61" s="193">
        <v>1.81</v>
      </c>
      <c r="M61" s="193">
        <v>1.08</v>
      </c>
      <c r="N61" s="193">
        <v>4.07</v>
      </c>
      <c r="O61" s="193">
        <v>21.29</v>
      </c>
      <c r="P61" s="193">
        <v>4.8</v>
      </c>
      <c r="Q61" s="193">
        <v>4</v>
      </c>
      <c r="R61" s="193">
        <v>4.3499999999999996</v>
      </c>
      <c r="S61" s="193">
        <v>4</v>
      </c>
      <c r="T61" s="225">
        <v>45401</v>
      </c>
      <c r="U61" s="225"/>
      <c r="V61" s="196">
        <f t="shared" si="3"/>
        <v>5.7019438444924413</v>
      </c>
      <c r="W61" s="197">
        <f t="shared" si="4"/>
        <v>1.2400187881634572</v>
      </c>
      <c r="X61" s="198">
        <f t="shared" si="5"/>
        <v>5.0728041333959611E-2</v>
      </c>
      <c r="Y61" s="197">
        <f t="shared" si="6"/>
        <v>0.59668508287292821</v>
      </c>
      <c r="Z61" s="197">
        <f t="shared" si="7"/>
        <v>1.1375921375921374</v>
      </c>
      <c r="AA61" s="198">
        <f t="shared" si="8"/>
        <v>4.0909090909090909E-2</v>
      </c>
      <c r="AB61" s="197">
        <f t="shared" si="13"/>
        <v>1.2</v>
      </c>
      <c r="AC61" s="197">
        <f t="shared" si="10"/>
        <v>1.0874999999999999</v>
      </c>
      <c r="AD61" s="52"/>
      <c r="AF61" s="33">
        <f t="shared" si="2"/>
        <v>91.68</v>
      </c>
    </row>
    <row r="62" spans="1:32" hidden="1" x14ac:dyDescent="0.25">
      <c r="A62">
        <f t="shared" si="0"/>
        <v>1</v>
      </c>
      <c r="B62" t="str">
        <f t="shared" si="1"/>
        <v>E</v>
      </c>
      <c r="C62" t="s">
        <v>269</v>
      </c>
      <c r="D62" s="31" t="s">
        <v>22</v>
      </c>
      <c r="E62" s="31" t="s">
        <v>59</v>
      </c>
      <c r="F62" s="31"/>
      <c r="G62" s="195">
        <v>18.100000000000001</v>
      </c>
      <c r="H62" s="193">
        <v>113</v>
      </c>
      <c r="I62" s="193">
        <v>88.1</v>
      </c>
      <c r="J62" s="196">
        <f t="shared" si="12"/>
        <v>100.55</v>
      </c>
      <c r="K62" s="193">
        <v>9.11</v>
      </c>
      <c r="L62" s="193">
        <v>5.14</v>
      </c>
      <c r="M62" s="193">
        <v>3.2</v>
      </c>
      <c r="N62" s="193">
        <v>12.07</v>
      </c>
      <c r="O62" s="193">
        <v>57.44</v>
      </c>
      <c r="P62" s="193">
        <v>9.5</v>
      </c>
      <c r="Q62" s="193">
        <v>17</v>
      </c>
      <c r="R62" s="193">
        <v>11.4</v>
      </c>
      <c r="S62" s="193">
        <v>12</v>
      </c>
      <c r="T62" s="225">
        <v>45401</v>
      </c>
      <c r="U62" s="225"/>
      <c r="V62" s="196">
        <f t="shared" si="3"/>
        <v>11.037321624588365</v>
      </c>
      <c r="W62" s="197">
        <f t="shared" si="4"/>
        <v>1.7505222841225627</v>
      </c>
      <c r="X62" s="198">
        <f t="shared" si="5"/>
        <v>5.5710306406685242E-2</v>
      </c>
      <c r="Y62" s="197">
        <f t="shared" si="6"/>
        <v>0.62256809338521413</v>
      </c>
      <c r="Z62" s="197">
        <f t="shared" si="7"/>
        <v>0.75476387738193862</v>
      </c>
      <c r="AA62" s="198">
        <f t="shared" si="8"/>
        <v>3.1824962705121834E-2</v>
      </c>
      <c r="AB62" s="197">
        <f t="shared" si="13"/>
        <v>0.55882352941176472</v>
      </c>
      <c r="AC62" s="197">
        <f t="shared" si="10"/>
        <v>0.95000000000000007</v>
      </c>
      <c r="AD62" s="52"/>
      <c r="AF62" s="33">
        <f t="shared" si="2"/>
        <v>306.15999999999997</v>
      </c>
    </row>
    <row r="63" spans="1:32" hidden="1" x14ac:dyDescent="0.25">
      <c r="A63">
        <f t="shared" si="0"/>
        <v>1</v>
      </c>
      <c r="B63" t="str">
        <f t="shared" si="1"/>
        <v>E</v>
      </c>
      <c r="C63" t="s">
        <v>269</v>
      </c>
      <c r="D63" s="31" t="s">
        <v>144</v>
      </c>
      <c r="E63" s="31" t="s">
        <v>94</v>
      </c>
      <c r="F63" s="31"/>
      <c r="G63" s="195">
        <v>13.7</v>
      </c>
      <c r="H63" s="193">
        <v>61.2</v>
      </c>
      <c r="I63" s="193">
        <v>46</v>
      </c>
      <c r="J63" s="196">
        <f t="shared" si="12"/>
        <v>53.6</v>
      </c>
      <c r="K63" s="193">
        <v>6.69</v>
      </c>
      <c r="L63" s="193">
        <v>3.22</v>
      </c>
      <c r="M63" s="193">
        <v>2.56</v>
      </c>
      <c r="N63" s="193">
        <v>9.26</v>
      </c>
      <c r="O63" s="193">
        <v>45.48</v>
      </c>
      <c r="P63" s="193">
        <v>7.1</v>
      </c>
      <c r="Q63" s="193">
        <v>8.15</v>
      </c>
      <c r="R63" s="193">
        <v>8.5500000000000007</v>
      </c>
      <c r="S63" s="193">
        <v>8.25</v>
      </c>
      <c r="T63" s="225">
        <v>45401</v>
      </c>
      <c r="U63" s="225"/>
      <c r="V63" s="196">
        <f t="shared" si="3"/>
        <v>8.0119581464872951</v>
      </c>
      <c r="W63" s="197">
        <f t="shared" si="4"/>
        <v>1.1785400175901497</v>
      </c>
      <c r="X63" s="198">
        <f t="shared" si="5"/>
        <v>5.6288478452066845E-2</v>
      </c>
      <c r="Y63" s="197">
        <f t="shared" si="6"/>
        <v>0.79503105590062106</v>
      </c>
      <c r="Z63" s="197">
        <f t="shared" si="7"/>
        <v>0.72246220302375819</v>
      </c>
      <c r="AA63" s="198">
        <f t="shared" si="8"/>
        <v>4.7761194029850747E-2</v>
      </c>
      <c r="AB63" s="197">
        <f t="shared" si="13"/>
        <v>0.87116564417177911</v>
      </c>
      <c r="AC63" s="197">
        <f t="shared" si="10"/>
        <v>1.0363636363636364</v>
      </c>
      <c r="AD63" s="52"/>
      <c r="AF63" s="33">
        <f t="shared" si="2"/>
        <v>188.10999999999999</v>
      </c>
    </row>
    <row r="64" spans="1:32" hidden="1" x14ac:dyDescent="0.25">
      <c r="A64">
        <f t="shared" si="0"/>
        <v>1</v>
      </c>
      <c r="B64" t="str">
        <f t="shared" si="1"/>
        <v>E</v>
      </c>
      <c r="C64" t="s">
        <v>269</v>
      </c>
      <c r="D64" s="31" t="s">
        <v>31</v>
      </c>
      <c r="E64" s="31" t="s">
        <v>72</v>
      </c>
      <c r="F64" s="31"/>
      <c r="G64" s="195">
        <v>15.8</v>
      </c>
      <c r="H64" s="193">
        <v>86</v>
      </c>
      <c r="I64" s="193">
        <v>68.599999999999994</v>
      </c>
      <c r="J64" s="196">
        <f t="shared" si="12"/>
        <v>77.3</v>
      </c>
      <c r="K64" s="193">
        <v>11.95</v>
      </c>
      <c r="L64" s="193">
        <v>4.41</v>
      </c>
      <c r="M64" s="193">
        <v>3.49</v>
      </c>
      <c r="N64" s="193">
        <v>16.28</v>
      </c>
      <c r="O64" s="193">
        <v>54.47</v>
      </c>
      <c r="P64" s="193">
        <v>12.5</v>
      </c>
      <c r="Q64" s="193">
        <v>16.8</v>
      </c>
      <c r="R64" s="193">
        <v>15.35</v>
      </c>
      <c r="S64" s="193">
        <v>17.2</v>
      </c>
      <c r="T64" s="225">
        <v>45401</v>
      </c>
      <c r="U64" s="225"/>
      <c r="V64" s="196">
        <f t="shared" si="3"/>
        <v>6.468619246861925</v>
      </c>
      <c r="W64" s="197">
        <f t="shared" si="4"/>
        <v>1.4191297962181018</v>
      </c>
      <c r="X64" s="198">
        <f t="shared" si="5"/>
        <v>6.407196621993759E-2</v>
      </c>
      <c r="Y64" s="197">
        <f t="shared" si="6"/>
        <v>0.79138321995464855</v>
      </c>
      <c r="Z64" s="197">
        <f t="shared" si="7"/>
        <v>0.73402948402948398</v>
      </c>
      <c r="AA64" s="198">
        <f t="shared" si="8"/>
        <v>4.5148771021992246E-2</v>
      </c>
      <c r="AB64" s="197">
        <f t="shared" si="13"/>
        <v>0.74404761904761907</v>
      </c>
      <c r="AC64" s="197">
        <f t="shared" si="10"/>
        <v>0.89244186046511631</v>
      </c>
      <c r="AD64" s="52"/>
      <c r="AF64" s="33">
        <f t="shared" si="2"/>
        <v>261</v>
      </c>
    </row>
    <row r="65" spans="1:32" hidden="1" x14ac:dyDescent="0.25">
      <c r="A65">
        <f t="shared" si="0"/>
        <v>1</v>
      </c>
      <c r="B65" t="str">
        <f t="shared" si="1"/>
        <v>E</v>
      </c>
      <c r="C65" t="s">
        <v>269</v>
      </c>
      <c r="D65" s="31" t="s">
        <v>32</v>
      </c>
      <c r="E65" s="31" t="s">
        <v>74</v>
      </c>
      <c r="F65" s="31"/>
      <c r="G65" s="195">
        <v>14.2</v>
      </c>
      <c r="H65" s="193">
        <v>49.6</v>
      </c>
      <c r="I65" s="193">
        <v>41.4</v>
      </c>
      <c r="J65" s="196">
        <f t="shared" si="12"/>
        <v>45.5</v>
      </c>
      <c r="K65" s="193">
        <v>6.62</v>
      </c>
      <c r="L65" s="193">
        <v>2.82</v>
      </c>
      <c r="M65" s="193">
        <v>1.49</v>
      </c>
      <c r="N65" s="193">
        <v>11.93</v>
      </c>
      <c r="O65" s="193">
        <v>26.04</v>
      </c>
      <c r="P65" s="193">
        <v>6.8</v>
      </c>
      <c r="Q65" s="193">
        <v>12.9</v>
      </c>
      <c r="R65" s="193">
        <v>8.6999999999999993</v>
      </c>
      <c r="S65" s="193">
        <v>13.5</v>
      </c>
      <c r="T65" s="225">
        <v>45401</v>
      </c>
      <c r="U65" s="225"/>
      <c r="V65" s="196">
        <f t="shared" si="3"/>
        <v>6.8731117824773413</v>
      </c>
      <c r="W65" s="197">
        <f t="shared" si="4"/>
        <v>1.7473118279569892</v>
      </c>
      <c r="X65" s="198">
        <f t="shared" si="5"/>
        <v>5.7219662058371736E-2</v>
      </c>
      <c r="Y65" s="197">
        <f t="shared" si="6"/>
        <v>0.52836879432624118</v>
      </c>
      <c r="Z65" s="197">
        <f t="shared" si="7"/>
        <v>0.55490360435875941</v>
      </c>
      <c r="AA65" s="198">
        <f t="shared" si="8"/>
        <v>3.274725274725275E-2</v>
      </c>
      <c r="AB65" s="197">
        <f t="shared" si="13"/>
        <v>0.52713178294573637</v>
      </c>
      <c r="AC65" s="197">
        <f t="shared" si="10"/>
        <v>0.64444444444444438</v>
      </c>
      <c r="AD65" s="52"/>
      <c r="AF65" s="33">
        <f t="shared" si="2"/>
        <v>154.09999999999997</v>
      </c>
    </row>
    <row r="66" spans="1:32" hidden="1" x14ac:dyDescent="0.25">
      <c r="A66">
        <f t="shared" si="0"/>
        <v>1</v>
      </c>
      <c r="B66" t="str">
        <f t="shared" si="1"/>
        <v>E</v>
      </c>
      <c r="C66" t="s">
        <v>269</v>
      </c>
      <c r="D66" s="31" t="s">
        <v>33</v>
      </c>
      <c r="E66" s="31" t="s">
        <v>92</v>
      </c>
      <c r="F66" s="31"/>
      <c r="G66" s="195">
        <v>14.3</v>
      </c>
      <c r="H66" s="193">
        <v>51.6</v>
      </c>
      <c r="I66" s="193">
        <v>38</v>
      </c>
      <c r="J66" s="196">
        <f t="shared" si="12"/>
        <v>44.8</v>
      </c>
      <c r="K66" s="193">
        <v>6.83</v>
      </c>
      <c r="L66" s="193">
        <v>2.38</v>
      </c>
      <c r="M66" s="193">
        <v>1.88</v>
      </c>
      <c r="N66" s="193">
        <v>13.42</v>
      </c>
      <c r="O66" s="193">
        <v>32.81</v>
      </c>
      <c r="P66" s="193">
        <v>8</v>
      </c>
      <c r="Q66" s="193">
        <v>12.9</v>
      </c>
      <c r="R66" s="193">
        <v>10.199999999999999</v>
      </c>
      <c r="S66" s="193">
        <v>11</v>
      </c>
      <c r="T66" s="225">
        <v>45401</v>
      </c>
      <c r="U66" s="225"/>
      <c r="V66" s="196">
        <f>IFERROR(J66/K66,"N/A")</f>
        <v>6.559297218155197</v>
      </c>
      <c r="W66" s="197">
        <f>IFERROR(J66/O66,"N/A")</f>
        <v>1.3654373666565069</v>
      </c>
      <c r="X66" s="198">
        <f>IFERROR(M66/O66,"N/A")</f>
        <v>5.7299603779335559E-2</v>
      </c>
      <c r="Y66" s="197">
        <f>IFERROR(M66/L66,"N/A")</f>
        <v>0.78991596638655459</v>
      </c>
      <c r="Z66" s="197">
        <f>IFERROR(K66/N66,"N/A")</f>
        <v>0.50894187779433686</v>
      </c>
      <c r="AA66" s="198">
        <f>IFERROR(M66/J66,"N/A")</f>
        <v>4.1964285714285718E-2</v>
      </c>
      <c r="AB66" s="197">
        <f>IFERROR(P66/Q66,"N/A")</f>
        <v>0.62015503875968991</v>
      </c>
      <c r="AC66" s="197">
        <f>IFERROR(R66/S66,"N/A")</f>
        <v>0.92727272727272725</v>
      </c>
      <c r="AD66" s="52"/>
      <c r="AF66" s="33">
        <f t="shared" si="2"/>
        <v>161.22</v>
      </c>
    </row>
    <row r="67" spans="1:32" hidden="1" x14ac:dyDescent="0.25">
      <c r="A67">
        <f t="shared" si="0"/>
        <v>1</v>
      </c>
      <c r="B67" t="str">
        <f t="shared" si="1"/>
        <v>E</v>
      </c>
      <c r="C67" t="s">
        <v>269</v>
      </c>
      <c r="D67" s="31" t="s">
        <v>37</v>
      </c>
      <c r="E67" s="31" t="s">
        <v>54</v>
      </c>
      <c r="F67" s="31"/>
      <c r="G67" s="194">
        <v>15</v>
      </c>
      <c r="H67" s="193">
        <v>81.8</v>
      </c>
      <c r="I67" s="193">
        <v>63.8</v>
      </c>
      <c r="J67" s="196">
        <f t="shared" si="12"/>
        <v>72.8</v>
      </c>
      <c r="K67" s="193">
        <v>8.15</v>
      </c>
      <c r="L67" s="193">
        <v>4.6100000000000003</v>
      </c>
      <c r="M67" s="193">
        <v>2.38</v>
      </c>
      <c r="N67" s="193">
        <v>13.3</v>
      </c>
      <c r="O67" s="193">
        <v>44</v>
      </c>
      <c r="P67" s="193">
        <v>8.35</v>
      </c>
      <c r="Q67" s="193">
        <v>13.25</v>
      </c>
      <c r="R67" s="193">
        <v>10.75</v>
      </c>
      <c r="S67" s="193">
        <v>15.75</v>
      </c>
      <c r="T67" s="225">
        <v>45401</v>
      </c>
      <c r="U67" s="225"/>
      <c r="V67" s="196">
        <f t="shared" si="3"/>
        <v>8.9325153374233128</v>
      </c>
      <c r="W67" s="197">
        <f t="shared" si="4"/>
        <v>1.6545454545454545</v>
      </c>
      <c r="X67" s="198">
        <f t="shared" si="5"/>
        <v>5.4090909090909085E-2</v>
      </c>
      <c r="Y67" s="197">
        <f t="shared" si="6"/>
        <v>0.51626898047722336</v>
      </c>
      <c r="Z67" s="197">
        <f t="shared" si="7"/>
        <v>0.61278195488721809</v>
      </c>
      <c r="AA67" s="198">
        <f t="shared" si="8"/>
        <v>3.2692307692307694E-2</v>
      </c>
      <c r="AB67" s="197">
        <f t="shared" si="13"/>
        <v>0.63018867924528299</v>
      </c>
      <c r="AC67" s="197">
        <f t="shared" si="10"/>
        <v>0.68253968253968256</v>
      </c>
      <c r="AD67" s="52"/>
      <c r="AF67" s="33">
        <f t="shared" si="2"/>
        <v>233.04000000000002</v>
      </c>
    </row>
    <row r="68" spans="1:32" hidden="1" x14ac:dyDescent="0.25">
      <c r="A68">
        <f t="shared" si="0"/>
        <v>1</v>
      </c>
      <c r="B68" t="str">
        <f t="shared" si="1"/>
        <v>E</v>
      </c>
      <c r="C68" t="s">
        <v>269</v>
      </c>
      <c r="D68" s="31" t="s">
        <v>45</v>
      </c>
      <c r="E68" s="31" t="s">
        <v>65</v>
      </c>
      <c r="F68" s="31"/>
      <c r="G68" s="195">
        <v>15.3</v>
      </c>
      <c r="H68" s="193">
        <v>73</v>
      </c>
      <c r="I68" s="193">
        <v>53.7</v>
      </c>
      <c r="J68" s="196">
        <f t="shared" si="12"/>
        <v>63.35</v>
      </c>
      <c r="K68" s="193">
        <v>7.96</v>
      </c>
      <c r="L68" s="193">
        <v>3.35</v>
      </c>
      <c r="M68" s="193">
        <v>2.08</v>
      </c>
      <c r="N68" s="193">
        <v>10.55</v>
      </c>
      <c r="O68" s="193">
        <v>31.74</v>
      </c>
      <c r="P68" s="193">
        <v>8.6</v>
      </c>
      <c r="Q68" s="193">
        <v>13.25</v>
      </c>
      <c r="R68" s="193">
        <v>11.25</v>
      </c>
      <c r="S68" s="193">
        <v>11.65</v>
      </c>
      <c r="T68" s="225">
        <v>45401</v>
      </c>
      <c r="U68" s="225"/>
      <c r="V68" s="196">
        <f>IFERROR(J68/K68,"N/A")</f>
        <v>7.958542713567839</v>
      </c>
      <c r="W68" s="197">
        <f>IFERROR(J68/O68,"N/A")</f>
        <v>1.9959042218021426</v>
      </c>
      <c r="X68" s="198">
        <f>IFERROR(M68/O68,"N/A")</f>
        <v>6.5532451165721498E-2</v>
      </c>
      <c r="Y68" s="197">
        <f>IFERROR(M68/L68,"N/A")</f>
        <v>0.62089552238805967</v>
      </c>
      <c r="Z68" s="197">
        <f>IFERROR(K68/N68,"N/A")</f>
        <v>0.75450236966824635</v>
      </c>
      <c r="AA68" s="198">
        <f>IFERROR(M68/J68,"N/A")</f>
        <v>3.2833464877663775E-2</v>
      </c>
      <c r="AB68" s="197">
        <f>IFERROR(P68/Q68,"N/A")</f>
        <v>0.64905660377358487</v>
      </c>
      <c r="AC68" s="197">
        <f>IFERROR(R68/S68,"N/A")</f>
        <v>0.96566523605150212</v>
      </c>
      <c r="AD68" s="52"/>
      <c r="AF68" s="33">
        <f t="shared" si="2"/>
        <v>197.68000000000004</v>
      </c>
    </row>
    <row r="69" spans="1:32" hidden="1" x14ac:dyDescent="0.25">
      <c r="A69">
        <f t="shared" si="0"/>
        <v>1</v>
      </c>
      <c r="B69" t="str">
        <f t="shared" si="1"/>
        <v>E</v>
      </c>
      <c r="C69" t="s">
        <v>269</v>
      </c>
      <c r="D69" s="31" t="s">
        <v>30</v>
      </c>
      <c r="E69" s="31" t="s">
        <v>71</v>
      </c>
      <c r="F69" s="31"/>
      <c r="G69" s="195">
        <v>12.3</v>
      </c>
      <c r="H69" s="193">
        <v>18.3</v>
      </c>
      <c r="I69" s="193">
        <v>14.7</v>
      </c>
      <c r="J69" s="196">
        <f t="shared" si="12"/>
        <v>16.5</v>
      </c>
      <c r="K69" s="193">
        <v>2.98</v>
      </c>
      <c r="L69" s="193">
        <v>1.23</v>
      </c>
      <c r="M69" s="193">
        <v>0.01</v>
      </c>
      <c r="N69" s="193">
        <v>4.55</v>
      </c>
      <c r="O69" s="193">
        <v>11.74</v>
      </c>
      <c r="P69" s="193">
        <v>3.3</v>
      </c>
      <c r="Q69" s="193">
        <v>5</v>
      </c>
      <c r="R69" s="193">
        <v>4.4000000000000004</v>
      </c>
      <c r="S69" s="193">
        <v>5.8</v>
      </c>
      <c r="T69" s="225">
        <v>45401</v>
      </c>
      <c r="U69" s="246"/>
      <c r="V69" s="196">
        <f>IFERROR(J69/K69,"N/A")</f>
        <v>5.5369127516778525</v>
      </c>
      <c r="W69" s="197">
        <f>IFERROR(J69/O69,"N/A")</f>
        <v>1.4054514480408857</v>
      </c>
      <c r="X69" s="198">
        <f>IFERROR(M69/O69,"N/A")</f>
        <v>8.5178875638841568E-4</v>
      </c>
      <c r="Y69" s="197">
        <f>IFERROR(M69/L69,"N/A")</f>
        <v>8.130081300813009E-3</v>
      </c>
      <c r="Z69" s="197">
        <f>IFERROR(K69/N69,"N/A")</f>
        <v>0.65494505494505495</v>
      </c>
      <c r="AA69" s="198">
        <f>IFERROR(M69/J69,"N/A")</f>
        <v>6.0606060606060606E-4</v>
      </c>
      <c r="AB69" s="197">
        <f>IFERROR(P69/Q69,"N/A")</f>
        <v>0.65999999999999992</v>
      </c>
      <c r="AC69" s="197">
        <f>IFERROR(R69/S69,"N/A")</f>
        <v>0.75862068965517249</v>
      </c>
      <c r="AD69" s="52"/>
      <c r="AF69" s="33">
        <f t="shared" si="2"/>
        <v>65.809999999999988</v>
      </c>
    </row>
    <row r="70" spans="1:32" x14ac:dyDescent="0.25">
      <c r="A70">
        <f t="shared" si="0"/>
        <v>1</v>
      </c>
      <c r="B70" t="str">
        <f t="shared" si="1"/>
        <v>E</v>
      </c>
      <c r="C70" t="s">
        <v>268</v>
      </c>
      <c r="D70" s="31" t="s">
        <v>36</v>
      </c>
      <c r="E70" s="31" t="s">
        <v>76</v>
      </c>
      <c r="F70" s="31"/>
      <c r="G70" s="226" t="s">
        <v>106</v>
      </c>
      <c r="H70" s="227" t="s">
        <v>106</v>
      </c>
      <c r="I70" s="227" t="s">
        <v>106</v>
      </c>
      <c r="J70" s="56" t="s">
        <v>106</v>
      </c>
      <c r="K70" s="227" t="s">
        <v>106</v>
      </c>
      <c r="L70" s="227" t="s">
        <v>106</v>
      </c>
      <c r="M70" s="227" t="s">
        <v>106</v>
      </c>
      <c r="N70" s="227" t="s">
        <v>106</v>
      </c>
      <c r="O70" s="227" t="s">
        <v>106</v>
      </c>
      <c r="P70" s="227" t="s">
        <v>106</v>
      </c>
      <c r="Q70" s="227" t="s">
        <v>106</v>
      </c>
      <c r="R70" s="227" t="s">
        <v>106</v>
      </c>
      <c r="S70" s="227" t="s">
        <v>106</v>
      </c>
      <c r="T70" s="246" t="s">
        <v>106</v>
      </c>
      <c r="U70" s="246"/>
      <c r="V70" s="56" t="str">
        <f>IFERROR(J70/K70,"N/A")</f>
        <v>N/A</v>
      </c>
      <c r="W70" s="247" t="str">
        <f>IFERROR(J70/O70,"N/A")</f>
        <v>N/A</v>
      </c>
      <c r="X70" s="248" t="s">
        <v>106</v>
      </c>
      <c r="Y70" s="247" t="s">
        <v>106</v>
      </c>
      <c r="Z70" s="247" t="s">
        <v>106</v>
      </c>
      <c r="AA70" s="248" t="s">
        <v>106</v>
      </c>
      <c r="AB70" s="247" t="s">
        <v>106</v>
      </c>
      <c r="AC70" s="247" t="s">
        <v>106</v>
      </c>
      <c r="AD70" s="52"/>
      <c r="AF70" s="33">
        <f t="shared" si="2"/>
        <v>0</v>
      </c>
    </row>
    <row r="71" spans="1:32" hidden="1" x14ac:dyDescent="0.25">
      <c r="A71" t="str">
        <f t="shared" si="0"/>
        <v/>
      </c>
      <c r="B71" t="str">
        <f t="shared" si="1"/>
        <v>W</v>
      </c>
      <c r="C71" t="s">
        <v>270</v>
      </c>
      <c r="D71" s="31"/>
      <c r="E71" s="31"/>
      <c r="F71" s="31"/>
      <c r="G71" s="195"/>
      <c r="H71" s="195"/>
      <c r="I71" s="195"/>
      <c r="J71" s="196"/>
      <c r="K71" s="193"/>
      <c r="L71" s="193"/>
      <c r="M71" s="193"/>
      <c r="N71" s="193"/>
      <c r="O71" s="193"/>
      <c r="P71" s="193"/>
      <c r="Q71" s="193"/>
      <c r="R71" s="193"/>
      <c r="S71" s="193"/>
      <c r="T71" s="225"/>
      <c r="U71" s="225"/>
      <c r="V71" s="196"/>
      <c r="W71" s="197"/>
      <c r="X71" s="197"/>
      <c r="Y71" s="197"/>
      <c r="Z71" s="197"/>
      <c r="AA71" s="198"/>
      <c r="AB71" s="197"/>
      <c r="AC71" s="197"/>
      <c r="AD71" s="52"/>
      <c r="AF71" s="33">
        <f t="shared" si="2"/>
        <v>0</v>
      </c>
    </row>
    <row r="72" spans="1:32" hidden="1" x14ac:dyDescent="0.25">
      <c r="A72" t="str">
        <f t="shared" si="0"/>
        <v/>
      </c>
      <c r="B72" t="str">
        <f t="shared" si="1"/>
        <v/>
      </c>
      <c r="D72" s="31"/>
      <c r="E72" s="31"/>
      <c r="F72" s="31"/>
      <c r="G72" s="199"/>
      <c r="H72" s="199"/>
      <c r="I72" s="199"/>
      <c r="J72" s="196"/>
      <c r="K72" s="196"/>
      <c r="L72" s="196"/>
      <c r="M72" s="196"/>
      <c r="N72" s="196"/>
      <c r="O72" s="196"/>
      <c r="P72" s="193"/>
      <c r="Q72" s="193"/>
      <c r="R72" s="193"/>
      <c r="S72" s="193"/>
      <c r="T72" s="225"/>
      <c r="U72" s="225"/>
      <c r="V72" s="196" t="str">
        <f t="shared" si="3"/>
        <v/>
      </c>
      <c r="W72" s="197" t="str">
        <f t="shared" si="4"/>
        <v/>
      </c>
      <c r="X72" s="197" t="str">
        <f t="shared" si="5"/>
        <v/>
      </c>
      <c r="Y72" s="197" t="str">
        <f t="shared" si="6"/>
        <v/>
      </c>
      <c r="Z72" s="197" t="str">
        <f t="shared" si="7"/>
        <v/>
      </c>
      <c r="AA72" s="198" t="str">
        <f t="shared" si="8"/>
        <v/>
      </c>
      <c r="AB72" s="197" t="str">
        <f t="shared" si="13"/>
        <v/>
      </c>
      <c r="AC72" s="197" t="str">
        <f t="shared" si="10"/>
        <v/>
      </c>
      <c r="AD72" s="52"/>
      <c r="AF72" s="33">
        <f t="shared" si="2"/>
        <v>0</v>
      </c>
    </row>
    <row r="73" spans="1:32" hidden="1" x14ac:dyDescent="0.25">
      <c r="A73" t="str">
        <f t="shared" si="0"/>
        <v/>
      </c>
      <c r="B73" t="str">
        <f t="shared" si="1"/>
        <v/>
      </c>
      <c r="D73" s="31"/>
      <c r="E73" s="31"/>
      <c r="F73" s="31"/>
      <c r="G73" s="199"/>
      <c r="H73" s="199"/>
      <c r="I73" s="199"/>
      <c r="J73" s="196"/>
      <c r="K73" s="196"/>
      <c r="L73" s="196"/>
      <c r="M73" s="196"/>
      <c r="N73" s="196"/>
      <c r="O73" s="196"/>
      <c r="P73" s="193"/>
      <c r="Q73" s="193"/>
      <c r="R73" s="193"/>
      <c r="S73" s="193"/>
      <c r="T73" s="225"/>
      <c r="U73" s="225"/>
      <c r="V73" s="196" t="str">
        <f t="shared" si="3"/>
        <v/>
      </c>
      <c r="W73" s="197" t="str">
        <f t="shared" si="4"/>
        <v/>
      </c>
      <c r="X73" s="197" t="str">
        <f t="shared" si="5"/>
        <v/>
      </c>
      <c r="Y73" s="197" t="str">
        <f t="shared" si="6"/>
        <v/>
      </c>
      <c r="Z73" s="197" t="str">
        <f t="shared" si="7"/>
        <v/>
      </c>
      <c r="AA73" s="198" t="str">
        <f t="shared" si="8"/>
        <v/>
      </c>
      <c r="AB73" s="197" t="str">
        <f t="shared" si="13"/>
        <v/>
      </c>
      <c r="AC73" s="197" t="str">
        <f t="shared" si="10"/>
        <v/>
      </c>
      <c r="AD73" s="52"/>
      <c r="AF73" s="33">
        <f t="shared" si="2"/>
        <v>0</v>
      </c>
    </row>
    <row r="74" spans="1:32" hidden="1" x14ac:dyDescent="0.25">
      <c r="D74" s="31"/>
      <c r="E74" s="31"/>
      <c r="F74" s="31"/>
      <c r="G74" s="199"/>
      <c r="H74" s="199"/>
      <c r="I74" s="199"/>
      <c r="J74" s="196"/>
      <c r="K74" s="196"/>
      <c r="L74" s="196"/>
      <c r="M74" s="196"/>
      <c r="N74" s="196"/>
      <c r="O74" s="196"/>
      <c r="P74" s="193"/>
      <c r="Q74" s="193"/>
      <c r="R74" s="193"/>
      <c r="S74" s="193"/>
      <c r="T74" s="225"/>
      <c r="U74" s="225"/>
      <c r="V74" s="196" t="str">
        <f t="shared" si="3"/>
        <v/>
      </c>
      <c r="W74" s="197" t="str">
        <f>IFERROR(J74/O74,"")</f>
        <v/>
      </c>
      <c r="X74" s="31"/>
      <c r="Y74" s="229"/>
      <c r="Z74" s="31"/>
      <c r="AA74" s="31"/>
      <c r="AB74" s="197" t="str">
        <f t="shared" si="13"/>
        <v/>
      </c>
      <c r="AC74" s="197" t="str">
        <f t="shared" si="10"/>
        <v/>
      </c>
      <c r="AD74" s="52"/>
      <c r="AF74" s="33"/>
    </row>
    <row r="75" spans="1:32" x14ac:dyDescent="0.25">
      <c r="D75" s="31"/>
      <c r="E75" s="31"/>
      <c r="F75" s="31"/>
      <c r="G75" s="199"/>
      <c r="H75" s="199"/>
      <c r="I75" s="199"/>
      <c r="J75" s="31"/>
      <c r="K75" s="31"/>
      <c r="L75" s="31"/>
      <c r="M75" s="31"/>
      <c r="N75" s="31"/>
      <c r="O75" s="31"/>
      <c r="P75" s="31"/>
      <c r="Q75" s="31"/>
      <c r="R75" s="31"/>
      <c r="S75" s="31"/>
      <c r="V75" s="31"/>
      <c r="W75" s="31"/>
      <c r="X75" s="31"/>
      <c r="Y75" s="229"/>
      <c r="Z75" s="31"/>
      <c r="AA75" s="31"/>
      <c r="AB75" s="31"/>
      <c r="AC75" s="31"/>
    </row>
    <row r="76" spans="1:32" x14ac:dyDescent="0.25"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V76" s="31"/>
      <c r="W76" s="31"/>
      <c r="X76" s="31"/>
      <c r="Y76" s="31"/>
      <c r="Z76" s="31"/>
      <c r="AA76" s="31"/>
      <c r="AB76" s="31"/>
      <c r="AC76" s="31"/>
    </row>
    <row r="77" spans="1:32" x14ac:dyDescent="0.25">
      <c r="C77" t="s">
        <v>339</v>
      </c>
      <c r="D77" s="31">
        <f>COUNTIFS($AF$9:$AF$73,"&gt;0")</f>
        <v>52</v>
      </c>
      <c r="E77" s="31" t="s">
        <v>340</v>
      </c>
      <c r="F77" s="31"/>
      <c r="G77" s="230">
        <f>IFERROR(AVERAGEIFS(G$9:G$76,$AF$9:$AF$76,"&gt;0"),"N/A")</f>
        <v>16.051923076923075</v>
      </c>
      <c r="H77" s="230">
        <f>IFERROR(AVERAGEIFS(H$9:H$76,$AF$9:$AF$76,"&gt;0"),"N/A")</f>
        <v>73.548076923076934</v>
      </c>
      <c r="I77" s="230">
        <f>IFERROR(AVERAGEIFS(I$9:I$76,$AF$9:$AF$76,"&gt;0"),"N/A")</f>
        <v>52.932692307692314</v>
      </c>
      <c r="J77" s="196">
        <f>IFERROR(AVERAGE(H77:I77),"N/A")</f>
        <v>63.240384615384627</v>
      </c>
      <c r="K77" s="230">
        <f t="shared" ref="K77:S77" si="14">IFERROR(AVERAGEIFS(K$9:K$76,$AF$9:$AF$76,"&gt;0"),"N/A")</f>
        <v>7.3888461538461518</v>
      </c>
      <c r="L77" s="230">
        <f t="shared" si="14"/>
        <v>3.5649999999999995</v>
      </c>
      <c r="M77" s="230">
        <f t="shared" si="14"/>
        <v>2.1875000000000004</v>
      </c>
      <c r="N77" s="230">
        <f t="shared" si="14"/>
        <v>9.6444230769230774</v>
      </c>
      <c r="O77" s="230">
        <f t="shared" si="14"/>
        <v>36.594615384615388</v>
      </c>
      <c r="P77" s="230">
        <f t="shared" si="14"/>
        <v>7.6615384615384654</v>
      </c>
      <c r="Q77" s="230">
        <f t="shared" si="14"/>
        <v>10.058653846153845</v>
      </c>
      <c r="R77" s="230">
        <f t="shared" si="14"/>
        <v>9.2182692307692307</v>
      </c>
      <c r="S77" s="230">
        <f t="shared" si="14"/>
        <v>10.237499999999995</v>
      </c>
      <c r="T77" s="196"/>
      <c r="U77" s="196"/>
      <c r="V77" s="230">
        <f>IFERROR(AVERAGEIFS(V$9:V$76,$AF$9:$AF$76,"&gt;0"),"N/A")</f>
        <v>9.0850535714155463</v>
      </c>
      <c r="W77" s="230">
        <f>IFERROR(AVERAGEIFS(W$9:W$76,$AF$9:$AF$76,"&gt;0"),"N/A")</f>
        <v>1.8029861730210786</v>
      </c>
      <c r="X77" s="230">
        <f>IFERROR(AVERAGEIFS(X$9:X$76,$AF$9:$AF$76,"&gt;0"),"N/A")</f>
        <v>6.0523148138302389E-2</v>
      </c>
      <c r="Y77" s="230">
        <f>IFERROR(AVERAGEIFS(Y$9:Y$76,$AF$9:$AF$76,"&gt;0"),"N/A")</f>
        <v>0.64380210224241441</v>
      </c>
      <c r="Z77" s="230">
        <f>IFERROR(AVERAGEIFS(Z$9:Z$76,$AF$9:$AF$76,"&gt;0"),"N/A")</f>
        <v>0.80741879286044482</v>
      </c>
      <c r="AA77" s="230"/>
      <c r="AB77" s="230"/>
      <c r="AC77" s="230"/>
      <c r="AD77" s="80"/>
    </row>
    <row r="78" spans="1:32" x14ac:dyDescent="0.25">
      <c r="C78" t="s">
        <v>339</v>
      </c>
      <c r="D78">
        <f>COUNTIFS($AF$9:$AF$73,"&gt;0",$C$9:$C$73,E78)</f>
        <v>14</v>
      </c>
      <c r="E78" t="s">
        <v>342</v>
      </c>
      <c r="G78" s="80">
        <f t="shared" ref="G78:I80" si="15">IFERROR(AVERAGEIFS(G$9:G$73,$AF$9:$AF$73,"&gt;0",$C$9:$C$73,$E78),"N/A")</f>
        <v>15.428571428571427</v>
      </c>
      <c r="H78" s="80">
        <f t="shared" si="15"/>
        <v>77.578571428571422</v>
      </c>
      <c r="I78" s="80">
        <f t="shared" si="15"/>
        <v>57.999999999999993</v>
      </c>
      <c r="J78" s="2">
        <f t="shared" ref="J78:J84" si="16">IFERROR(AVERAGE(H78:I78),"N/A")</f>
        <v>67.789285714285711</v>
      </c>
      <c r="K78" s="80">
        <f t="shared" ref="K78:S80" si="17">IFERROR(AVERAGEIFS(K$9:K$73,$AF$9:$AF$73,"&gt;0",$C$9:$C$73,$E78),"N/A")</f>
        <v>8.9135714285714283</v>
      </c>
      <c r="L78" s="80">
        <f t="shared" si="17"/>
        <v>4.4700000000000006</v>
      </c>
      <c r="M78" s="80">
        <f t="shared" si="17"/>
        <v>2.4507142857142861</v>
      </c>
      <c r="N78" s="80">
        <f t="shared" si="17"/>
        <v>9.6092857142857131</v>
      </c>
      <c r="O78" s="80">
        <f t="shared" si="17"/>
        <v>37.769285714285715</v>
      </c>
      <c r="P78" s="80">
        <f t="shared" si="17"/>
        <v>8.8178571428571431</v>
      </c>
      <c r="Q78" s="80">
        <f t="shared" si="17"/>
        <v>9.7607142857142861</v>
      </c>
      <c r="R78" s="80">
        <f t="shared" si="17"/>
        <v>10.428571428571427</v>
      </c>
      <c r="S78" s="80">
        <f t="shared" si="17"/>
        <v>9.9392857142857149</v>
      </c>
      <c r="T78" s="196"/>
      <c r="U78" s="196"/>
      <c r="V78" s="80">
        <f t="shared" ref="V78:Z80" si="18">IFERROR(AVERAGEIFS(V$9:V$73,$AF$9:$AF$73,"&gt;0",$C$9:$C$73,$E78),"N/A")</f>
        <v>8.1212866997189987</v>
      </c>
      <c r="W78" s="80">
        <f t="shared" si="18"/>
        <v>1.8601091916230168</v>
      </c>
      <c r="X78" s="80">
        <f t="shared" si="18"/>
        <v>6.4788668768061386E-2</v>
      </c>
      <c r="Y78" s="80">
        <f t="shared" si="18"/>
        <v>0.59542030199159768</v>
      </c>
      <c r="Z78" s="80">
        <f t="shared" si="18"/>
        <v>0.99381456269635482</v>
      </c>
      <c r="AA78" s="80"/>
      <c r="AB78" s="80"/>
      <c r="AC78" s="80"/>
      <c r="AD78" s="80"/>
    </row>
    <row r="79" spans="1:32" x14ac:dyDescent="0.25">
      <c r="C79" t="s">
        <v>339</v>
      </c>
      <c r="D79">
        <f>COUNTIFS($AF$9:$AF$73,"&gt;0",$C$9:$C$73,E79)</f>
        <v>11</v>
      </c>
      <c r="E79" t="s">
        <v>268</v>
      </c>
      <c r="G79" s="80">
        <f t="shared" si="15"/>
        <v>16.827272727272728</v>
      </c>
      <c r="H79" s="80">
        <f t="shared" si="15"/>
        <v>68.181818181818187</v>
      </c>
      <c r="I79" s="80">
        <f t="shared" si="15"/>
        <v>48.22727272727272</v>
      </c>
      <c r="J79" s="2">
        <f t="shared" si="16"/>
        <v>58.204545454545453</v>
      </c>
      <c r="K79" s="80">
        <f t="shared" si="17"/>
        <v>6.9063636363636363</v>
      </c>
      <c r="L79" s="80">
        <f t="shared" si="17"/>
        <v>3.2590909090909084</v>
      </c>
      <c r="M79" s="80">
        <f t="shared" si="17"/>
        <v>2.3045454545454547</v>
      </c>
      <c r="N79" s="80">
        <f t="shared" si="17"/>
        <v>9.6309090909090909</v>
      </c>
      <c r="O79" s="80">
        <f t="shared" si="17"/>
        <v>35.718181818181812</v>
      </c>
      <c r="P79" s="80">
        <f t="shared" si="17"/>
        <v>7.504545454545454</v>
      </c>
      <c r="Q79" s="80">
        <f t="shared" si="17"/>
        <v>9.922727272727272</v>
      </c>
      <c r="R79" s="80">
        <f t="shared" si="17"/>
        <v>8.836363636363636</v>
      </c>
      <c r="S79" s="80">
        <f t="shared" si="17"/>
        <v>10.022727272727273</v>
      </c>
      <c r="T79" s="196"/>
      <c r="U79" s="196"/>
      <c r="V79" s="80">
        <f t="shared" si="18"/>
        <v>8.501707054368163</v>
      </c>
      <c r="W79" s="80">
        <f t="shared" si="18"/>
        <v>1.748947727305193</v>
      </c>
      <c r="X79" s="80">
        <f t="shared" si="18"/>
        <v>6.8147700755988444E-2</v>
      </c>
      <c r="Y79" s="80">
        <f t="shared" si="18"/>
        <v>0.72832842262245923</v>
      </c>
      <c r="Z79" s="80">
        <f t="shared" si="18"/>
        <v>0.75600694197234541</v>
      </c>
      <c r="AA79" s="80"/>
      <c r="AB79" s="80"/>
      <c r="AC79" s="80"/>
      <c r="AD79" s="80"/>
    </row>
    <row r="80" spans="1:32" x14ac:dyDescent="0.25">
      <c r="C80" t="s">
        <v>339</v>
      </c>
      <c r="D80">
        <f>COUNTIFS($AF$9:$AF$73,"&gt;0",$C$9:$C$73,E80)</f>
        <v>12</v>
      </c>
      <c r="E80" t="s">
        <v>269</v>
      </c>
      <c r="G80" s="80">
        <f t="shared" si="15"/>
        <v>13.983333333333334</v>
      </c>
      <c r="H80" s="80">
        <f t="shared" si="15"/>
        <v>64.36666666666666</v>
      </c>
      <c r="I80" s="80">
        <f t="shared" si="15"/>
        <v>46.591666666666669</v>
      </c>
      <c r="J80" s="2">
        <f t="shared" si="16"/>
        <v>55.479166666666664</v>
      </c>
      <c r="K80" s="80">
        <f t="shared" si="17"/>
        <v>7.5091666666666663</v>
      </c>
      <c r="L80" s="80">
        <f t="shared" si="17"/>
        <v>3.3233333333333328</v>
      </c>
      <c r="M80" s="80">
        <f t="shared" si="17"/>
        <v>2.1249999999999996</v>
      </c>
      <c r="N80" s="80">
        <f t="shared" si="17"/>
        <v>10.346666666666666</v>
      </c>
      <c r="O80" s="80">
        <f t="shared" si="17"/>
        <v>36.667499999999997</v>
      </c>
      <c r="P80" s="80">
        <f t="shared" si="17"/>
        <v>7.9666666666666659</v>
      </c>
      <c r="Q80" s="80">
        <f t="shared" si="17"/>
        <v>11.470833333333333</v>
      </c>
      <c r="R80" s="80">
        <f t="shared" si="17"/>
        <v>9.6750000000000007</v>
      </c>
      <c r="S80" s="80">
        <f t="shared" si="17"/>
        <v>11.241666666666667</v>
      </c>
      <c r="T80" s="196"/>
      <c r="U80" s="196"/>
      <c r="V80" s="80">
        <f t="shared" si="18"/>
        <v>7.2695835685588506</v>
      </c>
      <c r="W80" s="80">
        <f t="shared" si="18"/>
        <v>1.5066876191246228</v>
      </c>
      <c r="X80" s="80">
        <f t="shared" si="18"/>
        <v>5.4636001336405532E-2</v>
      </c>
      <c r="Y80" s="80">
        <f t="shared" si="18"/>
        <v>0.61318440151528242</v>
      </c>
      <c r="Z80" s="80">
        <f t="shared" si="18"/>
        <v>0.75830879124541573</v>
      </c>
      <c r="AA80" s="80"/>
      <c r="AB80" s="80"/>
      <c r="AC80" s="80"/>
      <c r="AD80" s="80"/>
    </row>
    <row r="81" spans="2:30" x14ac:dyDescent="0.25">
      <c r="C81" t="s">
        <v>339</v>
      </c>
      <c r="D81">
        <f>COUNTIFS($AF$9:$AF$73,"&gt;0",$B$9:$B$73,LEFT(E81,1))</f>
        <v>37</v>
      </c>
      <c r="E81" t="s">
        <v>344</v>
      </c>
      <c r="G81" s="80">
        <f t="shared" ref="G81:I82" si="19">IFERROR(AVERAGEIFS(G$9:G$73,$AF$9:$AF$73,"&gt;0",$B$9:$B$73,LEFT($E81,1)),"N/A")</f>
        <v>15.375675675675671</v>
      </c>
      <c r="H81" s="80">
        <f t="shared" si="19"/>
        <v>70.5</v>
      </c>
      <c r="I81" s="80">
        <f t="shared" si="19"/>
        <v>51.394594594594587</v>
      </c>
      <c r="J81" s="2">
        <f t="shared" si="16"/>
        <v>60.947297297297297</v>
      </c>
      <c r="K81" s="80">
        <f t="shared" ref="K81:S82" si="20">IFERROR(AVERAGEIFS(K$9:K$73,$AF$9:$AF$73,"&gt;0",$B$9:$B$73,LEFT($E81,1)),"N/A")</f>
        <v>7.8613513513513498</v>
      </c>
      <c r="L81" s="80">
        <f t="shared" si="20"/>
        <v>3.7381081081081065</v>
      </c>
      <c r="M81" s="80">
        <f t="shared" si="20"/>
        <v>2.3016216216216212</v>
      </c>
      <c r="N81" s="80">
        <f t="shared" si="20"/>
        <v>9.8548648648648669</v>
      </c>
      <c r="O81" s="80">
        <f t="shared" si="20"/>
        <v>36.802162162162162</v>
      </c>
      <c r="P81" s="80">
        <f t="shared" si="20"/>
        <v>8.1513513513513516</v>
      </c>
      <c r="Q81" s="80">
        <f t="shared" si="20"/>
        <v>10.363513513513512</v>
      </c>
      <c r="R81" s="80">
        <f t="shared" si="20"/>
        <v>9.7108108108108091</v>
      </c>
      <c r="S81" s="80">
        <f t="shared" si="20"/>
        <v>10.386486486486485</v>
      </c>
      <c r="V81" s="80">
        <f t="shared" ref="V81:Z82" si="21">IFERROR(AVERAGEIFS(V$9:V$73,$AF$9:$AF$73,"&gt;0",$B$9:$B$73,LEFT($E81,1)),"N/A")</f>
        <v>7.9581566004546502</v>
      </c>
      <c r="W81" s="80">
        <f t="shared" si="21"/>
        <v>1.7124379760155357</v>
      </c>
      <c r="X81" s="80">
        <f t="shared" si="21"/>
        <v>6.2494542894745903E-2</v>
      </c>
      <c r="Y81" s="80">
        <f t="shared" si="21"/>
        <v>0.64069485661926517</v>
      </c>
      <c r="Z81" s="80">
        <f t="shared" si="21"/>
        <v>0.84673474957810169</v>
      </c>
      <c r="AA81" s="80"/>
      <c r="AB81" s="80"/>
      <c r="AC81" s="80"/>
      <c r="AD81" s="80"/>
    </row>
    <row r="82" spans="2:30" x14ac:dyDescent="0.25">
      <c r="C82" t="s">
        <v>339</v>
      </c>
      <c r="D82">
        <f>COUNTIFS($AF$9:$AF$73,"&gt;0",$B$9:$B$73,LEFT(E82,1))</f>
        <v>9</v>
      </c>
      <c r="E82" t="s">
        <v>271</v>
      </c>
      <c r="G82" s="80">
        <f t="shared" si="19"/>
        <v>15.08888888888889</v>
      </c>
      <c r="H82" s="80">
        <f t="shared" si="19"/>
        <v>74.077777777777783</v>
      </c>
      <c r="I82" s="80">
        <f t="shared" si="19"/>
        <v>51.733333333333334</v>
      </c>
      <c r="J82" s="2">
        <f t="shared" si="16"/>
        <v>62.905555555555559</v>
      </c>
      <c r="K82" s="80">
        <f t="shared" si="20"/>
        <v>7.198888888888888</v>
      </c>
      <c r="L82" s="80">
        <f t="shared" si="20"/>
        <v>3.51</v>
      </c>
      <c r="M82" s="80">
        <f t="shared" si="20"/>
        <v>2.1266666666666665</v>
      </c>
      <c r="N82" s="80">
        <f t="shared" si="20"/>
        <v>10.383333333333333</v>
      </c>
      <c r="O82" s="80">
        <f t="shared" si="20"/>
        <v>40.154444444444444</v>
      </c>
      <c r="P82" s="80">
        <f t="shared" si="20"/>
        <v>7.5944444444444441</v>
      </c>
      <c r="Q82" s="80">
        <f t="shared" si="20"/>
        <v>10.488888888888887</v>
      </c>
      <c r="R82" s="80">
        <f t="shared" si="20"/>
        <v>9.4277777777777771</v>
      </c>
      <c r="S82" s="80">
        <f t="shared" si="20"/>
        <v>11.316666666666666</v>
      </c>
      <c r="V82" s="80">
        <f t="shared" si="21"/>
        <v>8.5834360912175605</v>
      </c>
      <c r="W82" s="80">
        <f t="shared" si="21"/>
        <v>1.5961747182414665</v>
      </c>
      <c r="X82" s="80">
        <f t="shared" si="21"/>
        <v>5.675416885166968E-2</v>
      </c>
      <c r="Y82" s="80">
        <f t="shared" si="21"/>
        <v>0.62737285793734143</v>
      </c>
      <c r="Z82" s="80">
        <f t="shared" si="21"/>
        <v>0.73601023221446704</v>
      </c>
      <c r="AA82" s="80"/>
      <c r="AB82" s="80"/>
      <c r="AC82" s="80"/>
      <c r="AD82" s="80"/>
    </row>
    <row r="83" spans="2:30" x14ac:dyDescent="0.25">
      <c r="C83" t="s">
        <v>339</v>
      </c>
      <c r="D83" s="79">
        <f>COUNTIFS($AF$9:$AF$73,"&gt;0",$A$9:$A$73,1)</f>
        <v>46</v>
      </c>
      <c r="E83" t="s">
        <v>341</v>
      </c>
      <c r="G83" s="80">
        <f>IFERROR(AVERAGEIFS(G$9:G$73,$AF$9:$AF$73,"&gt;0",$A$9:$A$73,1),"N/A")</f>
        <v>15.319565217391302</v>
      </c>
      <c r="H83" s="80">
        <f>IFERROR(AVERAGEIFS(H$9:H$73,$AF$9:$AF$73,"&gt;0",$A$9:$A$73,1),"N/A")</f>
        <v>71.2</v>
      </c>
      <c r="I83" s="80">
        <f>IFERROR(AVERAGEIFS(I$9:I$73,$AF$9:$AF$73,"&gt;0",$A$9:$A$73,1),"N/A")</f>
        <v>51.460869565217386</v>
      </c>
      <c r="J83" s="2">
        <f t="shared" si="16"/>
        <v>61.330434782608691</v>
      </c>
      <c r="K83" s="80">
        <f t="shared" ref="K83:S83" si="22">IFERROR(AVERAGEIFS(K$9:K$73,$AF$9:$AF$73,"&gt;0",$A$9:$A$73,1),"N/A")</f>
        <v>7.7317391304347804</v>
      </c>
      <c r="L83" s="80">
        <f t="shared" si="22"/>
        <v>3.693478260869564</v>
      </c>
      <c r="M83" s="80">
        <f t="shared" si="22"/>
        <v>2.2673913043478264</v>
      </c>
      <c r="N83" s="80">
        <f t="shared" si="22"/>
        <v>9.9582608695652173</v>
      </c>
      <c r="O83" s="80">
        <f t="shared" si="22"/>
        <v>37.458043478260869</v>
      </c>
      <c r="P83" s="80">
        <f t="shared" si="22"/>
        <v>8.042391304347829</v>
      </c>
      <c r="Q83" s="80">
        <f t="shared" si="22"/>
        <v>10.388043478260867</v>
      </c>
      <c r="R83" s="80">
        <f t="shared" si="22"/>
        <v>9.6554347826086957</v>
      </c>
      <c r="S83" s="80">
        <f t="shared" si="22"/>
        <v>10.568478260869565</v>
      </c>
      <c r="V83" s="80">
        <f>IFERROR(AVERAGEIFS(V$9:V$73,$AF$9:$AF$73,"&gt;0",$A$9:$A$73,1),"N/A")</f>
        <v>8.0804938921256522</v>
      </c>
      <c r="W83" s="120">
        <f>IFERROR(AVERAGEIFS(W$9:W$73,$AF$9:$AF$73,"&gt;0",$A$9:$A$73,1),"N/A")</f>
        <v>1.6896908168858267</v>
      </c>
      <c r="X83" s="80">
        <f>IFERROR(AVERAGEIFS(X$9:X$73,$AF$9:$AF$73,"&gt;0",$A$9:$A$73,1),"N/A")</f>
        <v>6.1371426234144044E-2</v>
      </c>
      <c r="Y83" s="80">
        <f>IFERROR(AVERAGEIFS(Y$9:Y$73,$AF$9:$AF$73,"&gt;0",$A$9:$A$73,1),"N/A")</f>
        <v>0.63808837861627987</v>
      </c>
      <c r="Z83" s="80">
        <f>IFERROR(AVERAGEIFS(Z$9:Z$73,$AF$9:$AF$73,"&gt;0",$A$9:$A$73,1),"N/A")</f>
        <v>0.82507125705043394</v>
      </c>
      <c r="AA83" s="80"/>
      <c r="AB83" s="80"/>
      <c r="AC83" s="80"/>
      <c r="AD83" s="80"/>
    </row>
    <row r="84" spans="2:30" x14ac:dyDescent="0.25">
      <c r="C84" t="s">
        <v>339</v>
      </c>
      <c r="D84">
        <f>COUNTIFS($AF$9:$AF$73,"&gt;0",$B$9:$B$73,LEFT(E84,1))</f>
        <v>6</v>
      </c>
      <c r="E84" t="s">
        <v>270</v>
      </c>
      <c r="G84" s="80">
        <f>IFERROR(AVERAGEIFS(G$9:G$73,$AF$9:$AF$73,"&gt;0",$B$9:$B$73,LEFT($E84,1)),"N/A")</f>
        <v>21.666666666666668</v>
      </c>
      <c r="H84" s="80">
        <f>IFERROR(AVERAGEIFS(H$9:H$73,$AF$9:$AF$73,"&gt;0",$B$9:$B$73,LEFT($E84,1)),"N/A")</f>
        <v>91.550000000000011</v>
      </c>
      <c r="I84" s="80">
        <f>IFERROR(AVERAGEIFS(I$9:I$73,$AF$9:$AF$73,"&gt;0",$B$9:$B$73,LEFT($E84,1)),"N/A")</f>
        <v>64.216666666666669</v>
      </c>
      <c r="J84" s="2">
        <f t="shared" si="16"/>
        <v>77.88333333333334</v>
      </c>
      <c r="K84" s="80">
        <f t="shared" ref="K84:S84" si="23">IFERROR(AVERAGEIFS(K$9:K$73,$AF$9:$AF$73,"&gt;0",$B$9:$B$73,LEFT($E84,1)),"N/A")</f>
        <v>4.7600000000000007</v>
      </c>
      <c r="L84" s="80">
        <f t="shared" si="23"/>
        <v>2.5799999999999996</v>
      </c>
      <c r="M84" s="80">
        <f t="shared" si="23"/>
        <v>1.575</v>
      </c>
      <c r="N84" s="80">
        <f t="shared" si="23"/>
        <v>7.2383333333333333</v>
      </c>
      <c r="O84" s="80">
        <f t="shared" si="23"/>
        <v>29.975000000000005</v>
      </c>
      <c r="P84" s="80">
        <f t="shared" si="23"/>
        <v>4.7416666666666671</v>
      </c>
      <c r="Q84" s="80">
        <f t="shared" si="23"/>
        <v>7.5333333333333341</v>
      </c>
      <c r="R84" s="80">
        <f t="shared" si="23"/>
        <v>5.8666666666666671</v>
      </c>
      <c r="S84" s="80">
        <f t="shared" si="23"/>
        <v>7.7</v>
      </c>
      <c r="V84" s="80">
        <f>IFERROR(AVERAGEIFS(V$9:V$73,$AF$9:$AF$73,"&gt;0",$B$9:$B$73,LEFT($E84,1)),"N/A")</f>
        <v>16.7866777793047</v>
      </c>
      <c r="W84" s="80">
        <f>IFERROR(AVERAGEIFS(W$9:W$73,$AF$9:$AF$73,"&gt;0",$B$9:$B$73,LEFT($E84,1)),"N/A")</f>
        <v>2.6715839033913404</v>
      </c>
      <c r="X84" s="80">
        <f>IFERROR(AVERAGEIFS(X$9:X$73,$AF$9:$AF$73,"&gt;0",$B$9:$B$73,LEFT($E84,1)),"N/A")</f>
        <v>5.4019682736849685E-2</v>
      </c>
      <c r="Y84" s="80">
        <f>IFERROR(AVERAGEIFS(Y$9:Y$73,$AF$9:$AF$73,"&gt;0",$B$9:$B$73,LEFT($E84,1)),"N/A")</f>
        <v>0.68760731670944464</v>
      </c>
      <c r="Z84" s="80">
        <f>IFERROR(AVERAGEIFS(Z$9:Z$73,$AF$9:$AF$73,"&gt;0",$B$9:$B$73,LEFT($E84,1)),"N/A")</f>
        <v>0.6720832340705285</v>
      </c>
      <c r="AA84" s="80"/>
      <c r="AB84" s="80"/>
      <c r="AC84" s="80"/>
      <c r="AD84" s="80"/>
    </row>
    <row r="88" spans="2:30" x14ac:dyDescent="0.25">
      <c r="B88" s="68" t="s">
        <v>108</v>
      </c>
      <c r="C88" t="s">
        <v>407</v>
      </c>
    </row>
  </sheetData>
  <autoFilter ref="A8:AM74">
    <filterColumn colId="2">
      <filters>
        <filter val="Electric Utility (East)"/>
      </filters>
    </filterColumn>
  </autoFilter>
  <mergeCells count="1">
    <mergeCell ref="H5:J5"/>
  </mergeCells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88"/>
  <sheetViews>
    <sheetView zoomScale="90" zoomScaleNormal="90" workbookViewId="0">
      <selection activeCell="Y43" sqref="Y43"/>
    </sheetView>
  </sheetViews>
  <sheetFormatPr defaultRowHeight="13.8" x14ac:dyDescent="0.25"/>
  <cols>
    <col min="1" max="2" width="3.09765625" customWidth="1"/>
    <col min="3" max="3" width="17.69921875" bestFit="1" customWidth="1"/>
    <col min="4" max="4" width="9.19921875" bestFit="1" customWidth="1"/>
    <col min="5" max="5" width="19.3984375" customWidth="1"/>
    <col min="6" max="6" width="9.69921875" customWidth="1"/>
    <col min="7" max="7" width="9.59765625" bestFit="1" customWidth="1"/>
    <col min="8" max="8" width="7.5" bestFit="1" customWidth="1"/>
    <col min="9" max="9" width="8.69921875" hidden="1" customWidth="1"/>
    <col min="10" max="10" width="7.59765625" customWidth="1"/>
    <col min="11" max="11" width="9.69921875" customWidth="1"/>
    <col min="12" max="12" width="10.09765625" customWidth="1"/>
    <col min="13" max="13" width="10.5" customWidth="1"/>
    <col min="14" max="18" width="8.5" customWidth="1"/>
    <col min="19" max="19" width="10.09765625" style="31" customWidth="1"/>
    <col min="20" max="22" width="8.3984375" bestFit="1" customWidth="1"/>
    <col min="23" max="23" width="9" bestFit="1" customWidth="1"/>
    <col min="24" max="28" width="9.19921875" customWidth="1"/>
  </cols>
  <sheetData>
    <row r="1" spans="1:37" x14ac:dyDescent="0.25">
      <c r="C1" t="s">
        <v>351</v>
      </c>
      <c r="D1" s="87" t="s">
        <v>556</v>
      </c>
      <c r="T1" s="2"/>
    </row>
    <row r="2" spans="1:37" x14ac:dyDescent="0.25">
      <c r="C2" t="s">
        <v>352</v>
      </c>
      <c r="D2" s="204" t="s">
        <v>557</v>
      </c>
    </row>
    <row r="3" spans="1:37" x14ac:dyDescent="0.25">
      <c r="C3" t="s">
        <v>353</v>
      </c>
      <c r="D3" s="205" t="s">
        <v>554</v>
      </c>
    </row>
    <row r="4" spans="1:37" x14ac:dyDescent="0.25">
      <c r="F4" s="49" t="s">
        <v>115</v>
      </c>
      <c r="G4" s="49"/>
      <c r="H4" s="49"/>
      <c r="I4" s="49"/>
    </row>
    <row r="5" spans="1:37" ht="69" x14ac:dyDescent="0.25">
      <c r="C5" s="47" t="s">
        <v>267</v>
      </c>
      <c r="F5" s="245">
        <v>2022</v>
      </c>
      <c r="G5" s="281" t="str">
        <f>F5&amp;" Stock Price"</f>
        <v>2022 Stock Price</v>
      </c>
      <c r="H5" s="281"/>
      <c r="I5" s="281"/>
      <c r="J5" s="47" t="str">
        <f>$F$5&amp;CHAR(10)&amp;"Cash Flow"&amp;CHAR(10)&amp;"/Share"</f>
        <v>2022
Cash Flow
/Share</v>
      </c>
      <c r="K5" s="47" t="str">
        <f>$F$5&amp;CHAR(10)&amp;"Earnings"&amp;CHAR(10)&amp;"/Share"</f>
        <v>2022
Earnings
/Share</v>
      </c>
      <c r="L5" s="47" t="str">
        <f>$F$5&amp;CHAR(10)&amp;"Div'd Decl'd"&amp;CHAR(10)&amp;"/Share"</f>
        <v>2022
Div'd Decl'd
/Share</v>
      </c>
      <c r="M5" s="47" t="str">
        <f>$F$5&amp;CHAR(10)&amp;"Cap'l Spending"&amp;CHAR(10)&amp;"/Share"</f>
        <v>2022
Cap'l Spending
/Share</v>
      </c>
      <c r="N5" s="47" t="str">
        <f>$F$5&amp;CHAR(10)&amp;"Book Value"&amp;CHAR(10)&amp;"/Share"</f>
        <v>2022
Book Value
/Share</v>
      </c>
      <c r="O5" s="47" t="str">
        <f>($F$5+1)&amp;CHAR(10)&amp;"Cash Flow"&amp;CHAR(10)&amp;"/Share"</f>
        <v>2023
Cash Flow
/Share</v>
      </c>
      <c r="P5" s="47" t="str">
        <f>($F$5+1)&amp;CHAR(10)&amp;"Cap'l Spending"&amp;CHAR(10)&amp;"/Share"</f>
        <v>2023
Cap'l Spending
/Share</v>
      </c>
      <c r="Q5" s="47" t="s">
        <v>441</v>
      </c>
      <c r="R5" s="47" t="s">
        <v>442</v>
      </c>
      <c r="S5" s="242" t="s">
        <v>323</v>
      </c>
      <c r="T5" s="245">
        <f>F5</f>
        <v>2022</v>
      </c>
      <c r="U5" s="245">
        <f>$F$5</f>
        <v>2022</v>
      </c>
      <c r="V5" s="245">
        <f>$F$5</f>
        <v>2022</v>
      </c>
      <c r="W5" s="245">
        <f>$F$5</f>
        <v>2022</v>
      </c>
      <c r="X5" s="245">
        <f>$F$5</f>
        <v>2022</v>
      </c>
      <c r="Y5" s="245">
        <f>$F$5</f>
        <v>2022</v>
      </c>
      <c r="Z5" s="245">
        <f>$F$5+1</f>
        <v>2023</v>
      </c>
      <c r="AA5" s="245"/>
      <c r="AB5" s="245"/>
    </row>
    <row r="6" spans="1:37" ht="28.2" thickBot="1" x14ac:dyDescent="0.3">
      <c r="F6" s="24" t="s">
        <v>113</v>
      </c>
      <c r="G6" s="24" t="s">
        <v>110</v>
      </c>
      <c r="H6" s="24" t="s">
        <v>111</v>
      </c>
      <c r="I6" s="24" t="s">
        <v>112</v>
      </c>
      <c r="J6" s="48"/>
      <c r="K6" s="48"/>
      <c r="L6" s="48"/>
      <c r="M6" s="48"/>
      <c r="N6" s="48"/>
      <c r="O6" s="48"/>
      <c r="P6" s="48"/>
      <c r="Q6" s="48"/>
      <c r="R6" s="48"/>
      <c r="S6" s="55"/>
      <c r="T6" s="24" t="s">
        <v>114</v>
      </c>
      <c r="U6" s="24" t="s">
        <v>245</v>
      </c>
      <c r="V6" s="24" t="s">
        <v>349</v>
      </c>
      <c r="W6" s="24" t="s">
        <v>324</v>
      </c>
      <c r="X6" s="83" t="s">
        <v>325</v>
      </c>
      <c r="Y6" s="24" t="s">
        <v>377</v>
      </c>
      <c r="Z6" s="83" t="s">
        <v>325</v>
      </c>
      <c r="AA6" s="83"/>
      <c r="AB6" s="83"/>
      <c r="AD6" s="24" t="s">
        <v>343</v>
      </c>
    </row>
    <row r="7" spans="1:37" ht="15" customHeight="1" x14ac:dyDescent="0.25">
      <c r="F7" s="39" t="s">
        <v>116</v>
      </c>
      <c r="G7" s="39" t="s">
        <v>116</v>
      </c>
      <c r="H7" s="39" t="s">
        <v>116</v>
      </c>
      <c r="J7" s="39" t="s">
        <v>116</v>
      </c>
      <c r="K7" s="39" t="s">
        <v>116</v>
      </c>
      <c r="L7" s="39" t="s">
        <v>116</v>
      </c>
      <c r="M7" s="39" t="s">
        <v>116</v>
      </c>
      <c r="N7" s="39" t="s">
        <v>116</v>
      </c>
      <c r="O7" s="39" t="s">
        <v>116</v>
      </c>
      <c r="P7" s="39" t="s">
        <v>116</v>
      </c>
      <c r="Q7" s="39"/>
      <c r="R7" s="39"/>
      <c r="S7" s="243" t="s">
        <v>116</v>
      </c>
      <c r="W7" s="39"/>
    </row>
    <row r="8" spans="1:37" x14ac:dyDescent="0.25">
      <c r="D8" s="53">
        <v>1</v>
      </c>
      <c r="E8" s="53">
        <v>2</v>
      </c>
      <c r="F8" s="53">
        <v>3</v>
      </c>
      <c r="G8" s="53">
        <v>4</v>
      </c>
      <c r="H8" s="53">
        <v>5</v>
      </c>
      <c r="I8" s="53">
        <v>6</v>
      </c>
      <c r="J8" s="53">
        <v>7</v>
      </c>
      <c r="K8" s="53">
        <v>8</v>
      </c>
      <c r="L8" s="53">
        <v>9</v>
      </c>
      <c r="M8" s="53">
        <v>10</v>
      </c>
      <c r="N8" s="53">
        <v>11</v>
      </c>
      <c r="O8" s="53">
        <v>12</v>
      </c>
      <c r="P8" s="53">
        <v>13</v>
      </c>
      <c r="Q8" s="53">
        <v>14</v>
      </c>
      <c r="R8" s="53">
        <v>15</v>
      </c>
      <c r="S8" s="244">
        <v>16</v>
      </c>
      <c r="T8" s="53">
        <v>17</v>
      </c>
      <c r="U8" s="53">
        <v>18</v>
      </c>
      <c r="V8" s="53">
        <v>19</v>
      </c>
      <c r="W8" s="53">
        <v>20</v>
      </c>
      <c r="X8" s="53">
        <v>21</v>
      </c>
      <c r="Y8" s="53">
        <v>22</v>
      </c>
      <c r="Z8" s="53">
        <v>23</v>
      </c>
      <c r="AA8" s="53"/>
      <c r="AB8" s="53"/>
    </row>
    <row r="9" spans="1:37" ht="14.25" customHeight="1" x14ac:dyDescent="0.25">
      <c r="A9">
        <f>IF(OR(B9="E",B9="N"),1,"")</f>
        <v>1</v>
      </c>
      <c r="B9" t="str">
        <f>LEFT(C9,1)</f>
        <v>N</v>
      </c>
      <c r="C9" t="s">
        <v>271</v>
      </c>
      <c r="D9" s="31" t="s">
        <v>206</v>
      </c>
      <c r="E9" s="31" t="str">
        <f ca="1">INDEX(OFFSET(CashFlow,0,-1,,1),MATCH(D9,OFFSET(CashFlow,0,0,,1),0))</f>
        <v>WGL Holdings Inc.</v>
      </c>
      <c r="F9" s="226" t="s">
        <v>106</v>
      </c>
      <c r="G9" s="226" t="s">
        <v>106</v>
      </c>
      <c r="H9" s="226" t="s">
        <v>106</v>
      </c>
      <c r="I9" s="56" t="s">
        <v>384</v>
      </c>
      <c r="J9" s="227" t="s">
        <v>106</v>
      </c>
      <c r="K9" s="227" t="s">
        <v>106</v>
      </c>
      <c r="L9" s="227" t="s">
        <v>106</v>
      </c>
      <c r="M9" s="227" t="s">
        <v>106</v>
      </c>
      <c r="N9" s="227" t="s">
        <v>106</v>
      </c>
      <c r="O9" s="227" t="s">
        <v>106</v>
      </c>
      <c r="P9" s="227" t="s">
        <v>106</v>
      </c>
      <c r="Q9" s="227" t="s">
        <v>106</v>
      </c>
      <c r="R9" s="227" t="s">
        <v>106</v>
      </c>
      <c r="S9" s="226" t="s">
        <v>106</v>
      </c>
      <c r="T9" s="56" t="str">
        <f>IFERROR(I9/J9,"N/A")</f>
        <v>N/A</v>
      </c>
      <c r="U9" s="247" t="str">
        <f>IFERROR(I9/N9,"N/A")</f>
        <v>N/A</v>
      </c>
      <c r="V9" s="248" t="str">
        <f>IFERROR(L9/N9,"N/A")</f>
        <v>N/A</v>
      </c>
      <c r="W9" s="247" t="str">
        <f>IFERROR(L9/K9,"N/A")</f>
        <v>N/A</v>
      </c>
      <c r="X9" s="247" t="str">
        <f>IFERROR(J9/M9,"N/A")</f>
        <v>N/A</v>
      </c>
      <c r="Y9" s="248" t="str">
        <f>IFERROR(L9/I9,"N/A")</f>
        <v>N/A</v>
      </c>
      <c r="Z9" s="247" t="str">
        <f>IFERROR(O9/P9,"N/A")</f>
        <v>N/A</v>
      </c>
      <c r="AA9" s="247" t="str">
        <f>IFERROR(Q9/R9,"N/A")</f>
        <v>N/A</v>
      </c>
      <c r="AB9" s="52"/>
      <c r="AD9" s="33">
        <f>ABS(SUM(F9:H9,J9:N9))</f>
        <v>0</v>
      </c>
    </row>
    <row r="10" spans="1:37" ht="14.25" customHeight="1" x14ac:dyDescent="0.25">
      <c r="A10">
        <f t="shared" ref="A10:A73" si="0">IF(OR(B10="E",B10="N"),1,"")</f>
        <v>1</v>
      </c>
      <c r="B10" t="str">
        <f t="shared" ref="B10:B73" si="1">LEFT(C10,1)</f>
        <v>E</v>
      </c>
      <c r="C10" t="s">
        <v>342</v>
      </c>
      <c r="D10" s="31" t="s">
        <v>20</v>
      </c>
      <c r="E10" s="31" t="str">
        <f>VLOOKUP(D10,'[6]MP-CF (WP)'!$B$4:$Y$81,2,FALSE)</f>
        <v xml:space="preserve">Great Plains Energy             </v>
      </c>
      <c r="F10" s="226" t="s">
        <v>106</v>
      </c>
      <c r="G10" s="226" t="s">
        <v>106</v>
      </c>
      <c r="H10" s="226" t="s">
        <v>106</v>
      </c>
      <c r="I10" s="56" t="s">
        <v>384</v>
      </c>
      <c r="J10" s="227" t="s">
        <v>106</v>
      </c>
      <c r="K10" s="227" t="s">
        <v>106</v>
      </c>
      <c r="L10" s="227" t="s">
        <v>106</v>
      </c>
      <c r="M10" s="227" t="s">
        <v>106</v>
      </c>
      <c r="N10" s="227" t="s">
        <v>106</v>
      </c>
      <c r="O10" s="227" t="s">
        <v>106</v>
      </c>
      <c r="P10" s="227" t="s">
        <v>106</v>
      </c>
      <c r="Q10" s="227" t="s">
        <v>106</v>
      </c>
      <c r="R10" s="227" t="s">
        <v>106</v>
      </c>
      <c r="S10" s="226" t="s">
        <v>106</v>
      </c>
      <c r="T10" s="56" t="str">
        <f>IFERROR(I10/J10,"N/A")</f>
        <v>N/A</v>
      </c>
      <c r="U10" s="247" t="str">
        <f>IFERROR(I10/N10,"N/A")</f>
        <v>N/A</v>
      </c>
      <c r="V10" s="248" t="str">
        <f>IFERROR(L10/N10,"N/A")</f>
        <v>N/A</v>
      </c>
      <c r="W10" s="247" t="str">
        <f>IFERROR(L10/K10,"N/A")</f>
        <v>N/A</v>
      </c>
      <c r="X10" s="247" t="str">
        <f>IFERROR(J10/M10,"N/A")</f>
        <v>N/A</v>
      </c>
      <c r="Y10" s="248" t="str">
        <f>IFERROR(L10/I10,"N/A")</f>
        <v>N/A</v>
      </c>
      <c r="Z10" s="247" t="str">
        <f>IFERROR(O10/P10,"N/A")</f>
        <v>N/A</v>
      </c>
      <c r="AA10" s="247" t="str">
        <f>IFERROR(Q10/R10,"N/A")</f>
        <v>N/A</v>
      </c>
      <c r="AB10" s="52"/>
      <c r="AD10" s="33">
        <f t="shared" ref="AD10:AD73" si="2">ABS(SUM(F10:H10,J10:N10))</f>
        <v>0</v>
      </c>
      <c r="AE10" s="2"/>
      <c r="AK10" s="26"/>
    </row>
    <row r="11" spans="1:37" ht="14.25" customHeight="1" x14ac:dyDescent="0.25">
      <c r="A11">
        <f t="shared" si="0"/>
        <v>1</v>
      </c>
      <c r="B11" t="str">
        <f t="shared" si="1"/>
        <v>E</v>
      </c>
      <c r="C11" t="s">
        <v>342</v>
      </c>
      <c r="D11" s="31" t="s">
        <v>43</v>
      </c>
      <c r="E11" s="31" t="str">
        <f>VLOOKUP(D11,'[6]MP-CF (WP)'!$B$4:$Y$81,2,FALSE)</f>
        <v xml:space="preserve">Westar Energy                 </v>
      </c>
      <c r="F11" s="226" t="s">
        <v>106</v>
      </c>
      <c r="G11" s="226" t="s">
        <v>106</v>
      </c>
      <c r="H11" s="226" t="s">
        <v>106</v>
      </c>
      <c r="I11" s="56" t="s">
        <v>384</v>
      </c>
      <c r="J11" s="227" t="s">
        <v>106</v>
      </c>
      <c r="K11" s="227" t="s">
        <v>106</v>
      </c>
      <c r="L11" s="227" t="s">
        <v>106</v>
      </c>
      <c r="M11" s="227" t="s">
        <v>106</v>
      </c>
      <c r="N11" s="227" t="s">
        <v>106</v>
      </c>
      <c r="O11" s="227" t="s">
        <v>106</v>
      </c>
      <c r="P11" s="227" t="s">
        <v>106</v>
      </c>
      <c r="Q11" s="227" t="s">
        <v>106</v>
      </c>
      <c r="R11" s="227" t="s">
        <v>106</v>
      </c>
      <c r="S11" s="226" t="s">
        <v>106</v>
      </c>
      <c r="T11" s="56" t="str">
        <f>IFERROR(I11/J11,"N/A")</f>
        <v>N/A</v>
      </c>
      <c r="U11" s="247" t="str">
        <f>IFERROR(I11/N11,"N/A")</f>
        <v>N/A</v>
      </c>
      <c r="V11" s="248" t="str">
        <f>IFERROR(L11/N11,"N/A")</f>
        <v>N/A</v>
      </c>
      <c r="W11" s="247" t="str">
        <f>IFERROR(L11/K11,"N/A")</f>
        <v>N/A</v>
      </c>
      <c r="X11" s="247" t="str">
        <f>IFERROR(J11/M11,"N/A")</f>
        <v>N/A</v>
      </c>
      <c r="Y11" s="248" t="str">
        <f>IFERROR(L11/I11,"N/A")</f>
        <v>N/A</v>
      </c>
      <c r="Z11" s="247" t="str">
        <f>IFERROR(O11/P11,"N/A")</f>
        <v>N/A</v>
      </c>
      <c r="AA11" s="247" t="str">
        <f>IFERROR(Q11/R11,"N/A")</f>
        <v>N/A</v>
      </c>
      <c r="AB11" s="52"/>
      <c r="AD11" s="33">
        <f t="shared" si="2"/>
        <v>0</v>
      </c>
      <c r="AE11" s="2"/>
      <c r="AK11" s="26"/>
    </row>
    <row r="12" spans="1:37" ht="14.25" customHeight="1" x14ac:dyDescent="0.25">
      <c r="A12">
        <f t="shared" si="0"/>
        <v>1</v>
      </c>
      <c r="B12" t="str">
        <f t="shared" si="1"/>
        <v>E</v>
      </c>
      <c r="C12" t="s">
        <v>342</v>
      </c>
      <c r="D12" s="31" t="s">
        <v>42</v>
      </c>
      <c r="E12" s="31" t="str">
        <f>VLOOKUP(D12,'[6]MP-CF (WP)'!$B$4:$Y$81,2,FALSE)</f>
        <v xml:space="preserve">Vectren Corp.                 </v>
      </c>
      <c r="F12" s="226" t="s">
        <v>106</v>
      </c>
      <c r="G12" s="226" t="s">
        <v>106</v>
      </c>
      <c r="H12" s="226" t="s">
        <v>106</v>
      </c>
      <c r="I12" s="56" t="s">
        <v>384</v>
      </c>
      <c r="J12" s="227" t="s">
        <v>106</v>
      </c>
      <c r="K12" s="227" t="s">
        <v>106</v>
      </c>
      <c r="L12" s="227" t="s">
        <v>106</v>
      </c>
      <c r="M12" s="227" t="s">
        <v>106</v>
      </c>
      <c r="N12" s="227" t="s">
        <v>106</v>
      </c>
      <c r="O12" s="227" t="s">
        <v>106</v>
      </c>
      <c r="P12" s="227" t="s">
        <v>106</v>
      </c>
      <c r="Q12" s="227" t="s">
        <v>106</v>
      </c>
      <c r="R12" s="227" t="s">
        <v>106</v>
      </c>
      <c r="S12" s="226" t="s">
        <v>106</v>
      </c>
      <c r="T12" s="56" t="str">
        <f>IFERROR(I12/J12,"N/A")</f>
        <v>N/A</v>
      </c>
      <c r="U12" s="247" t="str">
        <f>IFERROR(I12/N12,"N/A")</f>
        <v>N/A</v>
      </c>
      <c r="V12" s="248" t="str">
        <f>IFERROR(L12/N12,"N/A")</f>
        <v>N/A</v>
      </c>
      <c r="W12" s="247" t="str">
        <f>IFERROR(L12/K12,"N/A")</f>
        <v>N/A</v>
      </c>
      <c r="X12" s="247" t="str">
        <f>IFERROR(J12/M12,"N/A")</f>
        <v>N/A</v>
      </c>
      <c r="Y12" s="248" t="str">
        <f>IFERROR(L12/I12,"N/A")</f>
        <v>N/A</v>
      </c>
      <c r="Z12" s="247" t="str">
        <f>IFERROR(O12/P12,"N/A")</f>
        <v>N/A</v>
      </c>
      <c r="AA12" s="247" t="str">
        <f>IFERROR(Q12/R12,"N/A")</f>
        <v>N/A</v>
      </c>
      <c r="AB12" s="52"/>
      <c r="AD12" s="33">
        <f t="shared" si="2"/>
        <v>0</v>
      </c>
      <c r="AE12" s="2"/>
      <c r="AK12" s="26"/>
    </row>
    <row r="13" spans="1:37" ht="14.25" customHeight="1" x14ac:dyDescent="0.25">
      <c r="A13" t="str">
        <f t="shared" si="0"/>
        <v/>
      </c>
      <c r="B13" t="str">
        <f t="shared" si="1"/>
        <v>W</v>
      </c>
      <c r="C13" t="s">
        <v>270</v>
      </c>
      <c r="D13" s="31"/>
      <c r="E13" s="31"/>
      <c r="F13" s="195"/>
      <c r="G13" s="195"/>
      <c r="H13" s="195"/>
      <c r="I13" s="196"/>
      <c r="J13" s="193"/>
      <c r="K13" s="193"/>
      <c r="L13" s="193"/>
      <c r="M13" s="193"/>
      <c r="N13" s="193"/>
      <c r="O13" s="193"/>
      <c r="P13" s="193"/>
      <c r="Q13" s="193"/>
      <c r="R13" s="193"/>
      <c r="S13" s="225"/>
      <c r="T13" s="196" t="str">
        <f t="shared" ref="T13:T74" si="3">IFERROR(I13/J13,"")</f>
        <v/>
      </c>
      <c r="U13" s="197" t="str">
        <f t="shared" ref="U13:U73" si="4">IFERROR(I13/N13,"")</f>
        <v/>
      </c>
      <c r="V13" s="198" t="str">
        <f t="shared" ref="V13:V73" si="5">IFERROR(L13/N13,"")</f>
        <v/>
      </c>
      <c r="W13" s="197" t="str">
        <f t="shared" ref="W13:W73" si="6">IFERROR(L13/K13,"")</f>
        <v/>
      </c>
      <c r="X13" s="197" t="str">
        <f t="shared" ref="X13:X73" si="7">IFERROR(J13/M13,"")</f>
        <v/>
      </c>
      <c r="Y13" s="198" t="str">
        <f t="shared" ref="Y13:Y73" si="8">IFERROR(L13/I13,"")</f>
        <v/>
      </c>
      <c r="Z13" s="197" t="str">
        <f t="shared" ref="Z13:Z31" si="9">IFERROR(O13/P13,"")</f>
        <v/>
      </c>
      <c r="AA13" s="197" t="str">
        <f t="shared" ref="AA13:AA74" si="10">IFERROR(Q13/R13,"")</f>
        <v/>
      </c>
      <c r="AB13" s="52"/>
      <c r="AD13" s="33">
        <f t="shared" si="2"/>
        <v>0</v>
      </c>
      <c r="AE13" s="2"/>
      <c r="AK13" s="26"/>
    </row>
    <row r="14" spans="1:37" s="31" customFormat="1" ht="14.25" customHeight="1" x14ac:dyDescent="0.25">
      <c r="A14" s="31" t="str">
        <f t="shared" si="0"/>
        <v/>
      </c>
      <c r="B14" s="31" t="str">
        <f t="shared" si="1"/>
        <v>W</v>
      </c>
      <c r="C14" s="31" t="s">
        <v>270</v>
      </c>
      <c r="D14" s="31" t="s">
        <v>165</v>
      </c>
      <c r="E14" s="31" t="str">
        <f t="shared" ref="E14:E21" ca="1" si="11">INDEX(nameLU,MATCH(D14,tickerLU,0))</f>
        <v>Amer. States Water</v>
      </c>
      <c r="F14" s="195">
        <v>41</v>
      </c>
      <c r="G14" s="195">
        <v>103.4</v>
      </c>
      <c r="H14" s="195">
        <v>71.2</v>
      </c>
      <c r="I14" s="196">
        <f t="shared" ref="I14:I68" si="12">AVERAGE(G14:H14)</f>
        <v>87.300000000000011</v>
      </c>
      <c r="J14" s="193">
        <v>3.25</v>
      </c>
      <c r="K14" s="193">
        <v>2.11</v>
      </c>
      <c r="L14" s="193">
        <v>1.53</v>
      </c>
      <c r="M14" s="193">
        <v>4.5</v>
      </c>
      <c r="N14" s="193">
        <v>19.2</v>
      </c>
      <c r="O14" s="193">
        <v>4</v>
      </c>
      <c r="P14" s="193">
        <v>4.75</v>
      </c>
      <c r="Q14" s="193">
        <v>5.05</v>
      </c>
      <c r="R14" s="193">
        <v>4.25</v>
      </c>
      <c r="S14" s="225">
        <v>45023</v>
      </c>
      <c r="T14" s="196">
        <f t="shared" si="3"/>
        <v>26.861538461538466</v>
      </c>
      <c r="U14" s="197">
        <f t="shared" si="4"/>
        <v>4.5468750000000009</v>
      </c>
      <c r="V14" s="198">
        <f t="shared" si="5"/>
        <v>7.9687500000000008E-2</v>
      </c>
      <c r="W14" s="197">
        <f t="shared" si="6"/>
        <v>0.72511848341232232</v>
      </c>
      <c r="X14" s="197">
        <f t="shared" si="7"/>
        <v>0.72222222222222221</v>
      </c>
      <c r="Y14" s="198">
        <f t="shared" si="8"/>
        <v>1.7525773195876285E-2</v>
      </c>
      <c r="Z14" s="197">
        <f t="shared" si="9"/>
        <v>0.84210526315789469</v>
      </c>
      <c r="AA14" s="197">
        <f t="shared" si="10"/>
        <v>1.1882352941176471</v>
      </c>
      <c r="AB14" s="197"/>
      <c r="AD14" s="199">
        <f t="shared" si="2"/>
        <v>246.19000000000003</v>
      </c>
      <c r="AE14" s="196"/>
      <c r="AK14" s="256"/>
    </row>
    <row r="15" spans="1:37" s="31" customFormat="1" ht="14.25" customHeight="1" x14ac:dyDescent="0.25">
      <c r="A15" s="31" t="str">
        <f t="shared" si="0"/>
        <v/>
      </c>
      <c r="B15" s="31" t="str">
        <f t="shared" si="1"/>
        <v>W</v>
      </c>
      <c r="C15" s="31" t="s">
        <v>270</v>
      </c>
      <c r="D15" s="31" t="s">
        <v>167</v>
      </c>
      <c r="E15" s="31" t="str">
        <f t="shared" ca="1" si="11"/>
        <v>Amer. Water Works</v>
      </c>
      <c r="F15" s="195">
        <v>33.6</v>
      </c>
      <c r="G15" s="195">
        <v>189.3</v>
      </c>
      <c r="H15" s="195">
        <v>122.8</v>
      </c>
      <c r="I15" s="196">
        <f t="shared" si="12"/>
        <v>156.05000000000001</v>
      </c>
      <c r="J15" s="193">
        <v>8.08</v>
      </c>
      <c r="K15" s="193">
        <v>4.51</v>
      </c>
      <c r="L15" s="193">
        <v>2.57</v>
      </c>
      <c r="M15" s="193">
        <v>12.63</v>
      </c>
      <c r="N15" s="193">
        <v>42.3</v>
      </c>
      <c r="O15" s="193">
        <v>8.1999999999999993</v>
      </c>
      <c r="P15" s="193">
        <v>12</v>
      </c>
      <c r="Q15" s="193">
        <v>10.199999999999999</v>
      </c>
      <c r="R15" s="193">
        <v>11.5</v>
      </c>
      <c r="S15" s="225">
        <v>45023</v>
      </c>
      <c r="T15" s="196">
        <f t="shared" si="3"/>
        <v>19.313118811881189</v>
      </c>
      <c r="U15" s="197">
        <f t="shared" si="4"/>
        <v>3.6891252955082749</v>
      </c>
      <c r="V15" s="198">
        <f t="shared" si="5"/>
        <v>6.0756501182033094E-2</v>
      </c>
      <c r="W15" s="197">
        <f t="shared" si="6"/>
        <v>0.56984478935698446</v>
      </c>
      <c r="X15" s="197">
        <f t="shared" si="7"/>
        <v>0.63974663499604112</v>
      </c>
      <c r="Y15" s="198">
        <f t="shared" si="8"/>
        <v>1.6469080422941363E-2</v>
      </c>
      <c r="Z15" s="197">
        <f t="shared" si="9"/>
        <v>0.68333333333333324</v>
      </c>
      <c r="AA15" s="197">
        <f t="shared" si="10"/>
        <v>0.88695652173913042</v>
      </c>
      <c r="AB15" s="197"/>
      <c r="AD15" s="199">
        <f t="shared" si="2"/>
        <v>415.78999999999996</v>
      </c>
      <c r="AE15" s="196"/>
      <c r="AK15" s="256"/>
    </row>
    <row r="16" spans="1:37" s="31" customFormat="1" ht="14.25" customHeight="1" x14ac:dyDescent="0.25">
      <c r="A16" s="31" t="str">
        <f t="shared" si="0"/>
        <v/>
      </c>
      <c r="B16" s="31" t="str">
        <f t="shared" si="1"/>
        <v>W</v>
      </c>
      <c r="C16" s="31" t="s">
        <v>270</v>
      </c>
      <c r="D16" s="31" t="s">
        <v>533</v>
      </c>
      <c r="E16" s="31" t="s">
        <v>548</v>
      </c>
      <c r="F16" s="195">
        <v>26.6</v>
      </c>
      <c r="G16" s="195">
        <v>53.7</v>
      </c>
      <c r="H16" s="195">
        <v>38.5</v>
      </c>
      <c r="I16" s="196">
        <f t="shared" si="12"/>
        <v>46.1</v>
      </c>
      <c r="J16" s="193">
        <v>2.98</v>
      </c>
      <c r="K16" s="193">
        <v>1.77</v>
      </c>
      <c r="L16" s="193">
        <v>1.1100000000000001</v>
      </c>
      <c r="M16" s="193">
        <v>4.03</v>
      </c>
      <c r="N16" s="193">
        <v>20.39</v>
      </c>
      <c r="O16" s="193">
        <v>3.1</v>
      </c>
      <c r="P16" s="193">
        <v>4.2</v>
      </c>
      <c r="Q16" s="193">
        <v>3.85</v>
      </c>
      <c r="R16" s="193">
        <v>3.85</v>
      </c>
      <c r="S16" s="225">
        <v>45023</v>
      </c>
      <c r="T16" s="196">
        <f t="shared" si="3"/>
        <v>15.469798657718121</v>
      </c>
      <c r="U16" s="197">
        <f t="shared" si="4"/>
        <v>2.2609122118685629</v>
      </c>
      <c r="V16" s="198">
        <f t="shared" si="5"/>
        <v>5.4438450220696426E-2</v>
      </c>
      <c r="W16" s="197">
        <f t="shared" si="6"/>
        <v>0.6271186440677966</v>
      </c>
      <c r="X16" s="197">
        <f t="shared" si="7"/>
        <v>0.73945409429280395</v>
      </c>
      <c r="Y16" s="198">
        <f t="shared" si="8"/>
        <v>2.4078091106290674E-2</v>
      </c>
      <c r="Z16" s="197">
        <f t="shared" si="9"/>
        <v>0.73809523809523814</v>
      </c>
      <c r="AA16" s="197">
        <f t="shared" si="10"/>
        <v>1</v>
      </c>
      <c r="AB16" s="197"/>
      <c r="AD16" s="199">
        <f t="shared" si="2"/>
        <v>149.07999999999998</v>
      </c>
      <c r="AE16" s="196"/>
      <c r="AK16" s="256"/>
    </row>
    <row r="17" spans="1:37" s="31" customFormat="1" ht="14.25" customHeight="1" x14ac:dyDescent="0.25">
      <c r="A17" s="31" t="str">
        <f t="shared" si="0"/>
        <v/>
      </c>
      <c r="B17" s="31" t="str">
        <f t="shared" si="1"/>
        <v>W</v>
      </c>
      <c r="C17" s="31" t="s">
        <v>270</v>
      </c>
      <c r="D17" s="31" t="s">
        <v>177</v>
      </c>
      <c r="E17" s="31" t="str">
        <f t="shared" ca="1" si="11"/>
        <v>California Water</v>
      </c>
      <c r="F17" s="195">
        <v>33</v>
      </c>
      <c r="G17" s="195">
        <v>72</v>
      </c>
      <c r="H17" s="195">
        <v>48.5</v>
      </c>
      <c r="I17" s="193">
        <f t="shared" si="12"/>
        <v>60.25</v>
      </c>
      <c r="J17" s="193">
        <v>3.79</v>
      </c>
      <c r="K17" s="193">
        <v>1.77</v>
      </c>
      <c r="L17" s="193">
        <v>1</v>
      </c>
      <c r="M17" s="193">
        <v>5.9</v>
      </c>
      <c r="N17" s="193">
        <v>23.7</v>
      </c>
      <c r="O17" s="193">
        <v>3.75</v>
      </c>
      <c r="P17" s="193">
        <v>6</v>
      </c>
      <c r="Q17" s="193">
        <v>4.3499999999999996</v>
      </c>
      <c r="R17" s="225">
        <v>6.45</v>
      </c>
      <c r="S17" s="196">
        <v>45023</v>
      </c>
      <c r="T17" s="197">
        <f t="shared" si="3"/>
        <v>15.897097625329815</v>
      </c>
      <c r="U17" s="198">
        <f t="shared" si="4"/>
        <v>2.5421940928270041</v>
      </c>
      <c r="V17" s="197">
        <f t="shared" si="5"/>
        <v>4.2194092827004218E-2</v>
      </c>
      <c r="W17" s="197">
        <f t="shared" si="6"/>
        <v>0.56497175141242939</v>
      </c>
      <c r="X17" s="198">
        <f t="shared" si="7"/>
        <v>0.64237288135593218</v>
      </c>
      <c r="Y17" s="197">
        <f t="shared" si="8"/>
        <v>1.6597510373443983E-2</v>
      </c>
      <c r="Z17" s="197">
        <f t="shared" si="9"/>
        <v>0.625</v>
      </c>
      <c r="AA17" s="197">
        <f t="shared" si="10"/>
        <v>0.67441860465116277</v>
      </c>
      <c r="AC17" s="199"/>
      <c r="AD17" s="31">
        <f t="shared" si="2"/>
        <v>189.66</v>
      </c>
    </row>
    <row r="18" spans="1:37" ht="14.25" customHeight="1" x14ac:dyDescent="0.25">
      <c r="A18" t="str">
        <f t="shared" si="0"/>
        <v/>
      </c>
      <c r="B18" t="str">
        <f t="shared" si="1"/>
        <v>W</v>
      </c>
      <c r="C18" t="s">
        <v>270</v>
      </c>
      <c r="D18" s="31"/>
      <c r="E18" s="31"/>
      <c r="F18" s="195"/>
      <c r="G18" s="195"/>
      <c r="H18" s="195"/>
      <c r="I18" s="196"/>
      <c r="J18" s="193"/>
      <c r="K18" s="193"/>
      <c r="L18" s="193"/>
      <c r="M18" s="193"/>
      <c r="N18" s="193"/>
      <c r="O18" s="193"/>
      <c r="P18" s="193"/>
      <c r="Q18" s="193"/>
      <c r="R18" s="193"/>
      <c r="S18" s="225"/>
      <c r="T18" s="196" t="str">
        <f>IFERROR(I18/J18,"N/A")</f>
        <v>N/A</v>
      </c>
      <c r="U18" s="197" t="str">
        <f>IFERROR(I18/N18,"N/A")</f>
        <v>N/A</v>
      </c>
      <c r="V18" s="198" t="str">
        <f t="shared" si="5"/>
        <v/>
      </c>
      <c r="W18" s="197" t="str">
        <f t="shared" si="6"/>
        <v/>
      </c>
      <c r="X18" s="197" t="str">
        <f t="shared" si="7"/>
        <v/>
      </c>
      <c r="Y18" s="198" t="str">
        <f>IFERROR(L18/I18,"N/A")</f>
        <v>N/A</v>
      </c>
      <c r="Z18" s="197" t="str">
        <f t="shared" si="9"/>
        <v/>
      </c>
      <c r="AA18" s="197" t="str">
        <f t="shared" si="10"/>
        <v/>
      </c>
      <c r="AB18" s="52"/>
      <c r="AD18" s="33">
        <f t="shared" si="2"/>
        <v>0</v>
      </c>
    </row>
    <row r="19" spans="1:37" s="31" customFormat="1" ht="14.25" customHeight="1" x14ac:dyDescent="0.25">
      <c r="A19" s="31" t="str">
        <f t="shared" si="0"/>
        <v/>
      </c>
      <c r="B19" s="31" t="str">
        <f t="shared" si="1"/>
        <v>W</v>
      </c>
      <c r="C19" s="31" t="s">
        <v>270</v>
      </c>
      <c r="D19" s="31" t="s">
        <v>188</v>
      </c>
      <c r="E19" s="31" t="str">
        <f t="shared" ca="1" si="11"/>
        <v>Middlesex Water</v>
      </c>
      <c r="F19" s="195">
        <v>38.6</v>
      </c>
      <c r="G19" s="195">
        <v>121.1</v>
      </c>
      <c r="H19" s="195">
        <v>74.2</v>
      </c>
      <c r="I19" s="196">
        <f t="shared" si="12"/>
        <v>97.65</v>
      </c>
      <c r="J19" s="193">
        <v>3.7</v>
      </c>
      <c r="K19" s="193">
        <v>2.39</v>
      </c>
      <c r="L19" s="193">
        <v>1.18</v>
      </c>
      <c r="M19" s="193">
        <v>5.18</v>
      </c>
      <c r="N19" s="193">
        <v>22.65</v>
      </c>
      <c r="O19" s="193">
        <v>3.7</v>
      </c>
      <c r="P19" s="193">
        <v>5.25</v>
      </c>
      <c r="Q19" s="193">
        <v>4.0999999999999996</v>
      </c>
      <c r="R19" s="193">
        <v>6</v>
      </c>
      <c r="S19" s="225">
        <v>45023</v>
      </c>
      <c r="T19" s="196">
        <f>IFERROR(I19/J19,"N/A")</f>
        <v>26.391891891891891</v>
      </c>
      <c r="U19" s="197">
        <f>IFERROR(I19/N19,"N/A")</f>
        <v>4.3112582781456963</v>
      </c>
      <c r="V19" s="198">
        <f t="shared" si="5"/>
        <v>5.2097130242825605E-2</v>
      </c>
      <c r="W19" s="197">
        <f t="shared" si="6"/>
        <v>0.49372384937238489</v>
      </c>
      <c r="X19" s="197">
        <f t="shared" si="7"/>
        <v>0.71428571428571441</v>
      </c>
      <c r="Y19" s="198">
        <f>IFERROR(L19/I19,"N/A")</f>
        <v>1.2083973374295953E-2</v>
      </c>
      <c r="Z19" s="197">
        <f t="shared" si="9"/>
        <v>0.70476190476190481</v>
      </c>
      <c r="AA19" s="197">
        <f t="shared" si="10"/>
        <v>0.68333333333333324</v>
      </c>
      <c r="AB19" s="197"/>
      <c r="AD19" s="199">
        <f t="shared" si="2"/>
        <v>268.99999999999994</v>
      </c>
    </row>
    <row r="20" spans="1:37" s="31" customFormat="1" ht="14.25" customHeight="1" x14ac:dyDescent="0.25">
      <c r="A20" s="31" t="str">
        <f t="shared" si="0"/>
        <v/>
      </c>
      <c r="B20" s="31" t="str">
        <f t="shared" si="1"/>
        <v>W</v>
      </c>
      <c r="C20" s="31" t="s">
        <v>270</v>
      </c>
      <c r="D20" s="31" t="s">
        <v>196</v>
      </c>
      <c r="E20" s="31" t="str">
        <f t="shared" ca="1" si="11"/>
        <v>SJW Corp.</v>
      </c>
      <c r="F20" s="195">
        <v>27.3</v>
      </c>
      <c r="G20" s="195">
        <v>83.9</v>
      </c>
      <c r="H20" s="195">
        <v>55.7</v>
      </c>
      <c r="I20" s="196">
        <f t="shared" si="12"/>
        <v>69.800000000000011</v>
      </c>
      <c r="J20" s="193">
        <v>5.79</v>
      </c>
      <c r="K20" s="193">
        <v>2.4300000000000002</v>
      </c>
      <c r="L20" s="193">
        <v>1.44</v>
      </c>
      <c r="M20" s="193">
        <v>7.85</v>
      </c>
      <c r="N20" s="193">
        <v>36.06</v>
      </c>
      <c r="O20" s="193">
        <v>4.25</v>
      </c>
      <c r="P20" s="193">
        <v>8</v>
      </c>
      <c r="Q20" s="193">
        <v>4.9000000000000004</v>
      </c>
      <c r="R20" s="193">
        <v>8.75</v>
      </c>
      <c r="S20" s="225">
        <v>45023</v>
      </c>
      <c r="T20" s="196">
        <f t="shared" si="3"/>
        <v>12.055267702936099</v>
      </c>
      <c r="U20" s="197">
        <f t="shared" si="4"/>
        <v>1.935662784248475</v>
      </c>
      <c r="V20" s="198">
        <f t="shared" si="5"/>
        <v>3.9933444259567387E-2</v>
      </c>
      <c r="W20" s="197">
        <f t="shared" si="6"/>
        <v>0.59259259259259256</v>
      </c>
      <c r="X20" s="197">
        <f t="shared" si="7"/>
        <v>0.73757961783439496</v>
      </c>
      <c r="Y20" s="198">
        <f t="shared" si="8"/>
        <v>2.0630372492836672E-2</v>
      </c>
      <c r="Z20" s="197">
        <f t="shared" si="9"/>
        <v>0.53125</v>
      </c>
      <c r="AA20" s="197">
        <f t="shared" si="10"/>
        <v>0.56000000000000005</v>
      </c>
      <c r="AB20" s="197"/>
      <c r="AD20" s="199">
        <f t="shared" si="2"/>
        <v>220.47</v>
      </c>
    </row>
    <row r="21" spans="1:37" ht="14.25" customHeight="1" x14ac:dyDescent="0.25">
      <c r="A21" t="str">
        <f t="shared" si="0"/>
        <v/>
      </c>
      <c r="B21" t="str">
        <f t="shared" si="1"/>
        <v>W</v>
      </c>
      <c r="C21" t="s">
        <v>270</v>
      </c>
      <c r="D21" s="31" t="s">
        <v>208</v>
      </c>
      <c r="E21" s="31" t="str">
        <f t="shared" ca="1" si="11"/>
        <v>York Water Co. (The)</v>
      </c>
      <c r="F21" s="226" t="s">
        <v>106</v>
      </c>
      <c r="G21" s="226" t="s">
        <v>106</v>
      </c>
      <c r="H21" s="226" t="s">
        <v>106</v>
      </c>
      <c r="I21" s="56" t="s">
        <v>384</v>
      </c>
      <c r="J21" s="227" t="s">
        <v>106</v>
      </c>
      <c r="K21" s="227" t="s">
        <v>106</v>
      </c>
      <c r="L21" s="227" t="s">
        <v>106</v>
      </c>
      <c r="M21" s="227" t="s">
        <v>106</v>
      </c>
      <c r="N21" s="227" t="s">
        <v>106</v>
      </c>
      <c r="O21" s="227" t="s">
        <v>106</v>
      </c>
      <c r="P21" s="227" t="s">
        <v>106</v>
      </c>
      <c r="Q21" s="227" t="s">
        <v>106</v>
      </c>
      <c r="R21" s="227" t="s">
        <v>106</v>
      </c>
      <c r="S21" s="226" t="s">
        <v>106</v>
      </c>
      <c r="T21" s="56" t="str">
        <f>IFERROR(I21/J21,"N/A")</f>
        <v>N/A</v>
      </c>
      <c r="U21" s="247" t="str">
        <f>IFERROR(I21/N21,"N/A")</f>
        <v>N/A</v>
      </c>
      <c r="V21" s="248" t="s">
        <v>106</v>
      </c>
      <c r="W21" s="247" t="s">
        <v>106</v>
      </c>
      <c r="X21" s="247" t="s">
        <v>106</v>
      </c>
      <c r="Y21" s="248" t="s">
        <v>106</v>
      </c>
      <c r="Z21" s="247" t="s">
        <v>106</v>
      </c>
      <c r="AA21" s="247" t="s">
        <v>106</v>
      </c>
      <c r="AB21" s="52"/>
      <c r="AD21" s="33">
        <f t="shared" si="2"/>
        <v>0</v>
      </c>
    </row>
    <row r="22" spans="1:37" s="31" customFormat="1" ht="14.25" customHeight="1" x14ac:dyDescent="0.25">
      <c r="A22" s="31">
        <f t="shared" si="0"/>
        <v>1</v>
      </c>
      <c r="B22" s="31" t="str">
        <f t="shared" si="1"/>
        <v>E</v>
      </c>
      <c r="C22" s="31" t="s">
        <v>268</v>
      </c>
      <c r="D22" s="31" t="s">
        <v>260</v>
      </c>
      <c r="E22" s="31" t="str">
        <f>VLOOKUP(D22,'[6]MP-CF (WP)'!$B$4:$Y$81,2,FALSE)</f>
        <v>Avangrid, Inc.</v>
      </c>
      <c r="F22" s="195">
        <v>19.600000000000001</v>
      </c>
      <c r="G22" s="195">
        <v>51.7</v>
      </c>
      <c r="H22" s="195">
        <v>37.6</v>
      </c>
      <c r="I22" s="196">
        <f t="shared" si="12"/>
        <v>44.650000000000006</v>
      </c>
      <c r="J22" s="193">
        <v>5.14</v>
      </c>
      <c r="K22" s="193">
        <v>2.3199999999999998</v>
      </c>
      <c r="L22" s="193">
        <v>1.76</v>
      </c>
      <c r="M22" s="193">
        <v>6.52</v>
      </c>
      <c r="N22" s="193">
        <v>50.13</v>
      </c>
      <c r="O22" s="193">
        <v>4.95</v>
      </c>
      <c r="P22" s="193">
        <v>8.65</v>
      </c>
      <c r="Q22" s="193">
        <v>6.3</v>
      </c>
      <c r="R22" s="193">
        <v>9.5</v>
      </c>
      <c r="S22" s="225">
        <v>45058</v>
      </c>
      <c r="T22" s="196">
        <f>IFERROR(I22/J22,"")</f>
        <v>8.6867704280155653</v>
      </c>
      <c r="U22" s="197">
        <f t="shared" si="4"/>
        <v>0.89068422102533418</v>
      </c>
      <c r="V22" s="198">
        <f t="shared" si="5"/>
        <v>3.5108717334929179E-2</v>
      </c>
      <c r="W22" s="197">
        <f t="shared" si="6"/>
        <v>0.75862068965517249</v>
      </c>
      <c r="X22" s="197">
        <f t="shared" si="7"/>
        <v>0.78834355828220859</v>
      </c>
      <c r="Y22" s="198">
        <f t="shared" si="8"/>
        <v>3.9417693169092938E-2</v>
      </c>
      <c r="Z22" s="197">
        <f t="shared" si="9"/>
        <v>0.5722543352601156</v>
      </c>
      <c r="AA22" s="197">
        <f t="shared" si="10"/>
        <v>0.66315789473684206</v>
      </c>
      <c r="AB22" s="197"/>
      <c r="AD22" s="199">
        <f t="shared" si="2"/>
        <v>174.77</v>
      </c>
    </row>
    <row r="23" spans="1:37" s="31" customFormat="1" ht="14.25" customHeight="1" x14ac:dyDescent="0.25">
      <c r="A23" s="31">
        <f t="shared" si="0"/>
        <v>1</v>
      </c>
      <c r="B23" s="31" t="str">
        <f t="shared" si="1"/>
        <v>E</v>
      </c>
      <c r="C23" s="31" t="s">
        <v>268</v>
      </c>
      <c r="D23" s="31" t="s">
        <v>10</v>
      </c>
      <c r="E23" s="31" t="str">
        <f>VLOOKUP(D23,'[6]MP-CF (WP)'!$B$4:$Y$81,2,FALSE)</f>
        <v xml:space="preserve">Consol. Edison                </v>
      </c>
      <c r="F23" s="195">
        <v>20.3</v>
      </c>
      <c r="G23" s="195">
        <v>102.2</v>
      </c>
      <c r="H23" s="195">
        <v>78.099999999999994</v>
      </c>
      <c r="I23" s="196">
        <f t="shared" si="12"/>
        <v>90.15</v>
      </c>
      <c r="J23" s="193">
        <v>10.36</v>
      </c>
      <c r="K23" s="193">
        <v>4.55</v>
      </c>
      <c r="L23" s="193">
        <v>3.16</v>
      </c>
      <c r="M23" s="193">
        <v>11.74</v>
      </c>
      <c r="N23" s="193">
        <v>58.28</v>
      </c>
      <c r="O23" s="193">
        <v>11.4</v>
      </c>
      <c r="P23" s="193">
        <v>15.75</v>
      </c>
      <c r="Q23" s="193">
        <v>13.85</v>
      </c>
      <c r="R23" s="193">
        <v>16</v>
      </c>
      <c r="S23" s="225">
        <v>45058</v>
      </c>
      <c r="T23" s="196">
        <f t="shared" si="3"/>
        <v>8.7017374517374524</v>
      </c>
      <c r="U23" s="197">
        <f t="shared" si="4"/>
        <v>1.5468428277282087</v>
      </c>
      <c r="V23" s="198">
        <f t="shared" si="5"/>
        <v>5.4221002059025393E-2</v>
      </c>
      <c r="W23" s="197">
        <f t="shared" si="6"/>
        <v>0.69450549450549459</v>
      </c>
      <c r="X23" s="197">
        <f t="shared" si="7"/>
        <v>0.88245315161839855</v>
      </c>
      <c r="Y23" s="198">
        <f t="shared" si="8"/>
        <v>3.5052689961175817E-2</v>
      </c>
      <c r="Z23" s="197">
        <f t="shared" si="9"/>
        <v>0.72380952380952379</v>
      </c>
      <c r="AA23" s="197">
        <f t="shared" si="10"/>
        <v>0.86562499999999998</v>
      </c>
      <c r="AB23" s="197"/>
      <c r="AD23" s="199">
        <f t="shared" si="2"/>
        <v>288.69</v>
      </c>
    </row>
    <row r="24" spans="1:37" s="31" customFormat="1" ht="14.25" customHeight="1" x14ac:dyDescent="0.25">
      <c r="A24" s="31">
        <f t="shared" si="0"/>
        <v>1</v>
      </c>
      <c r="B24" s="31" t="str">
        <f t="shared" si="1"/>
        <v>E</v>
      </c>
      <c r="C24" s="31" t="s">
        <v>268</v>
      </c>
      <c r="D24" s="31" t="s">
        <v>11</v>
      </c>
      <c r="E24" s="31" t="str">
        <f>VLOOKUP(D24,'[6]MP-CF (WP)'!$B$4:$Y$81,2,FALSE)</f>
        <v xml:space="preserve">Dominion Resources            </v>
      </c>
      <c r="F24" s="194">
        <v>18.7</v>
      </c>
      <c r="G24" s="195">
        <v>88.8</v>
      </c>
      <c r="H24" s="195">
        <v>57.2</v>
      </c>
      <c r="I24" s="196">
        <f t="shared" si="12"/>
        <v>73</v>
      </c>
      <c r="J24" s="193">
        <v>7.81</v>
      </c>
      <c r="K24" s="193">
        <v>4.1100000000000003</v>
      </c>
      <c r="L24" s="193">
        <v>2.67</v>
      </c>
      <c r="M24" s="193">
        <v>9.09</v>
      </c>
      <c r="N24" s="193">
        <v>31.26</v>
      </c>
      <c r="O24" s="193">
        <v>7.75</v>
      </c>
      <c r="P24" s="193">
        <v>12.25</v>
      </c>
      <c r="Q24" s="193">
        <v>9.15</v>
      </c>
      <c r="R24" s="193">
        <v>10</v>
      </c>
      <c r="S24" s="225">
        <v>45058</v>
      </c>
      <c r="T24" s="196">
        <f t="shared" si="3"/>
        <v>9.3469910371318825</v>
      </c>
      <c r="U24" s="197">
        <f t="shared" si="4"/>
        <v>2.3352527191298784</v>
      </c>
      <c r="V24" s="198">
        <f t="shared" si="5"/>
        <v>8.5412667946257195E-2</v>
      </c>
      <c r="W24" s="197">
        <f t="shared" si="6"/>
        <v>0.64963503649635035</v>
      </c>
      <c r="X24" s="197">
        <f t="shared" si="7"/>
        <v>0.85918591859185911</v>
      </c>
      <c r="Y24" s="198">
        <f t="shared" si="8"/>
        <v>3.6575342465753426E-2</v>
      </c>
      <c r="Z24" s="197">
        <f t="shared" si="9"/>
        <v>0.63265306122448983</v>
      </c>
      <c r="AA24" s="197">
        <f t="shared" si="10"/>
        <v>0.91500000000000004</v>
      </c>
      <c r="AB24" s="197"/>
      <c r="AD24" s="199">
        <f t="shared" si="2"/>
        <v>219.64</v>
      </c>
    </row>
    <row r="25" spans="1:37" s="31" customFormat="1" ht="14.25" customHeight="1" x14ac:dyDescent="0.25">
      <c r="A25" s="31">
        <f t="shared" si="0"/>
        <v>1</v>
      </c>
      <c r="B25" s="31" t="str">
        <f t="shared" si="1"/>
        <v>E</v>
      </c>
      <c r="C25" s="31" t="s">
        <v>268</v>
      </c>
      <c r="D25" s="31" t="s">
        <v>13</v>
      </c>
      <c r="E25" s="31" t="str">
        <f>VLOOKUP(D25,'[6]MP-CF (WP)'!$B$4:$Y$81,2,FALSE)</f>
        <v xml:space="preserve">Duke Energy                   </v>
      </c>
      <c r="F25" s="195">
        <v>19.600000000000001</v>
      </c>
      <c r="G25" s="195">
        <v>116.3</v>
      </c>
      <c r="H25" s="195">
        <v>83.8</v>
      </c>
      <c r="I25" s="196">
        <f t="shared" si="12"/>
        <v>100.05</v>
      </c>
      <c r="J25" s="193">
        <v>12.91</v>
      </c>
      <c r="K25" s="193">
        <v>5.27</v>
      </c>
      <c r="L25" s="193">
        <v>3.98</v>
      </c>
      <c r="M25" s="193">
        <v>14.76</v>
      </c>
      <c r="N25" s="193">
        <v>61.51</v>
      </c>
      <c r="O25" s="193">
        <v>13.3</v>
      </c>
      <c r="P25" s="193">
        <v>16.75</v>
      </c>
      <c r="Q25" s="193">
        <v>14.6</v>
      </c>
      <c r="R25" s="193">
        <v>16.75</v>
      </c>
      <c r="S25" s="225">
        <v>45058</v>
      </c>
      <c r="T25" s="196">
        <f t="shared" si="3"/>
        <v>7.7498063516653755</v>
      </c>
      <c r="U25" s="197">
        <f t="shared" si="4"/>
        <v>1.6265647862136239</v>
      </c>
      <c r="V25" s="198">
        <f t="shared" si="5"/>
        <v>6.470492602828809E-2</v>
      </c>
      <c r="W25" s="197">
        <f t="shared" si="6"/>
        <v>0.75521821631878561</v>
      </c>
      <c r="X25" s="197">
        <f t="shared" si="7"/>
        <v>0.87466124661246614</v>
      </c>
      <c r="Y25" s="198">
        <f t="shared" si="8"/>
        <v>3.9780109945027488E-2</v>
      </c>
      <c r="Z25" s="197">
        <f t="shared" si="9"/>
        <v>0.79402985074626875</v>
      </c>
      <c r="AA25" s="197">
        <f t="shared" si="10"/>
        <v>0.87164179104477613</v>
      </c>
      <c r="AB25" s="197"/>
      <c r="AD25" s="199">
        <f t="shared" si="2"/>
        <v>318.13</v>
      </c>
    </row>
    <row r="26" spans="1:37" s="31" customFormat="1" ht="14.25" customHeight="1" x14ac:dyDescent="0.25">
      <c r="A26" s="31">
        <f t="shared" si="0"/>
        <v>1</v>
      </c>
      <c r="B26" s="31" t="str">
        <f t="shared" si="1"/>
        <v>E</v>
      </c>
      <c r="C26" s="31" t="s">
        <v>268</v>
      </c>
      <c r="D26" s="31" t="s">
        <v>211</v>
      </c>
      <c r="E26" s="31" t="str">
        <f>VLOOKUP(D26,'[6]MP-CF (WP)'!$B$4:$Y$81,2,FALSE)</f>
        <v xml:space="preserve">Eversource Energy    </v>
      </c>
      <c r="F26" s="195">
        <v>20.9</v>
      </c>
      <c r="G26" s="195">
        <v>94.6</v>
      </c>
      <c r="H26" s="195">
        <v>70.5</v>
      </c>
      <c r="I26" s="196">
        <f t="shared" si="12"/>
        <v>82.55</v>
      </c>
      <c r="J26" s="193">
        <v>8.7899999999999991</v>
      </c>
      <c r="K26" s="193">
        <v>4.09</v>
      </c>
      <c r="L26" s="193">
        <v>2.5499999999999998</v>
      </c>
      <c r="M26" s="193">
        <v>9.8800000000000008</v>
      </c>
      <c r="N26" s="193">
        <v>44.41</v>
      </c>
      <c r="O26" s="193">
        <v>9.0500000000000007</v>
      </c>
      <c r="P26" s="193">
        <v>10.5</v>
      </c>
      <c r="Q26" s="193">
        <v>10.75</v>
      </c>
      <c r="R26" s="193">
        <v>10</v>
      </c>
      <c r="S26" s="225">
        <v>45058</v>
      </c>
      <c r="T26" s="196">
        <f t="shared" si="3"/>
        <v>9.3913538111490329</v>
      </c>
      <c r="U26" s="197">
        <f t="shared" si="4"/>
        <v>1.858815582076109</v>
      </c>
      <c r="V26" s="198">
        <f t="shared" si="5"/>
        <v>5.7419500112587257E-2</v>
      </c>
      <c r="W26" s="197">
        <f t="shared" si="6"/>
        <v>0.62347188264058673</v>
      </c>
      <c r="X26" s="197">
        <f t="shared" si="7"/>
        <v>0.88967611336032371</v>
      </c>
      <c r="Y26" s="198">
        <f t="shared" si="8"/>
        <v>3.0890369473046637E-2</v>
      </c>
      <c r="Z26" s="197">
        <f t="shared" si="9"/>
        <v>0.86190476190476195</v>
      </c>
      <c r="AA26" s="197">
        <f t="shared" si="10"/>
        <v>1.075</v>
      </c>
      <c r="AB26" s="197"/>
      <c r="AD26" s="199">
        <f t="shared" si="2"/>
        <v>255.72</v>
      </c>
    </row>
    <row r="27" spans="1:37" s="31" customFormat="1" ht="14.25" customHeight="1" x14ac:dyDescent="0.25">
      <c r="A27" s="31">
        <f t="shared" si="0"/>
        <v>1</v>
      </c>
      <c r="B27" s="31" t="str">
        <f t="shared" si="1"/>
        <v>E</v>
      </c>
      <c r="C27" s="31" t="s">
        <v>268</v>
      </c>
      <c r="D27" s="31" t="s">
        <v>18</v>
      </c>
      <c r="E27" s="31" t="str">
        <f>VLOOKUP(D27,'[6]MP-CF (WP)'!$B$4:$Y$81,2,FALSE)</f>
        <v xml:space="preserve">Exelon Corp.                  </v>
      </c>
      <c r="F27" s="195">
        <v>19.899999999999999</v>
      </c>
      <c r="G27" s="195">
        <v>58.2</v>
      </c>
      <c r="H27" s="195">
        <v>35.200000000000003</v>
      </c>
      <c r="I27" s="196">
        <f t="shared" si="12"/>
        <v>46.7</v>
      </c>
      <c r="J27" s="193">
        <v>6.07</v>
      </c>
      <c r="K27" s="193">
        <v>2.2599999999999998</v>
      </c>
      <c r="L27" s="193">
        <v>1.35</v>
      </c>
      <c r="M27" s="193">
        <v>7.19</v>
      </c>
      <c r="N27" s="193">
        <v>24.89</v>
      </c>
      <c r="O27" s="193">
        <v>6.75</v>
      </c>
      <c r="P27" s="193">
        <v>6.8</v>
      </c>
      <c r="Q27" s="193">
        <v>7.5</v>
      </c>
      <c r="R27" s="193">
        <v>7</v>
      </c>
      <c r="S27" s="225">
        <v>45058</v>
      </c>
      <c r="T27" s="196">
        <f t="shared" si="3"/>
        <v>7.6935749588138389</v>
      </c>
      <c r="U27" s="197">
        <f t="shared" si="4"/>
        <v>1.8762555243069508</v>
      </c>
      <c r="V27" s="198">
        <f t="shared" si="5"/>
        <v>5.4238650060265167E-2</v>
      </c>
      <c r="W27" s="197">
        <f t="shared" si="6"/>
        <v>0.59734513274336287</v>
      </c>
      <c r="X27" s="197">
        <f t="shared" si="7"/>
        <v>0.84422809457579973</v>
      </c>
      <c r="Y27" s="198">
        <f t="shared" si="8"/>
        <v>2.8907922912205567E-2</v>
      </c>
      <c r="Z27" s="197">
        <f t="shared" si="9"/>
        <v>0.99264705882352944</v>
      </c>
      <c r="AA27" s="197">
        <f t="shared" si="10"/>
        <v>1.0714285714285714</v>
      </c>
      <c r="AB27" s="197"/>
      <c r="AD27" s="199">
        <f t="shared" si="2"/>
        <v>155.06</v>
      </c>
    </row>
    <row r="28" spans="1:37" s="31" customFormat="1" ht="14.25" customHeight="1" x14ac:dyDescent="0.25">
      <c r="A28" s="31">
        <f t="shared" si="0"/>
        <v>1</v>
      </c>
      <c r="B28" s="31" t="str">
        <f t="shared" si="1"/>
        <v>E</v>
      </c>
      <c r="C28" s="31" t="s">
        <v>268</v>
      </c>
      <c r="D28" s="31" t="s">
        <v>19</v>
      </c>
      <c r="E28" s="31" t="str">
        <f>VLOOKUP(D28,'[6]MP-CF (WP)'!$B$4:$Y$81,2,FALSE)</f>
        <v xml:space="preserve">FirstEnergy Corp.             </v>
      </c>
      <c r="F28" s="195">
        <v>17</v>
      </c>
      <c r="G28" s="195">
        <v>48.8</v>
      </c>
      <c r="H28" s="195">
        <v>35.299999999999997</v>
      </c>
      <c r="I28" s="196">
        <f t="shared" si="12"/>
        <v>42.05</v>
      </c>
      <c r="J28" s="193">
        <v>4.71</v>
      </c>
      <c r="K28" s="193">
        <v>2.41</v>
      </c>
      <c r="L28" s="193">
        <v>1.56</v>
      </c>
      <c r="M28" s="193">
        <v>4.82</v>
      </c>
      <c r="N28" s="193">
        <v>17.77</v>
      </c>
      <c r="O28" s="193">
        <v>4.7</v>
      </c>
      <c r="P28" s="193">
        <v>5.9</v>
      </c>
      <c r="Q28" s="193">
        <v>5.7</v>
      </c>
      <c r="R28" s="193">
        <v>6.5</v>
      </c>
      <c r="S28" s="225">
        <v>45058</v>
      </c>
      <c r="T28" s="196">
        <f t="shared" si="3"/>
        <v>8.927813163481952</v>
      </c>
      <c r="U28" s="197">
        <f t="shared" si="4"/>
        <v>2.3663477771525043</v>
      </c>
      <c r="V28" s="198">
        <f t="shared" si="5"/>
        <v>8.7788407428249865E-2</v>
      </c>
      <c r="W28" s="197">
        <f t="shared" si="6"/>
        <v>0.64730290456431538</v>
      </c>
      <c r="X28" s="197">
        <f t="shared" si="7"/>
        <v>0.97717842323651449</v>
      </c>
      <c r="Y28" s="198">
        <f t="shared" si="8"/>
        <v>3.7098692033293704E-2</v>
      </c>
      <c r="Z28" s="197">
        <f t="shared" si="9"/>
        <v>0.79661016949152541</v>
      </c>
      <c r="AA28" s="197">
        <f t="shared" si="10"/>
        <v>0.87692307692307692</v>
      </c>
      <c r="AB28" s="197"/>
      <c r="AD28" s="199">
        <f t="shared" si="2"/>
        <v>132.37</v>
      </c>
    </row>
    <row r="29" spans="1:37" s="31" customFormat="1" ht="14.25" customHeight="1" x14ac:dyDescent="0.25">
      <c r="A29" s="31">
        <f t="shared" si="0"/>
        <v>1</v>
      </c>
      <c r="B29" s="31" t="str">
        <f t="shared" si="1"/>
        <v>E</v>
      </c>
      <c r="C29" s="31" t="s">
        <v>268</v>
      </c>
      <c r="D29" s="31" t="s">
        <v>141</v>
      </c>
      <c r="E29" s="31" t="str">
        <f>VLOOKUP(D29,'[6]MP-CF (WP)'!$B$4:$Y$81,2,FALSE)</f>
        <v>NextEra Energy, Inc.</v>
      </c>
      <c r="F29" s="195">
        <v>27.8</v>
      </c>
      <c r="G29" s="195">
        <v>93.6</v>
      </c>
      <c r="H29" s="195">
        <v>67.2</v>
      </c>
      <c r="I29" s="196">
        <f t="shared" si="12"/>
        <v>80.400000000000006</v>
      </c>
      <c r="J29" s="193">
        <v>5.3</v>
      </c>
      <c r="K29" s="193">
        <v>2.9</v>
      </c>
      <c r="L29" s="193">
        <v>1.7</v>
      </c>
      <c r="M29" s="193">
        <v>9.6999999999999993</v>
      </c>
      <c r="N29" s="193">
        <v>19.739999999999998</v>
      </c>
      <c r="O29" s="193">
        <v>5.6</v>
      </c>
      <c r="P29" s="193">
        <v>9.5</v>
      </c>
      <c r="Q29" s="193">
        <v>7.25</v>
      </c>
      <c r="R29" s="193">
        <v>9.75</v>
      </c>
      <c r="S29" s="225">
        <v>45058</v>
      </c>
      <c r="T29" s="196">
        <f t="shared" si="3"/>
        <v>15.169811320754718</v>
      </c>
      <c r="U29" s="197">
        <f t="shared" si="4"/>
        <v>4.0729483282674774</v>
      </c>
      <c r="V29" s="198">
        <f t="shared" si="5"/>
        <v>8.6119554204660595E-2</v>
      </c>
      <c r="W29" s="197">
        <f t="shared" si="6"/>
        <v>0.58620689655172409</v>
      </c>
      <c r="X29" s="197">
        <f t="shared" si="7"/>
        <v>0.54639175257731964</v>
      </c>
      <c r="Y29" s="198">
        <f t="shared" si="8"/>
        <v>2.1144278606965172E-2</v>
      </c>
      <c r="Z29" s="197">
        <f t="shared" si="9"/>
        <v>0.58947368421052626</v>
      </c>
      <c r="AA29" s="197">
        <f t="shared" si="10"/>
        <v>0.74358974358974361</v>
      </c>
      <c r="AB29" s="197"/>
      <c r="AD29" s="199">
        <f t="shared" si="2"/>
        <v>227.94</v>
      </c>
    </row>
    <row r="30" spans="1:37" s="31" customFormat="1" ht="14.25" customHeight="1" x14ac:dyDescent="0.25">
      <c r="A30" s="31">
        <f t="shared" si="0"/>
        <v>1</v>
      </c>
      <c r="B30" s="31" t="str">
        <f t="shared" si="1"/>
        <v>E</v>
      </c>
      <c r="C30" s="31" t="s">
        <v>268</v>
      </c>
      <c r="D30" s="31" t="s">
        <v>34</v>
      </c>
      <c r="E30" s="31" t="str">
        <f>VLOOKUP(D30,'[6]MP-CF (WP)'!$B$4:$Y$81,2,FALSE)</f>
        <v xml:space="preserve">PPL Corp.                     </v>
      </c>
      <c r="F30" s="195">
        <v>20</v>
      </c>
      <c r="G30" s="195">
        <v>31</v>
      </c>
      <c r="H30" s="195">
        <v>23.5</v>
      </c>
      <c r="I30" s="196">
        <f t="shared" si="12"/>
        <v>27.25</v>
      </c>
      <c r="J30" s="193">
        <v>3.09</v>
      </c>
      <c r="K30" s="193">
        <v>1.41</v>
      </c>
      <c r="L30" s="193">
        <v>0.88</v>
      </c>
      <c r="M30" s="193">
        <v>2.93</v>
      </c>
      <c r="N30" s="193">
        <v>18.89</v>
      </c>
      <c r="O30" s="193">
        <v>3.2</v>
      </c>
      <c r="P30" s="193">
        <v>3.25</v>
      </c>
      <c r="Q30" s="193">
        <v>3.7</v>
      </c>
      <c r="R30" s="193">
        <v>4</v>
      </c>
      <c r="S30" s="225">
        <v>45058</v>
      </c>
      <c r="T30" s="196">
        <f>IFERROR(I30/J30,"N/A")</f>
        <v>8.8187702265372181</v>
      </c>
      <c r="U30" s="197">
        <f>IFERROR(I30/N30,"N/A")</f>
        <v>1.4425622022233986</v>
      </c>
      <c r="V30" s="198">
        <f t="shared" si="5"/>
        <v>4.6585494970884066E-2</v>
      </c>
      <c r="W30" s="197">
        <f t="shared" si="6"/>
        <v>0.62411347517730498</v>
      </c>
      <c r="X30" s="197">
        <f t="shared" si="7"/>
        <v>1.0546075085324231</v>
      </c>
      <c r="Y30" s="198">
        <f>IFERROR(L30/I30,"N/A")</f>
        <v>3.2293577981651375E-2</v>
      </c>
      <c r="Z30" s="197">
        <f t="shared" si="9"/>
        <v>0.98461538461538467</v>
      </c>
      <c r="AA30" s="197">
        <f t="shared" si="10"/>
        <v>0.92500000000000004</v>
      </c>
      <c r="AB30" s="197"/>
      <c r="AD30" s="199">
        <f t="shared" si="2"/>
        <v>101.7</v>
      </c>
      <c r="AE30" s="196"/>
      <c r="AK30" s="256"/>
    </row>
    <row r="31" spans="1:37" s="31" customFormat="1" ht="14.25" customHeight="1" x14ac:dyDescent="0.25">
      <c r="A31" s="31">
        <f>IF(OR(B31="E",B31="N"),1,"")</f>
        <v>1</v>
      </c>
      <c r="B31" s="31" t="str">
        <f t="shared" si="1"/>
        <v>E</v>
      </c>
      <c r="C31" s="31" t="s">
        <v>268</v>
      </c>
      <c r="D31" s="31" t="s">
        <v>35</v>
      </c>
      <c r="E31" s="31" t="str">
        <f>VLOOKUP(D31,'[6]MP-CF (WP)'!$B$4:$Y$81,2,FALSE)</f>
        <v xml:space="preserve">Public Serv. Enterprise       </v>
      </c>
      <c r="F31" s="195">
        <v>18.5</v>
      </c>
      <c r="G31" s="195">
        <v>75.599999999999994</v>
      </c>
      <c r="H31" s="195">
        <v>52.5</v>
      </c>
      <c r="I31" s="196">
        <f t="shared" si="12"/>
        <v>64.05</v>
      </c>
      <c r="J31" s="193">
        <v>6.08</v>
      </c>
      <c r="K31" s="193">
        <v>3.47</v>
      </c>
      <c r="L31" s="193">
        <v>2.16</v>
      </c>
      <c r="M31" s="193">
        <v>5.81</v>
      </c>
      <c r="N31" s="193">
        <v>27.62</v>
      </c>
      <c r="O31" s="193">
        <v>6.25</v>
      </c>
      <c r="P31" s="193">
        <v>7.2</v>
      </c>
      <c r="Q31" s="193">
        <v>7.75</v>
      </c>
      <c r="R31" s="193">
        <v>7.25</v>
      </c>
      <c r="S31" s="225">
        <v>45058</v>
      </c>
      <c r="T31" s="196">
        <f>IFERROR(I31/J31,"N/A")</f>
        <v>10.534539473684211</v>
      </c>
      <c r="U31" s="197">
        <f>IFERROR(I31/N31,"N/A")</f>
        <v>2.3189717595944965</v>
      </c>
      <c r="V31" s="198">
        <f t="shared" si="5"/>
        <v>7.8204199855177403E-2</v>
      </c>
      <c r="W31" s="197">
        <f t="shared" si="6"/>
        <v>0.62247838616714701</v>
      </c>
      <c r="X31" s="197">
        <f t="shared" si="7"/>
        <v>1.0464716006884682</v>
      </c>
      <c r="Y31" s="198">
        <f>IFERROR(L31/I31,"N/A")</f>
        <v>3.372365339578455E-2</v>
      </c>
      <c r="Z31" s="197">
        <f t="shared" si="9"/>
        <v>0.86805555555555558</v>
      </c>
      <c r="AA31" s="197">
        <f t="shared" si="10"/>
        <v>1.0689655172413792</v>
      </c>
      <c r="AB31" s="197"/>
      <c r="AD31" s="199">
        <f t="shared" si="2"/>
        <v>191.74</v>
      </c>
      <c r="AE31" s="196"/>
      <c r="AK31" s="256"/>
    </row>
    <row r="32" spans="1:37" s="31" customFormat="1" ht="14.25" customHeight="1" x14ac:dyDescent="0.25">
      <c r="A32" s="31">
        <f t="shared" si="0"/>
        <v>1</v>
      </c>
      <c r="B32" s="31" t="str">
        <f t="shared" si="1"/>
        <v>E</v>
      </c>
      <c r="C32" s="31" t="s">
        <v>268</v>
      </c>
      <c r="D32" s="31" t="s">
        <v>38</v>
      </c>
      <c r="E32" s="31" t="str">
        <f>VLOOKUP(D32,'[6]MP-CF (WP)'!$B$4:$Y$81,2,FALSE)</f>
        <v xml:space="preserve">Southern Co.                  </v>
      </c>
      <c r="F32" s="195">
        <v>19.600000000000001</v>
      </c>
      <c r="G32" s="195">
        <v>80.599999999999994</v>
      </c>
      <c r="H32" s="195">
        <v>60.7</v>
      </c>
      <c r="I32" s="196">
        <f t="shared" si="12"/>
        <v>70.650000000000006</v>
      </c>
      <c r="J32" s="193">
        <v>7.34</v>
      </c>
      <c r="K32" s="193">
        <v>3.61</v>
      </c>
      <c r="L32" s="193">
        <v>2.7</v>
      </c>
      <c r="M32" s="193">
        <v>7.55</v>
      </c>
      <c r="N32" s="193">
        <v>27.93</v>
      </c>
      <c r="O32" s="193">
        <v>7.65</v>
      </c>
      <c r="P32" s="193">
        <v>7.85</v>
      </c>
      <c r="Q32" s="193">
        <v>9.25</v>
      </c>
      <c r="R32" s="193">
        <v>7.5</v>
      </c>
      <c r="S32" s="225">
        <v>45058</v>
      </c>
      <c r="T32" s="196">
        <f t="shared" si="3"/>
        <v>9.6253405994550416</v>
      </c>
      <c r="U32" s="197">
        <f t="shared" si="4"/>
        <v>2.5295381310418907</v>
      </c>
      <c r="V32" s="198">
        <f t="shared" si="5"/>
        <v>9.6670247046186902E-2</v>
      </c>
      <c r="W32" s="197">
        <f t="shared" si="6"/>
        <v>0.74792243767313027</v>
      </c>
      <c r="X32" s="197">
        <f t="shared" si="7"/>
        <v>0.97218543046357619</v>
      </c>
      <c r="Y32" s="198">
        <f t="shared" si="8"/>
        <v>3.8216560509554139E-2</v>
      </c>
      <c r="Z32" s="197">
        <f>IFERROR(O32/P32,"")</f>
        <v>0.97452229299363069</v>
      </c>
      <c r="AA32" s="197">
        <f t="shared" si="10"/>
        <v>1.2333333333333334</v>
      </c>
      <c r="AB32" s="197"/>
      <c r="AD32" s="199">
        <f t="shared" si="2"/>
        <v>210.03</v>
      </c>
      <c r="AE32" s="196"/>
      <c r="AK32" s="256"/>
    </row>
    <row r="33" spans="1:37" s="31" customFormat="1" ht="14.25" customHeight="1" x14ac:dyDescent="0.25">
      <c r="A33" s="31">
        <f t="shared" si="0"/>
        <v>1</v>
      </c>
      <c r="B33" s="31" t="str">
        <f t="shared" si="1"/>
        <v>N</v>
      </c>
      <c r="C33" s="31" t="s">
        <v>271</v>
      </c>
      <c r="D33" s="31" t="s">
        <v>175</v>
      </c>
      <c r="E33" s="31" t="str">
        <f t="shared" ref="E33:E42" ca="1" si="13">INDEX(OFFSET(CashFlow,0,-1,,1),MATCH(D33,OFFSET(CashFlow,0,0,,1),0))</f>
        <v>Atmos Energy</v>
      </c>
      <c r="F33" s="195">
        <v>19.3</v>
      </c>
      <c r="G33" s="195">
        <v>123</v>
      </c>
      <c r="H33" s="195">
        <v>97.7</v>
      </c>
      <c r="I33" s="196">
        <f t="shared" si="12"/>
        <v>110.35</v>
      </c>
      <c r="J33" s="193">
        <v>9.3000000000000007</v>
      </c>
      <c r="K33" s="193">
        <v>5.6</v>
      </c>
      <c r="L33" s="193">
        <v>2.72</v>
      </c>
      <c r="M33" s="193">
        <v>17.350000000000001</v>
      </c>
      <c r="N33" s="193">
        <v>66.849999999999994</v>
      </c>
      <c r="O33" s="193">
        <v>10</v>
      </c>
      <c r="P33" s="193">
        <v>18.350000000000001</v>
      </c>
      <c r="Q33" s="193">
        <v>12.6</v>
      </c>
      <c r="R33" s="193">
        <v>18.3</v>
      </c>
      <c r="S33" s="225">
        <v>45072</v>
      </c>
      <c r="T33" s="196">
        <f>IFERROR(I33/J33,"")</f>
        <v>11.86559139784946</v>
      </c>
      <c r="U33" s="197">
        <f>IFERROR(I33/N33,"")</f>
        <v>1.6507105459985041</v>
      </c>
      <c r="V33" s="198">
        <f>IFERROR(L33/N33,"")</f>
        <v>4.0688107703814515E-2</v>
      </c>
      <c r="W33" s="197">
        <f>IFERROR(L33/K33,"")</f>
        <v>0.48571428571428577</v>
      </c>
      <c r="X33" s="197">
        <f>IFERROR(J33/M33,"")</f>
        <v>0.53602305475504319</v>
      </c>
      <c r="Y33" s="198">
        <f t="shared" si="8"/>
        <v>2.464884458541006E-2</v>
      </c>
      <c r="Z33" s="197">
        <f>IFERROR(O33/P33,"")</f>
        <v>0.54495912806539504</v>
      </c>
      <c r="AA33" s="197">
        <f t="shared" si="10"/>
        <v>0.68852459016393441</v>
      </c>
      <c r="AB33" s="197"/>
      <c r="AD33" s="199">
        <f t="shared" si="2"/>
        <v>341.82000000000005</v>
      </c>
      <c r="AE33" s="196"/>
      <c r="AK33" s="256"/>
    </row>
    <row r="34" spans="1:37" s="31" customFormat="1" ht="14.25" customHeight="1" x14ac:dyDescent="0.25">
      <c r="A34" s="31">
        <f t="shared" si="0"/>
        <v>1</v>
      </c>
      <c r="B34" s="31" t="str">
        <f t="shared" si="1"/>
        <v>N</v>
      </c>
      <c r="C34" s="31" t="s">
        <v>271</v>
      </c>
      <c r="D34" s="31" t="s">
        <v>178</v>
      </c>
      <c r="E34" s="31" t="str">
        <f t="shared" ca="1" si="13"/>
        <v>Chesapeake Utilities</v>
      </c>
      <c r="F34" s="195">
        <v>25.8</v>
      </c>
      <c r="G34" s="195">
        <v>146.30000000000001</v>
      </c>
      <c r="H34" s="195">
        <v>105.8</v>
      </c>
      <c r="I34" s="196">
        <f t="shared" si="12"/>
        <v>126.05000000000001</v>
      </c>
      <c r="J34" s="193">
        <v>8.8699999999999992</v>
      </c>
      <c r="K34" s="193">
        <v>4.97</v>
      </c>
      <c r="L34" s="193">
        <v>2.0299999999999998</v>
      </c>
      <c r="M34" s="193">
        <v>7.23</v>
      </c>
      <c r="N34" s="193">
        <v>46.94</v>
      </c>
      <c r="O34" s="193">
        <v>9.0500000000000007</v>
      </c>
      <c r="P34" s="193">
        <v>10.8</v>
      </c>
      <c r="Q34" s="193">
        <v>11.5</v>
      </c>
      <c r="R34" s="193">
        <v>12.2</v>
      </c>
      <c r="S34" s="225">
        <v>45072</v>
      </c>
      <c r="T34" s="196">
        <f>IFERROR(I34/J34,"")</f>
        <v>14.210822998872606</v>
      </c>
      <c r="U34" s="197">
        <f>IFERROR(I34/N34,"")</f>
        <v>2.6853429910524076</v>
      </c>
      <c r="V34" s="198">
        <f>IFERROR(L34/N34,"")</f>
        <v>4.3246697912228377E-2</v>
      </c>
      <c r="W34" s="197">
        <f>IFERROR(L34/K34,"")</f>
        <v>0.40845070422535207</v>
      </c>
      <c r="X34" s="197">
        <f>IFERROR(J34/M34,"")</f>
        <v>1.226832641770401</v>
      </c>
      <c r="Y34" s="198">
        <f t="shared" si="8"/>
        <v>1.6104720349067826E-2</v>
      </c>
      <c r="Z34" s="197">
        <f>IFERROR(O34/P34,"")</f>
        <v>0.83796296296296302</v>
      </c>
      <c r="AA34" s="197">
        <f t="shared" si="10"/>
        <v>0.94262295081967218</v>
      </c>
      <c r="AB34" s="197"/>
      <c r="AD34" s="199">
        <f t="shared" si="2"/>
        <v>347.94000000000005</v>
      </c>
      <c r="AE34" s="196"/>
      <c r="AK34" s="256"/>
    </row>
    <row r="35" spans="1:37" s="31" customFormat="1" ht="14.25" customHeight="1" x14ac:dyDescent="0.25">
      <c r="A35" s="31">
        <f t="shared" si="0"/>
        <v>1</v>
      </c>
      <c r="B35" s="31" t="str">
        <f t="shared" si="1"/>
        <v>N</v>
      </c>
      <c r="C35" s="31" t="s">
        <v>271</v>
      </c>
      <c r="D35" s="31" t="s">
        <v>190</v>
      </c>
      <c r="E35" s="31" t="str">
        <f t="shared" ca="1" si="13"/>
        <v>New Jersey Resources</v>
      </c>
      <c r="F35" s="195">
        <v>17</v>
      </c>
      <c r="G35" s="195">
        <v>51.4</v>
      </c>
      <c r="H35" s="195">
        <v>37.799999999999997</v>
      </c>
      <c r="I35" s="196">
        <f t="shared" si="12"/>
        <v>44.599999999999994</v>
      </c>
      <c r="J35" s="193">
        <v>3.86</v>
      </c>
      <c r="K35" s="193">
        <v>2.5</v>
      </c>
      <c r="L35" s="193">
        <v>1.45</v>
      </c>
      <c r="M35" s="193">
        <v>6.5</v>
      </c>
      <c r="N35" s="193">
        <v>19</v>
      </c>
      <c r="O35" s="193">
        <v>4.2</v>
      </c>
      <c r="P35" s="193">
        <v>6.2</v>
      </c>
      <c r="Q35" s="193">
        <v>4.25</v>
      </c>
      <c r="R35" s="193">
        <v>7.5</v>
      </c>
      <c r="S35" s="225">
        <v>45072</v>
      </c>
      <c r="T35" s="196">
        <f t="shared" si="3"/>
        <v>11.554404145077719</v>
      </c>
      <c r="U35" s="197">
        <f t="shared" si="4"/>
        <v>2.3473684210526313</v>
      </c>
      <c r="V35" s="198">
        <f t="shared" si="5"/>
        <v>7.6315789473684212E-2</v>
      </c>
      <c r="W35" s="197">
        <f t="shared" si="6"/>
        <v>0.57999999999999996</v>
      </c>
      <c r="X35" s="197">
        <f t="shared" si="7"/>
        <v>0.5938461538461538</v>
      </c>
      <c r="Y35" s="198">
        <f t="shared" si="8"/>
        <v>3.2511210762331842E-2</v>
      </c>
      <c r="Z35" s="197">
        <f t="shared" ref="Z35:Z74" si="14">IFERROR(O35/P35,"")</f>
        <v>0.67741935483870974</v>
      </c>
      <c r="AA35" s="197">
        <f t="shared" si="10"/>
        <v>0.56666666666666665</v>
      </c>
      <c r="AB35" s="197"/>
      <c r="AD35" s="199">
        <f t="shared" si="2"/>
        <v>139.51</v>
      </c>
      <c r="AE35" s="196"/>
      <c r="AK35" s="256"/>
    </row>
    <row r="36" spans="1:37" s="31" customFormat="1" ht="14.25" customHeight="1" x14ac:dyDescent="0.25">
      <c r="A36" s="31">
        <f t="shared" si="0"/>
        <v>1</v>
      </c>
      <c r="B36" s="31" t="str">
        <f t="shared" si="1"/>
        <v>N</v>
      </c>
      <c r="C36" s="31" t="s">
        <v>271</v>
      </c>
      <c r="D36" s="31" t="s">
        <v>26</v>
      </c>
      <c r="E36" s="31" t="str">
        <f t="shared" ca="1" si="13"/>
        <v>NiSource Inc.</v>
      </c>
      <c r="F36" s="194">
        <v>19.600000000000001</v>
      </c>
      <c r="G36" s="195">
        <v>32.6</v>
      </c>
      <c r="H36" s="195">
        <v>23.8</v>
      </c>
      <c r="I36" s="196">
        <f t="shared" si="12"/>
        <v>28.200000000000003</v>
      </c>
      <c r="J36" s="193">
        <v>3.47</v>
      </c>
      <c r="K36" s="193">
        <v>1.47</v>
      </c>
      <c r="L36" s="193">
        <v>0.94</v>
      </c>
      <c r="M36" s="193">
        <v>6.32</v>
      </c>
      <c r="N36" s="193">
        <v>13.14</v>
      </c>
      <c r="O36" s="193">
        <v>3.55</v>
      </c>
      <c r="P36" s="193">
        <v>8.1999999999999993</v>
      </c>
      <c r="Q36" s="193">
        <v>4.1500000000000004</v>
      </c>
      <c r="R36" s="193">
        <v>6.75</v>
      </c>
      <c r="S36" s="225">
        <v>45072</v>
      </c>
      <c r="T36" s="196">
        <f t="shared" si="3"/>
        <v>8.1268011527377517</v>
      </c>
      <c r="U36" s="197">
        <f t="shared" si="4"/>
        <v>2.1461187214611872</v>
      </c>
      <c r="V36" s="198">
        <f t="shared" si="5"/>
        <v>7.1537290715372903E-2</v>
      </c>
      <c r="W36" s="197">
        <f t="shared" si="6"/>
        <v>0.6394557823129251</v>
      </c>
      <c r="X36" s="197">
        <f t="shared" si="7"/>
        <v>0.54905063291139244</v>
      </c>
      <c r="Y36" s="198">
        <f t="shared" si="8"/>
        <v>3.3333333333333326E-2</v>
      </c>
      <c r="Z36" s="197">
        <f t="shared" si="14"/>
        <v>0.43292682926829268</v>
      </c>
      <c r="AA36" s="197">
        <f t="shared" si="10"/>
        <v>0.61481481481481481</v>
      </c>
      <c r="AB36" s="197"/>
      <c r="AD36" s="199">
        <f t="shared" si="2"/>
        <v>101.33999999999999</v>
      </c>
      <c r="AE36" s="196"/>
      <c r="AK36" s="256"/>
    </row>
    <row r="37" spans="1:37" s="31" customFormat="1" ht="14.25" customHeight="1" x14ac:dyDescent="0.25">
      <c r="A37" s="31">
        <f t="shared" si="0"/>
        <v>1</v>
      </c>
      <c r="B37" s="31" t="str">
        <f t="shared" si="1"/>
        <v>N</v>
      </c>
      <c r="C37" s="31" t="s">
        <v>271</v>
      </c>
      <c r="D37" s="31" t="s">
        <v>192</v>
      </c>
      <c r="E37" s="31" t="str">
        <f t="shared" ca="1" si="13"/>
        <v>Northwest Nat. Gas</v>
      </c>
      <c r="F37" s="194">
        <v>19.600000000000001</v>
      </c>
      <c r="G37" s="195">
        <v>57.6</v>
      </c>
      <c r="H37" s="195">
        <v>42.4</v>
      </c>
      <c r="I37" s="196">
        <f t="shared" si="12"/>
        <v>50</v>
      </c>
      <c r="J37" s="193">
        <v>5.71</v>
      </c>
      <c r="K37" s="193">
        <v>2.54</v>
      </c>
      <c r="L37" s="193">
        <v>1.93</v>
      </c>
      <c r="M37" s="193">
        <v>9.5299999999999994</v>
      </c>
      <c r="N37" s="193">
        <v>33.08</v>
      </c>
      <c r="O37" s="193">
        <v>6.15</v>
      </c>
      <c r="P37" s="193">
        <v>9.0500000000000007</v>
      </c>
      <c r="Q37" s="193">
        <v>6.25</v>
      </c>
      <c r="R37" s="193">
        <v>7.5</v>
      </c>
      <c r="S37" s="225">
        <v>45072</v>
      </c>
      <c r="T37" s="196">
        <f t="shared" si="3"/>
        <v>8.7565674255691768</v>
      </c>
      <c r="U37" s="197">
        <f t="shared" si="4"/>
        <v>1.5114873035066507</v>
      </c>
      <c r="V37" s="198">
        <f t="shared" si="5"/>
        <v>5.8343409915356713E-2</v>
      </c>
      <c r="W37" s="197">
        <f t="shared" si="6"/>
        <v>0.75984251968503935</v>
      </c>
      <c r="X37" s="197">
        <f t="shared" si="7"/>
        <v>0.59916054564533061</v>
      </c>
      <c r="Y37" s="198">
        <f t="shared" si="8"/>
        <v>3.8599999999999995E-2</v>
      </c>
      <c r="Z37" s="197">
        <f t="shared" si="14"/>
        <v>0.6795580110497238</v>
      </c>
      <c r="AA37" s="197">
        <f t="shared" si="10"/>
        <v>0.83333333333333337</v>
      </c>
      <c r="AB37" s="197"/>
      <c r="AD37" s="199">
        <f t="shared" si="2"/>
        <v>172.39</v>
      </c>
      <c r="AE37" s="196"/>
      <c r="AK37" s="256"/>
    </row>
    <row r="38" spans="1:37" s="31" customFormat="1" ht="14.25" customHeight="1" x14ac:dyDescent="0.25">
      <c r="A38" s="31">
        <f t="shared" si="0"/>
        <v>1</v>
      </c>
      <c r="B38" s="31" t="str">
        <f t="shared" si="1"/>
        <v>N</v>
      </c>
      <c r="C38" s="31" t="s">
        <v>271</v>
      </c>
      <c r="D38" s="31" t="s">
        <v>345</v>
      </c>
      <c r="E38" s="31" t="str">
        <f t="shared" ca="1" si="13"/>
        <v>ONE Gas Inc.</v>
      </c>
      <c r="F38" s="195">
        <v>19.899999999999999</v>
      </c>
      <c r="G38" s="195">
        <v>92.3</v>
      </c>
      <c r="H38" s="195">
        <v>68.900000000000006</v>
      </c>
      <c r="I38" s="196">
        <f t="shared" si="12"/>
        <v>80.599999999999994</v>
      </c>
      <c r="J38" s="193">
        <v>8.1300000000000008</v>
      </c>
      <c r="K38" s="193">
        <v>4.08</v>
      </c>
      <c r="L38" s="193">
        <v>2.48</v>
      </c>
      <c r="M38" s="193">
        <v>11.01</v>
      </c>
      <c r="N38" s="193">
        <v>46.69</v>
      </c>
      <c r="O38" s="193">
        <v>9.35</v>
      </c>
      <c r="P38" s="193">
        <v>11.25</v>
      </c>
      <c r="Q38" s="193">
        <v>12.2</v>
      </c>
      <c r="R38" s="193">
        <v>12.3</v>
      </c>
      <c r="S38" s="225">
        <v>45072</v>
      </c>
      <c r="T38" s="196">
        <f>IFERROR(I38/J38,"")</f>
        <v>9.913899138991388</v>
      </c>
      <c r="U38" s="197">
        <f>IFERROR(I38/N38,"")</f>
        <v>1.726279717284215</v>
      </c>
      <c r="V38" s="198">
        <f>IFERROR(L38/N38,"")</f>
        <v>5.3116298993360463E-2</v>
      </c>
      <c r="W38" s="197">
        <f>IFERROR(L38/K38,"")</f>
        <v>0.60784313725490191</v>
      </c>
      <c r="X38" s="197">
        <f>IFERROR(J38/M38,"")</f>
        <v>0.73841961852861049</v>
      </c>
      <c r="Y38" s="198">
        <f t="shared" si="8"/>
        <v>3.0769230769230771E-2</v>
      </c>
      <c r="Z38" s="197">
        <f t="shared" si="14"/>
        <v>0.83111111111111113</v>
      </c>
      <c r="AA38" s="197">
        <f t="shared" si="10"/>
        <v>0.99186991869918684</v>
      </c>
      <c r="AB38" s="197"/>
      <c r="AD38" s="199">
        <f t="shared" si="2"/>
        <v>253.48999999999998</v>
      </c>
      <c r="AE38" s="196"/>
      <c r="AK38" s="256"/>
    </row>
    <row r="39" spans="1:37" s="31" customFormat="1" ht="14.25" customHeight="1" x14ac:dyDescent="0.25">
      <c r="A39" s="31">
        <f t="shared" si="0"/>
        <v>1</v>
      </c>
      <c r="B39" s="31" t="str">
        <f t="shared" si="1"/>
        <v>N</v>
      </c>
      <c r="C39" s="31" t="s">
        <v>271</v>
      </c>
      <c r="D39" s="31" t="s">
        <v>198</v>
      </c>
      <c r="E39" s="31" t="str">
        <f t="shared" ca="1" si="13"/>
        <v>South Jersey Inds.</v>
      </c>
      <c r="F39" s="195" t="s">
        <v>106</v>
      </c>
      <c r="G39" s="195" t="s">
        <v>106</v>
      </c>
      <c r="H39" s="195" t="s">
        <v>106</v>
      </c>
      <c r="I39" s="196" t="s">
        <v>106</v>
      </c>
      <c r="J39" s="193" t="s">
        <v>106</v>
      </c>
      <c r="K39" s="193" t="s">
        <v>106</v>
      </c>
      <c r="L39" s="193" t="s">
        <v>106</v>
      </c>
      <c r="M39" s="193" t="s">
        <v>106</v>
      </c>
      <c r="N39" s="193" t="s">
        <v>106</v>
      </c>
      <c r="O39" s="193" t="s">
        <v>106</v>
      </c>
      <c r="P39" s="193" t="s">
        <v>106</v>
      </c>
      <c r="Q39" s="193" t="s">
        <v>106</v>
      </c>
      <c r="R39" s="193" t="s">
        <v>106</v>
      </c>
      <c r="S39" s="225" t="s">
        <v>106</v>
      </c>
      <c r="T39" s="196" t="str">
        <f>IFERROR(I39/J39,"N/A")</f>
        <v>N/A</v>
      </c>
      <c r="U39" s="197" t="str">
        <f>IFERROR(I39/N39,"N/A")</f>
        <v>N/A</v>
      </c>
      <c r="V39" s="198" t="str">
        <f>IFERROR(L39/N39,"N/A")</f>
        <v>N/A</v>
      </c>
      <c r="W39" s="197" t="str">
        <f>IFERROR(L39/K39,"N/A")</f>
        <v>N/A</v>
      </c>
      <c r="X39" s="197" t="str">
        <f>IFERROR(J39/M39,"N/A")</f>
        <v>N/A</v>
      </c>
      <c r="Y39" s="198" t="str">
        <f>IFERROR(L39/I39,"N/A")</f>
        <v>N/A</v>
      </c>
      <c r="Z39" s="197" t="str">
        <f>IFERROR(O39/P39,"N/A")</f>
        <v>N/A</v>
      </c>
      <c r="AA39" s="197" t="str">
        <f>IFERROR(Q39/R39,"N/A")</f>
        <v>N/A</v>
      </c>
      <c r="AB39" s="197"/>
      <c r="AD39" s="199">
        <f t="shared" si="2"/>
        <v>0</v>
      </c>
    </row>
    <row r="40" spans="1:37" s="31" customFormat="1" ht="14.25" customHeight="1" x14ac:dyDescent="0.25">
      <c r="A40" s="31">
        <f t="shared" si="0"/>
        <v>1</v>
      </c>
      <c r="B40" s="31" t="str">
        <f t="shared" si="1"/>
        <v>N</v>
      </c>
      <c r="C40" s="31" t="s">
        <v>271</v>
      </c>
      <c r="D40" s="31" t="s">
        <v>200</v>
      </c>
      <c r="E40" s="31" t="str">
        <f t="shared" ca="1" si="13"/>
        <v>Southwest Gas</v>
      </c>
      <c r="F40" s="195" t="s">
        <v>105</v>
      </c>
      <c r="G40" s="195">
        <v>95.6</v>
      </c>
      <c r="H40" s="195">
        <v>59.5</v>
      </c>
      <c r="I40" s="196">
        <f t="shared" si="12"/>
        <v>77.55</v>
      </c>
      <c r="J40" s="193">
        <v>3.91</v>
      </c>
      <c r="K40" s="193">
        <v>3.1</v>
      </c>
      <c r="L40" s="193">
        <v>2.48</v>
      </c>
      <c r="M40" s="193">
        <v>12.8</v>
      </c>
      <c r="N40" s="193">
        <v>47.95</v>
      </c>
      <c r="O40" s="193">
        <v>10.45</v>
      </c>
      <c r="P40" s="193">
        <v>12.5</v>
      </c>
      <c r="Q40" s="193">
        <v>12.25</v>
      </c>
      <c r="R40" s="193">
        <v>13</v>
      </c>
      <c r="S40" s="225">
        <v>45072</v>
      </c>
      <c r="T40" s="196">
        <f>IFERROR(I40/J40,"N/A")</f>
        <v>19.833759590792837</v>
      </c>
      <c r="U40" s="197">
        <f>IFERROR(I40/N40,"N/A")</f>
        <v>1.6173096976016683</v>
      </c>
      <c r="V40" s="198">
        <f t="shared" si="5"/>
        <v>5.1720542231491133E-2</v>
      </c>
      <c r="W40" s="197">
        <f t="shared" si="6"/>
        <v>0.79999999999999993</v>
      </c>
      <c r="X40" s="197">
        <f t="shared" si="7"/>
        <v>0.30546875000000001</v>
      </c>
      <c r="Y40" s="198">
        <f>IFERROR(L40/I40,"N/A")</f>
        <v>3.1979368149580918E-2</v>
      </c>
      <c r="Z40" s="197">
        <f t="shared" si="14"/>
        <v>0.83599999999999997</v>
      </c>
      <c r="AA40" s="197">
        <f t="shared" si="10"/>
        <v>0.94230769230769229</v>
      </c>
      <c r="AB40" s="197"/>
      <c r="AD40" s="199">
        <f t="shared" si="2"/>
        <v>225.33999999999997</v>
      </c>
    </row>
    <row r="41" spans="1:37" s="31" customFormat="1" ht="14.25" customHeight="1" x14ac:dyDescent="0.25">
      <c r="A41" s="31">
        <f t="shared" si="0"/>
        <v>1</v>
      </c>
      <c r="B41" s="31" t="str">
        <f t="shared" si="1"/>
        <v>N</v>
      </c>
      <c r="C41" s="31" t="s">
        <v>271</v>
      </c>
      <c r="D41" s="31" t="s">
        <v>244</v>
      </c>
      <c r="E41" s="31" t="str">
        <f t="shared" ca="1" si="13"/>
        <v>Spire Inc.</v>
      </c>
      <c r="F41" s="195">
        <v>17.5</v>
      </c>
      <c r="G41" s="195">
        <v>79.2</v>
      </c>
      <c r="H41" s="195">
        <v>61.5</v>
      </c>
      <c r="I41" s="196">
        <f t="shared" si="12"/>
        <v>70.349999999999994</v>
      </c>
      <c r="J41" s="193">
        <v>8.44</v>
      </c>
      <c r="K41" s="193">
        <v>3.95</v>
      </c>
      <c r="L41" s="193">
        <v>2.74</v>
      </c>
      <c r="M41" s="193">
        <v>10.52</v>
      </c>
      <c r="N41" s="193">
        <v>49.08</v>
      </c>
      <c r="O41" s="193">
        <v>9.35</v>
      </c>
      <c r="P41" s="193">
        <v>13.2</v>
      </c>
      <c r="Q41" s="193">
        <v>11.1</v>
      </c>
      <c r="R41" s="193">
        <v>12</v>
      </c>
      <c r="S41" s="225">
        <v>45072</v>
      </c>
      <c r="T41" s="196">
        <f>IFERROR(I41/J41,"N/A")</f>
        <v>8.3353080568720372</v>
      </c>
      <c r="U41" s="197">
        <f>IFERROR(I41/N41,"N/A")</f>
        <v>1.4333740831295843</v>
      </c>
      <c r="V41" s="198">
        <f t="shared" si="5"/>
        <v>5.5827220863895688E-2</v>
      </c>
      <c r="W41" s="197">
        <f t="shared" si="6"/>
        <v>0.6936708860759494</v>
      </c>
      <c r="X41" s="197">
        <f t="shared" si="7"/>
        <v>0.80228136882129275</v>
      </c>
      <c r="Y41" s="198">
        <f>IFERROR(L41/I41,"N/A")</f>
        <v>3.8948116560056867E-2</v>
      </c>
      <c r="Z41" s="197">
        <f t="shared" si="14"/>
        <v>0.70833333333333337</v>
      </c>
      <c r="AA41" s="197">
        <f t="shared" si="10"/>
        <v>0.92499999999999993</v>
      </c>
      <c r="AB41" s="197"/>
      <c r="AD41" s="199">
        <f t="shared" si="2"/>
        <v>232.93</v>
      </c>
    </row>
    <row r="42" spans="1:37" s="31" customFormat="1" ht="14.25" customHeight="1" x14ac:dyDescent="0.25">
      <c r="A42" s="31">
        <f t="shared" si="0"/>
        <v>1</v>
      </c>
      <c r="B42" s="31" t="str">
        <f t="shared" si="1"/>
        <v>N</v>
      </c>
      <c r="C42" s="31" t="s">
        <v>271</v>
      </c>
      <c r="D42" s="31" t="s">
        <v>204</v>
      </c>
      <c r="E42" s="31" t="str">
        <f t="shared" ca="1" si="13"/>
        <v>UGI Corp.</v>
      </c>
      <c r="F42" s="195">
        <v>14.1</v>
      </c>
      <c r="G42" s="195">
        <v>47</v>
      </c>
      <c r="H42" s="195">
        <v>31.2</v>
      </c>
      <c r="I42" s="196">
        <f t="shared" si="12"/>
        <v>39.1</v>
      </c>
      <c r="J42" s="193">
        <v>5.43</v>
      </c>
      <c r="K42" s="193">
        <v>2.9</v>
      </c>
      <c r="L42" s="193">
        <v>1.41</v>
      </c>
      <c r="M42" s="193">
        <v>3.82</v>
      </c>
      <c r="N42" s="193">
        <v>28.08</v>
      </c>
      <c r="O42" s="193">
        <v>5.4</v>
      </c>
      <c r="P42" s="193">
        <v>4.05</v>
      </c>
      <c r="Q42" s="193">
        <v>6.45</v>
      </c>
      <c r="R42" s="193">
        <v>4.75</v>
      </c>
      <c r="S42" s="225">
        <v>45072</v>
      </c>
      <c r="T42" s="196">
        <f t="shared" si="3"/>
        <v>7.2007366482504613</v>
      </c>
      <c r="U42" s="197">
        <f t="shared" si="4"/>
        <v>1.3924501424501425</v>
      </c>
      <c r="V42" s="198">
        <f t="shared" si="5"/>
        <v>5.0213675213675216E-2</v>
      </c>
      <c r="W42" s="197">
        <f t="shared" si="6"/>
        <v>0.48620689655172411</v>
      </c>
      <c r="X42" s="197">
        <f t="shared" si="7"/>
        <v>1.4214659685863875</v>
      </c>
      <c r="Y42" s="198">
        <f t="shared" si="8"/>
        <v>3.6061381074168793E-2</v>
      </c>
      <c r="Z42" s="197">
        <f t="shared" si="14"/>
        <v>1.3333333333333335</v>
      </c>
      <c r="AA42" s="197">
        <f t="shared" si="10"/>
        <v>1.3578947368421053</v>
      </c>
      <c r="AB42" s="197"/>
      <c r="AD42" s="199">
        <f t="shared" si="2"/>
        <v>133.94</v>
      </c>
    </row>
    <row r="43" spans="1:37" s="31" customFormat="1" ht="14.25" customHeight="1" x14ac:dyDescent="0.25">
      <c r="A43" s="31">
        <f t="shared" si="0"/>
        <v>1</v>
      </c>
      <c r="B43" s="31" t="str">
        <f t="shared" si="1"/>
        <v>E</v>
      </c>
      <c r="C43" s="31" t="s">
        <v>342</v>
      </c>
      <c r="D43" s="31" t="s">
        <v>0</v>
      </c>
      <c r="E43" s="31" t="str">
        <f>VLOOKUP(D43,'[7]MP-CF (WP)'!$B$4:$Y$81,2,FALSE)</f>
        <v xml:space="preserve">ALLETE                        </v>
      </c>
      <c r="F43" s="194">
        <v>18.100000000000001</v>
      </c>
      <c r="G43" s="195">
        <v>68.599999999999994</v>
      </c>
      <c r="H43" s="195">
        <v>47.8</v>
      </c>
      <c r="I43" s="196">
        <f t="shared" si="12"/>
        <v>58.199999999999996</v>
      </c>
      <c r="J43" s="193">
        <v>7.7</v>
      </c>
      <c r="K43" s="193">
        <v>3.38</v>
      </c>
      <c r="L43" s="193">
        <v>2.6</v>
      </c>
      <c r="M43" s="193">
        <v>3.64</v>
      </c>
      <c r="N43" s="193">
        <v>47.06</v>
      </c>
      <c r="O43" s="193">
        <v>8.4499999999999993</v>
      </c>
      <c r="P43" s="193">
        <v>5.95</v>
      </c>
      <c r="Q43" s="193">
        <v>9.5</v>
      </c>
      <c r="R43" s="193">
        <v>7.25</v>
      </c>
      <c r="S43" s="225">
        <v>45086</v>
      </c>
      <c r="T43" s="196">
        <f t="shared" si="3"/>
        <v>7.5584415584415581</v>
      </c>
      <c r="U43" s="197">
        <f t="shared" si="4"/>
        <v>1.2367190820229492</v>
      </c>
      <c r="V43" s="198">
        <f t="shared" si="5"/>
        <v>5.5248618784530384E-2</v>
      </c>
      <c r="W43" s="197">
        <f t="shared" si="6"/>
        <v>0.76923076923076927</v>
      </c>
      <c r="X43" s="197">
        <f t="shared" si="7"/>
        <v>2.1153846153846154</v>
      </c>
      <c r="Y43" s="198">
        <f t="shared" si="8"/>
        <v>4.4673539518900351E-2</v>
      </c>
      <c r="Z43" s="197">
        <f t="shared" si="14"/>
        <v>1.4201680672268906</v>
      </c>
      <c r="AA43" s="197">
        <f t="shared" si="10"/>
        <v>1.3103448275862069</v>
      </c>
      <c r="AB43" s="197"/>
      <c r="AD43" s="199">
        <f t="shared" si="2"/>
        <v>198.87999999999997</v>
      </c>
    </row>
    <row r="44" spans="1:37" s="31" customFormat="1" ht="14.25" customHeight="1" x14ac:dyDescent="0.25">
      <c r="A44" s="31">
        <f t="shared" si="0"/>
        <v>1</v>
      </c>
      <c r="B44" s="31" t="str">
        <f t="shared" si="1"/>
        <v>E</v>
      </c>
      <c r="C44" s="31" t="s">
        <v>342</v>
      </c>
      <c r="D44" s="31" t="s">
        <v>1</v>
      </c>
      <c r="E44" s="31" t="str">
        <f>VLOOKUP(D44,'[7]MP-CF (WP)'!$B$4:$Y$81,2,FALSE)</f>
        <v xml:space="preserve">Alliant Energy                </v>
      </c>
      <c r="F44" s="194">
        <v>21.4</v>
      </c>
      <c r="G44" s="195">
        <v>65.400000000000006</v>
      </c>
      <c r="H44" s="195">
        <v>47.2</v>
      </c>
      <c r="I44" s="196">
        <f t="shared" si="12"/>
        <v>56.300000000000004</v>
      </c>
      <c r="J44" s="193">
        <v>5.4</v>
      </c>
      <c r="K44" s="193">
        <v>2.73</v>
      </c>
      <c r="L44" s="193">
        <v>1.71</v>
      </c>
      <c r="M44" s="193">
        <v>5.91</v>
      </c>
      <c r="N44" s="193">
        <v>24.99</v>
      </c>
      <c r="O44" s="193">
        <v>5.5</v>
      </c>
      <c r="P44" s="193">
        <v>5.8</v>
      </c>
      <c r="Q44" s="193">
        <v>6.45</v>
      </c>
      <c r="R44" s="193">
        <v>5.4</v>
      </c>
      <c r="S44" s="225">
        <v>45086</v>
      </c>
      <c r="T44" s="196">
        <f t="shared" si="3"/>
        <v>10.425925925925926</v>
      </c>
      <c r="U44" s="197">
        <f t="shared" si="4"/>
        <v>2.252901160464186</v>
      </c>
      <c r="V44" s="198">
        <f t="shared" si="5"/>
        <v>6.8427370948379349E-2</v>
      </c>
      <c r="W44" s="197">
        <f t="shared" si="6"/>
        <v>0.62637362637362637</v>
      </c>
      <c r="X44" s="197">
        <f t="shared" si="7"/>
        <v>0.91370558375634525</v>
      </c>
      <c r="Y44" s="198">
        <f t="shared" si="8"/>
        <v>3.0373001776198932E-2</v>
      </c>
      <c r="Z44" s="197">
        <f t="shared" si="14"/>
        <v>0.94827586206896552</v>
      </c>
      <c r="AA44" s="197">
        <f t="shared" si="10"/>
        <v>1.1944444444444444</v>
      </c>
      <c r="AB44" s="197"/>
      <c r="AD44" s="199">
        <f t="shared" si="2"/>
        <v>174.74</v>
      </c>
    </row>
    <row r="45" spans="1:37" s="31" customFormat="1" ht="14.25" customHeight="1" x14ac:dyDescent="0.25">
      <c r="A45" s="31">
        <f t="shared" si="0"/>
        <v>1</v>
      </c>
      <c r="B45" s="31" t="str">
        <f t="shared" si="1"/>
        <v>E</v>
      </c>
      <c r="C45" s="31" t="s">
        <v>342</v>
      </c>
      <c r="D45" s="31" t="s">
        <v>3</v>
      </c>
      <c r="E45" s="31" t="str">
        <f>VLOOKUP(D45,'[7]MP-CF (WP)'!$B$4:$Y$81,2,FALSE)</f>
        <v xml:space="preserve">Ameren Corp.                  </v>
      </c>
      <c r="F45" s="194">
        <v>21.5</v>
      </c>
      <c r="G45" s="195">
        <v>99.2</v>
      </c>
      <c r="H45" s="195">
        <v>73.3</v>
      </c>
      <c r="I45" s="196">
        <f t="shared" si="12"/>
        <v>86.25</v>
      </c>
      <c r="J45" s="193">
        <v>9.0399999999999991</v>
      </c>
      <c r="K45" s="193">
        <v>4.1399999999999997</v>
      </c>
      <c r="L45" s="193">
        <v>2.36</v>
      </c>
      <c r="M45" s="193">
        <v>12.79</v>
      </c>
      <c r="N45" s="193">
        <v>40.11</v>
      </c>
      <c r="O45" s="193">
        <v>9.5</v>
      </c>
      <c r="P45" s="193">
        <v>12.9</v>
      </c>
      <c r="Q45" s="193">
        <v>12.2</v>
      </c>
      <c r="R45" s="193">
        <v>13</v>
      </c>
      <c r="S45" s="225">
        <v>45086</v>
      </c>
      <c r="T45" s="196">
        <f t="shared" si="3"/>
        <v>9.5409292035398234</v>
      </c>
      <c r="U45" s="197">
        <f t="shared" si="4"/>
        <v>2.150336574420344</v>
      </c>
      <c r="V45" s="198">
        <f t="shared" si="5"/>
        <v>5.8838194963849413E-2</v>
      </c>
      <c r="W45" s="197">
        <f t="shared" si="6"/>
        <v>0.57004830917874394</v>
      </c>
      <c r="X45" s="197">
        <f t="shared" si="7"/>
        <v>0.70680218921032056</v>
      </c>
      <c r="Y45" s="198">
        <f t="shared" si="8"/>
        <v>2.736231884057971E-2</v>
      </c>
      <c r="Z45" s="197">
        <f t="shared" si="14"/>
        <v>0.73643410852713176</v>
      </c>
      <c r="AA45" s="197">
        <f t="shared" si="10"/>
        <v>0.93846153846153846</v>
      </c>
      <c r="AB45" s="197"/>
      <c r="AD45" s="199">
        <f t="shared" si="2"/>
        <v>262.44</v>
      </c>
    </row>
    <row r="46" spans="1:37" s="31" customFormat="1" ht="14.25" customHeight="1" x14ac:dyDescent="0.25">
      <c r="A46" s="31">
        <f t="shared" si="0"/>
        <v>1</v>
      </c>
      <c r="B46" s="31" t="str">
        <f t="shared" si="1"/>
        <v>E</v>
      </c>
      <c r="C46" s="31" t="s">
        <v>342</v>
      </c>
      <c r="D46" s="31" t="s">
        <v>2</v>
      </c>
      <c r="E46" s="31" t="str">
        <f>VLOOKUP(D46,'[7]MP-CF (WP)'!$B$4:$Y$81,2,FALSE)</f>
        <v>American Electric Power</v>
      </c>
      <c r="F46" s="194">
        <v>21.1</v>
      </c>
      <c r="G46" s="195">
        <v>105.6</v>
      </c>
      <c r="H46" s="195">
        <v>80.3</v>
      </c>
      <c r="I46" s="196">
        <f t="shared" si="12"/>
        <v>92.949999999999989</v>
      </c>
      <c r="J46" s="193">
        <v>10.72</v>
      </c>
      <c r="K46" s="193">
        <v>5.09</v>
      </c>
      <c r="L46" s="193">
        <v>3.17</v>
      </c>
      <c r="M46" s="193">
        <v>13.18</v>
      </c>
      <c r="N46" s="193">
        <v>46.6</v>
      </c>
      <c r="O46" s="193">
        <v>11</v>
      </c>
      <c r="P46" s="193">
        <v>15.35</v>
      </c>
      <c r="Q46" s="193">
        <v>14.75</v>
      </c>
      <c r="R46" s="193">
        <v>14</v>
      </c>
      <c r="S46" s="225">
        <v>45086</v>
      </c>
      <c r="T46" s="196">
        <f t="shared" si="3"/>
        <v>8.6707089552238799</v>
      </c>
      <c r="U46" s="197">
        <f>IFERROR(I46/N46,"")</f>
        <v>1.9946351931330468</v>
      </c>
      <c r="V46" s="198">
        <f t="shared" si="5"/>
        <v>6.8025751072961368E-2</v>
      </c>
      <c r="W46" s="197">
        <f t="shared" si="6"/>
        <v>0.62278978388998041</v>
      </c>
      <c r="X46" s="197">
        <f t="shared" si="7"/>
        <v>0.8133535660091048</v>
      </c>
      <c r="Y46" s="198">
        <f t="shared" si="8"/>
        <v>3.4104357181280263E-2</v>
      </c>
      <c r="Z46" s="197">
        <f t="shared" si="14"/>
        <v>0.71661237785016285</v>
      </c>
      <c r="AA46" s="197">
        <f t="shared" si="10"/>
        <v>1.0535714285714286</v>
      </c>
      <c r="AB46" s="197"/>
      <c r="AD46" s="199">
        <f t="shared" si="2"/>
        <v>285.76</v>
      </c>
    </row>
    <row r="47" spans="1:37" s="31" customFormat="1" ht="14.25" customHeight="1" x14ac:dyDescent="0.25">
      <c r="A47" s="31">
        <f t="shared" si="0"/>
        <v>1</v>
      </c>
      <c r="B47" s="31" t="str">
        <f t="shared" si="1"/>
        <v>E</v>
      </c>
      <c r="C47" s="31" t="s">
        <v>342</v>
      </c>
      <c r="D47" s="31" t="s">
        <v>6</v>
      </c>
      <c r="E47" s="31" t="str">
        <f>VLOOKUP(D47,'[7]MP-CF (WP)'!$B$4:$Y$81,2,FALSE)</f>
        <v xml:space="preserve">CenterPoint Energy            </v>
      </c>
      <c r="F47" s="194">
        <v>18.7</v>
      </c>
      <c r="G47" s="195">
        <v>33.5</v>
      </c>
      <c r="H47" s="195">
        <v>25</v>
      </c>
      <c r="I47" s="196">
        <f t="shared" si="12"/>
        <v>29.25</v>
      </c>
      <c r="J47" s="193">
        <v>3.65</v>
      </c>
      <c r="K47" s="193">
        <v>1.59</v>
      </c>
      <c r="L47" s="193">
        <v>0.72</v>
      </c>
      <c r="M47" s="193">
        <v>7.02</v>
      </c>
      <c r="N47" s="193">
        <v>14.68</v>
      </c>
      <c r="O47" s="193">
        <v>3.8</v>
      </c>
      <c r="P47" s="193">
        <v>6.65</v>
      </c>
      <c r="Q47" s="193">
        <v>4.75</v>
      </c>
      <c r="R47" s="193">
        <v>9</v>
      </c>
      <c r="S47" s="225">
        <v>45086</v>
      </c>
      <c r="T47" s="196">
        <f t="shared" si="3"/>
        <v>8.0136986301369859</v>
      </c>
      <c r="U47" s="197">
        <f t="shared" si="4"/>
        <v>1.992506811989101</v>
      </c>
      <c r="V47" s="198">
        <f t="shared" si="5"/>
        <v>4.9046321525885561E-2</v>
      </c>
      <c r="W47" s="197">
        <f t="shared" si="6"/>
        <v>0.45283018867924524</v>
      </c>
      <c r="X47" s="197">
        <f t="shared" si="7"/>
        <v>0.51994301994301995</v>
      </c>
      <c r="Y47" s="198">
        <f t="shared" si="8"/>
        <v>2.4615384615384615E-2</v>
      </c>
      <c r="Z47" s="197">
        <f t="shared" si="14"/>
        <v>0.5714285714285714</v>
      </c>
      <c r="AA47" s="197">
        <f t="shared" si="10"/>
        <v>0.52777777777777779</v>
      </c>
      <c r="AB47" s="197"/>
      <c r="AD47" s="199">
        <f t="shared" si="2"/>
        <v>104.86000000000001</v>
      </c>
    </row>
    <row r="48" spans="1:37" s="31" customFormat="1" ht="14.25" customHeight="1" x14ac:dyDescent="0.25">
      <c r="A48" s="31">
        <f t="shared" si="0"/>
        <v>1</v>
      </c>
      <c r="B48" s="31" t="str">
        <f t="shared" si="1"/>
        <v>E</v>
      </c>
      <c r="C48" s="31" t="s">
        <v>342</v>
      </c>
      <c r="D48" s="31" t="s">
        <v>9</v>
      </c>
      <c r="E48" s="31" t="str">
        <f>VLOOKUP(D48,'[7]MP-CF (WP)'!$B$4:$Y$81,2,FALSE)</f>
        <v xml:space="preserve">CMS Energy Corp.              </v>
      </c>
      <c r="F48" s="194">
        <v>22.9</v>
      </c>
      <c r="G48" s="195">
        <v>73.8</v>
      </c>
      <c r="H48" s="195">
        <v>52.4</v>
      </c>
      <c r="I48" s="196">
        <f t="shared" si="12"/>
        <v>63.099999999999994</v>
      </c>
      <c r="J48" s="193">
        <v>6.69</v>
      </c>
      <c r="K48" s="193">
        <v>2.84</v>
      </c>
      <c r="L48" s="193">
        <v>1.84</v>
      </c>
      <c r="M48" s="193">
        <v>8.15</v>
      </c>
      <c r="N48" s="193">
        <v>23.32</v>
      </c>
      <c r="O48" s="193">
        <v>7.85</v>
      </c>
      <c r="P48" s="193">
        <v>8.5</v>
      </c>
      <c r="Q48" s="193">
        <v>9</v>
      </c>
      <c r="R48" s="193">
        <v>9.75</v>
      </c>
      <c r="S48" s="225">
        <v>45086</v>
      </c>
      <c r="T48" s="196">
        <f>IFERROR(I48/J48,"N/A")</f>
        <v>9.4319880418535114</v>
      </c>
      <c r="U48" s="197">
        <f>IFERROR(I48/N48,"N/A")</f>
        <v>2.7058319039451111</v>
      </c>
      <c r="V48" s="198">
        <f t="shared" si="5"/>
        <v>7.8902229845626073E-2</v>
      </c>
      <c r="W48" s="197">
        <f t="shared" si="6"/>
        <v>0.647887323943662</v>
      </c>
      <c r="X48" s="197">
        <f t="shared" si="7"/>
        <v>0.82085889570552151</v>
      </c>
      <c r="Y48" s="198">
        <f>IFERROR(L48/I48,"N/A")</f>
        <v>2.916006339144216E-2</v>
      </c>
      <c r="Z48" s="197">
        <f t="shared" si="14"/>
        <v>0.92352941176470582</v>
      </c>
      <c r="AA48" s="197">
        <f t="shared" si="10"/>
        <v>0.92307692307692313</v>
      </c>
      <c r="AB48" s="197"/>
      <c r="AD48" s="199">
        <f t="shared" si="2"/>
        <v>191.94</v>
      </c>
    </row>
    <row r="49" spans="1:30" s="31" customFormat="1" ht="14.25" customHeight="1" x14ac:dyDescent="0.25">
      <c r="A49" s="31">
        <f t="shared" si="0"/>
        <v>1</v>
      </c>
      <c r="B49" s="31" t="str">
        <f t="shared" si="1"/>
        <v>E</v>
      </c>
      <c r="C49" s="31" t="s">
        <v>342</v>
      </c>
      <c r="D49" s="31" t="s">
        <v>12</v>
      </c>
      <c r="E49" s="31" t="str">
        <f>VLOOKUP(D49,'[7]MP-CF (WP)'!$B$4:$Y$81,2,FALSE)</f>
        <v xml:space="preserve">DTE Energy                    </v>
      </c>
      <c r="F49" s="194">
        <v>22.4</v>
      </c>
      <c r="G49" s="195">
        <v>121.3</v>
      </c>
      <c r="H49" s="195">
        <v>102.3</v>
      </c>
      <c r="I49" s="196">
        <f t="shared" si="12"/>
        <v>111.8</v>
      </c>
      <c r="J49" s="193">
        <v>14.05</v>
      </c>
      <c r="K49" s="193">
        <v>5.52</v>
      </c>
      <c r="L49" s="193">
        <v>3.54</v>
      </c>
      <c r="M49" s="193">
        <v>16.420000000000002</v>
      </c>
      <c r="N49" s="193">
        <v>46.35</v>
      </c>
      <c r="O49" s="193">
        <v>14.05</v>
      </c>
      <c r="P49" s="193">
        <v>17.05</v>
      </c>
      <c r="Q49" s="193">
        <v>17.05</v>
      </c>
      <c r="R49" s="193">
        <v>18.5</v>
      </c>
      <c r="S49" s="225">
        <v>45086</v>
      </c>
      <c r="T49" s="197">
        <f t="shared" si="3"/>
        <v>7.9572953736654801</v>
      </c>
      <c r="U49" s="197">
        <f t="shared" si="4"/>
        <v>2.4120819848975188</v>
      </c>
      <c r="V49" s="198">
        <f t="shared" si="5"/>
        <v>7.6375404530744331E-2</v>
      </c>
      <c r="W49" s="197">
        <f t="shared" si="6"/>
        <v>0.64130434782608703</v>
      </c>
      <c r="X49" s="197">
        <f t="shared" si="7"/>
        <v>0.85566382460414125</v>
      </c>
      <c r="Y49" s="198">
        <f t="shared" si="8"/>
        <v>3.1663685152057246E-2</v>
      </c>
      <c r="Z49" s="197">
        <f t="shared" si="14"/>
        <v>0.82404692082111441</v>
      </c>
      <c r="AA49" s="197">
        <f t="shared" si="10"/>
        <v>0.92162162162162165</v>
      </c>
      <c r="AB49" s="197"/>
      <c r="AC49" s="199"/>
      <c r="AD49" s="199">
        <f t="shared" si="2"/>
        <v>331.88000000000005</v>
      </c>
    </row>
    <row r="50" spans="1:30" s="31" customFormat="1" ht="14.25" customHeight="1" x14ac:dyDescent="0.25">
      <c r="A50" s="31">
        <f t="shared" si="0"/>
        <v>1</v>
      </c>
      <c r="B50" s="31" t="str">
        <f t="shared" si="1"/>
        <v>E</v>
      </c>
      <c r="C50" s="31" t="s">
        <v>342</v>
      </c>
      <c r="D50" s="31" t="s">
        <v>17</v>
      </c>
      <c r="E50" s="31" t="str">
        <f>VLOOKUP(D50,'[7]MP-CF (WP)'!$B$4:$Y$81,2,FALSE)</f>
        <v xml:space="preserve">Entergy Corp.                 </v>
      </c>
      <c r="F50" s="194">
        <v>21.1</v>
      </c>
      <c r="G50" s="195">
        <v>126.8</v>
      </c>
      <c r="H50" s="195">
        <v>94.9</v>
      </c>
      <c r="I50" s="196">
        <f t="shared" si="12"/>
        <v>110.85</v>
      </c>
      <c r="J50" s="193">
        <v>15.51</v>
      </c>
      <c r="K50" s="193">
        <v>5.37</v>
      </c>
      <c r="L50" s="193">
        <v>4.0999999999999996</v>
      </c>
      <c r="M50" s="193">
        <v>25.04</v>
      </c>
      <c r="N50" s="193">
        <v>61.4</v>
      </c>
      <c r="O50" s="193">
        <v>16.95</v>
      </c>
      <c r="P50" s="193">
        <v>20</v>
      </c>
      <c r="Q50" s="193">
        <v>18.899999999999999</v>
      </c>
      <c r="R50" s="193">
        <v>19.75</v>
      </c>
      <c r="S50" s="225">
        <v>45086</v>
      </c>
      <c r="T50" s="196">
        <f t="shared" si="3"/>
        <v>7.147001934235977</v>
      </c>
      <c r="U50" s="197">
        <f t="shared" si="4"/>
        <v>1.8053745928338762</v>
      </c>
      <c r="V50" s="198">
        <f t="shared" si="5"/>
        <v>6.6775244299674269E-2</v>
      </c>
      <c r="W50" s="197">
        <f t="shared" si="6"/>
        <v>0.76350093109869643</v>
      </c>
      <c r="X50" s="197">
        <f t="shared" si="7"/>
        <v>0.61940894568690097</v>
      </c>
      <c r="Y50" s="198">
        <f t="shared" si="8"/>
        <v>3.6986919260261611E-2</v>
      </c>
      <c r="Z50" s="197">
        <f t="shared" si="14"/>
        <v>0.84749999999999992</v>
      </c>
      <c r="AA50" s="197">
        <f t="shared" si="10"/>
        <v>0.95696202531645558</v>
      </c>
      <c r="AB50" s="197"/>
      <c r="AD50" s="199">
        <f t="shared" si="2"/>
        <v>354.22</v>
      </c>
    </row>
    <row r="51" spans="1:30" s="31" customFormat="1" ht="14.25" customHeight="1" x14ac:dyDescent="0.25">
      <c r="A51" s="31">
        <f t="shared" si="0"/>
        <v>1</v>
      </c>
      <c r="B51" s="31" t="str">
        <f t="shared" si="1"/>
        <v>E</v>
      </c>
      <c r="C51" s="31" t="s">
        <v>342</v>
      </c>
      <c r="D51" s="31" t="s">
        <v>447</v>
      </c>
      <c r="E51" s="31" t="s">
        <v>448</v>
      </c>
      <c r="F51" s="194">
        <v>19.899999999999999</v>
      </c>
      <c r="G51" s="195">
        <v>73.099999999999994</v>
      </c>
      <c r="H51" s="195">
        <v>54.1</v>
      </c>
      <c r="I51" s="196">
        <f t="shared" si="12"/>
        <v>63.599999999999994</v>
      </c>
      <c r="J51" s="193">
        <v>7.34</v>
      </c>
      <c r="K51" s="193">
        <v>3.26</v>
      </c>
      <c r="L51" s="193">
        <v>2.33</v>
      </c>
      <c r="M51" s="193">
        <v>9.41</v>
      </c>
      <c r="N51" s="193">
        <v>41.86</v>
      </c>
      <c r="O51" s="193">
        <v>7.95</v>
      </c>
      <c r="P51" s="193">
        <v>9.1999999999999993</v>
      </c>
      <c r="Q51" s="193">
        <v>9.1999999999999993</v>
      </c>
      <c r="R51" s="193">
        <v>9.5</v>
      </c>
      <c r="S51" s="225">
        <v>45086</v>
      </c>
      <c r="T51" s="196">
        <f t="shared" si="3"/>
        <v>8.6648501362397816</v>
      </c>
      <c r="U51" s="197">
        <f t="shared" si="4"/>
        <v>1.5193502150023888</v>
      </c>
      <c r="V51" s="198">
        <f t="shared" si="5"/>
        <v>5.5661729574773056E-2</v>
      </c>
      <c r="W51" s="197">
        <f t="shared" si="6"/>
        <v>0.71472392638036819</v>
      </c>
      <c r="X51" s="197">
        <f t="shared" si="7"/>
        <v>0.78002125398512223</v>
      </c>
      <c r="Y51" s="198">
        <f t="shared" si="8"/>
        <v>3.6635220125786169E-2</v>
      </c>
      <c r="Z51" s="197">
        <f t="shared" si="14"/>
        <v>0.86413043478260876</v>
      </c>
      <c r="AA51" s="197">
        <f t="shared" si="10"/>
        <v>0.96842105263157885</v>
      </c>
      <c r="AB51" s="197"/>
      <c r="AD51" s="199">
        <f t="shared" si="2"/>
        <v>211.3</v>
      </c>
    </row>
    <row r="52" spans="1:30" s="31" customFormat="1" ht="14.25" customHeight="1" x14ac:dyDescent="0.25">
      <c r="A52" s="31">
        <f t="shared" si="0"/>
        <v>1</v>
      </c>
      <c r="B52" s="31" t="str">
        <f t="shared" si="1"/>
        <v>E</v>
      </c>
      <c r="C52" s="31" t="s">
        <v>342</v>
      </c>
      <c r="D52" s="31" t="s">
        <v>266</v>
      </c>
      <c r="E52" s="31" t="str">
        <f>VLOOKUP(D52,'[7]MP-CF (WP)'!$B$4:$Y$81,2,FALSE)</f>
        <v>Fortis Inc.</v>
      </c>
      <c r="F52" s="194">
        <v>21.1</v>
      </c>
      <c r="G52" s="195">
        <v>65.400000000000006</v>
      </c>
      <c r="H52" s="195">
        <v>48.2</v>
      </c>
      <c r="I52" s="196">
        <f t="shared" si="12"/>
        <v>56.800000000000004</v>
      </c>
      <c r="J52" s="193">
        <v>6.24</v>
      </c>
      <c r="K52" s="193">
        <v>2.78</v>
      </c>
      <c r="L52" s="193">
        <v>2.17</v>
      </c>
      <c r="M52" s="193">
        <v>7.02</v>
      </c>
      <c r="N52" s="193">
        <v>36.44</v>
      </c>
      <c r="O52" s="193">
        <v>6.4</v>
      </c>
      <c r="P52" s="193">
        <v>7.85</v>
      </c>
      <c r="Q52" s="193">
        <v>7.5</v>
      </c>
      <c r="R52" s="193">
        <v>8.25</v>
      </c>
      <c r="S52" s="225">
        <v>45086</v>
      </c>
      <c r="T52" s="196">
        <f>IFERROR(I52/J52,"N/A")</f>
        <v>9.1025641025641022</v>
      </c>
      <c r="U52" s="197">
        <f>IFERROR(I52/N52,"N/A")</f>
        <v>1.5587266739846324</v>
      </c>
      <c r="V52" s="198">
        <f>IFERROR(L52/N52,"N/A")</f>
        <v>5.9549945115257963E-2</v>
      </c>
      <c r="W52" s="197">
        <f>IFERROR(L52/K52,"N/A")</f>
        <v>0.78057553956834536</v>
      </c>
      <c r="X52" s="197">
        <f>IFERROR(J52/M52,"N/A")</f>
        <v>0.88888888888888895</v>
      </c>
      <c r="Y52" s="198">
        <f>IFERROR(L52/I52,"N/A")</f>
        <v>3.8204225352112674E-2</v>
      </c>
      <c r="Z52" s="197">
        <f>IFERROR(O52/P52,"N/A")</f>
        <v>0.8152866242038217</v>
      </c>
      <c r="AA52" s="197">
        <f>IFERROR(Q52/R52,"N/A")</f>
        <v>0.90909090909090906</v>
      </c>
      <c r="AB52" s="197"/>
      <c r="AD52" s="199">
        <f t="shared" si="2"/>
        <v>189.35</v>
      </c>
    </row>
    <row r="53" spans="1:30" s="31" customFormat="1" ht="14.25" customHeight="1" x14ac:dyDescent="0.25">
      <c r="A53" s="31">
        <f t="shared" si="0"/>
        <v>1</v>
      </c>
      <c r="B53" s="31" t="str">
        <f t="shared" si="1"/>
        <v>E</v>
      </c>
      <c r="C53" s="31" t="s">
        <v>342</v>
      </c>
      <c r="D53" s="31" t="s">
        <v>25</v>
      </c>
      <c r="E53" s="31" t="str">
        <f>VLOOKUP(D53,'[7]MP-CF (WP)'!$B$4:$Y$81,2,FALSE)</f>
        <v xml:space="preserve">MGE Energy                    </v>
      </c>
      <c r="F53" s="194">
        <v>24.7</v>
      </c>
      <c r="G53" s="195">
        <v>86.3</v>
      </c>
      <c r="H53" s="195">
        <v>61.7</v>
      </c>
      <c r="I53" s="196">
        <f t="shared" si="12"/>
        <v>74</v>
      </c>
      <c r="J53" s="193">
        <v>5.43</v>
      </c>
      <c r="K53" s="193">
        <v>3.07</v>
      </c>
      <c r="L53" s="193">
        <v>1.59</v>
      </c>
      <c r="M53" s="193">
        <v>4.84</v>
      </c>
      <c r="N53" s="193">
        <v>29.91</v>
      </c>
      <c r="O53" s="193">
        <v>5.85</v>
      </c>
      <c r="P53" s="193">
        <v>4.6500000000000004</v>
      </c>
      <c r="Q53" s="193">
        <v>7</v>
      </c>
      <c r="R53" s="193">
        <v>5.25</v>
      </c>
      <c r="S53" s="225">
        <v>45086</v>
      </c>
      <c r="T53" s="56">
        <f>IFERROR(I53/J53,"N/A")</f>
        <v>13.627992633517495</v>
      </c>
      <c r="U53" s="247">
        <f>IFERROR(I53/N53,"N/A")</f>
        <v>2.4740889334670677</v>
      </c>
      <c r="V53" s="248">
        <f t="shared" si="5"/>
        <v>5.3159478435305919E-2</v>
      </c>
      <c r="W53" s="247">
        <f t="shared" si="6"/>
        <v>0.51791530944625408</v>
      </c>
      <c r="X53" s="247">
        <f t="shared" si="7"/>
        <v>1.1219008264462809</v>
      </c>
      <c r="Y53" s="248">
        <f>IFERROR(L53/I53,"N/A")</f>
        <v>2.1486486486486489E-2</v>
      </c>
      <c r="Z53" s="247">
        <f t="shared" si="14"/>
        <v>1.258064516129032</v>
      </c>
      <c r="AA53" s="247">
        <f t="shared" si="10"/>
        <v>1.3333333333333333</v>
      </c>
      <c r="AB53" s="197"/>
      <c r="AD53" s="199">
        <f t="shared" si="2"/>
        <v>217.54</v>
      </c>
    </row>
    <row r="54" spans="1:30" s="31" customFormat="1" ht="14.25" customHeight="1" x14ac:dyDescent="0.25">
      <c r="A54" s="31">
        <f t="shared" si="0"/>
        <v>1</v>
      </c>
      <c r="B54" s="31" t="str">
        <f t="shared" si="1"/>
        <v>E</v>
      </c>
      <c r="C54" s="31" t="s">
        <v>342</v>
      </c>
      <c r="D54" s="31" t="s">
        <v>27</v>
      </c>
      <c r="E54" s="31" t="str">
        <f>VLOOKUP(D54,'[7]MP-CF (WP)'!$B$4:$Y$81,2,FALSE)</f>
        <v xml:space="preserve">OGE Energy                    </v>
      </c>
      <c r="F54" s="194">
        <v>17.2</v>
      </c>
      <c r="G54" s="195">
        <v>42.9</v>
      </c>
      <c r="H54" s="195">
        <v>33.299999999999997</v>
      </c>
      <c r="I54" s="196">
        <f t="shared" si="12"/>
        <v>38.099999999999994</v>
      </c>
      <c r="J54" s="193">
        <v>4.5599999999999996</v>
      </c>
      <c r="K54" s="193">
        <v>2.25</v>
      </c>
      <c r="L54" s="193">
        <v>1.64</v>
      </c>
      <c r="M54" s="193">
        <v>5.25</v>
      </c>
      <c r="N54" s="193">
        <v>21.95</v>
      </c>
      <c r="O54" s="193">
        <v>4.5999999999999996</v>
      </c>
      <c r="P54" s="193">
        <v>4.75</v>
      </c>
      <c r="Q54" s="193">
        <v>6.25</v>
      </c>
      <c r="R54" s="193">
        <v>4.75</v>
      </c>
      <c r="S54" s="225">
        <v>45086</v>
      </c>
      <c r="T54" s="196">
        <f>IFERROR(I54/J54,"N/A")</f>
        <v>8.3552631578947363</v>
      </c>
      <c r="U54" s="197">
        <f>IFERROR(I54/N54,"N/A")</f>
        <v>1.7357630979498859</v>
      </c>
      <c r="V54" s="198">
        <f t="shared" si="5"/>
        <v>7.471526195899772E-2</v>
      </c>
      <c r="W54" s="197">
        <f t="shared" si="6"/>
        <v>0.72888888888888881</v>
      </c>
      <c r="X54" s="197">
        <f t="shared" si="7"/>
        <v>0.86857142857142855</v>
      </c>
      <c r="Y54" s="198">
        <f>IFERROR(L54/I54,"N/A")</f>
        <v>4.3044619422572185E-2</v>
      </c>
      <c r="Z54" s="197">
        <f t="shared" si="14"/>
        <v>0.96842105263157885</v>
      </c>
      <c r="AA54" s="197">
        <f t="shared" si="10"/>
        <v>1.3157894736842106</v>
      </c>
      <c r="AB54" s="197"/>
      <c r="AD54" s="199">
        <f t="shared" si="2"/>
        <v>129.04999999999998</v>
      </c>
    </row>
    <row r="55" spans="1:30" s="31" customFormat="1" ht="14.25" customHeight="1" x14ac:dyDescent="0.25">
      <c r="A55" s="31">
        <f t="shared" si="0"/>
        <v>1</v>
      </c>
      <c r="B55" s="31" t="str">
        <f t="shared" si="1"/>
        <v>E</v>
      </c>
      <c r="C55" s="31" t="s">
        <v>342</v>
      </c>
      <c r="D55" s="31" t="s">
        <v>28</v>
      </c>
      <c r="E55" s="31" t="str">
        <f>VLOOKUP(D55,'[7]MP-CF (WP)'!$B$4:$Y$81,2,FALSE)</f>
        <v xml:space="preserve">Otter Tail Corp.              </v>
      </c>
      <c r="F55" s="194">
        <v>9.5</v>
      </c>
      <c r="G55" s="195">
        <v>82.5</v>
      </c>
      <c r="H55" s="195">
        <v>52.6</v>
      </c>
      <c r="I55" s="196">
        <f t="shared" si="12"/>
        <v>67.55</v>
      </c>
      <c r="J55" s="193">
        <v>8.77</v>
      </c>
      <c r="K55" s="193">
        <v>6.78</v>
      </c>
      <c r="L55" s="193">
        <v>1.65</v>
      </c>
      <c r="M55" s="193">
        <v>4.1100000000000003</v>
      </c>
      <c r="N55" s="193">
        <v>29.4</v>
      </c>
      <c r="O55" s="193">
        <v>6.4</v>
      </c>
      <c r="P55" s="193">
        <v>5.9</v>
      </c>
      <c r="Q55" s="193">
        <v>6</v>
      </c>
      <c r="R55" s="193">
        <v>6.25</v>
      </c>
      <c r="S55" s="225">
        <v>45086</v>
      </c>
      <c r="T55" s="196">
        <f>IFERROR(I55/J55,"N/A")</f>
        <v>7.7023945267958949</v>
      </c>
      <c r="U55" s="197">
        <f>IFERROR(I55/N55,"N/A")</f>
        <v>2.2976190476190474</v>
      </c>
      <c r="V55" s="198">
        <f t="shared" si="5"/>
        <v>5.6122448979591837E-2</v>
      </c>
      <c r="W55" s="197">
        <f t="shared" si="6"/>
        <v>0.24336283185840707</v>
      </c>
      <c r="X55" s="197">
        <f t="shared" si="7"/>
        <v>2.1338199513381992</v>
      </c>
      <c r="Y55" s="198">
        <f>IFERROR(L55/I55,"N/A")</f>
        <v>2.4426350851221319E-2</v>
      </c>
      <c r="Z55" s="197">
        <f t="shared" si="14"/>
        <v>1.0847457627118644</v>
      </c>
      <c r="AA55" s="197">
        <f t="shared" si="10"/>
        <v>0.96</v>
      </c>
      <c r="AB55" s="197"/>
      <c r="AD55" s="199">
        <f t="shared" si="2"/>
        <v>195.31000000000003</v>
      </c>
    </row>
    <row r="56" spans="1:30" s="31" customFormat="1" ht="14.25" customHeight="1" x14ac:dyDescent="0.25">
      <c r="A56" s="31">
        <f t="shared" si="0"/>
        <v>1</v>
      </c>
      <c r="B56" s="31" t="str">
        <f t="shared" si="1"/>
        <v>E</v>
      </c>
      <c r="C56" s="31" t="s">
        <v>342</v>
      </c>
      <c r="D56" s="31" t="s">
        <v>44</v>
      </c>
      <c r="E56" s="31" t="str">
        <f>VLOOKUP(D56,'[7]MP-CF (WP)'!$B$4:$Y$81,2,FALSE)</f>
        <v>WEC Energy Group</v>
      </c>
      <c r="F56" s="194">
        <v>21.9</v>
      </c>
      <c r="G56" s="195">
        <v>108.4</v>
      </c>
      <c r="H56" s="195">
        <v>80.8</v>
      </c>
      <c r="I56" s="196">
        <f t="shared" si="12"/>
        <v>94.6</v>
      </c>
      <c r="J56" s="193">
        <v>8.01</v>
      </c>
      <c r="K56" s="193">
        <v>4.46</v>
      </c>
      <c r="L56" s="193">
        <v>2.91</v>
      </c>
      <c r="M56" s="193">
        <v>7.34</v>
      </c>
      <c r="N56" s="193">
        <v>36.76</v>
      </c>
      <c r="O56" s="193">
        <v>8.6</v>
      </c>
      <c r="P56" s="193">
        <v>9.3000000000000007</v>
      </c>
      <c r="Q56" s="193">
        <v>10.65</v>
      </c>
      <c r="R56" s="193">
        <v>9.25</v>
      </c>
      <c r="S56" s="225">
        <v>45086</v>
      </c>
      <c r="T56" s="196">
        <f t="shared" si="3"/>
        <v>11.81023720349563</v>
      </c>
      <c r="U56" s="197">
        <f t="shared" si="4"/>
        <v>2.5734494015233951</v>
      </c>
      <c r="V56" s="198">
        <f t="shared" si="5"/>
        <v>7.9162132752992387E-2</v>
      </c>
      <c r="W56" s="197">
        <f t="shared" si="6"/>
        <v>0.65246636771300448</v>
      </c>
      <c r="X56" s="197">
        <f t="shared" si="7"/>
        <v>1.0912806539509536</v>
      </c>
      <c r="Y56" s="198">
        <f t="shared" si="8"/>
        <v>3.0761099365750531E-2</v>
      </c>
      <c r="Z56" s="197">
        <f t="shared" si="14"/>
        <v>0.92473118279569877</v>
      </c>
      <c r="AA56" s="197">
        <f t="shared" si="10"/>
        <v>1.1513513513513514</v>
      </c>
      <c r="AB56" s="197"/>
      <c r="AD56" s="199">
        <f t="shared" si="2"/>
        <v>270.58000000000004</v>
      </c>
    </row>
    <row r="57" spans="1:30" s="31" customFormat="1" ht="14.25" customHeight="1" x14ac:dyDescent="0.25">
      <c r="A57" s="31">
        <f t="shared" si="0"/>
        <v>1</v>
      </c>
      <c r="B57" s="31" t="str">
        <f t="shared" si="1"/>
        <v>E</v>
      </c>
      <c r="C57" s="31" t="s">
        <v>269</v>
      </c>
      <c r="D57" s="31" t="s">
        <v>4</v>
      </c>
      <c r="E57" s="31" t="str">
        <f>VLOOKUP(D57,'[6]MP-CF (WP)'!$B$4:$Y$81,2,FALSE)</f>
        <v xml:space="preserve">Avista Corp.                  </v>
      </c>
      <c r="F57" s="195">
        <v>20</v>
      </c>
      <c r="G57" s="193">
        <v>46.9</v>
      </c>
      <c r="H57" s="193">
        <v>35.700000000000003</v>
      </c>
      <c r="I57" s="196">
        <f t="shared" si="12"/>
        <v>41.3</v>
      </c>
      <c r="J57" s="193">
        <v>4.4000000000000004</v>
      </c>
      <c r="K57" s="193">
        <v>2.12</v>
      </c>
      <c r="L57" s="193">
        <v>1.76</v>
      </c>
      <c r="M57" s="193">
        <v>6.03</v>
      </c>
      <c r="N57" s="193">
        <v>31.15</v>
      </c>
      <c r="O57" s="193">
        <v>4.8499999999999996</v>
      </c>
      <c r="P57" s="193">
        <v>6.25</v>
      </c>
      <c r="Q57" s="193">
        <v>6.55</v>
      </c>
      <c r="R57" s="193">
        <v>6.5</v>
      </c>
      <c r="S57" s="225">
        <v>45037</v>
      </c>
      <c r="T57" s="196">
        <f t="shared" si="3"/>
        <v>9.3863636363636349</v>
      </c>
      <c r="U57" s="197">
        <f t="shared" si="4"/>
        <v>1.3258426966292134</v>
      </c>
      <c r="V57" s="198">
        <f t="shared" si="5"/>
        <v>5.6500802568218302E-2</v>
      </c>
      <c r="W57" s="197">
        <f t="shared" si="6"/>
        <v>0.83018867924528295</v>
      </c>
      <c r="X57" s="197">
        <f t="shared" si="7"/>
        <v>0.72968490878938641</v>
      </c>
      <c r="Y57" s="198">
        <f t="shared" si="8"/>
        <v>4.2615012106537536E-2</v>
      </c>
      <c r="Z57" s="197">
        <f t="shared" si="14"/>
        <v>0.77599999999999991</v>
      </c>
      <c r="AA57" s="197">
        <f t="shared" si="10"/>
        <v>1.0076923076923077</v>
      </c>
      <c r="AB57" s="197"/>
      <c r="AD57" s="199">
        <f t="shared" si="2"/>
        <v>148.06000000000003</v>
      </c>
    </row>
    <row r="58" spans="1:30" s="31" customFormat="1" ht="14.25" customHeight="1" x14ac:dyDescent="0.25">
      <c r="A58" s="31">
        <f t="shared" si="0"/>
        <v>1</v>
      </c>
      <c r="B58" s="31" t="str">
        <f t="shared" si="1"/>
        <v>E</v>
      </c>
      <c r="C58" s="31" t="s">
        <v>269</v>
      </c>
      <c r="D58" s="31" t="s">
        <v>5</v>
      </c>
      <c r="E58" s="31" t="str">
        <f>VLOOKUP(D58,'[6]MP-CF (WP)'!$B$4:$Y$81,2,FALSE)</f>
        <v xml:space="preserve">Black Hills                   </v>
      </c>
      <c r="F58" s="195">
        <v>18.100000000000001</v>
      </c>
      <c r="G58" s="193">
        <v>80.900000000000006</v>
      </c>
      <c r="H58" s="193">
        <v>59.1</v>
      </c>
      <c r="I58" s="196">
        <f t="shared" si="12"/>
        <v>70</v>
      </c>
      <c r="J58" s="193">
        <v>7.85</v>
      </c>
      <c r="K58" s="193">
        <v>3.97</v>
      </c>
      <c r="L58" s="193">
        <v>2.41</v>
      </c>
      <c r="M58" s="193">
        <v>9.14</v>
      </c>
      <c r="N58" s="193">
        <v>45.31</v>
      </c>
      <c r="O58" s="193">
        <v>7.65</v>
      </c>
      <c r="P58" s="193">
        <v>9.3000000000000007</v>
      </c>
      <c r="Q58" s="193">
        <v>10</v>
      </c>
      <c r="R58" s="193">
        <v>9.5500000000000007</v>
      </c>
      <c r="S58" s="225">
        <v>45037</v>
      </c>
      <c r="T58" s="196">
        <f>IFERROR(I58/J58,"N/A")</f>
        <v>8.9171974522292992</v>
      </c>
      <c r="U58" s="197">
        <f>IFERROR(I58/N58,"N/A")</f>
        <v>1.5449128227764291</v>
      </c>
      <c r="V58" s="198">
        <f>IFERROR(L58/N58,"N/A")</f>
        <v>5.3189141469874197E-2</v>
      </c>
      <c r="W58" s="197">
        <f>IFERROR(L58/K58,"N/A")</f>
        <v>0.60705289672544083</v>
      </c>
      <c r="X58" s="197">
        <f>IFERROR(J58/M58,"N/A")</f>
        <v>0.8588621444201312</v>
      </c>
      <c r="Y58" s="198">
        <f>IFERROR(L58/I58,"N/A")</f>
        <v>3.4428571428571433E-2</v>
      </c>
      <c r="Z58" s="197">
        <f>IFERROR(O58/P58,"N/A")</f>
        <v>0.82258064516129026</v>
      </c>
      <c r="AA58" s="197">
        <f>IFERROR(Q58/R58,"N/A")</f>
        <v>1.0471204188481675</v>
      </c>
      <c r="AB58" s="197"/>
      <c r="AD58" s="199">
        <f t="shared" si="2"/>
        <v>226.77999999999997</v>
      </c>
    </row>
    <row r="59" spans="1:30" s="31" customFormat="1" ht="14.25" customHeight="1" x14ac:dyDescent="0.25">
      <c r="A59" s="31">
        <f t="shared" si="0"/>
        <v>1</v>
      </c>
      <c r="B59" s="31" t="str">
        <f t="shared" si="1"/>
        <v>E</v>
      </c>
      <c r="C59" s="31" t="s">
        <v>269</v>
      </c>
      <c r="D59" s="31" t="s">
        <v>14</v>
      </c>
      <c r="E59" s="31" t="str">
        <f>VLOOKUP(D59,'[6]MP-CF (WP)'!$B$4:$Y$81,2,FALSE)</f>
        <v xml:space="preserve">Edison Int'l                  </v>
      </c>
      <c r="F59" s="195">
        <v>40.6</v>
      </c>
      <c r="G59" s="193">
        <v>73.3</v>
      </c>
      <c r="H59" s="193">
        <v>54.4</v>
      </c>
      <c r="I59" s="196">
        <f t="shared" si="12"/>
        <v>63.849999999999994</v>
      </c>
      <c r="J59" s="193">
        <v>9.35</v>
      </c>
      <c r="K59" s="193">
        <v>1.6</v>
      </c>
      <c r="L59" s="193">
        <v>2.84</v>
      </c>
      <c r="M59" s="193">
        <v>15.12</v>
      </c>
      <c r="N59" s="193">
        <v>30.72</v>
      </c>
      <c r="O59" s="193">
        <v>11.45</v>
      </c>
      <c r="P59" s="193">
        <v>15.25</v>
      </c>
      <c r="Q59" s="193">
        <v>14.15</v>
      </c>
      <c r="R59" s="193">
        <v>17</v>
      </c>
      <c r="S59" s="225">
        <v>45037</v>
      </c>
      <c r="T59" s="196">
        <f>IFERROR(I59/J59,"N/A")</f>
        <v>6.8288770053475929</v>
      </c>
      <c r="U59" s="197">
        <f>IFERROR(I59/N59,"N/A")</f>
        <v>2.078450520833333</v>
      </c>
      <c r="V59" s="198">
        <f t="shared" si="5"/>
        <v>9.2447916666666671E-2</v>
      </c>
      <c r="W59" s="197">
        <f t="shared" si="6"/>
        <v>1.7749999999999999</v>
      </c>
      <c r="X59" s="197">
        <f t="shared" si="7"/>
        <v>0.61838624338624337</v>
      </c>
      <c r="Y59" s="198">
        <f>IFERROR(L59/I59,"N/A")</f>
        <v>4.4479248238057947E-2</v>
      </c>
      <c r="Z59" s="197">
        <f t="shared" si="14"/>
        <v>0.75081967213114753</v>
      </c>
      <c r="AA59" s="197">
        <f t="shared" si="10"/>
        <v>0.83235294117647063</v>
      </c>
      <c r="AB59" s="197"/>
      <c r="AD59" s="199">
        <f t="shared" si="2"/>
        <v>227.93</v>
      </c>
    </row>
    <row r="60" spans="1:30" s="31" customFormat="1" ht="14.25" customHeight="1" x14ac:dyDescent="0.25">
      <c r="A60" s="31">
        <v>0</v>
      </c>
      <c r="B60" s="31" t="str">
        <f t="shared" si="1"/>
        <v>E</v>
      </c>
      <c r="C60" s="31" t="s">
        <v>269</v>
      </c>
      <c r="D60" s="31" t="s">
        <v>15</v>
      </c>
      <c r="E60" s="31" t="str">
        <f>VLOOKUP(D60,'[6]MP-CF (WP)'!$B$4:$Y$81,2,FALSE)</f>
        <v xml:space="preserve">El Paso Electric              </v>
      </c>
      <c r="F60" s="226" t="s">
        <v>106</v>
      </c>
      <c r="G60" s="227" t="s">
        <v>106</v>
      </c>
      <c r="H60" s="227" t="s">
        <v>106</v>
      </c>
      <c r="I60" s="227" t="s">
        <v>106</v>
      </c>
      <c r="J60" s="227" t="s">
        <v>106</v>
      </c>
      <c r="K60" s="227" t="s">
        <v>106</v>
      </c>
      <c r="L60" s="227" t="s">
        <v>106</v>
      </c>
      <c r="M60" s="227" t="s">
        <v>106</v>
      </c>
      <c r="N60" s="227" t="s">
        <v>106</v>
      </c>
      <c r="O60" s="227" t="s">
        <v>106</v>
      </c>
      <c r="P60" s="227" t="s">
        <v>106</v>
      </c>
      <c r="Q60" s="227" t="s">
        <v>106</v>
      </c>
      <c r="R60" s="246" t="s">
        <v>106</v>
      </c>
      <c r="S60" s="56" t="s">
        <v>106</v>
      </c>
      <c r="T60" s="247" t="str">
        <f>IFERROR(I60/J60,"N/A")</f>
        <v>N/A</v>
      </c>
      <c r="U60" s="248" t="str">
        <f>IFERROR(I60/N60,"N/A")</f>
        <v>N/A</v>
      </c>
      <c r="V60" s="247" t="str">
        <f>IFERROR(L60/N60,"N/A")</f>
        <v>N/A</v>
      </c>
      <c r="W60" s="247" t="str">
        <f>IFERROR(L60/K60,"N/A")</f>
        <v>N/A</v>
      </c>
      <c r="X60" s="248" t="str">
        <f>IFERROR(J60/M60,"N/A")</f>
        <v>N/A</v>
      </c>
      <c r="Y60" s="247" t="str">
        <f>IFERROR(L60/I60,"N/A")</f>
        <v>N/A</v>
      </c>
      <c r="Z60" s="247" t="str">
        <f>IFERROR(O60/P60,"N/A")</f>
        <v>N/A</v>
      </c>
      <c r="AA60" s="197" t="str">
        <f>IFERROR(Q60/R60,"N/A")</f>
        <v>N/A</v>
      </c>
      <c r="AC60" s="199"/>
      <c r="AD60" s="31">
        <f t="shared" si="2"/>
        <v>0</v>
      </c>
    </row>
    <row r="61" spans="1:30" s="31" customFormat="1" ht="14.25" customHeight="1" x14ac:dyDescent="0.25">
      <c r="A61" s="31">
        <f t="shared" si="0"/>
        <v>1</v>
      </c>
      <c r="B61" s="31" t="str">
        <f t="shared" si="1"/>
        <v>E</v>
      </c>
      <c r="C61" s="31" t="s">
        <v>269</v>
      </c>
      <c r="D61" s="31" t="s">
        <v>21</v>
      </c>
      <c r="E61" s="31" t="str">
        <f>VLOOKUP(D61,'[6]MP-CF (WP)'!$B$4:$Y$81,2,FALSE)</f>
        <v xml:space="preserve">Hawaiian Elec.                </v>
      </c>
      <c r="F61" s="195">
        <v>18.5</v>
      </c>
      <c r="G61" s="193">
        <v>44.7</v>
      </c>
      <c r="H61" s="193">
        <v>33.200000000000003</v>
      </c>
      <c r="I61" s="196">
        <f t="shared" si="12"/>
        <v>38.950000000000003</v>
      </c>
      <c r="J61" s="193">
        <v>4.9000000000000004</v>
      </c>
      <c r="K61" s="193">
        <v>2.2000000000000002</v>
      </c>
      <c r="L61" s="193">
        <v>1.4</v>
      </c>
      <c r="M61" s="193">
        <v>3.14</v>
      </c>
      <c r="N61" s="193">
        <v>20.12</v>
      </c>
      <c r="O61" s="193">
        <v>5.05</v>
      </c>
      <c r="P61" s="193">
        <v>3.35</v>
      </c>
      <c r="Q61" s="193">
        <v>6.2</v>
      </c>
      <c r="R61" s="193">
        <v>4.2</v>
      </c>
      <c r="S61" s="225">
        <v>45037</v>
      </c>
      <c r="T61" s="196">
        <f t="shared" si="3"/>
        <v>7.9489795918367347</v>
      </c>
      <c r="U61" s="197">
        <f t="shared" si="4"/>
        <v>1.9358846918489065</v>
      </c>
      <c r="V61" s="198">
        <f t="shared" si="5"/>
        <v>6.9582504970178913E-2</v>
      </c>
      <c r="W61" s="197">
        <f t="shared" si="6"/>
        <v>0.63636363636363624</v>
      </c>
      <c r="X61" s="197">
        <f t="shared" si="7"/>
        <v>1.5605095541401275</v>
      </c>
      <c r="Y61" s="198">
        <f t="shared" si="8"/>
        <v>3.5943517329910135E-2</v>
      </c>
      <c r="Z61" s="197">
        <f t="shared" si="14"/>
        <v>1.5074626865671641</v>
      </c>
      <c r="AA61" s="197">
        <f t="shared" si="10"/>
        <v>1.4761904761904763</v>
      </c>
      <c r="AB61" s="197"/>
      <c r="AD61" s="199">
        <f t="shared" si="2"/>
        <v>128.16000000000003</v>
      </c>
    </row>
    <row r="62" spans="1:30" s="31" customFormat="1" ht="14.25" customHeight="1" x14ac:dyDescent="0.25">
      <c r="A62" s="31">
        <f t="shared" si="0"/>
        <v>1</v>
      </c>
      <c r="B62" s="31" t="str">
        <f t="shared" si="1"/>
        <v>E</v>
      </c>
      <c r="C62" s="31" t="s">
        <v>269</v>
      </c>
      <c r="D62" s="31" t="s">
        <v>22</v>
      </c>
      <c r="E62" s="31" t="str">
        <f>VLOOKUP(D62,'[6]MP-CF (WP)'!$B$4:$Y$81,2,FALSE)</f>
        <v xml:space="preserve">IDACORP, Inc.                 </v>
      </c>
      <c r="F62" s="195">
        <v>21</v>
      </c>
      <c r="G62" s="193">
        <v>118.9</v>
      </c>
      <c r="H62" s="193">
        <v>93.5</v>
      </c>
      <c r="I62" s="196">
        <f t="shared" si="12"/>
        <v>106.2</v>
      </c>
      <c r="J62" s="193">
        <v>8.5500000000000007</v>
      </c>
      <c r="K62" s="193">
        <v>5.1100000000000003</v>
      </c>
      <c r="L62" s="193">
        <v>3.04</v>
      </c>
      <c r="M62" s="193">
        <v>8.56</v>
      </c>
      <c r="N62" s="193">
        <v>55.52</v>
      </c>
      <c r="O62" s="193">
        <v>8.75</v>
      </c>
      <c r="P62" s="193">
        <v>14</v>
      </c>
      <c r="Q62" s="193">
        <v>10.65</v>
      </c>
      <c r="R62" s="193">
        <v>11</v>
      </c>
      <c r="S62" s="225">
        <v>45037</v>
      </c>
      <c r="T62" s="196">
        <f t="shared" si="3"/>
        <v>12.421052631578947</v>
      </c>
      <c r="U62" s="197">
        <f t="shared" si="4"/>
        <v>1.9128242074927952</v>
      </c>
      <c r="V62" s="198">
        <f t="shared" si="5"/>
        <v>5.4755043227665702E-2</v>
      </c>
      <c r="W62" s="197">
        <f t="shared" si="6"/>
        <v>0.59491193737769077</v>
      </c>
      <c r="X62" s="197">
        <f t="shared" si="7"/>
        <v>0.99883177570093462</v>
      </c>
      <c r="Y62" s="198">
        <f t="shared" si="8"/>
        <v>2.8625235404896421E-2</v>
      </c>
      <c r="Z62" s="197">
        <f t="shared" si="14"/>
        <v>0.625</v>
      </c>
      <c r="AA62" s="197">
        <f t="shared" si="10"/>
        <v>0.96818181818181825</v>
      </c>
      <c r="AB62" s="197"/>
      <c r="AD62" s="199">
        <f t="shared" si="2"/>
        <v>314.18</v>
      </c>
    </row>
    <row r="63" spans="1:30" s="31" customFormat="1" ht="14.25" customHeight="1" x14ac:dyDescent="0.25">
      <c r="A63" s="31">
        <f t="shared" si="0"/>
        <v>1</v>
      </c>
      <c r="B63" s="31" t="str">
        <f t="shared" si="1"/>
        <v>E</v>
      </c>
      <c r="C63" s="31" t="s">
        <v>269</v>
      </c>
      <c r="D63" s="31" t="str">
        <f>"NW"&amp;"E"</f>
        <v>NWE</v>
      </c>
      <c r="E63" s="31" t="str">
        <f>VLOOKUP(D63,'[6]MP-CF (WP)'!$B$4:$Y$81,2,FALSE)</f>
        <v xml:space="preserve">NorthWestern Corp             </v>
      </c>
      <c r="F63" s="195">
        <v>17.3</v>
      </c>
      <c r="G63" s="193">
        <v>63.1</v>
      </c>
      <c r="H63" s="193">
        <v>48.7</v>
      </c>
      <c r="I63" s="196">
        <f t="shared" si="12"/>
        <v>55.900000000000006</v>
      </c>
      <c r="J63" s="193">
        <v>6.46</v>
      </c>
      <c r="K63" s="193">
        <v>3.29</v>
      </c>
      <c r="L63" s="193">
        <v>2.52</v>
      </c>
      <c r="M63" s="193">
        <v>8.6199999999999992</v>
      </c>
      <c r="N63" s="193">
        <v>44.61</v>
      </c>
      <c r="O63" s="193">
        <v>6.8</v>
      </c>
      <c r="P63" s="193">
        <v>9.1</v>
      </c>
      <c r="Q63" s="193">
        <v>8.35</v>
      </c>
      <c r="R63" s="193">
        <v>6.5</v>
      </c>
      <c r="S63" s="225">
        <v>45037</v>
      </c>
      <c r="T63" s="196">
        <f t="shared" si="3"/>
        <v>8.6532507739938094</v>
      </c>
      <c r="U63" s="197">
        <f t="shared" si="4"/>
        <v>1.2530822685496528</v>
      </c>
      <c r="V63" s="198">
        <f t="shared" si="5"/>
        <v>5.648957632817754E-2</v>
      </c>
      <c r="W63" s="197">
        <f t="shared" si="6"/>
        <v>0.76595744680851063</v>
      </c>
      <c r="X63" s="197">
        <f t="shared" si="7"/>
        <v>0.74941995359628777</v>
      </c>
      <c r="Y63" s="198">
        <f t="shared" si="8"/>
        <v>4.5080500894454381E-2</v>
      </c>
      <c r="Z63" s="197">
        <f t="shared" si="14"/>
        <v>0.74725274725274726</v>
      </c>
      <c r="AA63" s="197">
        <f t="shared" si="10"/>
        <v>1.2846153846153845</v>
      </c>
      <c r="AB63" s="197"/>
      <c r="AD63" s="199">
        <f t="shared" si="2"/>
        <v>194.60000000000002</v>
      </c>
    </row>
    <row r="64" spans="1:30" s="31" customFormat="1" ht="14.25" customHeight="1" x14ac:dyDescent="0.25">
      <c r="A64" s="31">
        <f t="shared" si="0"/>
        <v>1</v>
      </c>
      <c r="B64" s="31" t="str">
        <f t="shared" si="1"/>
        <v>E</v>
      </c>
      <c r="C64" s="31" t="s">
        <v>269</v>
      </c>
      <c r="D64" s="31" t="s">
        <v>31</v>
      </c>
      <c r="E64" s="31" t="str">
        <f>VLOOKUP(D64,'[6]MP-CF (WP)'!$B$4:$Y$81,2,FALSE)</f>
        <v xml:space="preserve">Pinnacle West Capital         </v>
      </c>
      <c r="F64" s="195">
        <v>17.100000000000001</v>
      </c>
      <c r="G64" s="193">
        <v>80.599999999999994</v>
      </c>
      <c r="H64" s="193">
        <v>59</v>
      </c>
      <c r="I64" s="196">
        <f t="shared" si="12"/>
        <v>69.8</v>
      </c>
      <c r="J64" s="193">
        <v>13.44</v>
      </c>
      <c r="K64" s="193">
        <v>4.26</v>
      </c>
      <c r="L64" s="193">
        <v>3.42</v>
      </c>
      <c r="M64" s="193">
        <v>15.09</v>
      </c>
      <c r="N64" s="193">
        <v>53.45</v>
      </c>
      <c r="O64" s="193">
        <v>13.25</v>
      </c>
      <c r="P64" s="193">
        <v>14</v>
      </c>
      <c r="Q64" s="193">
        <v>15</v>
      </c>
      <c r="R64" s="193">
        <v>14.5</v>
      </c>
      <c r="S64" s="225">
        <v>45037</v>
      </c>
      <c r="T64" s="196">
        <f t="shared" si="3"/>
        <v>5.1934523809523814</v>
      </c>
      <c r="U64" s="197">
        <f t="shared" si="4"/>
        <v>1.3058933582787651</v>
      </c>
      <c r="V64" s="198">
        <f t="shared" si="5"/>
        <v>6.3985032740879327E-2</v>
      </c>
      <c r="W64" s="197">
        <f t="shared" si="6"/>
        <v>0.80281690140845074</v>
      </c>
      <c r="X64" s="197">
        <f t="shared" si="7"/>
        <v>0.89065606361829019</v>
      </c>
      <c r="Y64" s="198">
        <f t="shared" si="8"/>
        <v>4.8997134670487108E-2</v>
      </c>
      <c r="Z64" s="197">
        <f t="shared" si="14"/>
        <v>0.9464285714285714</v>
      </c>
      <c r="AA64" s="197">
        <f t="shared" si="10"/>
        <v>1.0344827586206897</v>
      </c>
      <c r="AB64" s="197"/>
      <c r="AD64" s="199">
        <f t="shared" si="2"/>
        <v>246.35999999999996</v>
      </c>
    </row>
    <row r="65" spans="1:30" s="31" customFormat="1" ht="14.25" customHeight="1" x14ac:dyDescent="0.25">
      <c r="A65" s="31">
        <f t="shared" si="0"/>
        <v>1</v>
      </c>
      <c r="B65" s="31" t="str">
        <f t="shared" si="1"/>
        <v>E</v>
      </c>
      <c r="C65" s="31" t="s">
        <v>269</v>
      </c>
      <c r="D65" s="31" t="s">
        <v>32</v>
      </c>
      <c r="E65" s="31" t="str">
        <f>VLOOKUP(D65,'[6]MP-CF (WP)'!$B$4:$Y$81,2,FALSE)</f>
        <v xml:space="preserve">PNM Resources                 </v>
      </c>
      <c r="F65" s="195">
        <v>17.399999999999999</v>
      </c>
      <c r="G65" s="193">
        <v>49.3</v>
      </c>
      <c r="H65" s="193">
        <v>43.4</v>
      </c>
      <c r="I65" s="196">
        <f t="shared" si="12"/>
        <v>46.349999999999994</v>
      </c>
      <c r="J65" s="193">
        <v>6.67</v>
      </c>
      <c r="K65" s="193">
        <v>2.69</v>
      </c>
      <c r="L65" s="193">
        <v>1.41</v>
      </c>
      <c r="M65" s="193">
        <v>10.63</v>
      </c>
      <c r="N65" s="193">
        <v>25.54</v>
      </c>
      <c r="O65" s="193">
        <v>6.75</v>
      </c>
      <c r="P65" s="193">
        <v>10.75</v>
      </c>
      <c r="Q65" s="193">
        <v>8.15</v>
      </c>
      <c r="R65" s="193">
        <v>9</v>
      </c>
      <c r="S65" s="225">
        <v>45037</v>
      </c>
      <c r="T65" s="196">
        <f t="shared" si="3"/>
        <v>6.949025487256371</v>
      </c>
      <c r="U65" s="197">
        <f t="shared" si="4"/>
        <v>1.8148003132341424</v>
      </c>
      <c r="V65" s="198">
        <f t="shared" si="5"/>
        <v>5.5207517619420513E-2</v>
      </c>
      <c r="W65" s="197">
        <f t="shared" si="6"/>
        <v>0.52416356877323422</v>
      </c>
      <c r="X65" s="197">
        <f t="shared" si="7"/>
        <v>0.62746942615239887</v>
      </c>
      <c r="Y65" s="198">
        <f t="shared" si="8"/>
        <v>3.0420711974110035E-2</v>
      </c>
      <c r="Z65" s="197">
        <f t="shared" si="14"/>
        <v>0.62790697674418605</v>
      </c>
      <c r="AA65" s="197">
        <f t="shared" si="10"/>
        <v>0.90555555555555556</v>
      </c>
      <c r="AB65" s="197"/>
      <c r="AD65" s="199">
        <f t="shared" si="2"/>
        <v>157.04</v>
      </c>
    </row>
    <row r="66" spans="1:30" s="31" customFormat="1" ht="14.25" customHeight="1" x14ac:dyDescent="0.25">
      <c r="A66" s="31">
        <f t="shared" si="0"/>
        <v>1</v>
      </c>
      <c r="B66" s="31" t="str">
        <f t="shared" si="1"/>
        <v>E</v>
      </c>
      <c r="C66" s="31" t="s">
        <v>269</v>
      </c>
      <c r="D66" s="31" t="s">
        <v>33</v>
      </c>
      <c r="E66" s="31" t="str">
        <f>VLOOKUP(D66,'[6]MP-CF (WP)'!$B$4:$Y$81,2,FALSE)</f>
        <v xml:space="preserve">Portland General              </v>
      </c>
      <c r="F66" s="195">
        <v>18.2</v>
      </c>
      <c r="G66" s="193">
        <v>57</v>
      </c>
      <c r="H66" s="193">
        <v>41.6</v>
      </c>
      <c r="I66" s="196">
        <f t="shared" si="12"/>
        <v>49.3</v>
      </c>
      <c r="J66" s="193">
        <v>7.41</v>
      </c>
      <c r="K66" s="193">
        <v>2.74</v>
      </c>
      <c r="L66" s="193">
        <v>1.79</v>
      </c>
      <c r="M66" s="193">
        <v>8.58</v>
      </c>
      <c r="N66" s="193">
        <v>31.13</v>
      </c>
      <c r="O66" s="193">
        <v>7.45</v>
      </c>
      <c r="P66" s="193">
        <v>12.75</v>
      </c>
      <c r="Q66" s="193">
        <v>9.4</v>
      </c>
      <c r="R66" s="193">
        <v>9.5</v>
      </c>
      <c r="S66" s="225">
        <v>45037</v>
      </c>
      <c r="T66" s="196">
        <f>IFERROR(I66/J66,"N/A")</f>
        <v>6.6531713900134948</v>
      </c>
      <c r="U66" s="197">
        <f>IFERROR(I66/N66,"N/A")</f>
        <v>1.583681336331513</v>
      </c>
      <c r="V66" s="198">
        <f>IFERROR(L66/N66,"N/A")</f>
        <v>5.7500803083841957E-2</v>
      </c>
      <c r="W66" s="197">
        <f>IFERROR(L66/K66,"N/A")</f>
        <v>0.65328467153284664</v>
      </c>
      <c r="X66" s="197">
        <f>IFERROR(J66/M66,"N/A")</f>
        <v>0.86363636363636365</v>
      </c>
      <c r="Y66" s="198">
        <f>IFERROR(L66/I66,"N/A")</f>
        <v>3.6308316430020283E-2</v>
      </c>
      <c r="Z66" s="197">
        <f>IFERROR(O66/P66,"N/A")</f>
        <v>0.58431372549019611</v>
      </c>
      <c r="AA66" s="197">
        <f>IFERROR(Q66/R66,"N/A")</f>
        <v>0.98947368421052639</v>
      </c>
      <c r="AB66" s="197"/>
      <c r="AD66" s="199">
        <f t="shared" si="2"/>
        <v>168.45000000000002</v>
      </c>
    </row>
    <row r="67" spans="1:30" s="31" customFormat="1" ht="14.25" customHeight="1" x14ac:dyDescent="0.25">
      <c r="A67" s="31">
        <f t="shared" si="0"/>
        <v>1</v>
      </c>
      <c r="B67" s="31" t="str">
        <f t="shared" si="1"/>
        <v>E</v>
      </c>
      <c r="C67" s="31" t="s">
        <v>269</v>
      </c>
      <c r="D67" s="31" t="s">
        <v>37</v>
      </c>
      <c r="E67" s="31" t="str">
        <f>VLOOKUP(D67,'[6]MP-CF (WP)'!$B$4:$Y$81,2,FALSE)</f>
        <v xml:space="preserve">Sempra Energy                 </v>
      </c>
      <c r="F67" s="194">
        <v>16.8</v>
      </c>
      <c r="G67" s="193">
        <v>176.5</v>
      </c>
      <c r="H67" s="193">
        <v>129.69999999999999</v>
      </c>
      <c r="I67" s="196">
        <f t="shared" si="12"/>
        <v>153.1</v>
      </c>
      <c r="J67" s="193">
        <v>15.7</v>
      </c>
      <c r="K67" s="193">
        <v>9.2100000000000009</v>
      </c>
      <c r="L67" s="193">
        <v>4.58</v>
      </c>
      <c r="M67" s="193">
        <v>17.04</v>
      </c>
      <c r="N67" s="193">
        <v>83.43</v>
      </c>
      <c r="O67" s="193">
        <v>16.25</v>
      </c>
      <c r="P67" s="193">
        <v>17</v>
      </c>
      <c r="Q67" s="193">
        <v>21.65</v>
      </c>
      <c r="R67" s="193">
        <v>17</v>
      </c>
      <c r="S67" s="225">
        <v>45037</v>
      </c>
      <c r="T67" s="196">
        <f t="shared" si="3"/>
        <v>9.7515923566878975</v>
      </c>
      <c r="U67" s="197">
        <f t="shared" si="4"/>
        <v>1.8350713172719644</v>
      </c>
      <c r="V67" s="198">
        <f t="shared" si="5"/>
        <v>5.4896320268488549E-2</v>
      </c>
      <c r="W67" s="197">
        <f t="shared" si="6"/>
        <v>0.49728555917480993</v>
      </c>
      <c r="X67" s="197">
        <f t="shared" si="7"/>
        <v>0.92136150234741787</v>
      </c>
      <c r="Y67" s="198">
        <f t="shared" si="8"/>
        <v>2.9915088177661659E-2</v>
      </c>
      <c r="Z67" s="197">
        <f t="shared" si="14"/>
        <v>0.95588235294117652</v>
      </c>
      <c r="AA67" s="197">
        <f t="shared" si="10"/>
        <v>1.2735294117647058</v>
      </c>
      <c r="AB67" s="197"/>
      <c r="AD67" s="199">
        <f t="shared" si="2"/>
        <v>452.96</v>
      </c>
    </row>
    <row r="68" spans="1:30" s="31" customFormat="1" ht="14.25" customHeight="1" x14ac:dyDescent="0.25">
      <c r="A68" s="31">
        <f t="shared" si="0"/>
        <v>1</v>
      </c>
      <c r="B68" s="31" t="str">
        <f t="shared" si="1"/>
        <v>E</v>
      </c>
      <c r="C68" s="31" t="s">
        <v>269</v>
      </c>
      <c r="D68" s="31" t="s">
        <v>45</v>
      </c>
      <c r="E68" s="31" t="str">
        <f>VLOOKUP(D68,'[6]MP-CF (WP)'!$B$4:$Y$81,2,FALSE)</f>
        <v xml:space="preserve">Xcel Energy Inc.              </v>
      </c>
      <c r="F68" s="195">
        <v>22.2</v>
      </c>
      <c r="G68" s="193">
        <v>77.7</v>
      </c>
      <c r="H68" s="193">
        <v>56.9</v>
      </c>
      <c r="I68" s="196">
        <f t="shared" si="12"/>
        <v>67.3</v>
      </c>
      <c r="J68" s="193">
        <v>7.81</v>
      </c>
      <c r="K68" s="193">
        <v>3.17</v>
      </c>
      <c r="L68" s="193">
        <v>1.95</v>
      </c>
      <c r="M68" s="193">
        <v>8.44</v>
      </c>
      <c r="N68" s="193">
        <v>30.34</v>
      </c>
      <c r="O68" s="193">
        <v>8.25</v>
      </c>
      <c r="P68" s="193">
        <v>9</v>
      </c>
      <c r="Q68" s="193">
        <v>10</v>
      </c>
      <c r="R68" s="193">
        <v>9.5</v>
      </c>
      <c r="S68" s="225">
        <v>45037</v>
      </c>
      <c r="T68" s="196">
        <f>IFERROR(I68/J68,"N/A")</f>
        <v>8.6171574903969272</v>
      </c>
      <c r="U68" s="197">
        <f>IFERROR(I68/N68,"N/A")</f>
        <v>2.2181938035596573</v>
      </c>
      <c r="V68" s="198">
        <f>IFERROR(L68/N68,"N/A")</f>
        <v>6.4271588661832565E-2</v>
      </c>
      <c r="W68" s="197">
        <f>IFERROR(L68/K68,"N/A")</f>
        <v>0.6151419558359621</v>
      </c>
      <c r="X68" s="197">
        <f>IFERROR(J68/M68,"N/A")</f>
        <v>0.92535545023696686</v>
      </c>
      <c r="Y68" s="198">
        <f>IFERROR(L68/I68,"N/A")</f>
        <v>2.8974739970282319E-2</v>
      </c>
      <c r="Z68" s="197">
        <f>IFERROR(O68/P68,"N/A")</f>
        <v>0.91666666666666663</v>
      </c>
      <c r="AA68" s="197">
        <f>IFERROR(Q68/R68,"N/A")</f>
        <v>1.0526315789473684</v>
      </c>
      <c r="AB68" s="197"/>
      <c r="AD68" s="199">
        <f t="shared" si="2"/>
        <v>208.51</v>
      </c>
    </row>
    <row r="69" spans="1:30" s="31" customFormat="1" ht="14.25" customHeight="1" x14ac:dyDescent="0.25">
      <c r="A69" s="31">
        <f t="shared" si="0"/>
        <v>1</v>
      </c>
      <c r="B69" s="31" t="str">
        <f t="shared" si="1"/>
        <v>E</v>
      </c>
      <c r="C69" s="31" t="s">
        <v>269</v>
      </c>
      <c r="D69" s="31" t="s">
        <v>30</v>
      </c>
      <c r="E69" s="31" t="str">
        <f>VLOOKUP(D69,'[6]MP-CF (WP)'!$B$4:$Y$81,2,FALSE)</f>
        <v xml:space="preserve">PG&amp;E Corp.                    </v>
      </c>
      <c r="F69" s="226" t="s">
        <v>106</v>
      </c>
      <c r="G69" s="227" t="s">
        <v>106</v>
      </c>
      <c r="H69" s="227" t="s">
        <v>106</v>
      </c>
      <c r="I69" s="56" t="s">
        <v>106</v>
      </c>
      <c r="J69" s="227" t="s">
        <v>106</v>
      </c>
      <c r="K69" s="227" t="s">
        <v>106</v>
      </c>
      <c r="L69" s="227" t="s">
        <v>106</v>
      </c>
      <c r="M69" s="227" t="s">
        <v>106</v>
      </c>
      <c r="N69" s="227" t="s">
        <v>106</v>
      </c>
      <c r="O69" s="227" t="s">
        <v>106</v>
      </c>
      <c r="P69" s="227" t="s">
        <v>106</v>
      </c>
      <c r="Q69" s="227" t="s">
        <v>106</v>
      </c>
      <c r="R69" s="227" t="s">
        <v>106</v>
      </c>
      <c r="S69" s="246" t="s">
        <v>106</v>
      </c>
      <c r="T69" s="56" t="s">
        <v>106</v>
      </c>
      <c r="U69" s="247" t="s">
        <v>106</v>
      </c>
      <c r="V69" s="248" t="s">
        <v>106</v>
      </c>
      <c r="W69" s="247" t="s">
        <v>106</v>
      </c>
      <c r="X69" s="247" t="s">
        <v>106</v>
      </c>
      <c r="Y69" s="248" t="s">
        <v>106</v>
      </c>
      <c r="Z69" s="247" t="s">
        <v>106</v>
      </c>
      <c r="AA69" s="247" t="s">
        <v>106</v>
      </c>
      <c r="AB69" s="197"/>
      <c r="AD69" s="199">
        <f t="shared" si="2"/>
        <v>0</v>
      </c>
    </row>
    <row r="70" spans="1:30" s="31" customFormat="1" ht="14.25" customHeight="1" x14ac:dyDescent="0.25">
      <c r="A70" s="31">
        <f t="shared" si="0"/>
        <v>1</v>
      </c>
      <c r="B70" s="31" t="str">
        <f t="shared" si="1"/>
        <v>E</v>
      </c>
      <c r="C70" s="31" t="s">
        <v>268</v>
      </c>
      <c r="D70" s="31" t="s">
        <v>36</v>
      </c>
      <c r="E70" s="31" t="str">
        <f>VLOOKUP(D70,'[6]MP-CF (WP)'!$B$4:$Y$81,2,FALSE)</f>
        <v xml:space="preserve">SCANA Corp.                   </v>
      </c>
      <c r="F70" s="226" t="s">
        <v>106</v>
      </c>
      <c r="G70" s="227" t="s">
        <v>106</v>
      </c>
      <c r="H70" s="227" t="s">
        <v>106</v>
      </c>
      <c r="I70" s="56" t="s">
        <v>106</v>
      </c>
      <c r="J70" s="227" t="s">
        <v>106</v>
      </c>
      <c r="K70" s="227" t="s">
        <v>106</v>
      </c>
      <c r="L70" s="227" t="s">
        <v>106</v>
      </c>
      <c r="M70" s="227" t="s">
        <v>106</v>
      </c>
      <c r="N70" s="227" t="s">
        <v>106</v>
      </c>
      <c r="O70" s="227" t="s">
        <v>106</v>
      </c>
      <c r="P70" s="227" t="s">
        <v>106</v>
      </c>
      <c r="Q70" s="227" t="s">
        <v>106</v>
      </c>
      <c r="R70" s="227" t="s">
        <v>106</v>
      </c>
      <c r="S70" s="246" t="s">
        <v>106</v>
      </c>
      <c r="T70" s="56" t="str">
        <f>IFERROR(I70/J70,"N/A")</f>
        <v>N/A</v>
      </c>
      <c r="U70" s="247" t="str">
        <f>IFERROR(I70/N70,"N/A")</f>
        <v>N/A</v>
      </c>
      <c r="V70" s="248" t="s">
        <v>106</v>
      </c>
      <c r="W70" s="247" t="s">
        <v>106</v>
      </c>
      <c r="X70" s="247" t="s">
        <v>106</v>
      </c>
      <c r="Y70" s="248" t="s">
        <v>106</v>
      </c>
      <c r="Z70" s="247" t="s">
        <v>106</v>
      </c>
      <c r="AA70" s="247" t="s">
        <v>106</v>
      </c>
      <c r="AB70" s="197"/>
      <c r="AD70" s="199">
        <f t="shared" si="2"/>
        <v>0</v>
      </c>
    </row>
    <row r="71" spans="1:30" s="31" customFormat="1" ht="14.25" customHeight="1" x14ac:dyDescent="0.25">
      <c r="A71" s="31" t="str">
        <f t="shared" si="0"/>
        <v/>
      </c>
      <c r="B71" s="31" t="str">
        <f t="shared" si="1"/>
        <v>W</v>
      </c>
      <c r="C71" s="31" t="s">
        <v>270</v>
      </c>
      <c r="F71" s="195"/>
      <c r="G71" s="195"/>
      <c r="H71" s="195"/>
      <c r="I71" s="196"/>
      <c r="J71" s="193"/>
      <c r="K71" s="193"/>
      <c r="L71" s="193"/>
      <c r="M71" s="193"/>
      <c r="N71" s="193"/>
      <c r="O71" s="193"/>
      <c r="P71" s="193"/>
      <c r="Q71" s="193"/>
      <c r="R71" s="193"/>
      <c r="S71" s="225"/>
      <c r="T71" s="196"/>
      <c r="U71" s="197"/>
      <c r="V71" s="197"/>
      <c r="W71" s="197"/>
      <c r="X71" s="197"/>
      <c r="Y71" s="198"/>
      <c r="Z71" s="197"/>
      <c r="AA71" s="197"/>
      <c r="AB71" s="197"/>
      <c r="AD71" s="199">
        <f t="shared" si="2"/>
        <v>0</v>
      </c>
    </row>
    <row r="72" spans="1:30" ht="14.25" customHeight="1" x14ac:dyDescent="0.25">
      <c r="A72" t="str">
        <f t="shared" si="0"/>
        <v/>
      </c>
      <c r="B72" t="str">
        <f t="shared" si="1"/>
        <v/>
      </c>
      <c r="D72" s="31"/>
      <c r="E72" s="31"/>
      <c r="F72" s="199"/>
      <c r="G72" s="199"/>
      <c r="H72" s="199"/>
      <c r="I72" s="196"/>
      <c r="J72" s="196"/>
      <c r="K72" s="196"/>
      <c r="L72" s="196"/>
      <c r="M72" s="196"/>
      <c r="N72" s="196"/>
      <c r="O72" s="193"/>
      <c r="P72" s="193"/>
      <c r="Q72" s="193"/>
      <c r="R72" s="193"/>
      <c r="S72" s="225"/>
      <c r="T72" s="196" t="str">
        <f t="shared" si="3"/>
        <v/>
      </c>
      <c r="U72" s="197" t="str">
        <f t="shared" si="4"/>
        <v/>
      </c>
      <c r="V72" s="197" t="str">
        <f t="shared" si="5"/>
        <v/>
      </c>
      <c r="W72" s="197" t="str">
        <f t="shared" si="6"/>
        <v/>
      </c>
      <c r="X72" s="197" t="str">
        <f t="shared" si="7"/>
        <v/>
      </c>
      <c r="Y72" s="198" t="str">
        <f t="shared" si="8"/>
        <v/>
      </c>
      <c r="Z72" s="197" t="str">
        <f t="shared" si="14"/>
        <v/>
      </c>
      <c r="AA72" s="197" t="str">
        <f t="shared" si="10"/>
        <v/>
      </c>
      <c r="AB72" s="52"/>
      <c r="AD72" s="33">
        <f t="shared" si="2"/>
        <v>0</v>
      </c>
    </row>
    <row r="73" spans="1:30" ht="14.25" customHeight="1" x14ac:dyDescent="0.25">
      <c r="A73" t="str">
        <f t="shared" si="0"/>
        <v/>
      </c>
      <c r="B73" t="str">
        <f t="shared" si="1"/>
        <v/>
      </c>
      <c r="D73" s="31"/>
      <c r="E73" s="31"/>
      <c r="F73" s="199"/>
      <c r="G73" s="199"/>
      <c r="H73" s="199"/>
      <c r="I73" s="196"/>
      <c r="J73" s="196"/>
      <c r="K73" s="196"/>
      <c r="L73" s="196"/>
      <c r="M73" s="196"/>
      <c r="N73" s="196"/>
      <c r="O73" s="193"/>
      <c r="P73" s="193"/>
      <c r="Q73" s="193"/>
      <c r="R73" s="193"/>
      <c r="S73" s="225"/>
      <c r="T73" s="196" t="str">
        <f t="shared" si="3"/>
        <v/>
      </c>
      <c r="U73" s="197" t="str">
        <f t="shared" si="4"/>
        <v/>
      </c>
      <c r="V73" s="197" t="str">
        <f t="shared" si="5"/>
        <v/>
      </c>
      <c r="W73" s="197" t="str">
        <f t="shared" si="6"/>
        <v/>
      </c>
      <c r="X73" s="197" t="str">
        <f t="shared" si="7"/>
        <v/>
      </c>
      <c r="Y73" s="198" t="str">
        <f t="shared" si="8"/>
        <v/>
      </c>
      <c r="Z73" s="197" t="str">
        <f t="shared" si="14"/>
        <v/>
      </c>
      <c r="AA73" s="197" t="str">
        <f t="shared" si="10"/>
        <v/>
      </c>
      <c r="AB73" s="52"/>
      <c r="AD73" s="33">
        <f t="shared" si="2"/>
        <v>0</v>
      </c>
    </row>
    <row r="74" spans="1:30" ht="14.25" customHeight="1" x14ac:dyDescent="0.25">
      <c r="D74" s="31"/>
      <c r="E74" s="31"/>
      <c r="F74" s="199"/>
      <c r="G74" s="199"/>
      <c r="H74" s="199"/>
      <c r="I74" s="196"/>
      <c r="J74" s="196"/>
      <c r="K74" s="196"/>
      <c r="L74" s="196"/>
      <c r="M74" s="196"/>
      <c r="N74" s="196"/>
      <c r="O74" s="193"/>
      <c r="P74" s="193"/>
      <c r="Q74" s="193"/>
      <c r="R74" s="193"/>
      <c r="S74" s="225"/>
      <c r="T74" s="196" t="str">
        <f t="shared" si="3"/>
        <v/>
      </c>
      <c r="U74" s="197" t="str">
        <f>IFERROR(I74/N74,"")</f>
        <v/>
      </c>
      <c r="V74" s="31"/>
      <c r="W74" s="229"/>
      <c r="X74" s="31"/>
      <c r="Y74" s="31"/>
      <c r="Z74" s="197" t="str">
        <f t="shared" si="14"/>
        <v/>
      </c>
      <c r="AA74" s="197" t="str">
        <f t="shared" si="10"/>
        <v/>
      </c>
      <c r="AB74" s="52"/>
      <c r="AD74" s="33"/>
    </row>
    <row r="75" spans="1:30" hidden="1" x14ac:dyDescent="0.25">
      <c r="D75" s="31"/>
      <c r="E75" s="31"/>
      <c r="F75" s="199"/>
      <c r="G75" s="199"/>
      <c r="H75" s="199"/>
      <c r="I75" s="31"/>
      <c r="J75" s="31"/>
      <c r="K75" s="31"/>
      <c r="L75" s="31"/>
      <c r="M75" s="31"/>
      <c r="N75" s="31"/>
      <c r="O75" s="31"/>
      <c r="P75" s="31"/>
      <c r="Q75" s="31"/>
      <c r="R75" s="31"/>
      <c r="T75" s="31"/>
      <c r="U75" s="31"/>
      <c r="V75" s="31"/>
      <c r="W75" s="229"/>
      <c r="X75" s="31"/>
      <c r="Y75" s="31"/>
      <c r="Z75" s="31"/>
      <c r="AA75" s="31"/>
    </row>
    <row r="76" spans="1:30" x14ac:dyDescent="0.25"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T76" s="31"/>
      <c r="U76" s="31"/>
      <c r="V76" s="31"/>
      <c r="W76" s="31"/>
      <c r="X76" s="31"/>
      <c r="Y76" s="31"/>
      <c r="Z76" s="31"/>
      <c r="AA76" s="31"/>
    </row>
    <row r="77" spans="1:30" x14ac:dyDescent="0.25">
      <c r="C77" t="s">
        <v>339</v>
      </c>
      <c r="D77" s="31">
        <f>COUNTIFS($AD$9:$AD$73,"&gt;0")</f>
        <v>51</v>
      </c>
      <c r="E77" s="31" t="s">
        <v>340</v>
      </c>
      <c r="F77" s="230">
        <f>IFERROR(AVERAGEIFS(F$9:F$76,$AD$9:$AD$76,"&gt;0"),"N/A")</f>
        <v>21.670000000000005</v>
      </c>
      <c r="G77" s="230">
        <f>IFERROR(AVERAGEIFS(G$9:G$76,$AD$9:$AD$76,"&gt;0"),"N/A")</f>
        <v>82.578431372549019</v>
      </c>
      <c r="H77" s="230">
        <f>IFERROR(AVERAGEIFS(H$9:H$76,$AD$9:$AD$76,"&gt;0"),"N/A")</f>
        <v>59.807843137254892</v>
      </c>
      <c r="I77" s="196">
        <f>IFERROR(AVERAGE(G77:H77),"N/A")</f>
        <v>71.193137254901956</v>
      </c>
      <c r="J77" s="230">
        <f t="shared" ref="J77:R77" si="15">IFERROR(AVERAGEIFS(J$9:J$76,$AD$9:$AD$76,"&gt;0"),"N/A")</f>
        <v>7.2149019607843137</v>
      </c>
      <c r="K77" s="230">
        <f t="shared" si="15"/>
        <v>3.4531372549019603</v>
      </c>
      <c r="L77" s="230">
        <f t="shared" si="15"/>
        <v>2.1750980392156869</v>
      </c>
      <c r="M77" s="230">
        <f t="shared" si="15"/>
        <v>8.9347058823529384</v>
      </c>
      <c r="N77" s="230">
        <f t="shared" si="15"/>
        <v>36.268431372549024</v>
      </c>
      <c r="O77" s="230">
        <f t="shared" si="15"/>
        <v>7.617647058823529</v>
      </c>
      <c r="P77" s="230">
        <f t="shared" si="15"/>
        <v>9.6627450980392151</v>
      </c>
      <c r="Q77" s="230">
        <f t="shared" si="15"/>
        <v>9.1823529411764682</v>
      </c>
      <c r="R77" s="230">
        <f t="shared" si="15"/>
        <v>9.6764705882352935</v>
      </c>
      <c r="S77" s="196"/>
      <c r="T77" s="230">
        <f>IFERROR(AVERAGEIFS(T$9:T$76,$AD$9:$AD$76,"&gt;0"),"N/A")</f>
        <v>10.583578904096532</v>
      </c>
      <c r="U77" s="230">
        <f>IFERROR(AVERAGEIFS(U$9:U$76,$AD$9:$AD$76,"&gt;0"),"N/A")</f>
        <v>2.0819465716657608</v>
      </c>
      <c r="V77" s="230">
        <f>IFERROR(AVERAGEIFS(V$9:V$76,$AD$9:$AD$76,"&gt;0"),"N/A")</f>
        <v>6.1871096062653556E-2</v>
      </c>
      <c r="W77" s="230">
        <f>IFERROR(AVERAGEIFS(W$9:W$76,$AD$9:$AD$76,"&gt;0"),"N/A")</f>
        <v>0.65442039748725511</v>
      </c>
      <c r="X77" s="230">
        <f>IFERROR(AVERAGEIFS(X$9:X$76,$AD$9:$AD$76,"&gt;0"),"N/A")</f>
        <v>0.8764190142724797</v>
      </c>
      <c r="Y77" s="230"/>
      <c r="Z77" s="230"/>
      <c r="AA77" s="230"/>
      <c r="AB77" s="80"/>
    </row>
    <row r="78" spans="1:30" x14ac:dyDescent="0.25">
      <c r="C78" t="s">
        <v>339</v>
      </c>
      <c r="D78">
        <f>COUNTIFS($AD$9:$AD$73,"&gt;0",$C$9:$C$73,E78)</f>
        <v>14</v>
      </c>
      <c r="E78" t="s">
        <v>342</v>
      </c>
      <c r="F78" s="80">
        <f t="shared" ref="F78:H80" si="16">IFERROR(AVERAGEIFS(F$9:F$73,$AD$9:$AD$73,"&gt;0",$C$9:$C$73,$E78),"N/A")</f>
        <v>20.107142857142854</v>
      </c>
      <c r="G78" s="80">
        <f t="shared" si="16"/>
        <v>82.342857142857142</v>
      </c>
      <c r="H78" s="80">
        <f t="shared" si="16"/>
        <v>60.992857142857147</v>
      </c>
      <c r="I78" s="2">
        <f t="shared" ref="I78:I84" si="17">IFERROR(AVERAGE(G78:H78),"N/A")</f>
        <v>71.667857142857144</v>
      </c>
      <c r="J78" s="80">
        <f t="shared" ref="J78:R80" si="18">IFERROR(AVERAGEIFS(J$9:J$73,$AD$9:$AD$73,"&gt;0",$C$9:$C$73,$E78),"N/A")</f>
        <v>8.0792857142857155</v>
      </c>
      <c r="K78" s="80">
        <f t="shared" si="18"/>
        <v>3.8042857142857147</v>
      </c>
      <c r="L78" s="80">
        <f t="shared" si="18"/>
        <v>2.3092857142857142</v>
      </c>
      <c r="M78" s="80">
        <f t="shared" si="18"/>
        <v>9.2942857142857118</v>
      </c>
      <c r="N78" s="80">
        <f t="shared" si="18"/>
        <v>35.773571428571429</v>
      </c>
      <c r="O78" s="80">
        <f t="shared" si="18"/>
        <v>8.35</v>
      </c>
      <c r="P78" s="80">
        <f t="shared" si="18"/>
        <v>9.5607142857142868</v>
      </c>
      <c r="Q78" s="80">
        <f t="shared" si="18"/>
        <v>9.9428571428571448</v>
      </c>
      <c r="R78" s="80">
        <f t="shared" si="18"/>
        <v>9.9928571428571438</v>
      </c>
      <c r="S78" s="196"/>
      <c r="T78" s="80">
        <f t="shared" ref="T78:X80" si="19">IFERROR(AVERAGEIFS(T$9:T$73,$AD$9:$AD$73,"&gt;0",$C$9:$C$73,$E78),"N/A")</f>
        <v>9.1435208131093422</v>
      </c>
      <c r="U78" s="80">
        <f t="shared" si="19"/>
        <v>2.0506703338037537</v>
      </c>
      <c r="V78" s="80">
        <f t="shared" si="19"/>
        <v>6.4286438056326389E-2</v>
      </c>
      <c r="W78" s="80">
        <f t="shared" si="19"/>
        <v>0.62370701029114861</v>
      </c>
      <c r="X78" s="80">
        <f t="shared" si="19"/>
        <v>1.0178288316772031</v>
      </c>
      <c r="Y78" s="80"/>
      <c r="Z78" s="80"/>
      <c r="AA78" s="80"/>
      <c r="AB78" s="80"/>
    </row>
    <row r="79" spans="1:30" x14ac:dyDescent="0.25">
      <c r="C79" t="s">
        <v>339</v>
      </c>
      <c r="D79">
        <f>COUNTIFS($AD$9:$AD$73,"&gt;0",$C$9:$C$73,E79)</f>
        <v>11</v>
      </c>
      <c r="E79" t="s">
        <v>268</v>
      </c>
      <c r="F79" s="80">
        <f t="shared" si="16"/>
        <v>20.172727272727276</v>
      </c>
      <c r="G79" s="80">
        <f t="shared" si="16"/>
        <v>76.490909090909099</v>
      </c>
      <c r="H79" s="80">
        <f t="shared" si="16"/>
        <v>54.690909090909095</v>
      </c>
      <c r="I79" s="2">
        <f t="shared" si="17"/>
        <v>65.590909090909093</v>
      </c>
      <c r="J79" s="80">
        <f t="shared" si="18"/>
        <v>7.0545454545454538</v>
      </c>
      <c r="K79" s="80">
        <f t="shared" si="18"/>
        <v>3.3090909090909091</v>
      </c>
      <c r="L79" s="80">
        <f t="shared" si="18"/>
        <v>2.2245454545454546</v>
      </c>
      <c r="M79" s="80">
        <f t="shared" si="18"/>
        <v>8.1809090909090916</v>
      </c>
      <c r="N79" s="80">
        <f t="shared" si="18"/>
        <v>34.766363636363629</v>
      </c>
      <c r="O79" s="80">
        <f t="shared" si="18"/>
        <v>7.327272727272728</v>
      </c>
      <c r="P79" s="80">
        <f t="shared" si="18"/>
        <v>9.4909090909090921</v>
      </c>
      <c r="Q79" s="80">
        <f t="shared" si="18"/>
        <v>8.709090909090909</v>
      </c>
      <c r="R79" s="80">
        <f t="shared" si="18"/>
        <v>9.4772727272727266</v>
      </c>
      <c r="S79" s="196"/>
      <c r="T79" s="80">
        <f t="shared" si="19"/>
        <v>9.5133189838569354</v>
      </c>
      <c r="U79" s="80">
        <f t="shared" si="19"/>
        <v>2.0786167144327155</v>
      </c>
      <c r="V79" s="80">
        <f t="shared" si="19"/>
        <v>6.7861215186046472E-2</v>
      </c>
      <c r="W79" s="80">
        <f t="shared" si="19"/>
        <v>0.66425641386303413</v>
      </c>
      <c r="X79" s="80">
        <f t="shared" si="19"/>
        <v>0.88503479986721423</v>
      </c>
      <c r="Y79" s="80"/>
      <c r="Z79" s="80"/>
      <c r="AA79" s="80"/>
      <c r="AB79" s="80"/>
    </row>
    <row r="80" spans="1:30" x14ac:dyDescent="0.25">
      <c r="C80" t="s">
        <v>339</v>
      </c>
      <c r="D80">
        <f>COUNTIFS($AD$9:$AD$73,"&gt;0",$C$9:$C$73,E80)</f>
        <v>11</v>
      </c>
      <c r="E80" t="s">
        <v>269</v>
      </c>
      <c r="F80" s="80">
        <f t="shared" si="16"/>
        <v>20.654545454545453</v>
      </c>
      <c r="G80" s="80">
        <f t="shared" si="16"/>
        <v>78.990909090909099</v>
      </c>
      <c r="H80" s="80">
        <f t="shared" si="16"/>
        <v>59.563636363636355</v>
      </c>
      <c r="I80" s="2">
        <f t="shared" si="17"/>
        <v>69.277272727272731</v>
      </c>
      <c r="J80" s="80">
        <f t="shared" si="18"/>
        <v>8.4127272727272739</v>
      </c>
      <c r="K80" s="80">
        <f t="shared" si="18"/>
        <v>3.669090909090909</v>
      </c>
      <c r="L80" s="80">
        <f t="shared" si="18"/>
        <v>2.4654545454545453</v>
      </c>
      <c r="M80" s="80">
        <f t="shared" si="18"/>
        <v>10.035454545454543</v>
      </c>
      <c r="N80" s="80">
        <f t="shared" si="18"/>
        <v>41.029090909090911</v>
      </c>
      <c r="O80" s="80">
        <f t="shared" si="18"/>
        <v>8.7727272727272734</v>
      </c>
      <c r="P80" s="80">
        <f t="shared" si="18"/>
        <v>10.977272727272727</v>
      </c>
      <c r="Q80" s="80">
        <f t="shared" si="18"/>
        <v>10.91818181818182</v>
      </c>
      <c r="R80" s="80">
        <f t="shared" si="18"/>
        <v>10.386363636363637</v>
      </c>
      <c r="S80" s="196"/>
      <c r="T80" s="80">
        <f t="shared" si="19"/>
        <v>8.3018291087870075</v>
      </c>
      <c r="U80" s="80">
        <f t="shared" si="19"/>
        <v>1.709876121527852</v>
      </c>
      <c r="V80" s="80">
        <f t="shared" si="19"/>
        <v>6.1711477055022217E-2</v>
      </c>
      <c r="W80" s="80">
        <f t="shared" si="19"/>
        <v>0.75474247756780599</v>
      </c>
      <c r="X80" s="80">
        <f t="shared" si="19"/>
        <v>0.88583394418404993</v>
      </c>
      <c r="Y80" s="80"/>
      <c r="Z80" s="80"/>
      <c r="AA80" s="80"/>
      <c r="AB80" s="80"/>
    </row>
    <row r="81" spans="2:28" x14ac:dyDescent="0.25">
      <c r="C81" t="s">
        <v>339</v>
      </c>
      <c r="D81">
        <f>COUNTIFS($AD$9:$AD$73,"&gt;0",$B$9:$B$73,LEFT(E81,1))</f>
        <v>36</v>
      </c>
      <c r="E81" t="s">
        <v>344</v>
      </c>
      <c r="F81" s="80">
        <f t="shared" ref="F81:H82" si="20">IFERROR(AVERAGEIFS(F$9:F$73,$AD$9:$AD$73,"&gt;0",$B$9:$B$73,LEFT($E81,1)),"N/A")</f>
        <v>20.294444444444444</v>
      </c>
      <c r="G81" s="80">
        <f t="shared" si="20"/>
        <v>79.530555555555551</v>
      </c>
      <c r="H81" s="80">
        <f t="shared" si="20"/>
        <v>58.630555555555553</v>
      </c>
      <c r="I81" s="2">
        <f t="shared" si="17"/>
        <v>69.080555555555549</v>
      </c>
      <c r="J81" s="80">
        <f t="shared" ref="J81:R82" si="21">IFERROR(AVERAGEIFS(J$9:J$73,$AD$9:$AD$73,"&gt;0",$B$9:$B$73,LEFT($E81,1)),"N/A")</f>
        <v>7.8680555555555571</v>
      </c>
      <c r="K81" s="80">
        <f t="shared" si="21"/>
        <v>3.6116666666666664</v>
      </c>
      <c r="L81" s="80">
        <f t="shared" si="21"/>
        <v>2.3311111111111118</v>
      </c>
      <c r="M81" s="80">
        <f t="shared" si="21"/>
        <v>9.1805555555555554</v>
      </c>
      <c r="N81" s="80">
        <f t="shared" si="21"/>
        <v>37.071666666666673</v>
      </c>
      <c r="O81" s="80">
        <f t="shared" si="21"/>
        <v>8.1666666666666643</v>
      </c>
      <c r="P81" s="80">
        <f t="shared" si="21"/>
        <v>9.972222222222225</v>
      </c>
      <c r="Q81" s="80">
        <f t="shared" si="21"/>
        <v>9.8638888888888872</v>
      </c>
      <c r="R81" s="80">
        <f t="shared" si="21"/>
        <v>9.9555555555555557</v>
      </c>
      <c r="T81" s="80">
        <f t="shared" ref="T81:X82" si="22">IFERROR(AVERAGEIFS(T$9:T$73,$AD$9:$AD$73,"&gt;0",$B$9:$B$73,LEFT($E81,1)),"N/A")</f>
        <v>8.9993311222948407</v>
      </c>
      <c r="U81" s="80">
        <f t="shared" si="22"/>
        <v>1.9550779408005223</v>
      </c>
      <c r="V81" s="80">
        <f t="shared" si="22"/>
        <v>6.4591937428897905E-2</v>
      </c>
      <c r="W81" s="80">
        <f t="shared" si="22"/>
        <v>0.67613572082820339</v>
      </c>
      <c r="X81" s="80">
        <f t="shared" si="22"/>
        <v>0.93692110633457637</v>
      </c>
      <c r="Y81" s="80"/>
      <c r="Z81" s="80"/>
      <c r="AA81" s="80"/>
      <c r="AB81" s="80"/>
    </row>
    <row r="82" spans="2:28" x14ac:dyDescent="0.25">
      <c r="C82" t="s">
        <v>339</v>
      </c>
      <c r="D82">
        <f>COUNTIFS($AD$9:$AD$73,"&gt;0",$B$9:$B$73,LEFT(E82,1))</f>
        <v>9</v>
      </c>
      <c r="E82" t="s">
        <v>271</v>
      </c>
      <c r="F82" s="80">
        <f t="shared" si="20"/>
        <v>19.100000000000001</v>
      </c>
      <c r="G82" s="80">
        <f t="shared" si="20"/>
        <v>80.555555555555571</v>
      </c>
      <c r="H82" s="80">
        <f t="shared" si="20"/>
        <v>58.733333333333334</v>
      </c>
      <c r="I82" s="2">
        <f t="shared" si="17"/>
        <v>69.644444444444446</v>
      </c>
      <c r="J82" s="80">
        <f t="shared" si="21"/>
        <v>6.3466666666666667</v>
      </c>
      <c r="K82" s="80">
        <f t="shared" si="21"/>
        <v>3.456666666666667</v>
      </c>
      <c r="L82" s="80">
        <f t="shared" si="21"/>
        <v>2.0200000000000005</v>
      </c>
      <c r="M82" s="80">
        <f t="shared" si="21"/>
        <v>9.4533333333333331</v>
      </c>
      <c r="N82" s="80">
        <f t="shared" si="21"/>
        <v>38.978888888888882</v>
      </c>
      <c r="O82" s="80">
        <f t="shared" si="21"/>
        <v>7.5</v>
      </c>
      <c r="P82" s="80">
        <f t="shared" si="21"/>
        <v>10.399999999999999</v>
      </c>
      <c r="Q82" s="80">
        <f t="shared" si="21"/>
        <v>8.9722222222222214</v>
      </c>
      <c r="R82" s="80">
        <f t="shared" si="21"/>
        <v>10.477777777777778</v>
      </c>
      <c r="T82" s="80">
        <f t="shared" si="22"/>
        <v>11.088654506112603</v>
      </c>
      <c r="U82" s="80">
        <f t="shared" si="22"/>
        <v>1.8344935137263323</v>
      </c>
      <c r="V82" s="80">
        <f t="shared" si="22"/>
        <v>5.5667670335875469E-2</v>
      </c>
      <c r="W82" s="80">
        <f t="shared" si="22"/>
        <v>0.60679824575779762</v>
      </c>
      <c r="X82" s="80">
        <f t="shared" si="22"/>
        <v>0.75250541498495682</v>
      </c>
      <c r="Y82" s="80"/>
      <c r="Z82" s="80"/>
      <c r="AA82" s="80"/>
      <c r="AB82" s="80"/>
    </row>
    <row r="83" spans="2:28" x14ac:dyDescent="0.25">
      <c r="C83" t="s">
        <v>339</v>
      </c>
      <c r="D83" s="79">
        <f>COUNTIFS($AD$9:$AD$73,"&gt;0",$A$9:$A$73,1)</f>
        <v>45</v>
      </c>
      <c r="E83" t="s">
        <v>341</v>
      </c>
      <c r="F83" s="80">
        <f>IFERROR(AVERAGEIFS(F$9:F$73,$AD$9:$AD$73,"&gt;0",$A$9:$A$73,1),"N/A")</f>
        <v>20.077272727272732</v>
      </c>
      <c r="G83" s="80">
        <f>IFERROR(AVERAGEIFS(G$9:G$73,$AD$9:$AD$73,"&gt;0",$A$9:$A$73,1),"N/A")</f>
        <v>79.735555555555564</v>
      </c>
      <c r="H83" s="80">
        <f>IFERROR(AVERAGEIFS(H$9:H$73,$AD$9:$AD$73,"&gt;0",$A$9:$A$73,1),"N/A")</f>
        <v>58.651111111111106</v>
      </c>
      <c r="I83" s="2">
        <f t="shared" si="17"/>
        <v>69.193333333333328</v>
      </c>
      <c r="J83" s="80">
        <f t="shared" ref="J83:R83" si="23">IFERROR(AVERAGEIFS(J$9:J$73,$AD$9:$AD$73,"&gt;0",$A$9:$A$73,1),"N/A")</f>
        <v>7.563777777777779</v>
      </c>
      <c r="K83" s="80">
        <f t="shared" si="23"/>
        <v>3.5806666666666667</v>
      </c>
      <c r="L83" s="80">
        <f t="shared" si="23"/>
        <v>2.2688888888888892</v>
      </c>
      <c r="M83" s="80">
        <f t="shared" si="23"/>
        <v>9.2351111111111095</v>
      </c>
      <c r="N83" s="80">
        <f t="shared" si="23"/>
        <v>37.45311111111112</v>
      </c>
      <c r="O83" s="80">
        <f t="shared" si="23"/>
        <v>8.0333333333333332</v>
      </c>
      <c r="P83" s="80">
        <f t="shared" si="23"/>
        <v>10.057777777777778</v>
      </c>
      <c r="Q83" s="80">
        <f t="shared" si="23"/>
        <v>9.6855555555555508</v>
      </c>
      <c r="R83" s="80">
        <f t="shared" si="23"/>
        <v>10.06</v>
      </c>
      <c r="T83" s="80">
        <f>IFERROR(AVERAGEIFS(T$9:T$73,$AD$9:$AD$73,"&gt;0",$A$9:$A$73,1),"N/A")</f>
        <v>9.4171957990583923</v>
      </c>
      <c r="U83" s="120">
        <f>IFERROR(AVERAGEIFS(U$9:U$73,$AD$9:$AD$73,"&gt;0",$A$9:$A$73,1),"N/A")</f>
        <v>1.9309610553856837</v>
      </c>
      <c r="V83" s="80">
        <f>IFERROR(AVERAGEIFS(V$9:V$73,$AD$9:$AD$73,"&gt;0",$A$9:$A$73,1),"N/A")</f>
        <v>6.2807084010293418E-2</v>
      </c>
      <c r="W83" s="80">
        <f>IFERROR(AVERAGEIFS(W$9:W$73,$AD$9:$AD$73,"&gt;0",$A$9:$A$73,1),"N/A")</f>
        <v>0.66226822581412226</v>
      </c>
      <c r="X83" s="80">
        <f>IFERROR(AVERAGEIFS(X$9:X$73,$AD$9:$AD$73,"&gt;0",$A$9:$A$73,1),"N/A")</f>
        <v>0.90003796806465242</v>
      </c>
      <c r="Y83" s="80"/>
      <c r="Z83" s="80"/>
      <c r="AA83" s="80"/>
      <c r="AB83" s="80"/>
    </row>
    <row r="84" spans="2:28" x14ac:dyDescent="0.25">
      <c r="C84" t="s">
        <v>339</v>
      </c>
      <c r="D84">
        <f>COUNTIFS($AD$9:$AD$73,"&gt;0",$B$9:$B$73,LEFT(E84,1))</f>
        <v>6</v>
      </c>
      <c r="E84" t="s">
        <v>270</v>
      </c>
      <c r="F84" s="80">
        <f>IFERROR(AVERAGEIFS(F$9:F$73,$AD$9:$AD$73,"&gt;0",$B$9:$B$73,LEFT($E84,1)),"N/A")</f>
        <v>33.35</v>
      </c>
      <c r="G84" s="80">
        <f>IFERROR(AVERAGEIFS(G$9:G$73,$AD$9:$AD$73,"&gt;0",$B$9:$B$73,LEFT($E84,1)),"N/A")</f>
        <v>103.89999999999999</v>
      </c>
      <c r="H84" s="80">
        <f>IFERROR(AVERAGEIFS(H$9:H$73,$AD$9:$AD$73,"&gt;0",$B$9:$B$73,LEFT($E84,1)),"N/A")</f>
        <v>68.483333333333334</v>
      </c>
      <c r="I84" s="2">
        <f t="shared" si="17"/>
        <v>86.191666666666663</v>
      </c>
      <c r="J84" s="80">
        <f t="shared" ref="J84:R84" si="24">IFERROR(AVERAGEIFS(J$9:J$73,$AD$9:$AD$73,"&gt;0",$B$9:$B$73,LEFT($E84,1)),"N/A")</f>
        <v>4.5983333333333336</v>
      </c>
      <c r="K84" s="80">
        <f t="shared" si="24"/>
        <v>2.4966666666666666</v>
      </c>
      <c r="L84" s="80">
        <f t="shared" si="24"/>
        <v>1.4716666666666667</v>
      </c>
      <c r="M84" s="80">
        <f t="shared" si="24"/>
        <v>6.6816666666666675</v>
      </c>
      <c r="N84" s="80">
        <f t="shared" si="24"/>
        <v>27.383333333333336</v>
      </c>
      <c r="O84" s="80">
        <f t="shared" si="24"/>
        <v>4.4999999999999991</v>
      </c>
      <c r="P84" s="80">
        <f t="shared" si="24"/>
        <v>6.7</v>
      </c>
      <c r="Q84" s="80">
        <f t="shared" si="24"/>
        <v>5.4083333333333341</v>
      </c>
      <c r="R84" s="80">
        <f t="shared" si="24"/>
        <v>6.8</v>
      </c>
      <c r="T84" s="80">
        <f>IFERROR(AVERAGEIFS(T$9:T$73,$AD$9:$AD$73,"&gt;0",$B$9:$B$73,LEFT($E84,1)),"N/A")</f>
        <v>19.331452191882594</v>
      </c>
      <c r="U84" s="80">
        <f>IFERROR(AVERAGEIFS(U$9:U$73,$AD$9:$AD$73,"&gt;0",$B$9:$B$73,LEFT($E84,1)),"N/A")</f>
        <v>3.2143379437663362</v>
      </c>
      <c r="V84" s="80">
        <f>IFERROR(AVERAGEIFS(V$9:V$73,$AD$9:$AD$73,"&gt;0",$B$9:$B$73,LEFT($E84,1)),"N/A")</f>
        <v>5.4851186455354452E-2</v>
      </c>
      <c r="W84" s="80">
        <f>IFERROR(AVERAGEIFS(W$9:W$73,$AD$9:$AD$73,"&gt;0",$B$9:$B$73,LEFT($E84,1)),"N/A")</f>
        <v>0.5955616850357518</v>
      </c>
      <c r="X84" s="80">
        <f>IFERROR(AVERAGEIFS(X$9:X$73,$AD$9:$AD$73,"&gt;0",$B$9:$B$73,LEFT($E84,1)),"N/A")</f>
        <v>0.69927686083118479</v>
      </c>
      <c r="Y84" s="80"/>
      <c r="Z84" s="80"/>
      <c r="AA84" s="80"/>
      <c r="AB84" s="80"/>
    </row>
    <row r="88" spans="2:28" x14ac:dyDescent="0.25">
      <c r="B88" s="68" t="s">
        <v>108</v>
      </c>
      <c r="C88" t="s">
        <v>407</v>
      </c>
    </row>
  </sheetData>
  <autoFilter ref="A8:AK74"/>
  <mergeCells count="1">
    <mergeCell ref="G5:I5"/>
  </mergeCells>
  <pageMargins left="0.7" right="0.7" top="0.75" bottom="0.75" header="0.3" footer="0.3"/>
  <pageSetup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AK88"/>
  <sheetViews>
    <sheetView topLeftCell="A7" zoomScale="90" zoomScaleNormal="90" workbookViewId="0">
      <selection activeCell="U60" sqref="U60"/>
    </sheetView>
  </sheetViews>
  <sheetFormatPr defaultRowHeight="13.8" x14ac:dyDescent="0.25"/>
  <cols>
    <col min="1" max="2" width="3.09765625" customWidth="1"/>
    <col min="3" max="3" width="17.69921875" bestFit="1" customWidth="1"/>
    <col min="4" max="4" width="9.19921875" bestFit="1" customWidth="1"/>
    <col min="5" max="5" width="19.3984375" customWidth="1"/>
    <col min="6" max="6" width="9.69921875" customWidth="1"/>
    <col min="7" max="7" width="9.59765625" bestFit="1" customWidth="1"/>
    <col min="8" max="8" width="7.5" bestFit="1" customWidth="1"/>
    <col min="9" max="9" width="8.69921875" customWidth="1"/>
    <col min="10" max="10" width="7.59765625" customWidth="1"/>
    <col min="11" max="11" width="9.69921875" customWidth="1"/>
    <col min="12" max="12" width="10.09765625" customWidth="1"/>
    <col min="13" max="13" width="10.5" customWidth="1"/>
    <col min="14" max="18" width="8.5" customWidth="1"/>
    <col min="19" max="19" width="10.09765625" style="31" customWidth="1"/>
    <col min="20" max="22" width="8.3984375" bestFit="1" customWidth="1"/>
    <col min="23" max="23" width="9" bestFit="1" customWidth="1"/>
    <col min="24" max="28" width="9.19921875" customWidth="1"/>
  </cols>
  <sheetData>
    <row r="1" spans="1:37" x14ac:dyDescent="0.25">
      <c r="C1" t="s">
        <v>351</v>
      </c>
      <c r="D1" s="87" t="s">
        <v>543</v>
      </c>
      <c r="T1" s="2"/>
    </row>
    <row r="2" spans="1:37" x14ac:dyDescent="0.25">
      <c r="C2" t="s">
        <v>352</v>
      </c>
      <c r="D2" s="204" t="s">
        <v>537</v>
      </c>
    </row>
    <row r="3" spans="1:37" x14ac:dyDescent="0.25">
      <c r="C3" t="s">
        <v>353</v>
      </c>
      <c r="D3" s="205" t="s">
        <v>550</v>
      </c>
    </row>
    <row r="4" spans="1:37" x14ac:dyDescent="0.25">
      <c r="F4" s="49" t="s">
        <v>115</v>
      </c>
      <c r="G4" s="49"/>
      <c r="H4" s="49"/>
      <c r="I4" s="49"/>
    </row>
    <row r="5" spans="1:37" ht="69" x14ac:dyDescent="0.25">
      <c r="C5" s="47" t="s">
        <v>267</v>
      </c>
      <c r="F5" s="239">
        <v>2021</v>
      </c>
      <c r="G5" s="281" t="str">
        <f>F5&amp;" Stock Price"</f>
        <v>2021 Stock Price</v>
      </c>
      <c r="H5" s="281"/>
      <c r="I5" s="281"/>
      <c r="J5" s="47" t="str">
        <f>$F$5&amp;CHAR(10)&amp;"Cash Flow"&amp;CHAR(10)&amp;"/Share"</f>
        <v>2021
Cash Flow
/Share</v>
      </c>
      <c r="K5" s="47" t="str">
        <f>$F$5&amp;CHAR(10)&amp;"Earnings"&amp;CHAR(10)&amp;"/Share"</f>
        <v>2021
Earnings
/Share</v>
      </c>
      <c r="L5" s="47" t="str">
        <f>$F$5&amp;CHAR(10)&amp;"Div'd Decl'd"&amp;CHAR(10)&amp;"/Share"</f>
        <v>2021
Div'd Decl'd
/Share</v>
      </c>
      <c r="M5" s="47" t="str">
        <f>$F$5&amp;CHAR(10)&amp;"Cap'l Spending"&amp;CHAR(10)&amp;"/Share"</f>
        <v>2021
Cap'l Spending
/Share</v>
      </c>
      <c r="N5" s="47" t="str">
        <f>$F$5&amp;CHAR(10)&amp;"Book Value"&amp;CHAR(10)&amp;"/Share"</f>
        <v>2021
Book Value
/Share</v>
      </c>
      <c r="O5" s="47" t="str">
        <f>($F$5+1)&amp;CHAR(10)&amp;"Cash Flow"&amp;CHAR(10)&amp;"/Share"</f>
        <v>2022
Cash Flow
/Share</v>
      </c>
      <c r="P5" s="47" t="str">
        <f>($F$5+1)&amp;CHAR(10)&amp;"Cap'l Spending"&amp;CHAR(10)&amp;"/Share"</f>
        <v>2022
Cap'l Spending
/Share</v>
      </c>
      <c r="Q5" s="47" t="s">
        <v>441</v>
      </c>
      <c r="R5" s="47" t="s">
        <v>442</v>
      </c>
      <c r="S5" s="242" t="s">
        <v>323</v>
      </c>
      <c r="T5" s="239">
        <f>F5</f>
        <v>2021</v>
      </c>
      <c r="U5" s="239">
        <f>$F$5</f>
        <v>2021</v>
      </c>
      <c r="V5" s="239">
        <f>$F$5</f>
        <v>2021</v>
      </c>
      <c r="W5" s="239">
        <f>$F$5</f>
        <v>2021</v>
      </c>
      <c r="X5" s="239">
        <f>$F$5</f>
        <v>2021</v>
      </c>
      <c r="Y5" s="239">
        <f>$F$5</f>
        <v>2021</v>
      </c>
      <c r="Z5" s="239">
        <f>$F$5+1</f>
        <v>2022</v>
      </c>
      <c r="AA5" s="239"/>
      <c r="AB5" s="239"/>
    </row>
    <row r="6" spans="1:37" ht="28.2" thickBot="1" x14ac:dyDescent="0.3">
      <c r="F6" s="24" t="s">
        <v>113</v>
      </c>
      <c r="G6" s="24" t="s">
        <v>110</v>
      </c>
      <c r="H6" s="24" t="s">
        <v>111</v>
      </c>
      <c r="I6" s="24" t="s">
        <v>112</v>
      </c>
      <c r="J6" s="48"/>
      <c r="K6" s="48"/>
      <c r="L6" s="48"/>
      <c r="M6" s="48"/>
      <c r="N6" s="48"/>
      <c r="O6" s="48"/>
      <c r="P6" s="48"/>
      <c r="Q6" s="48"/>
      <c r="R6" s="48"/>
      <c r="S6" s="55"/>
      <c r="T6" s="24" t="s">
        <v>114</v>
      </c>
      <c r="U6" s="24" t="s">
        <v>245</v>
      </c>
      <c r="V6" s="24" t="s">
        <v>349</v>
      </c>
      <c r="W6" s="24" t="s">
        <v>324</v>
      </c>
      <c r="X6" s="83" t="s">
        <v>325</v>
      </c>
      <c r="Y6" s="24" t="s">
        <v>377</v>
      </c>
      <c r="Z6" s="83" t="s">
        <v>325</v>
      </c>
      <c r="AA6" s="83"/>
      <c r="AB6" s="83"/>
      <c r="AD6" s="24" t="s">
        <v>343</v>
      </c>
    </row>
    <row r="7" spans="1:37" ht="15" customHeight="1" x14ac:dyDescent="0.25">
      <c r="F7" s="39" t="s">
        <v>116</v>
      </c>
      <c r="G7" s="39" t="s">
        <v>116</v>
      </c>
      <c r="H7" s="39" t="s">
        <v>116</v>
      </c>
      <c r="J7" s="39" t="s">
        <v>116</v>
      </c>
      <c r="K7" s="39" t="s">
        <v>116</v>
      </c>
      <c r="L7" s="39" t="s">
        <v>116</v>
      </c>
      <c r="M7" s="39" t="s">
        <v>116</v>
      </c>
      <c r="N7" s="39" t="s">
        <v>116</v>
      </c>
      <c r="O7" s="39" t="s">
        <v>116</v>
      </c>
      <c r="P7" s="39" t="s">
        <v>116</v>
      </c>
      <c r="Q7" s="39"/>
      <c r="R7" s="39"/>
      <c r="S7" s="243" t="s">
        <v>116</v>
      </c>
      <c r="W7" s="39"/>
    </row>
    <row r="8" spans="1:37" x14ac:dyDescent="0.25">
      <c r="D8" s="53">
        <v>1</v>
      </c>
      <c r="E8" s="53">
        <v>2</v>
      </c>
      <c r="F8" s="53">
        <v>3</v>
      </c>
      <c r="G8" s="53">
        <v>4</v>
      </c>
      <c r="H8" s="53">
        <v>5</v>
      </c>
      <c r="I8" s="53">
        <v>6</v>
      </c>
      <c r="J8" s="53">
        <v>7</v>
      </c>
      <c r="K8" s="53">
        <v>8</v>
      </c>
      <c r="L8" s="53">
        <v>9</v>
      </c>
      <c r="M8" s="53">
        <v>10</v>
      </c>
      <c r="N8" s="53">
        <v>11</v>
      </c>
      <c r="O8" s="53">
        <v>12</v>
      </c>
      <c r="P8" s="53">
        <v>13</v>
      </c>
      <c r="Q8" s="53">
        <v>14</v>
      </c>
      <c r="R8" s="53">
        <v>15</v>
      </c>
      <c r="S8" s="244">
        <v>16</v>
      </c>
      <c r="T8" s="53">
        <v>17</v>
      </c>
      <c r="U8" s="53">
        <v>18</v>
      </c>
      <c r="V8" s="53">
        <v>19</v>
      </c>
      <c r="W8" s="53">
        <v>20</v>
      </c>
      <c r="X8" s="53">
        <v>21</v>
      </c>
      <c r="Y8" s="53">
        <v>22</v>
      </c>
      <c r="Z8" s="53">
        <v>23</v>
      </c>
      <c r="AA8" s="53"/>
      <c r="AB8" s="53"/>
    </row>
    <row r="9" spans="1:37" ht="14.25" customHeight="1" x14ac:dyDescent="0.25">
      <c r="A9">
        <f>IF(OR(B9="E",B9="N"),1,"")</f>
        <v>1</v>
      </c>
      <c r="B9" t="str">
        <f>LEFT(C9,1)</f>
        <v>N</v>
      </c>
      <c r="C9" t="s">
        <v>271</v>
      </c>
      <c r="D9" s="31" t="s">
        <v>206</v>
      </c>
      <c r="E9" s="31" t="str">
        <f ca="1">INDEX(OFFSET(CashFlow,0,-1,,1),MATCH(D9,OFFSET(CashFlow,0,0,,1),0))</f>
        <v>WGL Holdings Inc.</v>
      </c>
      <c r="F9" s="226" t="s">
        <v>106</v>
      </c>
      <c r="G9" s="226" t="s">
        <v>106</v>
      </c>
      <c r="H9" s="226" t="s">
        <v>106</v>
      </c>
      <c r="I9" s="196" t="s">
        <v>384</v>
      </c>
      <c r="J9" s="227" t="s">
        <v>106</v>
      </c>
      <c r="K9" s="227" t="s">
        <v>106</v>
      </c>
      <c r="L9" s="227" t="s">
        <v>106</v>
      </c>
      <c r="M9" s="227" t="s">
        <v>106</v>
      </c>
      <c r="N9" s="227" t="s">
        <v>106</v>
      </c>
      <c r="O9" s="227" t="s">
        <v>106</v>
      </c>
      <c r="P9" s="227" t="s">
        <v>106</v>
      </c>
      <c r="Q9" s="227" t="s">
        <v>106</v>
      </c>
      <c r="R9" s="227" t="s">
        <v>106</v>
      </c>
      <c r="S9" s="226">
        <v>43252</v>
      </c>
      <c r="T9" s="56" t="str">
        <f>IFERROR(I9/J9,"N/A")</f>
        <v>N/A</v>
      </c>
      <c r="U9" s="247" t="str">
        <f>IFERROR(I9/N9,"N/A")</f>
        <v>N/A</v>
      </c>
      <c r="V9" s="248" t="str">
        <f>IFERROR(L9/N9,"N/A")</f>
        <v>N/A</v>
      </c>
      <c r="W9" s="247" t="str">
        <f>IFERROR(L9/K9,"N/A")</f>
        <v>N/A</v>
      </c>
      <c r="X9" s="247" t="str">
        <f>IFERROR(J9/M9,"N/A")</f>
        <v>N/A</v>
      </c>
      <c r="Y9" s="248" t="str">
        <f>IFERROR(L9/I9,"N/A")</f>
        <v>N/A</v>
      </c>
      <c r="Z9" s="247" t="str">
        <f>IFERROR(O9/P9,"N/A")</f>
        <v>N/A</v>
      </c>
      <c r="AA9" s="247" t="str">
        <f>IFERROR(Q9/R9,"N/A")</f>
        <v>N/A</v>
      </c>
      <c r="AB9" s="52"/>
      <c r="AD9" s="33">
        <f>ABS(SUM(F9:H9,J9:N9))</f>
        <v>0</v>
      </c>
    </row>
    <row r="10" spans="1:37" ht="14.25" customHeight="1" x14ac:dyDescent="0.25">
      <c r="A10">
        <f t="shared" ref="A10:A73" si="0">IF(OR(B10="E",B10="N"),1,"")</f>
        <v>1</v>
      </c>
      <c r="B10" t="str">
        <f t="shared" ref="B10:B73" si="1">LEFT(C10,1)</f>
        <v>E</v>
      </c>
      <c r="C10" t="s">
        <v>342</v>
      </c>
      <c r="D10" s="31" t="s">
        <v>20</v>
      </c>
      <c r="E10" s="31" t="str">
        <f>VLOOKUP(D10,'[6]MP-CF (WP)'!$B$4:$Y$81,2,FALSE)</f>
        <v xml:space="preserve">Great Plains Energy             </v>
      </c>
      <c r="F10" s="226" t="s">
        <v>106</v>
      </c>
      <c r="G10" s="226" t="s">
        <v>106</v>
      </c>
      <c r="H10" s="226" t="s">
        <v>106</v>
      </c>
      <c r="I10" s="56" t="s">
        <v>384</v>
      </c>
      <c r="J10" s="227" t="s">
        <v>106</v>
      </c>
      <c r="K10" s="227" t="s">
        <v>106</v>
      </c>
      <c r="L10" s="227" t="s">
        <v>106</v>
      </c>
      <c r="M10" s="227" t="s">
        <v>106</v>
      </c>
      <c r="N10" s="227" t="s">
        <v>106</v>
      </c>
      <c r="O10" s="227" t="s">
        <v>106</v>
      </c>
      <c r="P10" s="227" t="s">
        <v>106</v>
      </c>
      <c r="Q10" s="227" t="s">
        <v>106</v>
      </c>
      <c r="R10" s="227" t="s">
        <v>106</v>
      </c>
      <c r="S10" s="226">
        <v>43266</v>
      </c>
      <c r="T10" s="56" t="str">
        <f>IFERROR(I10/J10,"N/A")</f>
        <v>N/A</v>
      </c>
      <c r="U10" s="247" t="str">
        <f>IFERROR(I10/N10,"N/A")</f>
        <v>N/A</v>
      </c>
      <c r="V10" s="248" t="str">
        <f>IFERROR(L10/N10,"N/A")</f>
        <v>N/A</v>
      </c>
      <c r="W10" s="247" t="str">
        <f>IFERROR(L10/K10,"N/A")</f>
        <v>N/A</v>
      </c>
      <c r="X10" s="247" t="str">
        <f>IFERROR(J10/M10,"N/A")</f>
        <v>N/A</v>
      </c>
      <c r="Y10" s="248" t="str">
        <f>IFERROR(L10/I10,"N/A")</f>
        <v>N/A</v>
      </c>
      <c r="Z10" s="247" t="str">
        <f>IFERROR(O10/P10,"N/A")</f>
        <v>N/A</v>
      </c>
      <c r="AA10" s="247" t="str">
        <f>IFERROR(Q10/R10,"N/A")</f>
        <v>N/A</v>
      </c>
      <c r="AB10" s="52"/>
      <c r="AD10" s="33">
        <f t="shared" ref="AD10:AD73" si="2">ABS(SUM(F10:H10,J10:N10))</f>
        <v>0</v>
      </c>
      <c r="AE10" s="2"/>
      <c r="AK10" s="26"/>
    </row>
    <row r="11" spans="1:37" ht="14.25" customHeight="1" x14ac:dyDescent="0.25">
      <c r="A11">
        <f t="shared" si="0"/>
        <v>1</v>
      </c>
      <c r="B11" t="str">
        <f t="shared" si="1"/>
        <v>E</v>
      </c>
      <c r="C11" t="s">
        <v>342</v>
      </c>
      <c r="D11" s="31" t="s">
        <v>43</v>
      </c>
      <c r="E11" s="31" t="str">
        <f>VLOOKUP(D11,'[6]MP-CF (WP)'!$B$4:$Y$81,2,FALSE)</f>
        <v xml:space="preserve">Westar Energy                 </v>
      </c>
      <c r="F11" s="226" t="s">
        <v>106</v>
      </c>
      <c r="G11" s="226" t="s">
        <v>106</v>
      </c>
      <c r="H11" s="226" t="s">
        <v>106</v>
      </c>
      <c r="I11" s="56" t="s">
        <v>384</v>
      </c>
      <c r="J11" s="227" t="s">
        <v>106</v>
      </c>
      <c r="K11" s="227" t="s">
        <v>106</v>
      </c>
      <c r="L11" s="227" t="s">
        <v>106</v>
      </c>
      <c r="M11" s="227" t="s">
        <v>106</v>
      </c>
      <c r="N11" s="227" t="s">
        <v>106</v>
      </c>
      <c r="O11" s="227" t="s">
        <v>106</v>
      </c>
      <c r="P11" s="227" t="s">
        <v>106</v>
      </c>
      <c r="Q11" s="227" t="s">
        <v>106</v>
      </c>
      <c r="R11" s="227" t="s">
        <v>106</v>
      </c>
      <c r="S11" s="226">
        <v>43266</v>
      </c>
      <c r="T11" s="56" t="str">
        <f>IFERROR(I11/J11,"N/A")</f>
        <v>N/A</v>
      </c>
      <c r="U11" s="247" t="str">
        <f>IFERROR(I11/N11,"N/A")</f>
        <v>N/A</v>
      </c>
      <c r="V11" s="248" t="str">
        <f>IFERROR(L11/N11,"N/A")</f>
        <v>N/A</v>
      </c>
      <c r="W11" s="247" t="str">
        <f>IFERROR(L11/K11,"N/A")</f>
        <v>N/A</v>
      </c>
      <c r="X11" s="247" t="str">
        <f>IFERROR(J11/M11,"N/A")</f>
        <v>N/A</v>
      </c>
      <c r="Y11" s="248" t="str">
        <f>IFERROR(L11/I11,"N/A")</f>
        <v>N/A</v>
      </c>
      <c r="Z11" s="247" t="str">
        <f>IFERROR(O11/P11,"N/A")</f>
        <v>N/A</v>
      </c>
      <c r="AA11" s="247" t="str">
        <f>IFERROR(Q11/R11,"N/A")</f>
        <v>N/A</v>
      </c>
      <c r="AB11" s="52"/>
      <c r="AD11" s="33">
        <f t="shared" si="2"/>
        <v>0</v>
      </c>
      <c r="AE11" s="2"/>
      <c r="AK11" s="26"/>
    </row>
    <row r="12" spans="1:37" ht="14.25" customHeight="1" x14ac:dyDescent="0.25">
      <c r="A12">
        <f t="shared" si="0"/>
        <v>1</v>
      </c>
      <c r="B12" t="str">
        <f t="shared" si="1"/>
        <v>E</v>
      </c>
      <c r="C12" t="s">
        <v>342</v>
      </c>
      <c r="D12" s="31" t="s">
        <v>42</v>
      </c>
      <c r="E12" s="31" t="str">
        <f>VLOOKUP(D12,'[6]MP-CF (WP)'!$B$4:$Y$81,2,FALSE)</f>
        <v xml:space="preserve">Vectren Corp.                 </v>
      </c>
      <c r="F12" s="226" t="s">
        <v>106</v>
      </c>
      <c r="G12" s="226" t="s">
        <v>106</v>
      </c>
      <c r="H12" s="226" t="s">
        <v>106</v>
      </c>
      <c r="I12" s="226" t="s">
        <v>384</v>
      </c>
      <c r="J12" s="227" t="s">
        <v>106</v>
      </c>
      <c r="K12" s="227" t="s">
        <v>106</v>
      </c>
      <c r="L12" s="227" t="s">
        <v>106</v>
      </c>
      <c r="M12" s="227" t="s">
        <v>106</v>
      </c>
      <c r="N12" s="227" t="s">
        <v>106</v>
      </c>
      <c r="O12" s="227" t="s">
        <v>106</v>
      </c>
      <c r="P12" s="227" t="s">
        <v>106</v>
      </c>
      <c r="Q12" s="227" t="s">
        <v>106</v>
      </c>
      <c r="R12" s="227" t="s">
        <v>106</v>
      </c>
      <c r="S12" s="226">
        <v>43539</v>
      </c>
      <c r="T12" s="56" t="str">
        <f>IFERROR(I12/J12,"N/A")</f>
        <v>N/A</v>
      </c>
      <c r="U12" s="247" t="str">
        <f>IFERROR(I12/N12,"N/A")</f>
        <v>N/A</v>
      </c>
      <c r="V12" s="248" t="str">
        <f>IFERROR(L12/N12,"N/A")</f>
        <v>N/A</v>
      </c>
      <c r="W12" s="247" t="str">
        <f>IFERROR(L12/K12,"N/A")</f>
        <v>N/A</v>
      </c>
      <c r="X12" s="247" t="str">
        <f>IFERROR(J12/M12,"N/A")</f>
        <v>N/A</v>
      </c>
      <c r="Y12" s="248" t="str">
        <f>IFERROR(L12/I12,"N/A")</f>
        <v>N/A</v>
      </c>
      <c r="Z12" s="247" t="str">
        <f>IFERROR(O12/P12,"N/A")</f>
        <v>N/A</v>
      </c>
      <c r="AA12" s="247" t="str">
        <f>IFERROR(Q12/R12,"N/A")</f>
        <v>N/A</v>
      </c>
      <c r="AB12" s="52"/>
      <c r="AD12" s="33">
        <f t="shared" si="2"/>
        <v>0</v>
      </c>
      <c r="AE12" s="2"/>
      <c r="AK12" s="26"/>
    </row>
    <row r="13" spans="1:37" ht="14.25" customHeight="1" x14ac:dyDescent="0.25">
      <c r="A13" t="str">
        <f t="shared" si="0"/>
        <v/>
      </c>
      <c r="B13" t="str">
        <f t="shared" si="1"/>
        <v>W</v>
      </c>
      <c r="C13" t="s">
        <v>270</v>
      </c>
      <c r="D13" s="31"/>
      <c r="E13" s="31"/>
      <c r="F13" s="195"/>
      <c r="G13" s="195"/>
      <c r="H13" s="195"/>
      <c r="I13" s="196"/>
      <c r="J13" s="193"/>
      <c r="K13" s="193"/>
      <c r="L13" s="193"/>
      <c r="M13" s="193"/>
      <c r="N13" s="193"/>
      <c r="O13" s="193"/>
      <c r="P13" s="193"/>
      <c r="Q13" s="193"/>
      <c r="R13" s="193"/>
      <c r="S13" s="225"/>
      <c r="T13" s="196"/>
      <c r="U13" s="197"/>
      <c r="V13" s="198"/>
      <c r="W13" s="197"/>
      <c r="X13" s="197"/>
      <c r="Y13" s="198"/>
      <c r="Z13" s="197"/>
      <c r="AA13" s="197"/>
      <c r="AB13" s="52"/>
      <c r="AD13" s="33">
        <f t="shared" si="2"/>
        <v>0</v>
      </c>
      <c r="AE13" s="2"/>
      <c r="AK13" s="26"/>
    </row>
    <row r="14" spans="1:37" s="31" customFormat="1" ht="14.25" customHeight="1" x14ac:dyDescent="0.25">
      <c r="A14" s="31" t="str">
        <f t="shared" si="0"/>
        <v/>
      </c>
      <c r="B14" s="31" t="str">
        <f t="shared" si="1"/>
        <v>W</v>
      </c>
      <c r="C14" s="31" t="s">
        <v>270</v>
      </c>
      <c r="D14" s="31" t="s">
        <v>165</v>
      </c>
      <c r="E14" s="31" t="str">
        <f t="shared" ref="E14:E20" ca="1" si="3">INDEX(nameLU,MATCH(D14,tickerLU,0))</f>
        <v>Amer. States Water</v>
      </c>
      <c r="F14" s="195">
        <v>33.200000000000003</v>
      </c>
      <c r="G14" s="195">
        <v>103.8</v>
      </c>
      <c r="H14" s="195">
        <v>70.099999999999994</v>
      </c>
      <c r="I14" s="196">
        <f t="shared" ref="I14:I68" si="4">AVERAGE(G14:H14)</f>
        <v>86.949999999999989</v>
      </c>
      <c r="J14" s="193">
        <v>3.64</v>
      </c>
      <c r="K14" s="193">
        <v>2.5499999999999998</v>
      </c>
      <c r="L14" s="193">
        <v>1.4</v>
      </c>
      <c r="M14" s="193">
        <v>3.91</v>
      </c>
      <c r="N14" s="193">
        <v>18.57</v>
      </c>
      <c r="O14" s="193">
        <v>3.75</v>
      </c>
      <c r="P14" s="193">
        <v>4</v>
      </c>
      <c r="Q14" s="193">
        <v>4.75</v>
      </c>
      <c r="R14" s="193">
        <v>4.25</v>
      </c>
      <c r="S14" s="225">
        <v>44659</v>
      </c>
      <c r="T14" s="196">
        <f t="shared" ref="T14:T74" si="5">IFERROR(I14/J14,"")</f>
        <v>23.887362637362635</v>
      </c>
      <c r="U14" s="197">
        <f t="shared" ref="U14:U73" si="6">IFERROR(I14/N14,"")</f>
        <v>4.6822832525578884</v>
      </c>
      <c r="V14" s="198">
        <f t="shared" ref="V14:V73" si="7">IFERROR(L14/N14,"")</f>
        <v>7.5390414647280551E-2</v>
      </c>
      <c r="W14" s="197">
        <f t="shared" ref="W14:W73" si="8">IFERROR(L14/K14,"")</f>
        <v>0.5490196078431373</v>
      </c>
      <c r="X14" s="197">
        <f t="shared" ref="X14:X73" si="9">IFERROR(J14/M14,"")</f>
        <v>0.93094629156010233</v>
      </c>
      <c r="Y14" s="198">
        <f t="shared" ref="Y14:Y73" si="10">IFERROR(L14/I14,"")</f>
        <v>1.6101207590569294E-2</v>
      </c>
      <c r="Z14" s="197">
        <f t="shared" ref="Z14:Z31" si="11">IFERROR(O14/P14,"")</f>
        <v>0.9375</v>
      </c>
      <c r="AA14" s="197">
        <f t="shared" ref="AA14:AA74" si="12">IFERROR(Q14/R14,"")</f>
        <v>1.1176470588235294</v>
      </c>
      <c r="AB14" s="197"/>
      <c r="AD14" s="199">
        <f t="shared" si="2"/>
        <v>237.17</v>
      </c>
      <c r="AE14" s="196"/>
      <c r="AK14" s="256"/>
    </row>
    <row r="15" spans="1:37" s="31" customFormat="1" ht="14.25" customHeight="1" x14ac:dyDescent="0.25">
      <c r="A15" s="31" t="str">
        <f t="shared" si="0"/>
        <v/>
      </c>
      <c r="B15" s="31" t="str">
        <f t="shared" si="1"/>
        <v>W</v>
      </c>
      <c r="C15" s="31" t="s">
        <v>270</v>
      </c>
      <c r="D15" s="31" t="s">
        <v>167</v>
      </c>
      <c r="E15" s="31" t="str">
        <f t="shared" ca="1" si="3"/>
        <v>Amer. Water Works</v>
      </c>
      <c r="F15" s="195">
        <v>23.6</v>
      </c>
      <c r="G15" s="195">
        <v>189.6</v>
      </c>
      <c r="H15" s="195">
        <v>131</v>
      </c>
      <c r="I15" s="196">
        <f t="shared" si="4"/>
        <v>160.30000000000001</v>
      </c>
      <c r="J15" s="193">
        <v>10.45</v>
      </c>
      <c r="K15" s="193">
        <v>6.95</v>
      </c>
      <c r="L15" s="193">
        <v>2.36</v>
      </c>
      <c r="M15" s="193">
        <v>9.6999999999999993</v>
      </c>
      <c r="N15" s="193">
        <v>40.19</v>
      </c>
      <c r="O15" s="193">
        <v>8.15</v>
      </c>
      <c r="P15" s="193">
        <v>9.9</v>
      </c>
      <c r="Q15" s="193">
        <v>10.1</v>
      </c>
      <c r="R15" s="193">
        <v>11.5</v>
      </c>
      <c r="S15" s="225">
        <v>44659</v>
      </c>
      <c r="T15" s="196">
        <f t="shared" si="5"/>
        <v>15.33971291866029</v>
      </c>
      <c r="U15" s="197">
        <f t="shared" si="6"/>
        <v>3.9885543667579006</v>
      </c>
      <c r="V15" s="198">
        <f t="shared" si="7"/>
        <v>5.8721074894252302E-2</v>
      </c>
      <c r="W15" s="197">
        <f t="shared" si="8"/>
        <v>0.33956834532374097</v>
      </c>
      <c r="X15" s="197">
        <f t="shared" si="9"/>
        <v>1.0773195876288659</v>
      </c>
      <c r="Y15" s="198">
        <f t="shared" si="10"/>
        <v>1.4722395508421707E-2</v>
      </c>
      <c r="Z15" s="197">
        <f t="shared" si="11"/>
        <v>0.8232323232323232</v>
      </c>
      <c r="AA15" s="197">
        <f t="shared" si="12"/>
        <v>0.87826086956521732</v>
      </c>
      <c r="AB15" s="197"/>
      <c r="AD15" s="199">
        <f t="shared" si="2"/>
        <v>413.84999999999997</v>
      </c>
      <c r="AE15" s="196"/>
      <c r="AK15" s="256"/>
    </row>
    <row r="16" spans="1:37" s="31" customFormat="1" ht="14.25" customHeight="1" x14ac:dyDescent="0.25">
      <c r="A16" s="31" t="str">
        <f t="shared" si="0"/>
        <v/>
      </c>
      <c r="B16" s="31" t="str">
        <f t="shared" si="1"/>
        <v>W</v>
      </c>
      <c r="C16" s="31" t="s">
        <v>270</v>
      </c>
      <c r="D16" s="31" t="s">
        <v>533</v>
      </c>
      <c r="E16" s="31" t="s">
        <v>548</v>
      </c>
      <c r="F16" s="195">
        <v>28.3</v>
      </c>
      <c r="G16" s="195">
        <v>53.9</v>
      </c>
      <c r="H16" s="195">
        <v>41.1</v>
      </c>
      <c r="I16" s="196">
        <f t="shared" si="4"/>
        <v>47.5</v>
      </c>
      <c r="J16" s="193">
        <v>2.89</v>
      </c>
      <c r="K16" s="193">
        <v>1.67</v>
      </c>
      <c r="L16" s="193">
        <v>1.04</v>
      </c>
      <c r="M16" s="193">
        <v>4.04</v>
      </c>
      <c r="N16" s="193">
        <v>20.5</v>
      </c>
      <c r="O16" s="193">
        <v>3</v>
      </c>
      <c r="P16" s="193">
        <v>3.9</v>
      </c>
      <c r="Q16" s="193">
        <v>4</v>
      </c>
      <c r="R16" s="193">
        <v>3.8</v>
      </c>
      <c r="S16" s="225">
        <v>44659</v>
      </c>
      <c r="T16" s="196">
        <f t="shared" si="5"/>
        <v>16.435986159169548</v>
      </c>
      <c r="U16" s="197">
        <f t="shared" si="6"/>
        <v>2.3170731707317072</v>
      </c>
      <c r="V16" s="198">
        <f t="shared" si="7"/>
        <v>5.0731707317073174E-2</v>
      </c>
      <c r="W16" s="197">
        <f t="shared" si="8"/>
        <v>0.6227544910179641</v>
      </c>
      <c r="X16" s="197">
        <f t="shared" si="9"/>
        <v>0.71534653465346532</v>
      </c>
      <c r="Y16" s="198">
        <f t="shared" si="10"/>
        <v>2.1894736842105265E-2</v>
      </c>
      <c r="Z16" s="197">
        <f t="shared" si="11"/>
        <v>0.76923076923076927</v>
      </c>
      <c r="AA16" s="197">
        <f t="shared" si="12"/>
        <v>1.0526315789473684</v>
      </c>
      <c r="AB16" s="197"/>
      <c r="AD16" s="199">
        <f t="shared" si="2"/>
        <v>153.44</v>
      </c>
      <c r="AE16" s="196"/>
      <c r="AK16" s="256"/>
    </row>
    <row r="17" spans="1:37" s="31" customFormat="1" ht="14.25" customHeight="1" x14ac:dyDescent="0.25">
      <c r="A17" s="31" t="str">
        <f t="shared" si="0"/>
        <v/>
      </c>
      <c r="B17" s="31" t="str">
        <f t="shared" si="1"/>
        <v>W</v>
      </c>
      <c r="C17" s="31" t="s">
        <v>270</v>
      </c>
      <c r="D17" s="31" t="s">
        <v>177</v>
      </c>
      <c r="E17" s="31" t="str">
        <f t="shared" ca="1" si="3"/>
        <v>California Water</v>
      </c>
      <c r="F17" s="195">
        <v>30.5</v>
      </c>
      <c r="G17" s="195">
        <v>72.099999999999994</v>
      </c>
      <c r="H17" s="195">
        <v>51</v>
      </c>
      <c r="I17" s="196">
        <f t="shared" si="4"/>
        <v>61.55</v>
      </c>
      <c r="J17" s="193">
        <v>3.91</v>
      </c>
      <c r="K17" s="193">
        <v>1.96</v>
      </c>
      <c r="L17" s="193">
        <v>0.92</v>
      </c>
      <c r="M17" s="193">
        <v>5.46</v>
      </c>
      <c r="N17" s="193">
        <v>21.92</v>
      </c>
      <c r="O17" s="193">
        <v>3.55</v>
      </c>
      <c r="P17" s="193">
        <v>5.85</v>
      </c>
      <c r="Q17" s="193">
        <v>4.05</v>
      </c>
      <c r="R17" s="193">
        <v>6.45</v>
      </c>
      <c r="S17" s="225">
        <v>44659</v>
      </c>
      <c r="T17" s="196">
        <f t="shared" si="5"/>
        <v>15.741687979539641</v>
      </c>
      <c r="U17" s="197">
        <f t="shared" si="6"/>
        <v>2.8079379562043791</v>
      </c>
      <c r="V17" s="198">
        <f t="shared" si="7"/>
        <v>4.1970802919708027E-2</v>
      </c>
      <c r="W17" s="197">
        <f t="shared" si="8"/>
        <v>0.46938775510204084</v>
      </c>
      <c r="X17" s="197">
        <f t="shared" si="9"/>
        <v>0.71611721611721613</v>
      </c>
      <c r="Y17" s="198">
        <f t="shared" si="10"/>
        <v>1.4947197400487409E-2</v>
      </c>
      <c r="Z17" s="197">
        <f t="shared" si="11"/>
        <v>0.60683760683760679</v>
      </c>
      <c r="AA17" s="197">
        <f t="shared" si="12"/>
        <v>0.62790697674418605</v>
      </c>
      <c r="AB17" s="197"/>
      <c r="AD17" s="199">
        <f t="shared" si="2"/>
        <v>187.76999999999998</v>
      </c>
    </row>
    <row r="18" spans="1:37" ht="14.25" customHeight="1" x14ac:dyDescent="0.25">
      <c r="A18" t="str">
        <f t="shared" si="0"/>
        <v/>
      </c>
      <c r="B18" t="str">
        <f t="shared" si="1"/>
        <v>W</v>
      </c>
      <c r="C18" t="s">
        <v>270</v>
      </c>
      <c r="D18" s="31"/>
      <c r="E18" s="31"/>
      <c r="F18" s="195"/>
      <c r="G18" s="195"/>
      <c r="H18" s="195"/>
      <c r="I18" s="196"/>
      <c r="J18" s="193"/>
      <c r="K18" s="193"/>
      <c r="L18" s="193"/>
      <c r="M18" s="193"/>
      <c r="N18" s="193"/>
      <c r="O18" s="193"/>
      <c r="P18" s="193"/>
      <c r="Q18" s="193"/>
      <c r="R18" s="193"/>
      <c r="S18" s="225"/>
      <c r="T18" s="196"/>
      <c r="U18" s="197"/>
      <c r="V18" s="198"/>
      <c r="W18" s="197"/>
      <c r="X18" s="197"/>
      <c r="Y18" s="198"/>
      <c r="Z18" s="197"/>
      <c r="AA18" s="197"/>
      <c r="AB18" s="52"/>
      <c r="AD18" s="33">
        <f t="shared" si="2"/>
        <v>0</v>
      </c>
    </row>
    <row r="19" spans="1:37" s="31" customFormat="1" ht="14.25" customHeight="1" x14ac:dyDescent="0.25">
      <c r="A19" s="31" t="str">
        <f t="shared" si="0"/>
        <v/>
      </c>
      <c r="B19" s="31" t="str">
        <f t="shared" si="1"/>
        <v>W</v>
      </c>
      <c r="C19" s="31" t="s">
        <v>270</v>
      </c>
      <c r="D19" s="31" t="s">
        <v>188</v>
      </c>
      <c r="E19" s="31" t="str">
        <f t="shared" ca="1" si="3"/>
        <v>Middlesex Water</v>
      </c>
      <c r="F19" s="195">
        <v>44.3</v>
      </c>
      <c r="G19" s="195">
        <v>121.4</v>
      </c>
      <c r="H19" s="195">
        <v>67.099999999999994</v>
      </c>
      <c r="I19" s="196">
        <f t="shared" si="4"/>
        <v>94.25</v>
      </c>
      <c r="J19" s="193">
        <v>3.28</v>
      </c>
      <c r="K19" s="193">
        <v>2.0699999999999998</v>
      </c>
      <c r="L19" s="193">
        <v>1.1100000000000001</v>
      </c>
      <c r="M19" s="193">
        <v>4.53</v>
      </c>
      <c r="N19" s="193">
        <v>20.99</v>
      </c>
      <c r="O19" s="193">
        <v>3.2</v>
      </c>
      <c r="P19" s="193">
        <v>5</v>
      </c>
      <c r="Q19" s="193">
        <v>3.85</v>
      </c>
      <c r="R19" s="193">
        <v>6</v>
      </c>
      <c r="S19" s="225">
        <v>44659</v>
      </c>
      <c r="T19" s="196">
        <f>IFERROR(I19/J19,"N/A")</f>
        <v>28.734756097560979</v>
      </c>
      <c r="U19" s="197">
        <f>IFERROR(I19/N19,"N/A")</f>
        <v>4.4902334444973802</v>
      </c>
      <c r="V19" s="198">
        <f t="shared" si="7"/>
        <v>5.2882324916626977E-2</v>
      </c>
      <c r="W19" s="197">
        <f t="shared" si="8"/>
        <v>0.53623188405797106</v>
      </c>
      <c r="X19" s="197">
        <f t="shared" si="9"/>
        <v>0.72406181015452531</v>
      </c>
      <c r="Y19" s="198">
        <f>IFERROR(L19/I19,"N/A")</f>
        <v>1.1777188328912468E-2</v>
      </c>
      <c r="Z19" s="197">
        <f t="shared" si="11"/>
        <v>0.64</v>
      </c>
      <c r="AA19" s="197">
        <f t="shared" si="12"/>
        <v>0.64166666666666672</v>
      </c>
      <c r="AB19" s="197"/>
      <c r="AD19" s="199">
        <f t="shared" si="2"/>
        <v>264.77999999999997</v>
      </c>
    </row>
    <row r="20" spans="1:37" s="31" customFormat="1" ht="14.25" customHeight="1" x14ac:dyDescent="0.25">
      <c r="A20" s="31" t="str">
        <f t="shared" si="0"/>
        <v/>
      </c>
      <c r="B20" s="31" t="str">
        <f t="shared" si="1"/>
        <v>W</v>
      </c>
      <c r="C20" s="31" t="s">
        <v>270</v>
      </c>
      <c r="D20" s="31" t="s">
        <v>196</v>
      </c>
      <c r="E20" s="31" t="str">
        <f t="shared" ca="1" si="3"/>
        <v>SJW Corp.</v>
      </c>
      <c r="F20" s="195">
        <v>32.9</v>
      </c>
      <c r="G20" s="195">
        <v>73.7</v>
      </c>
      <c r="H20" s="195">
        <v>58</v>
      </c>
      <c r="I20" s="196">
        <f t="shared" si="4"/>
        <v>65.849999999999994</v>
      </c>
      <c r="J20" s="193">
        <v>5.13</v>
      </c>
      <c r="K20" s="193">
        <v>2.0299999999999998</v>
      </c>
      <c r="L20" s="193">
        <v>1.36</v>
      </c>
      <c r="M20" s="193">
        <v>8.32</v>
      </c>
      <c r="N20" s="193">
        <v>34.28</v>
      </c>
      <c r="O20" s="193">
        <v>4.1500000000000004</v>
      </c>
      <c r="P20" s="193">
        <v>7.5</v>
      </c>
      <c r="Q20" s="193">
        <v>5.3</v>
      </c>
      <c r="R20" s="193">
        <v>7.75</v>
      </c>
      <c r="S20" s="225">
        <v>44659</v>
      </c>
      <c r="T20" s="196">
        <f t="shared" si="5"/>
        <v>12.836257309941519</v>
      </c>
      <c r="U20" s="197">
        <f t="shared" si="6"/>
        <v>1.9209451575262542</v>
      </c>
      <c r="V20" s="198">
        <f t="shared" si="7"/>
        <v>3.9673278879813305E-2</v>
      </c>
      <c r="W20" s="197">
        <f t="shared" si="8"/>
        <v>0.66995073891625623</v>
      </c>
      <c r="X20" s="197">
        <f t="shared" si="9"/>
        <v>0.61658653846153844</v>
      </c>
      <c r="Y20" s="198">
        <f t="shared" si="10"/>
        <v>2.065299924069856E-2</v>
      </c>
      <c r="Z20" s="197">
        <f t="shared" si="11"/>
        <v>0.55333333333333334</v>
      </c>
      <c r="AA20" s="197">
        <f t="shared" si="12"/>
        <v>0.68387096774193545</v>
      </c>
      <c r="AB20" s="197"/>
      <c r="AD20" s="199">
        <f t="shared" si="2"/>
        <v>215.72</v>
      </c>
    </row>
    <row r="21" spans="1:37" ht="14.25" customHeight="1" x14ac:dyDescent="0.25">
      <c r="A21" t="str">
        <f t="shared" si="0"/>
        <v/>
      </c>
      <c r="B21" t="str">
        <f t="shared" si="1"/>
        <v>W</v>
      </c>
      <c r="C21" t="s">
        <v>270</v>
      </c>
      <c r="D21" s="31"/>
      <c r="E21" s="31"/>
      <c r="F21" s="195"/>
      <c r="G21" s="195"/>
      <c r="H21" s="195"/>
      <c r="I21" s="196"/>
      <c r="J21" s="193"/>
      <c r="K21" s="193"/>
      <c r="L21" s="193"/>
      <c r="M21" s="193"/>
      <c r="N21" s="193"/>
      <c r="O21" s="193"/>
      <c r="P21" s="193"/>
      <c r="Q21" s="193"/>
      <c r="R21" s="193"/>
      <c r="S21" s="225"/>
      <c r="T21" s="196"/>
      <c r="U21" s="197"/>
      <c r="V21" s="198"/>
      <c r="W21" s="197"/>
      <c r="X21" s="197"/>
      <c r="Y21" s="198"/>
      <c r="Z21" s="197"/>
      <c r="AA21" s="197"/>
      <c r="AB21" s="52"/>
      <c r="AD21" s="33">
        <f t="shared" si="2"/>
        <v>0</v>
      </c>
    </row>
    <row r="22" spans="1:37" s="31" customFormat="1" ht="14.25" customHeight="1" x14ac:dyDescent="0.25">
      <c r="A22" s="31">
        <f t="shared" si="0"/>
        <v>1</v>
      </c>
      <c r="B22" s="31" t="str">
        <f t="shared" si="1"/>
        <v>E</v>
      </c>
      <c r="C22" s="31" t="s">
        <v>268</v>
      </c>
      <c r="D22" s="31" t="s">
        <v>260</v>
      </c>
      <c r="E22" s="31" t="str">
        <f>VLOOKUP(D22,'[6]MP-CF (WP)'!$B$4:$Y$81,2,FALSE)</f>
        <v>Avangrid, Inc.</v>
      </c>
      <c r="F22" s="195">
        <v>23.2</v>
      </c>
      <c r="G22" s="195">
        <v>55.6</v>
      </c>
      <c r="H22" s="195">
        <v>44</v>
      </c>
      <c r="I22" s="196">
        <f t="shared" si="4"/>
        <v>49.8</v>
      </c>
      <c r="J22" s="193">
        <v>4.45</v>
      </c>
      <c r="K22" s="193">
        <v>1.97</v>
      </c>
      <c r="L22" s="193">
        <v>1.76</v>
      </c>
      <c r="M22" s="193">
        <v>7.7</v>
      </c>
      <c r="N22" s="193">
        <v>49.35</v>
      </c>
      <c r="O22" s="193">
        <v>5.05</v>
      </c>
      <c r="P22" s="193">
        <v>8.3000000000000007</v>
      </c>
      <c r="Q22" s="193">
        <v>5.75</v>
      </c>
      <c r="R22" s="193">
        <v>9.5</v>
      </c>
      <c r="S22" s="225">
        <v>44694</v>
      </c>
      <c r="T22" s="196">
        <f>IFERROR(I22/J22,"")</f>
        <v>11.191011235955056</v>
      </c>
      <c r="U22" s="197">
        <f t="shared" si="6"/>
        <v>1.0091185410334345</v>
      </c>
      <c r="V22" s="198">
        <f t="shared" si="7"/>
        <v>3.5663627152988854E-2</v>
      </c>
      <c r="W22" s="197">
        <f t="shared" si="8"/>
        <v>0.89340101522842641</v>
      </c>
      <c r="X22" s="197">
        <f t="shared" si="9"/>
        <v>0.57792207792207795</v>
      </c>
      <c r="Y22" s="198">
        <f t="shared" si="10"/>
        <v>3.5341365461847393E-2</v>
      </c>
      <c r="Z22" s="197">
        <f t="shared" si="11"/>
        <v>0.60843373493975894</v>
      </c>
      <c r="AA22" s="197">
        <f t="shared" si="12"/>
        <v>0.60526315789473684</v>
      </c>
      <c r="AB22" s="197"/>
      <c r="AD22" s="199">
        <f t="shared" si="2"/>
        <v>188.02999999999997</v>
      </c>
    </row>
    <row r="23" spans="1:37" s="31" customFormat="1" ht="14.25" customHeight="1" x14ac:dyDescent="0.25">
      <c r="A23" s="31">
        <f t="shared" si="0"/>
        <v>1</v>
      </c>
      <c r="B23" s="31" t="str">
        <f t="shared" si="1"/>
        <v>E</v>
      </c>
      <c r="C23" s="31" t="s">
        <v>268</v>
      </c>
      <c r="D23" s="31" t="s">
        <v>10</v>
      </c>
      <c r="E23" s="31" t="str">
        <f>VLOOKUP(D23,'[6]MP-CF (WP)'!$B$4:$Y$81,2,FALSE)</f>
        <v xml:space="preserve">Consol. Edison                </v>
      </c>
      <c r="F23" s="195">
        <v>17.2</v>
      </c>
      <c r="G23" s="195">
        <v>85.6</v>
      </c>
      <c r="H23" s="195">
        <v>65.599999999999994</v>
      </c>
      <c r="I23" s="196">
        <f t="shared" si="4"/>
        <v>75.599999999999994</v>
      </c>
      <c r="J23" s="193">
        <v>10.42</v>
      </c>
      <c r="K23" s="193">
        <v>4.74</v>
      </c>
      <c r="L23" s="193">
        <v>3.1</v>
      </c>
      <c r="M23" s="193">
        <v>11.17</v>
      </c>
      <c r="N23" s="193">
        <v>56.6</v>
      </c>
      <c r="O23" s="193">
        <v>10.4</v>
      </c>
      <c r="P23" s="193">
        <v>12.6</v>
      </c>
      <c r="Q23" s="193">
        <v>12.25</v>
      </c>
      <c r="R23" s="193">
        <v>14.5</v>
      </c>
      <c r="S23" s="225">
        <v>44694</v>
      </c>
      <c r="T23" s="196">
        <f t="shared" si="5"/>
        <v>7.2552783109404988</v>
      </c>
      <c r="U23" s="197">
        <f t="shared" si="6"/>
        <v>1.3356890459363957</v>
      </c>
      <c r="V23" s="198">
        <f t="shared" si="7"/>
        <v>5.4770318021201414E-2</v>
      </c>
      <c r="W23" s="197">
        <f t="shared" si="8"/>
        <v>0.65400843881856541</v>
      </c>
      <c r="X23" s="197">
        <f t="shared" si="9"/>
        <v>0.93285586392121755</v>
      </c>
      <c r="Y23" s="198">
        <f t="shared" si="10"/>
        <v>4.100529100529101E-2</v>
      </c>
      <c r="Z23" s="197">
        <f t="shared" si="11"/>
        <v>0.82539682539682546</v>
      </c>
      <c r="AA23" s="197">
        <f t="shared" si="12"/>
        <v>0.84482758620689657</v>
      </c>
      <c r="AB23" s="197"/>
      <c r="AD23" s="199">
        <f t="shared" si="2"/>
        <v>254.42999999999995</v>
      </c>
    </row>
    <row r="24" spans="1:37" s="31" customFormat="1" ht="14.25" customHeight="1" x14ac:dyDescent="0.25">
      <c r="A24" s="31">
        <f t="shared" si="0"/>
        <v>1</v>
      </c>
      <c r="B24" s="31" t="str">
        <f t="shared" si="1"/>
        <v>E</v>
      </c>
      <c r="C24" s="31" t="s">
        <v>268</v>
      </c>
      <c r="D24" s="31" t="s">
        <v>11</v>
      </c>
      <c r="E24" s="31" t="str">
        <f>VLOOKUP(D24,'[6]MP-CF (WP)'!$B$4:$Y$81,2,FALSE)</f>
        <v xml:space="preserve">Dominion Resources            </v>
      </c>
      <c r="F24" s="194">
        <v>19.5</v>
      </c>
      <c r="G24" s="195">
        <v>81.099999999999994</v>
      </c>
      <c r="H24" s="195">
        <v>67.900000000000006</v>
      </c>
      <c r="I24" s="196">
        <f t="shared" si="4"/>
        <v>74.5</v>
      </c>
      <c r="J24" s="193">
        <v>6.68</v>
      </c>
      <c r="K24" s="193">
        <v>3.19</v>
      </c>
      <c r="L24" s="193">
        <v>2.52</v>
      </c>
      <c r="M24" s="193">
        <v>7.35</v>
      </c>
      <c r="N24" s="193">
        <v>31.5</v>
      </c>
      <c r="O24" s="193">
        <v>7.6</v>
      </c>
      <c r="P24" s="193">
        <v>10.3</v>
      </c>
      <c r="Q24" s="193">
        <v>9.5</v>
      </c>
      <c r="R24" s="193">
        <v>8.75</v>
      </c>
      <c r="S24" s="225">
        <v>44694</v>
      </c>
      <c r="T24" s="196">
        <f t="shared" si="5"/>
        <v>11.152694610778443</v>
      </c>
      <c r="U24" s="197">
        <f t="shared" si="6"/>
        <v>2.3650793650793651</v>
      </c>
      <c r="V24" s="198">
        <f t="shared" si="7"/>
        <v>0.08</v>
      </c>
      <c r="W24" s="197">
        <f t="shared" si="8"/>
        <v>0.78996865203761757</v>
      </c>
      <c r="X24" s="197">
        <f t="shared" si="9"/>
        <v>0.90884353741496604</v>
      </c>
      <c r="Y24" s="198">
        <f t="shared" si="10"/>
        <v>3.3825503355704702E-2</v>
      </c>
      <c r="Z24" s="197">
        <f t="shared" si="11"/>
        <v>0.73786407766990281</v>
      </c>
      <c r="AA24" s="197">
        <f t="shared" si="12"/>
        <v>1.0857142857142856</v>
      </c>
      <c r="AB24" s="197"/>
      <c r="AD24" s="199">
        <f t="shared" si="2"/>
        <v>219.74</v>
      </c>
    </row>
    <row r="25" spans="1:37" s="31" customFormat="1" ht="14.25" customHeight="1" x14ac:dyDescent="0.25">
      <c r="A25" s="31">
        <f t="shared" si="0"/>
        <v>1</v>
      </c>
      <c r="B25" s="31" t="str">
        <f t="shared" si="1"/>
        <v>E</v>
      </c>
      <c r="C25" s="31" t="s">
        <v>268</v>
      </c>
      <c r="D25" s="31" t="s">
        <v>13</v>
      </c>
      <c r="E25" s="31" t="str">
        <f>VLOOKUP(D25,'[6]MP-CF (WP)'!$B$4:$Y$81,2,FALSE)</f>
        <v xml:space="preserve">Duke Energy                   </v>
      </c>
      <c r="F25" s="195">
        <v>18.899999999999999</v>
      </c>
      <c r="G25" s="195">
        <v>108.4</v>
      </c>
      <c r="H25" s="195">
        <v>85.6</v>
      </c>
      <c r="I25" s="196">
        <f t="shared" si="4"/>
        <v>97</v>
      </c>
      <c r="J25" s="193">
        <v>12.3</v>
      </c>
      <c r="K25" s="193">
        <v>4.93</v>
      </c>
      <c r="L25" s="193">
        <v>3.9</v>
      </c>
      <c r="M25" s="193">
        <v>12.63</v>
      </c>
      <c r="N25" s="193">
        <v>61.55</v>
      </c>
      <c r="O25" s="193">
        <v>13</v>
      </c>
      <c r="P25" s="193">
        <v>16.05</v>
      </c>
      <c r="Q25" s="193">
        <v>16</v>
      </c>
      <c r="R25" s="193">
        <v>16.75</v>
      </c>
      <c r="S25" s="225">
        <v>44694</v>
      </c>
      <c r="T25" s="196">
        <f t="shared" si="5"/>
        <v>7.8861788617886175</v>
      </c>
      <c r="U25" s="197">
        <f t="shared" si="6"/>
        <v>1.5759545085296507</v>
      </c>
      <c r="V25" s="198">
        <f t="shared" si="7"/>
        <v>6.3363119415109664E-2</v>
      </c>
      <c r="W25" s="197">
        <f t="shared" si="8"/>
        <v>0.79107505070993922</v>
      </c>
      <c r="X25" s="197">
        <f t="shared" si="9"/>
        <v>0.97387173396674587</v>
      </c>
      <c r="Y25" s="198">
        <f t="shared" si="10"/>
        <v>4.0206185567010305E-2</v>
      </c>
      <c r="Z25" s="197">
        <f t="shared" si="11"/>
        <v>0.8099688473520249</v>
      </c>
      <c r="AA25" s="197">
        <f t="shared" si="12"/>
        <v>0.95522388059701491</v>
      </c>
      <c r="AB25" s="197"/>
      <c r="AD25" s="199">
        <f t="shared" si="2"/>
        <v>308.21000000000004</v>
      </c>
    </row>
    <row r="26" spans="1:37" s="31" customFormat="1" ht="14.25" customHeight="1" x14ac:dyDescent="0.25">
      <c r="A26" s="31">
        <f t="shared" si="0"/>
        <v>1</v>
      </c>
      <c r="B26" s="31" t="str">
        <f t="shared" si="1"/>
        <v>E</v>
      </c>
      <c r="C26" s="31" t="s">
        <v>268</v>
      </c>
      <c r="D26" s="31" t="s">
        <v>211</v>
      </c>
      <c r="E26" s="31" t="str">
        <f>VLOOKUP(D26,'[6]MP-CF (WP)'!$B$4:$Y$81,2,FALSE)</f>
        <v xml:space="preserve">Eversource Energy    </v>
      </c>
      <c r="F26" s="195">
        <v>22.2</v>
      </c>
      <c r="G26" s="195">
        <v>92.7</v>
      </c>
      <c r="H26" s="195">
        <v>76.599999999999994</v>
      </c>
      <c r="I26" s="196">
        <f t="shared" si="4"/>
        <v>84.65</v>
      </c>
      <c r="J26" s="193">
        <v>7.42</v>
      </c>
      <c r="K26" s="193">
        <v>3.54</v>
      </c>
      <c r="L26" s="193">
        <v>2.41</v>
      </c>
      <c r="M26" s="193">
        <v>9.2200000000000006</v>
      </c>
      <c r="N26" s="193">
        <v>42.39</v>
      </c>
      <c r="O26" s="193">
        <v>8.1</v>
      </c>
      <c r="P26" s="193">
        <v>11.25</v>
      </c>
      <c r="Q26" s="193">
        <v>9.75</v>
      </c>
      <c r="R26" s="193">
        <v>9.5</v>
      </c>
      <c r="S26" s="225">
        <v>44694</v>
      </c>
      <c r="T26" s="196">
        <f t="shared" si="5"/>
        <v>11.40835579514825</v>
      </c>
      <c r="U26" s="197">
        <f t="shared" si="6"/>
        <v>1.9969332389714556</v>
      </c>
      <c r="V26" s="198">
        <f t="shared" si="7"/>
        <v>5.6853031375324374E-2</v>
      </c>
      <c r="W26" s="197">
        <f t="shared" si="8"/>
        <v>0.6807909604519774</v>
      </c>
      <c r="X26" s="197">
        <f t="shared" si="9"/>
        <v>0.80477223427331879</v>
      </c>
      <c r="Y26" s="198">
        <f t="shared" si="10"/>
        <v>2.8470171293561726E-2</v>
      </c>
      <c r="Z26" s="197">
        <f t="shared" si="11"/>
        <v>0.72</v>
      </c>
      <c r="AA26" s="197">
        <f t="shared" si="12"/>
        <v>1.0263157894736843</v>
      </c>
      <c r="AB26" s="197"/>
      <c r="AD26" s="199">
        <f t="shared" si="2"/>
        <v>256.47999999999996</v>
      </c>
    </row>
    <row r="27" spans="1:37" s="31" customFormat="1" ht="14.25" customHeight="1" x14ac:dyDescent="0.25">
      <c r="A27" s="31">
        <f t="shared" si="0"/>
        <v>1</v>
      </c>
      <c r="B27" s="31" t="str">
        <f t="shared" si="1"/>
        <v>E</v>
      </c>
      <c r="C27" s="31" t="s">
        <v>268</v>
      </c>
      <c r="D27" s="31" t="s">
        <v>18</v>
      </c>
      <c r="E27" s="31" t="str">
        <f>VLOOKUP(D27,'[6]MP-CF (WP)'!$B$4:$Y$81,2,FALSE)</f>
        <v xml:space="preserve">Exelon Corp.                  </v>
      </c>
      <c r="F27" s="195">
        <v>16.600000000000001</v>
      </c>
      <c r="G27" s="195">
        <v>58</v>
      </c>
      <c r="H27" s="195">
        <v>38.4</v>
      </c>
      <c r="I27" s="196">
        <f t="shared" si="4"/>
        <v>48.2</v>
      </c>
      <c r="J27" s="193">
        <v>9.48</v>
      </c>
      <c r="K27" s="193">
        <v>1.74</v>
      </c>
      <c r="L27" s="193">
        <v>1.53</v>
      </c>
      <c r="M27" s="193">
        <v>8.15</v>
      </c>
      <c r="N27" s="193">
        <v>35.130000000000003</v>
      </c>
      <c r="O27" s="193">
        <v>6.55</v>
      </c>
      <c r="P27" s="193">
        <v>6.85</v>
      </c>
      <c r="Q27" s="193">
        <v>7.5</v>
      </c>
      <c r="R27" s="193">
        <v>7</v>
      </c>
      <c r="S27" s="225">
        <v>44694</v>
      </c>
      <c r="T27" s="196">
        <f t="shared" si="5"/>
        <v>5.0843881856540083</v>
      </c>
      <c r="U27" s="197">
        <f t="shared" si="6"/>
        <v>1.3720466837460858</v>
      </c>
      <c r="V27" s="198">
        <f t="shared" si="7"/>
        <v>4.3552519214346712E-2</v>
      </c>
      <c r="W27" s="197">
        <f t="shared" si="8"/>
        <v>0.87931034482758619</v>
      </c>
      <c r="X27" s="197">
        <f t="shared" si="9"/>
        <v>1.1631901840490797</v>
      </c>
      <c r="Y27" s="198">
        <f t="shared" si="10"/>
        <v>3.1742738589211617E-2</v>
      </c>
      <c r="Z27" s="197">
        <f t="shared" si="11"/>
        <v>0.95620437956204385</v>
      </c>
      <c r="AA27" s="197">
        <f t="shared" si="12"/>
        <v>1.0714285714285714</v>
      </c>
      <c r="AB27" s="197"/>
      <c r="AD27" s="199">
        <f t="shared" si="2"/>
        <v>169.03</v>
      </c>
    </row>
    <row r="28" spans="1:37" s="31" customFormat="1" ht="14.25" customHeight="1" x14ac:dyDescent="0.25">
      <c r="A28" s="31">
        <f t="shared" si="0"/>
        <v>1</v>
      </c>
      <c r="B28" s="31" t="str">
        <f t="shared" si="1"/>
        <v>E</v>
      </c>
      <c r="C28" s="31" t="s">
        <v>268</v>
      </c>
      <c r="D28" s="31" t="s">
        <v>19</v>
      </c>
      <c r="E28" s="31" t="str">
        <f>VLOOKUP(D28,'[6]MP-CF (WP)'!$B$4:$Y$81,2,FALSE)</f>
        <v xml:space="preserve">FirstEnergy Corp.             </v>
      </c>
      <c r="F28" s="195">
        <v>14.1</v>
      </c>
      <c r="G28" s="195">
        <v>41.8</v>
      </c>
      <c r="H28" s="195">
        <v>29.2</v>
      </c>
      <c r="I28" s="196">
        <f t="shared" si="4"/>
        <v>35.5</v>
      </c>
      <c r="J28" s="193">
        <v>5.38</v>
      </c>
      <c r="K28" s="193">
        <v>2.69</v>
      </c>
      <c r="L28" s="193">
        <v>1.56</v>
      </c>
      <c r="M28" s="193">
        <v>4.29</v>
      </c>
      <c r="N28" s="193">
        <v>15.21</v>
      </c>
      <c r="O28" s="193">
        <v>4.95</v>
      </c>
      <c r="P28" s="193">
        <v>5.75</v>
      </c>
      <c r="Q28" s="193">
        <v>6.25</v>
      </c>
      <c r="R28" s="193">
        <v>5.25</v>
      </c>
      <c r="S28" s="225">
        <v>44694</v>
      </c>
      <c r="T28" s="196">
        <f t="shared" si="5"/>
        <v>6.5985130111524164</v>
      </c>
      <c r="U28" s="197">
        <f t="shared" si="6"/>
        <v>2.3339907955292571</v>
      </c>
      <c r="V28" s="198">
        <f t="shared" si="7"/>
        <v>0.10256410256410256</v>
      </c>
      <c r="W28" s="197">
        <f t="shared" si="8"/>
        <v>0.5799256505576208</v>
      </c>
      <c r="X28" s="197">
        <f t="shared" si="9"/>
        <v>1.254079254079254</v>
      </c>
      <c r="Y28" s="198">
        <f t="shared" si="10"/>
        <v>4.3943661971830986E-2</v>
      </c>
      <c r="Z28" s="197">
        <f t="shared" si="11"/>
        <v>0.86086956521739133</v>
      </c>
      <c r="AA28" s="197">
        <f t="shared" si="12"/>
        <v>1.1904761904761905</v>
      </c>
      <c r="AB28" s="197"/>
      <c r="AD28" s="199">
        <f t="shared" si="2"/>
        <v>114.22999999999999</v>
      </c>
    </row>
    <row r="29" spans="1:37" s="31" customFormat="1" ht="14.25" customHeight="1" x14ac:dyDescent="0.25">
      <c r="A29" s="31">
        <f t="shared" si="0"/>
        <v>1</v>
      </c>
      <c r="B29" s="31" t="str">
        <f t="shared" si="1"/>
        <v>E</v>
      </c>
      <c r="C29" s="31" t="s">
        <v>268</v>
      </c>
      <c r="D29" s="31" t="s">
        <v>141</v>
      </c>
      <c r="E29" s="31" t="str">
        <f>VLOOKUP(D29,'[6]MP-CF (WP)'!$B$4:$Y$81,2,FALSE)</f>
        <v>NextEra Energy, Inc.</v>
      </c>
      <c r="F29" s="195">
        <v>31.3</v>
      </c>
      <c r="G29" s="195">
        <v>93.7</v>
      </c>
      <c r="H29" s="195">
        <v>68.3</v>
      </c>
      <c r="I29" s="196">
        <f t="shared" si="4"/>
        <v>81</v>
      </c>
      <c r="J29" s="193">
        <v>3.97</v>
      </c>
      <c r="K29" s="193">
        <v>1.81</v>
      </c>
      <c r="L29" s="193">
        <v>1.54</v>
      </c>
      <c r="M29" s="193">
        <v>8.19</v>
      </c>
      <c r="N29" s="193">
        <v>18.95</v>
      </c>
      <c r="O29" s="193">
        <v>4.4000000000000004</v>
      </c>
      <c r="P29" s="193">
        <v>8.1</v>
      </c>
      <c r="Q29" s="193">
        <v>3.5</v>
      </c>
      <c r="R29" s="193">
        <v>10</v>
      </c>
      <c r="S29" s="225">
        <v>44694</v>
      </c>
      <c r="T29" s="196">
        <f t="shared" si="5"/>
        <v>20.403022670025187</v>
      </c>
      <c r="U29" s="197">
        <f t="shared" si="6"/>
        <v>4.2744063324538262</v>
      </c>
      <c r="V29" s="198">
        <f t="shared" si="7"/>
        <v>8.1266490765171506E-2</v>
      </c>
      <c r="W29" s="197">
        <f t="shared" si="8"/>
        <v>0.850828729281768</v>
      </c>
      <c r="X29" s="197">
        <f t="shared" si="9"/>
        <v>0.48473748473748479</v>
      </c>
      <c r="Y29" s="198">
        <f t="shared" si="10"/>
        <v>1.9012345679012346E-2</v>
      </c>
      <c r="Z29" s="197">
        <f t="shared" si="11"/>
        <v>0.54320987654320996</v>
      </c>
      <c r="AA29" s="197">
        <f t="shared" si="12"/>
        <v>0.35</v>
      </c>
      <c r="AB29" s="197"/>
      <c r="AD29" s="199">
        <f t="shared" si="2"/>
        <v>227.76</v>
      </c>
    </row>
    <row r="30" spans="1:37" s="31" customFormat="1" ht="14.25" customHeight="1" x14ac:dyDescent="0.25">
      <c r="A30" s="31">
        <f t="shared" si="0"/>
        <v>1</v>
      </c>
      <c r="B30" s="31" t="str">
        <f t="shared" si="1"/>
        <v>E</v>
      </c>
      <c r="C30" s="31" t="s">
        <v>268</v>
      </c>
      <c r="D30" s="31" t="s">
        <v>34</v>
      </c>
      <c r="E30" s="31" t="str">
        <f>VLOOKUP(D30,'[6]MP-CF (WP)'!$B$4:$Y$81,2,FALSE)</f>
        <v xml:space="preserve">PPL Corp.                     </v>
      </c>
      <c r="F30" s="195">
        <v>54.1</v>
      </c>
      <c r="G30" s="195">
        <v>30.7</v>
      </c>
      <c r="H30" s="195">
        <v>26.2</v>
      </c>
      <c r="I30" s="196">
        <f t="shared" si="4"/>
        <v>28.45</v>
      </c>
      <c r="J30" s="193">
        <v>2.0699999999999998</v>
      </c>
      <c r="K30" s="193">
        <v>0.53</v>
      </c>
      <c r="L30" s="193">
        <v>1.66</v>
      </c>
      <c r="M30" s="193">
        <v>2.68</v>
      </c>
      <c r="N30" s="193">
        <v>18.670000000000002</v>
      </c>
      <c r="O30" s="193">
        <v>2.9</v>
      </c>
      <c r="P30" s="193">
        <v>2.15</v>
      </c>
      <c r="Q30" s="193">
        <v>2.9</v>
      </c>
      <c r="R30" s="193">
        <v>1.75</v>
      </c>
      <c r="S30" s="225">
        <v>44694</v>
      </c>
      <c r="T30" s="196">
        <f>IFERROR(I30/J30,"N/A")</f>
        <v>13.743961352657006</v>
      </c>
      <c r="U30" s="197">
        <f>IFERROR(I30/N30,"N/A")</f>
        <v>1.523835029459025</v>
      </c>
      <c r="V30" s="198">
        <f t="shared" si="7"/>
        <v>8.8912694161756817E-2</v>
      </c>
      <c r="W30" s="197">
        <f t="shared" si="8"/>
        <v>3.132075471698113</v>
      </c>
      <c r="X30" s="197">
        <f t="shared" si="9"/>
        <v>0.77238805970149238</v>
      </c>
      <c r="Y30" s="198">
        <f>IFERROR(L30/I30,"N/A")</f>
        <v>5.8347978910369067E-2</v>
      </c>
      <c r="Z30" s="197">
        <f t="shared" si="11"/>
        <v>1.3488372093023255</v>
      </c>
      <c r="AA30" s="197">
        <f t="shared" si="12"/>
        <v>1.657142857142857</v>
      </c>
      <c r="AB30" s="197"/>
      <c r="AD30" s="199">
        <f t="shared" si="2"/>
        <v>136.61000000000001</v>
      </c>
      <c r="AE30" s="196"/>
      <c r="AK30" s="256"/>
    </row>
    <row r="31" spans="1:37" s="31" customFormat="1" ht="14.25" customHeight="1" x14ac:dyDescent="0.25">
      <c r="A31" s="31">
        <f t="shared" si="0"/>
        <v>1</v>
      </c>
      <c r="B31" s="31" t="str">
        <f t="shared" si="1"/>
        <v>E</v>
      </c>
      <c r="C31" s="31" t="s">
        <v>268</v>
      </c>
      <c r="D31" s="31" t="s">
        <v>35</v>
      </c>
      <c r="E31" s="31" t="str">
        <f>VLOOKUP(D31,'[6]MP-CF (WP)'!$B$4:$Y$81,2,FALSE)</f>
        <v xml:space="preserve">Public Serv. Enterprise       </v>
      </c>
      <c r="F31" s="195">
        <v>16.8</v>
      </c>
      <c r="G31" s="195">
        <v>67.099999999999994</v>
      </c>
      <c r="H31" s="195">
        <v>53.8</v>
      </c>
      <c r="I31" s="196">
        <f t="shared" si="4"/>
        <v>60.449999999999996</v>
      </c>
      <c r="J31" s="193">
        <v>5.34</v>
      </c>
      <c r="K31" s="193">
        <v>2.5499999999999998</v>
      </c>
      <c r="L31" s="193">
        <v>2.04</v>
      </c>
      <c r="M31" s="193">
        <v>5.39</v>
      </c>
      <c r="N31" s="193">
        <v>28.65</v>
      </c>
      <c r="O31" s="193">
        <v>5.15</v>
      </c>
      <c r="P31" s="193">
        <v>6.25</v>
      </c>
      <c r="Q31" s="193">
        <v>7.75</v>
      </c>
      <c r="R31" s="193">
        <v>7.25</v>
      </c>
      <c r="S31" s="225">
        <v>44694</v>
      </c>
      <c r="T31" s="196">
        <f>IFERROR(I31/J31,"N/A")</f>
        <v>11.320224719101123</v>
      </c>
      <c r="U31" s="197">
        <f>IFERROR(I31/N31,"N/A")</f>
        <v>2.1099476439790577</v>
      </c>
      <c r="V31" s="198">
        <f t="shared" si="7"/>
        <v>7.1204188481675396E-2</v>
      </c>
      <c r="W31" s="197">
        <f t="shared" si="8"/>
        <v>0.8</v>
      </c>
      <c r="X31" s="197">
        <f t="shared" si="9"/>
        <v>0.99072356215213364</v>
      </c>
      <c r="Y31" s="198">
        <f>IFERROR(L31/I31,"N/A")</f>
        <v>3.3746898263027299E-2</v>
      </c>
      <c r="Z31" s="197">
        <f t="shared" si="11"/>
        <v>0.82400000000000007</v>
      </c>
      <c r="AA31" s="197">
        <f t="shared" si="12"/>
        <v>1.0689655172413792</v>
      </c>
      <c r="AB31" s="197"/>
      <c r="AD31" s="199">
        <f t="shared" si="2"/>
        <v>181.67</v>
      </c>
      <c r="AE31" s="196"/>
      <c r="AK31" s="256"/>
    </row>
    <row r="32" spans="1:37" s="31" customFormat="1" ht="14.25" customHeight="1" x14ac:dyDescent="0.25">
      <c r="A32" s="31">
        <f t="shared" si="0"/>
        <v>1</v>
      </c>
      <c r="B32" s="31" t="str">
        <f t="shared" si="1"/>
        <v>E</v>
      </c>
      <c r="C32" s="31" t="s">
        <v>268</v>
      </c>
      <c r="D32" s="31" t="s">
        <v>38</v>
      </c>
      <c r="E32" s="31" t="str">
        <f>VLOOKUP(D32,'[6]MP-CF (WP)'!$B$4:$Y$81,2,FALSE)</f>
        <v xml:space="preserve">Southern Co.                  </v>
      </c>
      <c r="F32" s="195">
        <v>18.399999999999999</v>
      </c>
      <c r="G32" s="195">
        <v>68.900000000000006</v>
      </c>
      <c r="H32" s="195">
        <v>56.7</v>
      </c>
      <c r="I32" s="196">
        <f t="shared" si="4"/>
        <v>62.800000000000004</v>
      </c>
      <c r="J32" s="193">
        <v>7.2</v>
      </c>
      <c r="K32" s="193">
        <v>3.42</v>
      </c>
      <c r="L32" s="193">
        <v>2.62</v>
      </c>
      <c r="M32" s="193">
        <v>6.83</v>
      </c>
      <c r="N32" s="193">
        <v>26.3</v>
      </c>
      <c r="O32" s="193">
        <v>7.3</v>
      </c>
      <c r="P32" s="193">
        <v>7.55</v>
      </c>
      <c r="Q32" s="193">
        <v>9.25</v>
      </c>
      <c r="R32" s="193">
        <v>7.5</v>
      </c>
      <c r="S32" s="225">
        <v>44694</v>
      </c>
      <c r="T32" s="196">
        <f t="shared" si="5"/>
        <v>8.7222222222222232</v>
      </c>
      <c r="U32" s="197">
        <f t="shared" si="6"/>
        <v>2.3878326996197718</v>
      </c>
      <c r="V32" s="198">
        <f t="shared" si="7"/>
        <v>9.9619771863117879E-2</v>
      </c>
      <c r="W32" s="197">
        <f t="shared" si="8"/>
        <v>0.76608187134502925</v>
      </c>
      <c r="X32" s="197">
        <f t="shared" si="9"/>
        <v>1.0541727672035139</v>
      </c>
      <c r="Y32" s="198">
        <f t="shared" si="10"/>
        <v>4.1719745222929934E-2</v>
      </c>
      <c r="Z32" s="197">
        <f>IFERROR(O32/P32,"")</f>
        <v>0.9668874172185431</v>
      </c>
      <c r="AA32" s="197">
        <f t="shared" si="12"/>
        <v>1.2333333333333334</v>
      </c>
      <c r="AB32" s="197"/>
      <c r="AD32" s="199">
        <f t="shared" si="2"/>
        <v>190.37</v>
      </c>
      <c r="AE32" s="196"/>
      <c r="AK32" s="256"/>
    </row>
    <row r="33" spans="1:37" s="31" customFormat="1" ht="14.25" customHeight="1" x14ac:dyDescent="0.25">
      <c r="A33" s="31">
        <f t="shared" si="0"/>
        <v>1</v>
      </c>
      <c r="B33" s="31" t="str">
        <f t="shared" si="1"/>
        <v>N</v>
      </c>
      <c r="C33" s="31" t="s">
        <v>271</v>
      </c>
      <c r="D33" s="31" t="s">
        <v>175</v>
      </c>
      <c r="E33" s="31" t="str">
        <f t="shared" ref="E33:E42" ca="1" si="13">INDEX(OFFSET(CashFlow,0,-1,,1),MATCH(D33,OFFSET(CashFlow,0,0,,1),0))</f>
        <v>Atmos Energy</v>
      </c>
      <c r="F33" s="195">
        <v>18.8</v>
      </c>
      <c r="G33" s="195">
        <v>105.3</v>
      </c>
      <c r="H33" s="195">
        <v>84.6</v>
      </c>
      <c r="I33" s="196">
        <f t="shared" si="4"/>
        <v>94.949999999999989</v>
      </c>
      <c r="J33" s="193">
        <v>8.64</v>
      </c>
      <c r="K33" s="193">
        <v>5.12</v>
      </c>
      <c r="L33" s="193">
        <v>2.5</v>
      </c>
      <c r="M33" s="193">
        <v>14.87</v>
      </c>
      <c r="N33" s="193">
        <v>59.71</v>
      </c>
      <c r="O33" s="193">
        <v>9.3000000000000007</v>
      </c>
      <c r="P33" s="193">
        <v>17.75</v>
      </c>
      <c r="Q33" s="193">
        <v>11.95</v>
      </c>
      <c r="R33" s="193">
        <v>18</v>
      </c>
      <c r="S33" s="225">
        <v>44617</v>
      </c>
      <c r="T33" s="196">
        <f>IFERROR(I33/J33,"")</f>
        <v>10.989583333333332</v>
      </c>
      <c r="U33" s="197">
        <f>IFERROR(I33/N33,"")</f>
        <v>1.5901858985094621</v>
      </c>
      <c r="V33" s="198">
        <f>IFERROR(L33/N33,"")</f>
        <v>4.1869033662703066E-2</v>
      </c>
      <c r="W33" s="197">
        <f>IFERROR(L33/K33,"")</f>
        <v>0.48828125</v>
      </c>
      <c r="X33" s="197">
        <f>IFERROR(J33/M33,"")</f>
        <v>0.58103564223268334</v>
      </c>
      <c r="Y33" s="198">
        <f t="shared" si="10"/>
        <v>2.6329647182727754E-2</v>
      </c>
      <c r="Z33" s="197">
        <f>IFERROR(O33/P33,"")</f>
        <v>0.52394366197183107</v>
      </c>
      <c r="AA33" s="197">
        <f t="shared" si="12"/>
        <v>0.66388888888888886</v>
      </c>
      <c r="AB33" s="197"/>
      <c r="AD33" s="199">
        <f t="shared" si="2"/>
        <v>299.53999999999996</v>
      </c>
      <c r="AE33" s="196"/>
      <c r="AK33" s="256"/>
    </row>
    <row r="34" spans="1:37" s="31" customFormat="1" ht="14.25" customHeight="1" x14ac:dyDescent="0.25">
      <c r="A34" s="31">
        <f t="shared" si="0"/>
        <v>1</v>
      </c>
      <c r="B34" s="31" t="str">
        <f t="shared" si="1"/>
        <v>N</v>
      </c>
      <c r="C34" s="31" t="s">
        <v>271</v>
      </c>
      <c r="D34" s="31" t="s">
        <v>178</v>
      </c>
      <c r="E34" s="31" t="str">
        <f t="shared" ca="1" si="13"/>
        <v>Chesapeake Utilities</v>
      </c>
      <c r="F34" s="195">
        <v>25.6</v>
      </c>
      <c r="G34" s="195">
        <v>146.1</v>
      </c>
      <c r="H34" s="195">
        <v>99.6</v>
      </c>
      <c r="I34" s="196">
        <f t="shared" si="4"/>
        <v>122.85</v>
      </c>
      <c r="J34" s="193">
        <v>8.65</v>
      </c>
      <c r="K34" s="193">
        <v>4.7</v>
      </c>
      <c r="L34" s="193">
        <v>1.84</v>
      </c>
      <c r="M34" s="193">
        <v>10.7</v>
      </c>
      <c r="N34" s="193">
        <v>44.35</v>
      </c>
      <c r="O34" s="193">
        <v>9.5</v>
      </c>
      <c r="P34" s="193">
        <v>11.35</v>
      </c>
      <c r="Q34" s="193">
        <v>12.55</v>
      </c>
      <c r="R34" s="193">
        <v>13.5</v>
      </c>
      <c r="S34" s="225">
        <v>44617</v>
      </c>
      <c r="T34" s="196">
        <f>IFERROR(I34/J34,"")</f>
        <v>14.202312138728322</v>
      </c>
      <c r="U34" s="197">
        <f>IFERROR(I34/N34,"")</f>
        <v>2.770011273957159</v>
      </c>
      <c r="V34" s="198">
        <f>IFERROR(L34/N34,"")</f>
        <v>4.1488162344983093E-2</v>
      </c>
      <c r="W34" s="197">
        <f>IFERROR(L34/K34,"")</f>
        <v>0.39148936170212767</v>
      </c>
      <c r="X34" s="197">
        <f>IFERROR(J34/M34,"")</f>
        <v>0.80841121495327106</v>
      </c>
      <c r="Y34" s="198">
        <f t="shared" si="10"/>
        <v>1.4977614977614979E-2</v>
      </c>
      <c r="Z34" s="197">
        <f>IFERROR(O34/P34,"")</f>
        <v>0.83700440528634368</v>
      </c>
      <c r="AA34" s="197">
        <f t="shared" si="12"/>
        <v>0.92962962962962969</v>
      </c>
      <c r="AB34" s="197"/>
      <c r="AD34" s="199">
        <f t="shared" si="2"/>
        <v>341.53999999999991</v>
      </c>
      <c r="AE34" s="196"/>
      <c r="AK34" s="256"/>
    </row>
    <row r="35" spans="1:37" s="31" customFormat="1" ht="14.25" customHeight="1" x14ac:dyDescent="0.25">
      <c r="A35" s="31">
        <f t="shared" si="0"/>
        <v>1</v>
      </c>
      <c r="B35" s="31" t="str">
        <f t="shared" si="1"/>
        <v>N</v>
      </c>
      <c r="C35" s="31" t="s">
        <v>271</v>
      </c>
      <c r="D35" s="31" t="s">
        <v>190</v>
      </c>
      <c r="E35" s="31" t="str">
        <f t="shared" ca="1" si="13"/>
        <v>New Jersey Resources</v>
      </c>
      <c r="F35" s="195">
        <v>17.5</v>
      </c>
      <c r="G35" s="195">
        <v>44.4</v>
      </c>
      <c r="H35" s="195">
        <v>33.299999999999997</v>
      </c>
      <c r="I35" s="196">
        <f t="shared" si="4"/>
        <v>38.849999999999994</v>
      </c>
      <c r="J35" s="193">
        <v>3.36</v>
      </c>
      <c r="K35" s="193">
        <v>2.16</v>
      </c>
      <c r="L35" s="193">
        <v>1.36</v>
      </c>
      <c r="M35" s="193">
        <v>5.42</v>
      </c>
      <c r="N35" s="193">
        <v>17.18</v>
      </c>
      <c r="O35" s="193">
        <v>3.65</v>
      </c>
      <c r="P35" s="193">
        <v>5.35</v>
      </c>
      <c r="Q35" s="193">
        <v>4.2</v>
      </c>
      <c r="R35" s="193">
        <v>5.5</v>
      </c>
      <c r="S35" s="225">
        <v>44617</v>
      </c>
      <c r="T35" s="196">
        <f t="shared" si="5"/>
        <v>11.562499999999998</v>
      </c>
      <c r="U35" s="197">
        <f t="shared" si="6"/>
        <v>2.2613504074505237</v>
      </c>
      <c r="V35" s="198">
        <f t="shared" si="7"/>
        <v>7.9161816065192098E-2</v>
      </c>
      <c r="W35" s="197">
        <f t="shared" si="8"/>
        <v>0.62962962962962965</v>
      </c>
      <c r="X35" s="197">
        <f t="shared" si="9"/>
        <v>0.61992619926199255</v>
      </c>
      <c r="Y35" s="198">
        <f t="shared" si="10"/>
        <v>3.5006435006435015E-2</v>
      </c>
      <c r="Z35" s="197">
        <f t="shared" ref="Z35:Z74" si="14">IFERROR(O35/P35,"")</f>
        <v>0.68224299065420568</v>
      </c>
      <c r="AA35" s="197">
        <f t="shared" si="12"/>
        <v>0.76363636363636367</v>
      </c>
      <c r="AB35" s="197"/>
      <c r="AD35" s="199">
        <f t="shared" si="2"/>
        <v>124.67999999999998</v>
      </c>
      <c r="AE35" s="196"/>
      <c r="AK35" s="256"/>
    </row>
    <row r="36" spans="1:37" s="31" customFormat="1" ht="14.25" customHeight="1" x14ac:dyDescent="0.25">
      <c r="A36" s="31">
        <f t="shared" si="0"/>
        <v>1</v>
      </c>
      <c r="B36" s="31" t="str">
        <f t="shared" si="1"/>
        <v>N</v>
      </c>
      <c r="C36" s="31" t="s">
        <v>271</v>
      </c>
      <c r="D36" s="31" t="s">
        <v>26</v>
      </c>
      <c r="E36" s="31" t="str">
        <f t="shared" ca="1" si="13"/>
        <v>NiSource Inc.</v>
      </c>
      <c r="F36" s="194">
        <v>18</v>
      </c>
      <c r="G36" s="195">
        <v>27.8</v>
      </c>
      <c r="H36" s="195">
        <v>21.1</v>
      </c>
      <c r="I36" s="196">
        <f t="shared" si="4"/>
        <v>24.450000000000003</v>
      </c>
      <c r="J36" s="193">
        <v>3.1</v>
      </c>
      <c r="K36" s="193">
        <v>1.35</v>
      </c>
      <c r="L36" s="193">
        <v>0.88</v>
      </c>
      <c r="M36" s="193">
        <v>4.55</v>
      </c>
      <c r="N36" s="193">
        <v>13.15</v>
      </c>
      <c r="O36" s="193">
        <v>3.3</v>
      </c>
      <c r="P36" s="193">
        <v>4.5</v>
      </c>
      <c r="Q36" s="193">
        <v>4.45</v>
      </c>
      <c r="R36" s="193">
        <v>4.3499999999999996</v>
      </c>
      <c r="S36" s="225">
        <v>44617</v>
      </c>
      <c r="T36" s="196">
        <f t="shared" si="5"/>
        <v>7.8870967741935489</v>
      </c>
      <c r="U36" s="197">
        <f t="shared" si="6"/>
        <v>1.8593155893536124</v>
      </c>
      <c r="V36" s="198">
        <f t="shared" si="7"/>
        <v>6.692015209125475E-2</v>
      </c>
      <c r="W36" s="197">
        <f t="shared" si="8"/>
        <v>0.65185185185185179</v>
      </c>
      <c r="X36" s="197">
        <f t="shared" si="9"/>
        <v>0.68131868131868134</v>
      </c>
      <c r="Y36" s="198">
        <f t="shared" si="10"/>
        <v>3.5991820040899791E-2</v>
      </c>
      <c r="Z36" s="197">
        <f t="shared" si="14"/>
        <v>0.73333333333333328</v>
      </c>
      <c r="AA36" s="197">
        <f t="shared" si="12"/>
        <v>1.0229885057471266</v>
      </c>
      <c r="AB36" s="197"/>
      <c r="AD36" s="199">
        <f t="shared" si="2"/>
        <v>89.929999999999993</v>
      </c>
      <c r="AE36" s="196"/>
      <c r="AK36" s="256"/>
    </row>
    <row r="37" spans="1:37" s="31" customFormat="1" ht="14.25" customHeight="1" x14ac:dyDescent="0.25">
      <c r="A37" s="31">
        <f t="shared" si="0"/>
        <v>1</v>
      </c>
      <c r="B37" s="31" t="str">
        <f t="shared" si="1"/>
        <v>N</v>
      </c>
      <c r="C37" s="31" t="s">
        <v>271</v>
      </c>
      <c r="D37" s="31" t="s">
        <v>192</v>
      </c>
      <c r="E37" s="31" t="str">
        <f t="shared" ca="1" si="13"/>
        <v>Northwest Nat. Gas</v>
      </c>
      <c r="F37" s="194">
        <v>19.5</v>
      </c>
      <c r="G37" s="195">
        <v>56.8</v>
      </c>
      <c r="H37" s="195">
        <v>41.7</v>
      </c>
      <c r="I37" s="196">
        <f t="shared" si="4"/>
        <v>49.25</v>
      </c>
      <c r="J37" s="193">
        <v>5.75</v>
      </c>
      <c r="K37" s="193">
        <v>2.5</v>
      </c>
      <c r="L37" s="193">
        <v>1.92</v>
      </c>
      <c r="M37" s="193">
        <v>8.4</v>
      </c>
      <c r="N37" s="193">
        <v>33.950000000000003</v>
      </c>
      <c r="O37" s="193">
        <v>6.1</v>
      </c>
      <c r="P37" s="193">
        <v>8.6999999999999993</v>
      </c>
      <c r="Q37" s="193">
        <v>7.25</v>
      </c>
      <c r="R37" s="193">
        <v>9.4</v>
      </c>
      <c r="S37" s="225">
        <v>44617</v>
      </c>
      <c r="T37" s="196">
        <f t="shared" si="5"/>
        <v>8.5652173913043477</v>
      </c>
      <c r="U37" s="197">
        <f t="shared" si="6"/>
        <v>1.4506627393225331</v>
      </c>
      <c r="V37" s="198">
        <f t="shared" si="7"/>
        <v>5.6553755522827681E-2</v>
      </c>
      <c r="W37" s="197">
        <f t="shared" si="8"/>
        <v>0.76800000000000002</v>
      </c>
      <c r="X37" s="197">
        <f t="shared" si="9"/>
        <v>0.68452380952380953</v>
      </c>
      <c r="Y37" s="198">
        <f t="shared" si="10"/>
        <v>3.8984771573604061E-2</v>
      </c>
      <c r="Z37" s="197">
        <f t="shared" si="14"/>
        <v>0.70114942528735635</v>
      </c>
      <c r="AA37" s="197">
        <f t="shared" si="12"/>
        <v>0.77127659574468077</v>
      </c>
      <c r="AB37" s="197"/>
      <c r="AD37" s="199">
        <f t="shared" si="2"/>
        <v>170.51999999999998</v>
      </c>
      <c r="AE37" s="196"/>
      <c r="AK37" s="256"/>
    </row>
    <row r="38" spans="1:37" s="31" customFormat="1" ht="14.25" customHeight="1" x14ac:dyDescent="0.25">
      <c r="A38" s="31">
        <f t="shared" si="0"/>
        <v>1</v>
      </c>
      <c r="B38" s="31" t="str">
        <f t="shared" si="1"/>
        <v>N</v>
      </c>
      <c r="C38" s="31" t="s">
        <v>271</v>
      </c>
      <c r="D38" s="31" t="s">
        <v>345</v>
      </c>
      <c r="E38" s="31" t="str">
        <f t="shared" ca="1" si="13"/>
        <v>ONE Gas Inc.</v>
      </c>
      <c r="F38" s="195">
        <v>18.899999999999999</v>
      </c>
      <c r="G38" s="195">
        <v>81.900000000000006</v>
      </c>
      <c r="H38" s="195">
        <v>62.5</v>
      </c>
      <c r="I38" s="196">
        <f t="shared" si="4"/>
        <v>72.2</v>
      </c>
      <c r="J38" s="193">
        <v>7.75</v>
      </c>
      <c r="K38" s="193">
        <v>3.85</v>
      </c>
      <c r="L38" s="193">
        <v>2.3199999999999998</v>
      </c>
      <c r="M38" s="193">
        <v>9</v>
      </c>
      <c r="N38" s="193">
        <v>46.05</v>
      </c>
      <c r="O38" s="193">
        <v>8.1999999999999993</v>
      </c>
      <c r="P38" s="193">
        <v>9.1999999999999993</v>
      </c>
      <c r="Q38" s="193">
        <v>10.55</v>
      </c>
      <c r="R38" s="193">
        <v>9.8000000000000007</v>
      </c>
      <c r="S38" s="225">
        <v>44617</v>
      </c>
      <c r="T38" s="196">
        <f>IFERROR(I38/J38,"")</f>
        <v>9.3161290322580648</v>
      </c>
      <c r="U38" s="197">
        <f>IFERROR(I38/N38,"")</f>
        <v>1.5678610206297505</v>
      </c>
      <c r="V38" s="198">
        <f>IFERROR(L38/N38,"")</f>
        <v>5.03800217155266E-2</v>
      </c>
      <c r="W38" s="197">
        <f>IFERROR(L38/K38,"")</f>
        <v>0.60259740259740258</v>
      </c>
      <c r="X38" s="197">
        <f>IFERROR(J38/M38,"")</f>
        <v>0.86111111111111116</v>
      </c>
      <c r="Y38" s="198">
        <f t="shared" si="10"/>
        <v>3.2132963988919662E-2</v>
      </c>
      <c r="Z38" s="197">
        <f t="shared" si="14"/>
        <v>0.89130434782608692</v>
      </c>
      <c r="AA38" s="197">
        <f t="shared" si="12"/>
        <v>1.0765306122448979</v>
      </c>
      <c r="AB38" s="197"/>
      <c r="AD38" s="199">
        <f t="shared" si="2"/>
        <v>232.26999999999998</v>
      </c>
      <c r="AE38" s="196"/>
      <c r="AK38" s="256"/>
    </row>
    <row r="39" spans="1:37" s="31" customFormat="1" ht="14.25" customHeight="1" x14ac:dyDescent="0.25">
      <c r="A39" s="31">
        <f t="shared" si="0"/>
        <v>1</v>
      </c>
      <c r="B39" s="31" t="str">
        <f t="shared" si="1"/>
        <v>N</v>
      </c>
      <c r="C39" s="31" t="s">
        <v>271</v>
      </c>
      <c r="D39" s="31" t="s">
        <v>198</v>
      </c>
      <c r="E39" s="31" t="str">
        <f t="shared" ca="1" si="13"/>
        <v>South Jersey Inds.</v>
      </c>
      <c r="F39" s="195">
        <v>15.1</v>
      </c>
      <c r="G39" s="195">
        <v>29.2</v>
      </c>
      <c r="H39" s="195">
        <v>20.8</v>
      </c>
      <c r="I39" s="196">
        <f t="shared" si="4"/>
        <v>25</v>
      </c>
      <c r="J39" s="193">
        <v>2.7</v>
      </c>
      <c r="K39" s="193">
        <v>1.65</v>
      </c>
      <c r="L39" s="193">
        <v>1.22</v>
      </c>
      <c r="M39" s="193">
        <v>4.9000000000000004</v>
      </c>
      <c r="N39" s="193">
        <v>16.2</v>
      </c>
      <c r="O39" s="193">
        <v>2.9</v>
      </c>
      <c r="P39" s="193">
        <v>5.65</v>
      </c>
      <c r="Q39" s="193">
        <v>4.25</v>
      </c>
      <c r="R39" s="193">
        <v>8</v>
      </c>
      <c r="S39" s="225">
        <v>44617</v>
      </c>
      <c r="T39" s="196">
        <f>IFERROR(I39/J39,"N/A")</f>
        <v>9.2592592592592595</v>
      </c>
      <c r="U39" s="197">
        <f>IFERROR(I39/N39,"N/A")</f>
        <v>1.5432098765432098</v>
      </c>
      <c r="V39" s="198">
        <f>IFERROR(L39/N39,"N/A")</f>
        <v>7.5308641975308649E-2</v>
      </c>
      <c r="W39" s="197">
        <f>IFERROR(L39/K39,"N/A")</f>
        <v>0.73939393939393938</v>
      </c>
      <c r="X39" s="197">
        <f>IFERROR(J39/M39,"N/A")</f>
        <v>0.55102040816326525</v>
      </c>
      <c r="Y39" s="198">
        <f>IFERROR(L39/I39,"N/A")</f>
        <v>4.8799999999999996E-2</v>
      </c>
      <c r="Z39" s="197">
        <f>IFERROR(O39/P39,"N/A")</f>
        <v>0.51327433628318575</v>
      </c>
      <c r="AA39" s="197">
        <f>IFERROR(Q39/R39,"N/A")</f>
        <v>0.53125</v>
      </c>
      <c r="AB39" s="197"/>
      <c r="AD39" s="199">
        <f t="shared" si="2"/>
        <v>91.77000000000001</v>
      </c>
    </row>
    <row r="40" spans="1:37" s="31" customFormat="1" ht="14.25" customHeight="1" x14ac:dyDescent="0.25">
      <c r="A40" s="31">
        <f t="shared" si="0"/>
        <v>1</v>
      </c>
      <c r="B40" s="31" t="str">
        <f t="shared" si="1"/>
        <v>N</v>
      </c>
      <c r="C40" s="31" t="s">
        <v>271</v>
      </c>
      <c r="D40" s="31" t="s">
        <v>200</v>
      </c>
      <c r="E40" s="31" t="str">
        <f t="shared" ca="1" si="13"/>
        <v>Southwest Gas</v>
      </c>
      <c r="F40" s="195">
        <v>14.3</v>
      </c>
      <c r="G40" s="195">
        <v>73.5</v>
      </c>
      <c r="H40" s="195">
        <v>57</v>
      </c>
      <c r="I40" s="196">
        <f t="shared" si="4"/>
        <v>65.25</v>
      </c>
      <c r="J40" s="193">
        <v>9.5</v>
      </c>
      <c r="K40" s="193">
        <v>3.8</v>
      </c>
      <c r="L40" s="193">
        <v>2.38</v>
      </c>
      <c r="M40" s="193">
        <v>11.05</v>
      </c>
      <c r="N40" s="193">
        <v>49.6</v>
      </c>
      <c r="O40" s="193">
        <v>10.8</v>
      </c>
      <c r="P40" s="193">
        <v>13.5</v>
      </c>
      <c r="Q40" s="193">
        <v>15.85</v>
      </c>
      <c r="R40" s="193">
        <v>22.15</v>
      </c>
      <c r="S40" s="225">
        <v>44617</v>
      </c>
      <c r="T40" s="196">
        <f>IFERROR(I40/J40,"N/A")</f>
        <v>6.8684210526315788</v>
      </c>
      <c r="U40" s="197">
        <f>IFERROR(I40/N40,"N/A")</f>
        <v>1.315524193548387</v>
      </c>
      <c r="V40" s="198">
        <f t="shared" si="7"/>
        <v>4.7983870967741933E-2</v>
      </c>
      <c r="W40" s="197">
        <f t="shared" si="8"/>
        <v>0.62631578947368416</v>
      </c>
      <c r="X40" s="197">
        <f t="shared" si="9"/>
        <v>0.85972850678733026</v>
      </c>
      <c r="Y40" s="198">
        <f>IFERROR(L40/I40,"N/A")</f>
        <v>3.6475095785440614E-2</v>
      </c>
      <c r="Z40" s="197">
        <f t="shared" si="14"/>
        <v>0.8</v>
      </c>
      <c r="AA40" s="197">
        <f t="shared" si="12"/>
        <v>0.71557562076749437</v>
      </c>
      <c r="AB40" s="197"/>
      <c r="AD40" s="199">
        <f t="shared" si="2"/>
        <v>221.13000000000002</v>
      </c>
    </row>
    <row r="41" spans="1:37" s="31" customFormat="1" ht="14.25" customHeight="1" x14ac:dyDescent="0.25">
      <c r="A41" s="31">
        <f t="shared" si="0"/>
        <v>1</v>
      </c>
      <c r="B41" s="31" t="str">
        <f t="shared" si="1"/>
        <v>N</v>
      </c>
      <c r="C41" s="31" t="s">
        <v>271</v>
      </c>
      <c r="D41" s="31" t="s">
        <v>244</v>
      </c>
      <c r="E41" s="31" t="str">
        <f t="shared" ca="1" si="13"/>
        <v>Spire Inc.</v>
      </c>
      <c r="F41" s="195">
        <v>13.6</v>
      </c>
      <c r="G41" s="195">
        <v>77.900000000000006</v>
      </c>
      <c r="H41" s="195">
        <v>59.3</v>
      </c>
      <c r="I41" s="196">
        <f t="shared" si="4"/>
        <v>68.599999999999994</v>
      </c>
      <c r="J41" s="193">
        <v>9.09</v>
      </c>
      <c r="K41" s="193">
        <v>4.96</v>
      </c>
      <c r="L41" s="193">
        <v>2.6</v>
      </c>
      <c r="M41" s="193">
        <v>12.09</v>
      </c>
      <c r="N41" s="193">
        <v>46.74</v>
      </c>
      <c r="O41" s="193">
        <v>7.75</v>
      </c>
      <c r="P41" s="193">
        <v>10.95</v>
      </c>
      <c r="Q41" s="193">
        <v>10.9</v>
      </c>
      <c r="R41" s="193">
        <v>11.5</v>
      </c>
      <c r="S41" s="225">
        <v>44617</v>
      </c>
      <c r="T41" s="196">
        <f>IFERROR(I41/J41,"N/A")</f>
        <v>7.5467546754675459</v>
      </c>
      <c r="U41" s="197">
        <f>IFERROR(I41/N41,"N/A")</f>
        <v>1.4676936243046639</v>
      </c>
      <c r="V41" s="198">
        <f t="shared" si="7"/>
        <v>5.5626872058194263E-2</v>
      </c>
      <c r="W41" s="197">
        <f t="shared" si="8"/>
        <v>0.52419354838709675</v>
      </c>
      <c r="X41" s="197">
        <f t="shared" si="9"/>
        <v>0.75186104218362282</v>
      </c>
      <c r="Y41" s="198">
        <f>IFERROR(L41/I41,"N/A")</f>
        <v>3.7900874635568516E-2</v>
      </c>
      <c r="Z41" s="197">
        <f t="shared" si="14"/>
        <v>0.70776255707762559</v>
      </c>
      <c r="AA41" s="197">
        <f t="shared" si="12"/>
        <v>0.94782608695652182</v>
      </c>
      <c r="AB41" s="197"/>
      <c r="AD41" s="199">
        <f t="shared" si="2"/>
        <v>226.28000000000003</v>
      </c>
    </row>
    <row r="42" spans="1:37" s="31" customFormat="1" ht="14.25" customHeight="1" x14ac:dyDescent="0.25">
      <c r="A42" s="31">
        <f t="shared" si="0"/>
        <v>1</v>
      </c>
      <c r="B42" s="31" t="str">
        <f t="shared" si="1"/>
        <v>N</v>
      </c>
      <c r="C42" s="31" t="s">
        <v>271</v>
      </c>
      <c r="D42" s="31" t="s">
        <v>204</v>
      </c>
      <c r="E42" s="31" t="str">
        <f t="shared" ca="1" si="13"/>
        <v>UGI Corp.</v>
      </c>
      <c r="F42" s="195">
        <v>13.9</v>
      </c>
      <c r="G42" s="195">
        <v>48.6</v>
      </c>
      <c r="H42" s="195">
        <v>34.4</v>
      </c>
      <c r="I42" s="196">
        <f t="shared" si="4"/>
        <v>41.5</v>
      </c>
      <c r="J42" s="193">
        <v>4.34</v>
      </c>
      <c r="K42" s="193">
        <v>2.96</v>
      </c>
      <c r="L42" s="193">
        <v>1.35</v>
      </c>
      <c r="M42" s="193">
        <v>3.29</v>
      </c>
      <c r="N42" s="193">
        <v>25.27</v>
      </c>
      <c r="O42" s="193">
        <v>5.2</v>
      </c>
      <c r="P42" s="193">
        <v>3.35</v>
      </c>
      <c r="Q42" s="193">
        <v>6.55</v>
      </c>
      <c r="R42" s="193">
        <v>3.35</v>
      </c>
      <c r="S42" s="225">
        <v>44617</v>
      </c>
      <c r="T42" s="196">
        <f t="shared" si="5"/>
        <v>9.5622119815668203</v>
      </c>
      <c r="U42" s="197">
        <f t="shared" si="6"/>
        <v>1.6422635536208943</v>
      </c>
      <c r="V42" s="198">
        <f t="shared" si="7"/>
        <v>5.3423031262366444E-2</v>
      </c>
      <c r="W42" s="197">
        <f t="shared" si="8"/>
        <v>0.45608108108108114</v>
      </c>
      <c r="X42" s="197">
        <f t="shared" si="9"/>
        <v>1.3191489361702127</v>
      </c>
      <c r="Y42" s="198">
        <f t="shared" si="10"/>
        <v>3.2530120481927716E-2</v>
      </c>
      <c r="Z42" s="197">
        <f t="shared" si="14"/>
        <v>1.5522388059701493</v>
      </c>
      <c r="AA42" s="197">
        <f t="shared" si="12"/>
        <v>1.9552238805970148</v>
      </c>
      <c r="AB42" s="197"/>
      <c r="AD42" s="199">
        <f t="shared" si="2"/>
        <v>134.11000000000001</v>
      </c>
    </row>
    <row r="43" spans="1:37" s="31" customFormat="1" ht="14.25" customHeight="1" x14ac:dyDescent="0.25">
      <c r="A43" s="31">
        <f t="shared" si="0"/>
        <v>1</v>
      </c>
      <c r="B43" s="31" t="str">
        <f t="shared" si="1"/>
        <v>E</v>
      </c>
      <c r="C43" s="31" t="s">
        <v>342</v>
      </c>
      <c r="D43" s="31" t="s">
        <v>0</v>
      </c>
      <c r="E43" s="31" t="str">
        <f>VLOOKUP(D43,'[7]MP-CF (WP)'!$B$4:$Y$81,2,FALSE)</f>
        <v xml:space="preserve">ALLETE                        </v>
      </c>
      <c r="F43" s="194">
        <v>20.6</v>
      </c>
      <c r="G43" s="195">
        <v>73.099999999999994</v>
      </c>
      <c r="H43" s="195">
        <v>56.8</v>
      </c>
      <c r="I43" s="196">
        <f t="shared" si="4"/>
        <v>64.949999999999989</v>
      </c>
      <c r="J43" s="193">
        <v>7.54</v>
      </c>
      <c r="K43" s="193">
        <v>3.23</v>
      </c>
      <c r="L43" s="193">
        <v>2.52</v>
      </c>
      <c r="M43" s="193">
        <v>8.9</v>
      </c>
      <c r="N43" s="193">
        <v>45.36</v>
      </c>
      <c r="O43" s="193">
        <v>8.15</v>
      </c>
      <c r="P43" s="193">
        <v>3.6</v>
      </c>
      <c r="Q43" s="193">
        <v>10</v>
      </c>
      <c r="R43" s="193">
        <v>7.5</v>
      </c>
      <c r="S43" s="225">
        <v>44631</v>
      </c>
      <c r="T43" s="196">
        <f t="shared" si="5"/>
        <v>8.6140583554376651</v>
      </c>
      <c r="U43" s="197">
        <f t="shared" si="6"/>
        <v>1.4318783068783068</v>
      </c>
      <c r="V43" s="198">
        <f t="shared" si="7"/>
        <v>5.5555555555555559E-2</v>
      </c>
      <c r="W43" s="197">
        <f t="shared" si="8"/>
        <v>0.7801857585139319</v>
      </c>
      <c r="X43" s="197">
        <f t="shared" si="9"/>
        <v>0.84719101123595497</v>
      </c>
      <c r="Y43" s="198">
        <f t="shared" si="10"/>
        <v>3.879907621247114E-2</v>
      </c>
      <c r="Z43" s="197">
        <f t="shared" si="14"/>
        <v>2.2638888888888888</v>
      </c>
      <c r="AA43" s="197">
        <f t="shared" si="12"/>
        <v>1.3333333333333333</v>
      </c>
      <c r="AB43" s="197"/>
      <c r="AD43" s="199">
        <f t="shared" si="2"/>
        <v>218.05</v>
      </c>
    </row>
    <row r="44" spans="1:37" s="31" customFormat="1" ht="14.25" customHeight="1" x14ac:dyDescent="0.25">
      <c r="A44" s="31">
        <f t="shared" si="0"/>
        <v>1</v>
      </c>
      <c r="B44" s="31" t="str">
        <f t="shared" si="1"/>
        <v>E</v>
      </c>
      <c r="C44" s="31" t="s">
        <v>342</v>
      </c>
      <c r="D44" s="31" t="s">
        <v>1</v>
      </c>
      <c r="E44" s="31" t="str">
        <f>VLOOKUP(D44,'[7]MP-CF (WP)'!$B$4:$Y$81,2,FALSE)</f>
        <v xml:space="preserve">Alliant Energy                </v>
      </c>
      <c r="F44" s="194">
        <v>21.2</v>
      </c>
      <c r="G44" s="195">
        <v>62.3</v>
      </c>
      <c r="H44" s="195">
        <v>46</v>
      </c>
      <c r="I44" s="196">
        <f t="shared" si="4"/>
        <v>54.15</v>
      </c>
      <c r="J44" s="193">
        <v>5.25</v>
      </c>
      <c r="K44" s="193">
        <v>2.63</v>
      </c>
      <c r="L44" s="193">
        <v>1.61</v>
      </c>
      <c r="M44" s="193">
        <v>4.67</v>
      </c>
      <c r="N44" s="193">
        <v>23.91</v>
      </c>
      <c r="O44" s="193">
        <v>5.55</v>
      </c>
      <c r="P44" s="193">
        <v>5.9</v>
      </c>
      <c r="Q44" s="193">
        <v>7</v>
      </c>
      <c r="R44" s="193">
        <v>6.25</v>
      </c>
      <c r="S44" s="225">
        <v>44631</v>
      </c>
      <c r="T44" s="196">
        <f t="shared" si="5"/>
        <v>10.314285714285713</v>
      </c>
      <c r="U44" s="197">
        <f t="shared" si="6"/>
        <v>2.2647427854454203</v>
      </c>
      <c r="V44" s="198">
        <f t="shared" si="7"/>
        <v>6.7335842743621921E-2</v>
      </c>
      <c r="W44" s="197">
        <f t="shared" si="8"/>
        <v>0.61216730038022815</v>
      </c>
      <c r="X44" s="197">
        <f t="shared" si="9"/>
        <v>1.1241970021413277</v>
      </c>
      <c r="Y44" s="198">
        <f t="shared" si="10"/>
        <v>2.9732225300092337E-2</v>
      </c>
      <c r="Z44" s="197">
        <f t="shared" si="14"/>
        <v>0.94067796610169485</v>
      </c>
      <c r="AA44" s="197">
        <f t="shared" si="12"/>
        <v>1.1200000000000001</v>
      </c>
      <c r="AB44" s="197"/>
      <c r="AD44" s="199">
        <f t="shared" si="2"/>
        <v>167.57</v>
      </c>
    </row>
    <row r="45" spans="1:37" s="31" customFormat="1" ht="14.25" customHeight="1" x14ac:dyDescent="0.25">
      <c r="A45" s="31">
        <f t="shared" si="0"/>
        <v>1</v>
      </c>
      <c r="B45" s="31" t="str">
        <f t="shared" si="1"/>
        <v>E</v>
      </c>
      <c r="C45" s="31" t="s">
        <v>342</v>
      </c>
      <c r="D45" s="31" t="s">
        <v>3</v>
      </c>
      <c r="E45" s="31" t="str">
        <f>VLOOKUP(D45,'[7]MP-CF (WP)'!$B$4:$Y$81,2,FALSE)</f>
        <v xml:space="preserve">Ameren Corp.                  </v>
      </c>
      <c r="F45" s="194">
        <v>21.4</v>
      </c>
      <c r="G45" s="195">
        <v>90.8</v>
      </c>
      <c r="H45" s="195">
        <v>69.8</v>
      </c>
      <c r="I45" s="196">
        <f t="shared" si="4"/>
        <v>80.3</v>
      </c>
      <c r="J45" s="193">
        <v>8.89</v>
      </c>
      <c r="K45" s="193">
        <v>3.84</v>
      </c>
      <c r="L45" s="193">
        <v>2.2000000000000002</v>
      </c>
      <c r="M45" s="193">
        <v>13.67</v>
      </c>
      <c r="N45" s="193">
        <v>37.64</v>
      </c>
      <c r="O45" s="193">
        <v>9.35</v>
      </c>
      <c r="P45" s="193">
        <v>12.9</v>
      </c>
      <c r="Q45" s="193">
        <v>11.75</v>
      </c>
      <c r="R45" s="193">
        <v>13</v>
      </c>
      <c r="S45" s="225">
        <v>44631</v>
      </c>
      <c r="T45" s="196">
        <f t="shared" si="5"/>
        <v>9.0326209223847016</v>
      </c>
      <c r="U45" s="197">
        <f t="shared" si="6"/>
        <v>2.1333687566418704</v>
      </c>
      <c r="V45" s="198">
        <f t="shared" si="7"/>
        <v>5.8448459086078645E-2</v>
      </c>
      <c r="W45" s="197">
        <f t="shared" si="8"/>
        <v>0.57291666666666674</v>
      </c>
      <c r="X45" s="197">
        <f t="shared" si="9"/>
        <v>0.65032918800292616</v>
      </c>
      <c r="Y45" s="198">
        <f t="shared" si="10"/>
        <v>2.7397260273972605E-2</v>
      </c>
      <c r="Z45" s="197">
        <f t="shared" si="14"/>
        <v>0.72480620155038755</v>
      </c>
      <c r="AA45" s="197">
        <f t="shared" si="12"/>
        <v>0.90384615384615385</v>
      </c>
      <c r="AB45" s="197"/>
      <c r="AD45" s="199">
        <f t="shared" si="2"/>
        <v>248.23999999999995</v>
      </c>
    </row>
    <row r="46" spans="1:37" s="31" customFormat="1" ht="14.25" customHeight="1" x14ac:dyDescent="0.25">
      <c r="A46" s="31">
        <f t="shared" si="0"/>
        <v>1</v>
      </c>
      <c r="B46" s="31" t="str">
        <f t="shared" si="1"/>
        <v>E</v>
      </c>
      <c r="C46" s="31" t="s">
        <v>342</v>
      </c>
      <c r="D46" s="31" t="s">
        <v>2</v>
      </c>
      <c r="E46" s="31" t="str">
        <f>VLOOKUP(D46,'[7]MP-CF (WP)'!$B$4:$Y$81,2,FALSE)</f>
        <v>American Electric Power</v>
      </c>
      <c r="F46" s="194">
        <v>17.100000000000001</v>
      </c>
      <c r="G46" s="195">
        <v>91.5</v>
      </c>
      <c r="H46" s="195">
        <v>74.8</v>
      </c>
      <c r="I46" s="196">
        <f t="shared" si="4"/>
        <v>83.15</v>
      </c>
      <c r="J46" s="193">
        <v>10.98</v>
      </c>
      <c r="K46" s="193">
        <v>4.96</v>
      </c>
      <c r="L46" s="193">
        <v>3</v>
      </c>
      <c r="M46" s="193">
        <v>11.43</v>
      </c>
      <c r="N46" s="193">
        <v>44.49</v>
      </c>
      <c r="O46" s="193">
        <v>11.2</v>
      </c>
      <c r="P46" s="193">
        <v>15.35</v>
      </c>
      <c r="Q46" s="193">
        <v>13.75</v>
      </c>
      <c r="R46" s="193">
        <v>14</v>
      </c>
      <c r="S46" s="225">
        <v>44631</v>
      </c>
      <c r="T46" s="196">
        <f t="shared" si="5"/>
        <v>7.5728597449908923</v>
      </c>
      <c r="U46" s="197">
        <f>IFERROR(I46/N46,"")</f>
        <v>1.8689593167003822</v>
      </c>
      <c r="V46" s="198">
        <f t="shared" si="7"/>
        <v>6.7430883344571813E-2</v>
      </c>
      <c r="W46" s="197">
        <f t="shared" si="8"/>
        <v>0.60483870967741937</v>
      </c>
      <c r="X46" s="197">
        <f t="shared" si="9"/>
        <v>0.96062992125984259</v>
      </c>
      <c r="Y46" s="198">
        <f t="shared" si="10"/>
        <v>3.6079374624173176E-2</v>
      </c>
      <c r="Z46" s="197">
        <f t="shared" si="14"/>
        <v>0.72964169381107491</v>
      </c>
      <c r="AA46" s="197">
        <f t="shared" si="12"/>
        <v>0.9821428571428571</v>
      </c>
      <c r="AB46" s="197"/>
      <c r="AD46" s="199">
        <f t="shared" si="2"/>
        <v>258.26</v>
      </c>
    </row>
    <row r="47" spans="1:37" s="31" customFormat="1" ht="14.25" customHeight="1" x14ac:dyDescent="0.25">
      <c r="A47" s="31">
        <f t="shared" si="0"/>
        <v>1</v>
      </c>
      <c r="B47" s="31" t="str">
        <f t="shared" si="1"/>
        <v>E</v>
      </c>
      <c r="C47" s="31" t="s">
        <v>342</v>
      </c>
      <c r="D47" s="31" t="s">
        <v>6</v>
      </c>
      <c r="E47" s="31" t="str">
        <f>VLOOKUP(D47,'[7]MP-CF (WP)'!$B$4:$Y$81,2,FALSE)</f>
        <v xml:space="preserve">CenterPoint Energy            </v>
      </c>
      <c r="F47" s="194">
        <v>26.1</v>
      </c>
      <c r="G47" s="195">
        <v>28.4</v>
      </c>
      <c r="H47" s="195">
        <v>19.3</v>
      </c>
      <c r="I47" s="196">
        <f t="shared" si="4"/>
        <v>23.85</v>
      </c>
      <c r="J47" s="193">
        <v>3</v>
      </c>
      <c r="K47" s="193">
        <v>0.94</v>
      </c>
      <c r="L47" s="193">
        <v>0.66</v>
      </c>
      <c r="M47" s="193">
        <v>5.03</v>
      </c>
      <c r="N47" s="193">
        <v>13.7</v>
      </c>
      <c r="O47" s="193">
        <v>3.45</v>
      </c>
      <c r="P47" s="193">
        <v>5.55</v>
      </c>
      <c r="Q47" s="193">
        <v>4.5</v>
      </c>
      <c r="R47" s="193">
        <v>7.25</v>
      </c>
      <c r="S47" s="225">
        <v>44631</v>
      </c>
      <c r="T47" s="196">
        <f t="shared" si="5"/>
        <v>7.95</v>
      </c>
      <c r="U47" s="197">
        <f t="shared" si="6"/>
        <v>1.7408759124087594</v>
      </c>
      <c r="V47" s="198">
        <f t="shared" si="7"/>
        <v>4.817518248175183E-2</v>
      </c>
      <c r="W47" s="197">
        <f t="shared" si="8"/>
        <v>0.70212765957446821</v>
      </c>
      <c r="X47" s="197">
        <f t="shared" si="9"/>
        <v>0.59642147117296218</v>
      </c>
      <c r="Y47" s="198">
        <f t="shared" si="10"/>
        <v>2.7672955974842768E-2</v>
      </c>
      <c r="Z47" s="197">
        <f t="shared" si="14"/>
        <v>0.62162162162162171</v>
      </c>
      <c r="AA47" s="197">
        <f t="shared" si="12"/>
        <v>0.62068965517241381</v>
      </c>
      <c r="AB47" s="197"/>
      <c r="AD47" s="199">
        <f t="shared" si="2"/>
        <v>97.13</v>
      </c>
    </row>
    <row r="48" spans="1:37" s="31" customFormat="1" ht="14.25" customHeight="1" x14ac:dyDescent="0.25">
      <c r="A48" s="31">
        <f t="shared" si="0"/>
        <v>1</v>
      </c>
      <c r="B48" s="31" t="str">
        <f t="shared" si="1"/>
        <v>E</v>
      </c>
      <c r="C48" s="31" t="s">
        <v>342</v>
      </c>
      <c r="D48" s="31" t="s">
        <v>9</v>
      </c>
      <c r="E48" s="31" t="str">
        <f>VLOOKUP(D48,'[7]MP-CF (WP)'!$B$4:$Y$81,2,FALSE)</f>
        <v xml:space="preserve">CMS Energy Corp.              </v>
      </c>
      <c r="F48" s="194">
        <v>23.6</v>
      </c>
      <c r="G48" s="195">
        <v>65.8</v>
      </c>
      <c r="H48" s="195">
        <v>53.2</v>
      </c>
      <c r="I48" s="196">
        <f t="shared" si="4"/>
        <v>59.5</v>
      </c>
      <c r="J48" s="193">
        <v>6.42</v>
      </c>
      <c r="K48" s="193">
        <v>2.58</v>
      </c>
      <c r="L48" s="193">
        <v>1.74</v>
      </c>
      <c r="M48" s="193">
        <v>7.16</v>
      </c>
      <c r="N48" s="193">
        <v>22.11</v>
      </c>
      <c r="O48" s="193">
        <v>6.95</v>
      </c>
      <c r="P48" s="193">
        <v>8.9499999999999993</v>
      </c>
      <c r="Q48" s="193">
        <v>8.75</v>
      </c>
      <c r="R48" s="193">
        <v>9.75</v>
      </c>
      <c r="S48" s="225">
        <v>44631</v>
      </c>
      <c r="T48" s="196">
        <f>IFERROR(I48/J48,"N/A")</f>
        <v>9.2679127725856691</v>
      </c>
      <c r="U48" s="197">
        <f>IFERROR(I48/N48,"N/A")</f>
        <v>2.6910900045228403</v>
      </c>
      <c r="V48" s="198">
        <f t="shared" si="7"/>
        <v>7.8697421981004073E-2</v>
      </c>
      <c r="W48" s="197">
        <f t="shared" si="8"/>
        <v>0.67441860465116277</v>
      </c>
      <c r="X48" s="197">
        <f t="shared" si="9"/>
        <v>0.8966480446927374</v>
      </c>
      <c r="Y48" s="198">
        <f>IFERROR(L48/I48,"N/A")</f>
        <v>2.9243697478991595E-2</v>
      </c>
      <c r="Z48" s="197">
        <f t="shared" si="14"/>
        <v>0.77653631284916214</v>
      </c>
      <c r="AA48" s="197">
        <f t="shared" si="12"/>
        <v>0.89743589743589747</v>
      </c>
      <c r="AB48" s="197"/>
      <c r="AD48" s="199">
        <f t="shared" si="2"/>
        <v>182.61</v>
      </c>
    </row>
    <row r="49" spans="1:30" s="31" customFormat="1" ht="14.25" customHeight="1" x14ac:dyDescent="0.25">
      <c r="A49" s="31">
        <f t="shared" si="0"/>
        <v>1</v>
      </c>
      <c r="B49" s="31" t="str">
        <f t="shared" si="1"/>
        <v>E</v>
      </c>
      <c r="C49" s="31" t="s">
        <v>342</v>
      </c>
      <c r="D49" s="31" t="s">
        <v>12</v>
      </c>
      <c r="E49" s="31" t="str">
        <f>VLOOKUP(D49,'[7]MP-CF (WP)'!$B$4:$Y$81,2,FALSE)</f>
        <v xml:space="preserve">DTE Energy                    </v>
      </c>
      <c r="F49" s="194">
        <v>30</v>
      </c>
      <c r="G49" s="195">
        <v>145.4</v>
      </c>
      <c r="H49" s="195">
        <v>108.2</v>
      </c>
      <c r="I49" s="196">
        <f t="shared" si="4"/>
        <v>126.80000000000001</v>
      </c>
      <c r="J49" s="193">
        <v>11.94</v>
      </c>
      <c r="K49" s="193">
        <v>4.0999999999999996</v>
      </c>
      <c r="L49" s="193">
        <v>3.88</v>
      </c>
      <c r="M49" s="193">
        <v>19.47</v>
      </c>
      <c r="N49" s="193">
        <v>44.93</v>
      </c>
      <c r="O49" s="193">
        <v>13.45</v>
      </c>
      <c r="P49" s="193">
        <v>18.05</v>
      </c>
      <c r="Q49" s="193">
        <v>17</v>
      </c>
      <c r="R49" s="193">
        <v>18.5</v>
      </c>
      <c r="S49" s="225">
        <v>44631</v>
      </c>
      <c r="T49" s="197">
        <f t="shared" si="5"/>
        <v>10.619765494137354</v>
      </c>
      <c r="U49" s="197">
        <f t="shared" si="6"/>
        <v>2.8221678166036059</v>
      </c>
      <c r="V49" s="198">
        <f t="shared" si="7"/>
        <v>8.6356554640551975E-2</v>
      </c>
      <c r="W49" s="197">
        <f t="shared" si="8"/>
        <v>0.94634146341463421</v>
      </c>
      <c r="X49" s="197">
        <f t="shared" si="9"/>
        <v>0.61325115562403698</v>
      </c>
      <c r="Y49" s="198">
        <f t="shared" si="10"/>
        <v>3.0599369085173498E-2</v>
      </c>
      <c r="Z49" s="197">
        <f t="shared" si="14"/>
        <v>0.745152354570637</v>
      </c>
      <c r="AA49" s="197">
        <f t="shared" si="12"/>
        <v>0.91891891891891897</v>
      </c>
      <c r="AB49" s="197"/>
      <c r="AC49" s="199"/>
      <c r="AD49" s="199">
        <f t="shared" si="2"/>
        <v>367.92</v>
      </c>
    </row>
    <row r="50" spans="1:30" s="31" customFormat="1" ht="14.25" customHeight="1" x14ac:dyDescent="0.25">
      <c r="A50" s="31">
        <f t="shared" si="0"/>
        <v>1</v>
      </c>
      <c r="B50" s="31" t="str">
        <f t="shared" si="1"/>
        <v>E</v>
      </c>
      <c r="C50" s="31" t="s">
        <v>342</v>
      </c>
      <c r="D50" s="31" t="s">
        <v>17</v>
      </c>
      <c r="E50" s="31" t="str">
        <f>VLOOKUP(D50,'[7]MP-CF (WP)'!$B$4:$Y$81,2,FALSE)</f>
        <v xml:space="preserve">Entergy Corp.                 </v>
      </c>
      <c r="F50" s="194">
        <v>15</v>
      </c>
      <c r="G50" s="195">
        <v>115</v>
      </c>
      <c r="H50" s="195">
        <v>85.8</v>
      </c>
      <c r="I50" s="196">
        <f t="shared" si="4"/>
        <v>100.4</v>
      </c>
      <c r="J50" s="193">
        <v>17.899999999999999</v>
      </c>
      <c r="K50" s="193">
        <v>6.87</v>
      </c>
      <c r="L50" s="193">
        <v>3.86</v>
      </c>
      <c r="M50" s="193">
        <v>30.86</v>
      </c>
      <c r="N50" s="193">
        <v>57.42</v>
      </c>
      <c r="O50" s="193">
        <v>17.75</v>
      </c>
      <c r="P50" s="193">
        <v>18.149999999999999</v>
      </c>
      <c r="Q50" s="193">
        <v>21.25</v>
      </c>
      <c r="R50" s="193">
        <v>19.75</v>
      </c>
      <c r="S50" s="225">
        <v>44631</v>
      </c>
      <c r="T50" s="196">
        <f t="shared" si="5"/>
        <v>5.6089385474860345</v>
      </c>
      <c r="U50" s="197">
        <f t="shared" si="6"/>
        <v>1.7485196795541624</v>
      </c>
      <c r="V50" s="198">
        <f t="shared" si="7"/>
        <v>6.7223963775687914E-2</v>
      </c>
      <c r="W50" s="197">
        <f t="shared" si="8"/>
        <v>0.56186317321688495</v>
      </c>
      <c r="X50" s="197">
        <f t="shared" si="9"/>
        <v>0.5800388852883992</v>
      </c>
      <c r="Y50" s="198">
        <f t="shared" si="10"/>
        <v>3.8446215139442227E-2</v>
      </c>
      <c r="Z50" s="197">
        <f t="shared" si="14"/>
        <v>0.97796143250688716</v>
      </c>
      <c r="AA50" s="197">
        <f t="shared" si="12"/>
        <v>1.0759493670886076</v>
      </c>
      <c r="AB50" s="197"/>
      <c r="AD50" s="199">
        <f t="shared" si="2"/>
        <v>332.71000000000004</v>
      </c>
    </row>
    <row r="51" spans="1:30" s="31" customFormat="1" ht="14.25" customHeight="1" x14ac:dyDescent="0.25">
      <c r="A51" s="31">
        <f t="shared" si="0"/>
        <v>1</v>
      </c>
      <c r="B51" s="31" t="str">
        <f t="shared" si="1"/>
        <v>E</v>
      </c>
      <c r="C51" s="31" t="s">
        <v>342</v>
      </c>
      <c r="D51" s="31" t="s">
        <v>447</v>
      </c>
      <c r="E51" s="31" t="s">
        <v>448</v>
      </c>
      <c r="F51" s="194">
        <v>16.2</v>
      </c>
      <c r="G51" s="195">
        <v>69.400000000000006</v>
      </c>
      <c r="H51" s="195">
        <v>51.9</v>
      </c>
      <c r="I51" s="196">
        <f t="shared" si="4"/>
        <v>60.650000000000006</v>
      </c>
      <c r="J51" s="193">
        <v>8.18</v>
      </c>
      <c r="K51" s="193">
        <v>3.83</v>
      </c>
      <c r="L51" s="193">
        <v>2.1800000000000002</v>
      </c>
      <c r="M51" s="193">
        <v>8.6</v>
      </c>
      <c r="N51" s="193">
        <v>40.32</v>
      </c>
      <c r="O51" s="193">
        <v>8.0500000000000007</v>
      </c>
      <c r="P51" s="193">
        <v>8.6</v>
      </c>
      <c r="Q51" s="193">
        <v>10</v>
      </c>
      <c r="R51" s="193">
        <v>9.5</v>
      </c>
      <c r="S51" s="225">
        <v>44631</v>
      </c>
      <c r="T51" s="196">
        <f t="shared" si="5"/>
        <v>7.4144254278728612</v>
      </c>
      <c r="U51" s="197">
        <f t="shared" si="6"/>
        <v>1.50421626984127</v>
      </c>
      <c r="V51" s="198">
        <f t="shared" si="7"/>
        <v>5.406746031746032E-2</v>
      </c>
      <c r="W51" s="197">
        <f t="shared" si="8"/>
        <v>0.56919060052219328</v>
      </c>
      <c r="X51" s="197">
        <f t="shared" si="9"/>
        <v>0.9511627906976744</v>
      </c>
      <c r="Y51" s="198">
        <f t="shared" si="10"/>
        <v>3.59439406430338E-2</v>
      </c>
      <c r="Z51" s="197">
        <f t="shared" si="14"/>
        <v>0.93604651162790709</v>
      </c>
      <c r="AA51" s="197">
        <f t="shared" si="12"/>
        <v>1.0526315789473684</v>
      </c>
      <c r="AB51" s="197"/>
      <c r="AD51" s="199">
        <f t="shared" si="2"/>
        <v>200.61</v>
      </c>
    </row>
    <row r="52" spans="1:30" s="31" customFormat="1" ht="14.25" customHeight="1" x14ac:dyDescent="0.25">
      <c r="A52" s="31">
        <f t="shared" si="0"/>
        <v>1</v>
      </c>
      <c r="B52" s="31" t="str">
        <f t="shared" si="1"/>
        <v>E</v>
      </c>
      <c r="C52" s="31" t="s">
        <v>342</v>
      </c>
      <c r="D52" s="31" t="s">
        <v>266</v>
      </c>
      <c r="E52" s="31" t="str">
        <f>VLOOKUP(D52,'[7]MP-CF (WP)'!$B$4:$Y$81,2,FALSE)</f>
        <v>Fortis Inc.</v>
      </c>
      <c r="F52" s="194">
        <v>21.2</v>
      </c>
      <c r="G52" s="195">
        <v>61.6</v>
      </c>
      <c r="H52" s="195">
        <v>48.7</v>
      </c>
      <c r="I52" s="196">
        <f t="shared" si="4"/>
        <v>55.150000000000006</v>
      </c>
      <c r="J52" s="193">
        <v>5.76</v>
      </c>
      <c r="K52" s="193">
        <v>2.61</v>
      </c>
      <c r="L52" s="193">
        <v>2.08</v>
      </c>
      <c r="M52" s="193">
        <v>7.13</v>
      </c>
      <c r="N52" s="193">
        <v>37.21</v>
      </c>
      <c r="O52" s="193">
        <v>6.15</v>
      </c>
      <c r="P52" s="193">
        <v>8.25</v>
      </c>
      <c r="Q52" s="193">
        <v>7.5</v>
      </c>
      <c r="R52" s="193">
        <v>7.75</v>
      </c>
      <c r="S52" s="225">
        <v>44631</v>
      </c>
      <c r="T52" s="196">
        <f>IFERROR(I52/J52,"N/A")</f>
        <v>9.5746527777777786</v>
      </c>
      <c r="U52" s="197">
        <f>IFERROR(I52/N52,"N/A")</f>
        <v>1.4821284600913733</v>
      </c>
      <c r="V52" s="198">
        <f>IFERROR(L52/N52,"N/A")</f>
        <v>5.5898951894651973E-2</v>
      </c>
      <c r="W52" s="197">
        <f>IFERROR(L52/K52,"N/A")</f>
        <v>0.7969348659003832</v>
      </c>
      <c r="X52" s="197">
        <f>IFERROR(J52/M52,"N/A")</f>
        <v>0.80785413744740531</v>
      </c>
      <c r="Y52" s="198">
        <f>IFERROR(L52/I52,"N/A")</f>
        <v>3.7715321849501354E-2</v>
      </c>
      <c r="Z52" s="197">
        <f>IFERROR(O52/P52,"N/A")</f>
        <v>0.74545454545454548</v>
      </c>
      <c r="AA52" s="197">
        <f>IFERROR(Q52/R52,"N/A")</f>
        <v>0.967741935483871</v>
      </c>
      <c r="AB52" s="197"/>
      <c r="AD52" s="199">
        <f t="shared" si="2"/>
        <v>186.29000000000002</v>
      </c>
    </row>
    <row r="53" spans="1:30" s="31" customFormat="1" ht="14.25" customHeight="1" x14ac:dyDescent="0.25">
      <c r="A53" s="31">
        <f t="shared" si="0"/>
        <v>1</v>
      </c>
      <c r="B53" s="31" t="str">
        <f t="shared" si="1"/>
        <v>E</v>
      </c>
      <c r="C53" s="31" t="s">
        <v>342</v>
      </c>
      <c r="D53" s="31" t="s">
        <v>25</v>
      </c>
      <c r="E53" s="31" t="str">
        <f>VLOOKUP(D53,'[7]MP-CF (WP)'!$B$4:$Y$81,2,FALSE)</f>
        <v xml:space="preserve">MGE Energy                    </v>
      </c>
      <c r="F53" s="194">
        <v>25.5</v>
      </c>
      <c r="G53" s="226" t="s">
        <v>106</v>
      </c>
      <c r="H53" s="226" t="s">
        <v>106</v>
      </c>
      <c r="I53" s="195" t="s">
        <v>106</v>
      </c>
      <c r="J53" s="226" t="s">
        <v>106</v>
      </c>
      <c r="K53" s="226" t="s">
        <v>106</v>
      </c>
      <c r="L53" s="226" t="s">
        <v>106</v>
      </c>
      <c r="M53" s="226" t="s">
        <v>106</v>
      </c>
      <c r="N53" s="226" t="s">
        <v>106</v>
      </c>
      <c r="O53" s="226" t="s">
        <v>106</v>
      </c>
      <c r="P53" s="226" t="s">
        <v>106</v>
      </c>
      <c r="Q53" s="226" t="s">
        <v>106</v>
      </c>
      <c r="R53" s="226" t="s">
        <v>106</v>
      </c>
      <c r="S53" s="226">
        <v>44631</v>
      </c>
      <c r="T53" s="56" t="str">
        <f>IFERROR(I53/J53,"N/A")</f>
        <v>N/A</v>
      </c>
      <c r="U53" s="247" t="str">
        <f>IFERROR(I53/N53,"N/A")</f>
        <v>N/A</v>
      </c>
      <c r="V53" s="248" t="str">
        <f>IFERROR(L53/N53,"N/A")</f>
        <v>N/A</v>
      </c>
      <c r="W53" s="247" t="str">
        <f>IFERROR(L53/K53,"N/A")</f>
        <v>N/A</v>
      </c>
      <c r="X53" s="247" t="str">
        <f>IFERROR(J53/M53,"N/A")</f>
        <v>N/A</v>
      </c>
      <c r="Y53" s="248" t="str">
        <f>IFERROR(L53/I53,"N/A")</f>
        <v>N/A</v>
      </c>
      <c r="Z53" s="247" t="str">
        <f>IFERROR(O53/P53,"N/A")</f>
        <v>N/A</v>
      </c>
      <c r="AA53" s="247" t="str">
        <f>IFERROR(Q53/R53,"N/A")</f>
        <v>N/A</v>
      </c>
      <c r="AB53" s="197"/>
      <c r="AD53" s="199">
        <f t="shared" si="2"/>
        <v>25.5</v>
      </c>
    </row>
    <row r="54" spans="1:30" s="31" customFormat="1" ht="14.25" customHeight="1" x14ac:dyDescent="0.25">
      <c r="A54" s="31">
        <f t="shared" si="0"/>
        <v>1</v>
      </c>
      <c r="B54" s="31" t="str">
        <f t="shared" si="1"/>
        <v>E</v>
      </c>
      <c r="C54" s="31" t="s">
        <v>342</v>
      </c>
      <c r="D54" s="31" t="s">
        <v>27</v>
      </c>
      <c r="E54" s="31" t="str">
        <f>VLOOKUP(D54,'[7]MP-CF (WP)'!$B$4:$Y$81,2,FALSE)</f>
        <v xml:space="preserve">OGE Energy                    </v>
      </c>
      <c r="F54" s="194">
        <v>14.3</v>
      </c>
      <c r="G54" s="195">
        <v>38.6</v>
      </c>
      <c r="H54" s="195">
        <v>29.2</v>
      </c>
      <c r="I54" s="196">
        <f t="shared" si="4"/>
        <v>33.9</v>
      </c>
      <c r="J54" s="193">
        <v>4.4400000000000004</v>
      </c>
      <c r="K54" s="193">
        <v>2.36</v>
      </c>
      <c r="L54" s="193">
        <v>1.63</v>
      </c>
      <c r="M54" s="193">
        <v>3.89</v>
      </c>
      <c r="N54" s="193">
        <v>20.27</v>
      </c>
      <c r="O54" s="193">
        <v>4.7</v>
      </c>
      <c r="P54" s="193">
        <v>4.75</v>
      </c>
      <c r="Q54" s="193">
        <v>6.25</v>
      </c>
      <c r="R54" s="193">
        <v>4.75</v>
      </c>
      <c r="S54" s="225">
        <v>44631</v>
      </c>
      <c r="T54" s="196">
        <f>IFERROR(I54/J54,"N/A")</f>
        <v>7.6351351351351342</v>
      </c>
      <c r="U54" s="197">
        <f>IFERROR(I54/N54,"N/A")</f>
        <v>1.6724222989639861</v>
      </c>
      <c r="V54" s="198">
        <f t="shared" si="7"/>
        <v>8.0414405525407004E-2</v>
      </c>
      <c r="W54" s="197">
        <f t="shared" si="8"/>
        <v>0.69067796610169485</v>
      </c>
      <c r="X54" s="197">
        <f t="shared" si="9"/>
        <v>1.1413881748071979</v>
      </c>
      <c r="Y54" s="198">
        <f>IFERROR(L54/I54,"N/A")</f>
        <v>4.8082595870206489E-2</v>
      </c>
      <c r="Z54" s="197">
        <f t="shared" si="14"/>
        <v>0.98947368421052639</v>
      </c>
      <c r="AA54" s="197">
        <f t="shared" si="12"/>
        <v>1.3157894736842106</v>
      </c>
      <c r="AB54" s="197"/>
      <c r="AD54" s="199">
        <f t="shared" si="2"/>
        <v>114.69</v>
      </c>
    </row>
    <row r="55" spans="1:30" s="31" customFormat="1" ht="14.25" customHeight="1" x14ac:dyDescent="0.25">
      <c r="A55" s="31">
        <f t="shared" si="0"/>
        <v>1</v>
      </c>
      <c r="B55" s="31" t="str">
        <f t="shared" si="1"/>
        <v>E</v>
      </c>
      <c r="C55" s="31" t="s">
        <v>342</v>
      </c>
      <c r="D55" s="31" t="s">
        <v>28</v>
      </c>
      <c r="E55" s="31" t="str">
        <f>VLOOKUP(D55,'[7]MP-CF (WP)'!$B$4:$Y$81,2,FALSE)</f>
        <v xml:space="preserve">Otter Tail Corp.              </v>
      </c>
      <c r="F55" s="194">
        <v>12.3</v>
      </c>
      <c r="G55" s="195">
        <v>71.7</v>
      </c>
      <c r="H55" s="195">
        <v>39.4</v>
      </c>
      <c r="I55" s="196">
        <f t="shared" si="4"/>
        <v>55.55</v>
      </c>
      <c r="J55" s="193">
        <v>6.45</v>
      </c>
      <c r="K55" s="193">
        <v>4.2300000000000004</v>
      </c>
      <c r="L55" s="193">
        <v>1.56</v>
      </c>
      <c r="M55" s="193">
        <v>4.1399999999999997</v>
      </c>
      <c r="N55" s="193">
        <v>23.84</v>
      </c>
      <c r="O55" s="193">
        <v>6.3</v>
      </c>
      <c r="P55" s="193">
        <v>4.3499999999999996</v>
      </c>
      <c r="Q55" s="193">
        <v>6.5</v>
      </c>
      <c r="R55" s="193">
        <v>6.25</v>
      </c>
      <c r="S55" s="225">
        <v>44631</v>
      </c>
      <c r="T55" s="196">
        <f>IFERROR(I55/J55,"N/A")</f>
        <v>8.6124031007751931</v>
      </c>
      <c r="U55" s="197">
        <f>IFERROR(I55/N55,"N/A")</f>
        <v>2.3301174496644292</v>
      </c>
      <c r="V55" s="198">
        <f t="shared" si="7"/>
        <v>6.5436241610738258E-2</v>
      </c>
      <c r="W55" s="197">
        <f t="shared" si="8"/>
        <v>0.36879432624113473</v>
      </c>
      <c r="X55" s="197">
        <f t="shared" si="9"/>
        <v>1.5579710144927539</v>
      </c>
      <c r="Y55" s="198">
        <f>IFERROR(L55/I55,"N/A")</f>
        <v>2.8082808280828084E-2</v>
      </c>
      <c r="Z55" s="197">
        <f t="shared" si="14"/>
        <v>1.4482758620689655</v>
      </c>
      <c r="AA55" s="197">
        <f t="shared" si="12"/>
        <v>1.04</v>
      </c>
      <c r="AB55" s="197"/>
      <c r="AD55" s="199">
        <f t="shared" si="2"/>
        <v>163.61999999999998</v>
      </c>
    </row>
    <row r="56" spans="1:30" s="31" customFormat="1" ht="14.25" customHeight="1" x14ac:dyDescent="0.25">
      <c r="A56" s="31">
        <f t="shared" si="0"/>
        <v>1</v>
      </c>
      <c r="B56" s="31" t="str">
        <f t="shared" si="1"/>
        <v>E</v>
      </c>
      <c r="C56" s="31" t="s">
        <v>342</v>
      </c>
      <c r="D56" s="31" t="s">
        <v>44</v>
      </c>
      <c r="E56" s="31" t="str">
        <f>VLOOKUP(D56,'[7]MP-CF (WP)'!$B$4:$Y$81,2,FALSE)</f>
        <v>WEC Energy Group</v>
      </c>
      <c r="F56" s="194">
        <v>22.3</v>
      </c>
      <c r="G56" s="195">
        <v>99.9</v>
      </c>
      <c r="H56" s="195">
        <v>80.599999999999994</v>
      </c>
      <c r="I56" s="196">
        <f t="shared" si="4"/>
        <v>90.25</v>
      </c>
      <c r="J56" s="193">
        <v>7.53</v>
      </c>
      <c r="K56" s="193">
        <v>4.1100000000000003</v>
      </c>
      <c r="L56" s="193">
        <v>2.71</v>
      </c>
      <c r="M56" s="193">
        <v>7.14</v>
      </c>
      <c r="N56" s="193">
        <v>34.6</v>
      </c>
      <c r="O56" s="193">
        <v>8.1</v>
      </c>
      <c r="P56" s="193">
        <v>9.35</v>
      </c>
      <c r="Q56" s="193">
        <v>10.75</v>
      </c>
      <c r="R56" s="193">
        <v>9.25</v>
      </c>
      <c r="S56" s="225">
        <v>44631</v>
      </c>
      <c r="T56" s="196">
        <f t="shared" si="5"/>
        <v>11.985391766268259</v>
      </c>
      <c r="U56" s="197">
        <f t="shared" si="6"/>
        <v>2.6083815028901731</v>
      </c>
      <c r="V56" s="198">
        <f t="shared" si="7"/>
        <v>7.832369942196532E-2</v>
      </c>
      <c r="W56" s="197">
        <f t="shared" si="8"/>
        <v>0.65936739659367394</v>
      </c>
      <c r="X56" s="197">
        <f t="shared" si="9"/>
        <v>1.0546218487394958</v>
      </c>
      <c r="Y56" s="198">
        <f t="shared" si="10"/>
        <v>3.002770083102493E-2</v>
      </c>
      <c r="Z56" s="197">
        <f t="shared" si="14"/>
        <v>0.86631016042780751</v>
      </c>
      <c r="AA56" s="197">
        <f t="shared" si="12"/>
        <v>1.1621621621621621</v>
      </c>
      <c r="AB56" s="197"/>
      <c r="AD56" s="199">
        <f t="shared" si="2"/>
        <v>258.89000000000004</v>
      </c>
    </row>
    <row r="57" spans="1:30" s="31" customFormat="1" ht="14.25" customHeight="1" x14ac:dyDescent="0.25">
      <c r="A57" s="31">
        <f t="shared" si="0"/>
        <v>1</v>
      </c>
      <c r="B57" s="31" t="str">
        <f t="shared" si="1"/>
        <v>E</v>
      </c>
      <c r="C57" s="31" t="s">
        <v>269</v>
      </c>
      <c r="D57" s="31" t="s">
        <v>4</v>
      </c>
      <c r="E57" s="31" t="str">
        <f>VLOOKUP(D57,'[6]MP-CF (WP)'!$B$4:$Y$81,2,FALSE)</f>
        <v xml:space="preserve">Avista Corp.                  </v>
      </c>
      <c r="F57" s="195">
        <v>20.2</v>
      </c>
      <c r="G57" s="193">
        <v>49.1</v>
      </c>
      <c r="H57" s="193">
        <v>36.700000000000003</v>
      </c>
      <c r="I57" s="196">
        <f t="shared" si="4"/>
        <v>42.900000000000006</v>
      </c>
      <c r="J57" s="193">
        <v>5.34</v>
      </c>
      <c r="K57" s="193">
        <v>2.1</v>
      </c>
      <c r="L57" s="193">
        <v>1.69</v>
      </c>
      <c r="M57" s="193">
        <v>6.15</v>
      </c>
      <c r="N57" s="193">
        <v>30.14</v>
      </c>
      <c r="O57" s="193">
        <v>5.25</v>
      </c>
      <c r="P57" s="193">
        <v>6.3</v>
      </c>
      <c r="Q57" s="193">
        <v>6.5</v>
      </c>
      <c r="R57" s="193">
        <v>5.75</v>
      </c>
      <c r="S57" s="225">
        <v>44673</v>
      </c>
      <c r="T57" s="196">
        <f t="shared" si="5"/>
        <v>8.033707865168541</v>
      </c>
      <c r="U57" s="197">
        <f t="shared" si="6"/>
        <v>1.4233576642335768</v>
      </c>
      <c r="V57" s="198">
        <f t="shared" si="7"/>
        <v>5.6071665560716653E-2</v>
      </c>
      <c r="W57" s="197">
        <f t="shared" si="8"/>
        <v>0.80476190476190468</v>
      </c>
      <c r="X57" s="197">
        <f t="shared" si="9"/>
        <v>0.86829268292682915</v>
      </c>
      <c r="Y57" s="198">
        <f t="shared" si="10"/>
        <v>3.9393939393939391E-2</v>
      </c>
      <c r="Z57" s="197">
        <f t="shared" si="14"/>
        <v>0.83333333333333337</v>
      </c>
      <c r="AA57" s="197">
        <f t="shared" si="12"/>
        <v>1.1304347826086956</v>
      </c>
      <c r="AB57" s="197"/>
      <c r="AD57" s="199">
        <f t="shared" si="2"/>
        <v>151.42000000000002</v>
      </c>
    </row>
    <row r="58" spans="1:30" s="31" customFormat="1" ht="14.25" customHeight="1" x14ac:dyDescent="0.25">
      <c r="A58" s="31">
        <f t="shared" si="0"/>
        <v>1</v>
      </c>
      <c r="B58" s="31" t="str">
        <f t="shared" si="1"/>
        <v>E</v>
      </c>
      <c r="C58" s="31" t="s">
        <v>269</v>
      </c>
      <c r="D58" s="31" t="s">
        <v>5</v>
      </c>
      <c r="E58" s="31" t="str">
        <f>VLOOKUP(D58,'[6]MP-CF (WP)'!$B$4:$Y$81,2,FALSE)</f>
        <v xml:space="preserve">Black Hills                   </v>
      </c>
      <c r="F58" s="195">
        <v>17.7</v>
      </c>
      <c r="G58" s="193">
        <v>72.8</v>
      </c>
      <c r="H58" s="193">
        <v>58.2</v>
      </c>
      <c r="I58" s="196">
        <f t="shared" si="4"/>
        <v>65.5</v>
      </c>
      <c r="J58" s="193">
        <v>7.41</v>
      </c>
      <c r="K58" s="193">
        <v>3.74</v>
      </c>
      <c r="L58" s="193">
        <v>2.29</v>
      </c>
      <c r="M58" s="193">
        <v>10.47</v>
      </c>
      <c r="N58" s="193">
        <v>43.05</v>
      </c>
      <c r="O58" s="193">
        <v>7.85</v>
      </c>
      <c r="P58" s="193">
        <v>9.1999999999999993</v>
      </c>
      <c r="Q58" s="193">
        <v>9.5</v>
      </c>
      <c r="R58" s="193">
        <v>9.25</v>
      </c>
      <c r="S58" s="225">
        <v>44673</v>
      </c>
      <c r="T58" s="196">
        <f>IFERROR(I58/J58,"N/A")</f>
        <v>8.8394062078272597</v>
      </c>
      <c r="U58" s="197">
        <f>IFERROR(I58/N58,"N/A")</f>
        <v>1.5214866434378631</v>
      </c>
      <c r="V58" s="198">
        <f>IFERROR(L58/N58,"N/A")</f>
        <v>5.3193960511033686E-2</v>
      </c>
      <c r="W58" s="197">
        <f>IFERROR(L58/K58,"N/A")</f>
        <v>0.61229946524064172</v>
      </c>
      <c r="X58" s="197">
        <f>IFERROR(J58/M58,"N/A")</f>
        <v>0.70773638968481367</v>
      </c>
      <c r="Y58" s="198">
        <f>IFERROR(L58/I58,"N/A")</f>
        <v>3.4961832061068704E-2</v>
      </c>
      <c r="Z58" s="197">
        <f>IFERROR(O58/P58,"N/A")</f>
        <v>0.85326086956521741</v>
      </c>
      <c r="AA58" s="197">
        <f>IFERROR(Q58/R58,"N/A")</f>
        <v>1.027027027027027</v>
      </c>
      <c r="AB58" s="197"/>
      <c r="AD58" s="199">
        <f t="shared" si="2"/>
        <v>215.65999999999997</v>
      </c>
    </row>
    <row r="59" spans="1:30" s="31" customFormat="1" ht="14.25" customHeight="1" x14ac:dyDescent="0.25">
      <c r="A59" s="31">
        <f t="shared" si="0"/>
        <v>1</v>
      </c>
      <c r="B59" s="31" t="str">
        <f t="shared" si="1"/>
        <v>E</v>
      </c>
      <c r="C59" s="31" t="s">
        <v>269</v>
      </c>
      <c r="D59" s="31" t="s">
        <v>14</v>
      </c>
      <c r="E59" s="31" t="str">
        <f>VLOOKUP(D59,'[6]MP-CF (WP)'!$B$4:$Y$81,2,FALSE)</f>
        <v xml:space="preserve">Edison Int'l                  </v>
      </c>
      <c r="F59" s="195">
        <v>29.7</v>
      </c>
      <c r="G59" s="193">
        <v>68.599999999999994</v>
      </c>
      <c r="H59" s="193">
        <v>53.9</v>
      </c>
      <c r="I59" s="196">
        <f t="shared" si="4"/>
        <v>61.25</v>
      </c>
      <c r="J59" s="193">
        <v>8.58</v>
      </c>
      <c r="K59" s="193">
        <v>2</v>
      </c>
      <c r="L59" s="193">
        <v>2.69</v>
      </c>
      <c r="M59" s="193">
        <v>14.47</v>
      </c>
      <c r="N59" s="193">
        <v>36.57</v>
      </c>
      <c r="O59" s="193">
        <v>10.85</v>
      </c>
      <c r="P59" s="193">
        <v>16.25</v>
      </c>
      <c r="Q59" s="193">
        <v>13</v>
      </c>
      <c r="R59" s="193">
        <v>16.75</v>
      </c>
      <c r="S59" s="225">
        <v>44673</v>
      </c>
      <c r="T59" s="196">
        <f>IFERROR(I59/J59,"N/A")</f>
        <v>7.1386946386946386</v>
      </c>
      <c r="U59" s="197">
        <f>IFERROR(I59/N59,"N/A")</f>
        <v>1.6748701121137544</v>
      </c>
      <c r="V59" s="198">
        <f t="shared" si="7"/>
        <v>7.3557560842220399E-2</v>
      </c>
      <c r="W59" s="197">
        <f t="shared" si="8"/>
        <v>1.345</v>
      </c>
      <c r="X59" s="197">
        <f t="shared" si="9"/>
        <v>0.59295093296475465</v>
      </c>
      <c r="Y59" s="198">
        <f>IFERROR(L59/I59,"N/A")</f>
        <v>4.3918367346938776E-2</v>
      </c>
      <c r="Z59" s="197">
        <f t="shared" si="14"/>
        <v>0.6676923076923077</v>
      </c>
      <c r="AA59" s="197">
        <f t="shared" si="12"/>
        <v>0.77611940298507465</v>
      </c>
      <c r="AB59" s="197"/>
      <c r="AD59" s="199">
        <f t="shared" si="2"/>
        <v>216.51</v>
      </c>
    </row>
    <row r="60" spans="1:30" s="31" customFormat="1" ht="14.25" customHeight="1" x14ac:dyDescent="0.25">
      <c r="A60" s="31">
        <v>0</v>
      </c>
      <c r="B60" s="31" t="str">
        <f t="shared" si="1"/>
        <v>E</v>
      </c>
      <c r="C60" s="31" t="s">
        <v>269</v>
      </c>
      <c r="D60" s="31" t="s">
        <v>15</v>
      </c>
      <c r="E60" s="31" t="str">
        <f>VLOOKUP(D60,'[6]MP-CF (WP)'!$B$4:$Y$81,2,FALSE)</f>
        <v xml:space="preserve">El Paso Electric              </v>
      </c>
      <c r="F60" s="195" t="s">
        <v>106</v>
      </c>
      <c r="G60" s="193" t="s">
        <v>106</v>
      </c>
      <c r="H60" s="193" t="s">
        <v>106</v>
      </c>
      <c r="I60" s="196" t="s">
        <v>106</v>
      </c>
      <c r="J60" s="193" t="s">
        <v>106</v>
      </c>
      <c r="K60" s="193" t="s">
        <v>106</v>
      </c>
      <c r="L60" s="193" t="s">
        <v>106</v>
      </c>
      <c r="M60" s="193" t="s">
        <v>106</v>
      </c>
      <c r="N60" s="193" t="s">
        <v>106</v>
      </c>
      <c r="O60" s="193" t="s">
        <v>106</v>
      </c>
      <c r="P60" s="193" t="s">
        <v>106</v>
      </c>
      <c r="Q60" s="193" t="s">
        <v>106</v>
      </c>
      <c r="R60" s="193" t="s">
        <v>106</v>
      </c>
      <c r="S60" s="225" t="s">
        <v>106</v>
      </c>
      <c r="T60" s="196" t="str">
        <f>IFERROR(I60/J60,"N/A")</f>
        <v>N/A</v>
      </c>
      <c r="U60" s="197" t="str">
        <f>IFERROR(I60/N60,"N/A")</f>
        <v>N/A</v>
      </c>
      <c r="V60" s="198" t="str">
        <f>IFERROR(L60/N60,"N/A")</f>
        <v>N/A</v>
      </c>
      <c r="W60" s="197" t="str">
        <f>IFERROR(L60/K60,"N/A")</f>
        <v>N/A</v>
      </c>
      <c r="X60" s="197" t="str">
        <f>IFERROR(J60/M60,"N/A")</f>
        <v>N/A</v>
      </c>
      <c r="Y60" s="198" t="str">
        <f>IFERROR(L60/I60,"N/A")</f>
        <v>N/A</v>
      </c>
      <c r="Z60" s="197" t="str">
        <f>IFERROR(O60/P60,"N/A")</f>
        <v>N/A</v>
      </c>
      <c r="AA60" s="197" t="str">
        <f>IFERROR(Q60/R60,"N/A")</f>
        <v>N/A</v>
      </c>
      <c r="AB60" s="197"/>
      <c r="AD60" s="199">
        <f t="shared" si="2"/>
        <v>0</v>
      </c>
    </row>
    <row r="61" spans="1:30" s="31" customFormat="1" ht="14.25" customHeight="1" x14ac:dyDescent="0.25">
      <c r="A61" s="31">
        <f t="shared" si="0"/>
        <v>1</v>
      </c>
      <c r="B61" s="31" t="str">
        <f t="shared" si="1"/>
        <v>E</v>
      </c>
      <c r="C61" s="31" t="s">
        <v>269</v>
      </c>
      <c r="D61" s="31" t="s">
        <v>21</v>
      </c>
      <c r="E61" s="31" t="str">
        <f>VLOOKUP(D61,'[6]MP-CF (WP)'!$B$4:$Y$81,2,FALSE)</f>
        <v xml:space="preserve">Hawaiian Elec.                </v>
      </c>
      <c r="F61" s="195">
        <v>18.2</v>
      </c>
      <c r="G61" s="193">
        <v>46</v>
      </c>
      <c r="H61" s="193">
        <v>33</v>
      </c>
      <c r="I61" s="196">
        <f t="shared" si="4"/>
        <v>39.5</v>
      </c>
      <c r="J61" s="193">
        <v>4.8</v>
      </c>
      <c r="K61" s="193">
        <v>2.25</v>
      </c>
      <c r="L61" s="193">
        <v>1.36</v>
      </c>
      <c r="M61" s="193">
        <v>2.88</v>
      </c>
      <c r="N61" s="193">
        <v>21.87</v>
      </c>
      <c r="O61" s="193">
        <v>4.75</v>
      </c>
      <c r="P61" s="193">
        <v>3.65</v>
      </c>
      <c r="Q61" s="193">
        <v>5.5</v>
      </c>
      <c r="R61" s="193">
        <v>4</v>
      </c>
      <c r="S61" s="225">
        <v>44673</v>
      </c>
      <c r="T61" s="196">
        <f t="shared" si="5"/>
        <v>8.2291666666666679</v>
      </c>
      <c r="U61" s="197">
        <f t="shared" si="6"/>
        <v>1.80612711476909</v>
      </c>
      <c r="V61" s="198">
        <f t="shared" si="7"/>
        <v>6.2185642432556011E-2</v>
      </c>
      <c r="W61" s="197">
        <f t="shared" si="8"/>
        <v>0.60444444444444445</v>
      </c>
      <c r="X61" s="197">
        <f t="shared" si="9"/>
        <v>1.6666666666666667</v>
      </c>
      <c r="Y61" s="198">
        <f t="shared" si="10"/>
        <v>3.4430379746835445E-2</v>
      </c>
      <c r="Z61" s="197">
        <f t="shared" si="14"/>
        <v>1.3013698630136987</v>
      </c>
      <c r="AA61" s="197">
        <f t="shared" si="12"/>
        <v>1.375</v>
      </c>
      <c r="AB61" s="197"/>
      <c r="AD61" s="199">
        <f t="shared" si="2"/>
        <v>130.35999999999999</v>
      </c>
    </row>
    <row r="62" spans="1:30" s="31" customFormat="1" ht="14.25" customHeight="1" x14ac:dyDescent="0.25">
      <c r="A62" s="31">
        <f t="shared" si="0"/>
        <v>1</v>
      </c>
      <c r="B62" s="31" t="str">
        <f t="shared" si="1"/>
        <v>E</v>
      </c>
      <c r="C62" s="31" t="s">
        <v>269</v>
      </c>
      <c r="D62" s="31" t="s">
        <v>22</v>
      </c>
      <c r="E62" s="31" t="str">
        <f>VLOOKUP(D62,'[6]MP-CF (WP)'!$B$4:$Y$81,2,FALSE)</f>
        <v xml:space="preserve">IDACORP, Inc.                 </v>
      </c>
      <c r="F62" s="195">
        <v>20.8</v>
      </c>
      <c r="G62" s="193">
        <v>113.8</v>
      </c>
      <c r="H62" s="193">
        <v>85.3</v>
      </c>
      <c r="I62" s="196">
        <f t="shared" si="4"/>
        <v>99.55</v>
      </c>
      <c r="J62" s="193">
        <v>8.41</v>
      </c>
      <c r="K62" s="193">
        <v>4.8499999999999996</v>
      </c>
      <c r="L62" s="193">
        <v>2.88</v>
      </c>
      <c r="M62" s="193">
        <v>5.94</v>
      </c>
      <c r="N62" s="193">
        <v>52.82</v>
      </c>
      <c r="O62" s="193">
        <v>8.75</v>
      </c>
      <c r="P62" s="193">
        <v>10.6</v>
      </c>
      <c r="Q62" s="193">
        <v>10.25</v>
      </c>
      <c r="R62" s="193">
        <v>10</v>
      </c>
      <c r="S62" s="225">
        <v>44673</v>
      </c>
      <c r="T62" s="196">
        <f t="shared" si="5"/>
        <v>11.837098692033294</v>
      </c>
      <c r="U62" s="197">
        <f t="shared" si="6"/>
        <v>1.8847027641045058</v>
      </c>
      <c r="V62" s="198">
        <f t="shared" si="7"/>
        <v>5.4524801211662248E-2</v>
      </c>
      <c r="W62" s="197">
        <f t="shared" si="8"/>
        <v>0.59381443298969072</v>
      </c>
      <c r="X62" s="197">
        <f t="shared" si="9"/>
        <v>1.4158249158249157</v>
      </c>
      <c r="Y62" s="198">
        <f t="shared" si="10"/>
        <v>2.8930185836263184E-2</v>
      </c>
      <c r="Z62" s="197">
        <f t="shared" si="14"/>
        <v>0.82547169811320753</v>
      </c>
      <c r="AA62" s="197">
        <f t="shared" si="12"/>
        <v>1.0249999999999999</v>
      </c>
      <c r="AB62" s="197"/>
      <c r="AD62" s="199">
        <f t="shared" si="2"/>
        <v>294.79999999999995</v>
      </c>
    </row>
    <row r="63" spans="1:30" s="31" customFormat="1" ht="14.25" customHeight="1" x14ac:dyDescent="0.25">
      <c r="A63" s="31">
        <f t="shared" si="0"/>
        <v>1</v>
      </c>
      <c r="B63" s="31" t="str">
        <f t="shared" si="1"/>
        <v>E</v>
      </c>
      <c r="C63" s="31" t="s">
        <v>269</v>
      </c>
      <c r="D63" s="31" t="str">
        <f>"NW"&amp;"E"</f>
        <v>NWE</v>
      </c>
      <c r="E63" s="31" t="str">
        <f>VLOOKUP(D63,'[6]MP-CF (WP)'!$B$4:$Y$81,2,FALSE)</f>
        <v xml:space="preserve">NorthWestern Corp             </v>
      </c>
      <c r="F63" s="195">
        <v>17.399999999999999</v>
      </c>
      <c r="G63" s="193">
        <v>70.8</v>
      </c>
      <c r="H63" s="193">
        <v>53.2</v>
      </c>
      <c r="I63" s="196">
        <f t="shared" si="4"/>
        <v>62</v>
      </c>
      <c r="J63" s="193">
        <v>7.02</v>
      </c>
      <c r="K63" s="193">
        <v>3.6</v>
      </c>
      <c r="L63" s="193">
        <v>2.48</v>
      </c>
      <c r="M63" s="193">
        <v>8.0299999999999994</v>
      </c>
      <c r="N63" s="193">
        <v>43.28</v>
      </c>
      <c r="O63" s="193">
        <v>6.65</v>
      </c>
      <c r="P63" s="193">
        <v>10.050000000000001</v>
      </c>
      <c r="Q63" s="193">
        <v>8</v>
      </c>
      <c r="R63" s="193">
        <v>6.5</v>
      </c>
      <c r="S63" s="225">
        <v>44673</v>
      </c>
      <c r="T63" s="196">
        <f t="shared" si="5"/>
        <v>8.8319088319088319</v>
      </c>
      <c r="U63" s="197">
        <f t="shared" si="6"/>
        <v>1.432532347504621</v>
      </c>
      <c r="V63" s="198">
        <f t="shared" si="7"/>
        <v>5.730129390018484E-2</v>
      </c>
      <c r="W63" s="197">
        <f t="shared" si="8"/>
        <v>0.68888888888888888</v>
      </c>
      <c r="X63" s="197">
        <f t="shared" si="9"/>
        <v>0.87422166874221674</v>
      </c>
      <c r="Y63" s="198">
        <f t="shared" si="10"/>
        <v>0.04</v>
      </c>
      <c r="Z63" s="197">
        <f t="shared" si="14"/>
        <v>0.6616915422885572</v>
      </c>
      <c r="AA63" s="197">
        <f t="shared" si="12"/>
        <v>1.2307692307692308</v>
      </c>
      <c r="AB63" s="197"/>
      <c r="AD63" s="199">
        <f t="shared" si="2"/>
        <v>205.80999999999997</v>
      </c>
    </row>
    <row r="64" spans="1:30" s="31" customFormat="1" ht="14.25" customHeight="1" x14ac:dyDescent="0.25">
      <c r="A64" s="31">
        <f t="shared" si="0"/>
        <v>1</v>
      </c>
      <c r="B64" s="31" t="str">
        <f t="shared" si="1"/>
        <v>E</v>
      </c>
      <c r="C64" s="31" t="s">
        <v>269</v>
      </c>
      <c r="D64" s="31" t="s">
        <v>31</v>
      </c>
      <c r="E64" s="31" t="str">
        <f>VLOOKUP(D64,'[6]MP-CF (WP)'!$B$4:$Y$81,2,FALSE)</f>
        <v xml:space="preserve">Pinnacle West Capital         </v>
      </c>
      <c r="F64" s="195">
        <v>14.1</v>
      </c>
      <c r="G64" s="193">
        <v>88.5</v>
      </c>
      <c r="H64" s="193">
        <v>62.8</v>
      </c>
      <c r="I64" s="196">
        <f t="shared" si="4"/>
        <v>75.650000000000006</v>
      </c>
      <c r="J64" s="193">
        <v>12.23</v>
      </c>
      <c r="K64" s="193">
        <v>5.47</v>
      </c>
      <c r="L64" s="193">
        <v>3.36</v>
      </c>
      <c r="M64" s="193">
        <v>13.04</v>
      </c>
      <c r="N64" s="193">
        <v>52.26</v>
      </c>
      <c r="O64" s="193">
        <v>11.05</v>
      </c>
      <c r="P64" s="193">
        <v>14.1</v>
      </c>
      <c r="Q64" s="193">
        <v>14</v>
      </c>
      <c r="R64" s="193">
        <v>14.5</v>
      </c>
      <c r="S64" s="225">
        <v>44673</v>
      </c>
      <c r="T64" s="196">
        <f t="shared" si="5"/>
        <v>6.1856091578086678</v>
      </c>
      <c r="U64" s="197">
        <f t="shared" si="6"/>
        <v>1.4475698430922312</v>
      </c>
      <c r="V64" s="198">
        <f t="shared" si="7"/>
        <v>6.4293915040183697E-2</v>
      </c>
      <c r="W64" s="197">
        <f t="shared" si="8"/>
        <v>0.61425959780621575</v>
      </c>
      <c r="X64" s="197">
        <f t="shared" si="9"/>
        <v>0.93788343558282217</v>
      </c>
      <c r="Y64" s="198">
        <f t="shared" si="10"/>
        <v>4.4415069398545927E-2</v>
      </c>
      <c r="Z64" s="197">
        <f t="shared" si="14"/>
        <v>0.78368794326241142</v>
      </c>
      <c r="AA64" s="197">
        <f t="shared" si="12"/>
        <v>0.96551724137931039</v>
      </c>
      <c r="AB64" s="197"/>
      <c r="AD64" s="199">
        <f t="shared" si="2"/>
        <v>251.75999999999996</v>
      </c>
    </row>
    <row r="65" spans="1:30" s="31" customFormat="1" ht="14.25" customHeight="1" x14ac:dyDescent="0.25">
      <c r="A65" s="31">
        <f t="shared" si="0"/>
        <v>1</v>
      </c>
      <c r="B65" s="31" t="str">
        <f t="shared" si="1"/>
        <v>E</v>
      </c>
      <c r="C65" s="31" t="s">
        <v>269</v>
      </c>
      <c r="D65" s="31" t="s">
        <v>32</v>
      </c>
      <c r="E65" s="31" t="str">
        <f>VLOOKUP(D65,'[6]MP-CF (WP)'!$B$4:$Y$81,2,FALSE)</f>
        <v xml:space="preserve">PNM Resources                 </v>
      </c>
      <c r="F65" s="195">
        <v>19.899999999999999</v>
      </c>
      <c r="G65" s="193">
        <v>50.1</v>
      </c>
      <c r="H65" s="193">
        <v>43.8</v>
      </c>
      <c r="I65" s="196">
        <f t="shared" si="4"/>
        <v>46.95</v>
      </c>
      <c r="J65" s="193">
        <v>6.01</v>
      </c>
      <c r="K65" s="193">
        <v>2.27</v>
      </c>
      <c r="L65" s="193">
        <v>0.98</v>
      </c>
      <c r="M65" s="193">
        <v>10.89</v>
      </c>
      <c r="N65" s="193">
        <v>25.25</v>
      </c>
      <c r="O65" s="193">
        <v>6.45</v>
      </c>
      <c r="P65" s="193">
        <v>10.199999999999999</v>
      </c>
      <c r="Q65" s="193">
        <v>8</v>
      </c>
      <c r="R65" s="193">
        <v>9</v>
      </c>
      <c r="S65" s="225">
        <v>44673</v>
      </c>
      <c r="T65" s="196">
        <f t="shared" si="5"/>
        <v>7.8119800332778713</v>
      </c>
      <c r="U65" s="197">
        <f t="shared" si="6"/>
        <v>1.8594059405940595</v>
      </c>
      <c r="V65" s="198">
        <f t="shared" si="7"/>
        <v>3.8811881188118812E-2</v>
      </c>
      <c r="W65" s="197">
        <f t="shared" si="8"/>
        <v>0.43171806167400878</v>
      </c>
      <c r="X65" s="197">
        <f t="shared" si="9"/>
        <v>0.55188246097337001</v>
      </c>
      <c r="Y65" s="198">
        <f t="shared" si="10"/>
        <v>2.0873269435569754E-2</v>
      </c>
      <c r="Z65" s="197">
        <f t="shared" si="14"/>
        <v>0.63235294117647067</v>
      </c>
      <c r="AA65" s="197">
        <f t="shared" si="12"/>
        <v>0.88888888888888884</v>
      </c>
      <c r="AB65" s="197"/>
      <c r="AD65" s="199">
        <f t="shared" si="2"/>
        <v>159.19999999999999</v>
      </c>
    </row>
    <row r="66" spans="1:30" s="31" customFormat="1" ht="14.25" customHeight="1" x14ac:dyDescent="0.25">
      <c r="A66" s="31">
        <f t="shared" si="0"/>
        <v>1</v>
      </c>
      <c r="B66" s="31" t="str">
        <f t="shared" si="1"/>
        <v>E</v>
      </c>
      <c r="C66" s="31" t="s">
        <v>269</v>
      </c>
      <c r="D66" s="31" t="s">
        <v>33</v>
      </c>
      <c r="E66" s="31" t="str">
        <f>VLOOKUP(D66,'[6]MP-CF (WP)'!$B$4:$Y$81,2,FALSE)</f>
        <v xml:space="preserve">Portland General              </v>
      </c>
      <c r="F66" s="195">
        <v>17.7</v>
      </c>
      <c r="G66" s="193">
        <v>53.1</v>
      </c>
      <c r="H66" s="193">
        <v>40.799999999999997</v>
      </c>
      <c r="I66" s="196">
        <f t="shared" si="4"/>
        <v>46.95</v>
      </c>
      <c r="J66" s="193">
        <v>7.25</v>
      </c>
      <c r="K66" s="193">
        <v>2.72</v>
      </c>
      <c r="L66" s="193">
        <v>1.7</v>
      </c>
      <c r="M66" s="193">
        <v>7.11</v>
      </c>
      <c r="N66" s="193">
        <v>30.28</v>
      </c>
      <c r="O66" s="193">
        <v>7.7</v>
      </c>
      <c r="P66" s="193">
        <v>7.65</v>
      </c>
      <c r="Q66" s="193">
        <v>9.5</v>
      </c>
      <c r="R66" s="193">
        <v>7.5</v>
      </c>
      <c r="S66" s="225">
        <v>44673</v>
      </c>
      <c r="T66" s="196">
        <f>IFERROR(I66/J66,"N/A")</f>
        <v>6.475862068965518</v>
      </c>
      <c r="U66" s="197">
        <f>IFERROR(I66/N66,"N/A")</f>
        <v>1.5505284015852048</v>
      </c>
      <c r="V66" s="198">
        <f>IFERROR(L66/N66,"N/A")</f>
        <v>5.6142668428005284E-2</v>
      </c>
      <c r="W66" s="197">
        <f>IFERROR(L66/K66,"N/A")</f>
        <v>0.62499999999999989</v>
      </c>
      <c r="X66" s="197">
        <f>IFERROR(J66/M66,"N/A")</f>
        <v>1.0196905766526019</v>
      </c>
      <c r="Y66" s="198">
        <f>IFERROR(L66/I66,"N/A")</f>
        <v>3.6208732694355691E-2</v>
      </c>
      <c r="Z66" s="197">
        <f>IFERROR(O66/P66,"N/A")</f>
        <v>1.0065359477124183</v>
      </c>
      <c r="AA66" s="197">
        <f>IFERROR(Q66/R66,"N/A")</f>
        <v>1.2666666666666666</v>
      </c>
      <c r="AB66" s="197"/>
      <c r="AD66" s="199">
        <f t="shared" si="2"/>
        <v>160.66</v>
      </c>
    </row>
    <row r="67" spans="1:30" s="31" customFormat="1" ht="14.25" customHeight="1" x14ac:dyDescent="0.25">
      <c r="A67" s="31">
        <f t="shared" si="0"/>
        <v>1</v>
      </c>
      <c r="B67" s="31" t="str">
        <f t="shared" si="1"/>
        <v>E</v>
      </c>
      <c r="C67" s="31" t="s">
        <v>269</v>
      </c>
      <c r="D67" s="31" t="s">
        <v>37</v>
      </c>
      <c r="E67" s="31" t="str">
        <f>VLOOKUP(D67,'[6]MP-CF (WP)'!$B$4:$Y$81,2,FALSE)</f>
        <v xml:space="preserve">Sempra Energy                 </v>
      </c>
      <c r="F67" s="194">
        <v>15.4</v>
      </c>
      <c r="G67" s="193">
        <v>144.9</v>
      </c>
      <c r="H67" s="193">
        <v>114.7</v>
      </c>
      <c r="I67" s="196">
        <f t="shared" si="4"/>
        <v>129.80000000000001</v>
      </c>
      <c r="J67" s="193">
        <v>9.81</v>
      </c>
      <c r="K67" s="193">
        <v>4.01</v>
      </c>
      <c r="L67" s="193">
        <v>4.4000000000000004</v>
      </c>
      <c r="M67" s="193">
        <v>15.82</v>
      </c>
      <c r="N67" s="193">
        <v>79.17</v>
      </c>
      <c r="O67" s="193">
        <v>14.75</v>
      </c>
      <c r="P67" s="193">
        <v>16.05</v>
      </c>
      <c r="Q67" s="193">
        <v>19.5</v>
      </c>
      <c r="R67" s="193">
        <v>13.75</v>
      </c>
      <c r="S67" s="225">
        <v>44673</v>
      </c>
      <c r="T67" s="196">
        <f t="shared" si="5"/>
        <v>13.231396534148828</v>
      </c>
      <c r="U67" s="197">
        <f t="shared" si="6"/>
        <v>1.6395099153719845</v>
      </c>
      <c r="V67" s="198">
        <f t="shared" si="7"/>
        <v>5.5576607300745234E-2</v>
      </c>
      <c r="W67" s="197">
        <f t="shared" si="8"/>
        <v>1.0972568578553616</v>
      </c>
      <c r="X67" s="197">
        <f t="shared" si="9"/>
        <v>0.62010113780025289</v>
      </c>
      <c r="Y67" s="198">
        <f t="shared" si="10"/>
        <v>3.3898305084745763E-2</v>
      </c>
      <c r="Z67" s="197">
        <f t="shared" si="14"/>
        <v>0.9190031152647975</v>
      </c>
      <c r="AA67" s="197">
        <f t="shared" si="12"/>
        <v>1.4181818181818182</v>
      </c>
      <c r="AB67" s="197"/>
      <c r="AD67" s="199">
        <f t="shared" si="2"/>
        <v>388.21</v>
      </c>
    </row>
    <row r="68" spans="1:30" s="31" customFormat="1" ht="14.25" customHeight="1" x14ac:dyDescent="0.25">
      <c r="A68" s="31">
        <f t="shared" si="0"/>
        <v>1</v>
      </c>
      <c r="B68" s="31" t="str">
        <f t="shared" si="1"/>
        <v>E</v>
      </c>
      <c r="C68" s="31" t="s">
        <v>269</v>
      </c>
      <c r="D68" s="31" t="s">
        <v>45</v>
      </c>
      <c r="E68" s="31" t="str">
        <f>VLOOKUP(D68,'[6]MP-CF (WP)'!$B$4:$Y$81,2,FALSE)</f>
        <v xml:space="preserve">Xcel Energy Inc.              </v>
      </c>
      <c r="F68" s="195">
        <v>22.5</v>
      </c>
      <c r="G68" s="193">
        <v>72.900000000000006</v>
      </c>
      <c r="H68" s="193">
        <v>57.2</v>
      </c>
      <c r="I68" s="196">
        <f t="shared" si="4"/>
        <v>65.050000000000011</v>
      </c>
      <c r="J68" s="193">
        <v>7.08</v>
      </c>
      <c r="K68" s="193">
        <v>2.96</v>
      </c>
      <c r="L68" s="193">
        <v>1.83</v>
      </c>
      <c r="M68" s="193">
        <v>7.8</v>
      </c>
      <c r="N68" s="193">
        <v>28.7</v>
      </c>
      <c r="O68" s="193">
        <v>7.75</v>
      </c>
      <c r="P68" s="193">
        <v>9.65</v>
      </c>
      <c r="Q68" s="193">
        <v>10</v>
      </c>
      <c r="R68" s="193">
        <v>9</v>
      </c>
      <c r="S68" s="225">
        <v>44673</v>
      </c>
      <c r="T68" s="196">
        <f>IFERROR(I68/J68,"N/A")</f>
        <v>9.187853107344635</v>
      </c>
      <c r="U68" s="197">
        <f>IFERROR(I68/N68,"N/A")</f>
        <v>2.266550522648084</v>
      </c>
      <c r="V68" s="198">
        <f>IFERROR(L68/N68,"N/A")</f>
        <v>6.3763066202090601E-2</v>
      </c>
      <c r="W68" s="197">
        <f>IFERROR(L68/K68,"N/A")</f>
        <v>0.61824324324324331</v>
      </c>
      <c r="X68" s="197">
        <f>IFERROR(J68/M68,"N/A")</f>
        <v>0.90769230769230769</v>
      </c>
      <c r="Y68" s="198">
        <f>IFERROR(L68/I68,"N/A")</f>
        <v>2.8132205995388158E-2</v>
      </c>
      <c r="Z68" s="197">
        <f>IFERROR(O68/P68,"N/A")</f>
        <v>0.80310880829015541</v>
      </c>
      <c r="AA68" s="197">
        <f>IFERROR(Q68/R68,"N/A")</f>
        <v>1.1111111111111112</v>
      </c>
      <c r="AB68" s="197"/>
      <c r="AD68" s="199">
        <f t="shared" si="2"/>
        <v>200.97000000000006</v>
      </c>
    </row>
    <row r="69" spans="1:30" ht="14.25" customHeight="1" x14ac:dyDescent="0.25">
      <c r="A69">
        <f t="shared" si="0"/>
        <v>1</v>
      </c>
      <c r="B69" t="str">
        <f t="shared" si="1"/>
        <v>E</v>
      </c>
      <c r="C69" t="s">
        <v>269</v>
      </c>
      <c r="D69" s="31" t="s">
        <v>30</v>
      </c>
      <c r="E69" s="31" t="str">
        <f>VLOOKUP(D69,'[6]MP-CF (WP)'!$B$4:$Y$81,2,FALSE)</f>
        <v xml:space="preserve">PG&amp;E Corp.                    </v>
      </c>
      <c r="F69" s="226" t="s">
        <v>106</v>
      </c>
      <c r="G69" s="227" t="s">
        <v>106</v>
      </c>
      <c r="H69" s="227" t="s">
        <v>106</v>
      </c>
      <c r="I69" s="195" t="s">
        <v>106</v>
      </c>
      <c r="J69" s="227" t="s">
        <v>106</v>
      </c>
      <c r="K69" s="227" t="s">
        <v>106</v>
      </c>
      <c r="L69" s="227" t="s">
        <v>106</v>
      </c>
      <c r="M69" s="227" t="s">
        <v>106</v>
      </c>
      <c r="N69" s="227" t="s">
        <v>106</v>
      </c>
      <c r="O69" s="227" t="s">
        <v>106</v>
      </c>
      <c r="P69" s="227" t="s">
        <v>106</v>
      </c>
      <c r="Q69" s="227" t="s">
        <v>106</v>
      </c>
      <c r="R69" s="227" t="s">
        <v>106</v>
      </c>
      <c r="S69" s="246" t="s">
        <v>106</v>
      </c>
      <c r="T69" s="56" t="s">
        <v>106</v>
      </c>
      <c r="U69" s="247" t="s">
        <v>106</v>
      </c>
      <c r="V69" s="248" t="s">
        <v>106</v>
      </c>
      <c r="W69" s="247" t="s">
        <v>106</v>
      </c>
      <c r="X69" s="247" t="s">
        <v>106</v>
      </c>
      <c r="Y69" s="248" t="s">
        <v>106</v>
      </c>
      <c r="Z69" s="247" t="s">
        <v>106</v>
      </c>
      <c r="AA69" s="247" t="s">
        <v>106</v>
      </c>
      <c r="AB69" s="52"/>
      <c r="AD69" s="33">
        <f t="shared" si="2"/>
        <v>0</v>
      </c>
    </row>
    <row r="70" spans="1:30" ht="14.25" customHeight="1" x14ac:dyDescent="0.25">
      <c r="A70">
        <f t="shared" si="0"/>
        <v>1</v>
      </c>
      <c r="B70" t="str">
        <f t="shared" si="1"/>
        <v>E</v>
      </c>
      <c r="C70" t="s">
        <v>268</v>
      </c>
      <c r="D70" s="31" t="s">
        <v>36</v>
      </c>
      <c r="E70" s="31" t="str">
        <f>VLOOKUP(D70,'[6]MP-CF (WP)'!$B$4:$Y$81,2,FALSE)</f>
        <v xml:space="preserve">SCANA Corp.                   </v>
      </c>
      <c r="F70" s="226" t="s">
        <v>106</v>
      </c>
      <c r="G70" s="227" t="s">
        <v>106</v>
      </c>
      <c r="H70" s="227" t="s">
        <v>106</v>
      </c>
      <c r="I70" s="195" t="s">
        <v>106</v>
      </c>
      <c r="J70" s="227" t="s">
        <v>106</v>
      </c>
      <c r="K70" s="227" t="s">
        <v>106</v>
      </c>
      <c r="L70" s="227" t="s">
        <v>106</v>
      </c>
      <c r="M70" s="227" t="s">
        <v>106</v>
      </c>
      <c r="N70" s="227" t="s">
        <v>106</v>
      </c>
      <c r="O70" s="227" t="s">
        <v>106</v>
      </c>
      <c r="P70" s="227" t="s">
        <v>106</v>
      </c>
      <c r="Q70" s="227" t="s">
        <v>106</v>
      </c>
      <c r="R70" s="227" t="s">
        <v>106</v>
      </c>
      <c r="S70" s="246" t="s">
        <v>106</v>
      </c>
      <c r="T70" s="56" t="str">
        <f>IFERROR(I70/J70,"N/A")</f>
        <v>N/A</v>
      </c>
      <c r="U70" s="247" t="str">
        <f>IFERROR(I70/N70,"N/A")</f>
        <v>N/A</v>
      </c>
      <c r="V70" s="248" t="s">
        <v>106</v>
      </c>
      <c r="W70" s="247" t="s">
        <v>106</v>
      </c>
      <c r="X70" s="247" t="s">
        <v>106</v>
      </c>
      <c r="Y70" s="248" t="str">
        <f>IFERROR(L70/I70,"N/A")</f>
        <v>N/A</v>
      </c>
      <c r="Z70" s="247" t="s">
        <v>106</v>
      </c>
      <c r="AA70" s="247" t="s">
        <v>106</v>
      </c>
      <c r="AB70" s="52"/>
      <c r="AD70" s="33">
        <f t="shared" si="2"/>
        <v>0</v>
      </c>
    </row>
    <row r="71" spans="1:30" ht="14.25" customHeight="1" x14ac:dyDescent="0.25">
      <c r="A71" t="str">
        <f t="shared" si="0"/>
        <v/>
      </c>
      <c r="B71" t="str">
        <f t="shared" si="1"/>
        <v>W</v>
      </c>
      <c r="C71" t="s">
        <v>270</v>
      </c>
      <c r="D71" s="31"/>
      <c r="E71" s="31"/>
      <c r="F71" s="195"/>
      <c r="G71" s="195"/>
      <c r="H71" s="195"/>
      <c r="I71" s="196"/>
      <c r="J71" s="193"/>
      <c r="K71" s="193"/>
      <c r="L71" s="193"/>
      <c r="M71" s="193"/>
      <c r="N71" s="193"/>
      <c r="O71" s="193"/>
      <c r="P71" s="193"/>
      <c r="Q71" s="193"/>
      <c r="R71" s="193"/>
      <c r="S71" s="225"/>
      <c r="T71" s="196"/>
      <c r="U71" s="197"/>
      <c r="V71" s="197"/>
      <c r="W71" s="197"/>
      <c r="X71" s="197"/>
      <c r="Y71" s="198"/>
      <c r="Z71" s="197"/>
      <c r="AA71" s="197"/>
      <c r="AB71" s="52"/>
      <c r="AD71" s="33">
        <f t="shared" si="2"/>
        <v>0</v>
      </c>
    </row>
    <row r="72" spans="1:30" ht="14.25" customHeight="1" x14ac:dyDescent="0.25">
      <c r="A72" t="str">
        <f t="shared" si="0"/>
        <v/>
      </c>
      <c r="B72" t="str">
        <f t="shared" si="1"/>
        <v/>
      </c>
      <c r="D72" s="31"/>
      <c r="E72" s="31" t="e">
        <f>VLOOKUP(D72,'MP-CF (WP)'!$B$4:$Z$60,2,FALSE)</f>
        <v>#N/A</v>
      </c>
      <c r="F72" s="31"/>
      <c r="G72" s="31"/>
      <c r="H72" s="31"/>
      <c r="I72" s="196" t="str">
        <f>IFERROR(AVERAGE(G72:H72),"")</f>
        <v/>
      </c>
      <c r="J72" s="196"/>
      <c r="K72" s="196"/>
      <c r="L72" s="196"/>
      <c r="M72" s="196"/>
      <c r="N72" s="196"/>
      <c r="O72" s="193"/>
      <c r="P72" s="193"/>
      <c r="Q72" s="193"/>
      <c r="R72" s="193"/>
      <c r="S72" s="225"/>
      <c r="T72" s="196" t="str">
        <f t="shared" si="5"/>
        <v/>
      </c>
      <c r="U72" s="197" t="str">
        <f t="shared" si="6"/>
        <v/>
      </c>
      <c r="V72" s="197" t="str">
        <f t="shared" si="7"/>
        <v/>
      </c>
      <c r="W72" s="197" t="str">
        <f t="shared" si="8"/>
        <v/>
      </c>
      <c r="X72" s="197" t="str">
        <f t="shared" si="9"/>
        <v/>
      </c>
      <c r="Y72" s="198" t="str">
        <f t="shared" si="10"/>
        <v/>
      </c>
      <c r="Z72" s="197" t="str">
        <f t="shared" si="14"/>
        <v/>
      </c>
      <c r="AA72" s="197" t="str">
        <f t="shared" si="12"/>
        <v/>
      </c>
      <c r="AB72" s="52"/>
      <c r="AD72" s="33">
        <f t="shared" si="2"/>
        <v>0</v>
      </c>
    </row>
    <row r="73" spans="1:30" ht="14.25" customHeight="1" x14ac:dyDescent="0.25">
      <c r="A73" t="str">
        <f t="shared" si="0"/>
        <v/>
      </c>
      <c r="B73" t="str">
        <f t="shared" si="1"/>
        <v/>
      </c>
      <c r="D73" s="31"/>
      <c r="E73" s="31" t="e">
        <f>VLOOKUP(D73,'MP-CF (WP)'!$B$4:$Z$60,2,FALSE)</f>
        <v>#N/A</v>
      </c>
      <c r="F73" s="230"/>
      <c r="G73" s="230"/>
      <c r="H73" s="230"/>
      <c r="I73" s="196" t="str">
        <f>IFERROR(AVERAGE(G73:H73),"")</f>
        <v/>
      </c>
      <c r="J73" s="196"/>
      <c r="K73" s="196"/>
      <c r="L73" s="196"/>
      <c r="M73" s="196"/>
      <c r="N73" s="196"/>
      <c r="O73" s="193"/>
      <c r="P73" s="193"/>
      <c r="Q73" s="193"/>
      <c r="R73" s="193"/>
      <c r="S73" s="225"/>
      <c r="T73" s="196" t="str">
        <f t="shared" si="5"/>
        <v/>
      </c>
      <c r="U73" s="197" t="str">
        <f t="shared" si="6"/>
        <v/>
      </c>
      <c r="V73" s="197" t="str">
        <f t="shared" si="7"/>
        <v/>
      </c>
      <c r="W73" s="197" t="str">
        <f t="shared" si="8"/>
        <v/>
      </c>
      <c r="X73" s="197" t="str">
        <f t="shared" si="9"/>
        <v/>
      </c>
      <c r="Y73" s="198" t="str">
        <f t="shared" si="10"/>
        <v/>
      </c>
      <c r="Z73" s="197" t="str">
        <f t="shared" si="14"/>
        <v/>
      </c>
      <c r="AA73" s="197" t="str">
        <f t="shared" si="12"/>
        <v/>
      </c>
      <c r="AB73" s="52"/>
      <c r="AD73" s="33">
        <f t="shared" si="2"/>
        <v>0</v>
      </c>
    </row>
    <row r="74" spans="1:30" ht="14.25" customHeight="1" x14ac:dyDescent="0.25">
      <c r="D74" s="31"/>
      <c r="E74" s="31"/>
      <c r="F74" s="80"/>
      <c r="G74" s="80"/>
      <c r="H74" s="80"/>
      <c r="I74" s="196"/>
      <c r="J74" s="196"/>
      <c r="K74" s="196"/>
      <c r="L74" s="196"/>
      <c r="M74" s="196"/>
      <c r="N74" s="196"/>
      <c r="O74" s="193"/>
      <c r="P74" s="193"/>
      <c r="Q74" s="193"/>
      <c r="R74" s="193"/>
      <c r="S74" s="225"/>
      <c r="T74" s="196" t="str">
        <f t="shared" si="5"/>
        <v/>
      </c>
      <c r="U74" s="197" t="str">
        <f>IFERROR(I74/N74,"")</f>
        <v/>
      </c>
      <c r="V74" s="31"/>
      <c r="W74" s="229"/>
      <c r="X74" s="31"/>
      <c r="Y74" s="31"/>
      <c r="Z74" s="197" t="str">
        <f t="shared" si="14"/>
        <v/>
      </c>
      <c r="AA74" s="197" t="str">
        <f t="shared" si="12"/>
        <v/>
      </c>
      <c r="AB74" s="52"/>
      <c r="AD74" s="33"/>
    </row>
    <row r="75" spans="1:30" hidden="1" x14ac:dyDescent="0.25">
      <c r="D75" s="31"/>
      <c r="E75" s="31"/>
      <c r="F75" s="80"/>
      <c r="G75" s="80"/>
      <c r="H75" s="80"/>
      <c r="I75" s="31"/>
      <c r="J75" s="31"/>
      <c r="K75" s="31"/>
      <c r="L75" s="31"/>
      <c r="M75" s="31"/>
      <c r="N75" s="31"/>
      <c r="O75" s="31"/>
      <c r="P75" s="31"/>
      <c r="Q75" s="31"/>
      <c r="R75" s="31"/>
      <c r="T75" s="31"/>
      <c r="U75" s="31"/>
      <c r="V75" s="31"/>
      <c r="W75" s="229"/>
      <c r="X75" s="31"/>
      <c r="Y75" s="31"/>
      <c r="Z75" s="31"/>
      <c r="AA75" s="31"/>
    </row>
    <row r="76" spans="1:30" x14ac:dyDescent="0.25">
      <c r="D76" s="31"/>
      <c r="E76" s="31"/>
      <c r="F76" s="80"/>
      <c r="G76" s="80"/>
      <c r="H76" s="80"/>
      <c r="I76" s="31"/>
      <c r="J76" s="31"/>
      <c r="K76" s="31"/>
      <c r="L76" s="31"/>
      <c r="M76" s="31"/>
      <c r="N76" s="31"/>
      <c r="O76" s="31"/>
      <c r="P76" s="31"/>
      <c r="Q76" s="31"/>
      <c r="R76" s="31"/>
      <c r="T76" s="31"/>
      <c r="U76" s="31"/>
      <c r="V76" s="31"/>
      <c r="W76" s="31"/>
      <c r="X76" s="31"/>
      <c r="Y76" s="31"/>
      <c r="Z76" s="31"/>
      <c r="AA76" s="31"/>
    </row>
    <row r="77" spans="1:30" x14ac:dyDescent="0.25">
      <c r="C77" t="s">
        <v>339</v>
      </c>
      <c r="D77" s="31">
        <f>COUNTIFS($AD$9:$AD$73,"&gt;0")</f>
        <v>52</v>
      </c>
      <c r="E77" s="31" t="s">
        <v>340</v>
      </c>
      <c r="F77" s="80">
        <f>IFERROR(AVERAGEIFS(F$9:F$76,$AD$9:$AD$76,"&gt;0"),"N/A")</f>
        <v>21.551923076923082</v>
      </c>
      <c r="G77" s="80">
        <f>IFERROR(AVERAGEIFS(G$9:G$76,$AD$9:$AD$76,"&gt;0"),"N/A")</f>
        <v>77.13137254901963</v>
      </c>
      <c r="H77" s="80">
        <f>IFERROR(AVERAGEIFS(H$9:H$76,$AD$9:$AD$76,"&gt;0"),"N/A")</f>
        <v>57.807843137254892</v>
      </c>
      <c r="I77" s="196">
        <f>IFERROR(AVERAGE(G77:H77),"N/A")</f>
        <v>67.469607843137254</v>
      </c>
      <c r="J77" s="230">
        <f t="shared" ref="J77:R77" si="15">IFERROR(AVERAGEIFS(J$9:J$76,$AD$9:$AD$76,"&gt;0"),"N/A")</f>
        <v>6.9629411764705873</v>
      </c>
      <c r="K77" s="230">
        <f t="shared" si="15"/>
        <v>3.2088235294117649</v>
      </c>
      <c r="L77" s="230">
        <f t="shared" si="15"/>
        <v>2.0880392156862748</v>
      </c>
      <c r="M77" s="230">
        <f t="shared" si="15"/>
        <v>8.5984313725490189</v>
      </c>
      <c r="N77" s="230">
        <f t="shared" si="15"/>
        <v>34.943921568627445</v>
      </c>
      <c r="O77" s="230">
        <f t="shared" si="15"/>
        <v>7.2323529411764707</v>
      </c>
      <c r="P77" s="230">
        <f t="shared" si="15"/>
        <v>9.0009803921568636</v>
      </c>
      <c r="Q77" s="230">
        <f t="shared" si="15"/>
        <v>9.0137254901960802</v>
      </c>
      <c r="R77" s="230">
        <f t="shared" si="15"/>
        <v>9.461764705882354</v>
      </c>
      <c r="S77" s="196"/>
      <c r="T77" s="230">
        <f>IFERROR(AVERAGEIFS(T$9:T$76,$AD$9:$AD$76,"&gt;0"),"N/A")</f>
        <v>10.460906534889846</v>
      </c>
      <c r="U77" s="230">
        <f>IFERROR(AVERAGEIFS(U$9:U$76,$AD$9:$AD$76,"&gt;0"),"N/A")</f>
        <v>2.0542244948924417</v>
      </c>
      <c r="V77" s="230">
        <f>IFERROR(AVERAGEIFS(V$9:V$76,$AD$9:$AD$76,"&gt;0"),"N/A")</f>
        <v>6.205181390690611E-2</v>
      </c>
      <c r="W77" s="230">
        <f>IFERROR(AVERAGEIFS(W$9:W$76,$AD$9:$AD$76,"&gt;0"),"N/A")</f>
        <v>0.71485733822928332</v>
      </c>
      <c r="X77" s="230">
        <f>IFERROR(AVERAGEIFS(X$9:X$76,$AD$9:$AD$76,"&gt;0"),"N/A")</f>
        <v>0.86981702178072995</v>
      </c>
      <c r="Y77" s="230"/>
      <c r="Z77" s="230"/>
      <c r="AA77" s="230"/>
      <c r="AB77" s="80"/>
    </row>
    <row r="78" spans="1:30" x14ac:dyDescent="0.25">
      <c r="C78" t="s">
        <v>339</v>
      </c>
      <c r="D78">
        <f>COUNTIFS($AD$9:$AD$73,"&gt;0",$C$9:$C$73,E78)</f>
        <v>14</v>
      </c>
      <c r="E78" t="s">
        <v>342</v>
      </c>
      <c r="F78" s="80">
        <f t="shared" ref="F78:H80" si="16">IFERROR(AVERAGEIFS(F$9:F$73,$AD$9:$AD$73,"&gt;0",$C$9:$C$73,$E78),"N/A")</f>
        <v>20.485714285714288</v>
      </c>
      <c r="G78" s="80">
        <f t="shared" si="16"/>
        <v>77.961538461538467</v>
      </c>
      <c r="H78" s="80">
        <f t="shared" si="16"/>
        <v>58.746153846153852</v>
      </c>
      <c r="I78" s="2">
        <f t="shared" ref="I78:I84" si="17">IFERROR(AVERAGE(G78:H78),"N/A")</f>
        <v>68.353846153846163</v>
      </c>
      <c r="J78" s="80">
        <f t="shared" ref="J78:R80" si="18">IFERROR(AVERAGEIFS(J$9:J$73,$AD$9:$AD$73,"&gt;0",$C$9:$C$73,$E78),"N/A")</f>
        <v>8.0215384615384622</v>
      </c>
      <c r="K78" s="80">
        <f t="shared" si="18"/>
        <v>3.5607692307692314</v>
      </c>
      <c r="L78" s="80">
        <f t="shared" si="18"/>
        <v>2.2792307692307689</v>
      </c>
      <c r="M78" s="80">
        <f t="shared" si="18"/>
        <v>10.16076923076923</v>
      </c>
      <c r="N78" s="80">
        <f t="shared" si="18"/>
        <v>34.292307692307688</v>
      </c>
      <c r="O78" s="80">
        <f t="shared" si="18"/>
        <v>8.3961538461538474</v>
      </c>
      <c r="P78" s="80">
        <f t="shared" si="18"/>
        <v>9.5192307692307665</v>
      </c>
      <c r="Q78" s="80">
        <f t="shared" si="18"/>
        <v>10.384615384615385</v>
      </c>
      <c r="R78" s="80">
        <f t="shared" si="18"/>
        <v>10.26923076923077</v>
      </c>
      <c r="S78" s="196"/>
      <c r="T78" s="80">
        <f t="shared" ref="T78:X80" si="19">IFERROR(AVERAGEIFS(T$9:T$73,$AD$9:$AD$73,"&gt;0",$C$9:$C$73,$E78),"N/A")</f>
        <v>8.784803827625943</v>
      </c>
      <c r="U78" s="80">
        <f t="shared" si="19"/>
        <v>2.0229898892466598</v>
      </c>
      <c r="V78" s="80">
        <f t="shared" si="19"/>
        <v>6.641266325992666E-2</v>
      </c>
      <c r="W78" s="80">
        <f t="shared" si="19"/>
        <v>0.65690957626572899</v>
      </c>
      <c r="X78" s="80">
        <f t="shared" si="19"/>
        <v>0.90628497273867026</v>
      </c>
      <c r="Y78" s="80"/>
      <c r="Z78" s="80"/>
      <c r="AA78" s="80"/>
      <c r="AB78" s="80"/>
    </row>
    <row r="79" spans="1:30" x14ac:dyDescent="0.25">
      <c r="C79" t="s">
        <v>339</v>
      </c>
      <c r="D79">
        <f>COUNTIFS($AD$9:$AD$73,"&gt;0",$C$9:$C$73,E79)</f>
        <v>11</v>
      </c>
      <c r="E79" t="s">
        <v>268</v>
      </c>
      <c r="F79" s="80">
        <f t="shared" si="16"/>
        <v>22.936363636363637</v>
      </c>
      <c r="G79" s="80">
        <f t="shared" si="16"/>
        <v>71.236363636363635</v>
      </c>
      <c r="H79" s="80">
        <f t="shared" si="16"/>
        <v>55.663636363636371</v>
      </c>
      <c r="I79" s="2">
        <f t="shared" si="17"/>
        <v>63.45</v>
      </c>
      <c r="J79" s="80">
        <f t="shared" si="18"/>
        <v>6.7918181818181829</v>
      </c>
      <c r="K79" s="80">
        <f t="shared" si="18"/>
        <v>2.8281818181818181</v>
      </c>
      <c r="L79" s="80">
        <f t="shared" si="18"/>
        <v>2.2400000000000002</v>
      </c>
      <c r="M79" s="80">
        <f t="shared" si="18"/>
        <v>7.6000000000000005</v>
      </c>
      <c r="N79" s="80">
        <f t="shared" si="18"/>
        <v>34.93636363636363</v>
      </c>
      <c r="O79" s="80">
        <f t="shared" si="18"/>
        <v>6.8545454545454536</v>
      </c>
      <c r="P79" s="80">
        <f t="shared" si="18"/>
        <v>8.6499999999999986</v>
      </c>
      <c r="Q79" s="80">
        <f t="shared" si="18"/>
        <v>8.2181818181818187</v>
      </c>
      <c r="R79" s="80">
        <f t="shared" si="18"/>
        <v>8.8863636363636367</v>
      </c>
      <c r="S79" s="196"/>
      <c r="T79" s="80">
        <f t="shared" si="19"/>
        <v>10.433259179583896</v>
      </c>
      <c r="U79" s="80">
        <f t="shared" si="19"/>
        <v>2.0258939894852115</v>
      </c>
      <c r="V79" s="80">
        <f t="shared" si="19"/>
        <v>7.0706351183163207E-2</v>
      </c>
      <c r="W79" s="80">
        <f t="shared" si="19"/>
        <v>0.98340601681424034</v>
      </c>
      <c r="X79" s="80">
        <f t="shared" si="19"/>
        <v>0.90159606903829859</v>
      </c>
      <c r="Y79" s="80"/>
      <c r="Z79" s="80"/>
      <c r="AA79" s="80"/>
      <c r="AB79" s="80"/>
    </row>
    <row r="80" spans="1:30" x14ac:dyDescent="0.25">
      <c r="C80" t="s">
        <v>339</v>
      </c>
      <c r="D80">
        <f>COUNTIFS($AD$9:$AD$73,"&gt;0",$C$9:$C$73,E80)</f>
        <v>11</v>
      </c>
      <c r="E80" t="s">
        <v>269</v>
      </c>
      <c r="F80" s="80">
        <f t="shared" si="16"/>
        <v>19.418181818181818</v>
      </c>
      <c r="G80" s="80">
        <f t="shared" si="16"/>
        <v>75.509090909090915</v>
      </c>
      <c r="H80" s="80">
        <f t="shared" si="16"/>
        <v>58.145454545454555</v>
      </c>
      <c r="I80" s="2">
        <f t="shared" si="17"/>
        <v>66.827272727272742</v>
      </c>
      <c r="J80" s="80">
        <f t="shared" si="18"/>
        <v>7.6309090909090918</v>
      </c>
      <c r="K80" s="80">
        <f t="shared" si="18"/>
        <v>3.27</v>
      </c>
      <c r="L80" s="80">
        <f t="shared" si="18"/>
        <v>2.3327272727272725</v>
      </c>
      <c r="M80" s="80">
        <f t="shared" si="18"/>
        <v>9.327272727272728</v>
      </c>
      <c r="N80" s="80">
        <f t="shared" si="18"/>
        <v>40.308181818181815</v>
      </c>
      <c r="O80" s="80">
        <f t="shared" si="18"/>
        <v>8.3454545454545457</v>
      </c>
      <c r="P80" s="80">
        <f t="shared" si="18"/>
        <v>10.336363636363636</v>
      </c>
      <c r="Q80" s="80">
        <f t="shared" si="18"/>
        <v>10.340909090909092</v>
      </c>
      <c r="R80" s="80">
        <f t="shared" si="18"/>
        <v>9.6363636363636367</v>
      </c>
      <c r="S80" s="196"/>
      <c r="T80" s="80">
        <f t="shared" si="19"/>
        <v>8.7093348912586137</v>
      </c>
      <c r="U80" s="80">
        <f t="shared" si="19"/>
        <v>1.6824219335868158</v>
      </c>
      <c r="V80" s="80">
        <f t="shared" si="19"/>
        <v>5.7765732965228848E-2</v>
      </c>
      <c r="W80" s="80">
        <f t="shared" si="19"/>
        <v>0.73051699062767272</v>
      </c>
      <c r="X80" s="80">
        <f t="shared" si="19"/>
        <v>0.92390392504650476</v>
      </c>
      <c r="Y80" s="80"/>
      <c r="Z80" s="80"/>
      <c r="AA80" s="80"/>
      <c r="AB80" s="80"/>
    </row>
    <row r="81" spans="2:28" x14ac:dyDescent="0.25">
      <c r="C81" t="s">
        <v>339</v>
      </c>
      <c r="D81">
        <f>COUNTIFS($AD$9:$AD$73,"&gt;0",$B$9:$B$73,LEFT(E81,1))</f>
        <v>36</v>
      </c>
      <c r="E81" t="s">
        <v>344</v>
      </c>
      <c r="F81" s="80">
        <f t="shared" ref="F81:H82" si="20">IFERROR(AVERAGEIFS(F$9:F$73,$AD$9:$AD$73,"&gt;0",$B$9:$B$73,LEFT($E81,1)),"N/A")</f>
        <v>20.908333333333339</v>
      </c>
      <c r="G81" s="80">
        <f t="shared" si="20"/>
        <v>75.07714285714286</v>
      </c>
      <c r="H81" s="80">
        <f t="shared" si="20"/>
        <v>57.588571428571434</v>
      </c>
      <c r="I81" s="2">
        <f t="shared" si="17"/>
        <v>66.332857142857151</v>
      </c>
      <c r="J81" s="80">
        <f t="shared" ref="J81:R82" si="21">IFERROR(AVERAGEIFS(J$9:J$73,$AD$9:$AD$73,"&gt;0",$B$9:$B$73,LEFT($E81,1)),"N/A")</f>
        <v>7.5122857142857145</v>
      </c>
      <c r="K81" s="80">
        <f t="shared" si="21"/>
        <v>3.2391428571428564</v>
      </c>
      <c r="L81" s="80">
        <f t="shared" si="21"/>
        <v>2.2837142857142858</v>
      </c>
      <c r="M81" s="80">
        <f t="shared" si="21"/>
        <v>9.0939999999999994</v>
      </c>
      <c r="N81" s="80">
        <f t="shared" si="21"/>
        <v>36.385428571428577</v>
      </c>
      <c r="O81" s="80">
        <f t="shared" si="21"/>
        <v>7.8957142857142868</v>
      </c>
      <c r="P81" s="80">
        <f t="shared" si="21"/>
        <v>9.5028571428571436</v>
      </c>
      <c r="Q81" s="80">
        <f t="shared" si="21"/>
        <v>9.69</v>
      </c>
      <c r="R81" s="80">
        <f t="shared" si="21"/>
        <v>9.6357142857142861</v>
      </c>
      <c r="T81" s="80">
        <f t="shared" ref="T81:X82" si="22">IFERROR(AVERAGEIFS(T$9:T$73,$AD$9:$AD$73,"&gt;0",$B$9:$B$73,LEFT($E81,1)),"N/A")</f>
        <v>9.2791709868115646</v>
      </c>
      <c r="U81" s="80">
        <f t="shared" si="22"/>
        <v>1.9168669632571111</v>
      </c>
      <c r="V81" s="80">
        <f t="shared" si="22"/>
        <v>6.5044501371753119E-2</v>
      </c>
      <c r="W81" s="80">
        <f t="shared" si="22"/>
        <v>0.78265650209472892</v>
      </c>
      <c r="X81" s="80">
        <f t="shared" si="22"/>
        <v>0.91034870230101572</v>
      </c>
      <c r="Y81" s="80"/>
      <c r="Z81" s="80"/>
      <c r="AA81" s="80"/>
      <c r="AB81" s="80"/>
    </row>
    <row r="82" spans="2:28" x14ac:dyDescent="0.25">
      <c r="C82" t="s">
        <v>339</v>
      </c>
      <c r="D82">
        <f>COUNTIFS($AD$9:$AD$73,"&gt;0",$B$9:$B$73,LEFT(E82,1))</f>
        <v>10</v>
      </c>
      <c r="E82" t="s">
        <v>271</v>
      </c>
      <c r="F82" s="80">
        <f t="shared" si="20"/>
        <v>17.520000000000003</v>
      </c>
      <c r="G82" s="80">
        <f t="shared" si="20"/>
        <v>69.150000000000006</v>
      </c>
      <c r="H82" s="80">
        <f t="shared" si="20"/>
        <v>51.430000000000007</v>
      </c>
      <c r="I82" s="2">
        <f t="shared" si="17"/>
        <v>60.290000000000006</v>
      </c>
      <c r="J82" s="80">
        <f t="shared" si="21"/>
        <v>6.2880000000000011</v>
      </c>
      <c r="K82" s="80">
        <f t="shared" si="21"/>
        <v>3.3049999999999997</v>
      </c>
      <c r="L82" s="80">
        <f t="shared" si="21"/>
        <v>1.8370000000000004</v>
      </c>
      <c r="M82" s="80">
        <f t="shared" si="21"/>
        <v>8.4270000000000014</v>
      </c>
      <c r="N82" s="80">
        <f t="shared" si="21"/>
        <v>35.220000000000006</v>
      </c>
      <c r="O82" s="80">
        <f t="shared" si="21"/>
        <v>6.67</v>
      </c>
      <c r="P82" s="80">
        <f t="shared" si="21"/>
        <v>9.0299999999999994</v>
      </c>
      <c r="Q82" s="80">
        <f t="shared" si="21"/>
        <v>8.85</v>
      </c>
      <c r="R82" s="80">
        <f t="shared" si="21"/>
        <v>10.554999999999998</v>
      </c>
      <c r="T82" s="80">
        <f t="shared" si="22"/>
        <v>9.5759485638742809</v>
      </c>
      <c r="U82" s="80">
        <f t="shared" si="22"/>
        <v>1.7468078177240198</v>
      </c>
      <c r="V82" s="80">
        <f t="shared" si="22"/>
        <v>5.687153576660986E-2</v>
      </c>
      <c r="W82" s="80">
        <f t="shared" si="22"/>
        <v>0.5877833854116814</v>
      </c>
      <c r="X82" s="80">
        <f t="shared" si="22"/>
        <v>0.77180855517059788</v>
      </c>
      <c r="Y82" s="80"/>
      <c r="Z82" s="80"/>
      <c r="AA82" s="80"/>
      <c r="AB82" s="80"/>
    </row>
    <row r="83" spans="2:28" x14ac:dyDescent="0.25">
      <c r="C83" t="s">
        <v>339</v>
      </c>
      <c r="D83" s="79">
        <f>COUNTIFS($AD$9:$AD$73,"&gt;0",$A$9:$A$73,1)</f>
        <v>46</v>
      </c>
      <c r="E83" t="s">
        <v>341</v>
      </c>
      <c r="F83" s="80">
        <f>IFERROR(AVERAGEIFS(F$9:F$73,$AD$9:$AD$73,"&gt;0",$A$9:$A$73,1),"N/A")</f>
        <v>20.171739130434787</v>
      </c>
      <c r="G83" s="80">
        <f>IFERROR(AVERAGEIFS(G$9:G$73,$AD$9:$AD$73,"&gt;0",$A$9:$A$73,1),"N/A")</f>
        <v>73.760000000000005</v>
      </c>
      <c r="H83" s="80">
        <f>IFERROR(AVERAGEIFS(H$9:H$73,$AD$9:$AD$73,"&gt;0",$A$9:$A$73,1),"N/A")</f>
        <v>56.220000000000013</v>
      </c>
      <c r="I83" s="2">
        <f t="shared" si="17"/>
        <v>64.990000000000009</v>
      </c>
      <c r="J83" s="80">
        <f t="shared" ref="J83:R83" si="23">IFERROR(AVERAGEIFS(J$9:J$73,$AD$9:$AD$73,"&gt;0",$A$9:$A$73,1),"N/A")</f>
        <v>7.2402222222222212</v>
      </c>
      <c r="K83" s="80">
        <f t="shared" si="23"/>
        <v>3.2537777777777777</v>
      </c>
      <c r="L83" s="80">
        <f t="shared" si="23"/>
        <v>2.1844444444444449</v>
      </c>
      <c r="M83" s="80">
        <f t="shared" si="23"/>
        <v>8.9457777777777778</v>
      </c>
      <c r="N83" s="80">
        <f t="shared" si="23"/>
        <v>36.126444444444438</v>
      </c>
      <c r="O83" s="80">
        <f t="shared" si="23"/>
        <v>7.623333333333334</v>
      </c>
      <c r="P83" s="80">
        <f t="shared" si="23"/>
        <v>9.3977777777777778</v>
      </c>
      <c r="Q83" s="80">
        <f t="shared" si="23"/>
        <v>9.5033333333333339</v>
      </c>
      <c r="R83" s="80">
        <f t="shared" si="23"/>
        <v>9.84</v>
      </c>
      <c r="T83" s="80">
        <f>IFERROR(AVERAGEIFS(T$9:T$73,$AD$9:$AD$73,"&gt;0",$A$9:$A$73,1),"N/A")</f>
        <v>9.3451215594921688</v>
      </c>
      <c r="U83" s="120">
        <f>IFERROR(AVERAGEIFS(U$9:U$73,$AD$9:$AD$73,"&gt;0",$A$9:$A$73,1),"N/A")</f>
        <v>1.879076042027535</v>
      </c>
      <c r="V83" s="80">
        <f>IFERROR(AVERAGEIFS(V$9:V$73,$AD$9:$AD$73,"&gt;0",$A$9:$A$73,1),"N/A")</f>
        <v>6.3228286792832392E-2</v>
      </c>
      <c r="W83" s="80">
        <f>IFERROR(AVERAGEIFS(W$9:W$73,$AD$9:$AD$73,"&gt;0",$A$9:$A$73,1),"N/A")</f>
        <v>0.73935136505405175</v>
      </c>
      <c r="X83" s="80">
        <f>IFERROR(AVERAGEIFS(X$9:X$73,$AD$9:$AD$73,"&gt;0",$A$9:$A$73,1),"N/A")</f>
        <v>0.87956200293870046</v>
      </c>
      <c r="Y83" s="80"/>
      <c r="Z83" s="80"/>
      <c r="AA83" s="80"/>
      <c r="AB83" s="80"/>
    </row>
    <row r="84" spans="2:28" x14ac:dyDescent="0.25">
      <c r="C84" t="s">
        <v>339</v>
      </c>
      <c r="D84">
        <f>COUNTIFS($AD$9:$AD$73,"&gt;0",$B$9:$B$73,LEFT(E84,1))</f>
        <v>6</v>
      </c>
      <c r="E84" t="s">
        <v>270</v>
      </c>
      <c r="F84" s="80">
        <f>IFERROR(AVERAGEIFS(F$9:F$73,$AD$9:$AD$73,"&gt;0",$B$9:$B$73,LEFT($E84,1)),"N/A")</f>
        <v>32.133333333333333</v>
      </c>
      <c r="G84" s="80">
        <f>IFERROR(AVERAGEIFS(G$9:G$73,$AD$9:$AD$73,"&gt;0",$B$9:$B$73,LEFT($E84,1)),"N/A")</f>
        <v>102.41666666666667</v>
      </c>
      <c r="H84" s="80">
        <f>IFERROR(AVERAGEIFS(H$9:H$73,$AD$9:$AD$73,"&gt;0",$B$9:$B$73,LEFT($E84,1)),"N/A")</f>
        <v>69.716666666666654</v>
      </c>
      <c r="I84" s="2">
        <f t="shared" si="17"/>
        <v>86.066666666666663</v>
      </c>
      <c r="J84" s="80">
        <f t="shared" ref="J84:R84" si="24">IFERROR(AVERAGEIFS(J$9:J$73,$AD$9:$AD$73,"&gt;0",$B$9:$B$73,LEFT($E84,1)),"N/A")</f>
        <v>4.8833333333333337</v>
      </c>
      <c r="K84" s="80">
        <f t="shared" si="24"/>
        <v>2.8716666666666666</v>
      </c>
      <c r="L84" s="80">
        <f t="shared" si="24"/>
        <v>1.365</v>
      </c>
      <c r="M84" s="80">
        <f t="shared" si="24"/>
        <v>5.9933333333333332</v>
      </c>
      <c r="N84" s="80">
        <f t="shared" si="24"/>
        <v>26.074999999999999</v>
      </c>
      <c r="O84" s="80">
        <f t="shared" si="24"/>
        <v>4.3</v>
      </c>
      <c r="P84" s="80">
        <f t="shared" si="24"/>
        <v>6.0249999999999995</v>
      </c>
      <c r="Q84" s="80">
        <f t="shared" si="24"/>
        <v>5.3416666666666677</v>
      </c>
      <c r="R84" s="80">
        <f t="shared" si="24"/>
        <v>6.625</v>
      </c>
      <c r="T84" s="80">
        <f>IFERROR(AVERAGEIFS(T$9:T$73,$AD$9:$AD$73,"&gt;0",$B$9:$B$73,LEFT($E84,1)),"N/A")</f>
        <v>18.829293850372434</v>
      </c>
      <c r="U84" s="80">
        <f>IFERROR(AVERAGEIFS(U$9:U$73,$AD$9:$AD$73,"&gt;0",$B$9:$B$73,LEFT($E84,1)),"N/A")</f>
        <v>3.3678378913792515</v>
      </c>
      <c r="V84" s="80">
        <f>IFERROR(AVERAGEIFS(V$9:V$73,$AD$9:$AD$73,"&gt;0",$B$9:$B$73,LEFT($E84,1)),"N/A")</f>
        <v>5.322826726245905E-2</v>
      </c>
      <c r="W84" s="80">
        <f>IFERROR(AVERAGEIFS(W$9:W$73,$AD$9:$AD$73,"&gt;0",$B$9:$B$73,LEFT($E84,1)),"N/A")</f>
        <v>0.53115213704351849</v>
      </c>
      <c r="X84" s="80">
        <f>IFERROR(AVERAGEIFS(X$9:X$73,$AD$9:$AD$73,"&gt;0",$B$9:$B$73,LEFT($E84,1)),"N/A")</f>
        <v>0.79672966309595228</v>
      </c>
      <c r="Y84" s="80"/>
      <c r="Z84" s="80"/>
      <c r="AA84" s="80"/>
      <c r="AB84" s="80"/>
    </row>
    <row r="88" spans="2:28" x14ac:dyDescent="0.25">
      <c r="B88" s="68" t="s">
        <v>108</v>
      </c>
      <c r="C88" t="s">
        <v>407</v>
      </c>
    </row>
  </sheetData>
  <autoFilter ref="A8:AK74"/>
  <mergeCells count="1">
    <mergeCell ref="G5:I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N66"/>
  <sheetViews>
    <sheetView view="pageLayout" topLeftCell="C1" zoomScale="80" zoomScaleNormal="70" zoomScalePageLayoutView="80" workbookViewId="0">
      <selection activeCell="V2" sqref="V2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9765625" customWidth="1"/>
    <col min="6" max="24" width="9" customWidth="1"/>
    <col min="25" max="25" width="9.19921875" hidden="1" customWidth="1"/>
    <col min="26" max="27" width="8.69921875" hidden="1" customWidth="1"/>
    <col min="28" max="28" width="0" hidden="1" customWidth="1"/>
    <col min="31" max="31" width="9.3984375" bestFit="1" customWidth="1"/>
    <col min="32" max="32" width="9.8984375" bestFit="1" customWidth="1"/>
  </cols>
  <sheetData>
    <row r="1" spans="1:40" ht="28.2" x14ac:dyDescent="0.5">
      <c r="C1" s="277" t="str">
        <f>ElectricU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122"/>
    </row>
    <row r="2" spans="1:40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</row>
    <row r="3" spans="1:40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</row>
    <row r="4" spans="1:40" ht="21" x14ac:dyDescent="0.4">
      <c r="C4" s="278" t="s">
        <v>272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123"/>
    </row>
    <row r="5" spans="1:40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124"/>
    </row>
    <row r="6" spans="1:40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40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40" ht="16.2" x14ac:dyDescent="0.25">
      <c r="C8" s="6"/>
      <c r="D8" s="7"/>
      <c r="E8" s="7"/>
      <c r="F8" s="280" t="s">
        <v>376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191"/>
      <c r="AG8" s="183"/>
    </row>
    <row r="9" spans="1:40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109">
        <v>2017</v>
      </c>
      <c r="L9" s="109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183"/>
      <c r="Z9" s="183">
        <v>2017</v>
      </c>
      <c r="AA9" s="183">
        <v>2017</v>
      </c>
      <c r="AB9" s="183"/>
      <c r="AC9" s="183"/>
      <c r="AD9" s="183"/>
      <c r="AE9" s="183"/>
      <c r="AF9" s="7"/>
      <c r="AG9" s="183"/>
      <c r="AH9" s="183"/>
      <c r="AI9" s="183"/>
      <c r="AJ9" s="183"/>
      <c r="AK9" s="183"/>
      <c r="AL9" s="183"/>
      <c r="AM9" s="183"/>
      <c r="AN9" s="183"/>
    </row>
    <row r="10" spans="1:40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10" t="s">
        <v>564</v>
      </c>
      <c r="H10" s="10" t="s">
        <v>565</v>
      </c>
      <c r="I10" s="10" t="s">
        <v>541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/>
      <c r="Z10" s="40" t="s">
        <v>443</v>
      </c>
      <c r="AA10" s="40" t="s">
        <v>445</v>
      </c>
      <c r="AB10" s="40" t="s">
        <v>445</v>
      </c>
      <c r="AC10" s="40"/>
      <c r="AD10" s="40"/>
      <c r="AE10" s="40"/>
      <c r="AF10" s="185"/>
      <c r="AG10" s="40"/>
      <c r="AH10" s="40"/>
      <c r="AI10" s="40"/>
      <c r="AJ10" s="40"/>
      <c r="AK10" s="40"/>
      <c r="AL10" s="40"/>
      <c r="AM10" s="40"/>
      <c r="AN10" s="40"/>
    </row>
    <row r="11" spans="1:40" x14ac:dyDescent="0.25">
      <c r="A11" s="41"/>
      <c r="B11" s="41"/>
      <c r="C11" s="9"/>
      <c r="D11" s="121"/>
      <c r="E11" s="121"/>
      <c r="F11" s="12">
        <f>-1</f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X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/>
      <c r="Z11" s="12"/>
      <c r="AA11" s="12"/>
      <c r="AB11" s="12"/>
      <c r="AC11" s="12"/>
      <c r="AD11" s="12"/>
      <c r="AE11" s="12"/>
      <c r="AF11" s="12"/>
    </row>
    <row r="12" spans="1:40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126">
        <f t="shared" ref="J12:X12" ca="1" si="1">MATCH(J10,OFFSET(Dividends,-2,0,1,),0)</f>
        <v>2</v>
      </c>
      <c r="K12" s="126">
        <f t="shared" ca="1" si="1"/>
        <v>3</v>
      </c>
      <c r="L12" s="126">
        <f t="shared" ca="1" si="1"/>
        <v>4</v>
      </c>
      <c r="M12" s="126">
        <f t="shared" ca="1" si="1"/>
        <v>5</v>
      </c>
      <c r="N12" s="126">
        <f t="shared" ca="1" si="1"/>
        <v>6</v>
      </c>
      <c r="O12" s="126">
        <f t="shared" ca="1" si="1"/>
        <v>7</v>
      </c>
      <c r="P12" s="126">
        <f t="shared" ca="1" si="1"/>
        <v>8</v>
      </c>
      <c r="Q12" s="126">
        <f t="shared" ca="1" si="1"/>
        <v>9</v>
      </c>
      <c r="R12" s="126">
        <f t="shared" ca="1" si="1"/>
        <v>10</v>
      </c>
      <c r="S12" s="126">
        <f t="shared" ca="1" si="1"/>
        <v>11</v>
      </c>
      <c r="T12" s="126">
        <f t="shared" ca="1" si="1"/>
        <v>12</v>
      </c>
      <c r="U12" s="126">
        <f t="shared" ca="1" si="1"/>
        <v>13</v>
      </c>
      <c r="V12" s="126">
        <f t="shared" ca="1" si="1"/>
        <v>14</v>
      </c>
      <c r="W12" s="126">
        <f t="shared" ca="1" si="1"/>
        <v>15</v>
      </c>
      <c r="X12" s="126">
        <f t="shared" ca="1" si="1"/>
        <v>16</v>
      </c>
      <c r="Y12" s="16"/>
      <c r="Z12" s="16"/>
      <c r="AA12" s="16"/>
      <c r="AB12" s="16"/>
      <c r="AC12" s="16"/>
      <c r="AD12" s="16"/>
      <c r="AE12" s="16"/>
      <c r="AF12" s="16"/>
    </row>
    <row r="13" spans="1:40" x14ac:dyDescent="0.25">
      <c r="A13" s="44" t="s">
        <v>0</v>
      </c>
      <c r="B13" s="110">
        <f t="shared" ref="B13:B57" ca="1" si="2">IFERROR(MATCH(A13,OFFSET(Dividends,0,0,,1),0),"")</f>
        <v>3</v>
      </c>
      <c r="C13" s="1">
        <f>IF(ISERROR(D13),"",IF(D13="","",MAX($C$12:C12)+1))</f>
        <v>1</v>
      </c>
      <c r="D13" t="str">
        <f t="shared" ref="D13:D57" si="3">VLOOKUP(A13,LUCurYr,2,FALSE)</f>
        <v xml:space="preserve">ALLETE                        </v>
      </c>
      <c r="E13" s="15"/>
      <c r="F13" s="125">
        <f ca="1">IFERROR(AVERAGE(G13:X13),"N/A")</f>
        <v>2.0522222222222224</v>
      </c>
      <c r="G13" s="125">
        <f t="shared" ref="G13:G53" si="4">IFERROR(IF(VLOOKUP($A13,Data2023,10,FALSE)=0,"",VLOOKUP($A13,Data2023,10,FALSE)),"N/A")</f>
        <v>2.71</v>
      </c>
      <c r="H13" s="125">
        <f t="shared" ref="H13:H57" si="5">IFERROR(IF(VLOOKUP($A13,Data2022,9,FALSE)=0,"",VLOOKUP($A13,Data2022,9,FALSE)),"N/A")</f>
        <v>2.6</v>
      </c>
      <c r="I13" s="125">
        <f t="shared" ref="I13:I57" si="6">IFERROR(IF(VLOOKUP(A13,lucyyr,9,FALSE)=0,"",VLOOKUP(A13,lucyyr,9,FALSE)),"N/A")</f>
        <v>2.52</v>
      </c>
      <c r="J13" s="125">
        <f t="shared" ref="J13:X28" ca="1" si="7">IFERROR(IF(INDEX(Dividends,$B13,J$12)=0,"N/A",INDEX(Dividends,$B13,J$12)),"N/A")</f>
        <v>2.4700000000000002</v>
      </c>
      <c r="K13" s="125">
        <f t="shared" ca="1" si="7"/>
        <v>2.35</v>
      </c>
      <c r="L13" s="125">
        <f t="shared" ca="1" si="7"/>
        <v>2.2400000000000002</v>
      </c>
      <c r="M13" s="125">
        <f t="shared" ca="1" si="7"/>
        <v>2.14</v>
      </c>
      <c r="N13" s="125">
        <f t="shared" ca="1" si="7"/>
        <v>2.08</v>
      </c>
      <c r="O13" s="125">
        <f t="shared" ca="1" si="7"/>
        <v>2.02</v>
      </c>
      <c r="P13" s="125">
        <f t="shared" ca="1" si="7"/>
        <v>1.96</v>
      </c>
      <c r="Q13" s="125">
        <f t="shared" ca="1" si="7"/>
        <v>1.9</v>
      </c>
      <c r="R13" s="125">
        <f t="shared" ca="1" si="7"/>
        <v>1.84</v>
      </c>
      <c r="S13" s="125">
        <f t="shared" ca="1" si="7"/>
        <v>1.78</v>
      </c>
      <c r="T13" s="125">
        <f t="shared" ca="1" si="7"/>
        <v>1.76</v>
      </c>
      <c r="U13" s="125">
        <f t="shared" ca="1" si="7"/>
        <v>1.76</v>
      </c>
      <c r="V13" s="125">
        <f t="shared" ca="1" si="7"/>
        <v>1.72</v>
      </c>
      <c r="W13" s="125">
        <f t="shared" ca="1" si="7"/>
        <v>1.64</v>
      </c>
      <c r="X13" s="125">
        <f t="shared" ca="1" si="7"/>
        <v>1.45</v>
      </c>
      <c r="Z13" s="77" t="str">
        <f t="shared" ref="Z13:Z36" ca="1" si="8">IFERROR(IF(M13&gt;0,((M13/VLOOKUP(A13,$A$13:$X$53,BC13,0))^(1/(AD13)))-1,"N/A"),"N/A")</f>
        <v>N/A</v>
      </c>
      <c r="AA13" s="125" t="e">
        <f ca="1">+X13*(1+Z13)^11</f>
        <v>#VALUE!</v>
      </c>
      <c r="AB13" s="77" t="e">
        <f ca="1">ROUND(AA13,10)=ROUND(M13,10)</f>
        <v>#VALUE!</v>
      </c>
      <c r="AC13" s="77"/>
      <c r="AD13" s="184"/>
      <c r="AE13" s="181"/>
      <c r="AF13" s="190"/>
      <c r="AG13" s="186"/>
      <c r="AH13" s="187"/>
      <c r="AI13" s="187"/>
      <c r="AJ13" s="188"/>
      <c r="AK13" s="188"/>
      <c r="AL13" s="188"/>
      <c r="AM13" s="188"/>
      <c r="AN13" s="188"/>
    </row>
    <row r="14" spans="1:40" x14ac:dyDescent="0.25">
      <c r="A14" s="44" t="s">
        <v>1</v>
      </c>
      <c r="B14" s="110">
        <f t="shared" ca="1" si="2"/>
        <v>4</v>
      </c>
      <c r="C14" s="1">
        <f>IF(ISERROR(D14),"",IF(D14="","",MAX($C$12:C13)+1))</f>
        <v>2</v>
      </c>
      <c r="D14" t="str">
        <f t="shared" si="3"/>
        <v xml:space="preserve">Alliant Energy                </v>
      </c>
      <c r="E14" s="15"/>
      <c r="F14" s="125">
        <f t="shared" ref="F14:F57" ca="1" si="9">IFERROR(AVERAGE(G14:X14),"N/A")</f>
        <v>1.1172222222222221</v>
      </c>
      <c r="G14" s="125">
        <f t="shared" si="4"/>
        <v>1.81</v>
      </c>
      <c r="H14" s="125">
        <f t="shared" si="5"/>
        <v>1.71</v>
      </c>
      <c r="I14" s="125">
        <f t="shared" si="6"/>
        <v>1.61</v>
      </c>
      <c r="J14" s="125">
        <f t="shared" ca="1" si="7"/>
        <v>1.52</v>
      </c>
      <c r="K14" s="125">
        <f t="shared" ca="1" si="7"/>
        <v>1.42</v>
      </c>
      <c r="L14" s="125">
        <f t="shared" ca="1" si="7"/>
        <v>1.34</v>
      </c>
      <c r="M14" s="125">
        <f t="shared" ca="1" si="7"/>
        <v>1.26</v>
      </c>
      <c r="N14" s="125">
        <f t="shared" ca="1" si="7"/>
        <v>1.18</v>
      </c>
      <c r="O14" s="125">
        <f t="shared" ca="1" si="7"/>
        <v>1.1000000000000001</v>
      </c>
      <c r="P14" s="125">
        <f t="shared" ca="1" si="7"/>
        <v>1.02</v>
      </c>
      <c r="Q14" s="125">
        <f t="shared" ca="1" si="7"/>
        <v>0.94</v>
      </c>
      <c r="R14" s="125">
        <f t="shared" ca="1" si="7"/>
        <v>0.9</v>
      </c>
      <c r="S14" s="125">
        <f t="shared" ca="1" si="7"/>
        <v>0.85</v>
      </c>
      <c r="T14" s="125">
        <f t="shared" ca="1" si="7"/>
        <v>0.79</v>
      </c>
      <c r="U14" s="125">
        <f t="shared" ca="1" si="7"/>
        <v>0.75</v>
      </c>
      <c r="V14" s="125">
        <f t="shared" ca="1" si="7"/>
        <v>0.7</v>
      </c>
      <c r="W14" s="125">
        <f t="shared" ca="1" si="7"/>
        <v>0.63500000000000001</v>
      </c>
      <c r="X14" s="125">
        <f t="shared" ca="1" si="7"/>
        <v>0.57499999999999996</v>
      </c>
      <c r="Z14" s="77" t="str">
        <f t="shared" ca="1" si="8"/>
        <v>N/A</v>
      </c>
      <c r="AA14" s="125" t="e">
        <f t="shared" ref="AA14:AA57" ca="1" si="10">+X14*(1+Z14)^11</f>
        <v>#VALUE!</v>
      </c>
      <c r="AB14" s="77" t="e">
        <f t="shared" ref="AB14:AB57" ca="1" si="11">ROUND(AA14,10)=ROUND(M14,10)</f>
        <v>#VALUE!</v>
      </c>
      <c r="AC14" s="77"/>
      <c r="AD14" s="184"/>
      <c r="AE14" s="181"/>
      <c r="AF14" s="190"/>
      <c r="AG14" s="186"/>
      <c r="AH14" s="187"/>
      <c r="AI14" s="187"/>
      <c r="AJ14" s="188"/>
    </row>
    <row r="15" spans="1:40" x14ac:dyDescent="0.25">
      <c r="A15" s="44" t="s">
        <v>3</v>
      </c>
      <c r="B15" s="110">
        <f t="shared" ca="1" si="2"/>
        <v>8</v>
      </c>
      <c r="C15" s="1">
        <f>IF(ISERROR(D15),"",IF(D15="","",MAX($C$12:C14)+1))</f>
        <v>3</v>
      </c>
      <c r="D15" t="str">
        <f t="shared" si="3"/>
        <v xml:space="preserve">Ameren Corp.                  </v>
      </c>
      <c r="E15" s="15"/>
      <c r="F15" s="125">
        <f t="shared" ca="1" si="9"/>
        <v>1.9478333333333333</v>
      </c>
      <c r="G15" s="125">
        <f t="shared" si="4"/>
        <v>2.52</v>
      </c>
      <c r="H15" s="125">
        <f t="shared" si="5"/>
        <v>2.36</v>
      </c>
      <c r="I15" s="125">
        <f t="shared" si="6"/>
        <v>2.2000000000000002</v>
      </c>
      <c r="J15" s="125">
        <f t="shared" ca="1" si="7"/>
        <v>2</v>
      </c>
      <c r="K15" s="125">
        <f t="shared" ca="1" si="7"/>
        <v>1.92</v>
      </c>
      <c r="L15" s="125">
        <f t="shared" ca="1" si="7"/>
        <v>1.8480000000000001</v>
      </c>
      <c r="M15" s="125">
        <f t="shared" ca="1" si="7"/>
        <v>1.778</v>
      </c>
      <c r="N15" s="125">
        <f t="shared" ca="1" si="7"/>
        <v>1.7150000000000001</v>
      </c>
      <c r="O15" s="125">
        <f t="shared" ca="1" si="7"/>
        <v>1.655</v>
      </c>
      <c r="P15" s="125">
        <f t="shared" ca="1" si="7"/>
        <v>1.61</v>
      </c>
      <c r="Q15" s="125">
        <f t="shared" ca="1" si="7"/>
        <v>1.6</v>
      </c>
      <c r="R15" s="125">
        <f t="shared" ca="1" si="7"/>
        <v>1.6</v>
      </c>
      <c r="S15" s="125">
        <f t="shared" ca="1" si="7"/>
        <v>1.5549999999999999</v>
      </c>
      <c r="T15" s="125">
        <f t="shared" ca="1" si="7"/>
        <v>1.54</v>
      </c>
      <c r="U15" s="125">
        <f t="shared" ca="1" si="7"/>
        <v>1.54</v>
      </c>
      <c r="V15" s="125">
        <f t="shared" ca="1" si="7"/>
        <v>2.54</v>
      </c>
      <c r="W15" s="125">
        <f t="shared" ca="1" si="7"/>
        <v>2.54</v>
      </c>
      <c r="X15" s="125">
        <f t="shared" ca="1" si="7"/>
        <v>2.54</v>
      </c>
      <c r="Z15" s="77" t="str">
        <f t="shared" ca="1" si="8"/>
        <v>N/A</v>
      </c>
      <c r="AA15" s="125" t="e">
        <f t="shared" ca="1" si="10"/>
        <v>#VALUE!</v>
      </c>
      <c r="AB15" s="77" t="e">
        <f t="shared" ca="1" si="11"/>
        <v>#VALUE!</v>
      </c>
      <c r="AC15" s="77"/>
      <c r="AD15" s="184"/>
      <c r="AE15" s="181"/>
      <c r="AF15" s="190"/>
      <c r="AG15" s="186"/>
      <c r="AH15" s="187"/>
      <c r="AI15" s="187"/>
      <c r="AJ15" s="188"/>
      <c r="AM15" s="188"/>
    </row>
    <row r="16" spans="1:40" x14ac:dyDescent="0.25">
      <c r="A16" s="44" t="s">
        <v>2</v>
      </c>
      <c r="B16" s="110">
        <f t="shared" ca="1" si="2"/>
        <v>5</v>
      </c>
      <c r="C16" s="1">
        <f>IF(ISERROR(D16),"",IF(D16="","",MAX($C$12:C15)+1))</f>
        <v>4</v>
      </c>
      <c r="D16" t="str">
        <f t="shared" si="3"/>
        <v>American Electric Power</v>
      </c>
      <c r="E16" s="15"/>
      <c r="F16" s="125">
        <f t="shared" ca="1" si="9"/>
        <v>2.233888888888889</v>
      </c>
      <c r="G16" s="125">
        <f t="shared" si="4"/>
        <v>3.37</v>
      </c>
      <c r="H16" s="125">
        <f t="shared" si="5"/>
        <v>3.17</v>
      </c>
      <c r="I16" s="125">
        <f t="shared" si="6"/>
        <v>3</v>
      </c>
      <c r="J16" s="125">
        <f t="shared" ca="1" si="7"/>
        <v>2.84</v>
      </c>
      <c r="K16" s="125">
        <f t="shared" ca="1" si="7"/>
        <v>2.71</v>
      </c>
      <c r="L16" s="125">
        <f t="shared" ca="1" si="7"/>
        <v>2.5299999999999998</v>
      </c>
      <c r="M16" s="125">
        <f t="shared" ca="1" si="7"/>
        <v>2.39</v>
      </c>
      <c r="N16" s="125">
        <f t="shared" ca="1" si="7"/>
        <v>2.27</v>
      </c>
      <c r="O16" s="125">
        <f t="shared" ca="1" si="7"/>
        <v>2.15</v>
      </c>
      <c r="P16" s="125">
        <f t="shared" ca="1" si="7"/>
        <v>2.0299999999999998</v>
      </c>
      <c r="Q16" s="125">
        <f t="shared" ca="1" si="7"/>
        <v>1.95</v>
      </c>
      <c r="R16" s="125">
        <f t="shared" ca="1" si="7"/>
        <v>1.88</v>
      </c>
      <c r="S16" s="125">
        <f t="shared" ca="1" si="7"/>
        <v>1.85</v>
      </c>
      <c r="T16" s="125">
        <f t="shared" ca="1" si="7"/>
        <v>1.71</v>
      </c>
      <c r="U16" s="125">
        <f t="shared" ca="1" si="7"/>
        <v>1.64</v>
      </c>
      <c r="V16" s="125">
        <f t="shared" ca="1" si="7"/>
        <v>1.64</v>
      </c>
      <c r="W16" s="125">
        <f t="shared" ca="1" si="7"/>
        <v>1.58</v>
      </c>
      <c r="X16" s="125">
        <f t="shared" ca="1" si="7"/>
        <v>1.5</v>
      </c>
      <c r="Z16" s="77" t="str">
        <f t="shared" ca="1" si="8"/>
        <v>N/A</v>
      </c>
      <c r="AA16" s="125" t="e">
        <f t="shared" ca="1" si="10"/>
        <v>#VALUE!</v>
      </c>
      <c r="AB16" s="77" t="e">
        <f t="shared" ca="1" si="11"/>
        <v>#VALUE!</v>
      </c>
      <c r="AC16" s="77"/>
      <c r="AD16" s="184"/>
      <c r="AE16" s="181"/>
      <c r="AF16" s="190"/>
      <c r="AG16" s="186"/>
      <c r="AH16" s="187"/>
      <c r="AI16" s="187"/>
      <c r="AJ16" s="188"/>
    </row>
    <row r="17" spans="1:36" x14ac:dyDescent="0.25">
      <c r="A17" s="44" t="s">
        <v>260</v>
      </c>
      <c r="B17" s="110">
        <f t="shared" ca="1" si="2"/>
        <v>13</v>
      </c>
      <c r="C17" s="1">
        <f>IF(ISERROR(D17),"",IF(D17="","",MAX($C$12:C16)+1))</f>
        <v>5</v>
      </c>
      <c r="D17" t="str">
        <f t="shared" si="3"/>
        <v>Avangrid, Inc.</v>
      </c>
      <c r="E17" s="15"/>
      <c r="F17" s="125">
        <f t="shared" ca="1" si="9"/>
        <v>1.75</v>
      </c>
      <c r="G17" s="125">
        <f t="shared" si="4"/>
        <v>1.76</v>
      </c>
      <c r="H17" s="125">
        <f t="shared" si="5"/>
        <v>1.76</v>
      </c>
      <c r="I17" s="125">
        <f t="shared" si="6"/>
        <v>1.76</v>
      </c>
      <c r="J17" s="125">
        <f t="shared" ca="1" si="7"/>
        <v>1.76</v>
      </c>
      <c r="K17" s="125">
        <f t="shared" ca="1" si="7"/>
        <v>1.76</v>
      </c>
      <c r="L17" s="125">
        <f t="shared" ca="1" si="7"/>
        <v>1.744</v>
      </c>
      <c r="M17" s="125">
        <f t="shared" ca="1" si="7"/>
        <v>1.728</v>
      </c>
      <c r="N17" s="125">
        <f t="shared" ca="1" si="7"/>
        <v>1.728</v>
      </c>
      <c r="O17" s="125" t="str">
        <f t="shared" ca="1" si="7"/>
        <v>N/A</v>
      </c>
      <c r="P17" s="125" t="str">
        <f t="shared" ca="1" si="7"/>
        <v>N/A</v>
      </c>
      <c r="Q17" s="125" t="str">
        <f t="shared" ca="1" si="7"/>
        <v>N/A</v>
      </c>
      <c r="R17" s="125" t="str">
        <f t="shared" ca="1" si="7"/>
        <v>N/A</v>
      </c>
      <c r="S17" s="125" t="str">
        <f t="shared" ca="1" si="7"/>
        <v>N/A</v>
      </c>
      <c r="T17" s="125" t="str">
        <f t="shared" ca="1" si="7"/>
        <v>N/A</v>
      </c>
      <c r="U17" s="125" t="str">
        <f t="shared" ca="1" si="7"/>
        <v>N/A</v>
      </c>
      <c r="V17" s="125" t="str">
        <f t="shared" ca="1" si="7"/>
        <v>N/A</v>
      </c>
      <c r="W17" s="125" t="str">
        <f t="shared" ca="1" si="7"/>
        <v>N/A</v>
      </c>
      <c r="X17" s="125" t="str">
        <f t="shared" ca="1" si="7"/>
        <v>N/A</v>
      </c>
      <c r="Z17" s="77" t="str">
        <f t="shared" ca="1" si="8"/>
        <v>N/A</v>
      </c>
      <c r="AA17" s="125" t="e">
        <f ca="1">+N17*(1+Z17)</f>
        <v>#VALUE!</v>
      </c>
      <c r="AB17" s="77" t="e">
        <f t="shared" ca="1" si="11"/>
        <v>#VALUE!</v>
      </c>
      <c r="AC17" s="77"/>
      <c r="AD17" s="184"/>
      <c r="AE17" s="181"/>
      <c r="AF17" s="190"/>
      <c r="AG17" s="186"/>
      <c r="AH17" s="187"/>
      <c r="AI17" s="187"/>
      <c r="AJ17" s="188"/>
    </row>
    <row r="18" spans="1:36" x14ac:dyDescent="0.25">
      <c r="A18" s="44" t="s">
        <v>4</v>
      </c>
      <c r="B18" s="110">
        <f t="shared" ca="1" si="2"/>
        <v>14</v>
      </c>
      <c r="C18" s="1">
        <f>IF(ISERROR(D18),"",IF(D18="","",MAX($C$12:C17)+1))</f>
        <v>6</v>
      </c>
      <c r="D18" t="str">
        <f t="shared" si="3"/>
        <v xml:space="preserve">Avista Corp.                  </v>
      </c>
      <c r="E18" s="15"/>
      <c r="F18" s="125">
        <f t="shared" ca="1" si="9"/>
        <v>1.2491666666666665</v>
      </c>
      <c r="G18" s="125">
        <f t="shared" si="4"/>
        <v>1.84</v>
      </c>
      <c r="H18" s="125">
        <f t="shared" si="5"/>
        <v>1.76</v>
      </c>
      <c r="I18" s="125">
        <f t="shared" si="6"/>
        <v>1.69</v>
      </c>
      <c r="J18" s="125">
        <f t="shared" ca="1" si="7"/>
        <v>1.62</v>
      </c>
      <c r="K18" s="125">
        <f t="shared" ca="1" si="7"/>
        <v>1.55</v>
      </c>
      <c r="L18" s="125">
        <f t="shared" ca="1" si="7"/>
        <v>1.49</v>
      </c>
      <c r="M18" s="125">
        <f t="shared" ca="1" si="7"/>
        <v>1.43</v>
      </c>
      <c r="N18" s="125">
        <f t="shared" ca="1" si="7"/>
        <v>1.37</v>
      </c>
      <c r="O18" s="125">
        <f t="shared" ca="1" si="7"/>
        <v>1.32</v>
      </c>
      <c r="P18" s="125">
        <f t="shared" ca="1" si="7"/>
        <v>1.27</v>
      </c>
      <c r="Q18" s="125">
        <f t="shared" ca="1" si="7"/>
        <v>1.22</v>
      </c>
      <c r="R18" s="125">
        <f t="shared" ca="1" si="7"/>
        <v>1.1599999999999999</v>
      </c>
      <c r="S18" s="125">
        <f t="shared" ca="1" si="7"/>
        <v>1.1000000000000001</v>
      </c>
      <c r="T18" s="125">
        <f t="shared" ca="1" si="7"/>
        <v>1</v>
      </c>
      <c r="U18" s="125">
        <f t="shared" ca="1" si="7"/>
        <v>0.81</v>
      </c>
      <c r="V18" s="125">
        <f t="shared" ca="1" si="7"/>
        <v>0.69</v>
      </c>
      <c r="W18" s="125">
        <f t="shared" ca="1" si="7"/>
        <v>0.59499999999999997</v>
      </c>
      <c r="X18" s="125">
        <f t="shared" ca="1" si="7"/>
        <v>0.56999999999999995</v>
      </c>
      <c r="Z18" s="77" t="str">
        <f t="shared" ca="1" si="8"/>
        <v>N/A</v>
      </c>
      <c r="AA18" s="125" t="e">
        <f t="shared" ca="1" si="10"/>
        <v>#VALUE!</v>
      </c>
      <c r="AB18" s="77" t="e">
        <f t="shared" ca="1" si="11"/>
        <v>#VALUE!</v>
      </c>
      <c r="AC18" s="77"/>
      <c r="AD18" s="184"/>
      <c r="AE18" s="181"/>
      <c r="AF18" s="190"/>
      <c r="AG18" s="186"/>
      <c r="AH18" s="187"/>
      <c r="AI18" s="187"/>
      <c r="AJ18" s="188"/>
    </row>
    <row r="19" spans="1:36" x14ac:dyDescent="0.25">
      <c r="A19" s="44" t="s">
        <v>5</v>
      </c>
      <c r="B19" s="110">
        <f t="shared" ca="1" si="2"/>
        <v>15</v>
      </c>
      <c r="C19" s="1">
        <f>IF(ISERROR(D19),"",IF(D19="","",MAX($C$12:C18)+1))</f>
        <v>7</v>
      </c>
      <c r="D19" t="str">
        <f t="shared" si="3"/>
        <v xml:space="preserve">Black Hills                   </v>
      </c>
      <c r="E19" s="15"/>
      <c r="F19" s="125">
        <f t="shared" ca="1" si="9"/>
        <v>1.7461111111111114</v>
      </c>
      <c r="G19" s="125">
        <f t="shared" si="4"/>
        <v>2.5</v>
      </c>
      <c r="H19" s="125">
        <f t="shared" si="5"/>
        <v>2.41</v>
      </c>
      <c r="I19" s="125">
        <f t="shared" si="6"/>
        <v>2.29</v>
      </c>
      <c r="J19" s="125">
        <f t="shared" ca="1" si="7"/>
        <v>2.17</v>
      </c>
      <c r="K19" s="125">
        <f t="shared" ca="1" si="7"/>
        <v>2.0499999999999998</v>
      </c>
      <c r="L19" s="125">
        <f t="shared" ca="1" si="7"/>
        <v>1.93</v>
      </c>
      <c r="M19" s="125">
        <f t="shared" ca="1" si="7"/>
        <v>1.81</v>
      </c>
      <c r="N19" s="125">
        <f t="shared" ca="1" si="7"/>
        <v>1.68</v>
      </c>
      <c r="O19" s="125">
        <f t="shared" ca="1" si="7"/>
        <v>1.62</v>
      </c>
      <c r="P19" s="125">
        <f t="shared" ca="1" si="7"/>
        <v>1.56</v>
      </c>
      <c r="Q19" s="125">
        <f t="shared" ca="1" si="7"/>
        <v>1.52</v>
      </c>
      <c r="R19" s="125">
        <f t="shared" ca="1" si="7"/>
        <v>1.48</v>
      </c>
      <c r="S19" s="125">
        <f t="shared" ca="1" si="7"/>
        <v>1.46</v>
      </c>
      <c r="T19" s="125">
        <f t="shared" ca="1" si="7"/>
        <v>1.44</v>
      </c>
      <c r="U19" s="125">
        <f t="shared" ca="1" si="7"/>
        <v>1.42</v>
      </c>
      <c r="V19" s="125">
        <f t="shared" ca="1" si="7"/>
        <v>1.4</v>
      </c>
      <c r="W19" s="125">
        <f t="shared" ca="1" si="7"/>
        <v>1.37</v>
      </c>
      <c r="X19" s="125">
        <f t="shared" ca="1" si="7"/>
        <v>1.32</v>
      </c>
      <c r="Z19" s="77" t="str">
        <f t="shared" ca="1" si="8"/>
        <v>N/A</v>
      </c>
      <c r="AA19" s="125" t="e">
        <f t="shared" ca="1" si="10"/>
        <v>#VALUE!</v>
      </c>
      <c r="AB19" s="77" t="e">
        <f t="shared" ca="1" si="11"/>
        <v>#VALUE!</v>
      </c>
      <c r="AC19" s="77"/>
      <c r="AD19" s="184"/>
      <c r="AE19" s="181"/>
      <c r="AF19" s="190"/>
      <c r="AG19" s="186"/>
      <c r="AH19" s="187"/>
      <c r="AI19" s="187"/>
      <c r="AJ19" s="188"/>
    </row>
    <row r="20" spans="1:36" x14ac:dyDescent="0.25">
      <c r="A20" s="44" t="s">
        <v>6</v>
      </c>
      <c r="B20" s="110">
        <f t="shared" ca="1" si="2"/>
        <v>17</v>
      </c>
      <c r="C20" s="1">
        <f>IF(ISERROR(D20),"",IF(D20="","",MAX($C$12:C19)+1))</f>
        <v>8</v>
      </c>
      <c r="D20" t="str">
        <f t="shared" si="3"/>
        <v xml:space="preserve">CenterPoint Energy            </v>
      </c>
      <c r="E20" s="15"/>
      <c r="F20" s="125">
        <f t="shared" ca="1" si="9"/>
        <v>0.85116666666666663</v>
      </c>
      <c r="G20" s="125">
        <f t="shared" si="4"/>
        <v>0.76</v>
      </c>
      <c r="H20" s="125">
        <f t="shared" si="5"/>
        <v>0.72</v>
      </c>
      <c r="I20" s="125">
        <f t="shared" si="6"/>
        <v>0.66</v>
      </c>
      <c r="J20" s="125">
        <f t="shared" ca="1" si="7"/>
        <v>0.9</v>
      </c>
      <c r="K20" s="125">
        <f t="shared" ca="1" si="7"/>
        <v>0.86299999999999999</v>
      </c>
      <c r="L20" s="125">
        <f t="shared" ca="1" si="7"/>
        <v>1.1200000000000001</v>
      </c>
      <c r="M20" s="125">
        <f t="shared" ca="1" si="7"/>
        <v>1.3480000000000001</v>
      </c>
      <c r="N20" s="125">
        <f t="shared" ca="1" si="7"/>
        <v>1.03</v>
      </c>
      <c r="O20" s="125">
        <f t="shared" ca="1" si="7"/>
        <v>0.99</v>
      </c>
      <c r="P20" s="125">
        <f t="shared" ca="1" si="7"/>
        <v>0.95</v>
      </c>
      <c r="Q20" s="125">
        <f t="shared" ca="1" si="7"/>
        <v>0.83</v>
      </c>
      <c r="R20" s="125">
        <f t="shared" ca="1" si="7"/>
        <v>0.81</v>
      </c>
      <c r="S20" s="125">
        <f t="shared" ca="1" si="7"/>
        <v>0.79</v>
      </c>
      <c r="T20" s="125">
        <f t="shared" ca="1" si="7"/>
        <v>0.78</v>
      </c>
      <c r="U20" s="125">
        <f t="shared" ca="1" si="7"/>
        <v>0.76</v>
      </c>
      <c r="V20" s="125">
        <f t="shared" ca="1" si="7"/>
        <v>0.73</v>
      </c>
      <c r="W20" s="125">
        <f t="shared" ca="1" si="7"/>
        <v>0.68</v>
      </c>
      <c r="X20" s="125">
        <f t="shared" ca="1" si="7"/>
        <v>0.6</v>
      </c>
      <c r="Z20" s="77" t="str">
        <f t="shared" ca="1" si="8"/>
        <v>N/A</v>
      </c>
      <c r="AA20" s="125" t="e">
        <f t="shared" ca="1" si="10"/>
        <v>#VALUE!</v>
      </c>
      <c r="AB20" s="77" t="e">
        <f t="shared" ca="1" si="11"/>
        <v>#VALUE!</v>
      </c>
      <c r="AC20" s="77"/>
      <c r="AD20" s="184"/>
      <c r="AE20" s="181"/>
      <c r="AF20" s="190"/>
      <c r="AG20" s="186"/>
      <c r="AH20" s="187"/>
      <c r="AI20" s="187"/>
      <c r="AJ20" s="188"/>
    </row>
    <row r="21" spans="1:36" x14ac:dyDescent="0.25">
      <c r="A21" s="44" t="s">
        <v>9</v>
      </c>
      <c r="B21" s="110">
        <f t="shared" ca="1" si="2"/>
        <v>19</v>
      </c>
      <c r="C21" s="1">
        <f>IF(ISERROR(D21),"",IF(D21="","",MAX($C$12:C20)+1))</f>
        <v>9</v>
      </c>
      <c r="D21" t="str">
        <f t="shared" si="3"/>
        <v xml:space="preserve">CMS Energy Corp.              </v>
      </c>
      <c r="E21" s="15"/>
      <c r="F21" s="125">
        <f t="shared" ca="1" si="9"/>
        <v>1.1452941176470588</v>
      </c>
      <c r="G21" s="125">
        <f t="shared" si="4"/>
        <v>1.95</v>
      </c>
      <c r="H21" s="125">
        <f t="shared" si="5"/>
        <v>1.84</v>
      </c>
      <c r="I21" s="125">
        <f t="shared" si="6"/>
        <v>1.74</v>
      </c>
      <c r="J21" s="125">
        <f t="shared" ca="1" si="7"/>
        <v>1.63</v>
      </c>
      <c r="K21" s="125">
        <f t="shared" ca="1" si="7"/>
        <v>1.53</v>
      </c>
      <c r="L21" s="125">
        <f t="shared" ca="1" si="7"/>
        <v>1.43</v>
      </c>
      <c r="M21" s="125">
        <f t="shared" ca="1" si="7"/>
        <v>1.33</v>
      </c>
      <c r="N21" s="125">
        <f t="shared" ca="1" si="7"/>
        <v>1.24</v>
      </c>
      <c r="O21" s="125">
        <f t="shared" ca="1" si="7"/>
        <v>1.1599999999999999</v>
      </c>
      <c r="P21" s="125">
        <f t="shared" ca="1" si="7"/>
        <v>1.08</v>
      </c>
      <c r="Q21" s="125">
        <f t="shared" ca="1" si="7"/>
        <v>1.02</v>
      </c>
      <c r="R21" s="125">
        <f t="shared" ca="1" si="7"/>
        <v>0.96</v>
      </c>
      <c r="S21" s="125">
        <f t="shared" ca="1" si="7"/>
        <v>0.84</v>
      </c>
      <c r="T21" s="125">
        <f t="shared" ca="1" si="7"/>
        <v>0.66</v>
      </c>
      <c r="U21" s="125">
        <f t="shared" ca="1" si="7"/>
        <v>0.5</v>
      </c>
      <c r="V21" s="125">
        <f t="shared" ca="1" si="7"/>
        <v>0.36</v>
      </c>
      <c r="W21" s="125">
        <f t="shared" ca="1" si="7"/>
        <v>0.2</v>
      </c>
      <c r="X21" s="125" t="str">
        <f t="shared" ca="1" si="7"/>
        <v>N/A</v>
      </c>
      <c r="Z21" s="77" t="str">
        <f t="shared" ca="1" si="8"/>
        <v>N/A</v>
      </c>
      <c r="AA21" s="125" t="e">
        <f ca="1">+W21*(1+Z21)^10</f>
        <v>#VALUE!</v>
      </c>
      <c r="AB21" s="77" t="e">
        <f t="shared" ca="1" si="11"/>
        <v>#VALUE!</v>
      </c>
      <c r="AC21" s="77"/>
      <c r="AD21" s="184"/>
      <c r="AE21" s="181"/>
      <c r="AF21" s="190"/>
      <c r="AG21" s="186"/>
      <c r="AH21" s="187"/>
      <c r="AI21" s="187"/>
      <c r="AJ21" s="188"/>
    </row>
    <row r="22" spans="1:36" x14ac:dyDescent="0.25">
      <c r="A22" s="44" t="s">
        <v>10</v>
      </c>
      <c r="B22" s="110">
        <f t="shared" ca="1" si="2"/>
        <v>21</v>
      </c>
      <c r="C22" s="1">
        <f>IF(ISERROR(D22),"",IF(D22="","",MAX($C$12:C21)+1))</f>
        <v>10</v>
      </c>
      <c r="D22" t="str">
        <f t="shared" si="3"/>
        <v xml:space="preserve">Consol. Edison                </v>
      </c>
      <c r="E22" s="15"/>
      <c r="F22" s="125">
        <f t="shared" ca="1" si="9"/>
        <v>2.6622222222222218</v>
      </c>
      <c r="G22" s="125">
        <f t="shared" si="4"/>
        <v>3.24</v>
      </c>
      <c r="H22" s="125">
        <f t="shared" si="5"/>
        <v>3.16</v>
      </c>
      <c r="I22" s="125">
        <f t="shared" si="6"/>
        <v>3.1</v>
      </c>
      <c r="J22" s="125">
        <f t="shared" ca="1" si="7"/>
        <v>3.06</v>
      </c>
      <c r="K22" s="125">
        <f t="shared" ca="1" si="7"/>
        <v>2.96</v>
      </c>
      <c r="L22" s="125">
        <f t="shared" ca="1" si="7"/>
        <v>2.86</v>
      </c>
      <c r="M22" s="125">
        <f t="shared" ca="1" si="7"/>
        <v>2.76</v>
      </c>
      <c r="N22" s="125">
        <f t="shared" ca="1" si="7"/>
        <v>2.68</v>
      </c>
      <c r="O22" s="125">
        <f t="shared" ca="1" si="7"/>
        <v>2.6</v>
      </c>
      <c r="P22" s="125">
        <f t="shared" ca="1" si="7"/>
        <v>2.52</v>
      </c>
      <c r="Q22" s="125">
        <f t="shared" ca="1" si="7"/>
        <v>2.46</v>
      </c>
      <c r="R22" s="125">
        <f t="shared" ca="1" si="7"/>
        <v>2.42</v>
      </c>
      <c r="S22" s="125">
        <f t="shared" ca="1" si="7"/>
        <v>2.4</v>
      </c>
      <c r="T22" s="125">
        <f t="shared" ca="1" si="7"/>
        <v>2.38</v>
      </c>
      <c r="U22" s="125">
        <f t="shared" ca="1" si="7"/>
        <v>2.36</v>
      </c>
      <c r="V22" s="125">
        <f t="shared" ca="1" si="7"/>
        <v>2.34</v>
      </c>
      <c r="W22" s="125">
        <f t="shared" ca="1" si="7"/>
        <v>2.3199999999999998</v>
      </c>
      <c r="X22" s="125">
        <f t="shared" ca="1" si="7"/>
        <v>2.2999999999999998</v>
      </c>
      <c r="Z22" s="77" t="str">
        <f t="shared" ca="1" si="8"/>
        <v>N/A</v>
      </c>
      <c r="AA22" s="125" t="e">
        <f t="shared" ca="1" si="10"/>
        <v>#VALUE!</v>
      </c>
      <c r="AB22" s="77" t="e">
        <f t="shared" ca="1" si="11"/>
        <v>#VALUE!</v>
      </c>
      <c r="AC22" s="77"/>
      <c r="AD22" s="184"/>
      <c r="AE22" s="181"/>
      <c r="AF22" s="190"/>
      <c r="AG22" s="186"/>
      <c r="AH22" s="187"/>
      <c r="AI22" s="187"/>
      <c r="AJ22" s="188"/>
    </row>
    <row r="23" spans="1:36" x14ac:dyDescent="0.25">
      <c r="A23" s="44" t="s">
        <v>11</v>
      </c>
      <c r="B23" s="110">
        <f t="shared" ca="1" si="2"/>
        <v>24</v>
      </c>
      <c r="C23" s="1">
        <f>IF(ISERROR(D23),"",IF(D23="","",MAX($C$12:C22)+1))</f>
        <v>11</v>
      </c>
      <c r="D23" t="str">
        <f t="shared" si="3"/>
        <v xml:space="preserve">Dominion Resources            </v>
      </c>
      <c r="E23" s="15"/>
      <c r="F23" s="125">
        <f t="shared" ca="1" si="9"/>
        <v>2.4152777777777779</v>
      </c>
      <c r="G23" s="125">
        <f t="shared" si="4"/>
        <v>2.67</v>
      </c>
      <c r="H23" s="125">
        <f t="shared" si="5"/>
        <v>2.67</v>
      </c>
      <c r="I23" s="125">
        <f t="shared" si="6"/>
        <v>2.52</v>
      </c>
      <c r="J23" s="125">
        <f t="shared" ca="1" si="7"/>
        <v>3.45</v>
      </c>
      <c r="K23" s="125">
        <f t="shared" ca="1" si="7"/>
        <v>3.67</v>
      </c>
      <c r="L23" s="125">
        <f t="shared" ca="1" si="7"/>
        <v>3.34</v>
      </c>
      <c r="M23" s="125">
        <f t="shared" ca="1" si="7"/>
        <v>3.0350000000000001</v>
      </c>
      <c r="N23" s="125">
        <f t="shared" ref="N23:X33" ca="1" si="12">IFERROR(IF(INDEX(Dividends,$B23,N$12)=0,"N/A",INDEX(Dividends,$B23,N$12)),"N/A")</f>
        <v>2.8</v>
      </c>
      <c r="O23" s="125">
        <f t="shared" ca="1" si="12"/>
        <v>2.59</v>
      </c>
      <c r="P23" s="125">
        <f t="shared" ca="1" si="12"/>
        <v>2.4</v>
      </c>
      <c r="Q23" s="125">
        <f t="shared" ca="1" si="12"/>
        <v>2.25</v>
      </c>
      <c r="R23" s="125">
        <f t="shared" ca="1" si="12"/>
        <v>2.11</v>
      </c>
      <c r="S23" s="125">
        <f t="shared" ca="1" si="12"/>
        <v>1.97</v>
      </c>
      <c r="T23" s="125">
        <f t="shared" ca="1" si="12"/>
        <v>1.83</v>
      </c>
      <c r="U23" s="125">
        <f t="shared" ca="1" si="12"/>
        <v>1.75</v>
      </c>
      <c r="V23" s="125">
        <f t="shared" ca="1" si="12"/>
        <v>1.58</v>
      </c>
      <c r="W23" s="125">
        <f t="shared" ca="1" si="12"/>
        <v>1.46</v>
      </c>
      <c r="X23" s="125">
        <f t="shared" ca="1" si="12"/>
        <v>1.38</v>
      </c>
      <c r="Z23" s="77" t="str">
        <f t="shared" ca="1" si="8"/>
        <v>N/A</v>
      </c>
      <c r="AA23" s="125" t="e">
        <f t="shared" ca="1" si="10"/>
        <v>#VALUE!</v>
      </c>
      <c r="AB23" s="77" t="e">
        <f t="shared" ca="1" si="11"/>
        <v>#VALUE!</v>
      </c>
      <c r="AC23" s="77"/>
      <c r="AD23" s="184"/>
      <c r="AE23" s="181"/>
      <c r="AF23" s="190"/>
      <c r="AG23" s="186"/>
      <c r="AH23" s="187"/>
      <c r="AI23" s="187"/>
      <c r="AJ23" s="188"/>
    </row>
    <row r="24" spans="1:36" x14ac:dyDescent="0.25">
      <c r="A24" s="44" t="s">
        <v>12</v>
      </c>
      <c r="B24" s="110">
        <f t="shared" ca="1" si="2"/>
        <v>25</v>
      </c>
      <c r="C24" s="1">
        <f>IF(ISERROR(D24),"",IF(D24="","",MAX($C$12:C23)+1))</f>
        <v>12</v>
      </c>
      <c r="D24" t="str">
        <f t="shared" si="3"/>
        <v xml:space="preserve">DTE Energy                    </v>
      </c>
      <c r="E24" s="15"/>
      <c r="F24" s="125">
        <f t="shared" ca="1" si="9"/>
        <v>2.9308333333333336</v>
      </c>
      <c r="G24" s="125">
        <f t="shared" si="4"/>
        <v>3.88</v>
      </c>
      <c r="H24" s="125">
        <f t="shared" si="5"/>
        <v>3.54</v>
      </c>
      <c r="I24" s="125">
        <f t="shared" si="6"/>
        <v>3.88</v>
      </c>
      <c r="J24" s="125">
        <f t="shared" ca="1" si="7"/>
        <v>4.12</v>
      </c>
      <c r="K24" s="125">
        <f t="shared" ca="1" si="7"/>
        <v>3.85</v>
      </c>
      <c r="L24" s="125">
        <f t="shared" ca="1" si="7"/>
        <v>3.59</v>
      </c>
      <c r="M24" s="125">
        <f t="shared" ca="1" si="7"/>
        <v>3.36</v>
      </c>
      <c r="N24" s="125">
        <f t="shared" ca="1" si="12"/>
        <v>3.06</v>
      </c>
      <c r="O24" s="125">
        <f t="shared" ca="1" si="12"/>
        <v>2.84</v>
      </c>
      <c r="P24" s="125">
        <f t="shared" ca="1" si="12"/>
        <v>2.69</v>
      </c>
      <c r="Q24" s="125">
        <f t="shared" ca="1" si="12"/>
        <v>2.59</v>
      </c>
      <c r="R24" s="125">
        <f t="shared" ca="1" si="12"/>
        <v>2.42</v>
      </c>
      <c r="S24" s="125">
        <f t="shared" ca="1" si="12"/>
        <v>2.3199999999999998</v>
      </c>
      <c r="T24" s="125">
        <f t="shared" ca="1" si="12"/>
        <v>2.1800000000000002</v>
      </c>
      <c r="U24" s="125">
        <f t="shared" ca="1" si="12"/>
        <v>2.12</v>
      </c>
      <c r="V24" s="125">
        <f t="shared" ca="1" si="12"/>
        <v>2.12</v>
      </c>
      <c r="W24" s="125">
        <f t="shared" ca="1" si="12"/>
        <v>2.12</v>
      </c>
      <c r="X24" s="125">
        <f t="shared" ca="1" si="12"/>
        <v>2.0750000000000002</v>
      </c>
      <c r="Z24" s="77" t="str">
        <f t="shared" ca="1" si="8"/>
        <v>N/A</v>
      </c>
      <c r="AA24" s="125" t="e">
        <f t="shared" ca="1" si="10"/>
        <v>#VALUE!</v>
      </c>
      <c r="AB24" s="77" t="e">
        <f t="shared" ca="1" si="11"/>
        <v>#VALUE!</v>
      </c>
      <c r="AC24" s="77"/>
      <c r="AD24" s="184"/>
      <c r="AE24" s="181"/>
      <c r="AF24" s="190"/>
      <c r="AG24" s="186"/>
      <c r="AH24" s="187"/>
      <c r="AI24" s="187"/>
      <c r="AJ24" s="188"/>
    </row>
    <row r="25" spans="1:36" x14ac:dyDescent="0.25">
      <c r="A25" s="44" t="s">
        <v>13</v>
      </c>
      <c r="B25" s="110">
        <f t="shared" ca="1" si="2"/>
        <v>26</v>
      </c>
      <c r="C25" s="1">
        <f>IF(ISERROR(D25),"",IF(D25="","",MAX($C$12:C24)+1))</f>
        <v>13</v>
      </c>
      <c r="D25" t="str">
        <f t="shared" si="3"/>
        <v xml:space="preserve">Duke Energy                   </v>
      </c>
      <c r="E25" s="15"/>
      <c r="F25" s="125">
        <f t="shared" ca="1" si="9"/>
        <v>3.3226470588235291</v>
      </c>
      <c r="G25" s="125">
        <f t="shared" si="4"/>
        <v>4.0599999999999996</v>
      </c>
      <c r="H25" s="125">
        <f t="shared" si="5"/>
        <v>3.98</v>
      </c>
      <c r="I25" s="125">
        <f t="shared" si="6"/>
        <v>3.9</v>
      </c>
      <c r="J25" s="125">
        <f t="shared" ca="1" si="7"/>
        <v>3.82</v>
      </c>
      <c r="K25" s="125">
        <f t="shared" ca="1" si="7"/>
        <v>3.7450000000000001</v>
      </c>
      <c r="L25" s="125">
        <f t="shared" ca="1" si="7"/>
        <v>3.64</v>
      </c>
      <c r="M25" s="125">
        <f t="shared" ca="1" si="7"/>
        <v>3.49</v>
      </c>
      <c r="N25" s="125">
        <f t="shared" ca="1" si="12"/>
        <v>3.36</v>
      </c>
      <c r="O25" s="125">
        <f t="shared" ca="1" si="12"/>
        <v>3.24</v>
      </c>
      <c r="P25" s="125">
        <f t="shared" ca="1" si="12"/>
        <v>3.15</v>
      </c>
      <c r="Q25" s="125">
        <f t="shared" ca="1" si="12"/>
        <v>3.09</v>
      </c>
      <c r="R25" s="125">
        <f t="shared" ca="1" si="12"/>
        <v>3.03</v>
      </c>
      <c r="S25" s="125">
        <f t="shared" ca="1" si="12"/>
        <v>2.97</v>
      </c>
      <c r="T25" s="125">
        <f t="shared" ca="1" si="12"/>
        <v>2.91</v>
      </c>
      <c r="U25" s="125">
        <f t="shared" ca="1" si="12"/>
        <v>2.82</v>
      </c>
      <c r="V25" s="125">
        <f t="shared" ca="1" si="12"/>
        <v>2.7</v>
      </c>
      <c r="W25" s="125">
        <f t="shared" ca="1" si="12"/>
        <v>2.58</v>
      </c>
      <c r="X25" s="125" t="str">
        <f t="shared" ca="1" si="12"/>
        <v>N/A</v>
      </c>
      <c r="Z25" s="77" t="str">
        <f t="shared" ca="1" si="8"/>
        <v>N/A</v>
      </c>
      <c r="AA25" s="125" t="e">
        <f ca="1">+W25*(1+Z25)^10</f>
        <v>#VALUE!</v>
      </c>
      <c r="AB25" s="77" t="e">
        <f t="shared" ca="1" si="11"/>
        <v>#VALUE!</v>
      </c>
      <c r="AC25" s="77"/>
      <c r="AD25" s="184"/>
      <c r="AE25" s="181"/>
      <c r="AF25" s="190"/>
      <c r="AG25" s="186"/>
      <c r="AH25" s="187"/>
      <c r="AI25" s="187"/>
      <c r="AJ25" s="188"/>
    </row>
    <row r="26" spans="1:36" x14ac:dyDescent="0.25">
      <c r="A26" s="44" t="s">
        <v>14</v>
      </c>
      <c r="B26" s="110">
        <f t="shared" ca="1" si="2"/>
        <v>27</v>
      </c>
      <c r="C26" s="1">
        <f>IF(ISERROR(D26),"",IF(D26="","",MAX($C$12:C25)+1))</f>
        <v>14</v>
      </c>
      <c r="D26" t="str">
        <f t="shared" si="3"/>
        <v xml:space="preserve">Edison Int'l                  </v>
      </c>
      <c r="E26" s="15"/>
      <c r="F26" s="125">
        <f t="shared" ca="1" si="9"/>
        <v>1.8558888888888889</v>
      </c>
      <c r="G26" s="125">
        <f t="shared" si="4"/>
        <v>2.99</v>
      </c>
      <c r="H26" s="125">
        <f t="shared" si="5"/>
        <v>2.84</v>
      </c>
      <c r="I26" s="125">
        <f t="shared" si="6"/>
        <v>2.69</v>
      </c>
      <c r="J26" s="125">
        <f t="shared" ca="1" si="7"/>
        <v>2.5750000000000002</v>
      </c>
      <c r="K26" s="125">
        <f t="shared" ca="1" si="7"/>
        <v>2.4750000000000001</v>
      </c>
      <c r="L26" s="125">
        <f t="shared" ca="1" si="7"/>
        <v>2.4279999999999999</v>
      </c>
      <c r="M26" s="125">
        <f t="shared" ca="1" si="7"/>
        <v>2.2330000000000001</v>
      </c>
      <c r="N26" s="125">
        <f t="shared" ca="1" si="12"/>
        <v>1.9830000000000001</v>
      </c>
      <c r="O26" s="125">
        <f t="shared" ca="1" si="12"/>
        <v>1.7330000000000001</v>
      </c>
      <c r="P26" s="125">
        <f t="shared" ca="1" si="12"/>
        <v>1.4830000000000001</v>
      </c>
      <c r="Q26" s="125">
        <f t="shared" ca="1" si="12"/>
        <v>1.3680000000000001</v>
      </c>
      <c r="R26" s="125">
        <f t="shared" ca="1" si="12"/>
        <v>1.3129999999999999</v>
      </c>
      <c r="S26" s="125">
        <f t="shared" ca="1" si="12"/>
        <v>1.2849999999999999</v>
      </c>
      <c r="T26" s="125">
        <f t="shared" ca="1" si="12"/>
        <v>1.2649999999999999</v>
      </c>
      <c r="U26" s="125">
        <f t="shared" ca="1" si="12"/>
        <v>1.2450000000000001</v>
      </c>
      <c r="V26" s="125">
        <f t="shared" ca="1" si="12"/>
        <v>1.2250000000000001</v>
      </c>
      <c r="W26" s="125">
        <f t="shared" ca="1" si="12"/>
        <v>1.175</v>
      </c>
      <c r="X26" s="125">
        <f t="shared" ca="1" si="12"/>
        <v>1.1000000000000001</v>
      </c>
      <c r="Z26" s="77" t="str">
        <f t="shared" ca="1" si="8"/>
        <v>N/A</v>
      </c>
      <c r="AA26" s="125" t="e">
        <f t="shared" ca="1" si="10"/>
        <v>#VALUE!</v>
      </c>
      <c r="AB26" s="77" t="e">
        <f t="shared" ca="1" si="11"/>
        <v>#VALUE!</v>
      </c>
      <c r="AC26" s="77"/>
      <c r="AD26" s="184"/>
      <c r="AE26" s="181"/>
      <c r="AF26" s="190"/>
      <c r="AG26" s="186"/>
      <c r="AH26" s="187"/>
      <c r="AI26" s="187"/>
      <c r="AJ26" s="188"/>
    </row>
    <row r="27" spans="1:36" x14ac:dyDescent="0.25">
      <c r="A27" s="44" t="s">
        <v>15</v>
      </c>
      <c r="B27" s="110">
        <f t="shared" ca="1" si="2"/>
        <v>28</v>
      </c>
      <c r="C27" s="1">
        <f>IF(ISERROR(D27),"",IF(D27="","",MAX($C$12:C26)+1))</f>
        <v>15</v>
      </c>
      <c r="D27" t="str">
        <f t="shared" si="3"/>
        <v xml:space="preserve">El Paso Electric              </v>
      </c>
      <c r="E27" s="15"/>
      <c r="F27" s="125">
        <f t="shared" ca="1" si="9"/>
        <v>1.1125</v>
      </c>
      <c r="G27" s="125" t="str">
        <f t="shared" si="4"/>
        <v>N/A</v>
      </c>
      <c r="H27" s="125" t="str">
        <f t="shared" si="5"/>
        <v>N/A</v>
      </c>
      <c r="I27" s="125" t="str">
        <f t="shared" si="6"/>
        <v>N/A</v>
      </c>
      <c r="J27" s="125" t="str">
        <f t="shared" ca="1" si="7"/>
        <v>N/A</v>
      </c>
      <c r="K27" s="125" t="str">
        <f t="shared" ca="1" si="7"/>
        <v>N/A</v>
      </c>
      <c r="L27" s="125">
        <f t="shared" ca="1" si="7"/>
        <v>1.415</v>
      </c>
      <c r="M27" s="125">
        <f t="shared" ca="1" si="7"/>
        <v>1.3149999999999999</v>
      </c>
      <c r="N27" s="125">
        <f t="shared" ca="1" si="12"/>
        <v>1.2250000000000001</v>
      </c>
      <c r="O27" s="125">
        <f t="shared" ca="1" si="12"/>
        <v>1.165</v>
      </c>
      <c r="P27" s="125">
        <f t="shared" ca="1" si="12"/>
        <v>1.105</v>
      </c>
      <c r="Q27" s="125">
        <f t="shared" ca="1" si="12"/>
        <v>1.0449999999999999</v>
      </c>
      <c r="R27" s="125">
        <f t="shared" ca="1" si="12"/>
        <v>0.97</v>
      </c>
      <c r="S27" s="125">
        <f t="shared" ca="1" si="12"/>
        <v>0.66</v>
      </c>
      <c r="T27" s="125" t="str">
        <f t="shared" ca="1" si="12"/>
        <v>N/A</v>
      </c>
      <c r="U27" s="125" t="str">
        <f t="shared" ca="1" si="12"/>
        <v>N/A</v>
      </c>
      <c r="V27" s="125" t="str">
        <f t="shared" ca="1" si="12"/>
        <v>N/A</v>
      </c>
      <c r="W27" s="125" t="str">
        <f t="shared" ca="1" si="12"/>
        <v>N/A</v>
      </c>
      <c r="X27" s="125" t="str">
        <f t="shared" ca="1" si="12"/>
        <v>N/A</v>
      </c>
      <c r="Z27" s="77" t="str">
        <f t="shared" ca="1" si="8"/>
        <v>N/A</v>
      </c>
      <c r="AA27" s="125" t="e">
        <f ca="1">+S27*(1+Z27)^6</f>
        <v>#VALUE!</v>
      </c>
      <c r="AB27" s="77" t="e">
        <f t="shared" ca="1" si="11"/>
        <v>#VALUE!</v>
      </c>
      <c r="AC27" s="77"/>
      <c r="AD27" s="184"/>
      <c r="AE27" s="181"/>
      <c r="AF27" s="190"/>
      <c r="AG27" s="186"/>
      <c r="AH27" s="187"/>
      <c r="AI27" s="187"/>
      <c r="AJ27" s="188"/>
    </row>
    <row r="28" spans="1:36" x14ac:dyDescent="0.25">
      <c r="A28" s="44" t="s">
        <v>17</v>
      </c>
      <c r="B28" s="110">
        <f t="shared" ca="1" si="2"/>
        <v>29</v>
      </c>
      <c r="C28" s="1">
        <f>IF(ISERROR(D28),"",IF(D28="","",MAX($C$12:C27)+1))</f>
        <v>16</v>
      </c>
      <c r="D28" t="str">
        <f t="shared" si="3"/>
        <v xml:space="preserve">Entergy Corp.                 </v>
      </c>
      <c r="E28" s="15"/>
      <c r="F28" s="125">
        <f t="shared" ca="1" si="9"/>
        <v>3.3777777777777782</v>
      </c>
      <c r="G28" s="125">
        <f t="shared" si="4"/>
        <v>4.34</v>
      </c>
      <c r="H28" s="125">
        <f t="shared" si="5"/>
        <v>4.0999999999999996</v>
      </c>
      <c r="I28" s="125">
        <f t="shared" si="6"/>
        <v>3.86</v>
      </c>
      <c r="J28" s="125">
        <f t="shared" ca="1" si="7"/>
        <v>3.74</v>
      </c>
      <c r="K28" s="125">
        <f t="shared" ca="1" si="7"/>
        <v>3.66</v>
      </c>
      <c r="L28" s="125">
        <f t="shared" ca="1" si="7"/>
        <v>3.58</v>
      </c>
      <c r="M28" s="125">
        <f t="shared" ca="1" si="7"/>
        <v>3.5</v>
      </c>
      <c r="N28" s="125">
        <f t="shared" ca="1" si="12"/>
        <v>3.42</v>
      </c>
      <c r="O28" s="125">
        <f t="shared" ca="1" si="12"/>
        <v>3.34</v>
      </c>
      <c r="P28" s="125">
        <f t="shared" ca="1" si="12"/>
        <v>3.32</v>
      </c>
      <c r="Q28" s="125">
        <f t="shared" ca="1" si="12"/>
        <v>3.32</v>
      </c>
      <c r="R28" s="125">
        <f t="shared" ca="1" si="12"/>
        <v>3.32</v>
      </c>
      <c r="S28" s="125">
        <f t="shared" ca="1" si="12"/>
        <v>3.32</v>
      </c>
      <c r="T28" s="125">
        <f t="shared" ca="1" si="12"/>
        <v>3.24</v>
      </c>
      <c r="U28" s="125">
        <f t="shared" ca="1" si="12"/>
        <v>3</v>
      </c>
      <c r="V28" s="125">
        <f t="shared" ca="1" si="12"/>
        <v>3</v>
      </c>
      <c r="W28" s="125">
        <f t="shared" ca="1" si="12"/>
        <v>2.58</v>
      </c>
      <c r="X28" s="125">
        <f t="shared" ca="1" si="12"/>
        <v>2.16</v>
      </c>
      <c r="Z28" s="77" t="str">
        <f t="shared" ca="1" si="8"/>
        <v>N/A</v>
      </c>
      <c r="AA28" s="125" t="e">
        <f t="shared" ca="1" si="10"/>
        <v>#VALUE!</v>
      </c>
      <c r="AB28" s="77" t="e">
        <f t="shared" ca="1" si="11"/>
        <v>#VALUE!</v>
      </c>
      <c r="AC28" s="77"/>
      <c r="AD28" s="184"/>
      <c r="AE28" s="181"/>
      <c r="AF28" s="190"/>
      <c r="AG28" s="186"/>
      <c r="AH28" s="187"/>
      <c r="AI28" s="187"/>
      <c r="AJ28" s="188"/>
    </row>
    <row r="29" spans="1:36" x14ac:dyDescent="0.25">
      <c r="A29" s="44" t="s">
        <v>211</v>
      </c>
      <c r="B29" s="110">
        <f t="shared" ca="1" si="2"/>
        <v>30</v>
      </c>
      <c r="C29" s="1">
        <f>IF(ISERROR(D29),"",IF(D29="","",MAX($C$12:C28)+1))</f>
        <v>17</v>
      </c>
      <c r="D29" t="str">
        <f t="shared" si="3"/>
        <v xml:space="preserve">Eversource Energy    </v>
      </c>
      <c r="E29" s="15"/>
      <c r="F29" s="125">
        <f t="shared" ca="1" si="9"/>
        <v>1.622222222222222</v>
      </c>
      <c r="G29" s="125">
        <f t="shared" si="4"/>
        <v>2.7</v>
      </c>
      <c r="H29" s="125">
        <f t="shared" si="5"/>
        <v>2.5499999999999998</v>
      </c>
      <c r="I29" s="125">
        <f t="shared" si="6"/>
        <v>2.41</v>
      </c>
      <c r="J29" s="125">
        <f t="shared" ref="J29:K57" ca="1" si="13">IFERROR(IF(INDEX(Dividends,$B29,J$12)=0,"N/A",INDEX(Dividends,$B29,J$12)),"N/A")</f>
        <v>2.27</v>
      </c>
      <c r="K29" s="125">
        <f t="shared" ca="1" si="13"/>
        <v>2.14</v>
      </c>
      <c r="L29" s="125">
        <f t="shared" ref="L29:L57" ca="1" si="14">IFERROR(IF(INDEX(Dividends,$B29,L$12)=0,"N/A",INDEX(Dividends,$B29,L$12)),"N/A")</f>
        <v>2.02</v>
      </c>
      <c r="M29" s="125">
        <f t="shared" ref="M29:M57" ca="1" si="15">IFERROR(IF(INDEX(Dividends,$B29,M$12)=0,"N/A",INDEX(Dividends,$B29,M$12)),"N/A")</f>
        <v>1.9</v>
      </c>
      <c r="N29" s="125">
        <f t="shared" ca="1" si="12"/>
        <v>1.78</v>
      </c>
      <c r="O29" s="125">
        <f t="shared" ca="1" si="12"/>
        <v>1.67</v>
      </c>
      <c r="P29" s="125">
        <f t="shared" ca="1" si="12"/>
        <v>1.57</v>
      </c>
      <c r="Q29" s="125">
        <f t="shared" ca="1" si="12"/>
        <v>1.47</v>
      </c>
      <c r="R29" s="125">
        <f t="shared" ca="1" si="12"/>
        <v>1.32</v>
      </c>
      <c r="S29" s="125">
        <f t="shared" ca="1" si="12"/>
        <v>1.1000000000000001</v>
      </c>
      <c r="T29" s="125">
        <f t="shared" ca="1" si="12"/>
        <v>1.0249999999999999</v>
      </c>
      <c r="U29" s="125">
        <f t="shared" ca="1" si="12"/>
        <v>0.95</v>
      </c>
      <c r="V29" s="125">
        <f t="shared" ca="1" si="12"/>
        <v>0.82499999999999996</v>
      </c>
      <c r="W29" s="125">
        <f t="shared" ca="1" si="12"/>
        <v>0.77500000000000002</v>
      </c>
      <c r="X29" s="125">
        <f t="shared" ca="1" si="12"/>
        <v>0.72499999999999998</v>
      </c>
      <c r="Z29" s="77" t="str">
        <f t="shared" ca="1" si="8"/>
        <v>N/A</v>
      </c>
      <c r="AA29" s="125" t="e">
        <f t="shared" ca="1" si="10"/>
        <v>#VALUE!</v>
      </c>
      <c r="AB29" s="77" t="e">
        <f t="shared" ca="1" si="11"/>
        <v>#VALUE!</v>
      </c>
      <c r="AC29" s="77"/>
      <c r="AD29" s="184"/>
      <c r="AE29" s="181"/>
      <c r="AF29" s="190"/>
      <c r="AG29" s="186"/>
      <c r="AH29" s="187"/>
      <c r="AI29" s="187"/>
      <c r="AJ29" s="188"/>
    </row>
    <row r="30" spans="1:36" x14ac:dyDescent="0.25">
      <c r="A30" s="44" t="s">
        <v>447</v>
      </c>
      <c r="B30" s="110" t="str">
        <f ca="1">IFERROR(MATCH(A30,OFFSET(Dividends,0,0,,1),0),"")</f>
        <v/>
      </c>
      <c r="C30" s="1">
        <f>IF(ISERROR(D30),"",IF(D30="","",MAX($C$12:C29)+1))</f>
        <v>18</v>
      </c>
      <c r="D30" t="s">
        <v>448</v>
      </c>
      <c r="E30" s="15"/>
      <c r="F30" s="125">
        <f t="shared" ca="1" si="9"/>
        <v>2.33</v>
      </c>
      <c r="G30" s="125">
        <f t="shared" si="4"/>
        <v>2.48</v>
      </c>
      <c r="H30" s="125">
        <f t="shared" si="5"/>
        <v>2.33</v>
      </c>
      <c r="I30" s="125">
        <f t="shared" si="6"/>
        <v>2.1800000000000002</v>
      </c>
      <c r="J30" s="125" t="str">
        <f t="shared" ca="1" si="13"/>
        <v>N/A</v>
      </c>
      <c r="K30" s="125" t="str">
        <f t="shared" ca="1" si="13"/>
        <v>N/A</v>
      </c>
      <c r="L30" s="125" t="str">
        <f t="shared" ca="1" si="14"/>
        <v>N/A</v>
      </c>
      <c r="M30" s="125" t="str">
        <f t="shared" ca="1" si="15"/>
        <v>N/A</v>
      </c>
      <c r="N30" s="125" t="str">
        <f t="shared" ca="1" si="12"/>
        <v>N/A</v>
      </c>
      <c r="O30" s="125" t="str">
        <f t="shared" ca="1" si="12"/>
        <v>N/A</v>
      </c>
      <c r="P30" s="125" t="str">
        <f t="shared" ca="1" si="12"/>
        <v>N/A</v>
      </c>
      <c r="Q30" s="125" t="str">
        <f t="shared" ca="1" si="12"/>
        <v>N/A</v>
      </c>
      <c r="R30" s="125" t="str">
        <f t="shared" ca="1" si="12"/>
        <v>N/A</v>
      </c>
      <c r="S30" s="125" t="str">
        <f t="shared" ca="1" si="12"/>
        <v>N/A</v>
      </c>
      <c r="T30" s="125" t="str">
        <f t="shared" ca="1" si="12"/>
        <v>N/A</v>
      </c>
      <c r="U30" s="125" t="str">
        <f t="shared" ca="1" si="12"/>
        <v>N/A</v>
      </c>
      <c r="V30" s="125" t="str">
        <f t="shared" ca="1" si="12"/>
        <v>N/A</v>
      </c>
      <c r="W30" s="125" t="str">
        <f t="shared" ca="1" si="12"/>
        <v>N/A</v>
      </c>
      <c r="X30" s="125" t="str">
        <f t="shared" ca="1" si="12"/>
        <v>N/A</v>
      </c>
      <c r="Z30" s="77" t="str">
        <f t="shared" ca="1" si="8"/>
        <v>N/A</v>
      </c>
      <c r="AA30" s="125"/>
      <c r="AB30" s="77"/>
      <c r="AC30" s="77"/>
      <c r="AD30" s="184"/>
      <c r="AE30" s="181"/>
      <c r="AF30" s="190"/>
      <c r="AG30" s="186"/>
      <c r="AH30" s="187"/>
      <c r="AI30" s="187"/>
      <c r="AJ30" s="188"/>
    </row>
    <row r="31" spans="1:36" x14ac:dyDescent="0.25">
      <c r="A31" s="44" t="s">
        <v>18</v>
      </c>
      <c r="B31" s="110">
        <f t="shared" ca="1" si="2"/>
        <v>31</v>
      </c>
      <c r="C31" s="1">
        <f>IF(ISERROR(D31),"",IF(D31="","",MAX($C$12:C30)+1))</f>
        <v>19</v>
      </c>
      <c r="D31" t="str">
        <f t="shared" si="3"/>
        <v xml:space="preserve">Exelon Corp.                  </v>
      </c>
      <c r="E31" s="15"/>
      <c r="F31" s="125">
        <f t="shared" ca="1" si="9"/>
        <v>1.6163888888888893</v>
      </c>
      <c r="G31" s="125">
        <f t="shared" si="4"/>
        <v>1.44</v>
      </c>
      <c r="H31" s="125">
        <f t="shared" si="5"/>
        <v>1.35</v>
      </c>
      <c r="I31" s="125">
        <f t="shared" si="6"/>
        <v>1.53</v>
      </c>
      <c r="J31" s="125">
        <f t="shared" ca="1" si="13"/>
        <v>1.53</v>
      </c>
      <c r="K31" s="125">
        <f t="shared" ca="1" si="13"/>
        <v>1.45</v>
      </c>
      <c r="L31" s="125">
        <f t="shared" ca="1" si="14"/>
        <v>1.38</v>
      </c>
      <c r="M31" s="125">
        <f t="shared" ca="1" si="15"/>
        <v>1.31</v>
      </c>
      <c r="N31" s="125">
        <f t="shared" ca="1" si="12"/>
        <v>1.26</v>
      </c>
      <c r="O31" s="125">
        <f t="shared" ca="1" si="12"/>
        <v>1.24</v>
      </c>
      <c r="P31" s="125">
        <f t="shared" ca="1" si="12"/>
        <v>1.24</v>
      </c>
      <c r="Q31" s="125">
        <f t="shared" ca="1" si="12"/>
        <v>1.4550000000000001</v>
      </c>
      <c r="R31" s="125">
        <f t="shared" ca="1" si="12"/>
        <v>2.1</v>
      </c>
      <c r="S31" s="125">
        <f t="shared" ca="1" si="12"/>
        <v>2.1</v>
      </c>
      <c r="T31" s="125">
        <f t="shared" ca="1" si="12"/>
        <v>2.1</v>
      </c>
      <c r="U31" s="125">
        <f t="shared" ca="1" si="12"/>
        <v>2.1</v>
      </c>
      <c r="V31" s="125">
        <f t="shared" ca="1" si="12"/>
        <v>2.0499999999999998</v>
      </c>
      <c r="W31" s="125">
        <f t="shared" ca="1" si="12"/>
        <v>1.82</v>
      </c>
      <c r="X31" s="125">
        <f t="shared" ca="1" si="12"/>
        <v>1.64</v>
      </c>
      <c r="Z31" s="77" t="str">
        <f t="shared" ca="1" si="8"/>
        <v>N/A</v>
      </c>
      <c r="AA31" s="125" t="e">
        <f t="shared" ca="1" si="10"/>
        <v>#VALUE!</v>
      </c>
      <c r="AB31" s="77" t="e">
        <f t="shared" ca="1" si="11"/>
        <v>#VALUE!</v>
      </c>
      <c r="AC31" s="77"/>
      <c r="AD31" s="184"/>
      <c r="AE31" s="181"/>
      <c r="AF31" s="190"/>
      <c r="AG31" s="186"/>
      <c r="AH31" s="187"/>
      <c r="AI31" s="187"/>
      <c r="AJ31" s="188"/>
    </row>
    <row r="32" spans="1:36" x14ac:dyDescent="0.25">
      <c r="A32" s="44" t="s">
        <v>19</v>
      </c>
      <c r="B32" s="110">
        <f t="shared" ca="1" si="2"/>
        <v>32</v>
      </c>
      <c r="C32" s="1">
        <f>IF(ISERROR(D32),"",IF(D32="","",MAX($C$12:C31)+1))</f>
        <v>20</v>
      </c>
      <c r="D32" t="str">
        <f t="shared" si="3"/>
        <v xml:space="preserve">FirstEnergy Corp.             </v>
      </c>
      <c r="E32" s="15"/>
      <c r="F32" s="125">
        <f t="shared" ca="1" si="9"/>
        <v>1.7744444444444443</v>
      </c>
      <c r="G32" s="125">
        <f t="shared" si="4"/>
        <v>1.6</v>
      </c>
      <c r="H32" s="125">
        <f t="shared" si="5"/>
        <v>1.56</v>
      </c>
      <c r="I32" s="125">
        <f t="shared" si="6"/>
        <v>1.56</v>
      </c>
      <c r="J32" s="125">
        <f t="shared" ca="1" si="13"/>
        <v>1.56</v>
      </c>
      <c r="K32" s="125">
        <f t="shared" ca="1" si="13"/>
        <v>1.53</v>
      </c>
      <c r="L32" s="125">
        <f t="shared" ca="1" si="14"/>
        <v>1.82</v>
      </c>
      <c r="M32" s="125">
        <f t="shared" ca="1" si="15"/>
        <v>1.44</v>
      </c>
      <c r="N32" s="125">
        <f t="shared" ca="1" si="12"/>
        <v>1.44</v>
      </c>
      <c r="O32" s="125">
        <f t="shared" ca="1" si="12"/>
        <v>1.44</v>
      </c>
      <c r="P32" s="125">
        <f t="shared" ca="1" si="12"/>
        <v>1.44</v>
      </c>
      <c r="Q32" s="125">
        <f t="shared" ca="1" si="12"/>
        <v>1.65</v>
      </c>
      <c r="R32" s="125">
        <f t="shared" ca="1" si="12"/>
        <v>2.2000000000000002</v>
      </c>
      <c r="S32" s="125">
        <f t="shared" ca="1" si="12"/>
        <v>2.2000000000000002</v>
      </c>
      <c r="T32" s="125">
        <f t="shared" ca="1" si="12"/>
        <v>2.2000000000000002</v>
      </c>
      <c r="U32" s="125">
        <f t="shared" ca="1" si="12"/>
        <v>2.2000000000000002</v>
      </c>
      <c r="V32" s="125">
        <f t="shared" ca="1" si="12"/>
        <v>2.2000000000000002</v>
      </c>
      <c r="W32" s="125">
        <f t="shared" ca="1" si="12"/>
        <v>2.0499999999999998</v>
      </c>
      <c r="X32" s="125">
        <f t="shared" ca="1" si="12"/>
        <v>1.85</v>
      </c>
      <c r="Z32" s="77" t="str">
        <f t="shared" ca="1" si="8"/>
        <v>N/A</v>
      </c>
      <c r="AA32" s="125" t="e">
        <f t="shared" ca="1" si="10"/>
        <v>#VALUE!</v>
      </c>
      <c r="AB32" s="77" t="e">
        <f t="shared" ca="1" si="11"/>
        <v>#VALUE!</v>
      </c>
      <c r="AC32" s="77"/>
      <c r="AD32" s="184"/>
      <c r="AE32" s="181"/>
      <c r="AF32" s="190"/>
      <c r="AG32" s="186"/>
      <c r="AH32" s="187"/>
      <c r="AI32" s="187"/>
      <c r="AJ32" s="188"/>
    </row>
    <row r="33" spans="1:36" x14ac:dyDescent="0.25">
      <c r="A33" s="44" t="s">
        <v>266</v>
      </c>
      <c r="B33" s="110">
        <f t="shared" ca="1" si="2"/>
        <v>33</v>
      </c>
      <c r="C33" s="1">
        <f>IF(ISERROR(D33),"",IF(D33="","",MAX($C$12:C32)+1))</f>
        <v>21</v>
      </c>
      <c r="D33" t="str">
        <f t="shared" si="3"/>
        <v>Fortis Inc.</v>
      </c>
      <c r="E33" s="15"/>
      <c r="F33" s="125">
        <f t="shared" ca="1" si="9"/>
        <v>1.4622222222222225</v>
      </c>
      <c r="G33" s="125">
        <f t="shared" si="4"/>
        <v>2.29</v>
      </c>
      <c r="H33" s="125">
        <f t="shared" si="5"/>
        <v>2.17</v>
      </c>
      <c r="I33" s="125">
        <f t="shared" si="6"/>
        <v>2.08</v>
      </c>
      <c r="J33" s="125">
        <f t="shared" ca="1" si="13"/>
        <v>1.9650000000000001</v>
      </c>
      <c r="K33" s="125">
        <f t="shared" ca="1" si="13"/>
        <v>1.855</v>
      </c>
      <c r="L33" s="125">
        <f t="shared" ca="1" si="14"/>
        <v>1.75</v>
      </c>
      <c r="M33" s="125">
        <f t="shared" ca="1" si="15"/>
        <v>1.65</v>
      </c>
      <c r="N33" s="125">
        <f t="shared" ca="1" si="12"/>
        <v>1.55</v>
      </c>
      <c r="O33" s="125">
        <f t="shared" ca="1" si="12"/>
        <v>1.43</v>
      </c>
      <c r="P33" s="125">
        <f t="shared" ca="1" si="12"/>
        <v>1.3</v>
      </c>
      <c r="Q33" s="125">
        <f t="shared" ca="1" si="12"/>
        <v>1.25</v>
      </c>
      <c r="R33" s="125">
        <f t="shared" ca="1" si="12"/>
        <v>1.21</v>
      </c>
      <c r="S33" s="125">
        <f t="shared" ca="1" si="12"/>
        <v>1.17</v>
      </c>
      <c r="T33" s="125">
        <f t="shared" ca="1" si="12"/>
        <v>1.1200000000000001</v>
      </c>
      <c r="U33" s="125">
        <f t="shared" ca="1" si="12"/>
        <v>1.04</v>
      </c>
      <c r="V33" s="125">
        <f t="shared" ca="1" si="12"/>
        <v>1</v>
      </c>
      <c r="W33" s="125">
        <f t="shared" ca="1" si="12"/>
        <v>0.82</v>
      </c>
      <c r="X33" s="125">
        <f t="shared" ca="1" si="12"/>
        <v>0.67</v>
      </c>
      <c r="Z33" s="77" t="str">
        <f t="shared" ca="1" si="8"/>
        <v>N/A</v>
      </c>
      <c r="AA33" s="125" t="e">
        <f t="shared" ca="1" si="10"/>
        <v>#VALUE!</v>
      </c>
      <c r="AB33" s="77" t="e">
        <f t="shared" ca="1" si="11"/>
        <v>#VALUE!</v>
      </c>
      <c r="AC33" s="77"/>
      <c r="AD33" s="184"/>
      <c r="AE33" s="181"/>
      <c r="AF33" s="190"/>
      <c r="AG33" s="186"/>
      <c r="AH33" s="187"/>
      <c r="AI33" s="187"/>
      <c r="AJ33" s="188"/>
    </row>
    <row r="34" spans="1:36" x14ac:dyDescent="0.25">
      <c r="A34" s="44" t="s">
        <v>20</v>
      </c>
      <c r="B34" s="110">
        <f t="shared" ca="1" si="2"/>
        <v>35</v>
      </c>
      <c r="C34" s="1">
        <f>IF(ISERROR(D34),"",IF(D34="","",MAX($C$12:C33)+1))</f>
        <v>22</v>
      </c>
      <c r="D34" t="str">
        <f t="shared" si="3"/>
        <v xml:space="preserve">Great Plains Energy             </v>
      </c>
      <c r="E34" s="15"/>
      <c r="F34" s="125">
        <f t="shared" ca="1" si="9"/>
        <v>1.1083333333333334</v>
      </c>
      <c r="G34" s="125" t="str">
        <f t="shared" si="4"/>
        <v>N/A</v>
      </c>
      <c r="H34" s="125" t="str">
        <f t="shared" si="5"/>
        <v>N/A</v>
      </c>
      <c r="I34" s="125" t="str">
        <f t="shared" si="6"/>
        <v>N/A</v>
      </c>
      <c r="J34" s="125" t="str">
        <f t="shared" ca="1" si="13"/>
        <v>N/A</v>
      </c>
      <c r="K34" s="125" t="str">
        <f t="shared" ca="1" si="13"/>
        <v>N/A</v>
      </c>
      <c r="L34" s="125" t="str">
        <f t="shared" ca="1" si="14"/>
        <v>N/A</v>
      </c>
      <c r="M34" s="125">
        <f t="shared" ca="1" si="15"/>
        <v>1.1000000000000001</v>
      </c>
      <c r="N34" s="125">
        <f t="shared" ref="N34:X42" ca="1" si="16">IFERROR(IF(INDEX(Dividends,$B34,N$12)=0,"N/A",INDEX(Dividends,$B34,N$12)),"N/A")</f>
        <v>1.0549999999999999</v>
      </c>
      <c r="O34" s="125">
        <f t="shared" ca="1" si="16"/>
        <v>0.998</v>
      </c>
      <c r="P34" s="125">
        <f t="shared" ca="1" si="16"/>
        <v>0.93500000000000005</v>
      </c>
      <c r="Q34" s="125">
        <f t="shared" ca="1" si="16"/>
        <v>0.88200000000000001</v>
      </c>
      <c r="R34" s="125">
        <f t="shared" ca="1" si="16"/>
        <v>0.85499999999999998</v>
      </c>
      <c r="S34" s="125">
        <f t="shared" ca="1" si="16"/>
        <v>0.83499999999999996</v>
      </c>
      <c r="T34" s="125">
        <f t="shared" ca="1" si="16"/>
        <v>0.83</v>
      </c>
      <c r="U34" s="125">
        <f t="shared" ca="1" si="16"/>
        <v>0.83</v>
      </c>
      <c r="V34" s="125">
        <f t="shared" ca="1" si="16"/>
        <v>1.66</v>
      </c>
      <c r="W34" s="125">
        <f t="shared" ca="1" si="16"/>
        <v>1.66</v>
      </c>
      <c r="X34" s="125">
        <f t="shared" ca="1" si="16"/>
        <v>1.66</v>
      </c>
      <c r="Z34" s="77" t="str">
        <f t="shared" ca="1" si="8"/>
        <v>N/A</v>
      </c>
      <c r="AA34" s="125" t="e">
        <f ca="1">+X34*(1+Z34)^10</f>
        <v>#VALUE!</v>
      </c>
      <c r="AB34" s="77" t="e">
        <f t="shared" ca="1" si="11"/>
        <v>#VALUE!</v>
      </c>
      <c r="AC34" s="77"/>
      <c r="AD34" s="184"/>
      <c r="AE34" s="181"/>
      <c r="AF34" s="190"/>
      <c r="AG34" s="186"/>
      <c r="AH34" s="187"/>
      <c r="AI34" s="187"/>
      <c r="AJ34" s="188"/>
    </row>
    <row r="35" spans="1:36" x14ac:dyDescent="0.25">
      <c r="A35" s="44" t="s">
        <v>21</v>
      </c>
      <c r="B35" s="110">
        <f t="shared" ca="1" si="2"/>
        <v>36</v>
      </c>
      <c r="C35" s="1">
        <f>IF(ISERROR(D35),"",IF(D35="","",MAX($C$12:C34)+1))</f>
        <v>23</v>
      </c>
      <c r="D35" t="str">
        <f t="shared" si="3"/>
        <v xml:space="preserve">Hawaiian Elec.                </v>
      </c>
      <c r="E35" s="15"/>
      <c r="F35" s="125">
        <f t="shared" ca="1" si="9"/>
        <v>1.253333333333333</v>
      </c>
      <c r="G35" s="125">
        <f t="shared" si="4"/>
        <v>1.08</v>
      </c>
      <c r="H35" s="125">
        <f t="shared" si="5"/>
        <v>1.4</v>
      </c>
      <c r="I35" s="125">
        <f t="shared" si="6"/>
        <v>1.36</v>
      </c>
      <c r="J35" s="125">
        <f t="shared" ca="1" si="13"/>
        <v>1.32</v>
      </c>
      <c r="K35" s="125">
        <f t="shared" ca="1" si="13"/>
        <v>1.28</v>
      </c>
      <c r="L35" s="125">
        <f t="shared" ca="1" si="14"/>
        <v>1.24</v>
      </c>
      <c r="M35" s="125">
        <f t="shared" ca="1" si="15"/>
        <v>1.24</v>
      </c>
      <c r="N35" s="125">
        <f t="shared" ca="1" si="16"/>
        <v>1.24</v>
      </c>
      <c r="O35" s="125">
        <f t="shared" ca="1" si="16"/>
        <v>1.24</v>
      </c>
      <c r="P35" s="125">
        <f t="shared" ca="1" si="16"/>
        <v>1.24</v>
      </c>
      <c r="Q35" s="125">
        <f t="shared" ca="1" si="16"/>
        <v>1.24</v>
      </c>
      <c r="R35" s="125">
        <f t="shared" ca="1" si="16"/>
        <v>1.24</v>
      </c>
      <c r="S35" s="125">
        <f t="shared" ca="1" si="16"/>
        <v>1.24</v>
      </c>
      <c r="T35" s="125">
        <f t="shared" ca="1" si="16"/>
        <v>1.24</v>
      </c>
      <c r="U35" s="125">
        <f t="shared" ca="1" si="16"/>
        <v>1.24</v>
      </c>
      <c r="V35" s="125">
        <f t="shared" ca="1" si="16"/>
        <v>1.24</v>
      </c>
      <c r="W35" s="125">
        <f t="shared" ca="1" si="16"/>
        <v>1.24</v>
      </c>
      <c r="X35" s="125">
        <f t="shared" ca="1" si="16"/>
        <v>1.24</v>
      </c>
      <c r="Z35" s="77" t="str">
        <f t="shared" ca="1" si="8"/>
        <v>N/A</v>
      </c>
      <c r="AA35" s="125" t="e">
        <f t="shared" ca="1" si="10"/>
        <v>#VALUE!</v>
      </c>
      <c r="AB35" s="77" t="e">
        <f t="shared" ca="1" si="11"/>
        <v>#VALUE!</v>
      </c>
      <c r="AC35" s="77"/>
      <c r="AD35" s="184"/>
      <c r="AE35" s="181"/>
      <c r="AF35" s="190"/>
      <c r="AG35" s="186"/>
      <c r="AH35" s="187"/>
      <c r="AI35" s="187"/>
      <c r="AJ35" s="188"/>
    </row>
    <row r="36" spans="1:36" x14ac:dyDescent="0.25">
      <c r="A36" s="44" t="s">
        <v>22</v>
      </c>
      <c r="B36" s="110">
        <f t="shared" ca="1" si="2"/>
        <v>37</v>
      </c>
      <c r="C36" s="1">
        <f>IF(ISERROR(D36),"",IF(D36="","",MAX($C$12:C35)+1))</f>
        <v>24</v>
      </c>
      <c r="D36" t="str">
        <f t="shared" si="3"/>
        <v xml:space="preserve">IDACORP, Inc.                 </v>
      </c>
      <c r="E36" s="15"/>
      <c r="F36" s="125">
        <f t="shared" ca="1" si="9"/>
        <v>1.9411111111111115</v>
      </c>
      <c r="G36" s="125">
        <f t="shared" si="4"/>
        <v>3.2</v>
      </c>
      <c r="H36" s="125">
        <f t="shared" si="5"/>
        <v>3.04</v>
      </c>
      <c r="I36" s="125">
        <f t="shared" si="6"/>
        <v>2.88</v>
      </c>
      <c r="J36" s="125">
        <f t="shared" ca="1" si="13"/>
        <v>2.72</v>
      </c>
      <c r="K36" s="125">
        <f t="shared" ca="1" si="13"/>
        <v>2.56</v>
      </c>
      <c r="L36" s="125">
        <f t="shared" ca="1" si="14"/>
        <v>2.4</v>
      </c>
      <c r="M36" s="125">
        <f t="shared" ca="1" si="15"/>
        <v>2.2400000000000002</v>
      </c>
      <c r="N36" s="125">
        <f t="shared" ca="1" si="16"/>
        <v>2.08</v>
      </c>
      <c r="O36" s="125">
        <f t="shared" ca="1" si="16"/>
        <v>1.92</v>
      </c>
      <c r="P36" s="125">
        <f t="shared" ca="1" si="16"/>
        <v>1.76</v>
      </c>
      <c r="Q36" s="125">
        <f t="shared" ca="1" si="16"/>
        <v>1.57</v>
      </c>
      <c r="R36" s="125">
        <f t="shared" ca="1" si="16"/>
        <v>1.37</v>
      </c>
      <c r="S36" s="125">
        <f t="shared" ca="1" si="16"/>
        <v>1.2</v>
      </c>
      <c r="T36" s="125">
        <f t="shared" ca="1" si="16"/>
        <v>1.2</v>
      </c>
      <c r="U36" s="125">
        <f t="shared" ca="1" si="16"/>
        <v>1.2</v>
      </c>
      <c r="V36" s="125">
        <f t="shared" ca="1" si="16"/>
        <v>1.2</v>
      </c>
      <c r="W36" s="125">
        <f t="shared" ca="1" si="16"/>
        <v>1.2</v>
      </c>
      <c r="X36" s="125">
        <f t="shared" ca="1" si="16"/>
        <v>1.2</v>
      </c>
      <c r="Z36" s="77" t="str">
        <f t="shared" ca="1" si="8"/>
        <v>N/A</v>
      </c>
      <c r="AA36" s="125" t="e">
        <f t="shared" ca="1" si="10"/>
        <v>#VALUE!</v>
      </c>
      <c r="AB36" s="77" t="e">
        <f t="shared" ca="1" si="11"/>
        <v>#VALUE!</v>
      </c>
      <c r="AC36" s="77"/>
      <c r="AD36" s="184"/>
      <c r="AE36" s="181"/>
      <c r="AF36" s="190"/>
      <c r="AG36" s="186"/>
      <c r="AH36" s="187"/>
      <c r="AI36" s="187"/>
      <c r="AJ36" s="188"/>
    </row>
    <row r="37" spans="1:36" x14ac:dyDescent="0.25">
      <c r="A37" s="44" t="s">
        <v>25</v>
      </c>
      <c r="B37" s="110">
        <f ca="1">IFERROR(MATCH(A37,OFFSET(Dividends,0,0,,1),0),"")</f>
        <v>38</v>
      </c>
      <c r="C37" s="1">
        <f>IF(ISERROR(D37),"",IF(D37="","",MAX($C$12:C36)+1))</f>
        <v>25</v>
      </c>
      <c r="D37" t="str">
        <f>VLOOKUP(A37,LUCurYr,2,FALSE)</f>
        <v xml:space="preserve">MGE Energy                    </v>
      </c>
      <c r="E37" s="15"/>
      <c r="F37" s="125">
        <f t="shared" ca="1" si="9"/>
        <v>1.1797058823529409</v>
      </c>
      <c r="G37" s="125">
        <f t="shared" si="4"/>
        <v>1.67</v>
      </c>
      <c r="H37" s="125">
        <f t="shared" si="5"/>
        <v>1.59</v>
      </c>
      <c r="I37" s="125" t="str">
        <f t="shared" si="6"/>
        <v>N/A</v>
      </c>
      <c r="J37" s="125">
        <f t="shared" ca="1" si="13"/>
        <v>1.4450000000000001</v>
      </c>
      <c r="K37" s="125">
        <f t="shared" ca="1" si="13"/>
        <v>1.38</v>
      </c>
      <c r="L37" s="125">
        <f t="shared" ca="1" si="14"/>
        <v>1.32</v>
      </c>
      <c r="M37" s="125">
        <f t="shared" ca="1" si="15"/>
        <v>1.26</v>
      </c>
      <c r="N37" s="125">
        <f t="shared" ca="1" si="16"/>
        <v>1.21</v>
      </c>
      <c r="O37" s="125">
        <f t="shared" ca="1" si="16"/>
        <v>1.1599999999999999</v>
      </c>
      <c r="P37" s="125">
        <f t="shared" ca="1" si="16"/>
        <v>1.1100000000000001</v>
      </c>
      <c r="Q37" s="125">
        <f t="shared" ca="1" si="16"/>
        <v>1.07</v>
      </c>
      <c r="R37" s="125">
        <f t="shared" ca="1" si="16"/>
        <v>1.04</v>
      </c>
      <c r="S37" s="125">
        <f t="shared" ca="1" si="16"/>
        <v>1.0109999999999999</v>
      </c>
      <c r="T37" s="125">
        <f t="shared" ca="1" si="16"/>
        <v>0.99299999999999999</v>
      </c>
      <c r="U37" s="125">
        <f t="shared" ca="1" si="16"/>
        <v>0.97299999999999998</v>
      </c>
      <c r="V37" s="125">
        <f t="shared" ca="1" si="16"/>
        <v>0.95599999999999996</v>
      </c>
      <c r="W37" s="125">
        <f t="shared" ca="1" si="16"/>
        <v>0.94</v>
      </c>
      <c r="X37" s="125">
        <f t="shared" ca="1" si="16"/>
        <v>0.92700000000000005</v>
      </c>
      <c r="Z37" s="77"/>
      <c r="AA37" s="125"/>
      <c r="AB37" s="77"/>
      <c r="AC37" s="77"/>
      <c r="AD37" s="184"/>
      <c r="AE37" s="181"/>
      <c r="AF37" s="190"/>
      <c r="AG37" s="186"/>
      <c r="AH37" s="187"/>
      <c r="AI37" s="187"/>
      <c r="AJ37" s="188"/>
    </row>
    <row r="38" spans="1:36" x14ac:dyDescent="0.25">
      <c r="A38" s="44" t="s">
        <v>141</v>
      </c>
      <c r="B38" s="110">
        <f ca="1">IFERROR(MATCH(A38,OFFSET(Dividends,0,0,,1),0),"")</f>
        <v>41</v>
      </c>
      <c r="C38" s="1">
        <f>IF(ISERROR(D38),"",IF(D38="","",MAX($C$12:C37)+1))</f>
        <v>26</v>
      </c>
      <c r="D38" t="str">
        <f>VLOOKUP(A38,LUCurYr,2,FALSE)</f>
        <v>NextEra Energy, Inc.</v>
      </c>
      <c r="E38" s="15"/>
      <c r="F38" s="125">
        <f t="shared" ca="1" si="9"/>
        <v>0.90222222222222215</v>
      </c>
      <c r="G38" s="125">
        <f t="shared" si="4"/>
        <v>1.87</v>
      </c>
      <c r="H38" s="125">
        <f t="shared" si="5"/>
        <v>1.7</v>
      </c>
      <c r="I38" s="125">
        <f t="shared" si="6"/>
        <v>1.54</v>
      </c>
      <c r="J38" s="125">
        <f t="shared" ca="1" si="13"/>
        <v>1.4</v>
      </c>
      <c r="K38" s="125">
        <f t="shared" ca="1" si="13"/>
        <v>1.25</v>
      </c>
      <c r="L38" s="125">
        <f t="shared" ca="1" si="14"/>
        <v>1.1100000000000001</v>
      </c>
      <c r="M38" s="125">
        <f t="shared" ca="1" si="15"/>
        <v>0.98</v>
      </c>
      <c r="N38" s="125">
        <f t="shared" ca="1" si="16"/>
        <v>0.87</v>
      </c>
      <c r="O38" s="125">
        <f t="shared" ca="1" si="16"/>
        <v>0.77</v>
      </c>
      <c r="P38" s="125">
        <f t="shared" ca="1" si="16"/>
        <v>0.73</v>
      </c>
      <c r="Q38" s="125">
        <f t="shared" ca="1" si="16"/>
        <v>0.66</v>
      </c>
      <c r="R38" s="125">
        <f t="shared" ca="1" si="16"/>
        <v>0.6</v>
      </c>
      <c r="S38" s="125">
        <f t="shared" ca="1" si="16"/>
        <v>0.55000000000000004</v>
      </c>
      <c r="T38" s="125">
        <f t="shared" ca="1" si="16"/>
        <v>0.5</v>
      </c>
      <c r="U38" s="125">
        <f t="shared" ca="1" si="16"/>
        <v>0.47</v>
      </c>
      <c r="V38" s="125">
        <f t="shared" ca="1" si="16"/>
        <v>0.45</v>
      </c>
      <c r="W38" s="125">
        <f t="shared" ca="1" si="16"/>
        <v>0.41</v>
      </c>
      <c r="X38" s="125">
        <f t="shared" ca="1" si="16"/>
        <v>0.38</v>
      </c>
      <c r="Z38" s="77" t="str">
        <f t="shared" ref="Z38:Z57" ca="1" si="17">IFERROR(IF(M38&gt;0,((M38/VLOOKUP(A38,$A$13:$X$53,BC38,0))^(1/(AD38)))-1,"N/A"),"N/A")</f>
        <v>N/A</v>
      </c>
      <c r="AA38" s="125" t="e">
        <f ca="1">+X38*(1+Z38)^11</f>
        <v>#VALUE!</v>
      </c>
      <c r="AB38" s="77" t="e">
        <f t="shared" ca="1" si="11"/>
        <v>#VALUE!</v>
      </c>
      <c r="AC38" s="77"/>
      <c r="AD38" s="184"/>
      <c r="AE38" s="181"/>
      <c r="AF38" s="190"/>
      <c r="AG38" s="186"/>
      <c r="AH38" s="187"/>
      <c r="AI38" s="187"/>
      <c r="AJ38" s="188"/>
    </row>
    <row r="39" spans="1:36" x14ac:dyDescent="0.25">
      <c r="A39" s="44" t="s">
        <v>144</v>
      </c>
      <c r="B39" s="110">
        <f t="shared" ca="1" si="2"/>
        <v>44</v>
      </c>
      <c r="C39" s="1">
        <f>IF(ISERROR(D39),"",IF(D39="","",MAX($C$12:C38)+1))</f>
        <v>27</v>
      </c>
      <c r="D39" t="str">
        <f t="shared" si="3"/>
        <v xml:space="preserve">NorthWestern Corp             </v>
      </c>
      <c r="E39" s="15"/>
      <c r="F39" s="125">
        <f t="shared" ca="1" si="9"/>
        <v>1.8366666666666671</v>
      </c>
      <c r="G39" s="125">
        <f t="shared" si="4"/>
        <v>2.56</v>
      </c>
      <c r="H39" s="125">
        <f t="shared" si="5"/>
        <v>2.52</v>
      </c>
      <c r="I39" s="125">
        <f t="shared" si="6"/>
        <v>2.48</v>
      </c>
      <c r="J39" s="125">
        <f t="shared" ca="1" si="13"/>
        <v>2.4</v>
      </c>
      <c r="K39" s="125">
        <f t="shared" ca="1" si="13"/>
        <v>2.2999999999999998</v>
      </c>
      <c r="L39" s="125">
        <f t="shared" ca="1" si="14"/>
        <v>2.2000000000000002</v>
      </c>
      <c r="M39" s="125">
        <f t="shared" ca="1" si="15"/>
        <v>2.1</v>
      </c>
      <c r="N39" s="125">
        <f t="shared" ca="1" si="16"/>
        <v>2</v>
      </c>
      <c r="O39" s="125">
        <f t="shared" ca="1" si="16"/>
        <v>1.92</v>
      </c>
      <c r="P39" s="125">
        <f t="shared" ca="1" si="16"/>
        <v>1.6</v>
      </c>
      <c r="Q39" s="125">
        <f t="shared" ca="1" si="16"/>
        <v>1.52</v>
      </c>
      <c r="R39" s="125">
        <f t="shared" ca="1" si="16"/>
        <v>1.48</v>
      </c>
      <c r="S39" s="125">
        <f t="shared" ca="1" si="16"/>
        <v>1.44</v>
      </c>
      <c r="T39" s="125">
        <f t="shared" ca="1" si="16"/>
        <v>1.36</v>
      </c>
      <c r="U39" s="125">
        <f t="shared" ca="1" si="16"/>
        <v>1.34</v>
      </c>
      <c r="V39" s="125">
        <f t="shared" ca="1" si="16"/>
        <v>1.32</v>
      </c>
      <c r="W39" s="125">
        <f t="shared" ca="1" si="16"/>
        <v>1.28</v>
      </c>
      <c r="X39" s="125">
        <f t="shared" ca="1" si="16"/>
        <v>1.24</v>
      </c>
      <c r="Z39" s="77" t="str">
        <f t="shared" ca="1" si="17"/>
        <v>N/A</v>
      </c>
      <c r="AA39" s="125" t="e">
        <f t="shared" ca="1" si="10"/>
        <v>#VALUE!</v>
      </c>
      <c r="AB39" s="77" t="e">
        <f t="shared" ca="1" si="11"/>
        <v>#VALUE!</v>
      </c>
      <c r="AC39" s="77"/>
      <c r="AD39" s="184"/>
      <c r="AE39" s="181"/>
      <c r="AF39" s="190"/>
      <c r="AG39" s="186"/>
      <c r="AH39" s="187"/>
      <c r="AI39" s="187"/>
      <c r="AJ39" s="188"/>
    </row>
    <row r="40" spans="1:36" x14ac:dyDescent="0.25">
      <c r="A40" s="44" t="s">
        <v>27</v>
      </c>
      <c r="B40" s="110">
        <f t="shared" ca="1" si="2"/>
        <v>45</v>
      </c>
      <c r="C40" s="1">
        <f>IF(ISERROR(D40),"",IF(D40="","",MAX($C$12:C39)+1))</f>
        <v>28</v>
      </c>
      <c r="D40" t="str">
        <f t="shared" si="3"/>
        <v xml:space="preserve">OGE Energy                    </v>
      </c>
      <c r="E40" s="15"/>
      <c r="F40" s="125">
        <f t="shared" ca="1" si="9"/>
        <v>1.0967222222222222</v>
      </c>
      <c r="G40" s="125">
        <f t="shared" si="4"/>
        <v>1.66</v>
      </c>
      <c r="H40" s="125">
        <f t="shared" si="5"/>
        <v>1.64</v>
      </c>
      <c r="I40" s="125">
        <f t="shared" si="6"/>
        <v>1.63</v>
      </c>
      <c r="J40" s="125">
        <f t="shared" ca="1" si="13"/>
        <v>1.58</v>
      </c>
      <c r="K40" s="125">
        <f t="shared" ca="1" si="13"/>
        <v>1.5049999999999999</v>
      </c>
      <c r="L40" s="125">
        <f t="shared" ca="1" si="14"/>
        <v>1.395</v>
      </c>
      <c r="M40" s="125">
        <f t="shared" ca="1" si="15"/>
        <v>1.27</v>
      </c>
      <c r="N40" s="125">
        <f t="shared" ca="1" si="16"/>
        <v>1.155</v>
      </c>
      <c r="O40" s="125">
        <f t="shared" ca="1" si="16"/>
        <v>1.05</v>
      </c>
      <c r="P40" s="125">
        <f t="shared" ca="1" si="16"/>
        <v>0.95</v>
      </c>
      <c r="Q40" s="125">
        <f t="shared" ca="1" si="16"/>
        <v>0.85099999999999998</v>
      </c>
      <c r="R40" s="125">
        <f t="shared" ca="1" si="16"/>
        <v>0.79800000000000004</v>
      </c>
      <c r="S40" s="125">
        <f t="shared" ca="1" si="16"/>
        <v>0.75900000000000001</v>
      </c>
      <c r="T40" s="125">
        <f t="shared" ca="1" si="16"/>
        <v>0.73199999999999998</v>
      </c>
      <c r="U40" s="125">
        <f t="shared" ca="1" si="16"/>
        <v>0.71399999999999997</v>
      </c>
      <c r="V40" s="125">
        <f t="shared" ca="1" si="16"/>
        <v>0.69899999999999995</v>
      </c>
      <c r="W40" s="125">
        <f t="shared" ca="1" si="16"/>
        <v>0.68400000000000005</v>
      </c>
      <c r="X40" s="125">
        <f t="shared" ca="1" si="16"/>
        <v>0.66900000000000004</v>
      </c>
      <c r="Z40" s="77" t="str">
        <f t="shared" ca="1" si="17"/>
        <v>N/A</v>
      </c>
      <c r="AA40" s="125" t="e">
        <f t="shared" ca="1" si="10"/>
        <v>#VALUE!</v>
      </c>
      <c r="AB40" s="77" t="e">
        <f t="shared" ca="1" si="11"/>
        <v>#VALUE!</v>
      </c>
      <c r="AC40" s="77"/>
      <c r="AD40" s="184"/>
      <c r="AE40" s="181"/>
      <c r="AF40" s="190"/>
      <c r="AG40" s="186"/>
      <c r="AH40" s="187"/>
      <c r="AI40" s="187"/>
      <c r="AJ40" s="188"/>
    </row>
    <row r="41" spans="1:36" x14ac:dyDescent="0.25">
      <c r="A41" s="44" t="s">
        <v>28</v>
      </c>
      <c r="B41" s="110">
        <f t="shared" ca="1" si="2"/>
        <v>47</v>
      </c>
      <c r="C41" s="1">
        <f>IF(ISERROR(D41),"",IF(D41="","",MAX($C$12:C40)+1))</f>
        <v>29</v>
      </c>
      <c r="D41" t="str">
        <f t="shared" si="3"/>
        <v xml:space="preserve">Otter Tail Corp.              </v>
      </c>
      <c r="E41" s="15"/>
      <c r="F41" s="125">
        <f t="shared" ca="1" si="9"/>
        <v>1.3116666666666665</v>
      </c>
      <c r="G41" s="125">
        <f t="shared" si="4"/>
        <v>1.75</v>
      </c>
      <c r="H41" s="125">
        <f t="shared" si="5"/>
        <v>1.65</v>
      </c>
      <c r="I41" s="125">
        <f t="shared" si="6"/>
        <v>1.56</v>
      </c>
      <c r="J41" s="125">
        <f t="shared" ca="1" si="13"/>
        <v>1.48</v>
      </c>
      <c r="K41" s="125">
        <f t="shared" ca="1" si="13"/>
        <v>1.4</v>
      </c>
      <c r="L41" s="125">
        <f t="shared" ca="1" si="14"/>
        <v>1.34</v>
      </c>
      <c r="M41" s="125">
        <f t="shared" ca="1" si="15"/>
        <v>1.28</v>
      </c>
      <c r="N41" s="125">
        <f t="shared" ca="1" si="16"/>
        <v>1.25</v>
      </c>
      <c r="O41" s="125">
        <f t="shared" ca="1" si="16"/>
        <v>1.23</v>
      </c>
      <c r="P41" s="125">
        <f t="shared" ca="1" si="16"/>
        <v>1.21</v>
      </c>
      <c r="Q41" s="125">
        <f t="shared" ca="1" si="16"/>
        <v>1.19</v>
      </c>
      <c r="R41" s="125">
        <f t="shared" ca="1" si="16"/>
        <v>1.19</v>
      </c>
      <c r="S41" s="125">
        <f t="shared" ca="1" si="16"/>
        <v>1.19</v>
      </c>
      <c r="T41" s="125">
        <f t="shared" ca="1" si="16"/>
        <v>1.19</v>
      </c>
      <c r="U41" s="125">
        <f t="shared" ca="1" si="16"/>
        <v>1.19</v>
      </c>
      <c r="V41" s="125">
        <f t="shared" ca="1" si="16"/>
        <v>1.19</v>
      </c>
      <c r="W41" s="125">
        <f t="shared" ca="1" si="16"/>
        <v>1.17</v>
      </c>
      <c r="X41" s="125">
        <f t="shared" ca="1" si="16"/>
        <v>1.1499999999999999</v>
      </c>
      <c r="Z41" s="77" t="str">
        <f t="shared" ca="1" si="17"/>
        <v>N/A</v>
      </c>
      <c r="AA41" s="125" t="e">
        <f t="shared" ca="1" si="10"/>
        <v>#VALUE!</v>
      </c>
      <c r="AB41" s="77" t="e">
        <f t="shared" ca="1" si="11"/>
        <v>#VALUE!</v>
      </c>
      <c r="AC41" s="77"/>
      <c r="AD41" s="184"/>
      <c r="AE41" s="181"/>
      <c r="AF41" s="190"/>
      <c r="AG41" s="186"/>
      <c r="AH41" s="187"/>
      <c r="AI41" s="187"/>
      <c r="AJ41" s="188"/>
    </row>
    <row r="42" spans="1:36" x14ac:dyDescent="0.25">
      <c r="A42" s="44" t="s">
        <v>31</v>
      </c>
      <c r="B42" s="110">
        <f t="shared" ca="1" si="2"/>
        <v>49</v>
      </c>
      <c r="C42" s="1">
        <f>IF(ISERROR(D42),"",IF(D42="","",MAX($C$12:C41)+1))</f>
        <v>30</v>
      </c>
      <c r="D42" t="str">
        <f t="shared" si="3"/>
        <v xml:space="preserve">Pinnacle West Capital         </v>
      </c>
      <c r="E42" s="15"/>
      <c r="F42" s="125">
        <f t="shared" ca="1" si="9"/>
        <v>2.6030555555555557</v>
      </c>
      <c r="G42" s="125">
        <f t="shared" si="4"/>
        <v>3.49</v>
      </c>
      <c r="H42" s="125">
        <f t="shared" si="5"/>
        <v>3.42</v>
      </c>
      <c r="I42" s="125">
        <f t="shared" si="6"/>
        <v>3.36</v>
      </c>
      <c r="J42" s="125">
        <f t="shared" ca="1" si="13"/>
        <v>3.23</v>
      </c>
      <c r="K42" s="125">
        <f t="shared" ca="1" si="13"/>
        <v>3.04</v>
      </c>
      <c r="L42" s="125">
        <f t="shared" ca="1" si="14"/>
        <v>2.87</v>
      </c>
      <c r="M42" s="125">
        <f t="shared" ca="1" si="15"/>
        <v>2.7</v>
      </c>
      <c r="N42" s="125">
        <f t="shared" ca="1" si="16"/>
        <v>2.56</v>
      </c>
      <c r="O42" s="125">
        <f t="shared" ca="1" si="16"/>
        <v>2.44</v>
      </c>
      <c r="P42" s="125">
        <f t="shared" ca="1" si="16"/>
        <v>2.3250000000000002</v>
      </c>
      <c r="Q42" s="125">
        <f t="shared" ca="1" si="16"/>
        <v>2.2250000000000001</v>
      </c>
      <c r="R42" s="125">
        <f t="shared" ca="1" si="16"/>
        <v>2.67</v>
      </c>
      <c r="S42" s="125">
        <f t="shared" ca="1" si="16"/>
        <v>2.1</v>
      </c>
      <c r="T42" s="125">
        <f t="shared" ca="1" si="16"/>
        <v>2.1</v>
      </c>
      <c r="U42" s="125">
        <f t="shared" ca="1" si="16"/>
        <v>2.1</v>
      </c>
      <c r="V42" s="125">
        <f t="shared" ca="1" si="16"/>
        <v>2.1</v>
      </c>
      <c r="W42" s="125">
        <f t="shared" ca="1" si="16"/>
        <v>2.1</v>
      </c>
      <c r="X42" s="125">
        <f t="shared" ca="1" si="16"/>
        <v>2.0249999999999999</v>
      </c>
      <c r="Z42" s="77" t="str">
        <f t="shared" ca="1" si="17"/>
        <v>N/A</v>
      </c>
      <c r="AA42" s="125" t="e">
        <f t="shared" ca="1" si="10"/>
        <v>#VALUE!</v>
      </c>
      <c r="AB42" s="77" t="e">
        <f t="shared" ca="1" si="11"/>
        <v>#VALUE!</v>
      </c>
      <c r="AC42" s="77"/>
      <c r="AD42" s="184"/>
      <c r="AE42" s="181"/>
      <c r="AF42" s="190"/>
      <c r="AG42" s="186"/>
      <c r="AH42" s="187"/>
      <c r="AI42" s="187"/>
      <c r="AJ42" s="188"/>
    </row>
    <row r="43" spans="1:36" x14ac:dyDescent="0.25">
      <c r="A43" s="44" t="s">
        <v>32</v>
      </c>
      <c r="B43" s="110">
        <f t="shared" ca="1" si="2"/>
        <v>50</v>
      </c>
      <c r="C43" s="1">
        <f>IF(ISERROR(D43),"",IF(D43="","",MAX($C$12:C42)+1))</f>
        <v>31</v>
      </c>
      <c r="D43" t="str">
        <f t="shared" si="3"/>
        <v xml:space="preserve">PNM Resources                 </v>
      </c>
      <c r="E43" s="15"/>
      <c r="F43" s="125">
        <f t="shared" ca="1" si="9"/>
        <v>0.88644444444444448</v>
      </c>
      <c r="G43" s="125">
        <f t="shared" si="4"/>
        <v>1.49</v>
      </c>
      <c r="H43" s="125">
        <f t="shared" si="5"/>
        <v>1.41</v>
      </c>
      <c r="I43" s="125">
        <f t="shared" si="6"/>
        <v>0.98</v>
      </c>
      <c r="J43" s="125">
        <f t="shared" ca="1" si="13"/>
        <v>1.25</v>
      </c>
      <c r="K43" s="125">
        <f t="shared" ca="1" si="13"/>
        <v>1.1779999999999999</v>
      </c>
      <c r="L43" s="125">
        <f t="shared" ca="1" si="14"/>
        <v>1.085</v>
      </c>
      <c r="M43" s="125">
        <f t="shared" ca="1" si="15"/>
        <v>0.99299999999999999</v>
      </c>
      <c r="N43" s="125">
        <f t="shared" ref="N43:X57" ca="1" si="18">IFERROR(IF(INDEX(Dividends,$B43,N$12)=0,"N/A",INDEX(Dividends,$B43,N$12)),"N/A")</f>
        <v>0.88</v>
      </c>
      <c r="O43" s="125">
        <f t="shared" ca="1" si="18"/>
        <v>0.8</v>
      </c>
      <c r="P43" s="125">
        <f t="shared" ca="1" si="18"/>
        <v>0.755</v>
      </c>
      <c r="Q43" s="125">
        <f t="shared" ca="1" si="18"/>
        <v>0.68</v>
      </c>
      <c r="R43" s="125">
        <f t="shared" ca="1" si="18"/>
        <v>0.57999999999999996</v>
      </c>
      <c r="S43" s="125">
        <f t="shared" ca="1" si="18"/>
        <v>0.5</v>
      </c>
      <c r="T43" s="125">
        <f t="shared" ca="1" si="18"/>
        <v>0.5</v>
      </c>
      <c r="U43" s="125">
        <f t="shared" ca="1" si="18"/>
        <v>0.5</v>
      </c>
      <c r="V43" s="125">
        <f t="shared" ca="1" si="18"/>
        <v>0.60499999999999998</v>
      </c>
      <c r="W43" s="125">
        <f t="shared" ca="1" si="18"/>
        <v>0.91</v>
      </c>
      <c r="X43" s="125">
        <f t="shared" ca="1" si="18"/>
        <v>0.86</v>
      </c>
      <c r="Z43" s="77" t="str">
        <f t="shared" ca="1" si="17"/>
        <v>N/A</v>
      </c>
      <c r="AA43" s="125" t="e">
        <f t="shared" ca="1" si="10"/>
        <v>#VALUE!</v>
      </c>
      <c r="AB43" s="77" t="e">
        <f t="shared" ca="1" si="11"/>
        <v>#VALUE!</v>
      </c>
      <c r="AC43" s="77"/>
      <c r="AD43" s="184"/>
      <c r="AE43" s="181"/>
      <c r="AF43" s="190"/>
      <c r="AG43" s="186"/>
      <c r="AH43" s="187"/>
      <c r="AI43" s="187"/>
      <c r="AJ43" s="188"/>
    </row>
    <row r="44" spans="1:36" x14ac:dyDescent="0.25">
      <c r="A44" s="44" t="s">
        <v>33</v>
      </c>
      <c r="B44" s="110">
        <f t="shared" ca="1" si="2"/>
        <v>51</v>
      </c>
      <c r="C44" s="1">
        <f>IF(ISERROR(D44),"",IF(D44="","",MAX($C$12:C43)+1))</f>
        <v>32</v>
      </c>
      <c r="D44" t="str">
        <f t="shared" si="3"/>
        <v xml:space="preserve">Portland General              </v>
      </c>
      <c r="E44" s="15"/>
      <c r="F44" s="125">
        <f t="shared" ca="1" si="9"/>
        <v>1.2578333333333334</v>
      </c>
      <c r="G44" s="125">
        <f t="shared" si="4"/>
        <v>1.88</v>
      </c>
      <c r="H44" s="125">
        <f t="shared" si="5"/>
        <v>1.79</v>
      </c>
      <c r="I44" s="125">
        <f t="shared" si="6"/>
        <v>1.7</v>
      </c>
      <c r="J44" s="125">
        <f t="shared" ca="1" si="13"/>
        <v>1.585</v>
      </c>
      <c r="K44" s="125">
        <f t="shared" ca="1" si="13"/>
        <v>1.518</v>
      </c>
      <c r="L44" s="125">
        <f t="shared" ca="1" si="14"/>
        <v>1.4279999999999999</v>
      </c>
      <c r="M44" s="125">
        <f t="shared" ca="1" si="15"/>
        <v>1.34</v>
      </c>
      <c r="N44" s="125">
        <f t="shared" ca="1" si="18"/>
        <v>1.26</v>
      </c>
      <c r="O44" s="125">
        <f t="shared" ca="1" si="18"/>
        <v>1.18</v>
      </c>
      <c r="P44" s="125">
        <f t="shared" ca="1" si="18"/>
        <v>1.115</v>
      </c>
      <c r="Q44" s="125">
        <f t="shared" ca="1" si="18"/>
        <v>1.095</v>
      </c>
      <c r="R44" s="125">
        <f t="shared" ca="1" si="18"/>
        <v>1.075</v>
      </c>
      <c r="S44" s="125">
        <f t="shared" ca="1" si="18"/>
        <v>1.0549999999999999</v>
      </c>
      <c r="T44" s="125">
        <f t="shared" ca="1" si="18"/>
        <v>1.0349999999999999</v>
      </c>
      <c r="U44" s="125">
        <f t="shared" ca="1" si="18"/>
        <v>1.01</v>
      </c>
      <c r="V44" s="125">
        <f t="shared" ca="1" si="18"/>
        <v>0.97</v>
      </c>
      <c r="W44" s="125">
        <f t="shared" ca="1" si="18"/>
        <v>0.93</v>
      </c>
      <c r="X44" s="125">
        <f t="shared" ca="1" si="18"/>
        <v>0.67500000000000004</v>
      </c>
      <c r="Z44" s="77" t="str">
        <f t="shared" ca="1" si="17"/>
        <v>N/A</v>
      </c>
      <c r="AA44" s="125" t="e">
        <f t="shared" ca="1" si="10"/>
        <v>#VALUE!</v>
      </c>
      <c r="AB44" s="77" t="e">
        <f t="shared" ca="1" si="11"/>
        <v>#VALUE!</v>
      </c>
      <c r="AC44" s="77"/>
      <c r="AD44" s="184"/>
      <c r="AE44" s="181"/>
      <c r="AF44" s="190"/>
      <c r="AG44" s="186"/>
      <c r="AH44" s="187"/>
      <c r="AI44" s="187"/>
      <c r="AJ44" s="188"/>
    </row>
    <row r="45" spans="1:36" x14ac:dyDescent="0.25">
      <c r="A45" s="44" t="s">
        <v>34</v>
      </c>
      <c r="B45" s="110">
        <f t="shared" ca="1" si="2"/>
        <v>52</v>
      </c>
      <c r="C45" s="1">
        <f>IF(ISERROR(D45),"",IF(D45="","",MAX($C$12:C44)+1))</f>
        <v>33</v>
      </c>
      <c r="D45" t="str">
        <f t="shared" si="3"/>
        <v xml:space="preserve">PPL Corp.                     </v>
      </c>
      <c r="E45" s="15"/>
      <c r="F45" s="125">
        <f t="shared" ca="1" si="9"/>
        <v>1.4044444444444444</v>
      </c>
      <c r="G45" s="125">
        <f t="shared" si="4"/>
        <v>0.95</v>
      </c>
      <c r="H45" s="125">
        <f t="shared" si="5"/>
        <v>0.88</v>
      </c>
      <c r="I45" s="125">
        <f t="shared" si="6"/>
        <v>1.66</v>
      </c>
      <c r="J45" s="125">
        <f t="shared" ca="1" si="13"/>
        <v>1.66</v>
      </c>
      <c r="K45" s="125">
        <f t="shared" ca="1" si="13"/>
        <v>1.65</v>
      </c>
      <c r="L45" s="125">
        <f t="shared" ca="1" si="14"/>
        <v>1.64</v>
      </c>
      <c r="M45" s="125">
        <f t="shared" ca="1" si="15"/>
        <v>1.58</v>
      </c>
      <c r="N45" s="125">
        <f t="shared" ca="1" si="18"/>
        <v>1.52</v>
      </c>
      <c r="O45" s="125">
        <f t="shared" ca="1" si="18"/>
        <v>1.5</v>
      </c>
      <c r="P45" s="125">
        <f t="shared" ca="1" si="18"/>
        <v>1.49</v>
      </c>
      <c r="Q45" s="125">
        <f t="shared" ca="1" si="18"/>
        <v>1.47</v>
      </c>
      <c r="R45" s="125">
        <f t="shared" ca="1" si="18"/>
        <v>1.44</v>
      </c>
      <c r="S45" s="125">
        <f t="shared" ca="1" si="18"/>
        <v>1.4</v>
      </c>
      <c r="T45" s="125">
        <f t="shared" ca="1" si="18"/>
        <v>1.4</v>
      </c>
      <c r="U45" s="125">
        <f t="shared" ca="1" si="18"/>
        <v>1.38</v>
      </c>
      <c r="V45" s="125">
        <f t="shared" ca="1" si="18"/>
        <v>1.34</v>
      </c>
      <c r="W45" s="125">
        <f t="shared" ca="1" si="18"/>
        <v>1.22</v>
      </c>
      <c r="X45" s="125">
        <f t="shared" ca="1" si="18"/>
        <v>1.1000000000000001</v>
      </c>
      <c r="Z45" s="77" t="str">
        <f t="shared" ca="1" si="17"/>
        <v>N/A</v>
      </c>
      <c r="AA45" s="125" t="e">
        <f t="shared" ca="1" si="10"/>
        <v>#VALUE!</v>
      </c>
      <c r="AB45" s="77" t="e">
        <f t="shared" ca="1" si="11"/>
        <v>#VALUE!</v>
      </c>
      <c r="AC45" s="77"/>
      <c r="AD45" s="184"/>
      <c r="AE45" s="181"/>
      <c r="AF45" s="190"/>
      <c r="AG45" s="186"/>
      <c r="AH45" s="187"/>
      <c r="AI45" s="187"/>
      <c r="AJ45" s="188"/>
    </row>
    <row r="46" spans="1:36" x14ac:dyDescent="0.25">
      <c r="A46" s="44" t="s">
        <v>35</v>
      </c>
      <c r="B46" s="110">
        <f t="shared" ca="1" si="2"/>
        <v>53</v>
      </c>
      <c r="C46" s="1">
        <f>IF(ISERROR(D46),"",IF(D46="","",MAX($C$12:C45)+1))</f>
        <v>34</v>
      </c>
      <c r="D46" t="str">
        <f t="shared" si="3"/>
        <v xml:space="preserve">Public Serv. Enterprise       </v>
      </c>
      <c r="E46" s="15"/>
      <c r="F46" s="125">
        <f t="shared" ca="1" si="9"/>
        <v>1.6138888888888892</v>
      </c>
      <c r="G46" s="125">
        <f t="shared" si="4"/>
        <v>2.2799999999999998</v>
      </c>
      <c r="H46" s="125">
        <f t="shared" si="5"/>
        <v>2.16</v>
      </c>
      <c r="I46" s="125">
        <f t="shared" si="6"/>
        <v>2.04</v>
      </c>
      <c r="J46" s="125">
        <f t="shared" ca="1" si="13"/>
        <v>1.96</v>
      </c>
      <c r="K46" s="125">
        <f t="shared" ca="1" si="13"/>
        <v>1.88</v>
      </c>
      <c r="L46" s="125">
        <f t="shared" ca="1" si="14"/>
        <v>1.8</v>
      </c>
      <c r="M46" s="125">
        <f t="shared" ca="1" si="15"/>
        <v>1.72</v>
      </c>
      <c r="N46" s="125">
        <f t="shared" ca="1" si="18"/>
        <v>1.64</v>
      </c>
      <c r="O46" s="125">
        <f t="shared" ca="1" si="18"/>
        <v>1.56</v>
      </c>
      <c r="P46" s="125">
        <f t="shared" ca="1" si="18"/>
        <v>1.48</v>
      </c>
      <c r="Q46" s="125">
        <f t="shared" ca="1" si="18"/>
        <v>1.44</v>
      </c>
      <c r="R46" s="125">
        <f t="shared" ca="1" si="18"/>
        <v>1.42</v>
      </c>
      <c r="S46" s="125">
        <f t="shared" ca="1" si="18"/>
        <v>1.37</v>
      </c>
      <c r="T46" s="125">
        <f t="shared" ca="1" si="18"/>
        <v>1.37</v>
      </c>
      <c r="U46" s="125">
        <f t="shared" ca="1" si="18"/>
        <v>1.33</v>
      </c>
      <c r="V46" s="125">
        <f t="shared" ca="1" si="18"/>
        <v>1.29</v>
      </c>
      <c r="W46" s="125">
        <f t="shared" ca="1" si="18"/>
        <v>1.17</v>
      </c>
      <c r="X46" s="125">
        <f t="shared" ca="1" si="18"/>
        <v>1.1399999999999999</v>
      </c>
      <c r="Z46" s="77" t="str">
        <f t="shared" ca="1" si="17"/>
        <v>N/A</v>
      </c>
      <c r="AA46" s="125" t="e">
        <f t="shared" ca="1" si="10"/>
        <v>#VALUE!</v>
      </c>
      <c r="AB46" s="77" t="e">
        <f t="shared" ca="1" si="11"/>
        <v>#VALUE!</v>
      </c>
      <c r="AC46" s="77"/>
      <c r="AD46" s="184"/>
      <c r="AE46" s="181"/>
      <c r="AF46" s="190"/>
      <c r="AG46" s="186"/>
      <c r="AH46" s="187"/>
      <c r="AI46" s="187"/>
      <c r="AJ46" s="188"/>
    </row>
    <row r="47" spans="1:36" x14ac:dyDescent="0.25">
      <c r="A47" s="44" t="s">
        <v>36</v>
      </c>
      <c r="B47" s="110">
        <f t="shared" ca="1" si="2"/>
        <v>55</v>
      </c>
      <c r="C47" s="1">
        <f>IF(ISERROR(D47),"",IF(D47="","",MAX($C$12:C46)+1))</f>
        <v>35</v>
      </c>
      <c r="D47" t="str">
        <f t="shared" si="3"/>
        <v xml:space="preserve">SCANA Corp.                   </v>
      </c>
      <c r="E47" s="15"/>
      <c r="F47" s="125">
        <f t="shared" ca="1" si="9"/>
        <v>2.0033333333333334</v>
      </c>
      <c r="G47" s="125" t="str">
        <f t="shared" si="4"/>
        <v>N/A</v>
      </c>
      <c r="H47" s="125" t="str">
        <f t="shared" si="5"/>
        <v>N/A</v>
      </c>
      <c r="I47" s="125" t="str">
        <f t="shared" si="6"/>
        <v>N/A</v>
      </c>
      <c r="J47" s="125" t="str">
        <f t="shared" ca="1" si="13"/>
        <v>N/A</v>
      </c>
      <c r="K47" s="125" t="str">
        <f t="shared" ca="1" si="13"/>
        <v>N/A</v>
      </c>
      <c r="L47" s="125" t="str">
        <f t="shared" ca="1" si="14"/>
        <v>N/A</v>
      </c>
      <c r="M47" s="125">
        <f t="shared" ca="1" si="15"/>
        <v>2.4500000000000002</v>
      </c>
      <c r="N47" s="125">
        <f t="shared" ca="1" si="18"/>
        <v>2.2999999999999998</v>
      </c>
      <c r="O47" s="125">
        <f t="shared" ca="1" si="18"/>
        <v>2.1800000000000002</v>
      </c>
      <c r="P47" s="125">
        <f t="shared" ca="1" si="18"/>
        <v>2.1</v>
      </c>
      <c r="Q47" s="125">
        <f t="shared" ca="1" si="18"/>
        <v>2.0299999999999998</v>
      </c>
      <c r="R47" s="125">
        <f t="shared" ca="1" si="18"/>
        <v>1.98</v>
      </c>
      <c r="S47" s="125">
        <f t="shared" ca="1" si="18"/>
        <v>1.94</v>
      </c>
      <c r="T47" s="125">
        <f t="shared" ca="1" si="18"/>
        <v>1.9</v>
      </c>
      <c r="U47" s="125">
        <f t="shared" ca="1" si="18"/>
        <v>1.88</v>
      </c>
      <c r="V47" s="125">
        <f t="shared" ca="1" si="18"/>
        <v>1.84</v>
      </c>
      <c r="W47" s="125">
        <f t="shared" ca="1" si="18"/>
        <v>1.76</v>
      </c>
      <c r="X47" s="125">
        <f t="shared" ca="1" si="18"/>
        <v>1.68</v>
      </c>
      <c r="Z47" s="77" t="str">
        <f t="shared" ca="1" si="17"/>
        <v>N/A</v>
      </c>
      <c r="AA47" s="125" t="e">
        <f t="shared" ca="1" si="10"/>
        <v>#VALUE!</v>
      </c>
      <c r="AB47" s="77" t="e">
        <f t="shared" ca="1" si="11"/>
        <v>#VALUE!</v>
      </c>
      <c r="AC47" s="77"/>
      <c r="AD47" s="184"/>
      <c r="AE47" s="181"/>
      <c r="AF47" s="190"/>
      <c r="AG47" s="186"/>
      <c r="AH47" s="187"/>
      <c r="AI47" s="187"/>
      <c r="AJ47" s="188"/>
    </row>
    <row r="48" spans="1:36" x14ac:dyDescent="0.25">
      <c r="A48" s="44" t="s">
        <v>37</v>
      </c>
      <c r="B48" s="110">
        <f t="shared" ca="1" si="2"/>
        <v>56</v>
      </c>
      <c r="C48" s="1">
        <f>IF(ISERROR(D48),"",IF(D48="","",MAX($C$12:C47)+1))</f>
        <v>36</v>
      </c>
      <c r="D48" t="str">
        <f t="shared" si="3"/>
        <v xml:space="preserve">Sempra Energy                 </v>
      </c>
      <c r="E48" s="15"/>
      <c r="F48" s="125">
        <f t="shared" ca="1" si="9"/>
        <v>2.6950000000000007</v>
      </c>
      <c r="G48" s="125">
        <f t="shared" si="4"/>
        <v>2.38</v>
      </c>
      <c r="H48" s="125">
        <f t="shared" si="5"/>
        <v>4.58</v>
      </c>
      <c r="I48" s="125">
        <f t="shared" si="6"/>
        <v>4.4000000000000004</v>
      </c>
      <c r="J48" s="125">
        <f t="shared" ca="1" si="13"/>
        <v>4.18</v>
      </c>
      <c r="K48" s="125">
        <f t="shared" ca="1" si="13"/>
        <v>3.87</v>
      </c>
      <c r="L48" s="125">
        <f t="shared" ca="1" si="14"/>
        <v>3.58</v>
      </c>
      <c r="M48" s="125">
        <f t="shared" ca="1" si="15"/>
        <v>3.29</v>
      </c>
      <c r="N48" s="125">
        <f t="shared" ca="1" si="18"/>
        <v>3.02</v>
      </c>
      <c r="O48" s="125">
        <f t="shared" ca="1" si="18"/>
        <v>2.8</v>
      </c>
      <c r="P48" s="125">
        <f t="shared" ca="1" si="18"/>
        <v>2.64</v>
      </c>
      <c r="Q48" s="125">
        <f t="shared" ca="1" si="18"/>
        <v>2.52</v>
      </c>
      <c r="R48" s="125">
        <f t="shared" ca="1" si="18"/>
        <v>2.4</v>
      </c>
      <c r="S48" s="125">
        <f t="shared" ca="1" si="18"/>
        <v>1.92</v>
      </c>
      <c r="T48" s="125">
        <f t="shared" ca="1" si="18"/>
        <v>1.56</v>
      </c>
      <c r="U48" s="125">
        <f t="shared" ca="1" si="18"/>
        <v>1.56</v>
      </c>
      <c r="V48" s="125">
        <f t="shared" ca="1" si="18"/>
        <v>1.37</v>
      </c>
      <c r="W48" s="125">
        <f t="shared" ca="1" si="18"/>
        <v>1.24</v>
      </c>
      <c r="X48" s="125">
        <f t="shared" ca="1" si="18"/>
        <v>1.2</v>
      </c>
      <c r="Z48" s="77" t="str">
        <f t="shared" ca="1" si="17"/>
        <v>N/A</v>
      </c>
      <c r="AA48" s="125" t="e">
        <f t="shared" ca="1" si="10"/>
        <v>#VALUE!</v>
      </c>
      <c r="AB48" s="77" t="e">
        <f t="shared" ca="1" si="11"/>
        <v>#VALUE!</v>
      </c>
      <c r="AC48" s="77"/>
      <c r="AD48" s="184"/>
      <c r="AE48" s="181"/>
      <c r="AF48" s="190"/>
      <c r="AG48" s="186"/>
      <c r="AH48" s="187"/>
      <c r="AI48" s="187"/>
      <c r="AJ48" s="188"/>
    </row>
    <row r="49" spans="1:40" x14ac:dyDescent="0.25">
      <c r="A49" s="44" t="s">
        <v>38</v>
      </c>
      <c r="B49" s="110">
        <f t="shared" ca="1" si="2"/>
        <v>59</v>
      </c>
      <c r="C49" s="1">
        <f>IF(ISERROR(D49),"",IF(D49="","",MAX($C$12:C48)+1))</f>
        <v>37</v>
      </c>
      <c r="D49" t="str">
        <f t="shared" si="3"/>
        <v xml:space="preserve">Southern Co.                  </v>
      </c>
      <c r="E49" s="15"/>
      <c r="F49" s="125">
        <f t="shared" ca="1" si="9"/>
        <v>2.133166666666666</v>
      </c>
      <c r="G49" s="125">
        <f t="shared" si="4"/>
        <v>2.78</v>
      </c>
      <c r="H49" s="125">
        <f t="shared" si="5"/>
        <v>2.7</v>
      </c>
      <c r="I49" s="125">
        <f t="shared" si="6"/>
        <v>2.62</v>
      </c>
      <c r="J49" s="125">
        <f t="shared" ca="1" si="13"/>
        <v>2.54</v>
      </c>
      <c r="K49" s="125">
        <f t="shared" ca="1" si="13"/>
        <v>2.46</v>
      </c>
      <c r="L49" s="125">
        <f t="shared" ca="1" si="14"/>
        <v>2.38</v>
      </c>
      <c r="M49" s="125">
        <f t="shared" ca="1" si="15"/>
        <v>2.2999999999999998</v>
      </c>
      <c r="N49" s="125">
        <f t="shared" ca="1" si="18"/>
        <v>2.2229999999999999</v>
      </c>
      <c r="O49" s="125">
        <f t="shared" ca="1" si="18"/>
        <v>2.153</v>
      </c>
      <c r="P49" s="125">
        <f t="shared" ca="1" si="18"/>
        <v>2.0830000000000002</v>
      </c>
      <c r="Q49" s="125">
        <f t="shared" ca="1" si="18"/>
        <v>2.0129999999999999</v>
      </c>
      <c r="R49" s="125">
        <f t="shared" ca="1" si="18"/>
        <v>1.9430000000000001</v>
      </c>
      <c r="S49" s="125">
        <f t="shared" ca="1" si="18"/>
        <v>1.873</v>
      </c>
      <c r="T49" s="125">
        <f t="shared" ca="1" si="18"/>
        <v>1.8029999999999999</v>
      </c>
      <c r="U49" s="125">
        <f t="shared" ca="1" si="18"/>
        <v>1.7330000000000001</v>
      </c>
      <c r="V49" s="125">
        <f t="shared" ca="1" si="18"/>
        <v>1.663</v>
      </c>
      <c r="W49" s="125">
        <f t="shared" ca="1" si="18"/>
        <v>1.595</v>
      </c>
      <c r="X49" s="125">
        <f t="shared" ca="1" si="18"/>
        <v>1.5349999999999999</v>
      </c>
      <c r="Z49" s="77" t="str">
        <f t="shared" ca="1" si="17"/>
        <v>N/A</v>
      </c>
      <c r="AA49" s="125" t="e">
        <f t="shared" ca="1" si="10"/>
        <v>#VALUE!</v>
      </c>
      <c r="AB49" s="77" t="e">
        <f t="shared" ca="1" si="11"/>
        <v>#VALUE!</v>
      </c>
      <c r="AC49" s="77"/>
      <c r="AD49" s="184"/>
      <c r="AE49" s="181"/>
      <c r="AF49" s="190"/>
      <c r="AG49" s="186"/>
      <c r="AH49" s="187"/>
      <c r="AI49" s="187"/>
      <c r="AJ49" s="188"/>
    </row>
    <row r="50" spans="1:40" x14ac:dyDescent="0.25">
      <c r="A50" s="44" t="s">
        <v>42</v>
      </c>
      <c r="B50" s="110">
        <f t="shared" ca="1" si="2"/>
        <v>65</v>
      </c>
      <c r="C50" s="1">
        <f>IF(ISERROR(D50),"",IF(D50="","",MAX($C$12:C49)+1))</f>
        <v>38</v>
      </c>
      <c r="D50" t="str">
        <f t="shared" si="3"/>
        <v xml:space="preserve">Vectren Corp.                 </v>
      </c>
      <c r="E50" s="15"/>
      <c r="F50" s="125">
        <f t="shared" ca="1" si="9"/>
        <v>1.4229166666666666</v>
      </c>
      <c r="G50" s="125" t="str">
        <f t="shared" si="4"/>
        <v>N/A</v>
      </c>
      <c r="H50" s="125" t="str">
        <f t="shared" si="5"/>
        <v>N/A</v>
      </c>
      <c r="I50" s="125" t="str">
        <f t="shared" si="6"/>
        <v>N/A</v>
      </c>
      <c r="J50" s="125" t="str">
        <f t="shared" ca="1" si="13"/>
        <v>N/A</v>
      </c>
      <c r="K50" s="125" t="str">
        <f t="shared" ca="1" si="13"/>
        <v>N/A</v>
      </c>
      <c r="L50" s="125" t="str">
        <f t="shared" ca="1" si="14"/>
        <v>N/A</v>
      </c>
      <c r="M50" s="125">
        <f t="shared" ca="1" si="15"/>
        <v>1.71</v>
      </c>
      <c r="N50" s="125">
        <f t="shared" ca="1" si="18"/>
        <v>1.62</v>
      </c>
      <c r="O50" s="125">
        <f t="shared" ca="1" si="18"/>
        <v>1.54</v>
      </c>
      <c r="P50" s="125">
        <f t="shared" ca="1" si="18"/>
        <v>1.46</v>
      </c>
      <c r="Q50" s="125">
        <f t="shared" ca="1" si="18"/>
        <v>1.425</v>
      </c>
      <c r="R50" s="125">
        <f t="shared" ca="1" si="18"/>
        <v>1.405</v>
      </c>
      <c r="S50" s="125">
        <f t="shared" ca="1" si="18"/>
        <v>1.385</v>
      </c>
      <c r="T50" s="125">
        <f t="shared" ca="1" si="18"/>
        <v>1.37</v>
      </c>
      <c r="U50" s="125">
        <f t="shared" ca="1" si="18"/>
        <v>1.35</v>
      </c>
      <c r="V50" s="125">
        <f t="shared" ca="1" si="18"/>
        <v>1.31</v>
      </c>
      <c r="W50" s="125">
        <f t="shared" ca="1" si="18"/>
        <v>1.27</v>
      </c>
      <c r="X50" s="125">
        <f t="shared" ca="1" si="18"/>
        <v>1.23</v>
      </c>
      <c r="Z50" s="77" t="str">
        <f t="shared" ca="1" si="17"/>
        <v>N/A</v>
      </c>
      <c r="AA50" s="125" t="e">
        <f t="shared" ca="1" si="10"/>
        <v>#VALUE!</v>
      </c>
      <c r="AB50" s="77" t="e">
        <f t="shared" ca="1" si="11"/>
        <v>#VALUE!</v>
      </c>
      <c r="AC50" s="77"/>
      <c r="AD50" s="184"/>
      <c r="AE50" s="181"/>
      <c r="AF50" s="190"/>
      <c r="AG50" s="186"/>
      <c r="AH50" s="187"/>
      <c r="AI50" s="187"/>
      <c r="AJ50" s="188"/>
    </row>
    <row r="51" spans="1:40" x14ac:dyDescent="0.25">
      <c r="A51" s="44" t="s">
        <v>44</v>
      </c>
      <c r="B51" s="110">
        <f t="shared" ca="1" si="2"/>
        <v>66</v>
      </c>
      <c r="C51" s="1">
        <f>IF(ISERROR(D51),"",IF(D51="","",MAX($C$12:C50)+1))</f>
        <v>39</v>
      </c>
      <c r="D51" t="str">
        <f t="shared" si="3"/>
        <v>WEC Energy Group</v>
      </c>
      <c r="E51" s="15"/>
      <c r="F51" s="125">
        <f t="shared" ca="1" si="9"/>
        <v>1.6588888888888889</v>
      </c>
      <c r="G51" s="125">
        <f t="shared" si="4"/>
        <v>3.12</v>
      </c>
      <c r="H51" s="125">
        <f t="shared" si="5"/>
        <v>2.91</v>
      </c>
      <c r="I51" s="125">
        <f t="shared" si="6"/>
        <v>2.71</v>
      </c>
      <c r="J51" s="125">
        <f t="shared" ca="1" si="13"/>
        <v>2.5299999999999998</v>
      </c>
      <c r="K51" s="125">
        <f t="shared" ca="1" si="13"/>
        <v>2.36</v>
      </c>
      <c r="L51" s="125">
        <f t="shared" ca="1" si="14"/>
        <v>2.21</v>
      </c>
      <c r="M51" s="125">
        <f t="shared" ca="1" si="15"/>
        <v>2.08</v>
      </c>
      <c r="N51" s="125">
        <f t="shared" ca="1" si="18"/>
        <v>1.98</v>
      </c>
      <c r="O51" s="125">
        <f t="shared" ca="1" si="18"/>
        <v>1.74</v>
      </c>
      <c r="P51" s="125">
        <f t="shared" ca="1" si="18"/>
        <v>1.56</v>
      </c>
      <c r="Q51" s="125">
        <f t="shared" ca="1" si="18"/>
        <v>1.4450000000000001</v>
      </c>
      <c r="R51" s="125">
        <f t="shared" ca="1" si="18"/>
        <v>1.2</v>
      </c>
      <c r="S51" s="125">
        <f t="shared" ca="1" si="18"/>
        <v>1.04</v>
      </c>
      <c r="T51" s="125">
        <f t="shared" ca="1" si="18"/>
        <v>0.8</v>
      </c>
      <c r="U51" s="125">
        <f t="shared" ca="1" si="18"/>
        <v>0.67500000000000004</v>
      </c>
      <c r="V51" s="125">
        <f t="shared" ca="1" si="18"/>
        <v>0.54</v>
      </c>
      <c r="W51" s="125">
        <f t="shared" ca="1" si="18"/>
        <v>0.5</v>
      </c>
      <c r="X51" s="125">
        <f t="shared" ca="1" si="18"/>
        <v>0.46</v>
      </c>
      <c r="Z51" s="77" t="str">
        <f t="shared" ca="1" si="17"/>
        <v>N/A</v>
      </c>
      <c r="AA51" s="125" t="e">
        <f t="shared" ca="1" si="10"/>
        <v>#VALUE!</v>
      </c>
      <c r="AB51" s="77" t="e">
        <f t="shared" ca="1" si="11"/>
        <v>#VALUE!</v>
      </c>
      <c r="AC51" s="77"/>
      <c r="AD51" s="184"/>
      <c r="AE51" s="181"/>
      <c r="AF51" s="190"/>
      <c r="AG51" s="186"/>
      <c r="AH51" s="187"/>
      <c r="AI51" s="187"/>
      <c r="AJ51" s="188"/>
    </row>
    <row r="52" spans="1:40" x14ac:dyDescent="0.25">
      <c r="A52" s="44" t="s">
        <v>43</v>
      </c>
      <c r="B52" s="110">
        <f t="shared" ca="1" si="2"/>
        <v>67</v>
      </c>
      <c r="C52" s="1">
        <f>IF(ISERROR(D52),"",IF(D52="","",MAX($C$12:C51)+1))</f>
        <v>40</v>
      </c>
      <c r="D52" t="str">
        <f t="shared" si="3"/>
        <v xml:space="preserve">Westar Energy                 </v>
      </c>
      <c r="E52" s="15"/>
      <c r="F52" s="125">
        <f t="shared" ca="1" si="9"/>
        <v>1.2983333333333333</v>
      </c>
      <c r="G52" s="125" t="str">
        <f t="shared" si="4"/>
        <v>N/A</v>
      </c>
      <c r="H52" s="125" t="str">
        <f t="shared" si="5"/>
        <v>N/A</v>
      </c>
      <c r="I52" s="125" t="str">
        <f t="shared" si="6"/>
        <v>N/A</v>
      </c>
      <c r="J52" s="125" t="str">
        <f t="shared" ca="1" si="13"/>
        <v>N/A</v>
      </c>
      <c r="K52" s="125" t="str">
        <f t="shared" ca="1" si="13"/>
        <v>N/A</v>
      </c>
      <c r="L52" s="125" t="str">
        <f t="shared" ca="1" si="14"/>
        <v>N/A</v>
      </c>
      <c r="M52" s="125">
        <f t="shared" ca="1" si="15"/>
        <v>1.6</v>
      </c>
      <c r="N52" s="125">
        <f t="shared" ca="1" si="18"/>
        <v>1.52</v>
      </c>
      <c r="O52" s="125">
        <f t="shared" ca="1" si="18"/>
        <v>1.44</v>
      </c>
      <c r="P52" s="125">
        <f t="shared" ca="1" si="18"/>
        <v>1.4</v>
      </c>
      <c r="Q52" s="125">
        <f t="shared" ca="1" si="18"/>
        <v>1.36</v>
      </c>
      <c r="R52" s="125">
        <f t="shared" ca="1" si="18"/>
        <v>1.32</v>
      </c>
      <c r="S52" s="125">
        <f t="shared" ca="1" si="18"/>
        <v>1.28</v>
      </c>
      <c r="T52" s="125">
        <f t="shared" ca="1" si="18"/>
        <v>1.24</v>
      </c>
      <c r="U52" s="125">
        <f t="shared" ca="1" si="18"/>
        <v>1.2</v>
      </c>
      <c r="V52" s="125">
        <f t="shared" ca="1" si="18"/>
        <v>1.1599999999999999</v>
      </c>
      <c r="W52" s="125">
        <f t="shared" ca="1" si="18"/>
        <v>1.08</v>
      </c>
      <c r="X52" s="125">
        <f t="shared" ca="1" si="18"/>
        <v>0.98</v>
      </c>
      <c r="Z52" s="77" t="str">
        <f t="shared" ca="1" si="17"/>
        <v>N/A</v>
      </c>
      <c r="AA52" s="125" t="e">
        <f t="shared" ca="1" si="10"/>
        <v>#VALUE!</v>
      </c>
      <c r="AB52" s="77" t="e">
        <f t="shared" ca="1" si="11"/>
        <v>#VALUE!</v>
      </c>
      <c r="AC52" s="77"/>
      <c r="AD52" s="184"/>
      <c r="AE52" s="181"/>
      <c r="AF52" s="190"/>
      <c r="AG52" s="186"/>
      <c r="AH52" s="187"/>
      <c r="AI52" s="187"/>
      <c r="AJ52" s="188"/>
    </row>
    <row r="53" spans="1:40" x14ac:dyDescent="0.25">
      <c r="A53" s="44" t="s">
        <v>45</v>
      </c>
      <c r="B53" s="110">
        <f t="shared" ca="1" si="2"/>
        <v>69</v>
      </c>
      <c r="C53" s="1">
        <f>IF(ISERROR(D53),"",IF(D53="","",MAX($C$12:C52)+1))</f>
        <v>41</v>
      </c>
      <c r="D53" t="str">
        <f t="shared" si="3"/>
        <v xml:space="preserve">Xcel Energy Inc.              </v>
      </c>
      <c r="E53" s="15"/>
      <c r="F53" s="125">
        <f t="shared" ca="1" si="9"/>
        <v>1.3283333333333331</v>
      </c>
      <c r="G53" s="125">
        <f t="shared" si="4"/>
        <v>2.08</v>
      </c>
      <c r="H53" s="125">
        <f t="shared" si="5"/>
        <v>1.95</v>
      </c>
      <c r="I53" s="125">
        <f t="shared" si="6"/>
        <v>1.83</v>
      </c>
      <c r="J53" s="125">
        <f t="shared" ca="1" si="13"/>
        <v>1.72</v>
      </c>
      <c r="K53" s="125">
        <f t="shared" ca="1" si="13"/>
        <v>1.62</v>
      </c>
      <c r="L53" s="125">
        <f t="shared" ca="1" si="14"/>
        <v>1.52</v>
      </c>
      <c r="M53" s="125">
        <f t="shared" ca="1" si="15"/>
        <v>1.44</v>
      </c>
      <c r="N53" s="125">
        <f t="shared" ca="1" si="18"/>
        <v>1.36</v>
      </c>
      <c r="O53" s="125">
        <f t="shared" ca="1" si="18"/>
        <v>1.28</v>
      </c>
      <c r="P53" s="125">
        <f t="shared" ca="1" si="18"/>
        <v>1.2</v>
      </c>
      <c r="Q53" s="125">
        <f t="shared" ca="1" si="18"/>
        <v>1.1100000000000001</v>
      </c>
      <c r="R53" s="125">
        <f t="shared" ca="1" si="18"/>
        <v>1.07</v>
      </c>
      <c r="S53" s="125">
        <f t="shared" ca="1" si="18"/>
        <v>1.03</v>
      </c>
      <c r="T53" s="125">
        <f t="shared" ca="1" si="18"/>
        <v>1</v>
      </c>
      <c r="U53" s="125">
        <f t="shared" ca="1" si="18"/>
        <v>0.97</v>
      </c>
      <c r="V53" s="125">
        <f t="shared" ca="1" si="18"/>
        <v>0.94</v>
      </c>
      <c r="W53" s="125">
        <f t="shared" ca="1" si="18"/>
        <v>0.91</v>
      </c>
      <c r="X53" s="125">
        <f t="shared" ca="1" si="18"/>
        <v>0.88</v>
      </c>
      <c r="Z53" s="77" t="str">
        <f t="shared" ca="1" si="17"/>
        <v>N/A</v>
      </c>
      <c r="AA53" s="125" t="e">
        <f t="shared" ca="1" si="10"/>
        <v>#VALUE!</v>
      </c>
      <c r="AB53" s="77" t="e">
        <f t="shared" ca="1" si="11"/>
        <v>#VALUE!</v>
      </c>
      <c r="AC53" s="77"/>
      <c r="AD53" s="184"/>
      <c r="AE53" s="181"/>
      <c r="AF53" s="190"/>
      <c r="AG53" s="186"/>
      <c r="AH53" s="187"/>
      <c r="AI53" s="187"/>
      <c r="AJ53" s="188"/>
    </row>
    <row r="54" spans="1:40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9"/>
        <v>N/A</v>
      </c>
      <c r="G54" s="125"/>
      <c r="H54" s="125" t="str">
        <f t="shared" si="5"/>
        <v>N/A</v>
      </c>
      <c r="I54" s="125" t="str">
        <f t="shared" si="6"/>
        <v>N/A</v>
      </c>
      <c r="J54" s="125" t="str">
        <f t="shared" ca="1" si="13"/>
        <v>N/A</v>
      </c>
      <c r="K54" s="125" t="str">
        <f t="shared" ca="1" si="13"/>
        <v>N/A</v>
      </c>
      <c r="L54" s="125" t="str">
        <f t="shared" ca="1" si="14"/>
        <v>N/A</v>
      </c>
      <c r="M54" s="125" t="str">
        <f t="shared" ca="1" si="15"/>
        <v>N/A</v>
      </c>
      <c r="N54" s="125"/>
      <c r="O54" s="125" t="str">
        <f t="shared" ca="1" si="18"/>
        <v>N/A</v>
      </c>
      <c r="P54" s="125" t="str">
        <f t="shared" ca="1" si="18"/>
        <v>N/A</v>
      </c>
      <c r="Q54" s="125" t="str">
        <f t="shared" ca="1" si="18"/>
        <v>N/A</v>
      </c>
      <c r="R54" s="125" t="str">
        <f t="shared" ca="1" si="18"/>
        <v>N/A</v>
      </c>
      <c r="S54" s="125" t="str">
        <f t="shared" ca="1" si="18"/>
        <v>N/A</v>
      </c>
      <c r="T54" s="125" t="str">
        <f t="shared" ca="1" si="18"/>
        <v>N/A</v>
      </c>
      <c r="U54" s="125" t="str">
        <f t="shared" ca="1" si="18"/>
        <v>N/A</v>
      </c>
      <c r="V54" s="125" t="str">
        <f t="shared" ca="1" si="18"/>
        <v>N/A</v>
      </c>
      <c r="W54" s="125" t="str">
        <f t="shared" ca="1" si="18"/>
        <v>N/A</v>
      </c>
      <c r="X54" s="125" t="str">
        <f t="shared" ca="1" si="18"/>
        <v>N/A</v>
      </c>
      <c r="Z54" s="77" t="str">
        <f t="shared" ca="1" si="17"/>
        <v>N/A</v>
      </c>
      <c r="AA54" s="125" t="e">
        <f t="shared" ca="1" si="10"/>
        <v>#VALUE!</v>
      </c>
      <c r="AB54" s="77" t="e">
        <f t="shared" ca="1" si="11"/>
        <v>#VALUE!</v>
      </c>
      <c r="AC54" s="77"/>
      <c r="AD54" s="184">
        <f>BB54-2</f>
        <v>-2</v>
      </c>
      <c r="AE54" s="184">
        <v>43100</v>
      </c>
      <c r="AF54" s="182" t="str">
        <f>IFERROR(IF(VLOOKUP(A54,LUCurYr,16,FALSE)=0,"",VLOOKUP(A54,LUCurYr,16,FALSE)),"N/A")</f>
        <v>N/A</v>
      </c>
      <c r="AG54" s="186" t="e">
        <f>AE54-AF54</f>
        <v>#VALUE!</v>
      </c>
      <c r="AH54" s="187" t="e">
        <f>AG54/365</f>
        <v>#VALUE!</v>
      </c>
      <c r="AI54" s="187" t="e">
        <f>AD54+AH54</f>
        <v>#VALUE!</v>
      </c>
      <c r="AJ54" s="188" t="e">
        <f ca="1">(K54/X54)^(1/AI54)-1</f>
        <v>#VALUE!</v>
      </c>
      <c r="AK54" s="62"/>
      <c r="AL54" s="62"/>
      <c r="AM54" s="62"/>
      <c r="AN54" s="62"/>
    </row>
    <row r="55" spans="1:40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9"/>
        <v>N/A</v>
      </c>
      <c r="G55" s="125"/>
      <c r="H55" s="125" t="str">
        <f t="shared" si="5"/>
        <v>N/A</v>
      </c>
      <c r="I55" s="125" t="str">
        <f t="shared" si="6"/>
        <v>N/A</v>
      </c>
      <c r="J55" s="125" t="str">
        <f t="shared" ca="1" si="13"/>
        <v>N/A</v>
      </c>
      <c r="K55" s="125" t="str">
        <f t="shared" ca="1" si="13"/>
        <v>N/A</v>
      </c>
      <c r="L55" s="125" t="str">
        <f t="shared" ca="1" si="14"/>
        <v>N/A</v>
      </c>
      <c r="M55" s="125" t="str">
        <f t="shared" ca="1" si="15"/>
        <v>N/A</v>
      </c>
      <c r="N55" s="125"/>
      <c r="O55" s="125" t="str">
        <f t="shared" ca="1" si="18"/>
        <v>N/A</v>
      </c>
      <c r="P55" s="125" t="str">
        <f t="shared" ca="1" si="18"/>
        <v>N/A</v>
      </c>
      <c r="Q55" s="125" t="str">
        <f t="shared" ca="1" si="18"/>
        <v>N/A</v>
      </c>
      <c r="R55" s="125" t="str">
        <f t="shared" ca="1" si="18"/>
        <v>N/A</v>
      </c>
      <c r="S55" s="125" t="str">
        <f t="shared" ca="1" si="18"/>
        <v>N/A</v>
      </c>
      <c r="T55" s="125" t="str">
        <f t="shared" ca="1" si="18"/>
        <v>N/A</v>
      </c>
      <c r="U55" s="125" t="str">
        <f t="shared" ca="1" si="18"/>
        <v>N/A</v>
      </c>
      <c r="V55" s="125" t="str">
        <f t="shared" ca="1" si="18"/>
        <v>N/A</v>
      </c>
      <c r="W55" s="125" t="str">
        <f t="shared" ca="1" si="18"/>
        <v>N/A</v>
      </c>
      <c r="X55" s="125" t="str">
        <f t="shared" ca="1" si="18"/>
        <v>N/A</v>
      </c>
      <c r="Z55" s="77" t="str">
        <f t="shared" ca="1" si="17"/>
        <v>N/A</v>
      </c>
      <c r="AA55" s="125" t="e">
        <f t="shared" ca="1" si="10"/>
        <v>#VALUE!</v>
      </c>
      <c r="AB55" s="77" t="e">
        <f t="shared" ca="1" si="11"/>
        <v>#VALUE!</v>
      </c>
      <c r="AC55" s="77"/>
      <c r="AD55" s="184">
        <f>BB55-2</f>
        <v>-2</v>
      </c>
      <c r="AE55" s="184">
        <v>43100</v>
      </c>
      <c r="AF55" s="182" t="str">
        <f>IFERROR(IF(VLOOKUP(A55,LUCurYr,16,FALSE)=0,"",VLOOKUP(A55,LUCurYr,16,FALSE)),"N/A")</f>
        <v>N/A</v>
      </c>
      <c r="AG55" s="186" t="e">
        <f>AE55-AF55</f>
        <v>#VALUE!</v>
      </c>
      <c r="AH55" s="187" t="e">
        <f>AG55/365</f>
        <v>#VALUE!</v>
      </c>
      <c r="AI55" s="187" t="e">
        <f>AD55+AH55</f>
        <v>#VALUE!</v>
      </c>
      <c r="AJ55" s="188" t="e">
        <f ca="1">(K55/X55)^(1/AI55)-1</f>
        <v>#VALUE!</v>
      </c>
      <c r="AK55" s="62"/>
      <c r="AL55" s="62"/>
      <c r="AM55" s="62"/>
      <c r="AN55" s="62"/>
    </row>
    <row r="56" spans="1:40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9"/>
        <v>N/A</v>
      </c>
      <c r="G56" s="125"/>
      <c r="H56" s="125" t="str">
        <f t="shared" si="5"/>
        <v>N/A</v>
      </c>
      <c r="I56" s="125" t="str">
        <f t="shared" si="6"/>
        <v>N/A</v>
      </c>
      <c r="J56" s="125" t="str">
        <f t="shared" ca="1" si="13"/>
        <v>N/A</v>
      </c>
      <c r="K56" s="125" t="str">
        <f t="shared" ca="1" si="13"/>
        <v>N/A</v>
      </c>
      <c r="L56" s="125" t="str">
        <f t="shared" ca="1" si="14"/>
        <v>N/A</v>
      </c>
      <c r="M56" s="125" t="str">
        <f t="shared" ca="1" si="15"/>
        <v>N/A</v>
      </c>
      <c r="N56" s="125"/>
      <c r="O56" s="125" t="str">
        <f t="shared" ca="1" si="18"/>
        <v>N/A</v>
      </c>
      <c r="P56" s="125" t="str">
        <f t="shared" ca="1" si="18"/>
        <v>N/A</v>
      </c>
      <c r="Q56" s="125" t="str">
        <f t="shared" ca="1" si="18"/>
        <v>N/A</v>
      </c>
      <c r="R56" s="125" t="str">
        <f t="shared" ca="1" si="18"/>
        <v>N/A</v>
      </c>
      <c r="S56" s="125" t="str">
        <f t="shared" ca="1" si="18"/>
        <v>N/A</v>
      </c>
      <c r="T56" s="125" t="str">
        <f t="shared" ca="1" si="18"/>
        <v>N/A</v>
      </c>
      <c r="U56" s="125" t="str">
        <f t="shared" ca="1" si="18"/>
        <v>N/A</v>
      </c>
      <c r="V56" s="125" t="str">
        <f t="shared" ca="1" si="18"/>
        <v>N/A</v>
      </c>
      <c r="W56" s="125" t="str">
        <f t="shared" ca="1" si="18"/>
        <v>N/A</v>
      </c>
      <c r="X56" s="125" t="str">
        <f t="shared" ca="1" si="18"/>
        <v>N/A</v>
      </c>
      <c r="Z56" s="77" t="str">
        <f t="shared" ca="1" si="17"/>
        <v>N/A</v>
      </c>
      <c r="AA56" s="125" t="e">
        <f t="shared" ca="1" si="10"/>
        <v>#VALUE!</v>
      </c>
      <c r="AB56" s="77" t="e">
        <f t="shared" ca="1" si="11"/>
        <v>#VALUE!</v>
      </c>
      <c r="AC56" s="77"/>
      <c r="AD56" s="184">
        <f>BB56-2</f>
        <v>-2</v>
      </c>
      <c r="AE56" s="184">
        <v>43100</v>
      </c>
      <c r="AF56" s="182" t="str">
        <f>IFERROR(IF(VLOOKUP(A56,LUCurYr,16,FALSE)=0,"",VLOOKUP(A56,LUCurYr,16,FALSE)),"N/A")</f>
        <v>N/A</v>
      </c>
      <c r="AG56" s="186" t="e">
        <f>AE56-AF56</f>
        <v>#VALUE!</v>
      </c>
      <c r="AH56" s="187" t="e">
        <f>AG56/365</f>
        <v>#VALUE!</v>
      </c>
      <c r="AI56" s="187" t="e">
        <f>AD56+AH56</f>
        <v>#VALUE!</v>
      </c>
      <c r="AJ56" s="188" t="e">
        <f ca="1">(K56/X56)^(1/AI56)-1</f>
        <v>#VALUE!</v>
      </c>
      <c r="AK56" s="62"/>
      <c r="AL56" s="62"/>
      <c r="AM56" s="62"/>
      <c r="AN56" s="62"/>
    </row>
    <row r="57" spans="1:40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9"/>
        <v>N/A</v>
      </c>
      <c r="G57" s="125"/>
      <c r="H57" s="125" t="str">
        <f t="shared" si="5"/>
        <v>N/A</v>
      </c>
      <c r="I57" s="125" t="str">
        <f t="shared" si="6"/>
        <v>N/A</v>
      </c>
      <c r="J57" s="125" t="str">
        <f t="shared" ca="1" si="13"/>
        <v>N/A</v>
      </c>
      <c r="K57" s="125" t="str">
        <f t="shared" ca="1" si="13"/>
        <v>N/A</v>
      </c>
      <c r="L57" s="125" t="str">
        <f t="shared" ca="1" si="14"/>
        <v>N/A</v>
      </c>
      <c r="M57" s="125" t="str">
        <f t="shared" ca="1" si="15"/>
        <v>N/A</v>
      </c>
      <c r="N57" s="125"/>
      <c r="O57" s="125" t="str">
        <f t="shared" ca="1" si="18"/>
        <v>N/A</v>
      </c>
      <c r="P57" s="125" t="str">
        <f t="shared" ca="1" si="18"/>
        <v>N/A</v>
      </c>
      <c r="Q57" s="125" t="str">
        <f t="shared" ca="1" si="18"/>
        <v>N/A</v>
      </c>
      <c r="R57" s="125" t="str">
        <f t="shared" ca="1" si="18"/>
        <v>N/A</v>
      </c>
      <c r="S57" s="125" t="str">
        <f t="shared" ca="1" si="18"/>
        <v>N/A</v>
      </c>
      <c r="T57" s="125" t="str">
        <f t="shared" ca="1" si="18"/>
        <v>N/A</v>
      </c>
      <c r="U57" s="125" t="str">
        <f t="shared" ca="1" si="18"/>
        <v>N/A</v>
      </c>
      <c r="V57" s="125" t="str">
        <f t="shared" ca="1" si="18"/>
        <v>N/A</v>
      </c>
      <c r="W57" s="125" t="str">
        <f t="shared" ca="1" si="18"/>
        <v>N/A</v>
      </c>
      <c r="X57" s="125" t="str">
        <f t="shared" ca="1" si="18"/>
        <v>N/A</v>
      </c>
      <c r="Z57" s="77" t="str">
        <f t="shared" ca="1" si="17"/>
        <v>N/A</v>
      </c>
      <c r="AA57" s="125" t="e">
        <f t="shared" ca="1" si="10"/>
        <v>#VALUE!</v>
      </c>
      <c r="AB57" s="77" t="e">
        <f t="shared" ca="1" si="11"/>
        <v>#VALUE!</v>
      </c>
      <c r="AC57" s="77"/>
      <c r="AD57" s="184">
        <f>BB57-2</f>
        <v>-2</v>
      </c>
      <c r="AE57" s="184">
        <v>43100</v>
      </c>
      <c r="AF57" s="182" t="str">
        <f>IFERROR(IF(VLOOKUP(A57,LUCurYr,16,FALSE)=0,"",VLOOKUP(A57,LUCurYr,16,FALSE)),"N/A")</f>
        <v>N/A</v>
      </c>
      <c r="AG57" s="186" t="e">
        <f>AE57-AF57</f>
        <v>#VALUE!</v>
      </c>
      <c r="AH57" s="187" t="e">
        <f>AG57/365</f>
        <v>#VALUE!</v>
      </c>
      <c r="AI57" s="187" t="e">
        <f>AD57+AH57</f>
        <v>#VALUE!</v>
      </c>
      <c r="AJ57" s="188" t="e">
        <f ca="1">(K57/X57)^(1/AI57)-1</f>
        <v>#VALUE!</v>
      </c>
      <c r="AK57" s="62"/>
      <c r="AL57" s="62"/>
      <c r="AM57" s="62"/>
      <c r="AN57" s="62"/>
    </row>
    <row r="58" spans="1:40" x14ac:dyDescent="0.25">
      <c r="A58" s="31"/>
      <c r="B58" s="31"/>
      <c r="C58" s="1" t="str">
        <f>IF(ISERROR(D58),"",IF(D58="","",MAX($C$12:C57)+1))</f>
        <v/>
      </c>
      <c r="F58" s="77"/>
      <c r="G58" s="77"/>
      <c r="H58" s="125"/>
      <c r="I58" s="125"/>
      <c r="J58" s="125"/>
      <c r="K58" s="77"/>
      <c r="L58" s="125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Z58" s="77"/>
      <c r="AA58" s="125"/>
      <c r="AB58" s="77"/>
      <c r="AC58" s="77"/>
      <c r="AD58" s="184"/>
      <c r="AE58" s="184"/>
      <c r="AF58" s="182"/>
      <c r="AG58" s="186"/>
      <c r="AH58" s="187"/>
      <c r="AI58" s="187"/>
      <c r="AJ58" s="188"/>
      <c r="AK58" s="62"/>
      <c r="AL58" s="62"/>
      <c r="AM58" s="62"/>
      <c r="AN58" s="62"/>
    </row>
    <row r="59" spans="1:40" x14ac:dyDescent="0.25">
      <c r="A59" s="31"/>
      <c r="B59" s="31"/>
      <c r="C59" s="1">
        <f>IF(ISERROR(D59),"",IF(D59="","",MAX($C$12:C58)+1))</f>
        <v>42</v>
      </c>
      <c r="D59" s="104" t="s">
        <v>98</v>
      </c>
      <c r="E59" s="104"/>
      <c r="F59" s="127">
        <f ca="1">AVERAGE(G59:X59)</f>
        <v>1.7596625716713437</v>
      </c>
      <c r="G59" s="127">
        <f>AVERAGE(G13:G58)</f>
        <v>2.3652777777777776</v>
      </c>
      <c r="H59" s="127">
        <f>AVERAGE(H13:H58)</f>
        <v>2.3311111111111114</v>
      </c>
      <c r="I59" s="127">
        <f>AVERAGE(I13:I58)</f>
        <v>2.2837142857142858</v>
      </c>
      <c r="J59" s="127">
        <f ca="1">AVERAGE(J13:J58)</f>
        <v>2.2285714285714291</v>
      </c>
      <c r="K59" s="127">
        <f ca="1">AVERAGE(K13:K41,K42:K53)</f>
        <v>2.1354000000000002</v>
      </c>
      <c r="L59" s="127">
        <f ca="1">AVERAGE(L13:L41,L42:L53)</f>
        <v>2.0281388888888885</v>
      </c>
      <c r="M59" s="127">
        <f ca="1">AVERAGE(M13:M41,M42:M53)</f>
        <v>1.8969999999999998</v>
      </c>
      <c r="N59" s="127">
        <f t="shared" ref="N59:X59" ca="1" si="19">AVERAGE(N13:N58)</f>
        <v>1.7898500000000002</v>
      </c>
      <c r="O59" s="127">
        <f t="shared" ca="1" si="19"/>
        <v>1.6975384615384614</v>
      </c>
      <c r="P59" s="127">
        <f t="shared" ca="1" si="19"/>
        <v>1.6113076923076926</v>
      </c>
      <c r="Q59" s="127">
        <f t="shared" ca="1" si="19"/>
        <v>1.5570256410256407</v>
      </c>
      <c r="R59" s="127">
        <f t="shared" ca="1" si="19"/>
        <v>1.5415128205128203</v>
      </c>
      <c r="S59" s="127">
        <f t="shared" ca="1" si="19"/>
        <v>1.4573846153846153</v>
      </c>
      <c r="T59" s="127">
        <f t="shared" ca="1" si="19"/>
        <v>1.4224473684210521</v>
      </c>
      <c r="U59" s="127">
        <f t="shared" ca="1" si="19"/>
        <v>1.3792105263157894</v>
      </c>
      <c r="V59" s="127">
        <f t="shared" ca="1" si="19"/>
        <v>1.3858684210526315</v>
      </c>
      <c r="W59" s="127">
        <f t="shared" ca="1" si="19"/>
        <v>1.3212894736842105</v>
      </c>
      <c r="X59" s="127">
        <f t="shared" ca="1" si="19"/>
        <v>1.2412777777777775</v>
      </c>
      <c r="Z59" s="128" t="e">
        <f ca="1">AVERAGE(Z13:Z58)</f>
        <v>#DIV/0!</v>
      </c>
      <c r="AA59" s="128"/>
      <c r="AB59" s="128"/>
      <c r="AC59" s="128"/>
      <c r="AD59" s="128"/>
      <c r="AE59" s="128"/>
      <c r="AF59" s="62"/>
      <c r="AG59" s="62"/>
      <c r="AH59" s="62"/>
      <c r="AI59" s="62"/>
      <c r="AJ59" s="62"/>
      <c r="AK59" s="62"/>
      <c r="AL59" s="62"/>
      <c r="AM59" s="62"/>
      <c r="AN59" s="62"/>
    </row>
    <row r="60" spans="1:40" x14ac:dyDescent="0.25">
      <c r="A60" s="31"/>
      <c r="B60" s="31"/>
      <c r="C60" s="1">
        <f>IF(ISERROR(D60),"",IF(D60="","",MAX($C$12:C59)+1))</f>
        <v>43</v>
      </c>
      <c r="D60" s="104" t="s">
        <v>446</v>
      </c>
      <c r="E60" s="104"/>
      <c r="F60" s="108">
        <f ca="1">AVERAGE(G60:W60)</f>
        <v>3.8862127446926777E-2</v>
      </c>
      <c r="G60" s="108">
        <f t="shared" ref="G60:M60" si="20">G59/H59-1</f>
        <v>1.4656816015252483E-2</v>
      </c>
      <c r="H60" s="108">
        <f t="shared" si="20"/>
        <v>2.0754271098322175E-2</v>
      </c>
      <c r="I60" s="108">
        <f t="shared" ca="1" si="20"/>
        <v>2.4743589743589478E-2</v>
      </c>
      <c r="J60" s="108">
        <f t="shared" ca="1" si="20"/>
        <v>4.3631838799020661E-2</v>
      </c>
      <c r="K60" s="108">
        <f t="shared" ca="1" si="20"/>
        <v>5.2886472272061447E-2</v>
      </c>
      <c r="L60" s="108">
        <f t="shared" ca="1" si="20"/>
        <v>6.9129619867627223E-2</v>
      </c>
      <c r="M60" s="108">
        <f t="shared" ca="1" si="20"/>
        <v>5.9865351845126424E-2</v>
      </c>
      <c r="N60" s="108">
        <f t="shared" ref="N60:V60" ca="1" si="21">N59/O59-1</f>
        <v>5.4379644734457333E-2</v>
      </c>
      <c r="O60" s="108">
        <f t="shared" ca="1" si="21"/>
        <v>5.3516016613357253E-2</v>
      </c>
      <c r="P60" s="108">
        <f t="shared" ca="1" si="21"/>
        <v>3.4862657268954989E-2</v>
      </c>
      <c r="Q60" s="108">
        <f t="shared" ca="1" si="21"/>
        <v>1.0063374307623052E-2</v>
      </c>
      <c r="R60" s="108">
        <f t="shared" ca="1" si="21"/>
        <v>5.7725465357683303E-2</v>
      </c>
      <c r="S60" s="108">
        <f t="shared" ca="1" si="21"/>
        <v>2.4561363561974359E-2</v>
      </c>
      <c r="T60" s="108">
        <f t="shared" ca="1" si="21"/>
        <v>3.1348979202441951E-2</v>
      </c>
      <c r="U60" s="108">
        <f t="shared" ca="1" si="21"/>
        <v>-4.8041319332358112E-3</v>
      </c>
      <c r="V60" s="108">
        <f t="shared" ca="1" si="21"/>
        <v>4.8875699575773313E-2</v>
      </c>
      <c r="W60" s="108">
        <f ca="1">W59/X59-1</f>
        <v>6.4459138267725535E-2</v>
      </c>
      <c r="X60" s="127"/>
      <c r="Z60" s="128"/>
      <c r="AA60" s="128"/>
      <c r="AB60" s="128"/>
      <c r="AC60" s="128"/>
      <c r="AD60" s="128"/>
      <c r="AE60" s="128"/>
      <c r="AF60" s="62"/>
      <c r="AG60" s="62"/>
      <c r="AH60" s="62"/>
      <c r="AI60" s="62"/>
      <c r="AJ60" s="62"/>
      <c r="AK60" s="62"/>
      <c r="AL60" s="62"/>
      <c r="AM60" s="62"/>
      <c r="AN60" s="62"/>
    </row>
    <row r="61" spans="1:40" x14ac:dyDescent="0.25">
      <c r="A61" s="31"/>
      <c r="B61" s="31"/>
      <c r="C61" s="1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77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</row>
    <row r="62" spans="1:40" s="97" customFormat="1" x14ac:dyDescent="0.25">
      <c r="B62" s="100"/>
      <c r="C62" s="101"/>
      <c r="D62" s="18"/>
      <c r="E62" s="88"/>
      <c r="F62"/>
      <c r="G62"/>
      <c r="H62"/>
      <c r="I62"/>
      <c r="J62"/>
      <c r="K62"/>
      <c r="L62"/>
      <c r="M62"/>
      <c r="N62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8"/>
      <c r="Z62" s="98"/>
      <c r="AA62" s="98"/>
    </row>
    <row r="63" spans="1:40" s="97" customFormat="1" x14ac:dyDescent="0.25">
      <c r="B63" s="100"/>
      <c r="C63" s="1"/>
      <c r="D63" s="20" t="s">
        <v>107</v>
      </c>
      <c r="E63"/>
      <c r="F63"/>
      <c r="G63"/>
      <c r="H63"/>
      <c r="I63"/>
      <c r="J63"/>
      <c r="K63"/>
      <c r="L63"/>
      <c r="M63"/>
      <c r="N63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8"/>
      <c r="Z63" s="98"/>
      <c r="AA63" s="98"/>
    </row>
    <row r="64" spans="1:40" s="97" customFormat="1" ht="16.2" x14ac:dyDescent="0.25">
      <c r="B64" s="100"/>
      <c r="C64"/>
      <c r="D64" s="76">
        <v>1</v>
      </c>
      <c r="E64" s="21" t="str">
        <f>'CCW-1, pg 4'!E112</f>
        <v>Data for years 2019 and prior were retrieved from the Value Line Investment Survey Investment Analyzer Software, downloaded on June 18, 2021.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 s="98"/>
      <c r="Z64" s="98"/>
      <c r="AA64" s="98"/>
    </row>
    <row r="65" spans="1:27" s="97" customFormat="1" ht="16.2" x14ac:dyDescent="0.25">
      <c r="B65" s="100"/>
      <c r="C65"/>
      <c r="D65" s="76"/>
      <c r="E65" s="21" t="str">
        <f>'CCW-1, pg 4'!E113</f>
        <v>Data for the years 2020 - 2022 was retrieved from Value Line Investment Surveys.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 s="98"/>
      <c r="Z65" s="98"/>
      <c r="AA65" s="98"/>
    </row>
    <row r="66" spans="1:27" ht="16.2" x14ac:dyDescent="0.25">
      <c r="A66" s="31"/>
      <c r="B66" s="31"/>
      <c r="D66" s="76">
        <v>2</v>
      </c>
      <c r="E66" s="21" t="str">
        <f>"The Value Line Investment Survey, "&amp;'2023 Data (WP)'!$D$1</f>
        <v>The Value Line Investment Survey, March 8, April 19, and May 10, 2024.</v>
      </c>
    </row>
  </sheetData>
  <mergeCells count="5">
    <mergeCell ref="D10:E10"/>
    <mergeCell ref="F8:Z8"/>
    <mergeCell ref="C5:Z5"/>
    <mergeCell ref="C4:Z4"/>
    <mergeCell ref="C1:Z1"/>
  </mergeCells>
  <printOptions horizontalCentered="1"/>
  <pageMargins left="0.7" right="0.7" top="1.5" bottom="0.75" header="0.55000000000000004" footer="0.51"/>
  <pageSetup scale="48" firstPageNumber="5" fitToWidth="2" orientation="landscape" useFirstPageNumber="1" r:id="rId1"/>
  <headerFooter scaleWithDoc="0">
    <oddHeader>&amp;R&amp;"Arial,Bold"&amp;10Docket Nos. 20240026-EI, 20230139-EI, and 20230090-EI
Valuation Metrics
Exhibit CCW-1, Page &amp;P of 16</oddHeader>
  </headerFooter>
  <colBreaks count="1" manualBreakCount="1">
    <brk id="29" max="66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 filterMode="1">
    <pageSetUpPr fitToPage="1"/>
  </sheetPr>
  <dimension ref="A1:AK88"/>
  <sheetViews>
    <sheetView zoomScale="80" zoomScaleNormal="80" workbookViewId="0">
      <pane ySplit="7" topLeftCell="A8" activePane="bottomLeft" state="frozen"/>
      <selection pane="bottomLeft" activeCell="F22" sqref="A1:AK88"/>
    </sheetView>
  </sheetViews>
  <sheetFormatPr defaultRowHeight="13.8" x14ac:dyDescent="0.25"/>
  <cols>
    <col min="1" max="2" width="3.09765625" customWidth="1"/>
    <col min="3" max="3" width="17.69921875" bestFit="1" customWidth="1"/>
    <col min="4" max="4" width="9.19921875" bestFit="1" customWidth="1"/>
    <col min="5" max="5" width="19.3984375" customWidth="1"/>
    <col min="6" max="6" width="9.69921875" customWidth="1"/>
    <col min="7" max="7" width="9.59765625" bestFit="1" customWidth="1"/>
    <col min="8" max="8" width="7.5" bestFit="1" customWidth="1"/>
    <col min="9" max="9" width="8.69921875" hidden="1" customWidth="1"/>
    <col min="10" max="10" width="7.59765625" customWidth="1"/>
    <col min="11" max="11" width="9.69921875" customWidth="1"/>
    <col min="12" max="12" width="10.09765625" customWidth="1"/>
    <col min="13" max="13" width="10.5" customWidth="1"/>
    <col min="14" max="18" width="8.5" customWidth="1"/>
    <col min="19" max="19" width="10.09765625" customWidth="1"/>
    <col min="20" max="22" width="8.3984375" bestFit="1" customWidth="1"/>
    <col min="23" max="23" width="9" bestFit="1" customWidth="1"/>
    <col min="24" max="28" width="9.19921875" customWidth="1"/>
  </cols>
  <sheetData>
    <row r="1" spans="1:37" x14ac:dyDescent="0.25">
      <c r="C1" t="s">
        <v>351</v>
      </c>
      <c r="D1" s="87" t="s">
        <v>532</v>
      </c>
      <c r="T1" s="2"/>
    </row>
    <row r="2" spans="1:37" x14ac:dyDescent="0.25">
      <c r="C2" t="s">
        <v>352</v>
      </c>
      <c r="D2" s="204" t="s">
        <v>531</v>
      </c>
    </row>
    <row r="3" spans="1:37" x14ac:dyDescent="0.25">
      <c r="C3" t="s">
        <v>353</v>
      </c>
      <c r="D3" s="205" t="s">
        <v>549</v>
      </c>
    </row>
    <row r="4" spans="1:37" x14ac:dyDescent="0.25">
      <c r="F4" s="49" t="s">
        <v>115</v>
      </c>
      <c r="G4" s="49"/>
      <c r="H4" s="49"/>
      <c r="I4" s="49"/>
    </row>
    <row r="5" spans="1:37" ht="69" x14ac:dyDescent="0.25">
      <c r="C5" s="47" t="s">
        <v>267</v>
      </c>
      <c r="F5" s="238">
        <v>2020</v>
      </c>
      <c r="G5" s="281" t="str">
        <f>F5&amp;" Stock Price"</f>
        <v>2020 Stock Price</v>
      </c>
      <c r="H5" s="281"/>
      <c r="I5" s="281"/>
      <c r="J5" s="47" t="str">
        <f>$F$5&amp;CHAR(10)&amp;"Cash Flow"&amp;CHAR(10)&amp;"/Share"</f>
        <v>2020
Cash Flow
/Share</v>
      </c>
      <c r="K5" s="47" t="str">
        <f>$F$5&amp;CHAR(10)&amp;"Earnings"&amp;CHAR(10)&amp;"/Share"</f>
        <v>2020
Earnings
/Share</v>
      </c>
      <c r="L5" s="47" t="str">
        <f>$F$5&amp;CHAR(10)&amp;"Div'd Decl'd"&amp;CHAR(10)&amp;"/Share"</f>
        <v>2020
Div'd Decl'd
/Share</v>
      </c>
      <c r="M5" s="47" t="str">
        <f>$F$5&amp;CHAR(10)&amp;"Cap'l Spending"&amp;CHAR(10)&amp;"/Share"</f>
        <v>2020
Cap'l Spending
/Share</v>
      </c>
      <c r="N5" s="47" t="str">
        <f>$F$5&amp;CHAR(10)&amp;"Book Value"&amp;CHAR(10)&amp;"/Share"</f>
        <v>2020
Book Value
/Share</v>
      </c>
      <c r="O5" s="47" t="str">
        <f>($F$5+1)&amp;CHAR(10)&amp;"Cash Flow"&amp;CHAR(10)&amp;"/Share"</f>
        <v>2021
Cash Flow
/Share</v>
      </c>
      <c r="P5" s="47" t="str">
        <f>($F$5+1)&amp;CHAR(10)&amp;"Cap'l Spending"&amp;CHAR(10)&amp;"/Share"</f>
        <v>2021
Cap'l Spending
/Share</v>
      </c>
      <c r="Q5" s="47" t="s">
        <v>441</v>
      </c>
      <c r="R5" s="47" t="s">
        <v>442</v>
      </c>
      <c r="S5" s="72" t="s">
        <v>323</v>
      </c>
      <c r="T5" s="206">
        <f>F5</f>
        <v>2020</v>
      </c>
      <c r="U5" s="206">
        <f>$F$5</f>
        <v>2020</v>
      </c>
      <c r="V5" s="206">
        <f>$F$5</f>
        <v>2020</v>
      </c>
      <c r="W5" s="206">
        <f>$F$5</f>
        <v>2020</v>
      </c>
      <c r="X5" s="206">
        <f>$F$5</f>
        <v>2020</v>
      </c>
      <c r="Y5" s="206">
        <f>$F$5</f>
        <v>2020</v>
      </c>
      <c r="Z5" s="206">
        <f>$F$5+1</f>
        <v>2021</v>
      </c>
      <c r="AA5" s="206"/>
      <c r="AB5" s="206"/>
    </row>
    <row r="6" spans="1:37" ht="28.2" thickBot="1" x14ac:dyDescent="0.3">
      <c r="F6" s="24" t="s">
        <v>113</v>
      </c>
      <c r="G6" s="24" t="s">
        <v>110</v>
      </c>
      <c r="H6" s="24" t="s">
        <v>111</v>
      </c>
      <c r="I6" s="24" t="s">
        <v>112</v>
      </c>
      <c r="J6" s="48"/>
      <c r="K6" s="48"/>
      <c r="L6" s="48"/>
      <c r="M6" s="48"/>
      <c r="N6" s="48"/>
      <c r="O6" s="48"/>
      <c r="P6" s="48"/>
      <c r="Q6" s="48"/>
      <c r="R6" s="48"/>
      <c r="S6" s="48"/>
      <c r="T6" s="24" t="s">
        <v>114</v>
      </c>
      <c r="U6" s="24" t="s">
        <v>245</v>
      </c>
      <c r="V6" s="24" t="s">
        <v>349</v>
      </c>
      <c r="W6" s="24" t="s">
        <v>324</v>
      </c>
      <c r="X6" s="83" t="s">
        <v>325</v>
      </c>
      <c r="Y6" s="24" t="s">
        <v>377</v>
      </c>
      <c r="Z6" s="83" t="s">
        <v>325</v>
      </c>
      <c r="AA6" s="83"/>
      <c r="AB6" s="83"/>
      <c r="AD6" s="24" t="s">
        <v>343</v>
      </c>
    </row>
    <row r="7" spans="1:37" ht="15" customHeight="1" x14ac:dyDescent="0.25">
      <c r="F7" s="39" t="s">
        <v>116</v>
      </c>
      <c r="G7" s="39" t="s">
        <v>116</v>
      </c>
      <c r="H7" s="39" t="s">
        <v>116</v>
      </c>
      <c r="J7" s="39" t="s">
        <v>116</v>
      </c>
      <c r="K7" s="39" t="s">
        <v>116</v>
      </c>
      <c r="L7" s="39" t="s">
        <v>116</v>
      </c>
      <c r="M7" s="39" t="s">
        <v>116</v>
      </c>
      <c r="N7" s="39" t="s">
        <v>116</v>
      </c>
      <c r="O7" s="39" t="s">
        <v>116</v>
      </c>
      <c r="P7" s="39" t="s">
        <v>116</v>
      </c>
      <c r="Q7" s="39"/>
      <c r="R7" s="39"/>
      <c r="S7" s="39" t="s">
        <v>116</v>
      </c>
      <c r="W7" s="39"/>
    </row>
    <row r="8" spans="1:37" x14ac:dyDescent="0.25">
      <c r="D8" s="53">
        <v>1</v>
      </c>
      <c r="E8" s="53">
        <v>2</v>
      </c>
      <c r="F8" s="53">
        <v>3</v>
      </c>
      <c r="G8" s="53">
        <v>4</v>
      </c>
      <c r="H8" s="53">
        <v>5</v>
      </c>
      <c r="I8" s="53">
        <v>6</v>
      </c>
      <c r="J8" s="53">
        <v>7</v>
      </c>
      <c r="K8" s="53">
        <v>8</v>
      </c>
      <c r="L8" s="53">
        <v>9</v>
      </c>
      <c r="M8" s="53">
        <v>10</v>
      </c>
      <c r="N8" s="53">
        <v>11</v>
      </c>
      <c r="O8" s="53">
        <v>12</v>
      </c>
      <c r="P8" s="53">
        <v>13</v>
      </c>
      <c r="Q8" s="53">
        <v>14</v>
      </c>
      <c r="R8" s="53">
        <v>15</v>
      </c>
      <c r="S8" s="53">
        <v>16</v>
      </c>
      <c r="T8" s="53">
        <v>17</v>
      </c>
      <c r="U8" s="53">
        <v>18</v>
      </c>
      <c r="V8" s="53">
        <v>19</v>
      </c>
      <c r="W8" s="53">
        <v>20</v>
      </c>
      <c r="X8" s="53">
        <v>21</v>
      </c>
      <c r="Y8" s="53">
        <v>22</v>
      </c>
      <c r="Z8" s="53">
        <v>23</v>
      </c>
      <c r="AA8" s="53"/>
      <c r="AB8" s="53"/>
    </row>
    <row r="9" spans="1:37" ht="14.25" hidden="1" customHeight="1" x14ac:dyDescent="0.25">
      <c r="A9">
        <f>IF(OR(B9="E",B9="N"),1,"")</f>
        <v>1</v>
      </c>
      <c r="B9" t="str">
        <f>LEFT(C9,1)</f>
        <v>N</v>
      </c>
      <c r="C9" t="s">
        <v>271</v>
      </c>
      <c r="D9" s="31" t="s">
        <v>206</v>
      </c>
      <c r="E9" s="31" t="str">
        <f ca="1">INDEX(OFFSET(CashFlow,0,-1,,1),MATCH(D9,OFFSET(CashFlow,0,0,,1),0))</f>
        <v>WGL Holdings Inc.</v>
      </c>
      <c r="F9" s="195" t="s">
        <v>106</v>
      </c>
      <c r="G9" s="195" t="s">
        <v>106</v>
      </c>
      <c r="H9" s="195" t="s">
        <v>106</v>
      </c>
      <c r="I9" s="196" t="str">
        <f t="shared" ref="I9:I21" si="0">IFERROR(AVERAGE(G9:H9),"")</f>
        <v/>
      </c>
      <c r="J9" s="193" t="s">
        <v>106</v>
      </c>
      <c r="K9" s="193" t="s">
        <v>106</v>
      </c>
      <c r="L9" s="193" t="s">
        <v>106</v>
      </c>
      <c r="M9" s="193" t="s">
        <v>106</v>
      </c>
      <c r="N9" s="193" t="s">
        <v>106</v>
      </c>
      <c r="O9" s="193" t="s">
        <v>106</v>
      </c>
      <c r="P9" s="193" t="s">
        <v>106</v>
      </c>
      <c r="Q9" s="193" t="s">
        <v>106</v>
      </c>
      <c r="R9" s="193" t="s">
        <v>106</v>
      </c>
      <c r="S9" s="225">
        <v>43252</v>
      </c>
      <c r="T9" s="196" t="str">
        <f>IFERROR(I9/J9,"")</f>
        <v/>
      </c>
      <c r="U9" s="197" t="str">
        <f>IFERROR(I9/N9,"")</f>
        <v/>
      </c>
      <c r="V9" s="198" t="str">
        <f>IFERROR(L9/N9,"")</f>
        <v/>
      </c>
      <c r="W9" s="197" t="str">
        <f>IFERROR(L9/K9,"")</f>
        <v/>
      </c>
      <c r="X9" s="197" t="str">
        <f>IFERROR(J9/M9,"")</f>
        <v/>
      </c>
      <c r="Y9" s="198" t="str">
        <f>IFERROR(L9/I9,"")</f>
        <v/>
      </c>
      <c r="Z9" s="197" t="str">
        <f>IFERROR(O9/P9,"")</f>
        <v/>
      </c>
      <c r="AA9" s="197" t="str">
        <f>IFERROR(Q9/R9,"")</f>
        <v/>
      </c>
      <c r="AB9" s="52"/>
      <c r="AD9" s="33">
        <f>ABS(SUM(F9:H9,J9:N9))</f>
        <v>0</v>
      </c>
    </row>
    <row r="10" spans="1:37" ht="14.25" customHeight="1" x14ac:dyDescent="0.25">
      <c r="A10">
        <f t="shared" ref="A10:A73" si="1">IF(OR(B10="E",B10="N"),1,"")</f>
        <v>1</v>
      </c>
      <c r="B10" t="str">
        <f t="shared" ref="B10:B73" si="2">LEFT(C10,1)</f>
        <v>E</v>
      </c>
      <c r="C10" t="s">
        <v>342</v>
      </c>
      <c r="D10" s="31" t="s">
        <v>20</v>
      </c>
      <c r="E10" s="31" t="str">
        <f>VLOOKUP(D10,'[6]MP-CF (WP)'!$B$4:$Y$81,2,FALSE)</f>
        <v xml:space="preserve">Great Plains Energy             </v>
      </c>
      <c r="F10" s="226" t="s">
        <v>106</v>
      </c>
      <c r="G10" s="226" t="s">
        <v>106</v>
      </c>
      <c r="H10" s="226" t="s">
        <v>106</v>
      </c>
      <c r="I10" s="56" t="str">
        <f t="shared" si="0"/>
        <v/>
      </c>
      <c r="J10" s="227" t="s">
        <v>106</v>
      </c>
      <c r="K10" s="227" t="s">
        <v>106</v>
      </c>
      <c r="L10" s="227" t="s">
        <v>106</v>
      </c>
      <c r="M10" s="227" t="s">
        <v>106</v>
      </c>
      <c r="N10" s="227" t="s">
        <v>106</v>
      </c>
      <c r="O10" s="227" t="s">
        <v>106</v>
      </c>
      <c r="P10" s="227" t="s">
        <v>106</v>
      </c>
      <c r="Q10" s="227" t="s">
        <v>106</v>
      </c>
      <c r="R10" s="227" t="s">
        <v>106</v>
      </c>
      <c r="S10" s="225">
        <v>43266</v>
      </c>
      <c r="T10" s="196" t="str">
        <f>IFERROR(I10/J10,"")</f>
        <v/>
      </c>
      <c r="U10" s="197" t="str">
        <f t="shared" ref="U10:U73" si="3">IFERROR(I10/N10,"")</f>
        <v/>
      </c>
      <c r="V10" s="198" t="str">
        <f t="shared" ref="V10:V73" si="4">IFERROR(L10/N10,"")</f>
        <v/>
      </c>
      <c r="W10" s="197" t="str">
        <f t="shared" ref="W10:W73" si="5">IFERROR(L10/K10,"")</f>
        <v/>
      </c>
      <c r="X10" s="197" t="str">
        <f t="shared" ref="X10:X73" si="6">IFERROR(J10/M10,"")</f>
        <v/>
      </c>
      <c r="Y10" s="198" t="str">
        <f t="shared" ref="Y10:Y73" si="7">IFERROR(L10/I10,"")</f>
        <v/>
      </c>
      <c r="Z10" s="197" t="str">
        <f t="shared" ref="Z10:Z31" si="8">IFERROR(O10/P10,"")</f>
        <v/>
      </c>
      <c r="AA10" s="197" t="str">
        <f t="shared" ref="AA10:AA74" si="9">IFERROR(Q10/R10,"")</f>
        <v/>
      </c>
      <c r="AB10" s="52"/>
      <c r="AD10" s="33">
        <f t="shared" ref="AD10:AD73" si="10">ABS(SUM(F10:H10,J10:N10))</f>
        <v>0</v>
      </c>
      <c r="AE10" s="2"/>
      <c r="AK10" s="26"/>
    </row>
    <row r="11" spans="1:37" ht="14.25" customHeight="1" x14ac:dyDescent="0.25">
      <c r="A11">
        <f t="shared" si="1"/>
        <v>1</v>
      </c>
      <c r="B11" t="str">
        <f t="shared" si="2"/>
        <v>E</v>
      </c>
      <c r="C11" t="s">
        <v>342</v>
      </c>
      <c r="D11" s="31" t="s">
        <v>43</v>
      </c>
      <c r="E11" s="31" t="str">
        <f>VLOOKUP(D11,'[6]MP-CF (WP)'!$B$4:$Y$81,2,FALSE)</f>
        <v xml:space="preserve">Westar Energy                 </v>
      </c>
      <c r="F11" s="226" t="s">
        <v>106</v>
      </c>
      <c r="G11" s="226" t="s">
        <v>106</v>
      </c>
      <c r="H11" s="226" t="s">
        <v>106</v>
      </c>
      <c r="I11" s="56" t="str">
        <f t="shared" si="0"/>
        <v/>
      </c>
      <c r="J11" s="227" t="s">
        <v>106</v>
      </c>
      <c r="K11" s="227" t="s">
        <v>106</v>
      </c>
      <c r="L11" s="227" t="s">
        <v>106</v>
      </c>
      <c r="M11" s="227" t="s">
        <v>106</v>
      </c>
      <c r="N11" s="227" t="s">
        <v>106</v>
      </c>
      <c r="O11" s="227" t="s">
        <v>106</v>
      </c>
      <c r="P11" s="227" t="s">
        <v>106</v>
      </c>
      <c r="Q11" s="227" t="s">
        <v>106</v>
      </c>
      <c r="R11" s="227" t="s">
        <v>106</v>
      </c>
      <c r="S11" s="225">
        <v>43266</v>
      </c>
      <c r="T11" s="196" t="str">
        <f t="shared" ref="T11:T74" si="11">IFERROR(I11/J11,"")</f>
        <v/>
      </c>
      <c r="U11" s="197" t="str">
        <f t="shared" si="3"/>
        <v/>
      </c>
      <c r="V11" s="198" t="str">
        <f t="shared" si="4"/>
        <v/>
      </c>
      <c r="W11" s="197" t="str">
        <f t="shared" si="5"/>
        <v/>
      </c>
      <c r="X11" s="197" t="str">
        <f t="shared" si="6"/>
        <v/>
      </c>
      <c r="Y11" s="198" t="str">
        <f t="shared" si="7"/>
        <v/>
      </c>
      <c r="Z11" s="197" t="str">
        <f t="shared" si="8"/>
        <v/>
      </c>
      <c r="AA11" s="197" t="str">
        <f t="shared" si="9"/>
        <v/>
      </c>
      <c r="AB11" s="52"/>
      <c r="AD11" s="33">
        <f t="shared" si="10"/>
        <v>0</v>
      </c>
      <c r="AE11" s="2"/>
      <c r="AK11" s="26"/>
    </row>
    <row r="12" spans="1:37" ht="14.25" customHeight="1" x14ac:dyDescent="0.25">
      <c r="A12">
        <f t="shared" si="1"/>
        <v>1</v>
      </c>
      <c r="B12" t="str">
        <f t="shared" si="2"/>
        <v>E</v>
      </c>
      <c r="C12" t="s">
        <v>342</v>
      </c>
      <c r="D12" s="31" t="s">
        <v>42</v>
      </c>
      <c r="E12" s="31" t="str">
        <f>VLOOKUP(D12,'[6]MP-CF (WP)'!$B$4:$Y$81,2,FALSE)</f>
        <v xml:space="preserve">Vectren Corp.                 </v>
      </c>
      <c r="F12" s="194" t="s">
        <v>106</v>
      </c>
      <c r="G12" s="195" t="s">
        <v>106</v>
      </c>
      <c r="H12" s="195" t="s">
        <v>106</v>
      </c>
      <c r="I12" s="196" t="str">
        <f t="shared" si="0"/>
        <v/>
      </c>
      <c r="J12" s="193" t="s">
        <v>106</v>
      </c>
      <c r="K12" s="193" t="s">
        <v>106</v>
      </c>
      <c r="L12" s="193" t="s">
        <v>106</v>
      </c>
      <c r="M12" s="193" t="s">
        <v>106</v>
      </c>
      <c r="N12" s="193" t="s">
        <v>106</v>
      </c>
      <c r="O12" s="193" t="s">
        <v>106</v>
      </c>
      <c r="P12" s="193" t="s">
        <v>106</v>
      </c>
      <c r="Q12" s="193" t="s">
        <v>106</v>
      </c>
      <c r="R12" s="193" t="s">
        <v>106</v>
      </c>
      <c r="S12" s="225">
        <v>43539</v>
      </c>
      <c r="T12" s="196" t="str">
        <f t="shared" si="11"/>
        <v/>
      </c>
      <c r="U12" s="197" t="str">
        <f t="shared" si="3"/>
        <v/>
      </c>
      <c r="V12" s="198" t="str">
        <f t="shared" si="4"/>
        <v/>
      </c>
      <c r="W12" s="197" t="str">
        <f t="shared" si="5"/>
        <v/>
      </c>
      <c r="X12" s="197" t="str">
        <f t="shared" si="6"/>
        <v/>
      </c>
      <c r="Y12" s="198" t="str">
        <f t="shared" si="7"/>
        <v/>
      </c>
      <c r="Z12" s="197" t="str">
        <f t="shared" si="8"/>
        <v/>
      </c>
      <c r="AA12" s="197" t="str">
        <f t="shared" si="9"/>
        <v/>
      </c>
      <c r="AB12" s="52"/>
      <c r="AD12" s="33">
        <f t="shared" si="10"/>
        <v>0</v>
      </c>
      <c r="AE12" s="2"/>
      <c r="AK12" s="26"/>
    </row>
    <row r="13" spans="1:37" ht="14.25" hidden="1" customHeight="1" x14ac:dyDescent="0.25">
      <c r="A13" t="str">
        <f t="shared" si="1"/>
        <v/>
      </c>
      <c r="B13" t="str">
        <f t="shared" si="2"/>
        <v>W</v>
      </c>
      <c r="C13" t="s">
        <v>270</v>
      </c>
      <c r="D13" s="31"/>
      <c r="E13" s="31"/>
      <c r="F13" s="195"/>
      <c r="G13" s="195"/>
      <c r="H13" s="195"/>
      <c r="I13" s="196" t="str">
        <f t="shared" si="0"/>
        <v/>
      </c>
      <c r="J13" s="193"/>
      <c r="K13" s="193"/>
      <c r="L13" s="193"/>
      <c r="M13" s="193"/>
      <c r="N13" s="193"/>
      <c r="O13" s="193"/>
      <c r="P13" s="193"/>
      <c r="Q13" s="193"/>
      <c r="R13" s="193"/>
      <c r="S13" s="225"/>
      <c r="T13" s="196"/>
      <c r="U13" s="197"/>
      <c r="V13" s="198"/>
      <c r="W13" s="197"/>
      <c r="X13" s="197"/>
      <c r="Y13" s="198"/>
      <c r="Z13" s="197"/>
      <c r="AA13" s="197"/>
      <c r="AB13" s="52"/>
      <c r="AD13" s="33">
        <f t="shared" si="10"/>
        <v>0</v>
      </c>
      <c r="AE13" s="2"/>
      <c r="AK13" s="26"/>
    </row>
    <row r="14" spans="1:37" ht="14.25" hidden="1" customHeight="1" x14ac:dyDescent="0.25">
      <c r="A14" t="str">
        <f t="shared" si="1"/>
        <v/>
      </c>
      <c r="B14" t="str">
        <f t="shared" si="2"/>
        <v>W</v>
      </c>
      <c r="C14" t="s">
        <v>270</v>
      </c>
      <c r="D14" s="31" t="s">
        <v>165</v>
      </c>
      <c r="E14" s="31" t="str">
        <f t="shared" ref="E14:E20" ca="1" si="12">INDEX(nameLU,MATCH(D14,tickerLU,0))</f>
        <v>Amer. States Water</v>
      </c>
      <c r="F14" s="195">
        <v>31.5</v>
      </c>
      <c r="G14" s="195">
        <v>96.6</v>
      </c>
      <c r="H14" s="195">
        <v>65.099999999999994</v>
      </c>
      <c r="I14" s="196">
        <f>IFERROR(AVERAGE(G14:H14),"")</f>
        <v>80.849999999999994</v>
      </c>
      <c r="J14" s="193">
        <v>3.34</v>
      </c>
      <c r="K14" s="193">
        <v>2.33</v>
      </c>
      <c r="L14" s="193">
        <v>1.28</v>
      </c>
      <c r="M14" s="193">
        <v>3.54</v>
      </c>
      <c r="N14" s="193">
        <v>17.39</v>
      </c>
      <c r="O14" s="193">
        <v>3.5</v>
      </c>
      <c r="P14" s="193">
        <v>4.05</v>
      </c>
      <c r="Q14" s="193">
        <v>4.8</v>
      </c>
      <c r="R14" s="193">
        <v>4.25</v>
      </c>
      <c r="S14" s="225">
        <v>44295</v>
      </c>
      <c r="T14" s="196">
        <f t="shared" si="11"/>
        <v>24.206586826347305</v>
      </c>
      <c r="U14" s="197">
        <f t="shared" si="3"/>
        <v>4.649223691776883</v>
      </c>
      <c r="V14" s="198">
        <f t="shared" si="4"/>
        <v>7.3605520414031053E-2</v>
      </c>
      <c r="W14" s="197">
        <f t="shared" si="5"/>
        <v>0.54935622317596566</v>
      </c>
      <c r="X14" s="197">
        <f t="shared" si="6"/>
        <v>0.94350282485875703</v>
      </c>
      <c r="Y14" s="198">
        <f t="shared" si="7"/>
        <v>1.5831787260358689E-2</v>
      </c>
      <c r="Z14" s="197">
        <f t="shared" si="8"/>
        <v>0.86419753086419759</v>
      </c>
      <c r="AA14" s="197">
        <f t="shared" si="9"/>
        <v>1.1294117647058823</v>
      </c>
      <c r="AB14" s="52"/>
      <c r="AD14" s="33">
        <f t="shared" si="10"/>
        <v>221.07999999999998</v>
      </c>
      <c r="AE14" s="2"/>
      <c r="AK14" s="26"/>
    </row>
    <row r="15" spans="1:37" ht="14.25" hidden="1" customHeight="1" x14ac:dyDescent="0.25">
      <c r="A15" t="str">
        <f t="shared" si="1"/>
        <v/>
      </c>
      <c r="B15" t="str">
        <f t="shared" si="2"/>
        <v>W</v>
      </c>
      <c r="C15" t="s">
        <v>270</v>
      </c>
      <c r="D15" s="31" t="s">
        <v>167</v>
      </c>
      <c r="E15" s="31" t="str">
        <f t="shared" ca="1" si="12"/>
        <v>Amer. Water Works</v>
      </c>
      <c r="F15" s="195">
        <v>35.4</v>
      </c>
      <c r="G15" s="195">
        <v>172.6</v>
      </c>
      <c r="H15" s="195">
        <v>92</v>
      </c>
      <c r="I15" s="196">
        <f t="shared" si="0"/>
        <v>132.30000000000001</v>
      </c>
      <c r="J15" s="193">
        <v>7.24</v>
      </c>
      <c r="K15" s="193">
        <v>3.91</v>
      </c>
      <c r="L15" s="193">
        <v>2.15</v>
      </c>
      <c r="M15" s="193">
        <v>10.050000000000001</v>
      </c>
      <c r="N15" s="193">
        <v>35.58</v>
      </c>
      <c r="O15" s="193">
        <v>7.7</v>
      </c>
      <c r="P15" s="193">
        <v>12.8</v>
      </c>
      <c r="Q15" s="193">
        <v>9.6999999999999993</v>
      </c>
      <c r="R15" s="193">
        <v>11.75</v>
      </c>
      <c r="S15" s="225">
        <v>44295</v>
      </c>
      <c r="T15" s="196">
        <f t="shared" si="11"/>
        <v>18.273480662983427</v>
      </c>
      <c r="U15" s="197">
        <f t="shared" si="3"/>
        <v>3.7183811129848232</v>
      </c>
      <c r="V15" s="198">
        <f t="shared" si="4"/>
        <v>6.0427206295671727E-2</v>
      </c>
      <c r="W15" s="197">
        <f t="shared" si="5"/>
        <v>0.54987212276214825</v>
      </c>
      <c r="X15" s="197">
        <f t="shared" si="6"/>
        <v>0.72039800995024872</v>
      </c>
      <c r="Y15" s="198">
        <f t="shared" si="7"/>
        <v>1.6250944822373391E-2</v>
      </c>
      <c r="Z15" s="197">
        <f t="shared" si="8"/>
        <v>0.6015625</v>
      </c>
      <c r="AA15" s="197">
        <f t="shared" si="9"/>
        <v>0.82553191489361699</v>
      </c>
      <c r="AB15" s="52"/>
      <c r="AD15" s="33">
        <f t="shared" si="10"/>
        <v>358.93</v>
      </c>
      <c r="AE15" s="2"/>
      <c r="AK15" s="26"/>
    </row>
    <row r="16" spans="1:37" ht="14.25" hidden="1" customHeight="1" x14ac:dyDescent="0.25">
      <c r="A16" t="str">
        <f t="shared" si="1"/>
        <v/>
      </c>
      <c r="B16" t="str">
        <f t="shared" si="2"/>
        <v>W</v>
      </c>
      <c r="C16" t="s">
        <v>270</v>
      </c>
      <c r="D16" s="31" t="s">
        <v>533</v>
      </c>
      <c r="E16" s="31" t="s">
        <v>548</v>
      </c>
      <c r="F16" s="195">
        <v>28</v>
      </c>
      <c r="G16" s="195">
        <v>54.5</v>
      </c>
      <c r="H16" s="195">
        <v>30.4</v>
      </c>
      <c r="I16" s="196">
        <f t="shared" si="0"/>
        <v>42.45</v>
      </c>
      <c r="J16" s="193">
        <v>2.21</v>
      </c>
      <c r="K16" s="193">
        <v>1.1200000000000001</v>
      </c>
      <c r="L16" s="193">
        <v>0.97</v>
      </c>
      <c r="M16" s="193">
        <v>3.41</v>
      </c>
      <c r="N16" s="193">
        <v>19.09</v>
      </c>
      <c r="O16" s="193">
        <v>2.89</v>
      </c>
      <c r="P16" s="193">
        <v>4.04</v>
      </c>
      <c r="Q16" s="193">
        <v>4</v>
      </c>
      <c r="R16" s="193">
        <v>3.8</v>
      </c>
      <c r="S16" s="225">
        <v>44295</v>
      </c>
      <c r="T16" s="196">
        <f t="shared" si="11"/>
        <v>19.208144796380093</v>
      </c>
      <c r="U16" s="197">
        <f t="shared" si="3"/>
        <v>2.2236773179675224</v>
      </c>
      <c r="V16" s="198">
        <f t="shared" si="4"/>
        <v>5.0811943425877422E-2</v>
      </c>
      <c r="W16" s="197">
        <f t="shared" si="5"/>
        <v>0.86607142857142849</v>
      </c>
      <c r="X16" s="197">
        <f t="shared" si="6"/>
        <v>0.64809384164222872</v>
      </c>
      <c r="Y16" s="198">
        <f t="shared" si="7"/>
        <v>2.2850412249705535E-2</v>
      </c>
      <c r="Z16" s="197">
        <f t="shared" si="8"/>
        <v>0.71534653465346532</v>
      </c>
      <c r="AA16" s="197">
        <f t="shared" si="9"/>
        <v>1.0526315789473684</v>
      </c>
      <c r="AB16" s="52"/>
      <c r="AD16" s="33">
        <f t="shared" si="10"/>
        <v>139.69999999999999</v>
      </c>
      <c r="AE16" s="2"/>
      <c r="AK16" s="26"/>
    </row>
    <row r="17" spans="1:37" ht="14.25" hidden="1" customHeight="1" x14ac:dyDescent="0.25">
      <c r="A17" t="str">
        <f t="shared" si="1"/>
        <v/>
      </c>
      <c r="B17" t="str">
        <f t="shared" si="2"/>
        <v>W</v>
      </c>
      <c r="C17" t="s">
        <v>270</v>
      </c>
      <c r="D17" s="31" t="s">
        <v>177</v>
      </c>
      <c r="E17" s="31" t="str">
        <f t="shared" ca="1" si="12"/>
        <v>California Water</v>
      </c>
      <c r="F17" s="195">
        <v>31.4</v>
      </c>
      <c r="G17" s="195">
        <v>57.4</v>
      </c>
      <c r="H17" s="195">
        <v>39.700000000000003</v>
      </c>
      <c r="I17" s="196">
        <f t="shared" si="0"/>
        <v>48.55</v>
      </c>
      <c r="J17" s="193">
        <v>3.88</v>
      </c>
      <c r="K17" s="193">
        <v>1.97</v>
      </c>
      <c r="L17" s="193">
        <v>0.85</v>
      </c>
      <c r="M17" s="193">
        <v>5.93</v>
      </c>
      <c r="N17" s="193">
        <v>18.3</v>
      </c>
      <c r="O17" s="193">
        <v>3.45</v>
      </c>
      <c r="P17" s="193">
        <v>5.25</v>
      </c>
      <c r="Q17" s="193">
        <v>3.75</v>
      </c>
      <c r="R17" s="193">
        <v>5.85</v>
      </c>
      <c r="S17" s="225">
        <v>44295</v>
      </c>
      <c r="T17" s="196">
        <f t="shared" si="11"/>
        <v>12.512886597938143</v>
      </c>
      <c r="U17" s="197">
        <f t="shared" si="3"/>
        <v>2.653005464480874</v>
      </c>
      <c r="V17" s="198">
        <f t="shared" si="4"/>
        <v>4.6448087431693985E-2</v>
      </c>
      <c r="W17" s="197">
        <f t="shared" si="5"/>
        <v>0.43147208121827413</v>
      </c>
      <c r="X17" s="197">
        <f t="shared" si="6"/>
        <v>0.65430016863406415</v>
      </c>
      <c r="Y17" s="198">
        <f t="shared" si="7"/>
        <v>1.7507723995880537E-2</v>
      </c>
      <c r="Z17" s="197">
        <f t="shared" si="8"/>
        <v>0.65714285714285714</v>
      </c>
      <c r="AA17" s="197">
        <f t="shared" si="9"/>
        <v>0.64102564102564108</v>
      </c>
      <c r="AB17" s="52"/>
      <c r="AD17" s="33">
        <f t="shared" si="10"/>
        <v>159.43</v>
      </c>
    </row>
    <row r="18" spans="1:37" ht="14.25" hidden="1" customHeight="1" x14ac:dyDescent="0.25">
      <c r="A18" t="str">
        <f t="shared" si="1"/>
        <v/>
      </c>
      <c r="B18" t="str">
        <f t="shared" si="2"/>
        <v>W</v>
      </c>
      <c r="C18" t="s">
        <v>270</v>
      </c>
      <c r="D18" s="31"/>
      <c r="E18" s="31"/>
      <c r="F18" s="195"/>
      <c r="G18" s="195"/>
      <c r="H18" s="195"/>
      <c r="I18" s="196" t="str">
        <f t="shared" si="0"/>
        <v/>
      </c>
      <c r="J18" s="193"/>
      <c r="K18" s="193"/>
      <c r="L18" s="193"/>
      <c r="M18" s="193"/>
      <c r="N18" s="193"/>
      <c r="O18" s="193"/>
      <c r="P18" s="193"/>
      <c r="Q18" s="193"/>
      <c r="R18" s="193"/>
      <c r="S18" s="225"/>
      <c r="T18" s="196"/>
      <c r="U18" s="197"/>
      <c r="V18" s="198"/>
      <c r="W18" s="197"/>
      <c r="X18" s="197"/>
      <c r="Y18" s="198"/>
      <c r="Z18" s="197"/>
      <c r="AA18" s="197" t="str">
        <f t="shared" si="9"/>
        <v/>
      </c>
      <c r="AB18" s="52"/>
      <c r="AD18" s="33">
        <f t="shared" si="10"/>
        <v>0</v>
      </c>
    </row>
    <row r="19" spans="1:37" ht="14.25" hidden="1" customHeight="1" x14ac:dyDescent="0.25">
      <c r="A19" t="str">
        <f t="shared" si="1"/>
        <v/>
      </c>
      <c r="B19" t="str">
        <f t="shared" si="2"/>
        <v>W</v>
      </c>
      <c r="C19" t="s">
        <v>270</v>
      </c>
      <c r="D19" s="31" t="s">
        <v>188</v>
      </c>
      <c r="E19" s="31" t="str">
        <f t="shared" ca="1" si="12"/>
        <v>Middlesex Water</v>
      </c>
      <c r="F19" s="195">
        <v>36.700000000000003</v>
      </c>
      <c r="G19" s="195">
        <v>76.099999999999994</v>
      </c>
      <c r="H19" s="195">
        <v>48.8</v>
      </c>
      <c r="I19" s="196">
        <f t="shared" si="0"/>
        <v>62.449999999999996</v>
      </c>
      <c r="J19" s="193">
        <v>3.25</v>
      </c>
      <c r="K19" s="193">
        <v>2.1800000000000002</v>
      </c>
      <c r="L19" s="193">
        <v>1.04</v>
      </c>
      <c r="M19" s="193">
        <v>6.04</v>
      </c>
      <c r="N19" s="193">
        <v>19.809999999999999</v>
      </c>
      <c r="O19" s="193">
        <v>3.15</v>
      </c>
      <c r="P19" s="193">
        <v>5.5</v>
      </c>
      <c r="Q19" s="193">
        <v>3.7</v>
      </c>
      <c r="R19" s="193">
        <v>6.25</v>
      </c>
      <c r="S19" s="225">
        <v>44295</v>
      </c>
      <c r="T19" s="196">
        <f>IFERROR(I19/J19,"N/A")</f>
        <v>19.215384615384615</v>
      </c>
      <c r="U19" s="197">
        <f>IFERROR(I19/N19,"N/A")</f>
        <v>3.1524482584553257</v>
      </c>
      <c r="V19" s="198">
        <f t="shared" si="4"/>
        <v>5.2498738011105509E-2</v>
      </c>
      <c r="W19" s="197">
        <f t="shared" si="5"/>
        <v>0.47706422018348621</v>
      </c>
      <c r="X19" s="197">
        <f t="shared" si="6"/>
        <v>0.53807947019867552</v>
      </c>
      <c r="Y19" s="198">
        <f>IFERROR(L19/I19,"N/A")</f>
        <v>1.6653322658126503E-2</v>
      </c>
      <c r="Z19" s="197">
        <f t="shared" si="8"/>
        <v>0.57272727272727275</v>
      </c>
      <c r="AA19" s="197">
        <f t="shared" si="9"/>
        <v>0.59200000000000008</v>
      </c>
      <c r="AB19" s="52"/>
      <c r="AD19" s="33">
        <f t="shared" si="10"/>
        <v>193.92</v>
      </c>
    </row>
    <row r="20" spans="1:37" ht="14.25" hidden="1" customHeight="1" x14ac:dyDescent="0.25">
      <c r="A20" t="str">
        <f t="shared" si="1"/>
        <v/>
      </c>
      <c r="B20" t="str">
        <f t="shared" si="2"/>
        <v>W</v>
      </c>
      <c r="C20" t="s">
        <v>270</v>
      </c>
      <c r="D20" s="31" t="s">
        <v>196</v>
      </c>
      <c r="E20" s="31" t="str">
        <f t="shared" ca="1" si="12"/>
        <v>SJW Corp.</v>
      </c>
      <c r="F20" s="195">
        <v>26.9</v>
      </c>
      <c r="G20" s="195">
        <v>75</v>
      </c>
      <c r="H20" s="195">
        <v>45.6</v>
      </c>
      <c r="I20" s="196">
        <f t="shared" si="0"/>
        <v>60.3</v>
      </c>
      <c r="J20" s="193">
        <v>5.28</v>
      </c>
      <c r="K20" s="193">
        <v>2.14</v>
      </c>
      <c r="L20" s="193">
        <v>1.28</v>
      </c>
      <c r="M20" s="193">
        <v>7.44</v>
      </c>
      <c r="N20" s="193">
        <v>32.119999999999997</v>
      </c>
      <c r="O20" s="193">
        <v>4.25</v>
      </c>
      <c r="P20" s="193">
        <v>6.75</v>
      </c>
      <c r="Q20" s="193">
        <v>5.3</v>
      </c>
      <c r="R20" s="193">
        <v>7.5</v>
      </c>
      <c r="S20" s="225">
        <v>44295</v>
      </c>
      <c r="T20" s="196">
        <f t="shared" si="11"/>
        <v>11.420454545454545</v>
      </c>
      <c r="U20" s="197">
        <f t="shared" si="3"/>
        <v>1.8773349937733499</v>
      </c>
      <c r="V20" s="198">
        <f t="shared" si="4"/>
        <v>3.9850560398505611E-2</v>
      </c>
      <c r="W20" s="197">
        <f t="shared" si="5"/>
        <v>0.59813084112149528</v>
      </c>
      <c r="X20" s="197">
        <f t="shared" si="6"/>
        <v>0.70967741935483875</v>
      </c>
      <c r="Y20" s="198">
        <f t="shared" si="7"/>
        <v>2.1227197346600332E-2</v>
      </c>
      <c r="Z20" s="197">
        <f t="shared" si="8"/>
        <v>0.62962962962962965</v>
      </c>
      <c r="AA20" s="197">
        <f t="shared" si="9"/>
        <v>0.70666666666666667</v>
      </c>
      <c r="AB20" s="52"/>
      <c r="AD20" s="33">
        <f t="shared" si="10"/>
        <v>195.76</v>
      </c>
    </row>
    <row r="21" spans="1:37" ht="14.25" hidden="1" customHeight="1" x14ac:dyDescent="0.25">
      <c r="A21" t="str">
        <f t="shared" si="1"/>
        <v/>
      </c>
      <c r="B21" t="str">
        <f t="shared" si="2"/>
        <v>W</v>
      </c>
      <c r="C21" t="s">
        <v>270</v>
      </c>
      <c r="D21" s="31"/>
      <c r="E21" s="31"/>
      <c r="F21" s="195"/>
      <c r="G21" s="195"/>
      <c r="H21" s="195"/>
      <c r="I21" s="196" t="str">
        <f t="shared" si="0"/>
        <v/>
      </c>
      <c r="J21" s="193"/>
      <c r="K21" s="193"/>
      <c r="L21" s="193"/>
      <c r="M21" s="193"/>
      <c r="N21" s="193"/>
      <c r="O21" s="193"/>
      <c r="P21" s="193"/>
      <c r="Q21" s="193"/>
      <c r="R21" s="193"/>
      <c r="S21" s="225"/>
      <c r="T21" s="196"/>
      <c r="U21" s="197"/>
      <c r="V21" s="198"/>
      <c r="W21" s="197"/>
      <c r="X21" s="197"/>
      <c r="Y21" s="198"/>
      <c r="Z21" s="197"/>
      <c r="AA21" s="197"/>
      <c r="AB21" s="52"/>
      <c r="AD21" s="33">
        <f t="shared" si="10"/>
        <v>0</v>
      </c>
    </row>
    <row r="22" spans="1:37" ht="14.25" customHeight="1" x14ac:dyDescent="0.25">
      <c r="A22">
        <f t="shared" si="1"/>
        <v>1</v>
      </c>
      <c r="B22" t="str">
        <f t="shared" si="2"/>
        <v>E</v>
      </c>
      <c r="C22" t="s">
        <v>268</v>
      </c>
      <c r="D22" s="31" t="s">
        <v>260</v>
      </c>
      <c r="E22" s="31" t="str">
        <f>VLOOKUP(D22,'[6]MP-CF (WP)'!$B$4:$Y$81,2,FALSE)</f>
        <v>Avangrid, Inc.</v>
      </c>
      <c r="F22" s="195">
        <v>25.3</v>
      </c>
      <c r="G22" s="195">
        <v>57.2</v>
      </c>
      <c r="H22" s="195">
        <v>35.6</v>
      </c>
      <c r="I22" s="196">
        <v>46.400000000000006</v>
      </c>
      <c r="J22" s="193">
        <v>5.07</v>
      </c>
      <c r="K22" s="193">
        <v>1.88</v>
      </c>
      <c r="L22" s="193">
        <v>1.76</v>
      </c>
      <c r="M22" s="193">
        <v>9</v>
      </c>
      <c r="N22" s="193">
        <v>49.21</v>
      </c>
      <c r="O22" s="193">
        <v>5.85</v>
      </c>
      <c r="P22" s="193">
        <v>9.4</v>
      </c>
      <c r="Q22" s="193">
        <v>7.25</v>
      </c>
      <c r="R22" s="193">
        <v>11.75</v>
      </c>
      <c r="S22" s="225">
        <v>44330</v>
      </c>
      <c r="T22" s="196">
        <f t="shared" si="11"/>
        <v>9.1518737672583832</v>
      </c>
      <c r="U22" s="197">
        <f t="shared" si="3"/>
        <v>0.94289778500304822</v>
      </c>
      <c r="V22" s="198">
        <f t="shared" si="4"/>
        <v>3.5765088396667345E-2</v>
      </c>
      <c r="W22" s="197">
        <f t="shared" si="5"/>
        <v>0.93617021276595747</v>
      </c>
      <c r="X22" s="197">
        <f t="shared" si="6"/>
        <v>0.56333333333333335</v>
      </c>
      <c r="Y22" s="198">
        <f t="shared" si="7"/>
        <v>3.7931034482758613E-2</v>
      </c>
      <c r="Z22" s="197">
        <f t="shared" si="8"/>
        <v>0.62234042553191482</v>
      </c>
      <c r="AA22" s="197">
        <f t="shared" si="9"/>
        <v>0.61702127659574468</v>
      </c>
      <c r="AB22" s="52"/>
      <c r="AD22" s="33">
        <f t="shared" si="10"/>
        <v>185.02</v>
      </c>
    </row>
    <row r="23" spans="1:37" ht="14.25" customHeight="1" x14ac:dyDescent="0.25">
      <c r="A23">
        <f t="shared" si="1"/>
        <v>1</v>
      </c>
      <c r="B23" t="str">
        <f t="shared" si="2"/>
        <v>E</v>
      </c>
      <c r="C23" t="s">
        <v>268</v>
      </c>
      <c r="D23" s="31" t="s">
        <v>10</v>
      </c>
      <c r="E23" s="31" t="str">
        <f>VLOOKUP(D23,'[6]MP-CF (WP)'!$B$4:$Y$81,2,FALSE)</f>
        <v xml:space="preserve">Consol. Edison                </v>
      </c>
      <c r="F23" s="195">
        <v>20.100000000000001</v>
      </c>
      <c r="G23" s="195">
        <v>95.1</v>
      </c>
      <c r="H23" s="195">
        <v>62</v>
      </c>
      <c r="I23" s="196">
        <v>78.55</v>
      </c>
      <c r="J23" s="193">
        <v>9.48</v>
      </c>
      <c r="K23" s="193">
        <v>3.94</v>
      </c>
      <c r="L23" s="193">
        <v>3.06</v>
      </c>
      <c r="M23" s="193">
        <v>11.42</v>
      </c>
      <c r="N23" s="193">
        <v>55.06</v>
      </c>
      <c r="O23" s="193">
        <v>10.050000000000001</v>
      </c>
      <c r="P23" s="193">
        <v>11.35</v>
      </c>
      <c r="Q23" s="193">
        <v>12</v>
      </c>
      <c r="R23" s="193">
        <v>11</v>
      </c>
      <c r="S23" s="225">
        <v>44330</v>
      </c>
      <c r="T23" s="196">
        <f t="shared" si="11"/>
        <v>8.2858649789029535</v>
      </c>
      <c r="U23" s="197">
        <f t="shared" si="3"/>
        <v>1.4266254994551397</v>
      </c>
      <c r="V23" s="198">
        <f t="shared" si="4"/>
        <v>5.5575735561205958E-2</v>
      </c>
      <c r="W23" s="197">
        <f t="shared" si="5"/>
        <v>0.7766497461928934</v>
      </c>
      <c r="X23" s="197">
        <f t="shared" si="6"/>
        <v>0.83012259194395799</v>
      </c>
      <c r="Y23" s="198">
        <f t="shared" si="7"/>
        <v>3.8956078930617442E-2</v>
      </c>
      <c r="Z23" s="197">
        <f t="shared" si="8"/>
        <v>0.8854625550660794</v>
      </c>
      <c r="AA23" s="197">
        <f t="shared" si="9"/>
        <v>1.0909090909090908</v>
      </c>
      <c r="AB23" s="52"/>
      <c r="AD23" s="33">
        <f t="shared" si="10"/>
        <v>260.15999999999997</v>
      </c>
    </row>
    <row r="24" spans="1:37" ht="14.25" customHeight="1" x14ac:dyDescent="0.25">
      <c r="A24">
        <f t="shared" si="1"/>
        <v>1</v>
      </c>
      <c r="B24" t="str">
        <f t="shared" si="2"/>
        <v>E</v>
      </c>
      <c r="C24" t="s">
        <v>268</v>
      </c>
      <c r="D24" s="31" t="s">
        <v>11</v>
      </c>
      <c r="E24" s="31" t="str">
        <f>VLOOKUP(D24,'[6]MP-CF (WP)'!$B$4:$Y$81,2,FALSE)</f>
        <v xml:space="preserve">Dominion Resources            </v>
      </c>
      <c r="F24" s="194" t="s">
        <v>105</v>
      </c>
      <c r="G24" s="195">
        <v>90.9</v>
      </c>
      <c r="H24" s="195">
        <v>57.8</v>
      </c>
      <c r="I24" s="196">
        <v>74.349999999999994</v>
      </c>
      <c r="J24" s="193">
        <v>5.48</v>
      </c>
      <c r="K24" s="193">
        <v>1.82</v>
      </c>
      <c r="L24" s="193">
        <v>3.45</v>
      </c>
      <c r="M24" s="193">
        <v>7.47</v>
      </c>
      <c r="N24" s="193">
        <v>29.44</v>
      </c>
      <c r="O24" s="193">
        <v>7.55</v>
      </c>
      <c r="P24" s="193">
        <v>8.5</v>
      </c>
      <c r="Q24" s="193">
        <v>9</v>
      </c>
      <c r="R24" s="193">
        <v>11.75</v>
      </c>
      <c r="S24" s="225">
        <v>44330</v>
      </c>
      <c r="T24" s="196">
        <f t="shared" si="11"/>
        <v>13.56751824817518</v>
      </c>
      <c r="U24" s="197">
        <f t="shared" si="3"/>
        <v>2.5254755434782608</v>
      </c>
      <c r="V24" s="198">
        <f t="shared" si="4"/>
        <v>0.1171875</v>
      </c>
      <c r="W24" s="197">
        <f t="shared" si="5"/>
        <v>1.8956043956043955</v>
      </c>
      <c r="X24" s="197">
        <f t="shared" si="6"/>
        <v>0.73360107095046867</v>
      </c>
      <c r="Y24" s="198">
        <f t="shared" si="7"/>
        <v>4.6402151983860128E-2</v>
      </c>
      <c r="Z24" s="197">
        <f t="shared" si="8"/>
        <v>0.88823529411764701</v>
      </c>
      <c r="AA24" s="197">
        <f t="shared" si="9"/>
        <v>0.76595744680851063</v>
      </c>
      <c r="AB24" s="52"/>
      <c r="AD24" s="33">
        <f t="shared" si="10"/>
        <v>196.35999999999996</v>
      </c>
    </row>
    <row r="25" spans="1:37" ht="14.25" customHeight="1" x14ac:dyDescent="0.25">
      <c r="A25">
        <f t="shared" si="1"/>
        <v>1</v>
      </c>
      <c r="B25" t="str">
        <f t="shared" si="2"/>
        <v>E</v>
      </c>
      <c r="C25" t="s">
        <v>268</v>
      </c>
      <c r="D25" s="31" t="s">
        <v>13</v>
      </c>
      <c r="E25" s="31" t="str">
        <f>VLOOKUP(D25,'[6]MP-CF (WP)'!$B$4:$Y$81,2,FALSE)</f>
        <v xml:space="preserve">Duke Energy                   </v>
      </c>
      <c r="F25" s="195">
        <v>22.4</v>
      </c>
      <c r="G25" s="195">
        <v>103.8</v>
      </c>
      <c r="H25" s="195">
        <v>62.1</v>
      </c>
      <c r="I25" s="196">
        <v>82.95</v>
      </c>
      <c r="J25" s="193">
        <v>10.89</v>
      </c>
      <c r="K25" s="193">
        <v>3.92</v>
      </c>
      <c r="L25" s="193">
        <v>3.82</v>
      </c>
      <c r="M25" s="193">
        <v>12.88</v>
      </c>
      <c r="N25" s="193">
        <v>59.82</v>
      </c>
      <c r="O25" s="193">
        <v>12.6</v>
      </c>
      <c r="P25" s="193">
        <v>13.6</v>
      </c>
      <c r="Q25" s="193">
        <v>15.5</v>
      </c>
      <c r="R25" s="193">
        <v>15.5</v>
      </c>
      <c r="S25" s="225">
        <v>44330</v>
      </c>
      <c r="T25" s="196">
        <f t="shared" si="11"/>
        <v>7.6170798898071626</v>
      </c>
      <c r="U25" s="197">
        <f t="shared" si="3"/>
        <v>1.3866599799398196</v>
      </c>
      <c r="V25" s="198">
        <f t="shared" si="4"/>
        <v>6.3858241390839177E-2</v>
      </c>
      <c r="W25" s="197">
        <f t="shared" si="5"/>
        <v>0.97448979591836737</v>
      </c>
      <c r="X25" s="197">
        <f t="shared" si="6"/>
        <v>0.84549689440993792</v>
      </c>
      <c r="Y25" s="198">
        <f t="shared" si="7"/>
        <v>4.6051838456901743E-2</v>
      </c>
      <c r="Z25" s="197">
        <f t="shared" si="8"/>
        <v>0.92647058823529416</v>
      </c>
      <c r="AA25" s="197">
        <f t="shared" si="9"/>
        <v>1</v>
      </c>
      <c r="AB25" s="52"/>
      <c r="AD25" s="33">
        <f t="shared" si="10"/>
        <v>279.63</v>
      </c>
    </row>
    <row r="26" spans="1:37" ht="14.25" customHeight="1" x14ac:dyDescent="0.25">
      <c r="A26">
        <f t="shared" si="1"/>
        <v>1</v>
      </c>
      <c r="B26" t="str">
        <f t="shared" si="2"/>
        <v>E</v>
      </c>
      <c r="C26" t="s">
        <v>268</v>
      </c>
      <c r="D26" s="31" t="s">
        <v>211</v>
      </c>
      <c r="E26" s="31" t="str">
        <f>VLOOKUP(D26,'[6]MP-CF (WP)'!$B$4:$Y$81,2,FALSE)</f>
        <v xml:space="preserve">Eversource Energy    </v>
      </c>
      <c r="F26" s="195">
        <v>24.3</v>
      </c>
      <c r="G26" s="195">
        <v>99.4</v>
      </c>
      <c r="H26" s="195">
        <v>60.7</v>
      </c>
      <c r="I26" s="196">
        <v>80.050000000000011</v>
      </c>
      <c r="J26" s="193">
        <v>6.89</v>
      </c>
      <c r="K26" s="193">
        <v>3.55</v>
      </c>
      <c r="L26" s="193">
        <v>2.27</v>
      </c>
      <c r="M26" s="193">
        <v>8.58</v>
      </c>
      <c r="N26" s="193">
        <v>41.01</v>
      </c>
      <c r="O26" s="193">
        <v>7.55</v>
      </c>
      <c r="P26" s="193">
        <v>10.25</v>
      </c>
      <c r="Q26" s="193">
        <v>9</v>
      </c>
      <c r="R26" s="193">
        <v>8.5</v>
      </c>
      <c r="S26" s="225">
        <v>44330</v>
      </c>
      <c r="T26" s="196">
        <f t="shared" si="11"/>
        <v>11.618287373004357</v>
      </c>
      <c r="U26" s="197">
        <f t="shared" si="3"/>
        <v>1.9519629358693005</v>
      </c>
      <c r="V26" s="198">
        <f t="shared" si="4"/>
        <v>5.5352353084613511E-2</v>
      </c>
      <c r="W26" s="197">
        <f t="shared" si="5"/>
        <v>0.6394366197183099</v>
      </c>
      <c r="X26" s="197">
        <f t="shared" si="6"/>
        <v>0.80303030303030298</v>
      </c>
      <c r="Y26" s="198">
        <f t="shared" si="7"/>
        <v>2.8357276702061208E-2</v>
      </c>
      <c r="Z26" s="197">
        <f t="shared" si="8"/>
        <v>0.73658536585365852</v>
      </c>
      <c r="AA26" s="197">
        <f t="shared" si="9"/>
        <v>1.0588235294117647</v>
      </c>
      <c r="AB26" s="52"/>
      <c r="AD26" s="33">
        <f t="shared" si="10"/>
        <v>246.70000000000002</v>
      </c>
    </row>
    <row r="27" spans="1:37" ht="14.25" customHeight="1" x14ac:dyDescent="0.25">
      <c r="A27">
        <f t="shared" si="1"/>
        <v>1</v>
      </c>
      <c r="B27" t="str">
        <f t="shared" si="2"/>
        <v>E</v>
      </c>
      <c r="C27" t="s">
        <v>268</v>
      </c>
      <c r="D27" s="31" t="s">
        <v>18</v>
      </c>
      <c r="E27" s="31" t="str">
        <f>VLOOKUP(D27,'[6]MP-CF (WP)'!$B$4:$Y$81,2,FALSE)</f>
        <v xml:space="preserve">Exelon Corp.                  </v>
      </c>
      <c r="F27" s="195">
        <v>15.4</v>
      </c>
      <c r="G27" s="195">
        <v>59.5</v>
      </c>
      <c r="H27" s="195">
        <v>29.3</v>
      </c>
      <c r="I27" s="196">
        <v>39.9</v>
      </c>
      <c r="J27" s="193">
        <v>9.02</v>
      </c>
      <c r="K27" s="193">
        <v>2.6</v>
      </c>
      <c r="L27" s="193">
        <v>1.53</v>
      </c>
      <c r="M27" s="193">
        <v>8.25</v>
      </c>
      <c r="N27" s="193">
        <v>33.119999999999997</v>
      </c>
      <c r="O27" s="193">
        <v>9.6</v>
      </c>
      <c r="P27" s="193">
        <v>7.25</v>
      </c>
      <c r="Q27" s="193">
        <v>11</v>
      </c>
      <c r="R27" s="193">
        <v>7.5</v>
      </c>
      <c r="S27" s="225">
        <v>44330</v>
      </c>
      <c r="T27" s="196">
        <f t="shared" si="11"/>
        <v>4.4235033259423506</v>
      </c>
      <c r="U27" s="197">
        <f t="shared" si="3"/>
        <v>1.2047101449275364</v>
      </c>
      <c r="V27" s="198">
        <f t="shared" si="4"/>
        <v>4.6195652173913047E-2</v>
      </c>
      <c r="W27" s="197">
        <f t="shared" si="5"/>
        <v>0.58846153846153848</v>
      </c>
      <c r="X27" s="197">
        <f t="shared" si="6"/>
        <v>1.0933333333333333</v>
      </c>
      <c r="Y27" s="198">
        <f t="shared" si="7"/>
        <v>3.8345864661654135E-2</v>
      </c>
      <c r="Z27" s="197">
        <f t="shared" si="8"/>
        <v>1.3241379310344827</v>
      </c>
      <c r="AA27" s="197">
        <f t="shared" si="9"/>
        <v>1.4666666666666666</v>
      </c>
      <c r="AB27" s="52"/>
      <c r="AD27" s="33">
        <f t="shared" si="10"/>
        <v>158.72</v>
      </c>
    </row>
    <row r="28" spans="1:37" ht="14.25" customHeight="1" x14ac:dyDescent="0.25">
      <c r="A28">
        <f t="shared" si="1"/>
        <v>1</v>
      </c>
      <c r="B28" t="str">
        <f t="shared" si="2"/>
        <v>E</v>
      </c>
      <c r="C28" t="s">
        <v>268</v>
      </c>
      <c r="D28" s="31" t="s">
        <v>19</v>
      </c>
      <c r="E28" s="31" t="str">
        <f>VLOOKUP(D28,'[6]MP-CF (WP)'!$B$4:$Y$81,2,FALSE)</f>
        <v xml:space="preserve">FirstEnergy Corp.             </v>
      </c>
      <c r="F28" s="195">
        <v>20.2</v>
      </c>
      <c r="G28" s="195">
        <v>52.5</v>
      </c>
      <c r="H28" s="195">
        <v>22.9</v>
      </c>
      <c r="I28" s="196">
        <v>42.25</v>
      </c>
      <c r="J28" s="193">
        <v>4.05</v>
      </c>
      <c r="K28" s="193">
        <v>1.85</v>
      </c>
      <c r="L28" s="193">
        <v>1.56</v>
      </c>
      <c r="M28" s="193">
        <v>4.8899999999999997</v>
      </c>
      <c r="N28" s="193">
        <v>13.33</v>
      </c>
      <c r="O28" s="193">
        <v>4.8</v>
      </c>
      <c r="P28" s="193">
        <v>5.25</v>
      </c>
      <c r="Q28" s="193">
        <v>6</v>
      </c>
      <c r="R28" s="193">
        <v>5.5</v>
      </c>
      <c r="S28" s="225">
        <v>44330</v>
      </c>
      <c r="T28" s="196">
        <f t="shared" si="11"/>
        <v>10.4320987654321</v>
      </c>
      <c r="U28" s="197">
        <f t="shared" si="3"/>
        <v>3.1695423855963991</v>
      </c>
      <c r="V28" s="198">
        <f t="shared" si="4"/>
        <v>0.11702925731432859</v>
      </c>
      <c r="W28" s="197">
        <f t="shared" si="5"/>
        <v>0.84324324324324318</v>
      </c>
      <c r="X28" s="197">
        <f t="shared" si="6"/>
        <v>0.82822085889570551</v>
      </c>
      <c r="Y28" s="198">
        <f t="shared" si="7"/>
        <v>3.6923076923076927E-2</v>
      </c>
      <c r="Z28" s="197">
        <f t="shared" si="8"/>
        <v>0.91428571428571426</v>
      </c>
      <c r="AA28" s="197">
        <f t="shared" si="9"/>
        <v>1.0909090909090908</v>
      </c>
      <c r="AB28" s="52"/>
      <c r="AD28" s="33">
        <f t="shared" si="10"/>
        <v>121.27999999999999</v>
      </c>
    </row>
    <row r="29" spans="1:37" ht="14.25" customHeight="1" x14ac:dyDescent="0.25">
      <c r="A29">
        <f t="shared" si="1"/>
        <v>1</v>
      </c>
      <c r="B29" t="str">
        <f t="shared" si="2"/>
        <v>E</v>
      </c>
      <c r="C29" t="s">
        <v>268</v>
      </c>
      <c r="D29" s="31" t="s">
        <v>141</v>
      </c>
      <c r="E29" s="31" t="str">
        <f>VLOOKUP(D29,'[6]MP-CF (WP)'!$B$4:$Y$81,2,FALSE)</f>
        <v>NextEra Energy, Inc.</v>
      </c>
      <c r="F29" s="195">
        <v>31.8</v>
      </c>
      <c r="G29" s="195">
        <v>83.3</v>
      </c>
      <c r="H29" s="195">
        <v>43.7</v>
      </c>
      <c r="I29" s="196">
        <v>229.05</v>
      </c>
      <c r="J29" s="193">
        <v>4.3099999999999996</v>
      </c>
      <c r="K29" s="193">
        <v>2.1</v>
      </c>
      <c r="L29" s="193">
        <v>1.4</v>
      </c>
      <c r="M29" s="193">
        <v>7.45</v>
      </c>
      <c r="N29" s="193">
        <v>18.63</v>
      </c>
      <c r="O29" s="193">
        <v>4.95</v>
      </c>
      <c r="P29" s="193">
        <v>7.15</v>
      </c>
      <c r="Q29" s="193">
        <v>6</v>
      </c>
      <c r="R29" s="193">
        <v>9</v>
      </c>
      <c r="S29" s="225">
        <v>44330</v>
      </c>
      <c r="T29" s="196">
        <f t="shared" si="11"/>
        <v>53.143851508120655</v>
      </c>
      <c r="U29" s="197">
        <f t="shared" si="3"/>
        <v>12.294685990338165</v>
      </c>
      <c r="V29" s="198">
        <f t="shared" si="4"/>
        <v>7.5147611379495438E-2</v>
      </c>
      <c r="W29" s="197">
        <f t="shared" si="5"/>
        <v>0.66666666666666663</v>
      </c>
      <c r="X29" s="197">
        <f t="shared" si="6"/>
        <v>0.57852348993288583</v>
      </c>
      <c r="Y29" s="198">
        <f t="shared" si="7"/>
        <v>6.1122025758567995E-3</v>
      </c>
      <c r="Z29" s="197">
        <f t="shared" si="8"/>
        <v>0.69230769230769229</v>
      </c>
      <c r="AA29" s="197">
        <f t="shared" si="9"/>
        <v>0.66666666666666663</v>
      </c>
      <c r="AB29" s="52"/>
      <c r="AD29" s="33">
        <f t="shared" si="10"/>
        <v>192.69</v>
      </c>
    </row>
    <row r="30" spans="1:37" ht="14.25" customHeight="1" x14ac:dyDescent="0.25">
      <c r="A30">
        <f t="shared" si="1"/>
        <v>1</v>
      </c>
      <c r="B30" t="str">
        <f t="shared" si="2"/>
        <v>E</v>
      </c>
      <c r="C30" t="s">
        <v>268</v>
      </c>
      <c r="D30" s="31" t="s">
        <v>34</v>
      </c>
      <c r="E30" s="31" t="str">
        <f>VLOOKUP(D30,'[6]MP-CF (WP)'!$B$4:$Y$81,2,FALSE)</f>
        <v xml:space="preserve">PPL Corp.                     </v>
      </c>
      <c r="F30" s="195">
        <v>13.9</v>
      </c>
      <c r="G30" s="195">
        <v>36.799999999999997</v>
      </c>
      <c r="H30" s="195">
        <v>18.100000000000001</v>
      </c>
      <c r="I30" s="196">
        <v>27.45</v>
      </c>
      <c r="J30" s="193">
        <v>3.81</v>
      </c>
      <c r="K30" s="193">
        <v>2.04</v>
      </c>
      <c r="L30" s="193">
        <v>1.66</v>
      </c>
      <c r="M30" s="193">
        <v>4.2300000000000004</v>
      </c>
      <c r="N30" s="193">
        <v>17.39</v>
      </c>
      <c r="O30" s="193">
        <v>4.3499999999999996</v>
      </c>
      <c r="P30" s="193">
        <v>3.9</v>
      </c>
      <c r="Q30" s="193">
        <v>5.25</v>
      </c>
      <c r="R30" s="193">
        <v>3.25</v>
      </c>
      <c r="S30" s="225">
        <v>44330</v>
      </c>
      <c r="T30" s="196">
        <f>IFERROR(I30/J30,"N/A")</f>
        <v>7.2047244094488185</v>
      </c>
      <c r="U30" s="197">
        <f>IFERROR(I30/N30,"N/A")</f>
        <v>1.5784933870040252</v>
      </c>
      <c r="V30" s="198">
        <f t="shared" si="4"/>
        <v>9.5457159286946508E-2</v>
      </c>
      <c r="W30" s="197">
        <f t="shared" si="5"/>
        <v>0.81372549019607843</v>
      </c>
      <c r="X30" s="197">
        <f t="shared" si="6"/>
        <v>0.900709219858156</v>
      </c>
      <c r="Y30" s="198">
        <f>IFERROR(L30/I30,"N/A")</f>
        <v>6.04735883424408E-2</v>
      </c>
      <c r="Z30" s="197">
        <f t="shared" si="8"/>
        <v>1.1153846153846154</v>
      </c>
      <c r="AA30" s="197">
        <f t="shared" si="9"/>
        <v>1.6153846153846154</v>
      </c>
      <c r="AB30" s="52"/>
      <c r="AD30" s="33">
        <f t="shared" si="10"/>
        <v>97.93</v>
      </c>
      <c r="AE30" s="2"/>
      <c r="AK30" s="26"/>
    </row>
    <row r="31" spans="1:37" ht="14.25" customHeight="1" x14ac:dyDescent="0.25">
      <c r="A31">
        <f t="shared" si="1"/>
        <v>1</v>
      </c>
      <c r="B31" t="str">
        <f t="shared" si="2"/>
        <v>E</v>
      </c>
      <c r="C31" t="s">
        <v>268</v>
      </c>
      <c r="D31" s="31" t="s">
        <v>35</v>
      </c>
      <c r="E31" s="31" t="str">
        <f>VLOOKUP(D31,'[6]MP-CF (WP)'!$B$4:$Y$81,2,FALSE)</f>
        <v xml:space="preserve">Public Serv. Enterprise       </v>
      </c>
      <c r="F31" s="195">
        <v>14.9</v>
      </c>
      <c r="G31" s="195">
        <v>62.2</v>
      </c>
      <c r="H31" s="195">
        <v>34.799999999999997</v>
      </c>
      <c r="I31" s="196">
        <v>48.45</v>
      </c>
      <c r="J31" s="193">
        <v>6.54</v>
      </c>
      <c r="K31" s="193">
        <v>3.61</v>
      </c>
      <c r="L31" s="193">
        <v>1.96</v>
      </c>
      <c r="M31" s="193">
        <v>5.8</v>
      </c>
      <c r="N31" s="193">
        <v>31.71</v>
      </c>
      <c r="O31" s="193">
        <v>6.55</v>
      </c>
      <c r="P31" s="193">
        <v>6.25</v>
      </c>
      <c r="Q31" s="193">
        <v>7.75</v>
      </c>
      <c r="R31" s="193">
        <v>7</v>
      </c>
      <c r="S31" s="225">
        <v>44330</v>
      </c>
      <c r="T31" s="196">
        <f>IFERROR(I31/J31,"N/A")</f>
        <v>7.4082568807339451</v>
      </c>
      <c r="U31" s="197">
        <f>IFERROR(I31/N31,"N/A")</f>
        <v>1.5279091769157995</v>
      </c>
      <c r="V31" s="198">
        <f t="shared" si="4"/>
        <v>6.181015452538631E-2</v>
      </c>
      <c r="W31" s="197">
        <f t="shared" si="5"/>
        <v>0.54293628808864269</v>
      </c>
      <c r="X31" s="197">
        <f t="shared" si="6"/>
        <v>1.1275862068965519</v>
      </c>
      <c r="Y31" s="198">
        <f>IFERROR(L31/I31,"N/A")</f>
        <v>4.0454076367389055E-2</v>
      </c>
      <c r="Z31" s="197">
        <f t="shared" si="8"/>
        <v>1.048</v>
      </c>
      <c r="AA31" s="197">
        <f t="shared" si="9"/>
        <v>1.1071428571428572</v>
      </c>
      <c r="AB31" s="52"/>
      <c r="AD31" s="33">
        <f t="shared" si="10"/>
        <v>161.52000000000001</v>
      </c>
      <c r="AE31" s="2"/>
      <c r="AK31" s="26"/>
    </row>
    <row r="32" spans="1:37" ht="14.25" customHeight="1" x14ac:dyDescent="0.25">
      <c r="A32">
        <f t="shared" si="1"/>
        <v>1</v>
      </c>
      <c r="B32" t="str">
        <f t="shared" si="2"/>
        <v>E</v>
      </c>
      <c r="C32" t="s">
        <v>268</v>
      </c>
      <c r="D32" s="31" t="s">
        <v>38</v>
      </c>
      <c r="E32" s="31" t="str">
        <f>VLOOKUP(D32,'[6]MP-CF (WP)'!$B$4:$Y$81,2,FALSE)</f>
        <v xml:space="preserve">Southern Co.                  </v>
      </c>
      <c r="F32" s="195">
        <v>17.899999999999999</v>
      </c>
      <c r="G32" s="195">
        <v>71.099999999999994</v>
      </c>
      <c r="H32" s="195">
        <v>42</v>
      </c>
      <c r="I32" s="196">
        <v>56.55</v>
      </c>
      <c r="J32" s="193">
        <v>6.98</v>
      </c>
      <c r="K32" s="193">
        <v>3.25</v>
      </c>
      <c r="L32" s="193">
        <v>2.54</v>
      </c>
      <c r="M32" s="193">
        <v>7.04</v>
      </c>
      <c r="N32" s="193">
        <v>26.48</v>
      </c>
      <c r="O32" s="193">
        <v>7.15</v>
      </c>
      <c r="P32" s="193">
        <v>7.7</v>
      </c>
      <c r="Q32" s="193">
        <v>8.5</v>
      </c>
      <c r="R32" s="193">
        <v>6</v>
      </c>
      <c r="S32" s="225">
        <v>44330</v>
      </c>
      <c r="T32" s="196">
        <f t="shared" si="11"/>
        <v>8.1017191977077356</v>
      </c>
      <c r="U32" s="197">
        <f t="shared" si="3"/>
        <v>2.1355740181268881</v>
      </c>
      <c r="V32" s="198">
        <f t="shared" si="4"/>
        <v>9.5921450151057408E-2</v>
      </c>
      <c r="W32" s="197">
        <f t="shared" si="5"/>
        <v>0.78153846153846152</v>
      </c>
      <c r="X32" s="197">
        <f t="shared" si="6"/>
        <v>0.99147727272727282</v>
      </c>
      <c r="Y32" s="198">
        <f t="shared" si="7"/>
        <v>4.4916003536693193E-2</v>
      </c>
      <c r="Z32" s="197">
        <f>IFERROR(O32/P32,"")</f>
        <v>0.9285714285714286</v>
      </c>
      <c r="AA32" s="197">
        <f t="shared" si="9"/>
        <v>1.4166666666666667</v>
      </c>
      <c r="AB32" s="52"/>
      <c r="AD32" s="33">
        <f t="shared" si="10"/>
        <v>177.28999999999996</v>
      </c>
      <c r="AE32" s="2"/>
      <c r="AK32" s="26"/>
    </row>
    <row r="33" spans="1:37" ht="14.25" hidden="1" customHeight="1" x14ac:dyDescent="0.25">
      <c r="A33">
        <f t="shared" si="1"/>
        <v>1</v>
      </c>
      <c r="B33" t="str">
        <f t="shared" si="2"/>
        <v>N</v>
      </c>
      <c r="C33" t="s">
        <v>271</v>
      </c>
      <c r="D33" s="31" t="s">
        <v>175</v>
      </c>
      <c r="E33" s="31" t="str">
        <f t="shared" ref="E33:E42" ca="1" si="13">INDEX(OFFSET(CashFlow,0,-1,,1),MATCH(D33,OFFSET(CashFlow,0,0,,1),0))</f>
        <v>Atmos Energy</v>
      </c>
      <c r="F33" s="195">
        <v>22.3</v>
      </c>
      <c r="G33" s="195">
        <v>121.1</v>
      </c>
      <c r="H33" s="195">
        <v>77.900000000000006</v>
      </c>
      <c r="I33" s="196">
        <f t="shared" ref="I33:I71" si="14">IFERROR(AVERAGE(G33:H33),"")</f>
        <v>99.5</v>
      </c>
      <c r="J33" s="193">
        <v>8.0299999999999994</v>
      </c>
      <c r="K33" s="193">
        <v>4.72</v>
      </c>
      <c r="L33" s="193">
        <v>2.2999999999999998</v>
      </c>
      <c r="M33" s="193">
        <v>15.38</v>
      </c>
      <c r="N33" s="193">
        <v>53.95</v>
      </c>
      <c r="O33" s="193">
        <v>8.4</v>
      </c>
      <c r="P33" s="193">
        <v>15.8</v>
      </c>
      <c r="Q33" s="193">
        <v>10.25</v>
      </c>
      <c r="R33" s="193">
        <v>15.15</v>
      </c>
      <c r="S33" s="225">
        <v>44253</v>
      </c>
      <c r="T33" s="196">
        <f>IFERROR(I33/J33,"")</f>
        <v>12.391033623910337</v>
      </c>
      <c r="U33" s="197">
        <f>IFERROR(I33/N33,"")</f>
        <v>1.8443002780352178</v>
      </c>
      <c r="V33" s="198">
        <f>IFERROR(L33/N33,"")</f>
        <v>4.2632066728452267E-2</v>
      </c>
      <c r="W33" s="197">
        <f>IFERROR(L33/K33,"")</f>
        <v>0.48728813559322032</v>
      </c>
      <c r="X33" s="197">
        <f>IFERROR(J33/M33,"")</f>
        <v>0.52210663198959684</v>
      </c>
      <c r="Y33" s="198">
        <f t="shared" si="7"/>
        <v>2.3115577889447233E-2</v>
      </c>
      <c r="Z33" s="197">
        <f>IFERROR(O33/P33,"")</f>
        <v>0.53164556962025311</v>
      </c>
      <c r="AA33" s="197">
        <f t="shared" si="9"/>
        <v>0.67656765676567654</v>
      </c>
      <c r="AB33" s="52"/>
      <c r="AD33" s="33">
        <f t="shared" si="10"/>
        <v>305.68</v>
      </c>
      <c r="AE33" s="2"/>
      <c r="AK33" s="26"/>
    </row>
    <row r="34" spans="1:37" ht="14.25" hidden="1" customHeight="1" x14ac:dyDescent="0.25">
      <c r="A34">
        <f t="shared" si="1"/>
        <v>1</v>
      </c>
      <c r="B34" t="str">
        <f t="shared" si="2"/>
        <v>N</v>
      </c>
      <c r="C34" t="s">
        <v>271</v>
      </c>
      <c r="D34" s="31" t="s">
        <v>178</v>
      </c>
      <c r="E34" s="31" t="str">
        <f t="shared" ca="1" si="13"/>
        <v>Chesapeake Utilities</v>
      </c>
      <c r="F34" s="195">
        <v>22.4</v>
      </c>
      <c r="G34" s="195">
        <v>111.4</v>
      </c>
      <c r="H34" s="195">
        <v>69.5</v>
      </c>
      <c r="I34" s="196">
        <f t="shared" si="14"/>
        <v>90.45</v>
      </c>
      <c r="J34" s="193">
        <v>7.37</v>
      </c>
      <c r="K34" s="193">
        <v>4.21</v>
      </c>
      <c r="L34" s="193">
        <v>1.69</v>
      </c>
      <c r="M34" s="193">
        <v>9.48</v>
      </c>
      <c r="N34" s="193">
        <v>39.92</v>
      </c>
      <c r="O34" s="193">
        <v>8.5</v>
      </c>
      <c r="P34" s="193">
        <v>10.4</v>
      </c>
      <c r="Q34" s="193">
        <v>11.9</v>
      </c>
      <c r="R34" s="193">
        <v>13.5</v>
      </c>
      <c r="S34" s="225">
        <v>44253</v>
      </c>
      <c r="T34" s="196">
        <f>IFERROR(I34/J34,"")</f>
        <v>12.272727272727273</v>
      </c>
      <c r="U34" s="197">
        <f>IFERROR(I34/N34,"")</f>
        <v>2.2657815631262523</v>
      </c>
      <c r="V34" s="198">
        <f>IFERROR(L34/N34,"")</f>
        <v>4.2334669338677348E-2</v>
      </c>
      <c r="W34" s="197">
        <f>IFERROR(L34/K34,"")</f>
        <v>0.40142517814726841</v>
      </c>
      <c r="X34" s="197">
        <f>IFERROR(J34/M34,"")</f>
        <v>0.77742616033755274</v>
      </c>
      <c r="Y34" s="198">
        <f t="shared" si="7"/>
        <v>1.8684355997788834E-2</v>
      </c>
      <c r="Z34" s="197">
        <f>IFERROR(O34/P34,"")</f>
        <v>0.81730769230769229</v>
      </c>
      <c r="AA34" s="197">
        <f t="shared" si="9"/>
        <v>0.88148148148148153</v>
      </c>
      <c r="AB34" s="52"/>
      <c r="AD34" s="33">
        <f t="shared" si="10"/>
        <v>265.97000000000003</v>
      </c>
      <c r="AE34" s="2"/>
      <c r="AK34" s="26"/>
    </row>
    <row r="35" spans="1:37" ht="14.25" hidden="1" customHeight="1" x14ac:dyDescent="0.25">
      <c r="A35">
        <f t="shared" si="1"/>
        <v>1</v>
      </c>
      <c r="B35" t="str">
        <f t="shared" si="2"/>
        <v>N</v>
      </c>
      <c r="C35" t="s">
        <v>271</v>
      </c>
      <c r="D35" s="31" t="s">
        <v>190</v>
      </c>
      <c r="E35" s="31" t="str">
        <f t="shared" ca="1" si="13"/>
        <v>New Jersey Resources</v>
      </c>
      <c r="F35" s="195">
        <v>17.7</v>
      </c>
      <c r="G35" s="195">
        <v>44.7</v>
      </c>
      <c r="H35" s="195">
        <v>21.1</v>
      </c>
      <c r="I35" s="196">
        <f t="shared" si="14"/>
        <v>32.900000000000006</v>
      </c>
      <c r="J35" s="193">
        <v>3.3</v>
      </c>
      <c r="K35" s="193">
        <v>2.0699999999999998</v>
      </c>
      <c r="L35" s="193">
        <v>1.27</v>
      </c>
      <c r="M35" s="193">
        <v>4.68</v>
      </c>
      <c r="N35" s="193">
        <v>19.260000000000002</v>
      </c>
      <c r="O35" s="193">
        <v>2.95</v>
      </c>
      <c r="P35" s="193">
        <v>4.0999999999999996</v>
      </c>
      <c r="Q35" s="193">
        <v>3.9</v>
      </c>
      <c r="R35" s="193">
        <v>4</v>
      </c>
      <c r="S35" s="225">
        <v>44253</v>
      </c>
      <c r="T35" s="196">
        <f t="shared" si="11"/>
        <v>9.9696969696969724</v>
      </c>
      <c r="U35" s="197">
        <f t="shared" si="3"/>
        <v>1.7082035306334373</v>
      </c>
      <c r="V35" s="198">
        <f t="shared" si="4"/>
        <v>6.5939771547248172E-2</v>
      </c>
      <c r="W35" s="197">
        <f t="shared" si="5"/>
        <v>0.61352657004830924</v>
      </c>
      <c r="X35" s="197">
        <f t="shared" si="6"/>
        <v>0.70512820512820518</v>
      </c>
      <c r="Y35" s="198">
        <f t="shared" si="7"/>
        <v>3.8601823708206681E-2</v>
      </c>
      <c r="Z35" s="197">
        <f t="shared" ref="Z35:Z74" si="15">IFERROR(O35/P35,"")</f>
        <v>0.7195121951219513</v>
      </c>
      <c r="AA35" s="197">
        <f t="shared" si="9"/>
        <v>0.97499999999999998</v>
      </c>
      <c r="AB35" s="52"/>
      <c r="AD35" s="33">
        <f t="shared" si="10"/>
        <v>114.08</v>
      </c>
      <c r="AE35" s="2"/>
      <c r="AK35" s="26"/>
    </row>
    <row r="36" spans="1:37" ht="14.25" hidden="1" customHeight="1" x14ac:dyDescent="0.25">
      <c r="A36">
        <f t="shared" si="1"/>
        <v>1</v>
      </c>
      <c r="B36" t="str">
        <f t="shared" si="2"/>
        <v>N</v>
      </c>
      <c r="C36" t="s">
        <v>271</v>
      </c>
      <c r="D36" s="31" t="s">
        <v>26</v>
      </c>
      <c r="E36" s="31" t="str">
        <f t="shared" ca="1" si="13"/>
        <v>NiSource Inc.</v>
      </c>
      <c r="F36" s="194">
        <v>18.7</v>
      </c>
      <c r="G36" s="195">
        <v>30.5</v>
      </c>
      <c r="H36" s="195">
        <v>19.600000000000001</v>
      </c>
      <c r="I36" s="196">
        <f t="shared" si="14"/>
        <v>25.05</v>
      </c>
      <c r="J36" s="193">
        <v>3.1</v>
      </c>
      <c r="K36" s="193">
        <v>1.32</v>
      </c>
      <c r="L36" s="193">
        <v>0.84</v>
      </c>
      <c r="M36" s="193">
        <v>4.7</v>
      </c>
      <c r="N36" s="193">
        <v>12.66</v>
      </c>
      <c r="O36" s="193">
        <v>3.25</v>
      </c>
      <c r="P36" s="193">
        <v>4.7</v>
      </c>
      <c r="Q36" s="193">
        <v>4.4000000000000004</v>
      </c>
      <c r="R36" s="193">
        <v>4.7</v>
      </c>
      <c r="S36" s="225">
        <v>44253</v>
      </c>
      <c r="T36" s="196">
        <f t="shared" si="11"/>
        <v>8.0806451612903221</v>
      </c>
      <c r="U36" s="197">
        <f>IFERROR(I36/N36,"")</f>
        <v>1.9786729857819905</v>
      </c>
      <c r="V36" s="198">
        <f t="shared" si="4"/>
        <v>6.6350710900473925E-2</v>
      </c>
      <c r="W36" s="197">
        <f t="shared" si="5"/>
        <v>0.63636363636363635</v>
      </c>
      <c r="X36" s="197">
        <f t="shared" si="6"/>
        <v>0.65957446808510634</v>
      </c>
      <c r="Y36" s="198">
        <f t="shared" si="7"/>
        <v>3.3532934131736525E-2</v>
      </c>
      <c r="Z36" s="197">
        <f t="shared" si="15"/>
        <v>0.6914893617021276</v>
      </c>
      <c r="AA36" s="197">
        <f t="shared" si="9"/>
        <v>0.93617021276595747</v>
      </c>
      <c r="AB36" s="52"/>
      <c r="AD36" s="33">
        <f t="shared" si="10"/>
        <v>91.42</v>
      </c>
      <c r="AE36" s="2"/>
      <c r="AK36" s="26"/>
    </row>
    <row r="37" spans="1:37" ht="14.25" hidden="1" customHeight="1" x14ac:dyDescent="0.25">
      <c r="A37">
        <f t="shared" si="1"/>
        <v>1</v>
      </c>
      <c r="B37" t="str">
        <f t="shared" si="2"/>
        <v>N</v>
      </c>
      <c r="C37" t="s">
        <v>271</v>
      </c>
      <c r="D37" s="31" t="s">
        <v>192</v>
      </c>
      <c r="E37" s="31" t="str">
        <f t="shared" ca="1" si="13"/>
        <v>Northwest Nat. Gas</v>
      </c>
      <c r="F37" s="194">
        <v>25.5</v>
      </c>
      <c r="G37" s="195">
        <v>77.3</v>
      </c>
      <c r="H37" s="195">
        <v>42.3</v>
      </c>
      <c r="I37" s="196">
        <f t="shared" si="14"/>
        <v>59.8</v>
      </c>
      <c r="J37" s="193">
        <v>5.3</v>
      </c>
      <c r="K37" s="193">
        <v>2.25</v>
      </c>
      <c r="L37" s="193">
        <v>1.91</v>
      </c>
      <c r="M37" s="193">
        <v>8.0500000000000007</v>
      </c>
      <c r="N37" s="193">
        <v>29.05</v>
      </c>
      <c r="O37" s="193">
        <v>5.15</v>
      </c>
      <c r="P37" s="193">
        <v>8.4</v>
      </c>
      <c r="Q37" s="193">
        <v>6.85</v>
      </c>
      <c r="R37" s="193">
        <v>9.4</v>
      </c>
      <c r="S37" s="225">
        <v>44253</v>
      </c>
      <c r="T37" s="196">
        <f t="shared" si="11"/>
        <v>11.283018867924529</v>
      </c>
      <c r="U37" s="197">
        <f t="shared" si="3"/>
        <v>2.0585197934595523</v>
      </c>
      <c r="V37" s="198">
        <f t="shared" si="4"/>
        <v>6.5748709122203097E-2</v>
      </c>
      <c r="W37" s="197">
        <f t="shared" si="5"/>
        <v>0.8488888888888888</v>
      </c>
      <c r="X37" s="197">
        <f t="shared" si="6"/>
        <v>0.65838509316770177</v>
      </c>
      <c r="Y37" s="198">
        <f t="shared" si="7"/>
        <v>3.1939799331103677E-2</v>
      </c>
      <c r="Z37" s="197">
        <f t="shared" si="15"/>
        <v>0.61309523809523814</v>
      </c>
      <c r="AA37" s="197">
        <f t="shared" si="9"/>
        <v>0.72872340425531912</v>
      </c>
      <c r="AB37" s="52"/>
      <c r="AD37" s="33">
        <f t="shared" si="10"/>
        <v>191.66000000000003</v>
      </c>
      <c r="AE37" s="2"/>
      <c r="AK37" s="26"/>
    </row>
    <row r="38" spans="1:37" ht="14.25" hidden="1" customHeight="1" x14ac:dyDescent="0.25">
      <c r="A38">
        <f t="shared" si="1"/>
        <v>1</v>
      </c>
      <c r="B38" t="str">
        <f t="shared" si="2"/>
        <v>N</v>
      </c>
      <c r="C38" s="31" t="s">
        <v>271</v>
      </c>
      <c r="D38" s="31" t="s">
        <v>345</v>
      </c>
      <c r="E38" s="31" t="str">
        <f t="shared" ca="1" si="13"/>
        <v>ONE Gas Inc.</v>
      </c>
      <c r="F38" s="195">
        <v>22.4</v>
      </c>
      <c r="G38" s="195">
        <v>97</v>
      </c>
      <c r="H38" s="195">
        <v>63.7</v>
      </c>
      <c r="I38" s="196">
        <f t="shared" si="14"/>
        <v>80.349999999999994</v>
      </c>
      <c r="J38" s="193">
        <v>7.3</v>
      </c>
      <c r="K38" s="193">
        <v>3.68</v>
      </c>
      <c r="L38" s="193">
        <v>2.16</v>
      </c>
      <c r="M38" s="193">
        <v>8.8000000000000007</v>
      </c>
      <c r="N38" s="193">
        <v>42.01</v>
      </c>
      <c r="O38" s="193">
        <v>7.7</v>
      </c>
      <c r="P38" s="193">
        <v>8.9499999999999993</v>
      </c>
      <c r="Q38" s="193">
        <v>9.65</v>
      </c>
      <c r="R38" s="193">
        <v>9.5</v>
      </c>
      <c r="S38" s="225">
        <v>44253</v>
      </c>
      <c r="T38" s="196">
        <f>IFERROR(I38/J38,"")</f>
        <v>11.006849315068493</v>
      </c>
      <c r="U38" s="197">
        <f>IFERROR(I38/N38,"")</f>
        <v>1.9126398476553201</v>
      </c>
      <c r="V38" s="198">
        <f>IFERROR(L38/N38,"")</f>
        <v>5.1416329445370154E-2</v>
      </c>
      <c r="W38" s="197">
        <f>IFERROR(L38/K38,"")</f>
        <v>0.58695652173913049</v>
      </c>
      <c r="X38" s="197">
        <f>IFERROR(J38/M38,"")</f>
        <v>0.82954545454545447</v>
      </c>
      <c r="Y38" s="198">
        <f t="shared" si="7"/>
        <v>2.6882389545737403E-2</v>
      </c>
      <c r="Z38" s="197">
        <f t="shared" si="15"/>
        <v>0.86033519553072635</v>
      </c>
      <c r="AA38" s="197">
        <f t="shared" si="9"/>
        <v>1.0157894736842106</v>
      </c>
      <c r="AB38" s="52"/>
      <c r="AD38" s="33">
        <f t="shared" si="10"/>
        <v>247.05000000000004</v>
      </c>
      <c r="AE38" s="2"/>
      <c r="AK38" s="26"/>
    </row>
    <row r="39" spans="1:37" ht="14.25" hidden="1" customHeight="1" x14ac:dyDescent="0.25">
      <c r="A39">
        <f t="shared" si="1"/>
        <v>1</v>
      </c>
      <c r="B39" t="str">
        <f t="shared" si="2"/>
        <v>N</v>
      </c>
      <c r="C39" t="s">
        <v>271</v>
      </c>
      <c r="D39" s="31" t="s">
        <v>198</v>
      </c>
      <c r="E39" s="31" t="str">
        <f t="shared" ca="1" si="13"/>
        <v>South Jersey Inds.</v>
      </c>
      <c r="F39" s="195">
        <v>15.6</v>
      </c>
      <c r="G39" s="195">
        <v>33.4</v>
      </c>
      <c r="H39" s="195">
        <v>18.2</v>
      </c>
      <c r="I39" s="196">
        <f t="shared" si="14"/>
        <v>25.799999999999997</v>
      </c>
      <c r="J39" s="193">
        <v>2.65</v>
      </c>
      <c r="K39" s="193">
        <v>1.6</v>
      </c>
      <c r="L39" s="193">
        <v>1.19</v>
      </c>
      <c r="M39" s="193">
        <v>4.95</v>
      </c>
      <c r="N39" s="193">
        <v>16.510000000000002</v>
      </c>
      <c r="O39" s="193">
        <v>2.85</v>
      </c>
      <c r="P39" s="193">
        <v>5.85</v>
      </c>
      <c r="Q39" s="193">
        <v>3.95</v>
      </c>
      <c r="R39" s="193">
        <v>7.85</v>
      </c>
      <c r="S39" s="225">
        <v>44253</v>
      </c>
      <c r="T39" s="196">
        <f>IFERROR(I39/J39,"N/A")</f>
        <v>9.7358490566037723</v>
      </c>
      <c r="U39" s="197">
        <f>IFERROR(I39/N39,"N/A")</f>
        <v>1.562689279224712</v>
      </c>
      <c r="V39" s="198">
        <f>IFERROR(L39/N39,"N/A")</f>
        <v>7.2077528770442142E-2</v>
      </c>
      <c r="W39" s="197">
        <f>IFERROR(L39/K39,"N/A")</f>
        <v>0.74374999999999991</v>
      </c>
      <c r="X39" s="197">
        <f>IFERROR(J39/M39,"N/A")</f>
        <v>0.53535353535353536</v>
      </c>
      <c r="Y39" s="198">
        <f>IFERROR(L39/I39,"N/A")</f>
        <v>4.6124031007751941E-2</v>
      </c>
      <c r="Z39" s="197">
        <f>IFERROR(O39/P39,"N/A")</f>
        <v>0.48717948717948723</v>
      </c>
      <c r="AA39" s="197">
        <f>IFERROR(Q39/R39,"N/A")</f>
        <v>0.50318471337579618</v>
      </c>
      <c r="AB39" s="52"/>
      <c r="AD39" s="33">
        <f t="shared" si="10"/>
        <v>94.100000000000009</v>
      </c>
    </row>
    <row r="40" spans="1:37" ht="14.25" hidden="1" customHeight="1" x14ac:dyDescent="0.25">
      <c r="A40">
        <f t="shared" si="1"/>
        <v>1</v>
      </c>
      <c r="B40" t="str">
        <f t="shared" si="2"/>
        <v>N</v>
      </c>
      <c r="C40" t="s">
        <v>271</v>
      </c>
      <c r="D40" s="31" t="s">
        <v>200</v>
      </c>
      <c r="E40" s="31" t="str">
        <f t="shared" ca="1" si="13"/>
        <v>Southwest Gas</v>
      </c>
      <c r="F40" s="195">
        <v>17.399999999999999</v>
      </c>
      <c r="G40" s="195">
        <v>81.599999999999994</v>
      </c>
      <c r="H40" s="195">
        <v>45.7</v>
      </c>
      <c r="I40" s="196">
        <f t="shared" si="14"/>
        <v>63.65</v>
      </c>
      <c r="J40" s="193">
        <v>9.65</v>
      </c>
      <c r="K40" s="193">
        <v>4</v>
      </c>
      <c r="L40" s="193">
        <v>2.2599999999999998</v>
      </c>
      <c r="M40" s="193">
        <v>14.05</v>
      </c>
      <c r="N40" s="193">
        <v>46.77</v>
      </c>
      <c r="O40" s="193">
        <v>10.35</v>
      </c>
      <c r="P40" s="193">
        <v>16.95</v>
      </c>
      <c r="Q40" s="193">
        <v>13.75</v>
      </c>
      <c r="R40" s="193">
        <v>26.15</v>
      </c>
      <c r="S40" s="225">
        <v>44253</v>
      </c>
      <c r="T40" s="196">
        <f>IFERROR(I40/J40,"N/A")</f>
        <v>6.5958549222797922</v>
      </c>
      <c r="U40" s="197">
        <f>IFERROR(I40/N40,"N/A")</f>
        <v>1.3609151165276885</v>
      </c>
      <c r="V40" s="198">
        <f t="shared" si="4"/>
        <v>4.8321573658327982E-2</v>
      </c>
      <c r="W40" s="197">
        <f t="shared" si="5"/>
        <v>0.56499999999999995</v>
      </c>
      <c r="X40" s="197">
        <f t="shared" si="6"/>
        <v>0.68683274021352314</v>
      </c>
      <c r="Y40" s="198">
        <f>IFERROR(L40/I40,"N/A")</f>
        <v>3.5506677140612723E-2</v>
      </c>
      <c r="Z40" s="197">
        <f t="shared" si="15"/>
        <v>0.61061946902654862</v>
      </c>
      <c r="AA40" s="197">
        <f t="shared" si="9"/>
        <v>0.52581261950286806</v>
      </c>
      <c r="AB40" s="52"/>
      <c r="AD40" s="33">
        <f t="shared" si="10"/>
        <v>221.43</v>
      </c>
    </row>
    <row r="41" spans="1:37" ht="14.25" hidden="1" customHeight="1" x14ac:dyDescent="0.25">
      <c r="A41">
        <f t="shared" si="1"/>
        <v>1</v>
      </c>
      <c r="B41" t="str">
        <f t="shared" si="2"/>
        <v>N</v>
      </c>
      <c r="C41" t="s">
        <v>271</v>
      </c>
      <c r="D41" s="31" t="s">
        <v>244</v>
      </c>
      <c r="E41" s="31" t="str">
        <f t="shared" ca="1" si="13"/>
        <v>Spire Inc.</v>
      </c>
      <c r="F41" s="195" t="s">
        <v>105</v>
      </c>
      <c r="G41" s="195">
        <v>88</v>
      </c>
      <c r="H41" s="195">
        <v>50.6</v>
      </c>
      <c r="I41" s="196">
        <f t="shared" si="14"/>
        <v>69.3</v>
      </c>
      <c r="J41" s="193">
        <v>5.25</v>
      </c>
      <c r="K41" s="193">
        <v>1.44</v>
      </c>
      <c r="L41" s="193">
        <v>2.4900000000000002</v>
      </c>
      <c r="M41" s="193">
        <v>12.37</v>
      </c>
      <c r="N41" s="193">
        <v>44.19</v>
      </c>
      <c r="O41" s="193">
        <v>7.85</v>
      </c>
      <c r="P41" s="193">
        <v>11.25</v>
      </c>
      <c r="Q41" s="193">
        <v>10.35</v>
      </c>
      <c r="R41" s="193">
        <v>11.45</v>
      </c>
      <c r="S41" s="225">
        <v>44253</v>
      </c>
      <c r="T41" s="196">
        <f>IFERROR(I41/J41,"N/A")</f>
        <v>13.2</v>
      </c>
      <c r="U41" s="197">
        <f>IFERROR(I41/N41,"N/A")</f>
        <v>1.5682281059063137</v>
      </c>
      <c r="V41" s="198">
        <f t="shared" si="4"/>
        <v>5.6347589952477947E-2</v>
      </c>
      <c r="W41" s="197">
        <f t="shared" si="5"/>
        <v>1.729166666666667</v>
      </c>
      <c r="X41" s="197">
        <f t="shared" si="6"/>
        <v>0.42441390460792244</v>
      </c>
      <c r="Y41" s="198">
        <f>IFERROR(L41/I41,"N/A")</f>
        <v>3.5930735930735938E-2</v>
      </c>
      <c r="Z41" s="197">
        <f t="shared" si="15"/>
        <v>0.69777777777777772</v>
      </c>
      <c r="AA41" s="197">
        <f t="shared" si="9"/>
        <v>0.90393013100436681</v>
      </c>
      <c r="AB41" s="52"/>
      <c r="AD41" s="33">
        <f t="shared" si="10"/>
        <v>204.34</v>
      </c>
    </row>
    <row r="42" spans="1:37" s="31" customFormat="1" ht="14.25" hidden="1" customHeight="1" x14ac:dyDescent="0.25">
      <c r="A42" s="31">
        <f t="shared" si="1"/>
        <v>1</v>
      </c>
      <c r="B42" s="31" t="str">
        <f t="shared" si="2"/>
        <v>N</v>
      </c>
      <c r="C42" t="s">
        <v>271</v>
      </c>
      <c r="D42" s="31" t="s">
        <v>204</v>
      </c>
      <c r="E42" s="31" t="str">
        <f t="shared" ca="1" si="13"/>
        <v>UGI Corp.</v>
      </c>
      <c r="F42" s="195">
        <v>13.8</v>
      </c>
      <c r="G42" s="195">
        <v>45.3</v>
      </c>
      <c r="H42" s="195">
        <v>21.8</v>
      </c>
      <c r="I42" s="196">
        <f t="shared" si="14"/>
        <v>33.549999999999997</v>
      </c>
      <c r="J42" s="193">
        <v>4.9800000000000004</v>
      </c>
      <c r="K42" s="193">
        <v>2.67</v>
      </c>
      <c r="L42" s="193">
        <v>1.32</v>
      </c>
      <c r="M42" s="193">
        <v>3.13</v>
      </c>
      <c r="N42" s="193">
        <v>19.7</v>
      </c>
      <c r="O42" s="193">
        <v>5.3</v>
      </c>
      <c r="P42" s="193">
        <v>3.2</v>
      </c>
      <c r="Q42" s="193">
        <v>6.2</v>
      </c>
      <c r="R42" s="193">
        <v>3.55</v>
      </c>
      <c r="S42" s="225">
        <v>44253</v>
      </c>
      <c r="T42" s="196">
        <f t="shared" si="11"/>
        <v>6.7369477911646571</v>
      </c>
      <c r="U42" s="197">
        <f t="shared" si="3"/>
        <v>1.7030456852791878</v>
      </c>
      <c r="V42" s="198">
        <f t="shared" si="4"/>
        <v>6.7005076142131983E-2</v>
      </c>
      <c r="W42" s="197">
        <f t="shared" si="5"/>
        <v>0.49438202247191015</v>
      </c>
      <c r="X42" s="197">
        <f t="shared" si="6"/>
        <v>1.5910543130990418</v>
      </c>
      <c r="Y42" s="198">
        <f t="shared" si="7"/>
        <v>3.9344262295081971E-2</v>
      </c>
      <c r="Z42" s="197">
        <f t="shared" si="15"/>
        <v>1.6562499999999998</v>
      </c>
      <c r="AA42" s="197">
        <f t="shared" si="9"/>
        <v>1.7464788732394367</v>
      </c>
      <c r="AB42" s="197"/>
      <c r="AD42" s="199">
        <f t="shared" si="10"/>
        <v>112.69999999999999</v>
      </c>
    </row>
    <row r="43" spans="1:37" ht="14.25" customHeight="1" x14ac:dyDescent="0.25">
      <c r="A43">
        <f t="shared" si="1"/>
        <v>1</v>
      </c>
      <c r="B43" t="str">
        <f t="shared" si="2"/>
        <v>E</v>
      </c>
      <c r="C43" t="s">
        <v>342</v>
      </c>
      <c r="D43" s="31" t="s">
        <v>0</v>
      </c>
      <c r="E43" s="31" t="str">
        <f>VLOOKUP(D43,'[7]MP-CF (WP)'!$B$4:$Y$81,2,FALSE)</f>
        <v xml:space="preserve">ALLETE                        </v>
      </c>
      <c r="F43" s="194">
        <v>18.3</v>
      </c>
      <c r="G43" s="195">
        <v>84.7</v>
      </c>
      <c r="H43" s="195">
        <v>48.2</v>
      </c>
      <c r="I43" s="196">
        <f t="shared" si="14"/>
        <v>66.45</v>
      </c>
      <c r="J43" s="193">
        <v>7.52</v>
      </c>
      <c r="K43" s="193">
        <v>3.35</v>
      </c>
      <c r="L43" s="193">
        <v>2.4700000000000002</v>
      </c>
      <c r="M43" s="193">
        <v>13.78</v>
      </c>
      <c r="N43" s="193">
        <v>44.04</v>
      </c>
      <c r="O43" s="193">
        <v>7.45</v>
      </c>
      <c r="P43" s="193">
        <v>9.35</v>
      </c>
      <c r="Q43" s="193">
        <v>10</v>
      </c>
      <c r="R43" s="193">
        <v>6.75</v>
      </c>
      <c r="S43" s="225">
        <v>44267</v>
      </c>
      <c r="T43" s="196">
        <f t="shared" si="11"/>
        <v>8.8364361702127674</v>
      </c>
      <c r="U43" s="197">
        <f t="shared" si="3"/>
        <v>1.5088555858310628</v>
      </c>
      <c r="V43" s="198">
        <f t="shared" si="4"/>
        <v>5.6085376930063581E-2</v>
      </c>
      <c r="W43" s="197">
        <f t="shared" si="5"/>
        <v>0.73731343283582096</v>
      </c>
      <c r="X43" s="197">
        <f t="shared" si="6"/>
        <v>0.54571843251088537</v>
      </c>
      <c r="Y43" s="198">
        <f t="shared" si="7"/>
        <v>3.7170805116629048E-2</v>
      </c>
      <c r="Z43" s="197">
        <f t="shared" si="15"/>
        <v>0.79679144385026746</v>
      </c>
      <c r="AA43" s="197">
        <f t="shared" si="9"/>
        <v>1.4814814814814814</v>
      </c>
      <c r="AB43" s="52"/>
      <c r="AD43" s="33">
        <f t="shared" si="10"/>
        <v>222.35999999999999</v>
      </c>
    </row>
    <row r="44" spans="1:37" ht="14.25" customHeight="1" x14ac:dyDescent="0.25">
      <c r="A44">
        <f t="shared" si="1"/>
        <v>1</v>
      </c>
      <c r="B44" t="str">
        <f t="shared" si="2"/>
        <v>E</v>
      </c>
      <c r="C44" t="s">
        <v>342</v>
      </c>
      <c r="D44" s="31" t="s">
        <v>1</v>
      </c>
      <c r="E44" s="31" t="str">
        <f>VLOOKUP(D44,'[7]MP-CF (WP)'!$B$4:$Y$81,2,FALSE)</f>
        <v xml:space="preserve">Alliant Energy                </v>
      </c>
      <c r="F44" s="194">
        <v>21.2</v>
      </c>
      <c r="G44" s="195">
        <v>60.3</v>
      </c>
      <c r="H44" s="195">
        <v>37.700000000000003</v>
      </c>
      <c r="I44" s="196">
        <f t="shared" si="14"/>
        <v>49</v>
      </c>
      <c r="J44" s="193">
        <v>4.92</v>
      </c>
      <c r="K44" s="193">
        <v>2.4700000000000002</v>
      </c>
      <c r="L44" s="193">
        <v>1.52</v>
      </c>
      <c r="M44" s="193">
        <v>5.17</v>
      </c>
      <c r="N44" s="193">
        <v>22.76</v>
      </c>
      <c r="O44" s="193">
        <v>5.0999999999999996</v>
      </c>
      <c r="P44" s="193">
        <v>5.25</v>
      </c>
      <c r="Q44" s="193">
        <v>5.9</v>
      </c>
      <c r="R44" s="193">
        <v>5.55</v>
      </c>
      <c r="S44" s="225">
        <v>44267</v>
      </c>
      <c r="T44" s="196">
        <f t="shared" si="11"/>
        <v>9.9593495934959346</v>
      </c>
      <c r="U44" s="197">
        <f t="shared" si="3"/>
        <v>2.1528998242530752</v>
      </c>
      <c r="V44" s="198">
        <f t="shared" si="4"/>
        <v>6.6783831282952538E-2</v>
      </c>
      <c r="W44" s="197">
        <f t="shared" si="5"/>
        <v>0.61538461538461531</v>
      </c>
      <c r="X44" s="197">
        <f t="shared" si="6"/>
        <v>0.95164410058027082</v>
      </c>
      <c r="Y44" s="198">
        <f t="shared" si="7"/>
        <v>3.1020408163265307E-2</v>
      </c>
      <c r="Z44" s="197">
        <f t="shared" si="15"/>
        <v>0.97142857142857131</v>
      </c>
      <c r="AA44" s="197">
        <f t="shared" si="9"/>
        <v>1.0630630630630631</v>
      </c>
      <c r="AB44" s="52"/>
      <c r="AD44" s="33">
        <f t="shared" si="10"/>
        <v>156.04</v>
      </c>
    </row>
    <row r="45" spans="1:37" ht="14.25" customHeight="1" x14ac:dyDescent="0.25">
      <c r="A45">
        <f t="shared" si="1"/>
        <v>1</v>
      </c>
      <c r="B45" t="str">
        <f t="shared" si="2"/>
        <v>E</v>
      </c>
      <c r="C45" t="s">
        <v>342</v>
      </c>
      <c r="D45" s="31" t="s">
        <v>3</v>
      </c>
      <c r="E45" s="31" t="str">
        <f>VLOOKUP(D45,'[7]MP-CF (WP)'!$B$4:$Y$81,2,FALSE)</f>
        <v xml:space="preserve">Ameren Corp.                  </v>
      </c>
      <c r="F45" s="194">
        <v>22.2</v>
      </c>
      <c r="G45" s="195">
        <v>87.7</v>
      </c>
      <c r="H45" s="195">
        <v>58.7</v>
      </c>
      <c r="I45" s="196">
        <f t="shared" si="14"/>
        <v>73.2</v>
      </c>
      <c r="J45" s="193">
        <v>8.08</v>
      </c>
      <c r="K45" s="193">
        <v>3.5</v>
      </c>
      <c r="L45" s="193">
        <v>2</v>
      </c>
      <c r="M45" s="193">
        <v>13.02</v>
      </c>
      <c r="N45" s="193">
        <v>35.29</v>
      </c>
      <c r="O45" s="193">
        <v>8.5500000000000007</v>
      </c>
      <c r="P45" s="193">
        <v>14.4</v>
      </c>
      <c r="Q45" s="193">
        <v>10.75</v>
      </c>
      <c r="R45" s="193">
        <v>12.75</v>
      </c>
      <c r="S45" s="225">
        <v>44267</v>
      </c>
      <c r="T45" s="196">
        <f t="shared" si="11"/>
        <v>9.0594059405940595</v>
      </c>
      <c r="U45" s="197">
        <f t="shared" si="3"/>
        <v>2.0742419948994049</v>
      </c>
      <c r="V45" s="198">
        <f t="shared" si="4"/>
        <v>5.6673278549164069E-2</v>
      </c>
      <c r="W45" s="197">
        <f t="shared" si="5"/>
        <v>0.5714285714285714</v>
      </c>
      <c r="X45" s="197">
        <f t="shared" si="6"/>
        <v>0.62058371735791096</v>
      </c>
      <c r="Y45" s="198">
        <f t="shared" si="7"/>
        <v>2.7322404371584699E-2</v>
      </c>
      <c r="Z45" s="197">
        <f t="shared" si="15"/>
        <v>0.59375</v>
      </c>
      <c r="AA45" s="197">
        <f t="shared" si="9"/>
        <v>0.84313725490196079</v>
      </c>
      <c r="AB45" s="52"/>
      <c r="AD45" s="33">
        <f t="shared" si="10"/>
        <v>230.49000000000004</v>
      </c>
    </row>
    <row r="46" spans="1:37" ht="14.25" customHeight="1" x14ac:dyDescent="0.25">
      <c r="A46">
        <f t="shared" si="1"/>
        <v>1</v>
      </c>
      <c r="B46" t="str">
        <f t="shared" si="2"/>
        <v>E</v>
      </c>
      <c r="C46" t="s">
        <v>342</v>
      </c>
      <c r="D46" s="31" t="s">
        <v>2</v>
      </c>
      <c r="E46" s="31" t="str">
        <f>VLOOKUP(D46,'[7]MP-CF (WP)'!$B$4:$Y$81,2,FALSE)</f>
        <v>American Electric Power</v>
      </c>
      <c r="F46" s="194">
        <v>19.600000000000001</v>
      </c>
      <c r="G46" s="195">
        <v>105</v>
      </c>
      <c r="H46" s="195">
        <v>65.099999999999994</v>
      </c>
      <c r="I46" s="196">
        <f t="shared" si="14"/>
        <v>85.05</v>
      </c>
      <c r="J46" s="193">
        <v>10.28</v>
      </c>
      <c r="K46" s="193">
        <v>4.42</v>
      </c>
      <c r="L46" s="193">
        <v>2.84</v>
      </c>
      <c r="M46" s="193">
        <v>12.72</v>
      </c>
      <c r="N46" s="193">
        <v>41.38</v>
      </c>
      <c r="O46" s="193">
        <v>10.65</v>
      </c>
      <c r="P46" s="193">
        <v>15.45</v>
      </c>
      <c r="Q46" s="193">
        <v>12.75</v>
      </c>
      <c r="R46" s="193">
        <v>14</v>
      </c>
      <c r="S46" s="225">
        <v>44267</v>
      </c>
      <c r="T46" s="196">
        <f t="shared" si="11"/>
        <v>8.2733463035019454</v>
      </c>
      <c r="U46" s="197">
        <f t="shared" si="3"/>
        <v>2.0553407443209277</v>
      </c>
      <c r="V46" s="198">
        <f t="shared" si="4"/>
        <v>6.8632189463508936E-2</v>
      </c>
      <c r="W46" s="197">
        <f t="shared" si="5"/>
        <v>0.64253393665158365</v>
      </c>
      <c r="X46" s="197">
        <f t="shared" si="6"/>
        <v>0.80817610062893075</v>
      </c>
      <c r="Y46" s="198">
        <f t="shared" si="7"/>
        <v>3.3392122281011169E-2</v>
      </c>
      <c r="Z46" s="197">
        <f t="shared" si="15"/>
        <v>0.68932038834951459</v>
      </c>
      <c r="AA46" s="197">
        <f t="shared" si="9"/>
        <v>0.9107142857142857</v>
      </c>
      <c r="AB46" s="52"/>
      <c r="AD46" s="33">
        <f t="shared" si="10"/>
        <v>261.33999999999997</v>
      </c>
    </row>
    <row r="47" spans="1:37" ht="14.25" customHeight="1" x14ac:dyDescent="0.25">
      <c r="A47">
        <f t="shared" si="1"/>
        <v>1</v>
      </c>
      <c r="B47" t="str">
        <f t="shared" si="2"/>
        <v>E</v>
      </c>
      <c r="C47" t="s">
        <v>342</v>
      </c>
      <c r="D47" s="31" t="s">
        <v>6</v>
      </c>
      <c r="E47" s="31" t="str">
        <f>VLOOKUP(D47,'[7]MP-CF (WP)'!$B$4:$Y$81,2,FALSE)</f>
        <v xml:space="preserve">CenterPoint Energy            </v>
      </c>
      <c r="F47" s="194">
        <v>15.9</v>
      </c>
      <c r="G47" s="195">
        <v>27.5</v>
      </c>
      <c r="H47" s="195">
        <v>11.6</v>
      </c>
      <c r="I47" s="196">
        <f t="shared" si="14"/>
        <v>19.55</v>
      </c>
      <c r="J47" s="193">
        <v>3.46</v>
      </c>
      <c r="K47" s="193">
        <v>1.29</v>
      </c>
      <c r="L47" s="193">
        <v>0.9</v>
      </c>
      <c r="M47" s="193">
        <v>4.71</v>
      </c>
      <c r="N47" s="193">
        <v>10.78</v>
      </c>
      <c r="O47" s="193">
        <v>3.5</v>
      </c>
      <c r="P47" s="193">
        <v>5.65</v>
      </c>
      <c r="Q47" s="193">
        <v>4.25</v>
      </c>
      <c r="R47" s="193">
        <v>4.75</v>
      </c>
      <c r="S47" s="225">
        <v>44267</v>
      </c>
      <c r="T47" s="196">
        <f t="shared" si="11"/>
        <v>5.6502890173410405</v>
      </c>
      <c r="U47" s="197">
        <f t="shared" si="3"/>
        <v>1.8135435992578852</v>
      </c>
      <c r="V47" s="198">
        <f t="shared" si="4"/>
        <v>8.3487940630797786E-2</v>
      </c>
      <c r="W47" s="197">
        <f t="shared" si="5"/>
        <v>0.69767441860465118</v>
      </c>
      <c r="X47" s="197">
        <f t="shared" si="6"/>
        <v>0.73460721868365175</v>
      </c>
      <c r="Y47" s="198">
        <f t="shared" si="7"/>
        <v>4.6035805626598467E-2</v>
      </c>
      <c r="Z47" s="197">
        <f t="shared" si="15"/>
        <v>0.61946902654867253</v>
      </c>
      <c r="AA47" s="197">
        <f t="shared" si="9"/>
        <v>0.89473684210526316</v>
      </c>
      <c r="AB47" s="52"/>
      <c r="AD47" s="33">
        <f t="shared" si="10"/>
        <v>76.14</v>
      </c>
    </row>
    <row r="48" spans="1:37" ht="14.25" customHeight="1" x14ac:dyDescent="0.25">
      <c r="A48">
        <f t="shared" si="1"/>
        <v>1</v>
      </c>
      <c r="B48" t="str">
        <f t="shared" si="2"/>
        <v>E</v>
      </c>
      <c r="C48" t="s">
        <v>342</v>
      </c>
      <c r="D48" s="31" t="s">
        <v>9</v>
      </c>
      <c r="E48" s="31" t="str">
        <f>VLOOKUP(D48,'[7]MP-CF (WP)'!$B$4:$Y$81,2,FALSE)</f>
        <v xml:space="preserve">CMS Energy Corp.              </v>
      </c>
      <c r="F48" s="194">
        <v>23.3</v>
      </c>
      <c r="G48" s="195">
        <v>69.2</v>
      </c>
      <c r="H48" s="195">
        <v>46</v>
      </c>
      <c r="I48" s="196">
        <f t="shared" si="14"/>
        <v>57.6</v>
      </c>
      <c r="J48" s="193">
        <v>6.24</v>
      </c>
      <c r="K48" s="193">
        <v>2.64</v>
      </c>
      <c r="L48" s="193">
        <v>1.63</v>
      </c>
      <c r="M48" s="193">
        <v>8.02</v>
      </c>
      <c r="N48" s="193">
        <v>19.02</v>
      </c>
      <c r="O48" s="193">
        <v>6.6</v>
      </c>
      <c r="P48" s="193">
        <v>8.5500000000000007</v>
      </c>
      <c r="Q48" s="193">
        <v>8.25</v>
      </c>
      <c r="R48" s="193">
        <v>8.25</v>
      </c>
      <c r="S48" s="225">
        <v>44267</v>
      </c>
      <c r="T48" s="196">
        <f>IFERROR(I48/J48,"N/A")</f>
        <v>9.2307692307692299</v>
      </c>
      <c r="U48" s="197">
        <f>IFERROR(I48/N48,"N/A")</f>
        <v>3.0283911671924293</v>
      </c>
      <c r="V48" s="198">
        <f t="shared" si="4"/>
        <v>8.5699263932702413E-2</v>
      </c>
      <c r="W48" s="197">
        <f t="shared" si="5"/>
        <v>0.61742424242424232</v>
      </c>
      <c r="X48" s="197">
        <f t="shared" si="6"/>
        <v>0.77805486284289282</v>
      </c>
      <c r="Y48" s="198">
        <f>IFERROR(L48/I48,"N/A")</f>
        <v>2.8298611111111108E-2</v>
      </c>
      <c r="Z48" s="197">
        <f t="shared" si="15"/>
        <v>0.77192982456140335</v>
      </c>
      <c r="AA48" s="197">
        <f t="shared" si="9"/>
        <v>1</v>
      </c>
      <c r="AB48" s="52"/>
      <c r="AD48" s="33">
        <f t="shared" si="10"/>
        <v>176.05</v>
      </c>
    </row>
    <row r="49" spans="1:30" ht="14.25" customHeight="1" x14ac:dyDescent="0.25">
      <c r="A49">
        <f t="shared" si="1"/>
        <v>1</v>
      </c>
      <c r="B49" t="str">
        <f t="shared" si="2"/>
        <v>E</v>
      </c>
      <c r="C49" t="s">
        <v>342</v>
      </c>
      <c r="D49" s="31" t="s">
        <v>12</v>
      </c>
      <c r="E49" s="31" t="str">
        <f>VLOOKUP(D49,'[7]MP-CF (WP)'!$B$4:$Y$81,2,FALSE)</f>
        <v xml:space="preserve">DTE Energy                    </v>
      </c>
      <c r="F49" s="194">
        <v>16.3</v>
      </c>
      <c r="G49" s="195">
        <v>135.69999999999999</v>
      </c>
      <c r="H49" s="195">
        <v>71.2</v>
      </c>
      <c r="I49" s="196">
        <f t="shared" si="14"/>
        <v>103.44999999999999</v>
      </c>
      <c r="J49" s="193">
        <v>14.7</v>
      </c>
      <c r="K49" s="193">
        <v>7.08</v>
      </c>
      <c r="L49" s="193">
        <v>4.12</v>
      </c>
      <c r="M49" s="193">
        <v>19.91</v>
      </c>
      <c r="N49" s="193">
        <v>64.12</v>
      </c>
      <c r="O49" s="193">
        <v>15.25</v>
      </c>
      <c r="P49" s="193">
        <v>21.8</v>
      </c>
      <c r="Q49" s="193">
        <v>19</v>
      </c>
      <c r="R49" s="193">
        <v>13.25</v>
      </c>
      <c r="S49" s="225">
        <v>44267</v>
      </c>
      <c r="T49" s="197">
        <f t="shared" si="11"/>
        <v>7.037414965986394</v>
      </c>
      <c r="U49" s="197">
        <f t="shared" si="3"/>
        <v>1.6133811603243915</v>
      </c>
      <c r="V49" s="198">
        <f t="shared" si="4"/>
        <v>6.4254522769806616E-2</v>
      </c>
      <c r="W49" s="197">
        <f t="shared" si="5"/>
        <v>0.58192090395480223</v>
      </c>
      <c r="X49" s="197">
        <f t="shared" si="6"/>
        <v>0.73832245102963334</v>
      </c>
      <c r="Y49" s="198">
        <f t="shared" si="7"/>
        <v>3.9826002899951675E-2</v>
      </c>
      <c r="Z49" s="197">
        <f t="shared" si="15"/>
        <v>0.69954128440366969</v>
      </c>
      <c r="AA49" s="197">
        <f t="shared" si="9"/>
        <v>1.4339622641509433</v>
      </c>
      <c r="AB49" s="52"/>
      <c r="AC49" s="33"/>
      <c r="AD49" s="33">
        <f t="shared" si="10"/>
        <v>333.13</v>
      </c>
    </row>
    <row r="50" spans="1:30" ht="14.25" customHeight="1" x14ac:dyDescent="0.25">
      <c r="A50">
        <f t="shared" si="1"/>
        <v>1</v>
      </c>
      <c r="B50" t="str">
        <f t="shared" si="2"/>
        <v>E</v>
      </c>
      <c r="C50" t="s">
        <v>342</v>
      </c>
      <c r="D50" s="31" t="s">
        <v>17</v>
      </c>
      <c r="E50" s="31" t="str">
        <f>VLOOKUP(D50,'[7]MP-CF (WP)'!$B$4:$Y$81,2,FALSE)</f>
        <v xml:space="preserve">Entergy Corp.                 </v>
      </c>
      <c r="F50" s="194">
        <v>15.3</v>
      </c>
      <c r="G50" s="195">
        <v>135.5</v>
      </c>
      <c r="H50" s="195">
        <v>75.2</v>
      </c>
      <c r="I50" s="196">
        <f t="shared" si="14"/>
        <v>105.35</v>
      </c>
      <c r="J50" s="193">
        <v>18.21</v>
      </c>
      <c r="K50" s="193">
        <v>6.9</v>
      </c>
      <c r="L50" s="193">
        <v>3.74</v>
      </c>
      <c r="M50" s="193">
        <v>24.52</v>
      </c>
      <c r="N50" s="193">
        <v>54.56</v>
      </c>
      <c r="O50" s="193">
        <v>17.95</v>
      </c>
      <c r="P50" s="193">
        <v>17.149999999999999</v>
      </c>
      <c r="Q50" s="193">
        <v>22.75</v>
      </c>
      <c r="R50" s="193">
        <v>19</v>
      </c>
      <c r="S50" s="225">
        <v>44267</v>
      </c>
      <c r="T50" s="196">
        <f t="shared" si="11"/>
        <v>5.7852828116419541</v>
      </c>
      <c r="U50" s="197">
        <f t="shared" si="3"/>
        <v>1.9309017595307916</v>
      </c>
      <c r="V50" s="198">
        <f t="shared" si="4"/>
        <v>6.8548387096774188E-2</v>
      </c>
      <c r="W50" s="197">
        <f t="shared" si="5"/>
        <v>0.54202898550724643</v>
      </c>
      <c r="X50" s="197">
        <f t="shared" si="6"/>
        <v>0.74265905383360531</v>
      </c>
      <c r="Y50" s="198">
        <f t="shared" si="7"/>
        <v>3.5500711912672046E-2</v>
      </c>
      <c r="Z50" s="197">
        <f t="shared" si="15"/>
        <v>1.0466472303206997</v>
      </c>
      <c r="AA50" s="197">
        <f t="shared" si="9"/>
        <v>1.1973684210526316</v>
      </c>
      <c r="AB50" s="52"/>
      <c r="AD50" s="33">
        <f t="shared" si="10"/>
        <v>333.93</v>
      </c>
    </row>
    <row r="51" spans="1:30" ht="14.25" customHeight="1" x14ac:dyDescent="0.25">
      <c r="A51">
        <f t="shared" si="1"/>
        <v>1</v>
      </c>
      <c r="B51" t="str">
        <f t="shared" si="2"/>
        <v>E</v>
      </c>
      <c r="C51" t="s">
        <v>342</v>
      </c>
      <c r="D51" s="31" t="s">
        <v>447</v>
      </c>
      <c r="E51" s="31" t="s">
        <v>448</v>
      </c>
      <c r="F51" s="194">
        <v>21.7</v>
      </c>
      <c r="G51" s="195">
        <v>76.599999999999994</v>
      </c>
      <c r="H51" s="195">
        <v>42</v>
      </c>
      <c r="I51" s="196">
        <f t="shared" si="14"/>
        <v>59.3</v>
      </c>
      <c r="J51" s="193">
        <v>7.06</v>
      </c>
      <c r="K51" s="193">
        <v>2.72</v>
      </c>
      <c r="L51" s="193">
        <v>2.0499999999999998</v>
      </c>
      <c r="M51" s="193">
        <v>6.88</v>
      </c>
      <c r="N51" s="193">
        <v>38.5</v>
      </c>
      <c r="O51" s="193">
        <v>7.8</v>
      </c>
      <c r="P51" s="193">
        <v>8.15</v>
      </c>
      <c r="Q51" s="193">
        <v>9.25</v>
      </c>
      <c r="R51" s="193">
        <v>8</v>
      </c>
      <c r="S51" s="225">
        <v>44267</v>
      </c>
      <c r="T51" s="196">
        <f t="shared" si="11"/>
        <v>8.3994334277620393</v>
      </c>
      <c r="U51" s="197">
        <f t="shared" si="3"/>
        <v>1.5402597402597402</v>
      </c>
      <c r="V51" s="198">
        <f t="shared" si="4"/>
        <v>5.3246753246753244E-2</v>
      </c>
      <c r="W51" s="197">
        <f t="shared" si="5"/>
        <v>0.75367647058823517</v>
      </c>
      <c r="X51" s="197">
        <f t="shared" si="6"/>
        <v>1.0261627906976745</v>
      </c>
      <c r="Y51" s="198">
        <f t="shared" si="7"/>
        <v>3.4569983136593589E-2</v>
      </c>
      <c r="Z51" s="197">
        <f t="shared" si="15"/>
        <v>0.9570552147239263</v>
      </c>
      <c r="AA51" s="197">
        <f t="shared" si="9"/>
        <v>1.15625</v>
      </c>
      <c r="AB51" s="52"/>
      <c r="AD51" s="33">
        <f t="shared" si="10"/>
        <v>197.51000000000002</v>
      </c>
    </row>
    <row r="52" spans="1:30" ht="14.25" customHeight="1" x14ac:dyDescent="0.25">
      <c r="A52">
        <f t="shared" si="1"/>
        <v>1</v>
      </c>
      <c r="B52" t="str">
        <f t="shared" si="2"/>
        <v>E</v>
      </c>
      <c r="C52" t="s">
        <v>342</v>
      </c>
      <c r="D52" s="31" t="s">
        <v>266</v>
      </c>
      <c r="E52" s="31" t="str">
        <f>VLOOKUP(D52,'[7]MP-CF (WP)'!$B$4:$Y$81,2,FALSE)</f>
        <v>Fortis Inc.</v>
      </c>
      <c r="F52" s="194">
        <v>20.6</v>
      </c>
      <c r="G52" s="195">
        <v>59.3</v>
      </c>
      <c r="H52" s="195">
        <v>41.6</v>
      </c>
      <c r="I52" s="196">
        <f t="shared" si="14"/>
        <v>50.45</v>
      </c>
      <c r="J52" s="193">
        <v>5.65</v>
      </c>
      <c r="K52" s="193">
        <v>2.6</v>
      </c>
      <c r="L52" s="193">
        <v>1.97</v>
      </c>
      <c r="M52" s="193">
        <v>8.65</v>
      </c>
      <c r="N52" s="193">
        <v>36.58</v>
      </c>
      <c r="O52" s="193">
        <v>6</v>
      </c>
      <c r="P52" s="193">
        <v>8.1</v>
      </c>
      <c r="Q52" s="193">
        <v>7.5</v>
      </c>
      <c r="R52" s="193">
        <v>8.25</v>
      </c>
      <c r="S52" s="225">
        <v>44267</v>
      </c>
      <c r="T52" s="196">
        <f>IFERROR(I52/J52,"N/A")</f>
        <v>8.9292035398230087</v>
      </c>
      <c r="U52" s="197">
        <f>IFERROR(I52/N52,"N/A")</f>
        <v>1.3791689447785678</v>
      </c>
      <c r="V52" s="198">
        <f>IFERROR(L52/N52,"N/A")</f>
        <v>5.385456533624932E-2</v>
      </c>
      <c r="W52" s="197">
        <f>IFERROR(L52/K52,"N/A")</f>
        <v>0.75769230769230766</v>
      </c>
      <c r="X52" s="197">
        <f>IFERROR(J52/M52,"N/A")</f>
        <v>0.65317919075144515</v>
      </c>
      <c r="Y52" s="198">
        <f>IFERROR(L52/I52,"N/A")</f>
        <v>3.9048562933597618E-2</v>
      </c>
      <c r="Z52" s="197">
        <f>IFERROR(O52/P52,"N/A")</f>
        <v>0.74074074074074081</v>
      </c>
      <c r="AA52" s="197">
        <f>IFERROR(Q52/R52,"N/A")</f>
        <v>0.90909090909090906</v>
      </c>
      <c r="AB52" s="52"/>
      <c r="AD52" s="33">
        <f t="shared" si="10"/>
        <v>176.95</v>
      </c>
    </row>
    <row r="53" spans="1:30" ht="14.25" customHeight="1" x14ac:dyDescent="0.25">
      <c r="A53">
        <f t="shared" si="1"/>
        <v>1</v>
      </c>
      <c r="B53" t="str">
        <f t="shared" si="2"/>
        <v>E</v>
      </c>
      <c r="C53" s="31" t="s">
        <v>342</v>
      </c>
      <c r="D53" s="31" t="s">
        <v>25</v>
      </c>
      <c r="E53" s="31" t="str">
        <f>VLOOKUP(D53,'[7]MP-CF (WP)'!$B$4:$Y$81,2,FALSE)</f>
        <v xml:space="preserve">MGE Energy                    </v>
      </c>
      <c r="F53" s="194">
        <v>26.4</v>
      </c>
      <c r="G53" s="195">
        <v>83.3</v>
      </c>
      <c r="H53" s="195">
        <v>47.2</v>
      </c>
      <c r="I53" s="196">
        <f t="shared" si="14"/>
        <v>65.25</v>
      </c>
      <c r="J53" s="193">
        <v>4.74</v>
      </c>
      <c r="K53" s="193">
        <v>2.6</v>
      </c>
      <c r="L53" s="193">
        <v>1.45</v>
      </c>
      <c r="M53" s="193">
        <v>5.78</v>
      </c>
      <c r="N53" s="193">
        <v>27.76</v>
      </c>
      <c r="O53" s="193">
        <v>4.8499999999999996</v>
      </c>
      <c r="P53" s="193">
        <v>5.6</v>
      </c>
      <c r="Q53" s="193">
        <v>5.75</v>
      </c>
      <c r="R53" s="193">
        <v>4.5</v>
      </c>
      <c r="S53" s="225">
        <v>44267</v>
      </c>
      <c r="T53" s="196">
        <f>IFERROR(I53/J53,"N/A")</f>
        <v>13.765822784810126</v>
      </c>
      <c r="U53" s="197">
        <f>IFERROR(I53/N53,"N/A")</f>
        <v>2.3505043227665703</v>
      </c>
      <c r="V53" s="198">
        <f t="shared" si="4"/>
        <v>5.2233429394812673E-2</v>
      </c>
      <c r="W53" s="197">
        <f t="shared" si="5"/>
        <v>0.55769230769230771</v>
      </c>
      <c r="X53" s="197">
        <f t="shared" si="6"/>
        <v>0.82006920415224915</v>
      </c>
      <c r="Y53" s="198">
        <f>IFERROR(L53/I53,"N/A")</f>
        <v>2.2222222222222223E-2</v>
      </c>
      <c r="Z53" s="197">
        <f t="shared" si="15"/>
        <v>0.8660714285714286</v>
      </c>
      <c r="AA53" s="197">
        <f t="shared" si="9"/>
        <v>1.2777777777777777</v>
      </c>
      <c r="AB53" s="52"/>
      <c r="AD53" s="33">
        <f t="shared" si="10"/>
        <v>199.22999999999996</v>
      </c>
    </row>
    <row r="54" spans="1:30" ht="14.25" customHeight="1" x14ac:dyDescent="0.25">
      <c r="A54">
        <f t="shared" si="1"/>
        <v>1</v>
      </c>
      <c r="B54" t="str">
        <f t="shared" si="2"/>
        <v>E</v>
      </c>
      <c r="C54" t="s">
        <v>342</v>
      </c>
      <c r="D54" s="31" t="s">
        <v>27</v>
      </c>
      <c r="E54" s="31" t="str">
        <f>VLOOKUP(D54,'[7]MP-CF (WP)'!$B$4:$Y$81,2,FALSE)</f>
        <v xml:space="preserve">OGE Energy                    </v>
      </c>
      <c r="F54" s="194">
        <v>16.2</v>
      </c>
      <c r="G54" s="195">
        <v>46.4</v>
      </c>
      <c r="H54" s="195">
        <v>23</v>
      </c>
      <c r="I54" s="196">
        <f t="shared" si="14"/>
        <v>34.700000000000003</v>
      </c>
      <c r="J54" s="193">
        <v>4.03</v>
      </c>
      <c r="K54" s="193">
        <v>2.08</v>
      </c>
      <c r="L54" s="193">
        <v>1.58</v>
      </c>
      <c r="M54" s="193">
        <v>3.25</v>
      </c>
      <c r="N54" s="193">
        <v>18.149999999999999</v>
      </c>
      <c r="O54" s="193">
        <v>4.25</v>
      </c>
      <c r="P54" s="193">
        <v>3.75</v>
      </c>
      <c r="Q54" s="193">
        <v>5.5</v>
      </c>
      <c r="R54" s="193">
        <v>4.25</v>
      </c>
      <c r="S54" s="225">
        <v>44267</v>
      </c>
      <c r="T54" s="196">
        <f>IFERROR(I54/J54,"N/A")</f>
        <v>8.6104218362282872</v>
      </c>
      <c r="U54" s="197">
        <f>IFERROR(I54/N54,"N/A")</f>
        <v>1.9118457300275484</v>
      </c>
      <c r="V54" s="198">
        <f t="shared" si="4"/>
        <v>8.7052341597796151E-2</v>
      </c>
      <c r="W54" s="197">
        <f t="shared" si="5"/>
        <v>0.75961538461538458</v>
      </c>
      <c r="X54" s="197">
        <f t="shared" si="6"/>
        <v>1.24</v>
      </c>
      <c r="Y54" s="198">
        <f>IFERROR(L54/I54,"N/A")</f>
        <v>4.5533141210374641E-2</v>
      </c>
      <c r="Z54" s="197">
        <f t="shared" si="15"/>
        <v>1.1333333333333333</v>
      </c>
      <c r="AA54" s="197">
        <f t="shared" si="9"/>
        <v>1.2941176470588236</v>
      </c>
      <c r="AB54" s="52"/>
      <c r="AD54" s="33">
        <f t="shared" si="10"/>
        <v>114.69</v>
      </c>
    </row>
    <row r="55" spans="1:30" ht="14.25" customHeight="1" x14ac:dyDescent="0.25">
      <c r="A55">
        <f t="shared" si="1"/>
        <v>1</v>
      </c>
      <c r="B55" t="str">
        <f t="shared" si="2"/>
        <v>E</v>
      </c>
      <c r="C55" t="s">
        <v>342</v>
      </c>
      <c r="D55" s="31" t="s">
        <v>28</v>
      </c>
      <c r="E55" s="31" t="str">
        <f>VLOOKUP(D55,'[7]MP-CF (WP)'!$B$4:$Y$81,2,FALSE)</f>
        <v xml:space="preserve">Otter Tail Corp.              </v>
      </c>
      <c r="F55" s="194">
        <v>18.3</v>
      </c>
      <c r="G55" s="195">
        <v>56.9</v>
      </c>
      <c r="H55" s="195">
        <v>31</v>
      </c>
      <c r="I55" s="196">
        <f t="shared" si="14"/>
        <v>43.95</v>
      </c>
      <c r="J55" s="193">
        <v>4.29</v>
      </c>
      <c r="K55" s="193">
        <v>2.34</v>
      </c>
      <c r="L55" s="193">
        <v>1.48</v>
      </c>
      <c r="M55" s="193">
        <v>8.9600000000000009</v>
      </c>
      <c r="N55" s="193">
        <v>21</v>
      </c>
      <c r="O55" s="193">
        <v>4.55</v>
      </c>
      <c r="P55" s="193">
        <v>3.2</v>
      </c>
      <c r="Q55" s="193">
        <v>5.75</v>
      </c>
      <c r="R55" s="193">
        <v>2.75</v>
      </c>
      <c r="S55" s="225">
        <v>44267</v>
      </c>
      <c r="T55" s="196">
        <f>IFERROR(I55/J55,"N/A")</f>
        <v>10.244755244755245</v>
      </c>
      <c r="U55" s="197">
        <f>IFERROR(I55/N55,"N/A")</f>
        <v>2.092857142857143</v>
      </c>
      <c r="V55" s="198">
        <f t="shared" si="4"/>
        <v>7.047619047619047E-2</v>
      </c>
      <c r="W55" s="197">
        <f t="shared" si="5"/>
        <v>0.63247863247863256</v>
      </c>
      <c r="X55" s="197">
        <f t="shared" si="6"/>
        <v>0.47879464285714279</v>
      </c>
      <c r="Y55" s="198">
        <f>IFERROR(L55/I55,"N/A")</f>
        <v>3.3674630261660975E-2</v>
      </c>
      <c r="Z55" s="197">
        <f t="shared" si="15"/>
        <v>1.4218749999999998</v>
      </c>
      <c r="AA55" s="197">
        <f t="shared" si="9"/>
        <v>2.0909090909090908</v>
      </c>
      <c r="AB55" s="52"/>
      <c r="AD55" s="33">
        <f t="shared" si="10"/>
        <v>144.27000000000001</v>
      </c>
    </row>
    <row r="56" spans="1:30" ht="14.25" customHeight="1" x14ac:dyDescent="0.25">
      <c r="A56">
        <f t="shared" si="1"/>
        <v>1</v>
      </c>
      <c r="B56" t="str">
        <f t="shared" si="2"/>
        <v>E</v>
      </c>
      <c r="C56" t="s">
        <v>342</v>
      </c>
      <c r="D56" s="31" t="s">
        <v>44</v>
      </c>
      <c r="E56" s="31" t="str">
        <f>VLOOKUP(D56,'[7]MP-CF (WP)'!$B$4:$Y$81,2,FALSE)</f>
        <v>WEC Energy Group</v>
      </c>
      <c r="F56" s="194">
        <v>24.9</v>
      </c>
      <c r="G56" s="195">
        <v>109.5</v>
      </c>
      <c r="H56" s="195">
        <v>68</v>
      </c>
      <c r="I56" s="196">
        <f t="shared" si="14"/>
        <v>88.75</v>
      </c>
      <c r="J56" s="193">
        <v>6.9</v>
      </c>
      <c r="K56" s="193">
        <v>3.79</v>
      </c>
      <c r="L56" s="193">
        <v>2.5299999999999998</v>
      </c>
      <c r="M56" s="193">
        <v>7.1</v>
      </c>
      <c r="N56" s="193">
        <v>33.19</v>
      </c>
      <c r="O56" s="193">
        <v>7.4</v>
      </c>
      <c r="P56" s="193">
        <v>9.9</v>
      </c>
      <c r="Q56" s="193">
        <v>10</v>
      </c>
      <c r="R56" s="193">
        <v>8.75</v>
      </c>
      <c r="S56" s="225">
        <v>44267</v>
      </c>
      <c r="T56" s="196">
        <f t="shared" si="11"/>
        <v>12.862318840579709</v>
      </c>
      <c r="U56" s="197">
        <f t="shared" si="3"/>
        <v>2.6739981922265743</v>
      </c>
      <c r="V56" s="198">
        <f t="shared" si="4"/>
        <v>7.6227779451642066E-2</v>
      </c>
      <c r="W56" s="197">
        <f t="shared" si="5"/>
        <v>0.66754617414248019</v>
      </c>
      <c r="X56" s="197">
        <f t="shared" si="6"/>
        <v>0.97183098591549311</v>
      </c>
      <c r="Y56" s="198">
        <f t="shared" si="7"/>
        <v>2.8507042253521124E-2</v>
      </c>
      <c r="Z56" s="197">
        <f t="shared" si="15"/>
        <v>0.74747474747474751</v>
      </c>
      <c r="AA56" s="197">
        <f t="shared" si="9"/>
        <v>1.1428571428571428</v>
      </c>
      <c r="AB56" s="52"/>
      <c r="AD56" s="33">
        <f t="shared" si="10"/>
        <v>255.91</v>
      </c>
    </row>
    <row r="57" spans="1:30" ht="14.25" customHeight="1" x14ac:dyDescent="0.25">
      <c r="A57">
        <f t="shared" si="1"/>
        <v>1</v>
      </c>
      <c r="B57" t="str">
        <f t="shared" si="2"/>
        <v>E</v>
      </c>
      <c r="C57" t="s">
        <v>269</v>
      </c>
      <c r="D57" s="31" t="s">
        <v>4</v>
      </c>
      <c r="E57" s="31" t="str">
        <f>VLOOKUP(D57,'[6]MP-CF (WP)'!$B$4:$Y$81,2,FALSE)</f>
        <v xml:space="preserve">Avista Corp.                  </v>
      </c>
      <c r="F57" s="195">
        <v>21.2</v>
      </c>
      <c r="G57" s="193">
        <v>53</v>
      </c>
      <c r="H57" s="193">
        <v>32.1</v>
      </c>
      <c r="I57" s="196">
        <f t="shared" si="14"/>
        <v>42.55</v>
      </c>
      <c r="J57" s="193">
        <v>5.16</v>
      </c>
      <c r="K57" s="193">
        <v>1.9</v>
      </c>
      <c r="L57" s="193">
        <v>1.62</v>
      </c>
      <c r="M57" s="193">
        <v>5.84</v>
      </c>
      <c r="N57" s="193">
        <v>29.31</v>
      </c>
      <c r="O57" s="193">
        <v>5.35</v>
      </c>
      <c r="P57" s="193">
        <v>6.15</v>
      </c>
      <c r="Q57" s="193">
        <v>6.5</v>
      </c>
      <c r="R57" s="193">
        <v>5.75</v>
      </c>
      <c r="S57" s="225">
        <v>44309</v>
      </c>
      <c r="T57" s="196">
        <f t="shared" si="11"/>
        <v>8.246124031007751</v>
      </c>
      <c r="U57" s="197">
        <f t="shared" si="3"/>
        <v>1.4517229614466052</v>
      </c>
      <c r="V57" s="198">
        <f t="shared" si="4"/>
        <v>5.5271238485158657E-2</v>
      </c>
      <c r="W57" s="197">
        <f t="shared" si="5"/>
        <v>0.85263157894736852</v>
      </c>
      <c r="X57" s="197">
        <f t="shared" si="6"/>
        <v>0.88356164383561653</v>
      </c>
      <c r="Y57" s="198">
        <f t="shared" si="7"/>
        <v>3.8072855464159817E-2</v>
      </c>
      <c r="Z57" s="197">
        <f t="shared" si="15"/>
        <v>0.86991869918699172</v>
      </c>
      <c r="AA57" s="197">
        <f t="shared" si="9"/>
        <v>1.1304347826086956</v>
      </c>
      <c r="AB57" s="52"/>
      <c r="AD57" s="33">
        <f t="shared" si="10"/>
        <v>150.13000000000002</v>
      </c>
    </row>
    <row r="58" spans="1:30" ht="14.25" customHeight="1" x14ac:dyDescent="0.25">
      <c r="A58">
        <f t="shared" si="1"/>
        <v>1</v>
      </c>
      <c r="B58" t="str">
        <f t="shared" si="2"/>
        <v>E</v>
      </c>
      <c r="C58" t="s">
        <v>269</v>
      </c>
      <c r="D58" s="31" t="s">
        <v>5</v>
      </c>
      <c r="E58" s="31" t="str">
        <f>VLOOKUP(D58,'[6]MP-CF (WP)'!$B$4:$Y$81,2,FALSE)</f>
        <v xml:space="preserve">Black Hills                   </v>
      </c>
      <c r="F58" s="195">
        <v>17</v>
      </c>
      <c r="G58" s="193">
        <v>87.1</v>
      </c>
      <c r="H58" s="193">
        <v>48.1</v>
      </c>
      <c r="I58" s="196">
        <f t="shared" si="14"/>
        <v>67.599999999999994</v>
      </c>
      <c r="J58" s="193">
        <v>7.41</v>
      </c>
      <c r="K58" s="193">
        <v>3.73</v>
      </c>
      <c r="L58" s="193">
        <v>2.17</v>
      </c>
      <c r="M58" s="193">
        <v>12.22</v>
      </c>
      <c r="N58" s="193">
        <v>40.79</v>
      </c>
      <c r="O58" s="193">
        <v>7.6</v>
      </c>
      <c r="P58" s="193">
        <v>10.050000000000001</v>
      </c>
      <c r="Q58" s="193">
        <v>9</v>
      </c>
      <c r="R58" s="193">
        <v>7.5</v>
      </c>
      <c r="S58" s="225">
        <v>44309</v>
      </c>
      <c r="T58" s="196">
        <f>IFERROR(I58/J58,"N/A")</f>
        <v>9.1228070175438596</v>
      </c>
      <c r="U58" s="197">
        <f>IFERROR(I58/N58,"N/A")</f>
        <v>1.6572689384653101</v>
      </c>
      <c r="V58" s="198">
        <f>IFERROR(L58/N58,"N/A")</f>
        <v>5.3199313557244422E-2</v>
      </c>
      <c r="W58" s="197">
        <f>IFERROR(L58/K58,"N/A")</f>
        <v>0.58176943699731898</v>
      </c>
      <c r="X58" s="197">
        <f>IFERROR(J58/M58,"N/A")</f>
        <v>0.60638297872340419</v>
      </c>
      <c r="Y58" s="198">
        <f>IFERROR(L58/I58,"N/A")</f>
        <v>3.2100591715976332E-2</v>
      </c>
      <c r="Z58" s="197">
        <f>IFERROR(O58/P58,"N/A")</f>
        <v>0.7562189054726367</v>
      </c>
      <c r="AA58" s="197">
        <f>IFERROR(Q58/R58,"N/A")</f>
        <v>1.2</v>
      </c>
      <c r="AB58" s="52"/>
      <c r="AD58" s="33">
        <f t="shared" si="10"/>
        <v>218.51999999999995</v>
      </c>
    </row>
    <row r="59" spans="1:30" ht="14.25" customHeight="1" x14ac:dyDescent="0.25">
      <c r="A59">
        <f t="shared" si="1"/>
        <v>1</v>
      </c>
      <c r="B59" t="str">
        <f t="shared" si="2"/>
        <v>E</v>
      </c>
      <c r="C59" t="s">
        <v>269</v>
      </c>
      <c r="D59" s="31" t="s">
        <v>14</v>
      </c>
      <c r="E59" s="31" t="str">
        <f>VLOOKUP(D59,'[6]MP-CF (WP)'!$B$4:$Y$81,2,FALSE)</f>
        <v xml:space="preserve">Edison Int'l                  </v>
      </c>
      <c r="F59" s="195">
        <v>34.9</v>
      </c>
      <c r="G59" s="193">
        <v>78.900000000000006</v>
      </c>
      <c r="H59" s="193">
        <v>43.6</v>
      </c>
      <c r="I59" s="196">
        <f t="shared" si="14"/>
        <v>61.25</v>
      </c>
      <c r="J59" s="193">
        <v>7.94</v>
      </c>
      <c r="K59" s="193">
        <v>1.72</v>
      </c>
      <c r="L59" s="193">
        <v>2.58</v>
      </c>
      <c r="M59" s="193">
        <v>14.47</v>
      </c>
      <c r="N59" s="193">
        <v>37.08</v>
      </c>
      <c r="O59" s="193">
        <v>10.6</v>
      </c>
      <c r="P59" s="193">
        <v>14.3</v>
      </c>
      <c r="Q59" s="193">
        <v>13.25</v>
      </c>
      <c r="R59" s="193">
        <v>14.35</v>
      </c>
      <c r="S59" s="225">
        <v>44309</v>
      </c>
      <c r="T59" s="196">
        <f>IFERROR(I59/J59,"N/A")</f>
        <v>7.714105793450881</v>
      </c>
      <c r="U59" s="197">
        <f>IFERROR(I59/N59,"N/A")</f>
        <v>1.6518338727076591</v>
      </c>
      <c r="V59" s="198">
        <f t="shared" si="4"/>
        <v>6.9579288025889974E-2</v>
      </c>
      <c r="W59" s="197">
        <f t="shared" si="5"/>
        <v>1.5</v>
      </c>
      <c r="X59" s="197">
        <f t="shared" si="6"/>
        <v>0.54872149274360749</v>
      </c>
      <c r="Y59" s="198">
        <f>IFERROR(L59/I59,"N/A")</f>
        <v>4.2122448979591838E-2</v>
      </c>
      <c r="Z59" s="197">
        <f t="shared" si="15"/>
        <v>0.74125874125874125</v>
      </c>
      <c r="AA59" s="197">
        <f t="shared" si="9"/>
        <v>0.92334494773519171</v>
      </c>
      <c r="AB59" s="52"/>
      <c r="AD59" s="33">
        <f t="shared" si="10"/>
        <v>221.19</v>
      </c>
    </row>
    <row r="60" spans="1:30" ht="14.25" customHeight="1" x14ac:dyDescent="0.25">
      <c r="A60">
        <v>0</v>
      </c>
      <c r="B60" t="str">
        <f t="shared" si="2"/>
        <v>E</v>
      </c>
      <c r="C60" t="s">
        <v>269</v>
      </c>
      <c r="D60" s="31" t="s">
        <v>15</v>
      </c>
      <c r="E60" s="31" t="str">
        <f>VLOOKUP(D60,'[6]MP-CF (WP)'!$B$4:$Y$81,2,FALSE)</f>
        <v xml:space="preserve">El Paso Electric              </v>
      </c>
      <c r="F60" s="195">
        <v>33.700000000000003</v>
      </c>
      <c r="G60" s="193">
        <v>70</v>
      </c>
      <c r="H60" s="193">
        <v>61.7</v>
      </c>
      <c r="I60" s="196">
        <f t="shared" si="14"/>
        <v>65.849999999999994</v>
      </c>
      <c r="J60" s="193">
        <v>5.95</v>
      </c>
      <c r="K60" s="193">
        <v>2</v>
      </c>
      <c r="L60" s="193">
        <v>1.62</v>
      </c>
      <c r="M60" s="193">
        <v>7.2</v>
      </c>
      <c r="N60" s="193">
        <v>31.55</v>
      </c>
      <c r="O60" s="193">
        <v>6.75</v>
      </c>
      <c r="P60" s="193">
        <v>8.15</v>
      </c>
      <c r="Q60" s="193">
        <v>7.5</v>
      </c>
      <c r="R60" s="193">
        <v>8.75</v>
      </c>
      <c r="S60" s="225">
        <v>44036</v>
      </c>
      <c r="T60" s="196">
        <f t="shared" si="11"/>
        <v>11.067226890756301</v>
      </c>
      <c r="U60" s="197">
        <f t="shared" si="3"/>
        <v>2.0871632329635497</v>
      </c>
      <c r="V60" s="198">
        <f t="shared" si="4"/>
        <v>5.1347068145800319E-2</v>
      </c>
      <c r="W60" s="197">
        <f t="shared" si="5"/>
        <v>0.81</v>
      </c>
      <c r="X60" s="197">
        <f t="shared" si="6"/>
        <v>0.82638888888888884</v>
      </c>
      <c r="Y60" s="198">
        <f t="shared" si="7"/>
        <v>2.4601366742596813E-2</v>
      </c>
      <c r="Z60" s="197">
        <f t="shared" si="15"/>
        <v>0.82822085889570551</v>
      </c>
      <c r="AA60" s="197">
        <f t="shared" si="9"/>
        <v>0.8571428571428571</v>
      </c>
      <c r="AB60" s="52"/>
      <c r="AD60" s="33">
        <f t="shared" si="10"/>
        <v>213.72</v>
      </c>
    </row>
    <row r="61" spans="1:30" ht="14.25" customHeight="1" x14ac:dyDescent="0.25">
      <c r="A61">
        <f t="shared" si="1"/>
        <v>1</v>
      </c>
      <c r="B61" t="str">
        <f t="shared" si="2"/>
        <v>E</v>
      </c>
      <c r="C61" t="s">
        <v>269</v>
      </c>
      <c r="D61" s="31" t="s">
        <v>21</v>
      </c>
      <c r="E61" s="31" t="str">
        <f>VLOOKUP(D61,'[6]MP-CF (WP)'!$B$4:$Y$81,2,FALSE)</f>
        <v xml:space="preserve">Hawaiian Elec.                </v>
      </c>
      <c r="F61" s="195">
        <v>21.5</v>
      </c>
      <c r="G61" s="193">
        <v>55.2</v>
      </c>
      <c r="H61" s="193">
        <v>31.8</v>
      </c>
      <c r="I61" s="196">
        <f t="shared" si="14"/>
        <v>43.5</v>
      </c>
      <c r="J61" s="193">
        <v>4.4800000000000004</v>
      </c>
      <c r="K61" s="193">
        <v>1.81</v>
      </c>
      <c r="L61" s="193">
        <v>1.32</v>
      </c>
      <c r="M61" s="193">
        <v>3.52</v>
      </c>
      <c r="N61" s="193">
        <v>21.41</v>
      </c>
      <c r="O61" s="193">
        <v>4.5999999999999996</v>
      </c>
      <c r="P61" s="193">
        <v>3.25</v>
      </c>
      <c r="Q61" s="193">
        <v>5.5</v>
      </c>
      <c r="R61" s="193">
        <v>4.5</v>
      </c>
      <c r="S61" s="225">
        <v>44309</v>
      </c>
      <c r="T61" s="196">
        <f t="shared" si="11"/>
        <v>9.709821428571427</v>
      </c>
      <c r="U61" s="197">
        <f t="shared" si="3"/>
        <v>2.0317608594114898</v>
      </c>
      <c r="V61" s="198">
        <f t="shared" si="4"/>
        <v>6.1653432975245212E-2</v>
      </c>
      <c r="W61" s="197">
        <f t="shared" si="5"/>
        <v>0.72928176795580113</v>
      </c>
      <c r="X61" s="197">
        <f t="shared" si="6"/>
        <v>1.2727272727272729</v>
      </c>
      <c r="Y61" s="198">
        <f t="shared" si="7"/>
        <v>3.0344827586206897E-2</v>
      </c>
      <c r="Z61" s="197">
        <f t="shared" si="15"/>
        <v>1.4153846153846152</v>
      </c>
      <c r="AA61" s="197">
        <f t="shared" si="9"/>
        <v>1.2222222222222223</v>
      </c>
      <c r="AB61" s="52"/>
      <c r="AD61" s="33">
        <f t="shared" si="10"/>
        <v>141.04</v>
      </c>
    </row>
    <row r="62" spans="1:30" ht="14.25" customHeight="1" x14ac:dyDescent="0.25">
      <c r="A62">
        <f t="shared" si="1"/>
        <v>1</v>
      </c>
      <c r="B62" t="str">
        <f t="shared" si="2"/>
        <v>E</v>
      </c>
      <c r="C62" t="s">
        <v>269</v>
      </c>
      <c r="D62" s="31" t="s">
        <v>22</v>
      </c>
      <c r="E62" s="31" t="str">
        <f>VLOOKUP(D62,'[6]MP-CF (WP)'!$B$4:$Y$81,2,FALSE)</f>
        <v xml:space="preserve">IDACORP, Inc.                 </v>
      </c>
      <c r="F62" s="195">
        <v>19.899999999999999</v>
      </c>
      <c r="G62" s="193">
        <v>113.6</v>
      </c>
      <c r="H62" s="193">
        <v>69.099999999999994</v>
      </c>
      <c r="I62" s="196">
        <f t="shared" si="14"/>
        <v>91.35</v>
      </c>
      <c r="J62" s="193">
        <v>8.19</v>
      </c>
      <c r="K62" s="193">
        <v>4.6900000000000004</v>
      </c>
      <c r="L62" s="193">
        <v>2.72</v>
      </c>
      <c r="M62" s="193">
        <v>6.16</v>
      </c>
      <c r="N62" s="193">
        <v>50.73</v>
      </c>
      <c r="O62" s="193">
        <v>8.4</v>
      </c>
      <c r="P62" s="193">
        <v>7.25</v>
      </c>
      <c r="Q62" s="193">
        <v>10</v>
      </c>
      <c r="R62" s="193">
        <v>10</v>
      </c>
      <c r="S62" s="225">
        <v>44309</v>
      </c>
      <c r="T62" s="196">
        <f t="shared" si="11"/>
        <v>11.153846153846153</v>
      </c>
      <c r="U62" s="197">
        <f t="shared" si="3"/>
        <v>1.8007096392667061</v>
      </c>
      <c r="V62" s="198">
        <f t="shared" si="4"/>
        <v>5.3617189040015778E-2</v>
      </c>
      <c r="W62" s="197">
        <f t="shared" si="5"/>
        <v>0.57995735607675902</v>
      </c>
      <c r="X62" s="197">
        <f t="shared" si="6"/>
        <v>1.3295454545454544</v>
      </c>
      <c r="Y62" s="198">
        <f t="shared" si="7"/>
        <v>2.9775588396278054E-2</v>
      </c>
      <c r="Z62" s="197">
        <f t="shared" si="15"/>
        <v>1.1586206896551725</v>
      </c>
      <c r="AA62" s="197">
        <f t="shared" si="9"/>
        <v>1</v>
      </c>
      <c r="AB62" s="52"/>
      <c r="AD62" s="33">
        <f t="shared" si="10"/>
        <v>275.08999999999997</v>
      </c>
    </row>
    <row r="63" spans="1:30" ht="14.25" customHeight="1" x14ac:dyDescent="0.25">
      <c r="A63">
        <f t="shared" si="1"/>
        <v>1</v>
      </c>
      <c r="B63" t="str">
        <f t="shared" si="2"/>
        <v>E</v>
      </c>
      <c r="C63" t="s">
        <v>269</v>
      </c>
      <c r="D63" s="31" t="str">
        <f>"NW"&amp;"E"</f>
        <v>NWE</v>
      </c>
      <c r="E63" s="31" t="str">
        <f>VLOOKUP(D63,'[6]MP-CF (WP)'!$B$4:$Y$81,2,FALSE)</f>
        <v xml:space="preserve">NorthWestern Corp             </v>
      </c>
      <c r="F63" s="195">
        <v>19.5</v>
      </c>
      <c r="G63" s="193">
        <v>80.5</v>
      </c>
      <c r="H63" s="193">
        <v>45.1</v>
      </c>
      <c r="I63" s="196">
        <f t="shared" si="14"/>
        <v>62.8</v>
      </c>
      <c r="J63" s="193">
        <v>6.72</v>
      </c>
      <c r="K63" s="193">
        <v>3.06</v>
      </c>
      <c r="L63" s="193">
        <v>2.4</v>
      </c>
      <c r="M63" s="193">
        <v>8.02</v>
      </c>
      <c r="N63" s="193">
        <v>41.1</v>
      </c>
      <c r="O63" s="193">
        <v>7.2</v>
      </c>
      <c r="P63" s="193">
        <v>8.75</v>
      </c>
      <c r="Q63" s="193">
        <v>8</v>
      </c>
      <c r="R63" s="193">
        <v>7.25</v>
      </c>
      <c r="S63" s="225">
        <v>44309</v>
      </c>
      <c r="T63" s="196">
        <f t="shared" si="11"/>
        <v>9.3452380952380949</v>
      </c>
      <c r="U63" s="197">
        <f t="shared" si="3"/>
        <v>1.5279805352798053</v>
      </c>
      <c r="V63" s="198">
        <f t="shared" si="4"/>
        <v>5.8394160583941604E-2</v>
      </c>
      <c r="W63" s="197">
        <f t="shared" si="5"/>
        <v>0.78431372549019607</v>
      </c>
      <c r="X63" s="197">
        <f t="shared" si="6"/>
        <v>0.83790523690773067</v>
      </c>
      <c r="Y63" s="198">
        <f t="shared" si="7"/>
        <v>3.8216560509554139E-2</v>
      </c>
      <c r="Z63" s="197">
        <f t="shared" si="15"/>
        <v>0.82285714285714284</v>
      </c>
      <c r="AA63" s="197">
        <f t="shared" si="9"/>
        <v>1.103448275862069</v>
      </c>
      <c r="AB63" s="52"/>
      <c r="AD63" s="33">
        <f t="shared" si="10"/>
        <v>206.4</v>
      </c>
    </row>
    <row r="64" spans="1:30" ht="14.25" customHeight="1" x14ac:dyDescent="0.25">
      <c r="A64">
        <f t="shared" si="1"/>
        <v>1</v>
      </c>
      <c r="B64" t="str">
        <f t="shared" si="2"/>
        <v>E</v>
      </c>
      <c r="C64" t="s">
        <v>269</v>
      </c>
      <c r="D64" s="31" t="s">
        <v>31</v>
      </c>
      <c r="E64" s="31" t="str">
        <f>VLOOKUP(D64,'[6]MP-CF (WP)'!$B$4:$Y$81,2,FALSE)</f>
        <v xml:space="preserve">Pinnacle West Capital         </v>
      </c>
      <c r="F64" s="195">
        <v>16.7</v>
      </c>
      <c r="G64" s="193">
        <v>105.5</v>
      </c>
      <c r="H64" s="193">
        <v>60.1</v>
      </c>
      <c r="I64" s="196">
        <f t="shared" si="14"/>
        <v>82.8</v>
      </c>
      <c r="J64" s="193">
        <v>10.86</v>
      </c>
      <c r="K64" s="193">
        <v>4.87</v>
      </c>
      <c r="L64" s="193">
        <v>3.23</v>
      </c>
      <c r="M64" s="193">
        <v>11.93</v>
      </c>
      <c r="N64" s="193">
        <v>49.96</v>
      </c>
      <c r="O64" s="193">
        <v>11.8</v>
      </c>
      <c r="P64" s="193">
        <v>13.9</v>
      </c>
      <c r="Q64" s="193">
        <v>14.25</v>
      </c>
      <c r="R64" s="193">
        <v>12</v>
      </c>
      <c r="S64" s="225">
        <v>44309</v>
      </c>
      <c r="T64" s="196">
        <f t="shared" si="11"/>
        <v>7.6243093922651939</v>
      </c>
      <c r="U64" s="197">
        <f t="shared" si="3"/>
        <v>1.6573258606885508</v>
      </c>
      <c r="V64" s="198">
        <f t="shared" si="4"/>
        <v>6.4651721377101679E-2</v>
      </c>
      <c r="W64" s="197">
        <f t="shared" si="5"/>
        <v>0.66324435318275154</v>
      </c>
      <c r="X64" s="197">
        <f t="shared" si="6"/>
        <v>0.91031014249790443</v>
      </c>
      <c r="Y64" s="198">
        <f t="shared" si="7"/>
        <v>3.9009661835748791E-2</v>
      </c>
      <c r="Z64" s="197">
        <f t="shared" si="15"/>
        <v>0.84892086330935257</v>
      </c>
      <c r="AA64" s="197">
        <f t="shared" si="9"/>
        <v>1.1875</v>
      </c>
      <c r="AB64" s="52"/>
      <c r="AD64" s="33">
        <f t="shared" si="10"/>
        <v>263.15000000000003</v>
      </c>
    </row>
    <row r="65" spans="1:30" ht="14.25" customHeight="1" x14ac:dyDescent="0.25">
      <c r="A65">
        <f t="shared" si="1"/>
        <v>1</v>
      </c>
      <c r="B65" t="str">
        <f t="shared" si="2"/>
        <v>E</v>
      </c>
      <c r="C65" t="s">
        <v>269</v>
      </c>
      <c r="D65" s="31" t="s">
        <v>32</v>
      </c>
      <c r="E65" s="31" t="str">
        <f>VLOOKUP(D65,'[6]MP-CF (WP)'!$B$4:$Y$81,2,FALSE)</f>
        <v xml:space="preserve">PNM Resources                 </v>
      </c>
      <c r="F65" s="195">
        <v>20.8</v>
      </c>
      <c r="G65" s="193">
        <v>56.1</v>
      </c>
      <c r="H65" s="193">
        <v>27.1</v>
      </c>
      <c r="I65" s="196">
        <f t="shared" si="14"/>
        <v>41.6</v>
      </c>
      <c r="J65" s="193">
        <v>5.68</v>
      </c>
      <c r="K65" s="193">
        <v>2.15</v>
      </c>
      <c r="L65" s="193">
        <v>1.25</v>
      </c>
      <c r="M65" s="193">
        <v>7.91</v>
      </c>
      <c r="N65" s="193">
        <v>23.88</v>
      </c>
      <c r="O65" s="193">
        <v>6.1</v>
      </c>
      <c r="P65" s="193">
        <v>11.85</v>
      </c>
      <c r="Q65" s="193">
        <v>8</v>
      </c>
      <c r="R65" s="193">
        <v>8</v>
      </c>
      <c r="S65" s="225">
        <v>44309</v>
      </c>
      <c r="T65" s="196">
        <f t="shared" si="11"/>
        <v>7.3239436619718319</v>
      </c>
      <c r="U65" s="197">
        <f t="shared" si="3"/>
        <v>1.7420435510887773</v>
      </c>
      <c r="V65" s="198">
        <f t="shared" si="4"/>
        <v>5.2345058626465664E-2</v>
      </c>
      <c r="W65" s="197">
        <f t="shared" si="5"/>
        <v>0.58139534883720934</v>
      </c>
      <c r="X65" s="197">
        <f t="shared" si="6"/>
        <v>0.7180783817951959</v>
      </c>
      <c r="Y65" s="198">
        <f t="shared" si="7"/>
        <v>3.004807692307692E-2</v>
      </c>
      <c r="Z65" s="197">
        <f t="shared" si="15"/>
        <v>0.51476793248945141</v>
      </c>
      <c r="AA65" s="197">
        <f t="shared" si="9"/>
        <v>1</v>
      </c>
      <c r="AB65" s="52"/>
      <c r="AD65" s="33">
        <f t="shared" si="10"/>
        <v>144.87</v>
      </c>
    </row>
    <row r="66" spans="1:30" ht="14.25" customHeight="1" x14ac:dyDescent="0.25">
      <c r="A66">
        <f t="shared" si="1"/>
        <v>1</v>
      </c>
      <c r="B66" t="str">
        <f t="shared" si="2"/>
        <v>E</v>
      </c>
      <c r="C66" t="s">
        <v>269</v>
      </c>
      <c r="D66" s="31" t="s">
        <v>33</v>
      </c>
      <c r="E66" s="31" t="str">
        <f>VLOOKUP(D66,'[6]MP-CF (WP)'!$B$4:$Y$81,2,FALSE)</f>
        <v xml:space="preserve">Portland General              </v>
      </c>
      <c r="F66" s="195">
        <v>26.6</v>
      </c>
      <c r="G66" s="193">
        <v>63.1</v>
      </c>
      <c r="H66" s="193">
        <v>32</v>
      </c>
      <c r="I66" s="196">
        <f t="shared" si="14"/>
        <v>47.55</v>
      </c>
      <c r="J66" s="193">
        <v>6.8</v>
      </c>
      <c r="K66" s="193">
        <v>1.72</v>
      </c>
      <c r="L66" s="193">
        <v>1.59</v>
      </c>
      <c r="M66" s="193">
        <v>8.76</v>
      </c>
      <c r="N66" s="193">
        <v>29.18</v>
      </c>
      <c r="O66" s="193">
        <v>7.35</v>
      </c>
      <c r="P66" s="193">
        <v>7.55</v>
      </c>
      <c r="Q66" s="193">
        <v>9</v>
      </c>
      <c r="R66" s="193">
        <v>6.25</v>
      </c>
      <c r="S66" s="225">
        <v>44309</v>
      </c>
      <c r="T66" s="196">
        <f>IFERROR(I66/J66,"N/A")</f>
        <v>6.992647058823529</v>
      </c>
      <c r="U66" s="197">
        <f>IFERROR(I66/N66,"N/A")</f>
        <v>1.6295407813570939</v>
      </c>
      <c r="V66" s="198">
        <f>IFERROR(L66/N66,"N/A")</f>
        <v>5.4489376285126803E-2</v>
      </c>
      <c r="W66" s="197">
        <f>IFERROR(L66/K66,"N/A")</f>
        <v>0.92441860465116288</v>
      </c>
      <c r="X66" s="197">
        <f>IFERROR(J66/M66,"N/A")</f>
        <v>0.77625570776255703</v>
      </c>
      <c r="Y66" s="198">
        <f>IFERROR(L66/I66,"N/A")</f>
        <v>3.3438485804416405E-2</v>
      </c>
      <c r="Z66" s="197">
        <f>IFERROR(O66/P66,"N/A")</f>
        <v>0.97350993377483441</v>
      </c>
      <c r="AA66" s="197">
        <f>IFERROR(Q66/R66,"N/A")</f>
        <v>1.44</v>
      </c>
      <c r="AB66" s="52"/>
      <c r="AD66" s="33">
        <f t="shared" si="10"/>
        <v>169.75</v>
      </c>
    </row>
    <row r="67" spans="1:30" ht="14.25" customHeight="1" x14ac:dyDescent="0.25">
      <c r="A67">
        <f t="shared" si="1"/>
        <v>1</v>
      </c>
      <c r="B67" t="str">
        <f t="shared" si="2"/>
        <v>E</v>
      </c>
      <c r="C67" t="s">
        <v>269</v>
      </c>
      <c r="D67" s="31" t="s">
        <v>37</v>
      </c>
      <c r="E67" s="31" t="str">
        <f>VLOOKUP(D67,'[6]MP-CF (WP)'!$B$4:$Y$81,2,FALSE)</f>
        <v xml:space="preserve">Sempra Energy                 </v>
      </c>
      <c r="F67" s="194">
        <v>19.600000000000001</v>
      </c>
      <c r="G67" s="193">
        <v>161.9</v>
      </c>
      <c r="H67" s="193">
        <v>88</v>
      </c>
      <c r="I67" s="196">
        <f t="shared" si="14"/>
        <v>124.95</v>
      </c>
      <c r="J67" s="193">
        <v>12.41</v>
      </c>
      <c r="K67" s="193">
        <v>6.58</v>
      </c>
      <c r="L67" s="193">
        <v>4.18</v>
      </c>
      <c r="M67" s="193">
        <v>16.21</v>
      </c>
      <c r="N67" s="193">
        <v>70.11</v>
      </c>
      <c r="O67" s="193">
        <v>13.3</v>
      </c>
      <c r="P67" s="193">
        <v>16.95</v>
      </c>
      <c r="Q67" s="193">
        <v>18</v>
      </c>
      <c r="R67" s="193">
        <v>13.25</v>
      </c>
      <c r="S67" s="225">
        <v>44309</v>
      </c>
      <c r="T67" s="196">
        <f t="shared" si="11"/>
        <v>10.068493150684931</v>
      </c>
      <c r="U67" s="197">
        <f t="shared" si="3"/>
        <v>1.782199400941378</v>
      </c>
      <c r="V67" s="198">
        <f t="shared" si="4"/>
        <v>5.9620596205962058E-2</v>
      </c>
      <c r="W67" s="197">
        <f t="shared" si="5"/>
        <v>0.63525835866261393</v>
      </c>
      <c r="X67" s="197">
        <f t="shared" si="6"/>
        <v>0.76557680444170262</v>
      </c>
      <c r="Y67" s="198">
        <f t="shared" si="7"/>
        <v>3.3453381352541015E-2</v>
      </c>
      <c r="Z67" s="197">
        <f t="shared" si="15"/>
        <v>0.78466076696165199</v>
      </c>
      <c r="AA67" s="197">
        <f t="shared" si="9"/>
        <v>1.3584905660377358</v>
      </c>
      <c r="AB67" s="52"/>
      <c r="AD67" s="33">
        <f t="shared" si="10"/>
        <v>378.99</v>
      </c>
    </row>
    <row r="68" spans="1:30" ht="14.25" customHeight="1" x14ac:dyDescent="0.25">
      <c r="A68">
        <f t="shared" si="1"/>
        <v>1</v>
      </c>
      <c r="B68" t="str">
        <f t="shared" si="2"/>
        <v>E</v>
      </c>
      <c r="C68" t="s">
        <v>269</v>
      </c>
      <c r="D68" s="31" t="s">
        <v>45</v>
      </c>
      <c r="E68" s="31" t="str">
        <f>VLOOKUP(D68,'[6]MP-CF (WP)'!$B$4:$Y$81,2,FALSE)</f>
        <v xml:space="preserve">Xcel Energy Inc.              </v>
      </c>
      <c r="F68" s="195">
        <v>23.9</v>
      </c>
      <c r="G68" s="193">
        <v>76.400000000000006</v>
      </c>
      <c r="H68" s="193">
        <v>46.6</v>
      </c>
      <c r="I68" s="196">
        <f t="shared" si="14"/>
        <v>61.5</v>
      </c>
      <c r="J68" s="193">
        <v>6.61</v>
      </c>
      <c r="K68" s="193">
        <v>2.79</v>
      </c>
      <c r="L68" s="193">
        <v>1.72</v>
      </c>
      <c r="M68" s="193">
        <v>9.99</v>
      </c>
      <c r="N68" s="193">
        <v>27.12</v>
      </c>
      <c r="O68" s="193">
        <v>7.15</v>
      </c>
      <c r="P68" s="193">
        <v>8.3000000000000007</v>
      </c>
      <c r="Q68" s="193">
        <v>9.25</v>
      </c>
      <c r="R68" s="193">
        <v>8.5</v>
      </c>
      <c r="S68" s="225">
        <v>44309</v>
      </c>
      <c r="T68" s="196">
        <f>IFERROR(I68/J68,"N/A")</f>
        <v>9.3040847201210291</v>
      </c>
      <c r="U68" s="197">
        <f>IFERROR(I68/N68,"N/A")</f>
        <v>2.2676991150442478</v>
      </c>
      <c r="V68" s="198">
        <f>IFERROR(L68/N68,"N/A")</f>
        <v>6.3421828908554564E-2</v>
      </c>
      <c r="W68" s="197">
        <f>IFERROR(L68/K68,"N/A")</f>
        <v>0.61648745519713255</v>
      </c>
      <c r="X68" s="197">
        <f>IFERROR(J68/M68,"N/A")</f>
        <v>0.66166166166166163</v>
      </c>
      <c r="Y68" s="198">
        <f>IFERROR(L68/I68,"N/A")</f>
        <v>2.7967479674796746E-2</v>
      </c>
      <c r="Z68" s="197">
        <f>IFERROR(O68/P68,"N/A")</f>
        <v>0.86144578313253006</v>
      </c>
      <c r="AA68" s="197">
        <f>IFERROR(Q68/R68,"N/A")</f>
        <v>1.088235294117647</v>
      </c>
      <c r="AB68" s="52"/>
      <c r="AD68" s="33">
        <f t="shared" si="10"/>
        <v>195.13000000000002</v>
      </c>
    </row>
    <row r="69" spans="1:30" ht="14.25" customHeight="1" x14ac:dyDescent="0.25">
      <c r="A69">
        <f t="shared" si="1"/>
        <v>1</v>
      </c>
      <c r="B69" t="str">
        <f t="shared" si="2"/>
        <v>E</v>
      </c>
      <c r="C69" t="s">
        <v>269</v>
      </c>
      <c r="D69" s="31" t="s">
        <v>30</v>
      </c>
      <c r="E69" s="31" t="str">
        <f>VLOOKUP(D69,'[6]MP-CF (WP)'!$B$4:$Y$81,2,FALSE)</f>
        <v xml:space="preserve">PG&amp;E Corp.                    </v>
      </c>
      <c r="F69" s="194" t="s">
        <v>106</v>
      </c>
      <c r="G69" s="195" t="s">
        <v>106</v>
      </c>
      <c r="H69" s="195" t="s">
        <v>106</v>
      </c>
      <c r="I69" s="196" t="str">
        <f t="shared" si="14"/>
        <v/>
      </c>
      <c r="J69" s="193" t="s">
        <v>106</v>
      </c>
      <c r="K69" s="193" t="s">
        <v>106</v>
      </c>
      <c r="L69" s="228" t="s">
        <v>106</v>
      </c>
      <c r="M69" s="193" t="s">
        <v>106</v>
      </c>
      <c r="N69" s="193" t="s">
        <v>106</v>
      </c>
      <c r="O69" s="193" t="s">
        <v>106</v>
      </c>
      <c r="P69" s="193" t="s">
        <v>106</v>
      </c>
      <c r="Q69" s="193" t="s">
        <v>106</v>
      </c>
      <c r="R69" s="193" t="s">
        <v>106</v>
      </c>
      <c r="S69" s="225" t="s">
        <v>106</v>
      </c>
      <c r="T69" s="196" t="s">
        <v>106</v>
      </c>
      <c r="U69" s="197" t="s">
        <v>106</v>
      </c>
      <c r="V69" s="198" t="s">
        <v>106</v>
      </c>
      <c r="W69" s="197" t="s">
        <v>106</v>
      </c>
      <c r="X69" s="197" t="s">
        <v>106</v>
      </c>
      <c r="Y69" s="198" t="s">
        <v>106</v>
      </c>
      <c r="Z69" s="197" t="s">
        <v>106</v>
      </c>
      <c r="AA69" s="197" t="s">
        <v>106</v>
      </c>
      <c r="AB69" s="52"/>
      <c r="AD69" s="33">
        <f t="shared" si="10"/>
        <v>0</v>
      </c>
    </row>
    <row r="70" spans="1:30" ht="14.25" customHeight="1" x14ac:dyDescent="0.25">
      <c r="A70">
        <f t="shared" si="1"/>
        <v>1</v>
      </c>
      <c r="B70" t="str">
        <f t="shared" si="2"/>
        <v>E</v>
      </c>
      <c r="C70" t="s">
        <v>268</v>
      </c>
      <c r="D70" s="31" t="s">
        <v>36</v>
      </c>
      <c r="E70" s="31" t="str">
        <f>VLOOKUP(D70,'[6]MP-CF (WP)'!$B$4:$Y$81,2,FALSE)</f>
        <v xml:space="preserve">SCANA Corp.                   </v>
      </c>
      <c r="F70" s="195" t="s">
        <v>106</v>
      </c>
      <c r="G70" s="195" t="s">
        <v>106</v>
      </c>
      <c r="H70" s="195" t="s">
        <v>106</v>
      </c>
      <c r="I70" s="196" t="str">
        <f t="shared" si="14"/>
        <v/>
      </c>
      <c r="J70" s="193" t="s">
        <v>106</v>
      </c>
      <c r="K70" s="193" t="s">
        <v>106</v>
      </c>
      <c r="L70" s="193" t="s">
        <v>106</v>
      </c>
      <c r="M70" s="193" t="s">
        <v>106</v>
      </c>
      <c r="N70" s="193" t="s">
        <v>106</v>
      </c>
      <c r="O70" s="193" t="s">
        <v>106</v>
      </c>
      <c r="P70" s="193" t="s">
        <v>106</v>
      </c>
      <c r="Q70" s="193" t="s">
        <v>106</v>
      </c>
      <c r="R70" s="193" t="s">
        <v>106</v>
      </c>
      <c r="S70" s="225" t="s">
        <v>106</v>
      </c>
      <c r="T70" s="196" t="str">
        <f>IFERROR(I70/J70,"N/A")</f>
        <v>N/A</v>
      </c>
      <c r="U70" s="197" t="str">
        <f>IFERROR(I70/N70,"N/A")</f>
        <v>N/A</v>
      </c>
      <c r="V70" s="198" t="str">
        <f t="shared" si="4"/>
        <v/>
      </c>
      <c r="W70" s="197" t="str">
        <f t="shared" si="5"/>
        <v/>
      </c>
      <c r="X70" s="197" t="str">
        <f t="shared" si="6"/>
        <v/>
      </c>
      <c r="Y70" s="198" t="str">
        <f>IFERROR(L70/I70,"N/A")</f>
        <v>N/A</v>
      </c>
      <c r="Z70" s="197" t="str">
        <f t="shared" si="15"/>
        <v/>
      </c>
      <c r="AA70" s="197" t="str">
        <f t="shared" si="9"/>
        <v/>
      </c>
      <c r="AB70" s="52"/>
      <c r="AD70" s="33">
        <f t="shared" si="10"/>
        <v>0</v>
      </c>
    </row>
    <row r="71" spans="1:30" ht="14.25" hidden="1" customHeight="1" x14ac:dyDescent="0.25">
      <c r="A71" t="str">
        <f t="shared" si="1"/>
        <v/>
      </c>
      <c r="B71" t="str">
        <f t="shared" si="2"/>
        <v>W</v>
      </c>
      <c r="C71" t="s">
        <v>270</v>
      </c>
      <c r="D71" s="31"/>
      <c r="E71" s="31"/>
      <c r="F71" s="195"/>
      <c r="G71" s="195"/>
      <c r="H71" s="195"/>
      <c r="I71" s="196" t="str">
        <f t="shared" si="14"/>
        <v/>
      </c>
      <c r="J71" s="193"/>
      <c r="K71" s="193"/>
      <c r="L71" s="193"/>
      <c r="M71" s="193"/>
      <c r="N71" s="193"/>
      <c r="O71" s="193"/>
      <c r="P71" s="193"/>
      <c r="Q71" s="193"/>
      <c r="R71" s="193"/>
      <c r="S71" s="225"/>
      <c r="T71" s="196"/>
      <c r="U71" s="197"/>
      <c r="V71" s="197"/>
      <c r="W71" s="197"/>
      <c r="X71" s="197"/>
      <c r="Y71" s="198"/>
      <c r="Z71" s="197"/>
      <c r="AA71" s="197"/>
      <c r="AB71" s="52"/>
      <c r="AD71" s="33">
        <f t="shared" si="10"/>
        <v>0</v>
      </c>
    </row>
    <row r="72" spans="1:30" ht="14.25" hidden="1" customHeight="1" x14ac:dyDescent="0.25">
      <c r="A72" t="str">
        <f t="shared" si="1"/>
        <v/>
      </c>
      <c r="B72" t="str">
        <f t="shared" si="2"/>
        <v/>
      </c>
      <c r="D72" s="31"/>
      <c r="E72" s="31" t="e">
        <f>VLOOKUP(D72,'MP-CF (WP)'!$B$4:$Z$60,2,FALSE)</f>
        <v>#N/A</v>
      </c>
      <c r="F72" s="199"/>
      <c r="G72" s="199"/>
      <c r="H72" s="199"/>
      <c r="I72" s="196" t="str">
        <f>IFERROR(AVERAGE(G72:H72),"")</f>
        <v/>
      </c>
      <c r="J72" s="196"/>
      <c r="K72" s="196"/>
      <c r="L72" s="196"/>
      <c r="M72" s="196"/>
      <c r="N72" s="196"/>
      <c r="O72" s="193"/>
      <c r="P72" s="193"/>
      <c r="Q72" s="193"/>
      <c r="R72" s="193"/>
      <c r="S72" s="225"/>
      <c r="T72" s="196" t="str">
        <f t="shared" si="11"/>
        <v/>
      </c>
      <c r="U72" s="197" t="str">
        <f t="shared" si="3"/>
        <v/>
      </c>
      <c r="V72" s="197" t="str">
        <f t="shared" si="4"/>
        <v/>
      </c>
      <c r="W72" s="197" t="str">
        <f t="shared" si="5"/>
        <v/>
      </c>
      <c r="X72" s="197" t="str">
        <f t="shared" si="6"/>
        <v/>
      </c>
      <c r="Y72" s="198" t="str">
        <f t="shared" si="7"/>
        <v/>
      </c>
      <c r="Z72" s="197" t="str">
        <f t="shared" si="15"/>
        <v/>
      </c>
      <c r="AA72" s="197" t="str">
        <f t="shared" si="9"/>
        <v/>
      </c>
      <c r="AB72" s="52"/>
      <c r="AD72" s="33">
        <f t="shared" si="10"/>
        <v>0</v>
      </c>
    </row>
    <row r="73" spans="1:30" ht="14.25" hidden="1" customHeight="1" x14ac:dyDescent="0.25">
      <c r="A73" t="str">
        <f t="shared" si="1"/>
        <v/>
      </c>
      <c r="B73" t="str">
        <f t="shared" si="2"/>
        <v/>
      </c>
      <c r="D73" s="31"/>
      <c r="E73" s="31" t="e">
        <f>VLOOKUP(D73,'MP-CF (WP)'!$B$4:$Z$60,2,FALSE)</f>
        <v>#N/A</v>
      </c>
      <c r="F73" s="199"/>
      <c r="G73" s="199"/>
      <c r="H73" s="199"/>
      <c r="I73" s="196" t="str">
        <f>IFERROR(AVERAGE(G73:H73),"")</f>
        <v/>
      </c>
      <c r="J73" s="196"/>
      <c r="K73" s="196"/>
      <c r="L73" s="196"/>
      <c r="M73" s="196"/>
      <c r="N73" s="196"/>
      <c r="O73" s="193"/>
      <c r="P73" s="193"/>
      <c r="Q73" s="193"/>
      <c r="R73" s="193"/>
      <c r="S73" s="225"/>
      <c r="T73" s="196" t="str">
        <f t="shared" si="11"/>
        <v/>
      </c>
      <c r="U73" s="197" t="str">
        <f t="shared" si="3"/>
        <v/>
      </c>
      <c r="V73" s="197" t="str">
        <f t="shared" si="4"/>
        <v/>
      </c>
      <c r="W73" s="197" t="str">
        <f t="shared" si="5"/>
        <v/>
      </c>
      <c r="X73" s="197" t="str">
        <f t="shared" si="6"/>
        <v/>
      </c>
      <c r="Y73" s="198" t="str">
        <f t="shared" si="7"/>
        <v/>
      </c>
      <c r="Z73" s="197" t="str">
        <f t="shared" si="15"/>
        <v/>
      </c>
      <c r="AA73" s="197" t="str">
        <f t="shared" si="9"/>
        <v/>
      </c>
      <c r="AB73" s="52"/>
      <c r="AD73" s="33">
        <f t="shared" si="10"/>
        <v>0</v>
      </c>
    </row>
    <row r="74" spans="1:30" ht="14.25" hidden="1" customHeight="1" x14ac:dyDescent="0.25">
      <c r="D74" s="31"/>
      <c r="E74" s="31"/>
      <c r="F74" s="199"/>
      <c r="G74" s="199"/>
      <c r="H74" s="199"/>
      <c r="I74" s="196"/>
      <c r="J74" s="196"/>
      <c r="K74" s="196"/>
      <c r="L74" s="196"/>
      <c r="M74" s="196"/>
      <c r="N74" s="196"/>
      <c r="O74" s="193"/>
      <c r="P74" s="193"/>
      <c r="Q74" s="193"/>
      <c r="R74" s="193"/>
      <c r="S74" s="225"/>
      <c r="T74" s="196" t="str">
        <f t="shared" si="11"/>
        <v/>
      </c>
      <c r="U74" s="197" t="str">
        <f>IFERROR(I74/N74,"")</f>
        <v/>
      </c>
      <c r="V74" s="31"/>
      <c r="W74" s="229"/>
      <c r="X74" s="31"/>
      <c r="Y74" s="31"/>
      <c r="Z74" s="197" t="str">
        <f t="shared" si="15"/>
        <v/>
      </c>
      <c r="AA74" s="197" t="str">
        <f t="shared" si="9"/>
        <v/>
      </c>
      <c r="AB74" s="52"/>
      <c r="AD74" s="33"/>
    </row>
    <row r="75" spans="1:30" hidden="1" x14ac:dyDescent="0.25">
      <c r="D75" s="31"/>
      <c r="E75" s="31"/>
      <c r="F75" s="199"/>
      <c r="G75" s="199"/>
      <c r="H75" s="199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229"/>
      <c r="X75" s="31"/>
      <c r="Y75" s="31"/>
      <c r="Z75" s="31"/>
      <c r="AA75" s="31"/>
    </row>
    <row r="76" spans="1:30" x14ac:dyDescent="0.25"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</row>
    <row r="77" spans="1:30" x14ac:dyDescent="0.25">
      <c r="C77" t="s">
        <v>339</v>
      </c>
      <c r="D77" s="31">
        <f>COUNTIFS($AD$9:$AD$73,"&gt;0")</f>
        <v>53</v>
      </c>
      <c r="E77" s="31" t="s">
        <v>340</v>
      </c>
      <c r="F77" s="230">
        <f>IFERROR(AVERAGEIFS(F$9:F$76,$AD$9:$AD$76,"&gt;0"),"N/A")</f>
        <v>22.105882352941169</v>
      </c>
      <c r="G77" s="230">
        <f>IFERROR(AVERAGEIFS(G$9:G$76,$AD$9:$AD$76,"&gt;0"),"N/A")</f>
        <v>79.49433962264149</v>
      </c>
      <c r="H77" s="230">
        <f>IFERROR(AVERAGEIFS(H$9:H$76,$AD$9:$AD$76,"&gt;0"),"N/A")</f>
        <v>46.656603773584891</v>
      </c>
      <c r="I77" s="196">
        <f>IFERROR(AVERAGE(G77:H77),"N/A")</f>
        <v>63.075471698113191</v>
      </c>
      <c r="J77" s="230">
        <f t="shared" ref="J77:R77" si="16">IFERROR(AVERAGEIFS(J$9:J$76,$AD$9:$AD$76,"&gt;0"),"N/A")</f>
        <v>6.5837735849056633</v>
      </c>
      <c r="K77" s="230">
        <f t="shared" si="16"/>
        <v>2.9616981132075475</v>
      </c>
      <c r="L77" s="230">
        <f t="shared" si="16"/>
        <v>2.0130188679245289</v>
      </c>
      <c r="M77" s="230">
        <f t="shared" si="16"/>
        <v>8.7492452830188672</v>
      </c>
      <c r="N77" s="230">
        <f t="shared" si="16"/>
        <v>33.223773584905651</v>
      </c>
      <c r="O77" s="230">
        <f t="shared" si="16"/>
        <v>7.0630188679245309</v>
      </c>
      <c r="P77" s="230">
        <f t="shared" si="16"/>
        <v>8.8932075471698102</v>
      </c>
      <c r="Q77" s="230">
        <f t="shared" si="16"/>
        <v>8.780188679245283</v>
      </c>
      <c r="R77" s="230">
        <f t="shared" si="16"/>
        <v>8.8358490566037755</v>
      </c>
      <c r="S77" s="196"/>
      <c r="T77" s="230">
        <f>IFERROR(AVERAGEIFS(T$9:T$76,$AD$9:$AD$76,"&gt;0"),"N/A")</f>
        <v>10.969457291914543</v>
      </c>
      <c r="U77" s="230">
        <f>IFERROR(AVERAGEIFS(U$9:U$76,$AD$9:$AD$76,"&gt;0"),"N/A")</f>
        <v>2.1848121231869833</v>
      </c>
      <c r="V77" s="230">
        <f>IFERROR(AVERAGEIFS(V$9:V$76,$AD$9:$AD$76,"&gt;0"),"N/A")</f>
        <v>6.3433252966469136E-2</v>
      </c>
      <c r="W77" s="230">
        <f>IFERROR(AVERAGEIFS(W$9:W$76,$AD$9:$AD$76,"&gt;0"),"N/A")</f>
        <v>0.72510953519519994</v>
      </c>
      <c r="X77" s="230">
        <f>IFERROR(AVERAGEIFS(X$9:X$76,$AD$9:$AD$76,"&gt;0"),"N/A")</f>
        <v>0.7952117968839838</v>
      </c>
      <c r="Y77" s="230"/>
      <c r="Z77" s="230"/>
      <c r="AA77" s="230"/>
      <c r="AB77" s="80"/>
    </row>
    <row r="78" spans="1:30" x14ac:dyDescent="0.25">
      <c r="C78" t="s">
        <v>339</v>
      </c>
      <c r="D78">
        <f>COUNTIFS($AD$9:$AD$73,"&gt;0",$C$9:$C$73,E78)</f>
        <v>14</v>
      </c>
      <c r="E78" t="s">
        <v>342</v>
      </c>
      <c r="F78" s="80">
        <f t="shared" ref="F78:H80" si="17">IFERROR(AVERAGEIFS(F$9:F$73,$AD$9:$AD$73,"&gt;0",$C$9:$C$73,$E78),"N/A")</f>
        <v>20.014285714285712</v>
      </c>
      <c r="G78" s="80">
        <f t="shared" si="17"/>
        <v>81.257142857142853</v>
      </c>
      <c r="H78" s="80">
        <f t="shared" si="17"/>
        <v>47.607142857142854</v>
      </c>
      <c r="I78" s="2">
        <f t="shared" ref="I78:I84" si="18">IFERROR(AVERAGE(G78:H78),"N/A")</f>
        <v>64.43214285714285</v>
      </c>
      <c r="J78" s="80">
        <f t="shared" ref="J78:R80" si="19">IFERROR(AVERAGEIFS(J$9:J$73,$AD$9:$AD$73,"&gt;0",$C$9:$C$73,$E78),"N/A")</f>
        <v>7.5771428571428583</v>
      </c>
      <c r="K78" s="80">
        <f t="shared" si="19"/>
        <v>3.4128571428571424</v>
      </c>
      <c r="L78" s="80">
        <f t="shared" si="19"/>
        <v>2.1628571428571428</v>
      </c>
      <c r="M78" s="80">
        <f t="shared" si="19"/>
        <v>10.176428571428572</v>
      </c>
      <c r="N78" s="80">
        <f t="shared" si="19"/>
        <v>33.366428571428571</v>
      </c>
      <c r="O78" s="80">
        <f t="shared" si="19"/>
        <v>7.85</v>
      </c>
      <c r="P78" s="80">
        <f t="shared" si="19"/>
        <v>9.735714285714284</v>
      </c>
      <c r="Q78" s="80">
        <f t="shared" si="19"/>
        <v>9.8142857142857149</v>
      </c>
      <c r="R78" s="80">
        <f t="shared" si="19"/>
        <v>8.6285714285714281</v>
      </c>
      <c r="S78" s="2"/>
      <c r="T78" s="80">
        <f t="shared" ref="T78:X80" si="20">IFERROR(AVERAGEIFS(T$9:T$73,$AD$9:$AD$73,"&gt;0",$C$9:$C$73,$E78),"N/A")</f>
        <v>9.0460178362501225</v>
      </c>
      <c r="U78" s="80">
        <f t="shared" si="20"/>
        <v>2.009013564894722</v>
      </c>
      <c r="V78" s="80">
        <f t="shared" si="20"/>
        <v>6.737541786851528E-2</v>
      </c>
      <c r="W78" s="80">
        <f t="shared" si="20"/>
        <v>0.65245788457149145</v>
      </c>
      <c r="X78" s="80">
        <f t="shared" si="20"/>
        <v>0.79355733941727047</v>
      </c>
      <c r="Y78" s="80"/>
      <c r="Z78" s="80"/>
      <c r="AA78" s="80"/>
      <c r="AB78" s="80"/>
    </row>
    <row r="79" spans="1:30" x14ac:dyDescent="0.25">
      <c r="C79" t="s">
        <v>339</v>
      </c>
      <c r="D79">
        <f>COUNTIFS($AD$9:$AD$73,"&gt;0",$C$9:$C$73,E79)</f>
        <v>11</v>
      </c>
      <c r="E79" t="s">
        <v>268</v>
      </c>
      <c r="F79" s="80">
        <f t="shared" si="17"/>
        <v>20.620000000000005</v>
      </c>
      <c r="G79" s="80">
        <f t="shared" si="17"/>
        <v>73.8</v>
      </c>
      <c r="H79" s="80">
        <f t="shared" si="17"/>
        <v>42.636363636363633</v>
      </c>
      <c r="I79" s="2">
        <f t="shared" si="18"/>
        <v>58.218181818181819</v>
      </c>
      <c r="J79" s="80">
        <f t="shared" si="19"/>
        <v>6.5927272727272737</v>
      </c>
      <c r="K79" s="80">
        <f t="shared" si="19"/>
        <v>2.7781818181818183</v>
      </c>
      <c r="L79" s="80">
        <f t="shared" si="19"/>
        <v>2.2736363636363635</v>
      </c>
      <c r="M79" s="80">
        <f t="shared" si="19"/>
        <v>7.91</v>
      </c>
      <c r="N79" s="80">
        <f t="shared" si="19"/>
        <v>34.109090909090902</v>
      </c>
      <c r="O79" s="80">
        <f t="shared" si="19"/>
        <v>7.3636363636363633</v>
      </c>
      <c r="P79" s="80">
        <f t="shared" si="19"/>
        <v>8.2363636363636363</v>
      </c>
      <c r="Q79" s="80">
        <f t="shared" si="19"/>
        <v>8.8409090909090917</v>
      </c>
      <c r="R79" s="80">
        <f t="shared" si="19"/>
        <v>8.795454545454545</v>
      </c>
      <c r="S79" s="2"/>
      <c r="T79" s="80">
        <f t="shared" si="20"/>
        <v>12.814070758593965</v>
      </c>
      <c r="U79" s="80">
        <f t="shared" si="20"/>
        <v>2.7404124406049437</v>
      </c>
      <c r="V79" s="80">
        <f t="shared" si="20"/>
        <v>7.4481836660404838E-2</v>
      </c>
      <c r="W79" s="80">
        <f t="shared" si="20"/>
        <v>0.85990204167223228</v>
      </c>
      <c r="X79" s="80">
        <f t="shared" si="20"/>
        <v>0.84503950684653695</v>
      </c>
      <c r="Y79" s="80"/>
      <c r="Z79" s="80"/>
      <c r="AA79" s="80"/>
      <c r="AB79" s="80"/>
    </row>
    <row r="80" spans="1:30" x14ac:dyDescent="0.25">
      <c r="C80" t="s">
        <v>339</v>
      </c>
      <c r="D80">
        <f>COUNTIFS($AD$9:$AD$73,"&gt;0",$C$9:$C$73,E80)</f>
        <v>12</v>
      </c>
      <c r="E80" t="s">
        <v>269</v>
      </c>
      <c r="F80" s="80">
        <f t="shared" si="17"/>
        <v>22.941666666666666</v>
      </c>
      <c r="G80" s="80">
        <f t="shared" si="17"/>
        <v>83.441666666666663</v>
      </c>
      <c r="H80" s="80">
        <f t="shared" si="17"/>
        <v>48.775000000000006</v>
      </c>
      <c r="I80" s="2">
        <f t="shared" si="18"/>
        <v>66.108333333333334</v>
      </c>
      <c r="J80" s="80">
        <f t="shared" si="19"/>
        <v>7.3508333333333331</v>
      </c>
      <c r="K80" s="80">
        <f t="shared" si="19"/>
        <v>3.0849999999999995</v>
      </c>
      <c r="L80" s="80">
        <f t="shared" si="19"/>
        <v>2.1999999999999997</v>
      </c>
      <c r="M80" s="80">
        <f t="shared" si="19"/>
        <v>9.3525000000000009</v>
      </c>
      <c r="N80" s="80">
        <f t="shared" si="19"/>
        <v>37.684999999999995</v>
      </c>
      <c r="O80" s="80">
        <f t="shared" si="19"/>
        <v>8.0166666666666657</v>
      </c>
      <c r="P80" s="80">
        <f t="shared" si="19"/>
        <v>9.7041666666666675</v>
      </c>
      <c r="Q80" s="80">
        <f t="shared" si="19"/>
        <v>9.8541666666666661</v>
      </c>
      <c r="R80" s="80">
        <f t="shared" si="19"/>
        <v>8.8416666666666668</v>
      </c>
      <c r="S80" s="2"/>
      <c r="T80" s="80">
        <f t="shared" si="20"/>
        <v>8.9727206161900828</v>
      </c>
      <c r="U80" s="80">
        <f t="shared" si="20"/>
        <v>1.7739373957217641</v>
      </c>
      <c r="V80" s="80">
        <f t="shared" si="20"/>
        <v>5.8132522684708893E-2</v>
      </c>
      <c r="W80" s="80">
        <f t="shared" si="20"/>
        <v>0.77156316549985948</v>
      </c>
      <c r="X80" s="80">
        <f t="shared" si="20"/>
        <v>0.84475963887758299</v>
      </c>
      <c r="Y80" s="80"/>
      <c r="Z80" s="80"/>
      <c r="AA80" s="80"/>
      <c r="AB80" s="80"/>
    </row>
    <row r="81" spans="2:28" x14ac:dyDescent="0.25">
      <c r="C81" t="s">
        <v>339</v>
      </c>
      <c r="D81">
        <f>COUNTIFS($AD$9:$AD$73,"&gt;0",$B$9:$B$73,LEFT(E81,1))</f>
        <v>37</v>
      </c>
      <c r="E81" t="s">
        <v>344</v>
      </c>
      <c r="F81" s="80">
        <f t="shared" ref="F81:H82" si="21">IFERROR(AVERAGEIFS(F$9:F$73,$AD$9:$AD$73,"&gt;0",$B$9:$B$73,LEFT($E81,1)),"N/A")</f>
        <v>21.158333333333335</v>
      </c>
      <c r="G81" s="80">
        <f t="shared" si="21"/>
        <v>79.74864864864864</v>
      </c>
      <c r="H81" s="80">
        <f t="shared" si="21"/>
        <v>46.508108108108104</v>
      </c>
      <c r="I81" s="2">
        <f t="shared" si="18"/>
        <v>63.128378378378372</v>
      </c>
      <c r="J81" s="80">
        <f t="shared" ref="J81:R82" si="22">IFERROR(AVERAGEIFS(J$9:J$73,$AD$9:$AD$73,"&gt;0",$B$9:$B$73,LEFT($E81,1)),"N/A")</f>
        <v>7.2110810810810824</v>
      </c>
      <c r="K81" s="80">
        <f t="shared" si="22"/>
        <v>3.1178378378378384</v>
      </c>
      <c r="L81" s="80">
        <f t="shared" si="22"/>
        <v>2.2078378378378378</v>
      </c>
      <c r="M81" s="80">
        <f t="shared" si="22"/>
        <v>9.2354054054054071</v>
      </c>
      <c r="N81" s="80">
        <f t="shared" si="22"/>
        <v>34.98783783783783</v>
      </c>
      <c r="O81" s="80">
        <f t="shared" si="22"/>
        <v>7.7594594594594604</v>
      </c>
      <c r="P81" s="80">
        <f t="shared" si="22"/>
        <v>9.2797297297297305</v>
      </c>
      <c r="Q81" s="80">
        <f t="shared" si="22"/>
        <v>9.5378378378378379</v>
      </c>
      <c r="R81" s="80">
        <f t="shared" si="22"/>
        <v>8.7472972972972975</v>
      </c>
      <c r="T81" s="80">
        <f t="shared" ref="T81:X82" si="23">IFERROR(AVERAGEIFS(T$9:T$73,$AD$9:$AD$73,"&gt;0",$B$9:$B$73,LEFT($E81,1)),"N/A")</f>
        <v>10.142477714765306</v>
      </c>
      <c r="U81" s="80">
        <f t="shared" si="23"/>
        <v>2.1502155541578833</v>
      </c>
      <c r="V81" s="80">
        <f t="shared" si="23"/>
        <v>6.6490441233518216E-2</v>
      </c>
      <c r="W81" s="80">
        <f t="shared" si="23"/>
        <v>0.75275921157820924</v>
      </c>
      <c r="X81" s="80">
        <f t="shared" si="23"/>
        <v>0.82546899982931587</v>
      </c>
      <c r="Y81" s="80"/>
      <c r="Z81" s="80"/>
      <c r="AA81" s="80"/>
      <c r="AB81" s="80"/>
    </row>
    <row r="82" spans="2:28" x14ac:dyDescent="0.25">
      <c r="C82" t="s">
        <v>339</v>
      </c>
      <c r="D82">
        <f>COUNTIFS($AD$9:$AD$73,"&gt;0",$B$9:$B$73,LEFT(E82,1))</f>
        <v>10</v>
      </c>
      <c r="E82" t="s">
        <v>271</v>
      </c>
      <c r="F82" s="80">
        <f t="shared" si="21"/>
        <v>19.533333333333335</v>
      </c>
      <c r="G82" s="80">
        <f t="shared" si="21"/>
        <v>73.03</v>
      </c>
      <c r="H82" s="80">
        <f t="shared" si="21"/>
        <v>43.04</v>
      </c>
      <c r="I82" s="2">
        <f t="shared" si="18"/>
        <v>58.034999999999997</v>
      </c>
      <c r="J82" s="80">
        <f t="shared" si="22"/>
        <v>5.6929999999999996</v>
      </c>
      <c r="K82" s="80">
        <f t="shared" si="22"/>
        <v>2.7960000000000003</v>
      </c>
      <c r="L82" s="80">
        <f t="shared" si="22"/>
        <v>1.7429999999999999</v>
      </c>
      <c r="M82" s="80">
        <f t="shared" si="22"/>
        <v>8.5590000000000011</v>
      </c>
      <c r="N82" s="80">
        <f t="shared" si="22"/>
        <v>32.402000000000001</v>
      </c>
      <c r="O82" s="80">
        <f t="shared" si="22"/>
        <v>6.23</v>
      </c>
      <c r="P82" s="80">
        <f t="shared" si="22"/>
        <v>8.9600000000000009</v>
      </c>
      <c r="Q82" s="80">
        <f t="shared" si="22"/>
        <v>8.120000000000001</v>
      </c>
      <c r="R82" s="80">
        <f t="shared" si="22"/>
        <v>10.525</v>
      </c>
      <c r="T82" s="80">
        <f t="shared" si="23"/>
        <v>10.127262298066615</v>
      </c>
      <c r="U82" s="80">
        <f t="shared" si="23"/>
        <v>1.7962996185629674</v>
      </c>
      <c r="V82" s="80">
        <f t="shared" si="23"/>
        <v>5.7817402560580503E-2</v>
      </c>
      <c r="W82" s="80">
        <f t="shared" si="23"/>
        <v>0.71067476199190316</v>
      </c>
      <c r="X82" s="80">
        <f t="shared" si="23"/>
        <v>0.73898205065276401</v>
      </c>
      <c r="Y82" s="80"/>
      <c r="Z82" s="80"/>
      <c r="AA82" s="80"/>
      <c r="AB82" s="80"/>
    </row>
    <row r="83" spans="2:28" x14ac:dyDescent="0.25">
      <c r="C83" t="s">
        <v>339</v>
      </c>
      <c r="D83" s="79">
        <f>COUNTIFS($AD$9:$AD$73,"&gt;0",$A$9:$A$73,1)</f>
        <v>46</v>
      </c>
      <c r="E83" t="s">
        <v>341</v>
      </c>
      <c r="F83" s="80">
        <f>IFERROR(AVERAGEIFS(F$9:F$73,$AD$9:$AD$73,"&gt;0",$A$9:$A$73,1),"N/A")</f>
        <v>20.540909090909093</v>
      </c>
      <c r="G83" s="80">
        <f>IFERROR(AVERAGEIFS(G$9:G$73,$AD$9:$AD$73,"&gt;0",$A$9:$A$73,1),"N/A")</f>
        <v>78.5</v>
      </c>
      <c r="H83" s="80">
        <f>IFERROR(AVERAGEIFS(H$9:H$73,$AD$9:$AD$73,"&gt;0",$A$9:$A$73,1),"N/A")</f>
        <v>45.423913043478251</v>
      </c>
      <c r="I83" s="2">
        <f t="shared" si="18"/>
        <v>61.961956521739125</v>
      </c>
      <c r="J83" s="80">
        <f t="shared" ref="J83:R83" si="24">IFERROR(AVERAGEIFS(J$9:J$73,$AD$9:$AD$73,"&gt;0",$A$9:$A$73,1),"N/A")</f>
        <v>6.9084782608695692</v>
      </c>
      <c r="K83" s="80">
        <f t="shared" si="24"/>
        <v>3.0721739130434789</v>
      </c>
      <c r="L83" s="80">
        <f t="shared" si="24"/>
        <v>2.1195652173913042</v>
      </c>
      <c r="M83" s="80">
        <f t="shared" si="24"/>
        <v>9.1326086956521753</v>
      </c>
      <c r="N83" s="80">
        <f t="shared" si="24"/>
        <v>34.500434782608693</v>
      </c>
      <c r="O83" s="80">
        <f t="shared" si="24"/>
        <v>7.4489130434782629</v>
      </c>
      <c r="P83" s="80">
        <f t="shared" si="24"/>
        <v>9.2347826086956513</v>
      </c>
      <c r="Q83" s="80">
        <f t="shared" si="24"/>
        <v>9.2739130434782613</v>
      </c>
      <c r="R83" s="80">
        <f t="shared" si="24"/>
        <v>9.1336956521739143</v>
      </c>
      <c r="T83" s="80">
        <f>IFERROR(AVERAGEIFS(T$9:T$73,$AD$9:$AD$73,"&gt;0",$A$9:$A$73,1),"N/A")</f>
        <v>10.119066772526656</v>
      </c>
      <c r="U83" s="120">
        <f>IFERROR(AVERAGEIFS(U$9:U$73,$AD$9:$AD$73,"&gt;0",$A$9:$A$73,1),"N/A")</f>
        <v>2.0746480099240827</v>
      </c>
      <c r="V83" s="80">
        <f>IFERROR(AVERAGEIFS(V$9:V$73,$AD$9:$AD$73,"&gt;0",$A$9:$A$73,1),"N/A")</f>
        <v>6.4934201806525621E-2</v>
      </c>
      <c r="W83" s="80">
        <f>IFERROR(AVERAGEIFS(W$9:W$73,$AD$9:$AD$73,"&gt;0",$A$9:$A$73,1),"N/A")</f>
        <v>0.74236605322419091</v>
      </c>
      <c r="X83" s="80">
        <f>IFERROR(AVERAGEIFS(X$9:X$73,$AD$9:$AD$73,"&gt;0",$A$9:$A$73,1),"N/A")</f>
        <v>0.80664749155050952</v>
      </c>
      <c r="Y83" s="80"/>
      <c r="Z83" s="80"/>
      <c r="AA83" s="80"/>
      <c r="AB83" s="80"/>
    </row>
    <row r="84" spans="2:28" x14ac:dyDescent="0.25">
      <c r="C84" t="s">
        <v>339</v>
      </c>
      <c r="D84">
        <f>COUNTIFS($AD$9:$AD$73,"&gt;0",$B$9:$B$73,LEFT(E84,1))</f>
        <v>6</v>
      </c>
      <c r="E84" t="s">
        <v>270</v>
      </c>
      <c r="F84" s="80">
        <f>IFERROR(AVERAGEIFS(F$9:F$73,$AD$9:$AD$73,"&gt;0",$B$9:$B$73,LEFT($E84,1)),"N/A")</f>
        <v>31.650000000000002</v>
      </c>
      <c r="G84" s="80">
        <f>IFERROR(AVERAGEIFS(G$9:G$73,$AD$9:$AD$73,"&gt;0",$B$9:$B$73,LEFT($E84,1)),"N/A")</f>
        <v>88.699999999999989</v>
      </c>
      <c r="H84" s="80">
        <f>IFERROR(AVERAGEIFS(H$9:H$73,$AD$9:$AD$73,"&gt;0",$B$9:$B$73,LEFT($E84,1)),"N/A")</f>
        <v>53.6</v>
      </c>
      <c r="I84" s="2">
        <f t="shared" si="18"/>
        <v>71.149999999999991</v>
      </c>
      <c r="J84" s="80">
        <f t="shared" ref="J84:R84" si="25">IFERROR(AVERAGEIFS(J$9:J$73,$AD$9:$AD$73,"&gt;0",$B$9:$B$73,LEFT($E84,1)),"N/A")</f>
        <v>4.2</v>
      </c>
      <c r="K84" s="80">
        <f t="shared" si="25"/>
        <v>2.2749999999999999</v>
      </c>
      <c r="L84" s="80">
        <f t="shared" si="25"/>
        <v>1.2616666666666665</v>
      </c>
      <c r="M84" s="80">
        <f t="shared" si="25"/>
        <v>6.0683333333333325</v>
      </c>
      <c r="N84" s="80">
        <f t="shared" si="25"/>
        <v>23.715</v>
      </c>
      <c r="O84" s="80">
        <f t="shared" si="25"/>
        <v>4.1566666666666663</v>
      </c>
      <c r="P84" s="80">
        <f t="shared" si="25"/>
        <v>6.3983333333333334</v>
      </c>
      <c r="Q84" s="80">
        <f t="shared" si="25"/>
        <v>5.208333333333333</v>
      </c>
      <c r="R84" s="80">
        <f t="shared" si="25"/>
        <v>6.5666666666666664</v>
      </c>
      <c r="T84" s="80">
        <f>IFERROR(AVERAGEIFS(T$9:T$73,$AD$9:$AD$73,"&gt;0",$B$9:$B$73,LEFT($E84,1)),"N/A")</f>
        <v>17.472823007414693</v>
      </c>
      <c r="U84" s="80">
        <f>IFERROR(AVERAGEIFS(U$9:U$73,$AD$9:$AD$73,"&gt;0",$B$9:$B$73,LEFT($E84,1)),"N/A")</f>
        <v>3.0456784732397963</v>
      </c>
      <c r="V84" s="80">
        <f>IFERROR(AVERAGEIFS(V$9:V$73,$AD$9:$AD$73,"&gt;0",$B$9:$B$73,LEFT($E84,1)),"N/A")</f>
        <v>5.3940342662814215E-2</v>
      </c>
      <c r="W84" s="80">
        <f>IFERROR(AVERAGEIFS(W$9:W$73,$AD$9:$AD$73,"&gt;0",$B$9:$B$73,LEFT($E84,1)),"N/A")</f>
        <v>0.5786611528387996</v>
      </c>
      <c r="X84" s="80">
        <f>IFERROR(AVERAGEIFS(X$9:X$73,$AD$9:$AD$73,"&gt;0",$B$9:$B$73,LEFT($E84,1)),"N/A")</f>
        <v>0.70234195577313552</v>
      </c>
      <c r="Y84" s="80"/>
      <c r="Z84" s="80"/>
      <c r="AA84" s="80"/>
      <c r="AB84" s="80"/>
    </row>
    <row r="88" spans="2:28" x14ac:dyDescent="0.25">
      <c r="B88" s="68" t="s">
        <v>108</v>
      </c>
      <c r="C88" t="s">
        <v>407</v>
      </c>
    </row>
  </sheetData>
  <autoFilter ref="A8:AK74">
    <filterColumn colId="2">
      <filters>
        <filter val="Electric Util. (Central)"/>
        <filter val="Electric Utility (East)"/>
        <filter val="Electric Utility (West)"/>
      </filters>
    </filterColumn>
  </autoFilter>
  <mergeCells count="1">
    <mergeCell ref="G5:I5"/>
  </mergeCells>
  <pageMargins left="0.3" right="0.3" top="0.45" bottom="0.54" header="0.3" footer="0.3"/>
  <pageSetup scale="56" fitToHeight="0" orientation="landscape" r:id="rId1"/>
  <headerFooter>
    <oddFooter>&amp;L&amp;F&amp;R&amp;A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 filterMode="1">
    <pageSetUpPr fitToPage="1"/>
  </sheetPr>
  <dimension ref="A1:AK88"/>
  <sheetViews>
    <sheetView zoomScaleNormal="100" workbookViewId="0">
      <selection activeCell="X36" sqref="A1:AK88"/>
    </sheetView>
  </sheetViews>
  <sheetFormatPr defaultRowHeight="13.8" x14ac:dyDescent="0.25"/>
  <cols>
    <col min="1" max="2" width="3.09765625" customWidth="1"/>
    <col min="3" max="3" width="17.69921875" bestFit="1" customWidth="1"/>
    <col min="4" max="4" width="9.19921875" bestFit="1" customWidth="1"/>
    <col min="5" max="5" width="19.3984375" customWidth="1"/>
    <col min="6" max="6" width="9.69921875" customWidth="1"/>
    <col min="7" max="7" width="6.3984375" customWidth="1"/>
    <col min="8" max="8" width="7.5" bestFit="1" customWidth="1"/>
    <col min="9" max="9" width="8.69921875" hidden="1" customWidth="1"/>
    <col min="10" max="10" width="7.59765625" customWidth="1"/>
    <col min="11" max="11" width="9.69921875" customWidth="1"/>
    <col min="12" max="12" width="10.09765625" customWidth="1"/>
    <col min="13" max="13" width="10.5" customWidth="1"/>
    <col min="14" max="18" width="8.5" customWidth="1"/>
    <col min="19" max="19" width="10.09765625" customWidth="1"/>
    <col min="20" max="22" width="8.3984375" bestFit="1" customWidth="1"/>
    <col min="23" max="23" width="9" bestFit="1" customWidth="1"/>
    <col min="24" max="28" width="9.19921875" customWidth="1"/>
  </cols>
  <sheetData>
    <row r="1" spans="1:37" x14ac:dyDescent="0.25">
      <c r="C1" t="s">
        <v>351</v>
      </c>
      <c r="D1" s="87" t="s">
        <v>478</v>
      </c>
      <c r="T1" s="2"/>
    </row>
    <row r="2" spans="1:37" x14ac:dyDescent="0.25">
      <c r="C2" t="s">
        <v>352</v>
      </c>
      <c r="D2" s="204" t="s">
        <v>479</v>
      </c>
    </row>
    <row r="3" spans="1:37" x14ac:dyDescent="0.25">
      <c r="C3" t="s">
        <v>353</v>
      </c>
      <c r="D3" s="205" t="s">
        <v>477</v>
      </c>
    </row>
    <row r="4" spans="1:37" x14ac:dyDescent="0.25">
      <c r="F4" s="49" t="s">
        <v>115</v>
      </c>
      <c r="G4" s="49"/>
      <c r="H4" s="49"/>
      <c r="I4" s="49"/>
    </row>
    <row r="5" spans="1:37" ht="69" x14ac:dyDescent="0.25">
      <c r="C5" s="47" t="s">
        <v>267</v>
      </c>
      <c r="F5" s="25">
        <v>2019</v>
      </c>
      <c r="G5" s="281" t="str">
        <f>F5&amp;" Stock Price"</f>
        <v>2019 Stock Price</v>
      </c>
      <c r="H5" s="281"/>
      <c r="I5" s="281"/>
      <c r="J5" s="47" t="str">
        <f>$F$5&amp;CHAR(10)&amp;"Cash Flow"&amp;CHAR(10)&amp;"/Share"</f>
        <v>2019
Cash Flow
/Share</v>
      </c>
      <c r="K5" s="47" t="str">
        <f>$F$5&amp;CHAR(10)&amp;"Earnings"&amp;CHAR(10)&amp;"/Share"</f>
        <v>2019
Earnings
/Share</v>
      </c>
      <c r="L5" s="47" t="str">
        <f>$F$5&amp;CHAR(10)&amp;"Div'd Decl'd"&amp;CHAR(10)&amp;"/Share"</f>
        <v>2019
Div'd Decl'd
/Share</v>
      </c>
      <c r="M5" s="47" t="str">
        <f>$F$5&amp;CHAR(10)&amp;"Cap'l Spending"&amp;CHAR(10)&amp;"/Share"</f>
        <v>2019
Cap'l Spending
/Share</v>
      </c>
      <c r="N5" s="47" t="str">
        <f>$F$5&amp;CHAR(10)&amp;"Book Value"&amp;CHAR(10)&amp;"/Share"</f>
        <v>2019
Book Value
/Share</v>
      </c>
      <c r="O5" s="47" t="str">
        <f>($F$5+1)&amp;CHAR(10)&amp;"Cash Flow"&amp;CHAR(10)&amp;"/Share"</f>
        <v>2020
Cash Flow
/Share</v>
      </c>
      <c r="P5" s="47" t="str">
        <f>($F$5+1)&amp;CHAR(10)&amp;"Cap'l Spending"&amp;CHAR(10)&amp;"/Share"</f>
        <v>2020
Cap'l Spending
/Share</v>
      </c>
      <c r="Q5" s="47" t="s">
        <v>441</v>
      </c>
      <c r="R5" s="47" t="s">
        <v>442</v>
      </c>
      <c r="S5" s="72" t="s">
        <v>323</v>
      </c>
      <c r="T5" s="25">
        <f>F5</f>
        <v>2019</v>
      </c>
      <c r="U5" s="25">
        <f>$F$5</f>
        <v>2019</v>
      </c>
      <c r="V5" s="25">
        <f>$F$5</f>
        <v>2019</v>
      </c>
      <c r="W5" s="25">
        <f>$F$5</f>
        <v>2019</v>
      </c>
      <c r="X5" s="25">
        <f>$F$5</f>
        <v>2019</v>
      </c>
      <c r="Y5" s="95">
        <f>$F$5</f>
        <v>2019</v>
      </c>
      <c r="Z5" s="169">
        <f>$F$5+1</f>
        <v>2020</v>
      </c>
      <c r="AA5" s="169"/>
      <c r="AB5" s="169"/>
    </row>
    <row r="6" spans="1:37" ht="28.2" thickBot="1" x14ac:dyDescent="0.3">
      <c r="F6" s="24" t="s">
        <v>113</v>
      </c>
      <c r="G6" s="24" t="s">
        <v>110</v>
      </c>
      <c r="H6" s="24" t="s">
        <v>111</v>
      </c>
      <c r="I6" s="24" t="s">
        <v>112</v>
      </c>
      <c r="J6" s="48"/>
      <c r="K6" s="48"/>
      <c r="L6" s="48"/>
      <c r="M6" s="48"/>
      <c r="N6" s="48"/>
      <c r="O6" s="48"/>
      <c r="P6" s="48"/>
      <c r="Q6" s="48"/>
      <c r="R6" s="48"/>
      <c r="S6" s="48"/>
      <c r="T6" s="24" t="s">
        <v>114</v>
      </c>
      <c r="U6" s="24" t="s">
        <v>245</v>
      </c>
      <c r="V6" s="24" t="s">
        <v>349</v>
      </c>
      <c r="W6" s="24" t="s">
        <v>324</v>
      </c>
      <c r="X6" s="83" t="s">
        <v>325</v>
      </c>
      <c r="Y6" s="24" t="s">
        <v>377</v>
      </c>
      <c r="Z6" s="83" t="s">
        <v>325</v>
      </c>
      <c r="AA6" s="83"/>
      <c r="AB6" s="83"/>
      <c r="AD6" s="24" t="s">
        <v>343</v>
      </c>
    </row>
    <row r="7" spans="1:37" ht="15" customHeight="1" x14ac:dyDescent="0.25">
      <c r="F7" s="39" t="s">
        <v>116</v>
      </c>
      <c r="G7" s="39" t="s">
        <v>116</v>
      </c>
      <c r="H7" s="39" t="s">
        <v>116</v>
      </c>
      <c r="J7" s="39" t="s">
        <v>116</v>
      </c>
      <c r="K7" s="39" t="s">
        <v>116</v>
      </c>
      <c r="L7" s="39" t="s">
        <v>116</v>
      </c>
      <c r="M7" s="39" t="s">
        <v>116</v>
      </c>
      <c r="N7" s="39" t="s">
        <v>116</v>
      </c>
      <c r="O7" s="39" t="s">
        <v>116</v>
      </c>
      <c r="P7" s="39" t="s">
        <v>116</v>
      </c>
      <c r="Q7" s="39"/>
      <c r="R7" s="39"/>
      <c r="S7" s="39" t="s">
        <v>116</v>
      </c>
      <c r="W7" s="39"/>
    </row>
    <row r="8" spans="1:37" x14ac:dyDescent="0.25">
      <c r="D8" s="53">
        <v>1</v>
      </c>
      <c r="E8" s="53">
        <v>2</v>
      </c>
      <c r="F8" s="53">
        <v>3</v>
      </c>
      <c r="G8" s="53">
        <v>4</v>
      </c>
      <c r="H8" s="53">
        <v>5</v>
      </c>
      <c r="I8" s="53">
        <v>6</v>
      </c>
      <c r="J8" s="53">
        <v>7</v>
      </c>
      <c r="K8" s="53">
        <v>8</v>
      </c>
      <c r="L8" s="53">
        <v>9</v>
      </c>
      <c r="M8" s="53">
        <v>10</v>
      </c>
      <c r="N8" s="53">
        <v>11</v>
      </c>
      <c r="O8" s="53">
        <v>12</v>
      </c>
      <c r="P8" s="53">
        <v>13</v>
      </c>
      <c r="Q8" s="53">
        <v>14</v>
      </c>
      <c r="R8" s="53">
        <v>15</v>
      </c>
      <c r="S8" s="53">
        <v>16</v>
      </c>
      <c r="T8" s="53">
        <v>17</v>
      </c>
      <c r="U8" s="53">
        <v>18</v>
      </c>
      <c r="V8" s="53">
        <v>19</v>
      </c>
      <c r="W8" s="53">
        <v>20</v>
      </c>
      <c r="X8" s="53">
        <v>21</v>
      </c>
      <c r="Y8" s="53">
        <v>22</v>
      </c>
      <c r="Z8" s="53">
        <v>23</v>
      </c>
      <c r="AA8" s="53"/>
      <c r="AB8" s="53"/>
    </row>
    <row r="9" spans="1:37" hidden="1" x14ac:dyDescent="0.25">
      <c r="A9">
        <f>IF(OR(B9="E",B9="N"),1,"")</f>
        <v>1</v>
      </c>
      <c r="B9" t="str">
        <f>LEFT(C9,1)</f>
        <v>E</v>
      </c>
      <c r="C9" t="s">
        <v>342</v>
      </c>
      <c r="D9" s="13" t="s">
        <v>0</v>
      </c>
      <c r="E9" t="str">
        <f>VLOOKUP(D9,'MP-CF (WP)'!$B$4:$Z$81,2,FALSE)</f>
        <v xml:space="preserve">ALLETE                        </v>
      </c>
      <c r="F9" s="167">
        <v>24.7</v>
      </c>
      <c r="G9" s="64">
        <v>88.6</v>
      </c>
      <c r="H9" s="64">
        <v>72.5</v>
      </c>
      <c r="I9" s="2">
        <f t="shared" ref="I9:I31" si="0">IFERROR(AVERAGE(G9:H9),"")</f>
        <v>80.55</v>
      </c>
      <c r="J9" s="65">
        <v>7.24</v>
      </c>
      <c r="K9" s="65">
        <v>3.33</v>
      </c>
      <c r="L9" s="65">
        <v>2.35</v>
      </c>
      <c r="M9" s="65">
        <v>11.55</v>
      </c>
      <c r="N9" s="65">
        <v>43.17</v>
      </c>
      <c r="O9" s="65">
        <v>7.65</v>
      </c>
      <c r="P9" s="65">
        <v>10.3</v>
      </c>
      <c r="Q9" s="65">
        <v>9.5</v>
      </c>
      <c r="R9" s="65">
        <v>3.5</v>
      </c>
      <c r="S9" s="73">
        <v>43903</v>
      </c>
      <c r="T9" s="2">
        <f>IFERROR(I9/J9,"")</f>
        <v>11.125690607734805</v>
      </c>
      <c r="U9" s="52">
        <f>IFERROR(I9/N9,"")</f>
        <v>1.8658790826963167</v>
      </c>
      <c r="V9" s="84">
        <f>IFERROR(L9/N9,"")</f>
        <v>5.4435950891823022E-2</v>
      </c>
      <c r="W9" s="52">
        <f>IFERROR(L9/K9,"")</f>
        <v>0.70570570570570568</v>
      </c>
      <c r="X9" s="52">
        <f>IFERROR(J9/M9,"")</f>
        <v>0.62683982683982686</v>
      </c>
      <c r="Y9" s="84">
        <f>IFERROR(L9/I9,"")</f>
        <v>2.9174425822470516E-2</v>
      </c>
      <c r="Z9" s="52">
        <f>IFERROR(O9/P9,"")</f>
        <v>0.74271844660194175</v>
      </c>
      <c r="AA9" s="52">
        <f>IFERROR(Q9/R9,"")</f>
        <v>2.7142857142857144</v>
      </c>
      <c r="AB9" s="52"/>
      <c r="AD9" s="33">
        <f>ABS(SUM(F9:H9,J9:N9))</f>
        <v>253.44000000000005</v>
      </c>
    </row>
    <row r="10" spans="1:37" hidden="1" x14ac:dyDescent="0.25">
      <c r="A10">
        <f t="shared" ref="A10:A73" si="1">IF(OR(B10="E",B10="N"),1,"")</f>
        <v>1</v>
      </c>
      <c r="B10" t="str">
        <f t="shared" ref="B10:B73" si="2">LEFT(C10,1)</f>
        <v>E</v>
      </c>
      <c r="C10" t="s">
        <v>342</v>
      </c>
      <c r="D10" s="13" t="s">
        <v>1</v>
      </c>
      <c r="E10" t="str">
        <f>VLOOKUP(D10,'MP-CF (WP)'!$B$4:$Z$81,2,FALSE)</f>
        <v xml:space="preserve">Alliant Energy                </v>
      </c>
      <c r="F10" s="167">
        <v>21.2</v>
      </c>
      <c r="G10" s="64">
        <v>55.4</v>
      </c>
      <c r="H10" s="64">
        <v>40.799999999999997</v>
      </c>
      <c r="I10" s="2">
        <f t="shared" si="0"/>
        <v>48.099999999999994</v>
      </c>
      <c r="J10" s="65">
        <v>4.59</v>
      </c>
      <c r="K10" s="65">
        <v>2.33</v>
      </c>
      <c r="L10" s="65">
        <v>1.42</v>
      </c>
      <c r="M10" s="65">
        <v>6.28</v>
      </c>
      <c r="N10" s="65">
        <v>21.24</v>
      </c>
      <c r="O10" s="65">
        <v>4.7</v>
      </c>
      <c r="P10" s="65">
        <v>5.75</v>
      </c>
      <c r="Q10" s="65">
        <v>5.3</v>
      </c>
      <c r="R10" s="65">
        <v>6.15</v>
      </c>
      <c r="S10" s="73">
        <v>43903</v>
      </c>
      <c r="T10" s="2">
        <f>IFERROR(I10/J10,"")</f>
        <v>10.479302832244008</v>
      </c>
      <c r="U10" s="52">
        <f t="shared" ref="U10:U73" si="3">IFERROR(I10/N10,"")</f>
        <v>2.2645951035781544</v>
      </c>
      <c r="V10" s="84">
        <f t="shared" ref="V10:V73" si="4">IFERROR(L10/N10,"")</f>
        <v>6.6854990583804147E-2</v>
      </c>
      <c r="W10" s="52">
        <f t="shared" ref="W10:W73" si="5">IFERROR(L10/K10,"")</f>
        <v>0.6094420600858369</v>
      </c>
      <c r="X10" s="52">
        <f t="shared" ref="X10:X73" si="6">IFERROR(J10/M10,"")</f>
        <v>0.73089171974522282</v>
      </c>
      <c r="Y10" s="84">
        <f t="shared" ref="Y10:Y73" si="7">IFERROR(L10/I10,"")</f>
        <v>2.9521829521829523E-2</v>
      </c>
      <c r="Z10" s="52">
        <f t="shared" ref="Z10:Z31" si="8">IFERROR(O10/P10,"")</f>
        <v>0.81739130434782614</v>
      </c>
      <c r="AA10" s="52">
        <f t="shared" ref="AA10:AA74" si="9">IFERROR(Q10/R10,"")</f>
        <v>0.86178861788617878</v>
      </c>
      <c r="AB10" s="52"/>
      <c r="AD10" s="33">
        <f t="shared" ref="AD10:AD73" si="10">ABS(SUM(F10:H10,J10:N10))</f>
        <v>153.26</v>
      </c>
      <c r="AE10" s="2"/>
      <c r="AK10" s="26"/>
    </row>
    <row r="11" spans="1:37" ht="14.25" customHeight="1" x14ac:dyDescent="0.25">
      <c r="A11" t="str">
        <f t="shared" si="1"/>
        <v/>
      </c>
      <c r="B11" t="str">
        <f t="shared" si="2"/>
        <v>W</v>
      </c>
      <c r="C11" t="s">
        <v>270</v>
      </c>
      <c r="D11" s="13" t="s">
        <v>165</v>
      </c>
      <c r="E11" t="str">
        <f ca="1">INDEX(nameLU,MATCH(D11,tickerLU,0))</f>
        <v>Amer. States Water</v>
      </c>
      <c r="F11" s="64">
        <v>41</v>
      </c>
      <c r="G11" s="64">
        <v>96</v>
      </c>
      <c r="H11" s="64">
        <v>63.3</v>
      </c>
      <c r="I11" s="2">
        <f t="shared" si="0"/>
        <v>79.650000000000006</v>
      </c>
      <c r="J11" s="65">
        <v>3.1</v>
      </c>
      <c r="K11" s="65">
        <v>2.15</v>
      </c>
      <c r="L11" s="65">
        <v>1.1599999999999999</v>
      </c>
      <c r="M11" s="65">
        <v>3.95</v>
      </c>
      <c r="N11" s="65">
        <v>16.100000000000001</v>
      </c>
      <c r="O11" s="65">
        <v>3.25</v>
      </c>
      <c r="P11" s="65">
        <v>3.5</v>
      </c>
      <c r="Q11" s="65">
        <v>4</v>
      </c>
      <c r="R11" s="65">
        <v>3.25</v>
      </c>
      <c r="S11" s="73">
        <v>43840</v>
      </c>
      <c r="T11" s="2">
        <f t="shared" ref="T11:T73" si="11">IFERROR(I11/J11,"")</f>
        <v>25.693548387096776</v>
      </c>
      <c r="U11" s="52">
        <f t="shared" si="3"/>
        <v>4.9472049689440993</v>
      </c>
      <c r="V11" s="84">
        <f t="shared" si="4"/>
        <v>7.2049689440993783E-2</v>
      </c>
      <c r="W11" s="52">
        <f t="shared" si="5"/>
        <v>0.53953488372093017</v>
      </c>
      <c r="X11" s="52">
        <f t="shared" si="6"/>
        <v>0.78481012658227844</v>
      </c>
      <c r="Y11" s="84">
        <f t="shared" si="7"/>
        <v>1.4563716258631511E-2</v>
      </c>
      <c r="Z11" s="52">
        <f t="shared" si="8"/>
        <v>0.9285714285714286</v>
      </c>
      <c r="AA11" s="52">
        <f t="shared" si="9"/>
        <v>1.2307692307692308</v>
      </c>
      <c r="AB11" s="52"/>
      <c r="AD11" s="33">
        <f t="shared" si="10"/>
        <v>226.76</v>
      </c>
      <c r="AE11" s="2"/>
      <c r="AK11" s="26"/>
    </row>
    <row r="12" spans="1:37" ht="14.25" customHeight="1" x14ac:dyDescent="0.25">
      <c r="A12" t="str">
        <f t="shared" si="1"/>
        <v/>
      </c>
      <c r="B12" t="str">
        <f t="shared" si="2"/>
        <v>W</v>
      </c>
      <c r="C12" t="s">
        <v>270</v>
      </c>
      <c r="D12" s="13" t="s">
        <v>167</v>
      </c>
      <c r="E12" t="str">
        <f ca="1">INDEX(nameLU,MATCH(D12,tickerLU,0))</f>
        <v>Amer. Water Works</v>
      </c>
      <c r="F12" s="64">
        <v>33.299999999999997</v>
      </c>
      <c r="G12" s="64">
        <v>129.9</v>
      </c>
      <c r="H12" s="64">
        <v>88</v>
      </c>
      <c r="I12" s="2">
        <f t="shared" si="0"/>
        <v>108.95</v>
      </c>
      <c r="J12" s="65">
        <v>6.75</v>
      </c>
      <c r="K12" s="65">
        <v>3.6</v>
      </c>
      <c r="L12" s="65">
        <v>1.96</v>
      </c>
      <c r="M12" s="65">
        <v>8.6999999999999993</v>
      </c>
      <c r="N12" s="65">
        <v>34.4</v>
      </c>
      <c r="O12" s="65">
        <v>7.1</v>
      </c>
      <c r="P12" s="65">
        <v>9.1999999999999993</v>
      </c>
      <c r="Q12" s="65">
        <v>8.3000000000000007</v>
      </c>
      <c r="R12" s="65">
        <v>9</v>
      </c>
      <c r="S12" s="73">
        <v>43840</v>
      </c>
      <c r="T12" s="2">
        <f t="shared" si="11"/>
        <v>16.140740740740743</v>
      </c>
      <c r="U12" s="52">
        <f t="shared" si="3"/>
        <v>3.1671511627906979</v>
      </c>
      <c r="V12" s="84">
        <f t="shared" si="4"/>
        <v>5.6976744186046514E-2</v>
      </c>
      <c r="W12" s="52">
        <f t="shared" si="5"/>
        <v>0.5444444444444444</v>
      </c>
      <c r="X12" s="52">
        <f t="shared" si="6"/>
        <v>0.77586206896551735</v>
      </c>
      <c r="Y12" s="84">
        <f t="shared" si="7"/>
        <v>1.798990362551629E-2</v>
      </c>
      <c r="Z12" s="52">
        <f t="shared" si="8"/>
        <v>0.77173913043478259</v>
      </c>
      <c r="AA12" s="52">
        <f t="shared" si="9"/>
        <v>0.92222222222222228</v>
      </c>
      <c r="AB12" s="52"/>
      <c r="AD12" s="33">
        <f t="shared" si="10"/>
        <v>306.60999999999996</v>
      </c>
      <c r="AE12" s="2"/>
      <c r="AK12" s="26"/>
    </row>
    <row r="13" spans="1:37" hidden="1" x14ac:dyDescent="0.25">
      <c r="A13">
        <f t="shared" si="1"/>
        <v>1</v>
      </c>
      <c r="B13" t="str">
        <f t="shared" si="2"/>
        <v>E</v>
      </c>
      <c r="C13" t="s">
        <v>342</v>
      </c>
      <c r="D13" s="13" t="s">
        <v>3</v>
      </c>
      <c r="E13" t="str">
        <f>VLOOKUP(D13,'MP-CF (WP)'!$B$4:$Z$81,2,FALSE)</f>
        <v xml:space="preserve">Ameren Corp.                  </v>
      </c>
      <c r="F13" s="167">
        <v>22.1</v>
      </c>
      <c r="G13" s="64">
        <v>80.900000000000006</v>
      </c>
      <c r="H13" s="64">
        <v>63.1</v>
      </c>
      <c r="I13" s="2">
        <f t="shared" si="0"/>
        <v>72</v>
      </c>
      <c r="J13" s="65">
        <v>7.83</v>
      </c>
      <c r="K13" s="65">
        <v>3.35</v>
      </c>
      <c r="L13" s="65">
        <v>1.92</v>
      </c>
      <c r="M13" s="65">
        <v>9.92</v>
      </c>
      <c r="N13" s="65">
        <v>32.729999999999997</v>
      </c>
      <c r="O13" s="65">
        <v>8.15</v>
      </c>
      <c r="P13" s="65">
        <v>15.85</v>
      </c>
      <c r="Q13" s="65">
        <v>10.25</v>
      </c>
      <c r="R13" s="65">
        <v>11</v>
      </c>
      <c r="S13" s="73">
        <v>43903</v>
      </c>
      <c r="T13" s="2">
        <f t="shared" si="11"/>
        <v>9.1954022988505741</v>
      </c>
      <c r="U13" s="52">
        <f t="shared" si="3"/>
        <v>2.1998166819431715</v>
      </c>
      <c r="V13" s="84">
        <f t="shared" si="4"/>
        <v>5.8661778185151239E-2</v>
      </c>
      <c r="W13" s="52">
        <f t="shared" si="5"/>
        <v>0.57313432835820888</v>
      </c>
      <c r="X13" s="52">
        <f t="shared" si="6"/>
        <v>0.78931451612903225</v>
      </c>
      <c r="Y13" s="84">
        <f t="shared" si="7"/>
        <v>2.6666666666666665E-2</v>
      </c>
      <c r="Z13" s="52">
        <f t="shared" si="8"/>
        <v>0.51419558359621453</v>
      </c>
      <c r="AA13" s="52">
        <f t="shared" si="9"/>
        <v>0.93181818181818177</v>
      </c>
      <c r="AB13" s="52"/>
      <c r="AD13" s="33">
        <f t="shared" si="10"/>
        <v>221.84999999999997</v>
      </c>
      <c r="AE13" s="2"/>
      <c r="AK13" s="26"/>
    </row>
    <row r="14" spans="1:37" hidden="1" x14ac:dyDescent="0.25">
      <c r="A14">
        <f t="shared" si="1"/>
        <v>1</v>
      </c>
      <c r="B14" t="str">
        <f t="shared" si="2"/>
        <v>E</v>
      </c>
      <c r="C14" t="s">
        <v>342</v>
      </c>
      <c r="D14" s="13" t="s">
        <v>2</v>
      </c>
      <c r="E14" t="str">
        <f>VLOOKUP(D14,'MP-CF (WP)'!$B$4:$Z$81,2,FALSE)</f>
        <v>American Electric Power</v>
      </c>
      <c r="F14" s="167">
        <v>21.4</v>
      </c>
      <c r="G14" s="64">
        <v>96.2</v>
      </c>
      <c r="H14" s="64">
        <v>72.3</v>
      </c>
      <c r="I14" s="2">
        <f t="shared" si="0"/>
        <v>84.25</v>
      </c>
      <c r="J14" s="65">
        <v>9.35</v>
      </c>
      <c r="K14" s="65">
        <v>4.08</v>
      </c>
      <c r="L14" s="65">
        <v>2.71</v>
      </c>
      <c r="M14" s="65">
        <v>12.43</v>
      </c>
      <c r="N14" s="65">
        <v>39.729999999999997</v>
      </c>
      <c r="O14" s="65">
        <v>9.85</v>
      </c>
      <c r="P14" s="65">
        <v>13.25</v>
      </c>
      <c r="Q14" s="65">
        <v>11.5</v>
      </c>
      <c r="R14" s="65">
        <v>12.5</v>
      </c>
      <c r="S14" s="73">
        <v>43903</v>
      </c>
      <c r="T14" s="2">
        <f t="shared" si="11"/>
        <v>9.0106951871657763</v>
      </c>
      <c r="U14" s="52">
        <f t="shared" si="3"/>
        <v>2.1205638056883966</v>
      </c>
      <c r="V14" s="84">
        <f t="shared" si="4"/>
        <v>6.8210420337276617E-2</v>
      </c>
      <c r="W14" s="52">
        <f t="shared" si="5"/>
        <v>0.66421568627450978</v>
      </c>
      <c r="X14" s="52">
        <f t="shared" si="6"/>
        <v>0.75221238938053092</v>
      </c>
      <c r="Y14" s="84">
        <f t="shared" si="7"/>
        <v>3.2166172106824924E-2</v>
      </c>
      <c r="Z14" s="52">
        <f t="shared" si="8"/>
        <v>0.74339622641509429</v>
      </c>
      <c r="AA14" s="52">
        <f t="shared" si="9"/>
        <v>0.92</v>
      </c>
      <c r="AB14" s="52"/>
      <c r="AD14" s="33">
        <f t="shared" si="10"/>
        <v>258.2</v>
      </c>
      <c r="AE14" s="2"/>
      <c r="AK14" s="26"/>
    </row>
    <row r="15" spans="1:37" ht="14.25" customHeight="1" x14ac:dyDescent="0.25">
      <c r="A15" t="str">
        <f t="shared" si="1"/>
        <v/>
      </c>
      <c r="B15" t="str">
        <f t="shared" si="2"/>
        <v>W</v>
      </c>
      <c r="C15" t="s">
        <v>270</v>
      </c>
      <c r="D15" s="13" t="s">
        <v>171</v>
      </c>
      <c r="E15" t="str">
        <f ca="1">INDEX(nameLU,MATCH(D15,tickerLU,0))</f>
        <v>Aqua America</v>
      </c>
      <c r="F15" s="64">
        <v>35.9</v>
      </c>
      <c r="G15" s="64">
        <v>47.1</v>
      </c>
      <c r="H15" s="64">
        <v>32.700000000000003</v>
      </c>
      <c r="I15" s="2">
        <f t="shared" si="0"/>
        <v>39.900000000000006</v>
      </c>
      <c r="J15" s="65">
        <v>1.8</v>
      </c>
      <c r="K15" s="65">
        <v>1.05</v>
      </c>
      <c r="L15" s="65">
        <v>0.91</v>
      </c>
      <c r="M15" s="65">
        <v>2.4</v>
      </c>
      <c r="N15" s="65">
        <v>18</v>
      </c>
      <c r="O15" s="65">
        <v>2.15</v>
      </c>
      <c r="P15" s="65">
        <v>2.5</v>
      </c>
      <c r="Q15" s="65">
        <v>2.85</v>
      </c>
      <c r="R15" s="65">
        <v>2.75</v>
      </c>
      <c r="S15" s="73">
        <v>43840</v>
      </c>
      <c r="T15" s="2">
        <f t="shared" si="11"/>
        <v>22.166666666666668</v>
      </c>
      <c r="U15" s="52">
        <f t="shared" si="3"/>
        <v>2.2166666666666668</v>
      </c>
      <c r="V15" s="84">
        <f t="shared" si="4"/>
        <v>5.0555555555555555E-2</v>
      </c>
      <c r="W15" s="52">
        <f t="shared" si="5"/>
        <v>0.8666666666666667</v>
      </c>
      <c r="X15" s="52">
        <f t="shared" si="6"/>
        <v>0.75</v>
      </c>
      <c r="Y15" s="84">
        <f t="shared" si="7"/>
        <v>2.2807017543859647E-2</v>
      </c>
      <c r="Z15" s="52">
        <f t="shared" si="8"/>
        <v>0.86</v>
      </c>
      <c r="AA15" s="52">
        <f t="shared" si="9"/>
        <v>1.0363636363636364</v>
      </c>
      <c r="AB15" s="52"/>
      <c r="AD15" s="33">
        <f t="shared" si="10"/>
        <v>139.86000000000001</v>
      </c>
      <c r="AE15" s="2"/>
      <c r="AK15" s="26"/>
    </row>
    <row r="16" spans="1:37" ht="14.25" hidden="1" customHeight="1" x14ac:dyDescent="0.25">
      <c r="A16">
        <f t="shared" si="1"/>
        <v>1</v>
      </c>
      <c r="B16" t="str">
        <f t="shared" si="2"/>
        <v>N</v>
      </c>
      <c r="C16" t="s">
        <v>271</v>
      </c>
      <c r="D16" s="13" t="s">
        <v>175</v>
      </c>
      <c r="E16" t="str">
        <f ca="1">INDEX(OFFSET(CashFlow,0,-1,,1),MATCH(D16,OFFSET(CashFlow,0,0,,1),0))</f>
        <v>Atmos Energy</v>
      </c>
      <c r="F16" s="64">
        <v>23.2</v>
      </c>
      <c r="G16" s="64">
        <v>115.2</v>
      </c>
      <c r="H16" s="64">
        <v>89.2</v>
      </c>
      <c r="I16" s="2">
        <f t="shared" si="0"/>
        <v>102.2</v>
      </c>
      <c r="J16" s="65">
        <v>7.57</v>
      </c>
      <c r="K16" s="65">
        <v>4.3499999999999996</v>
      </c>
      <c r="L16" s="65">
        <v>2.1</v>
      </c>
      <c r="M16" s="65">
        <v>14.19</v>
      </c>
      <c r="N16" s="65">
        <v>48.18</v>
      </c>
      <c r="O16" s="65">
        <v>8</v>
      </c>
      <c r="P16" s="65">
        <v>15.2</v>
      </c>
      <c r="Q16" s="65">
        <v>9.8000000000000007</v>
      </c>
      <c r="R16" s="65">
        <v>15.5</v>
      </c>
      <c r="S16" s="73">
        <v>43889</v>
      </c>
      <c r="T16" s="2">
        <f t="shared" si="11"/>
        <v>13.500660501981505</v>
      </c>
      <c r="U16" s="52">
        <f t="shared" si="3"/>
        <v>2.1212121212121211</v>
      </c>
      <c r="V16" s="84">
        <f t="shared" si="4"/>
        <v>4.3586550435865505E-2</v>
      </c>
      <c r="W16" s="52">
        <f t="shared" si="5"/>
        <v>0.48275862068965525</v>
      </c>
      <c r="X16" s="52">
        <f t="shared" si="6"/>
        <v>0.53347427766032418</v>
      </c>
      <c r="Y16" s="84">
        <f t="shared" si="7"/>
        <v>2.0547945205479451E-2</v>
      </c>
      <c r="Z16" s="52">
        <f t="shared" si="8"/>
        <v>0.52631578947368418</v>
      </c>
      <c r="AA16" s="52">
        <f t="shared" si="9"/>
        <v>0.63225806451612909</v>
      </c>
      <c r="AB16" s="52"/>
      <c r="AD16" s="33">
        <f t="shared" si="10"/>
        <v>303.99</v>
      </c>
      <c r="AE16" s="2"/>
      <c r="AK16" s="26"/>
    </row>
    <row r="17" spans="1:37" ht="14.25" hidden="1" customHeight="1" x14ac:dyDescent="0.25">
      <c r="A17">
        <f t="shared" si="1"/>
        <v>1</v>
      </c>
      <c r="B17" t="str">
        <f t="shared" si="2"/>
        <v>E</v>
      </c>
      <c r="C17" t="s">
        <v>268</v>
      </c>
      <c r="D17" s="13" t="s">
        <v>260</v>
      </c>
      <c r="E17" t="str">
        <f>VLOOKUP(D17,'MP-CF (WP)'!$B$4:$Z$81,2,FALSE)</f>
        <v>Avangrid, Inc.</v>
      </c>
      <c r="F17" s="64">
        <v>20.9</v>
      </c>
      <c r="G17" s="64">
        <v>52.9</v>
      </c>
      <c r="H17" s="64">
        <v>47.4</v>
      </c>
      <c r="I17" s="2">
        <f t="shared" si="0"/>
        <v>50.15</v>
      </c>
      <c r="J17" s="65">
        <v>5.45</v>
      </c>
      <c r="K17" s="65">
        <v>2.4</v>
      </c>
      <c r="L17" s="65">
        <v>1.76</v>
      </c>
      <c r="M17" s="65">
        <v>7.75</v>
      </c>
      <c r="N17" s="65">
        <v>49.5</v>
      </c>
      <c r="O17" s="65">
        <v>5.65</v>
      </c>
      <c r="P17" s="65">
        <v>10.050000000000001</v>
      </c>
      <c r="Q17" s="65">
        <v>7.25</v>
      </c>
      <c r="R17" s="65">
        <v>9.75</v>
      </c>
      <c r="S17" s="73">
        <v>43875</v>
      </c>
      <c r="T17" s="2">
        <f t="shared" si="11"/>
        <v>9.2018348623853203</v>
      </c>
      <c r="U17" s="52">
        <f t="shared" si="3"/>
        <v>1.0131313131313131</v>
      </c>
      <c r="V17" s="84">
        <f t="shared" si="4"/>
        <v>3.5555555555555556E-2</v>
      </c>
      <c r="W17" s="52">
        <f t="shared" si="5"/>
        <v>0.73333333333333339</v>
      </c>
      <c r="X17" s="52">
        <f t="shared" si="6"/>
        <v>0.70322580645161292</v>
      </c>
      <c r="Y17" s="84">
        <f t="shared" si="7"/>
        <v>3.5094715852442671E-2</v>
      </c>
      <c r="Z17" s="52">
        <f t="shared" si="8"/>
        <v>0.56218905472636815</v>
      </c>
      <c r="AA17" s="52">
        <f t="shared" si="9"/>
        <v>0.74358974358974361</v>
      </c>
      <c r="AB17" s="52"/>
      <c r="AD17" s="33">
        <f t="shared" si="10"/>
        <v>188.05999999999997</v>
      </c>
    </row>
    <row r="18" spans="1:37" ht="14.25" hidden="1" customHeight="1" x14ac:dyDescent="0.25">
      <c r="A18">
        <f t="shared" si="1"/>
        <v>1</v>
      </c>
      <c r="B18" t="str">
        <f t="shared" si="2"/>
        <v>E</v>
      </c>
      <c r="C18" t="s">
        <v>269</v>
      </c>
      <c r="D18" s="13" t="s">
        <v>4</v>
      </c>
      <c r="E18" t="str">
        <f>VLOOKUP(D18,'MP-CF (WP)'!$B$4:$Z$81,2,FALSE)</f>
        <v xml:space="preserve">Avista Corp.                  </v>
      </c>
      <c r="F18" s="64">
        <v>15.3</v>
      </c>
      <c r="G18" s="64">
        <v>49.5</v>
      </c>
      <c r="H18" s="64">
        <v>39.799999999999997</v>
      </c>
      <c r="I18" s="2">
        <f t="shared" si="0"/>
        <v>44.65</v>
      </c>
      <c r="J18" s="65">
        <v>5.95</v>
      </c>
      <c r="K18" s="65">
        <v>2.9</v>
      </c>
      <c r="L18" s="65">
        <v>1.55</v>
      </c>
      <c r="M18" s="65">
        <v>6.65</v>
      </c>
      <c r="N18" s="65">
        <v>28.8</v>
      </c>
      <c r="O18" s="65">
        <v>5.15</v>
      </c>
      <c r="P18" s="65">
        <v>6.05</v>
      </c>
      <c r="Q18" s="65">
        <v>6</v>
      </c>
      <c r="R18" s="65">
        <v>6</v>
      </c>
      <c r="S18" s="73">
        <v>43854</v>
      </c>
      <c r="T18" s="2">
        <f t="shared" si="11"/>
        <v>7.504201680672268</v>
      </c>
      <c r="U18" s="52">
        <f t="shared" si="3"/>
        <v>1.5503472222222221</v>
      </c>
      <c r="V18" s="84">
        <f t="shared" si="4"/>
        <v>5.3819444444444448E-2</v>
      </c>
      <c r="W18" s="52">
        <f t="shared" si="5"/>
        <v>0.53448275862068972</v>
      </c>
      <c r="X18" s="52">
        <f t="shared" si="6"/>
        <v>0.89473684210526316</v>
      </c>
      <c r="Y18" s="84">
        <f t="shared" si="7"/>
        <v>3.471444568868981E-2</v>
      </c>
      <c r="Z18" s="52">
        <f t="shared" si="8"/>
        <v>0.85123966942148765</v>
      </c>
      <c r="AA18" s="52">
        <f t="shared" si="9"/>
        <v>1</v>
      </c>
      <c r="AB18" s="52"/>
      <c r="AD18" s="33">
        <f t="shared" si="10"/>
        <v>150.45000000000002</v>
      </c>
    </row>
    <row r="19" spans="1:37" ht="14.25" hidden="1" customHeight="1" x14ac:dyDescent="0.25">
      <c r="A19">
        <f t="shared" si="1"/>
        <v>1</v>
      </c>
      <c r="B19" t="str">
        <f t="shared" si="2"/>
        <v>E</v>
      </c>
      <c r="C19" t="s">
        <v>269</v>
      </c>
      <c r="D19" s="13" t="s">
        <v>5</v>
      </c>
      <c r="E19" t="str">
        <f>VLOOKUP(D19,'MP-CF (WP)'!$B$4:$Z$81,2,FALSE)</f>
        <v xml:space="preserve">Black Hills                   </v>
      </c>
      <c r="F19" s="64">
        <v>21.7</v>
      </c>
      <c r="G19" s="64">
        <v>82</v>
      </c>
      <c r="H19" s="64">
        <v>60.8</v>
      </c>
      <c r="I19" s="2">
        <f t="shared" si="0"/>
        <v>71.400000000000006</v>
      </c>
      <c r="J19" s="65">
        <v>6.85</v>
      </c>
      <c r="K19" s="65">
        <v>3.45</v>
      </c>
      <c r="L19" s="65">
        <v>2.0499999999999998</v>
      </c>
      <c r="M19" s="65">
        <v>13.35</v>
      </c>
      <c r="N19" s="65">
        <v>38.25</v>
      </c>
      <c r="O19" s="65">
        <v>7.15</v>
      </c>
      <c r="P19" s="65">
        <v>9.9499999999999993</v>
      </c>
      <c r="Q19" s="65">
        <v>8.25</v>
      </c>
      <c r="R19" s="65">
        <v>7.5</v>
      </c>
      <c r="S19" s="73">
        <v>43854</v>
      </c>
      <c r="T19" s="2">
        <f t="shared" si="11"/>
        <v>10.423357664233578</v>
      </c>
      <c r="U19" s="52">
        <f t="shared" si="3"/>
        <v>1.8666666666666669</v>
      </c>
      <c r="V19" s="84">
        <f t="shared" si="4"/>
        <v>5.3594771241830062E-2</v>
      </c>
      <c r="W19" s="52">
        <f t="shared" si="5"/>
        <v>0.5942028985507245</v>
      </c>
      <c r="X19" s="52">
        <f t="shared" si="6"/>
        <v>0.51310861423220977</v>
      </c>
      <c r="Y19" s="84">
        <f t="shared" si="7"/>
        <v>2.871148459383753E-2</v>
      </c>
      <c r="Z19" s="52">
        <f t="shared" si="8"/>
        <v>0.71859296482412072</v>
      </c>
      <c r="AA19" s="52">
        <f t="shared" si="9"/>
        <v>1.1000000000000001</v>
      </c>
      <c r="AB19" s="52"/>
      <c r="AD19" s="33">
        <f t="shared" si="10"/>
        <v>228.45</v>
      </c>
    </row>
    <row r="20" spans="1:37" ht="14.25" customHeight="1" x14ac:dyDescent="0.25">
      <c r="A20" t="str">
        <f t="shared" si="1"/>
        <v/>
      </c>
      <c r="B20" t="str">
        <f t="shared" si="2"/>
        <v>W</v>
      </c>
      <c r="C20" t="s">
        <v>270</v>
      </c>
      <c r="D20" s="13" t="s">
        <v>177</v>
      </c>
      <c r="E20" t="str">
        <f ca="1">INDEX(nameLU,MATCH(D20,tickerLU,0))</f>
        <v>California Water</v>
      </c>
      <c r="F20" s="64">
        <v>31</v>
      </c>
      <c r="G20" s="64">
        <v>57.5</v>
      </c>
      <c r="H20" s="64">
        <v>44.6</v>
      </c>
      <c r="I20" s="2">
        <f t="shared" si="0"/>
        <v>51.05</v>
      </c>
      <c r="J20" s="65">
        <v>3.05</v>
      </c>
      <c r="K20" s="65">
        <v>1.4</v>
      </c>
      <c r="L20" s="65">
        <v>0.79</v>
      </c>
      <c r="M20" s="65">
        <v>3.95</v>
      </c>
      <c r="N20" s="65">
        <v>15.85</v>
      </c>
      <c r="O20" s="65">
        <v>3.3</v>
      </c>
      <c r="P20" s="65">
        <v>4</v>
      </c>
      <c r="Q20" s="65">
        <v>3.5</v>
      </c>
      <c r="R20" s="65">
        <v>3.65</v>
      </c>
      <c r="S20" s="73">
        <v>43840</v>
      </c>
      <c r="T20" s="2">
        <f t="shared" si="11"/>
        <v>16.737704918032787</v>
      </c>
      <c r="U20" s="52">
        <f t="shared" si="3"/>
        <v>3.2208201892744479</v>
      </c>
      <c r="V20" s="84">
        <f t="shared" si="4"/>
        <v>4.9842271293375401E-2</v>
      </c>
      <c r="W20" s="52">
        <f t="shared" si="5"/>
        <v>0.56428571428571439</v>
      </c>
      <c r="X20" s="52">
        <f t="shared" si="6"/>
        <v>0.77215189873417711</v>
      </c>
      <c r="Y20" s="84">
        <f t="shared" si="7"/>
        <v>1.5475024485798239E-2</v>
      </c>
      <c r="Z20" s="52">
        <f t="shared" si="8"/>
        <v>0.82499999999999996</v>
      </c>
      <c r="AA20" s="52">
        <f t="shared" si="9"/>
        <v>0.95890410958904115</v>
      </c>
      <c r="AB20" s="52"/>
      <c r="AD20" s="33">
        <f t="shared" si="10"/>
        <v>158.13999999999999</v>
      </c>
    </row>
    <row r="21" spans="1:37" hidden="1" x14ac:dyDescent="0.25">
      <c r="A21">
        <f t="shared" si="1"/>
        <v>1</v>
      </c>
      <c r="B21" t="str">
        <f t="shared" si="2"/>
        <v>E</v>
      </c>
      <c r="C21" t="s">
        <v>342</v>
      </c>
      <c r="D21" s="13" t="s">
        <v>6</v>
      </c>
      <c r="E21" t="str">
        <f>VLOOKUP(D21,'MP-CF (WP)'!$B$4:$Z$81,2,FALSE)</f>
        <v xml:space="preserve">CenterPoint Energy            </v>
      </c>
      <c r="F21" s="167">
        <v>19.5</v>
      </c>
      <c r="G21" s="64">
        <v>31.4</v>
      </c>
      <c r="H21" s="64">
        <v>24.3</v>
      </c>
      <c r="I21" s="2">
        <f t="shared" si="0"/>
        <v>27.85</v>
      </c>
      <c r="J21" s="65">
        <v>4.12</v>
      </c>
      <c r="K21" s="65">
        <v>1.49</v>
      </c>
      <c r="L21" s="65">
        <v>0.86</v>
      </c>
      <c r="M21" s="65">
        <v>4.99</v>
      </c>
      <c r="N21" s="65">
        <v>13.1</v>
      </c>
      <c r="O21" s="65">
        <v>4.25</v>
      </c>
      <c r="P21" s="65">
        <v>4.8499999999999996</v>
      </c>
      <c r="Q21" s="65">
        <v>4.75</v>
      </c>
      <c r="R21" s="65">
        <v>4.75</v>
      </c>
      <c r="S21" s="73">
        <v>43903</v>
      </c>
      <c r="T21" s="2">
        <f t="shared" si="11"/>
        <v>6.7597087378640781</v>
      </c>
      <c r="U21" s="52">
        <f t="shared" si="3"/>
        <v>2.1259541984732828</v>
      </c>
      <c r="V21" s="84">
        <f t="shared" si="4"/>
        <v>6.5648854961832065E-2</v>
      </c>
      <c r="W21" s="52">
        <f t="shared" si="5"/>
        <v>0.57718120805369122</v>
      </c>
      <c r="X21" s="52">
        <f t="shared" si="6"/>
        <v>0.82565130260521036</v>
      </c>
      <c r="Y21" s="84">
        <f t="shared" si="7"/>
        <v>3.0879712746858166E-2</v>
      </c>
      <c r="Z21" s="52">
        <f t="shared" si="8"/>
        <v>0.87628865979381454</v>
      </c>
      <c r="AA21" s="52">
        <f t="shared" si="9"/>
        <v>1</v>
      </c>
      <c r="AB21" s="52"/>
      <c r="AD21" s="33">
        <f t="shared" si="10"/>
        <v>99.759999999999991</v>
      </c>
    </row>
    <row r="22" spans="1:37" ht="14.25" hidden="1" customHeight="1" x14ac:dyDescent="0.25">
      <c r="A22">
        <f t="shared" si="1"/>
        <v>1</v>
      </c>
      <c r="B22" t="str">
        <f t="shared" si="2"/>
        <v>N</v>
      </c>
      <c r="C22" t="s">
        <v>271</v>
      </c>
      <c r="D22" s="13" t="s">
        <v>178</v>
      </c>
      <c r="E22" t="str">
        <f ca="1">INDEX(OFFSET(CashFlow,0,-1,,1),MATCH(D22,OFFSET(CashFlow,0,0,,1),0))</f>
        <v>Chesapeake Utilities</v>
      </c>
      <c r="F22" s="64">
        <v>27.1</v>
      </c>
      <c r="G22" s="64">
        <v>98.6</v>
      </c>
      <c r="H22" s="64">
        <v>77.599999999999994</v>
      </c>
      <c r="I22" s="2">
        <f t="shared" si="0"/>
        <v>88.1</v>
      </c>
      <c r="J22" s="65">
        <v>6.65</v>
      </c>
      <c r="K22" s="65">
        <v>3.4</v>
      </c>
      <c r="L22" s="65">
        <v>1.55</v>
      </c>
      <c r="M22" s="65">
        <v>10.75</v>
      </c>
      <c r="N22" s="65">
        <v>35.049999999999997</v>
      </c>
      <c r="O22" s="65">
        <v>7.1</v>
      </c>
      <c r="P22" s="65">
        <v>11.05</v>
      </c>
      <c r="Q22" s="65">
        <v>10</v>
      </c>
      <c r="R22" s="65">
        <v>12.8</v>
      </c>
      <c r="S22" s="73">
        <v>43889</v>
      </c>
      <c r="T22" s="2">
        <f t="shared" si="11"/>
        <v>13.248120300751879</v>
      </c>
      <c r="U22" s="52">
        <f t="shared" si="3"/>
        <v>2.5135520684736092</v>
      </c>
      <c r="V22" s="84">
        <f t="shared" si="4"/>
        <v>4.4222539229671905E-2</v>
      </c>
      <c r="W22" s="52">
        <f t="shared" si="5"/>
        <v>0.45588235294117652</v>
      </c>
      <c r="X22" s="52">
        <f t="shared" si="6"/>
        <v>0.61860465116279073</v>
      </c>
      <c r="Y22" s="84">
        <f t="shared" si="7"/>
        <v>1.7593643586833147E-2</v>
      </c>
      <c r="Z22" s="52">
        <f t="shared" si="8"/>
        <v>0.64253393665158365</v>
      </c>
      <c r="AA22" s="52">
        <f t="shared" si="9"/>
        <v>0.78125</v>
      </c>
      <c r="AB22" s="52"/>
      <c r="AD22" s="33">
        <f t="shared" si="10"/>
        <v>260.7</v>
      </c>
    </row>
    <row r="23" spans="1:37" hidden="1" x14ac:dyDescent="0.25">
      <c r="A23">
        <f t="shared" si="1"/>
        <v>1</v>
      </c>
      <c r="B23" t="str">
        <f t="shared" si="2"/>
        <v>E</v>
      </c>
      <c r="C23" t="s">
        <v>342</v>
      </c>
      <c r="D23" s="13" t="s">
        <v>9</v>
      </c>
      <c r="E23" t="str">
        <f>VLOOKUP(D23,'MP-CF (WP)'!$B$4:$Z$81,2,FALSE)</f>
        <v xml:space="preserve">CMS Energy Corp.              </v>
      </c>
      <c r="F23" s="167">
        <v>24.3</v>
      </c>
      <c r="G23" s="64">
        <v>65.3</v>
      </c>
      <c r="H23" s="64">
        <v>48</v>
      </c>
      <c r="I23" s="2">
        <f t="shared" si="0"/>
        <v>56.65</v>
      </c>
      <c r="J23" s="65">
        <v>5.89</v>
      </c>
      <c r="K23" s="65">
        <v>2.39</v>
      </c>
      <c r="L23" s="65">
        <v>1.53</v>
      </c>
      <c r="M23" s="65">
        <v>7.41</v>
      </c>
      <c r="N23" s="65">
        <v>17.68</v>
      </c>
      <c r="O23" s="65">
        <v>6.25</v>
      </c>
      <c r="P23" s="65">
        <v>7.65</v>
      </c>
      <c r="Q23" s="65">
        <v>7.75</v>
      </c>
      <c r="R23" s="65">
        <v>8</v>
      </c>
      <c r="S23" s="73">
        <v>43903</v>
      </c>
      <c r="T23" s="2">
        <f t="shared" si="11"/>
        <v>9.6179966044142624</v>
      </c>
      <c r="U23" s="52">
        <f t="shared" si="3"/>
        <v>3.2041855203619911</v>
      </c>
      <c r="V23" s="84">
        <f t="shared" si="4"/>
        <v>8.6538461538461536E-2</v>
      </c>
      <c r="W23" s="52">
        <f t="shared" si="5"/>
        <v>0.64016736401673635</v>
      </c>
      <c r="X23" s="52">
        <f t="shared" si="6"/>
        <v>0.79487179487179482</v>
      </c>
      <c r="Y23" s="84">
        <f t="shared" si="7"/>
        <v>2.7007943512797884E-2</v>
      </c>
      <c r="Z23" s="52">
        <f t="shared" si="8"/>
        <v>0.81699346405228757</v>
      </c>
      <c r="AA23" s="52">
        <f t="shared" si="9"/>
        <v>0.96875</v>
      </c>
      <c r="AB23" s="52"/>
      <c r="AD23" s="33">
        <f t="shared" si="10"/>
        <v>172.49999999999997</v>
      </c>
    </row>
    <row r="24" spans="1:37" ht="14.25" customHeight="1" x14ac:dyDescent="0.25">
      <c r="A24" t="str">
        <f t="shared" si="1"/>
        <v/>
      </c>
      <c r="B24" t="str">
        <f t="shared" si="2"/>
        <v>W</v>
      </c>
      <c r="C24" t="s">
        <v>270</v>
      </c>
      <c r="D24" s="13" t="s">
        <v>180</v>
      </c>
      <c r="E24" t="str">
        <f ca="1">INDEX(nameLU,MATCH(D24,tickerLU,0))</f>
        <v>Conn. Water Services</v>
      </c>
      <c r="F24" s="64">
        <v>31.9</v>
      </c>
      <c r="G24" s="64">
        <v>69.400000000000006</v>
      </c>
      <c r="H24" s="64">
        <v>62.8</v>
      </c>
      <c r="I24" s="2">
        <f t="shared" si="0"/>
        <v>66.099999999999994</v>
      </c>
      <c r="J24" s="65">
        <v>3.95</v>
      </c>
      <c r="K24" s="65">
        <v>2.4500000000000002</v>
      </c>
      <c r="L24" s="65">
        <v>1.3</v>
      </c>
      <c r="M24" s="65">
        <v>4</v>
      </c>
      <c r="N24" s="65">
        <v>25</v>
      </c>
      <c r="O24" s="65">
        <v>4.0999999999999996</v>
      </c>
      <c r="P24" s="65">
        <v>4</v>
      </c>
      <c r="Q24" s="65">
        <v>4.7</v>
      </c>
      <c r="R24" s="65">
        <v>3.35</v>
      </c>
      <c r="S24" s="73">
        <v>43567</v>
      </c>
      <c r="T24" s="2">
        <f t="shared" si="11"/>
        <v>16.73417721518987</v>
      </c>
      <c r="U24" s="52">
        <f t="shared" si="3"/>
        <v>2.6439999999999997</v>
      </c>
      <c r="V24" s="84">
        <f t="shared" si="4"/>
        <v>5.2000000000000005E-2</v>
      </c>
      <c r="W24" s="52">
        <f t="shared" si="5"/>
        <v>0.53061224489795922</v>
      </c>
      <c r="X24" s="52">
        <f t="shared" si="6"/>
        <v>0.98750000000000004</v>
      </c>
      <c r="Y24" s="84">
        <f t="shared" si="7"/>
        <v>1.9667170953101363E-2</v>
      </c>
      <c r="Z24" s="52">
        <f t="shared" si="8"/>
        <v>1.0249999999999999</v>
      </c>
      <c r="AA24" s="52">
        <f t="shared" si="9"/>
        <v>1.4029850746268657</v>
      </c>
      <c r="AB24" s="52"/>
      <c r="AD24" s="33">
        <f t="shared" si="10"/>
        <v>200.8</v>
      </c>
    </row>
    <row r="25" spans="1:37" ht="14.25" hidden="1" customHeight="1" x14ac:dyDescent="0.25">
      <c r="A25">
        <f t="shared" si="1"/>
        <v>1</v>
      </c>
      <c r="B25" t="str">
        <f t="shared" si="2"/>
        <v>E</v>
      </c>
      <c r="C25" t="s">
        <v>268</v>
      </c>
      <c r="D25" s="13" t="s">
        <v>10</v>
      </c>
      <c r="E25" t="str">
        <f>VLOOKUP(D25,'MP-CF (WP)'!$B$4:$Z$81,2,FALSE)</f>
        <v xml:space="preserve">Consol. Edison                </v>
      </c>
      <c r="F25" s="64">
        <v>21.8</v>
      </c>
      <c r="G25" s="64">
        <v>95</v>
      </c>
      <c r="H25" s="64">
        <v>73.3</v>
      </c>
      <c r="I25" s="2">
        <f t="shared" si="0"/>
        <v>84.15</v>
      </c>
      <c r="J25" s="65">
        <v>8.6</v>
      </c>
      <c r="K25" s="65">
        <v>3.95</v>
      </c>
      <c r="L25" s="65">
        <v>2.96</v>
      </c>
      <c r="M25" s="65">
        <v>10.85</v>
      </c>
      <c r="N25" s="65">
        <v>53.65</v>
      </c>
      <c r="O25" s="65">
        <v>9.4499999999999993</v>
      </c>
      <c r="P25" s="65">
        <v>11.55</v>
      </c>
      <c r="Q25" s="65">
        <v>11.5</v>
      </c>
      <c r="R25" s="65">
        <v>12.25</v>
      </c>
      <c r="S25" s="73">
        <v>43875</v>
      </c>
      <c r="T25" s="2">
        <f t="shared" si="11"/>
        <v>9.7848837209302335</v>
      </c>
      <c r="U25" s="52">
        <f t="shared" si="3"/>
        <v>1.5684995340167756</v>
      </c>
      <c r="V25" s="84">
        <f t="shared" si="4"/>
        <v>5.5172413793103448E-2</v>
      </c>
      <c r="W25" s="52">
        <f t="shared" si="5"/>
        <v>0.74936708860759493</v>
      </c>
      <c r="X25" s="52">
        <f t="shared" si="6"/>
        <v>0.79262672811059909</v>
      </c>
      <c r="Y25" s="84">
        <f t="shared" si="7"/>
        <v>3.5175282234105758E-2</v>
      </c>
      <c r="Z25" s="52">
        <f t="shared" si="8"/>
        <v>0.81818181818181812</v>
      </c>
      <c r="AA25" s="52">
        <f t="shared" si="9"/>
        <v>0.93877551020408168</v>
      </c>
      <c r="AB25" s="52"/>
      <c r="AD25" s="33">
        <f t="shared" si="10"/>
        <v>270.10999999999996</v>
      </c>
    </row>
    <row r="26" spans="1:37" ht="14.25" customHeight="1" x14ac:dyDescent="0.25">
      <c r="A26" t="str">
        <f t="shared" si="1"/>
        <v/>
      </c>
      <c r="B26" t="str">
        <f t="shared" si="2"/>
        <v>W</v>
      </c>
      <c r="C26" t="s">
        <v>270</v>
      </c>
      <c r="D26" s="13" t="s">
        <v>182</v>
      </c>
      <c r="E26" s="31" t="str">
        <f ca="1">INDEX(nameLU,MATCH(D26,tickerLU,0))</f>
        <v>Consolidated Water</v>
      </c>
      <c r="F26" s="64">
        <v>27.4</v>
      </c>
      <c r="G26" s="64">
        <v>17.899999999999999</v>
      </c>
      <c r="H26" s="64">
        <v>11.1</v>
      </c>
      <c r="I26" s="2">
        <f t="shared" si="0"/>
        <v>14.5</v>
      </c>
      <c r="J26" s="65">
        <v>1</v>
      </c>
      <c r="K26" s="65">
        <v>0.57999999999999996</v>
      </c>
      <c r="L26" s="65">
        <v>0.34</v>
      </c>
      <c r="M26" s="65">
        <v>0.25</v>
      </c>
      <c r="N26" s="65">
        <v>10.95</v>
      </c>
      <c r="O26" s="65">
        <v>1.1000000000000001</v>
      </c>
      <c r="P26" s="65">
        <v>0.45</v>
      </c>
      <c r="Q26" s="65">
        <v>2</v>
      </c>
      <c r="R26" s="65">
        <v>0.5</v>
      </c>
      <c r="S26" s="73">
        <v>43840</v>
      </c>
      <c r="T26" s="2">
        <f t="shared" si="11"/>
        <v>14.5</v>
      </c>
      <c r="U26" s="52">
        <f t="shared" si="3"/>
        <v>1.3242009132420092</v>
      </c>
      <c r="V26" s="84">
        <f t="shared" si="4"/>
        <v>3.1050228310502286E-2</v>
      </c>
      <c r="W26" s="52">
        <f t="shared" si="5"/>
        <v>0.5862068965517242</v>
      </c>
      <c r="X26" s="52">
        <f t="shared" si="6"/>
        <v>4</v>
      </c>
      <c r="Y26" s="84">
        <f t="shared" si="7"/>
        <v>2.3448275862068966E-2</v>
      </c>
      <c r="Z26" s="52">
        <f t="shared" si="8"/>
        <v>2.4444444444444446</v>
      </c>
      <c r="AA26" s="52">
        <f t="shared" si="9"/>
        <v>4</v>
      </c>
      <c r="AB26" s="52"/>
      <c r="AD26" s="33">
        <f t="shared" si="10"/>
        <v>69.52</v>
      </c>
    </row>
    <row r="27" spans="1:37" ht="14.25" hidden="1" customHeight="1" x14ac:dyDescent="0.25">
      <c r="A27">
        <f t="shared" si="1"/>
        <v>1</v>
      </c>
      <c r="B27" t="str">
        <f t="shared" si="2"/>
        <v>E</v>
      </c>
      <c r="C27" t="s">
        <v>268</v>
      </c>
      <c r="D27" s="13" t="s">
        <v>11</v>
      </c>
      <c r="E27" t="str">
        <f>VLOOKUP(D27,'MP-CF (WP)'!$B$4:$Z$81,2,FALSE)</f>
        <v xml:space="preserve">Dominion Resources            </v>
      </c>
      <c r="F27" s="167" t="s">
        <v>105</v>
      </c>
      <c r="G27" s="64">
        <v>83.9</v>
      </c>
      <c r="H27" s="64">
        <v>67.400000000000006</v>
      </c>
      <c r="I27" s="2">
        <f t="shared" si="0"/>
        <v>75.650000000000006</v>
      </c>
      <c r="J27" s="65">
        <v>5.9</v>
      </c>
      <c r="K27" s="65">
        <v>2.15</v>
      </c>
      <c r="L27" s="65">
        <v>3.67</v>
      </c>
      <c r="M27" s="65">
        <v>7.3</v>
      </c>
      <c r="N27" s="65">
        <v>34.549999999999997</v>
      </c>
      <c r="O27" s="65">
        <v>8.35</v>
      </c>
      <c r="P27" s="65">
        <v>8.35</v>
      </c>
      <c r="Q27" s="65">
        <v>9.75</v>
      </c>
      <c r="R27" s="65">
        <v>7.75</v>
      </c>
      <c r="S27" s="73">
        <v>43875</v>
      </c>
      <c r="T27" s="2">
        <f t="shared" si="11"/>
        <v>12.822033898305085</v>
      </c>
      <c r="U27" s="52">
        <f t="shared" si="3"/>
        <v>2.1895803183791611</v>
      </c>
      <c r="V27" s="84">
        <f t="shared" si="4"/>
        <v>0.10622286541244574</v>
      </c>
      <c r="W27" s="52">
        <f t="shared" si="5"/>
        <v>1.7069767441860466</v>
      </c>
      <c r="X27" s="52">
        <f t="shared" si="6"/>
        <v>0.8082191780821919</v>
      </c>
      <c r="Y27" s="84">
        <f t="shared" si="7"/>
        <v>4.8512888301387967E-2</v>
      </c>
      <c r="Z27" s="52">
        <f t="shared" si="8"/>
        <v>1</v>
      </c>
      <c r="AA27" s="52">
        <f t="shared" si="9"/>
        <v>1.2580645161290323</v>
      </c>
      <c r="AB27" s="52"/>
      <c r="AD27" s="33">
        <f t="shared" si="10"/>
        <v>204.87</v>
      </c>
    </row>
    <row r="28" spans="1:37" hidden="1" x14ac:dyDescent="0.25">
      <c r="A28">
        <f t="shared" si="1"/>
        <v>1</v>
      </c>
      <c r="B28" t="str">
        <f t="shared" si="2"/>
        <v>E</v>
      </c>
      <c r="C28" t="s">
        <v>342</v>
      </c>
      <c r="D28" s="13" t="s">
        <v>12</v>
      </c>
      <c r="E28" t="str">
        <f>VLOOKUP(D28,'MP-CF (WP)'!$B$4:$Z$81,2,FALSE)</f>
        <v xml:space="preserve">DTE Energy                    </v>
      </c>
      <c r="F28" s="167">
        <v>19.899999999999999</v>
      </c>
      <c r="G28" s="64">
        <v>134.4</v>
      </c>
      <c r="H28" s="64">
        <v>107.3</v>
      </c>
      <c r="I28" s="2">
        <f t="shared" si="0"/>
        <v>120.85</v>
      </c>
      <c r="J28" s="65">
        <v>12.97</v>
      </c>
      <c r="K28" s="65">
        <v>6.31</v>
      </c>
      <c r="L28" s="65">
        <v>3.85</v>
      </c>
      <c r="M28" s="65">
        <v>15.59</v>
      </c>
      <c r="N28" s="65">
        <v>60.73</v>
      </c>
      <c r="O28" s="65">
        <v>13.75</v>
      </c>
      <c r="P28" s="65">
        <v>20.6</v>
      </c>
      <c r="Q28" s="65">
        <v>17</v>
      </c>
      <c r="R28" s="65">
        <v>12.5</v>
      </c>
      <c r="S28" s="73">
        <v>43903</v>
      </c>
      <c r="T28" s="2">
        <f t="shared" si="11"/>
        <v>9.3176561295296825</v>
      </c>
      <c r="U28" s="52">
        <f t="shared" si="3"/>
        <v>1.989955540918821</v>
      </c>
      <c r="V28" s="84">
        <f t="shared" si="4"/>
        <v>6.3395356495965755E-2</v>
      </c>
      <c r="W28" s="52">
        <f t="shared" si="5"/>
        <v>0.61014263074484953</v>
      </c>
      <c r="X28" s="52">
        <f t="shared" si="6"/>
        <v>0.8319435535599744</v>
      </c>
      <c r="Y28" s="84">
        <f t="shared" si="7"/>
        <v>3.1857674803475386E-2</v>
      </c>
      <c r="Z28" s="52">
        <f t="shared" si="8"/>
        <v>0.66747572815533973</v>
      </c>
      <c r="AA28" s="52">
        <f t="shared" si="9"/>
        <v>1.36</v>
      </c>
      <c r="AB28" s="52"/>
      <c r="AD28" s="33">
        <f t="shared" si="10"/>
        <v>361.05000000000007</v>
      </c>
    </row>
    <row r="29" spans="1:37" ht="14.25" hidden="1" customHeight="1" x14ac:dyDescent="0.25">
      <c r="A29">
        <f t="shared" si="1"/>
        <v>1</v>
      </c>
      <c r="B29" t="str">
        <f t="shared" si="2"/>
        <v>E</v>
      </c>
      <c r="C29" t="s">
        <v>268</v>
      </c>
      <c r="D29" s="13" t="s">
        <v>13</v>
      </c>
      <c r="E29" t="str">
        <f>VLOOKUP(D29,'MP-CF (WP)'!$B$4:$Z$81,2,FALSE)</f>
        <v xml:space="preserve">Duke Energy                   </v>
      </c>
      <c r="F29" s="64">
        <v>17.8</v>
      </c>
      <c r="G29" s="64">
        <v>97.4</v>
      </c>
      <c r="H29" s="64">
        <v>82.5</v>
      </c>
      <c r="I29" s="2">
        <f t="shared" si="0"/>
        <v>89.95</v>
      </c>
      <c r="J29" s="65">
        <v>11.8</v>
      </c>
      <c r="K29" s="65">
        <v>5.05</v>
      </c>
      <c r="L29" s="65">
        <v>3.75</v>
      </c>
      <c r="M29" s="65">
        <v>15.15</v>
      </c>
      <c r="N29" s="65">
        <v>61.75</v>
      </c>
      <c r="O29" s="65">
        <v>12.05</v>
      </c>
      <c r="P29" s="65">
        <v>14</v>
      </c>
      <c r="Q29" s="65">
        <v>14.25</v>
      </c>
      <c r="R29" s="65">
        <v>12</v>
      </c>
      <c r="S29" s="73">
        <v>43875</v>
      </c>
      <c r="T29" s="2">
        <f t="shared" si="11"/>
        <v>7.6228813559322033</v>
      </c>
      <c r="U29" s="52">
        <f t="shared" si="3"/>
        <v>1.4566801619433198</v>
      </c>
      <c r="V29" s="84">
        <f t="shared" si="4"/>
        <v>6.0728744939271252E-2</v>
      </c>
      <c r="W29" s="52">
        <f t="shared" si="5"/>
        <v>0.74257425742574257</v>
      </c>
      <c r="X29" s="52">
        <f t="shared" si="6"/>
        <v>0.77887788778877887</v>
      </c>
      <c r="Y29" s="84">
        <f t="shared" si="7"/>
        <v>4.1689827682045578E-2</v>
      </c>
      <c r="Z29" s="52">
        <f t="shared" si="8"/>
        <v>0.86071428571428577</v>
      </c>
      <c r="AA29" s="52">
        <f t="shared" si="9"/>
        <v>1.1875</v>
      </c>
      <c r="AB29" s="52"/>
      <c r="AD29" s="33">
        <f t="shared" si="10"/>
        <v>295.20000000000005</v>
      </c>
    </row>
    <row r="30" spans="1:37" ht="14.25" hidden="1" customHeight="1" x14ac:dyDescent="0.25">
      <c r="A30">
        <f t="shared" si="1"/>
        <v>1</v>
      </c>
      <c r="B30" t="str">
        <f t="shared" si="2"/>
        <v>E</v>
      </c>
      <c r="C30" t="s">
        <v>269</v>
      </c>
      <c r="D30" s="13" t="s">
        <v>14</v>
      </c>
      <c r="E30" t="str">
        <f>VLOOKUP(D30,'MP-CF (WP)'!$B$4:$Z$81,2,FALSE)</f>
        <v xml:space="preserve">Edison Int'l                  </v>
      </c>
      <c r="F30" s="64">
        <v>14.3</v>
      </c>
      <c r="G30" s="64">
        <v>76.400000000000006</v>
      </c>
      <c r="H30" s="64">
        <v>53.4</v>
      </c>
      <c r="I30" s="2">
        <f t="shared" si="0"/>
        <v>64.900000000000006</v>
      </c>
      <c r="J30" s="65">
        <v>8.75</v>
      </c>
      <c r="K30" s="65">
        <v>4.6500000000000004</v>
      </c>
      <c r="L30" s="65">
        <v>2.48</v>
      </c>
      <c r="M30" s="65">
        <v>12.6</v>
      </c>
      <c r="N30" s="65">
        <v>37.9</v>
      </c>
      <c r="O30" s="65">
        <v>9.1</v>
      </c>
      <c r="P30" s="65">
        <v>13.5</v>
      </c>
      <c r="Q30" s="65">
        <v>10.75</v>
      </c>
      <c r="R30" s="65">
        <v>13.75</v>
      </c>
      <c r="S30" s="73">
        <v>43854</v>
      </c>
      <c r="T30" s="2">
        <f t="shared" si="11"/>
        <v>7.4171428571428581</v>
      </c>
      <c r="U30" s="52">
        <f t="shared" si="3"/>
        <v>1.7124010554089713</v>
      </c>
      <c r="V30" s="84">
        <f t="shared" si="4"/>
        <v>6.5435356200527706E-2</v>
      </c>
      <c r="W30" s="52">
        <f t="shared" si="5"/>
        <v>0.53333333333333333</v>
      </c>
      <c r="X30" s="52">
        <f t="shared" si="6"/>
        <v>0.69444444444444442</v>
      </c>
      <c r="Y30" s="84">
        <f t="shared" si="7"/>
        <v>3.8212634822804313E-2</v>
      </c>
      <c r="Z30" s="52">
        <f t="shared" si="8"/>
        <v>0.67407407407407405</v>
      </c>
      <c r="AA30" s="52">
        <f t="shared" si="9"/>
        <v>0.78181818181818186</v>
      </c>
      <c r="AB30" s="52"/>
      <c r="AD30" s="33">
        <f t="shared" si="10"/>
        <v>210.48</v>
      </c>
      <c r="AE30" s="2"/>
      <c r="AK30" s="26"/>
    </row>
    <row r="31" spans="1:37" ht="14.25" hidden="1" customHeight="1" x14ac:dyDescent="0.25">
      <c r="A31">
        <f t="shared" si="1"/>
        <v>1</v>
      </c>
      <c r="B31" t="str">
        <f t="shared" si="2"/>
        <v>E</v>
      </c>
      <c r="C31" t="s">
        <v>269</v>
      </c>
      <c r="D31" s="13" t="s">
        <v>15</v>
      </c>
      <c r="E31" t="str">
        <f>VLOOKUP(D31,'MP-CF (WP)'!$B$4:$Z$81,2,FALSE)</f>
        <v xml:space="preserve">El Paso Electric              </v>
      </c>
      <c r="F31" s="64">
        <v>23.2</v>
      </c>
      <c r="G31" s="64">
        <v>74.400000000000006</v>
      </c>
      <c r="H31" s="64">
        <v>48</v>
      </c>
      <c r="I31" s="2">
        <f t="shared" si="0"/>
        <v>61.2</v>
      </c>
      <c r="J31" s="65">
        <v>6.65</v>
      </c>
      <c r="K31" s="65">
        <v>2.7</v>
      </c>
      <c r="L31" s="65">
        <v>1.52</v>
      </c>
      <c r="M31" s="65">
        <v>6.95</v>
      </c>
      <c r="N31" s="65">
        <v>29.65</v>
      </c>
      <c r="O31" s="65">
        <v>6.4</v>
      </c>
      <c r="P31" s="65">
        <v>6.4</v>
      </c>
      <c r="Q31" s="65">
        <v>7.25</v>
      </c>
      <c r="R31" s="65">
        <v>7.75</v>
      </c>
      <c r="S31" s="73">
        <v>43854</v>
      </c>
      <c r="T31" s="2">
        <f t="shared" si="11"/>
        <v>9.2030075187969924</v>
      </c>
      <c r="U31" s="52">
        <f t="shared" si="3"/>
        <v>2.0640809443507591</v>
      </c>
      <c r="V31" s="84">
        <f t="shared" si="4"/>
        <v>5.1264755480607084E-2</v>
      </c>
      <c r="W31" s="52">
        <f t="shared" si="5"/>
        <v>0.56296296296296289</v>
      </c>
      <c r="X31" s="52">
        <f t="shared" si="6"/>
        <v>0.95683453237410077</v>
      </c>
      <c r="Y31" s="84">
        <f t="shared" si="7"/>
        <v>2.4836601307189541E-2</v>
      </c>
      <c r="Z31" s="52">
        <f t="shared" si="8"/>
        <v>1</v>
      </c>
      <c r="AA31" s="52">
        <f t="shared" si="9"/>
        <v>0.93548387096774188</v>
      </c>
      <c r="AB31" s="52"/>
      <c r="AD31" s="33">
        <f t="shared" si="10"/>
        <v>193.07000000000002</v>
      </c>
      <c r="AE31" s="2"/>
      <c r="AK31" s="26"/>
    </row>
    <row r="32" spans="1:37" ht="14.25" hidden="1" customHeight="1" x14ac:dyDescent="0.25">
      <c r="A32" t="str">
        <f t="shared" si="1"/>
        <v/>
      </c>
      <c r="B32" t="str">
        <f t="shared" si="2"/>
        <v/>
      </c>
      <c r="D32" s="13"/>
      <c r="F32" s="64"/>
      <c r="G32" s="64"/>
      <c r="H32" s="64"/>
      <c r="I32" s="2"/>
      <c r="J32" s="65"/>
      <c r="K32" s="65"/>
      <c r="L32" s="65"/>
      <c r="M32" s="65"/>
      <c r="N32" s="65"/>
      <c r="O32" s="65"/>
      <c r="P32" s="65"/>
      <c r="Q32" s="65"/>
      <c r="R32" s="65"/>
      <c r="S32" s="73"/>
      <c r="T32" s="2" t="str">
        <f t="shared" si="11"/>
        <v/>
      </c>
      <c r="U32" s="52" t="str">
        <f t="shared" si="3"/>
        <v/>
      </c>
      <c r="V32" s="84" t="str">
        <f t="shared" si="4"/>
        <v/>
      </c>
      <c r="W32" s="52" t="str">
        <f t="shared" si="5"/>
        <v/>
      </c>
      <c r="X32" s="52" t="str">
        <f t="shared" si="6"/>
        <v/>
      </c>
      <c r="Y32" s="84" t="str">
        <f t="shared" si="7"/>
        <v/>
      </c>
      <c r="Z32" s="52" t="str">
        <f>IFERROR(O32/P32,"")</f>
        <v/>
      </c>
      <c r="AA32" s="52" t="str">
        <f t="shared" si="9"/>
        <v/>
      </c>
      <c r="AB32" s="52"/>
      <c r="AD32" s="33">
        <f t="shared" si="10"/>
        <v>0</v>
      </c>
      <c r="AE32" s="2"/>
      <c r="AK32" s="26"/>
    </row>
    <row r="33" spans="1:37" hidden="1" x14ac:dyDescent="0.25">
      <c r="A33">
        <f t="shared" si="1"/>
        <v>1</v>
      </c>
      <c r="B33" t="str">
        <f t="shared" si="2"/>
        <v>E</v>
      </c>
      <c r="C33" t="s">
        <v>342</v>
      </c>
      <c r="D33" s="13" t="s">
        <v>17</v>
      </c>
      <c r="E33" t="str">
        <f>VLOOKUP(D33,'MP-CF (WP)'!$B$4:$Z$81,2,FALSE)</f>
        <v xml:space="preserve">Entergy Corp.                 </v>
      </c>
      <c r="F33" s="167">
        <v>16.5</v>
      </c>
      <c r="G33" s="64">
        <v>122.1</v>
      </c>
      <c r="H33" s="64">
        <v>83.2</v>
      </c>
      <c r="I33" s="2">
        <f t="shared" ref="I33:I71" si="12">IFERROR(AVERAGE(G33:H33),"")</f>
        <v>102.65</v>
      </c>
      <c r="J33" s="65">
        <v>17.190000000000001</v>
      </c>
      <c r="K33" s="65">
        <v>6.3</v>
      </c>
      <c r="L33" s="65">
        <v>3.66</v>
      </c>
      <c r="M33" s="65">
        <v>21.72</v>
      </c>
      <c r="N33" s="65">
        <v>51.34</v>
      </c>
      <c r="O33" s="65">
        <v>16.899999999999999</v>
      </c>
      <c r="P33" s="65">
        <v>20.75</v>
      </c>
      <c r="Q33" s="65">
        <v>20</v>
      </c>
      <c r="R33" s="65">
        <v>18.75</v>
      </c>
      <c r="S33" s="73">
        <v>43903</v>
      </c>
      <c r="T33" s="2">
        <f>IFERROR(I33/J33,"")</f>
        <v>5.9714950552646888</v>
      </c>
      <c r="U33" s="52">
        <f>IFERROR(I33/N33,"")</f>
        <v>1.9994156603038566</v>
      </c>
      <c r="V33" s="84">
        <f>IFERROR(L33/N33,"")</f>
        <v>7.1289442929489674E-2</v>
      </c>
      <c r="W33" s="52">
        <f>IFERROR(L33/K33,"")</f>
        <v>0.580952380952381</v>
      </c>
      <c r="X33" s="52">
        <f>IFERROR(J33/M33,"")</f>
        <v>0.79143646408839785</v>
      </c>
      <c r="Y33" s="84">
        <f t="shared" si="7"/>
        <v>3.5655138821237213E-2</v>
      </c>
      <c r="Z33" s="52">
        <f>IFERROR(O33/P33,"")</f>
        <v>0.81445783132530114</v>
      </c>
      <c r="AA33" s="52">
        <f t="shared" si="9"/>
        <v>1.0666666666666667</v>
      </c>
      <c r="AB33" s="52"/>
      <c r="AD33" s="33">
        <f t="shared" ref="AD33:AD51" si="13">ABS(SUM(F33:H33,J33:N33))</f>
        <v>322.01</v>
      </c>
      <c r="AE33" s="2"/>
      <c r="AK33" s="26"/>
    </row>
    <row r="34" spans="1:37" hidden="1" x14ac:dyDescent="0.25">
      <c r="A34">
        <f>IF(OR(B34="E",B34="N"),1,"")</f>
        <v>1</v>
      </c>
      <c r="B34" t="str">
        <f>LEFT(C34,1)</f>
        <v>E</v>
      </c>
      <c r="C34" t="s">
        <v>342</v>
      </c>
      <c r="D34" s="13" t="s">
        <v>447</v>
      </c>
      <c r="E34" t="s">
        <v>448</v>
      </c>
      <c r="F34" s="167">
        <v>21.8</v>
      </c>
      <c r="G34" s="64">
        <v>67.8</v>
      </c>
      <c r="H34" s="64">
        <v>54.6</v>
      </c>
      <c r="I34" s="2">
        <f t="shared" si="12"/>
        <v>61.2</v>
      </c>
      <c r="J34" s="65">
        <v>7.18</v>
      </c>
      <c r="K34" s="65">
        <v>2.79</v>
      </c>
      <c r="L34" s="65">
        <v>1.93</v>
      </c>
      <c r="M34" s="65">
        <v>5.34</v>
      </c>
      <c r="N34" s="65">
        <v>37.82</v>
      </c>
      <c r="O34" s="65">
        <v>7.6</v>
      </c>
      <c r="P34" s="65">
        <v>7.15</v>
      </c>
      <c r="Q34" s="65">
        <v>9.5</v>
      </c>
      <c r="R34" s="65">
        <v>6</v>
      </c>
      <c r="S34" s="73">
        <v>43903</v>
      </c>
      <c r="T34" s="2">
        <f>IFERROR(I34/J34,"")</f>
        <v>8.5236768802228422</v>
      </c>
      <c r="U34" s="52">
        <f>IFERROR(I34/N34,"")</f>
        <v>1.6181914331041778</v>
      </c>
      <c r="V34" s="84">
        <f>IFERROR(L34/N34,"")</f>
        <v>5.1031200423056582E-2</v>
      </c>
      <c r="W34" s="52">
        <f>IFERROR(L34/K34,"")</f>
        <v>0.69175627240143367</v>
      </c>
      <c r="X34" s="52">
        <f>IFERROR(J34/M34,"")</f>
        <v>1.3445692883895131</v>
      </c>
      <c r="Y34" s="84">
        <f t="shared" si="7"/>
        <v>3.15359477124183E-2</v>
      </c>
      <c r="Z34" s="52">
        <f>IFERROR(O34/P34,"")</f>
        <v>1.0629370629370629</v>
      </c>
      <c r="AA34" s="52">
        <f t="shared" si="9"/>
        <v>1.5833333333333333</v>
      </c>
      <c r="AB34" s="52"/>
      <c r="AD34" s="33">
        <f t="shared" si="13"/>
        <v>199.26</v>
      </c>
      <c r="AE34" s="2"/>
      <c r="AK34" s="26"/>
    </row>
    <row r="35" spans="1:37" ht="14.25" hidden="1" customHeight="1" x14ac:dyDescent="0.25">
      <c r="A35">
        <f t="shared" si="1"/>
        <v>1</v>
      </c>
      <c r="B35" t="str">
        <f t="shared" si="2"/>
        <v>E</v>
      </c>
      <c r="C35" t="s">
        <v>268</v>
      </c>
      <c r="D35" s="13" t="s">
        <v>211</v>
      </c>
      <c r="E35" t="str">
        <f>VLOOKUP(D35,'MP-CF (WP)'!$B$4:$Z$81,2,FALSE)</f>
        <v xml:space="preserve">Eversource Energy    </v>
      </c>
      <c r="F35" s="64">
        <v>22.1</v>
      </c>
      <c r="G35" s="64">
        <v>86.6</v>
      </c>
      <c r="H35" s="64">
        <v>63.1</v>
      </c>
      <c r="I35" s="2">
        <f t="shared" si="12"/>
        <v>74.849999999999994</v>
      </c>
      <c r="J35" s="65">
        <v>7.15</v>
      </c>
      <c r="K35" s="65">
        <v>3.45</v>
      </c>
      <c r="L35" s="65">
        <v>2.14</v>
      </c>
      <c r="M35" s="65">
        <v>9.15</v>
      </c>
      <c r="N35" s="65">
        <v>37.700000000000003</v>
      </c>
      <c r="O35" s="65">
        <v>7.35</v>
      </c>
      <c r="P35" s="65">
        <v>7.7</v>
      </c>
      <c r="Q35" s="65">
        <v>8.75</v>
      </c>
      <c r="R35" s="65">
        <v>6.75</v>
      </c>
      <c r="S35" s="73">
        <v>43875</v>
      </c>
      <c r="T35" s="2">
        <f t="shared" si="11"/>
        <v>10.468531468531467</v>
      </c>
      <c r="U35" s="52">
        <f t="shared" si="3"/>
        <v>1.9854111405835542</v>
      </c>
      <c r="V35" s="84">
        <f t="shared" si="4"/>
        <v>5.6763925729442971E-2</v>
      </c>
      <c r="W35" s="52">
        <f t="shared" si="5"/>
        <v>0.62028985507246381</v>
      </c>
      <c r="X35" s="52">
        <f t="shared" si="6"/>
        <v>0.78142076502732238</v>
      </c>
      <c r="Y35" s="84">
        <f t="shared" si="7"/>
        <v>2.8590514362057451E-2</v>
      </c>
      <c r="Z35" s="52">
        <f t="shared" ref="Z35:Z74" si="14">IFERROR(O35/P35,"")</f>
        <v>0.95454545454545447</v>
      </c>
      <c r="AA35" s="52">
        <f t="shared" si="9"/>
        <v>1.2962962962962963</v>
      </c>
      <c r="AB35" s="52"/>
      <c r="AD35" s="33">
        <f t="shared" si="13"/>
        <v>231.39</v>
      </c>
      <c r="AE35" s="2"/>
      <c r="AK35" s="26"/>
    </row>
    <row r="36" spans="1:37" ht="14.25" hidden="1" customHeight="1" x14ac:dyDescent="0.25">
      <c r="A36">
        <f t="shared" si="1"/>
        <v>1</v>
      </c>
      <c r="B36" t="str">
        <f t="shared" si="2"/>
        <v>E</v>
      </c>
      <c r="C36" t="s">
        <v>268</v>
      </c>
      <c r="D36" s="13" t="s">
        <v>18</v>
      </c>
      <c r="E36" t="str">
        <f>VLOOKUP(D36,'MP-CF (WP)'!$B$4:$Z$81,2,FALSE)</f>
        <v xml:space="preserve">Exelon Corp.                  </v>
      </c>
      <c r="F36" s="64">
        <v>15.8</v>
      </c>
      <c r="G36" s="64">
        <v>51.2</v>
      </c>
      <c r="H36" s="64">
        <v>43.4</v>
      </c>
      <c r="I36" s="2">
        <f t="shared" si="12"/>
        <v>47.3</v>
      </c>
      <c r="J36" s="65">
        <v>9</v>
      </c>
      <c r="K36" s="65">
        <v>3</v>
      </c>
      <c r="L36" s="65">
        <v>1.45</v>
      </c>
      <c r="M36" s="65">
        <v>7.6</v>
      </c>
      <c r="N36" s="65">
        <v>33.35</v>
      </c>
      <c r="O36" s="65">
        <v>9.4499999999999993</v>
      </c>
      <c r="P36" s="65">
        <v>7.25</v>
      </c>
      <c r="Q36" s="65">
        <v>11.25</v>
      </c>
      <c r="R36" s="65">
        <v>7.25</v>
      </c>
      <c r="S36" s="73">
        <v>43875</v>
      </c>
      <c r="T36" s="2">
        <f t="shared" si="11"/>
        <v>5.2555555555555555</v>
      </c>
      <c r="U36" s="52">
        <f t="shared" si="3"/>
        <v>1.4182908545727135</v>
      </c>
      <c r="V36" s="84">
        <f t="shared" si="4"/>
        <v>4.3478260869565216E-2</v>
      </c>
      <c r="W36" s="52">
        <f t="shared" si="5"/>
        <v>0.48333333333333334</v>
      </c>
      <c r="X36" s="52">
        <f t="shared" si="6"/>
        <v>1.1842105263157896</v>
      </c>
      <c r="Y36" s="84">
        <f t="shared" si="7"/>
        <v>3.06553911205074E-2</v>
      </c>
      <c r="Z36" s="52">
        <f t="shared" si="14"/>
        <v>1.3034482758620689</v>
      </c>
      <c r="AA36" s="52">
        <f t="shared" si="9"/>
        <v>1.5517241379310345</v>
      </c>
      <c r="AB36" s="52"/>
      <c r="AD36" s="33">
        <f t="shared" si="13"/>
        <v>164.8</v>
      </c>
      <c r="AE36" s="2"/>
      <c r="AK36" s="26"/>
    </row>
    <row r="37" spans="1:37" ht="14.25" hidden="1" customHeight="1" x14ac:dyDescent="0.25">
      <c r="A37">
        <f t="shared" si="1"/>
        <v>1</v>
      </c>
      <c r="B37" t="str">
        <f t="shared" si="2"/>
        <v>E</v>
      </c>
      <c r="C37" t="s">
        <v>268</v>
      </c>
      <c r="D37" s="13" t="s">
        <v>19</v>
      </c>
      <c r="E37" t="str">
        <f>VLOOKUP(D37,'MP-CF (WP)'!$B$4:$Z$81,2,FALSE)</f>
        <v xml:space="preserve">FirstEnergy Corp.             </v>
      </c>
      <c r="F37" s="64">
        <v>23.6</v>
      </c>
      <c r="G37" s="64">
        <v>49.1</v>
      </c>
      <c r="H37" s="64">
        <v>36.299999999999997</v>
      </c>
      <c r="I37" s="2">
        <f t="shared" si="12"/>
        <v>42.7</v>
      </c>
      <c r="J37" s="65">
        <v>4.0999999999999996</v>
      </c>
      <c r="K37" s="65">
        <v>1.85</v>
      </c>
      <c r="L37" s="65">
        <v>1.53</v>
      </c>
      <c r="M37" s="65">
        <v>5.55</v>
      </c>
      <c r="N37" s="65">
        <v>14.1</v>
      </c>
      <c r="O37" s="65">
        <v>5.3</v>
      </c>
      <c r="P37" s="65">
        <v>5.5</v>
      </c>
      <c r="Q37" s="65">
        <v>6.25</v>
      </c>
      <c r="R37" s="65">
        <v>5.5</v>
      </c>
      <c r="S37" s="73">
        <v>43875</v>
      </c>
      <c r="T37" s="2">
        <f t="shared" si="11"/>
        <v>10.414634146341465</v>
      </c>
      <c r="U37" s="52">
        <f t="shared" si="3"/>
        <v>3.0283687943262416</v>
      </c>
      <c r="V37" s="84">
        <f t="shared" si="4"/>
        <v>0.10851063829787234</v>
      </c>
      <c r="W37" s="52">
        <f t="shared" si="5"/>
        <v>0.82702702702702702</v>
      </c>
      <c r="X37" s="52">
        <f t="shared" si="6"/>
        <v>0.73873873873873874</v>
      </c>
      <c r="Y37" s="84">
        <f t="shared" si="7"/>
        <v>3.5831381733021077E-2</v>
      </c>
      <c r="Z37" s="52">
        <f t="shared" si="14"/>
        <v>0.96363636363636362</v>
      </c>
      <c r="AA37" s="52">
        <f t="shared" si="9"/>
        <v>1.1363636363636365</v>
      </c>
      <c r="AB37" s="52"/>
      <c r="AD37" s="33">
        <f t="shared" si="13"/>
        <v>136.13</v>
      </c>
      <c r="AE37" s="2"/>
      <c r="AK37" s="26"/>
    </row>
    <row r="38" spans="1:37" hidden="1" x14ac:dyDescent="0.25">
      <c r="A38">
        <f t="shared" si="1"/>
        <v>1</v>
      </c>
      <c r="B38" t="str">
        <f t="shared" si="2"/>
        <v>E</v>
      </c>
      <c r="C38" t="s">
        <v>342</v>
      </c>
      <c r="D38" s="13" t="s">
        <v>266</v>
      </c>
      <c r="E38" t="str">
        <f>VLOOKUP(D38,'MP-CF (WP)'!$B$4:$Z$81,2,FALSE)</f>
        <v>Fortis Inc.</v>
      </c>
      <c r="F38" s="167">
        <v>19.2</v>
      </c>
      <c r="G38" s="64">
        <v>56.9</v>
      </c>
      <c r="H38" s="64">
        <v>44</v>
      </c>
      <c r="I38" s="2">
        <f t="shared" si="12"/>
        <v>50.45</v>
      </c>
      <c r="J38" s="65">
        <v>5.44</v>
      </c>
      <c r="K38" s="65">
        <v>2.68</v>
      </c>
      <c r="L38" s="65">
        <v>1.86</v>
      </c>
      <c r="M38" s="65">
        <v>8.0299999999999994</v>
      </c>
      <c r="N38" s="65">
        <v>36.49</v>
      </c>
      <c r="O38" s="65">
        <v>5.6</v>
      </c>
      <c r="P38" s="65">
        <v>9.35</v>
      </c>
      <c r="Q38" s="65">
        <v>6.5</v>
      </c>
      <c r="R38" s="65">
        <v>6.75</v>
      </c>
      <c r="S38" s="73">
        <v>43903</v>
      </c>
      <c r="T38" s="2">
        <f>IFERROR(I38/J38,"")</f>
        <v>9.273897058823529</v>
      </c>
      <c r="U38" s="52">
        <f>IFERROR(I38/N38,"")</f>
        <v>1.3825705672787065</v>
      </c>
      <c r="V38" s="84">
        <f>IFERROR(L38/N38,"")</f>
        <v>5.0972869279254589E-2</v>
      </c>
      <c r="W38" s="52">
        <f>IFERROR(L38/K38,"")</f>
        <v>0.69402985074626866</v>
      </c>
      <c r="X38" s="52">
        <f>IFERROR(J38/M38,"")</f>
        <v>0.67745952677459542</v>
      </c>
      <c r="Y38" s="84">
        <f t="shared" si="7"/>
        <v>3.6868186323092168E-2</v>
      </c>
      <c r="Z38" s="52">
        <f t="shared" si="14"/>
        <v>0.59893048128342241</v>
      </c>
      <c r="AA38" s="52">
        <f t="shared" si="9"/>
        <v>0.96296296296296291</v>
      </c>
      <c r="AB38" s="52"/>
      <c r="AD38" s="33">
        <f t="shared" si="13"/>
        <v>174.60000000000002</v>
      </c>
      <c r="AE38" s="2"/>
      <c r="AK38" s="26"/>
    </row>
    <row r="39" spans="1:37" hidden="1" x14ac:dyDescent="0.25">
      <c r="A39">
        <f t="shared" si="1"/>
        <v>1</v>
      </c>
      <c r="B39" t="str">
        <f t="shared" si="2"/>
        <v>E</v>
      </c>
      <c r="C39" t="s">
        <v>342</v>
      </c>
      <c r="D39" s="13" t="s">
        <v>20</v>
      </c>
      <c r="E39" t="str">
        <f>VLOOKUP(D39,'MP-CF (WP)'!$B$4:$Z$81,2,FALSE)</f>
        <v xml:space="preserve">Great Plains Energy             </v>
      </c>
      <c r="F39" s="175" t="s">
        <v>106</v>
      </c>
      <c r="G39" s="175" t="s">
        <v>106</v>
      </c>
      <c r="H39" s="175" t="s">
        <v>106</v>
      </c>
      <c r="I39" s="17" t="str">
        <f t="shared" si="12"/>
        <v/>
      </c>
      <c r="J39" s="176" t="s">
        <v>106</v>
      </c>
      <c r="K39" s="176" t="s">
        <v>106</v>
      </c>
      <c r="L39" s="176" t="s">
        <v>106</v>
      </c>
      <c r="M39" s="176" t="s">
        <v>106</v>
      </c>
      <c r="N39" s="176" t="s">
        <v>106</v>
      </c>
      <c r="O39" s="65"/>
      <c r="P39" s="65"/>
      <c r="Q39" s="65"/>
      <c r="R39" s="65"/>
      <c r="S39" s="73">
        <v>43266</v>
      </c>
      <c r="T39" s="2" t="str">
        <f>IFERROR(I39/J39,"N/A")</f>
        <v>N/A</v>
      </c>
      <c r="U39" s="52" t="str">
        <f>IFERROR(I39/N39,"N/A")</f>
        <v>N/A</v>
      </c>
      <c r="V39" s="84" t="str">
        <f>IFERROR(L39/N39,"N/A")</f>
        <v>N/A</v>
      </c>
      <c r="W39" s="52" t="str">
        <f>IFERROR(L39/K39,"N/A")</f>
        <v>N/A</v>
      </c>
      <c r="X39" s="52" t="str">
        <f>IFERROR(J39/M39,"N/A")</f>
        <v>N/A</v>
      </c>
      <c r="Y39" s="84" t="str">
        <f>IFERROR(L39/I39,"N/A")</f>
        <v>N/A</v>
      </c>
      <c r="Z39" s="52" t="str">
        <f>IFERROR(O39/P39,"N/A")</f>
        <v>N/A</v>
      </c>
      <c r="AA39" s="52" t="str">
        <f>IFERROR(Q39/R39,"N/A")</f>
        <v>N/A</v>
      </c>
      <c r="AB39" s="52"/>
      <c r="AD39" s="33">
        <f t="shared" si="13"/>
        <v>0</v>
      </c>
    </row>
    <row r="40" spans="1:37" ht="14.25" hidden="1" customHeight="1" x14ac:dyDescent="0.25">
      <c r="A40">
        <f t="shared" si="1"/>
        <v>1</v>
      </c>
      <c r="B40" t="str">
        <f t="shared" si="2"/>
        <v>E</v>
      </c>
      <c r="C40" t="s">
        <v>269</v>
      </c>
      <c r="D40" s="13" t="s">
        <v>21</v>
      </c>
      <c r="E40" t="str">
        <f>VLOOKUP(D40,'MP-CF (WP)'!$B$4:$Z$81,2,FALSE)</f>
        <v xml:space="preserve">Hawaiian Elec.                </v>
      </c>
      <c r="F40" s="64">
        <v>22.3</v>
      </c>
      <c r="G40" s="64">
        <v>47.6</v>
      </c>
      <c r="H40" s="64">
        <v>35.1</v>
      </c>
      <c r="I40" s="2">
        <f t="shared" si="12"/>
        <v>41.35</v>
      </c>
      <c r="J40" s="65">
        <v>4.3499999999999996</v>
      </c>
      <c r="K40" s="65">
        <v>1.9</v>
      </c>
      <c r="L40" s="65">
        <v>1.28</v>
      </c>
      <c r="M40" s="65">
        <v>3.9</v>
      </c>
      <c r="N40" s="65">
        <v>20.45</v>
      </c>
      <c r="O40" s="65">
        <v>4.5</v>
      </c>
      <c r="P40" s="65">
        <v>4.0999999999999996</v>
      </c>
      <c r="Q40" s="65">
        <v>5</v>
      </c>
      <c r="R40" s="65">
        <v>4.5</v>
      </c>
      <c r="S40" s="73">
        <v>43854</v>
      </c>
      <c r="T40" s="2">
        <f t="shared" si="11"/>
        <v>9.5057471264367823</v>
      </c>
      <c r="U40" s="52">
        <f t="shared" si="3"/>
        <v>2.0220048899755501</v>
      </c>
      <c r="V40" s="84">
        <f t="shared" si="4"/>
        <v>6.25916870415648E-2</v>
      </c>
      <c r="W40" s="52">
        <f t="shared" si="5"/>
        <v>0.67368421052631589</v>
      </c>
      <c r="X40" s="52">
        <f t="shared" si="6"/>
        <v>1.1153846153846154</v>
      </c>
      <c r="Y40" s="84">
        <f t="shared" si="7"/>
        <v>3.0955259975816201E-2</v>
      </c>
      <c r="Z40" s="52">
        <f t="shared" si="14"/>
        <v>1.0975609756097562</v>
      </c>
      <c r="AA40" s="52">
        <f t="shared" si="9"/>
        <v>1.1111111111111112</v>
      </c>
      <c r="AB40" s="52"/>
      <c r="AD40" s="33">
        <f t="shared" si="13"/>
        <v>136.88</v>
      </c>
    </row>
    <row r="41" spans="1:37" ht="14.25" hidden="1" customHeight="1" x14ac:dyDescent="0.25">
      <c r="A41">
        <f t="shared" si="1"/>
        <v>1</v>
      </c>
      <c r="B41" t="str">
        <f t="shared" si="2"/>
        <v>E</v>
      </c>
      <c r="C41" t="s">
        <v>269</v>
      </c>
      <c r="D41" s="13" t="s">
        <v>22</v>
      </c>
      <c r="E41" t="str">
        <f>VLOOKUP(D41,'MP-CF (WP)'!$B$4:$Z$81,2,FALSE)</f>
        <v xml:space="preserve">IDACORP, Inc.                 </v>
      </c>
      <c r="F41" s="64">
        <v>23</v>
      </c>
      <c r="G41" s="64">
        <v>114</v>
      </c>
      <c r="H41" s="64">
        <v>89.3</v>
      </c>
      <c r="I41" s="2">
        <f t="shared" si="12"/>
        <v>101.65</v>
      </c>
      <c r="J41" s="65">
        <v>7.95</v>
      </c>
      <c r="K41" s="65">
        <v>4.45</v>
      </c>
      <c r="L41" s="65">
        <v>2.56</v>
      </c>
      <c r="M41" s="65">
        <v>6.35</v>
      </c>
      <c r="N41" s="65">
        <v>48.85</v>
      </c>
      <c r="O41" s="65">
        <v>8.1999999999999993</v>
      </c>
      <c r="P41" s="65">
        <v>6.55</v>
      </c>
      <c r="Q41" s="65">
        <v>9.5</v>
      </c>
      <c r="R41" s="65">
        <v>7.25</v>
      </c>
      <c r="S41" s="73">
        <v>43854</v>
      </c>
      <c r="T41" s="2">
        <f t="shared" si="11"/>
        <v>12.786163522012579</v>
      </c>
      <c r="U41" s="52">
        <f t="shared" si="3"/>
        <v>2.0808597748208801</v>
      </c>
      <c r="V41" s="84">
        <f t="shared" si="4"/>
        <v>5.2405322415557828E-2</v>
      </c>
      <c r="W41" s="52">
        <f t="shared" si="5"/>
        <v>0.57528089887640443</v>
      </c>
      <c r="X41" s="52">
        <f t="shared" si="6"/>
        <v>1.2519685039370079</v>
      </c>
      <c r="Y41" s="84">
        <f t="shared" si="7"/>
        <v>2.5184456468273487E-2</v>
      </c>
      <c r="Z41" s="52">
        <f t="shared" si="14"/>
        <v>1.2519083969465647</v>
      </c>
      <c r="AA41" s="52">
        <f t="shared" si="9"/>
        <v>1.3103448275862069</v>
      </c>
      <c r="AB41" s="52"/>
      <c r="AD41" s="33">
        <f t="shared" si="13"/>
        <v>296.45999999999998</v>
      </c>
    </row>
    <row r="42" spans="1:37" s="31" customFormat="1" hidden="1" x14ac:dyDescent="0.25">
      <c r="A42" s="31">
        <f t="shared" si="1"/>
        <v>1</v>
      </c>
      <c r="B42" s="31" t="str">
        <f t="shared" si="2"/>
        <v>E</v>
      </c>
      <c r="C42" s="31" t="s">
        <v>342</v>
      </c>
      <c r="D42" s="13" t="s">
        <v>25</v>
      </c>
      <c r="E42" s="31" t="str">
        <f>VLOOKUP(D42,'MP-CF (WP)'!$B$4:$Z$81,2,FALSE)</f>
        <v xml:space="preserve">MGE Energy                    </v>
      </c>
      <c r="F42" s="194">
        <v>28.4</v>
      </c>
      <c r="G42" s="195">
        <v>80.8</v>
      </c>
      <c r="H42" s="195">
        <v>56.7</v>
      </c>
      <c r="I42" s="168">
        <f t="shared" si="12"/>
        <v>68.75</v>
      </c>
      <c r="J42" s="193">
        <v>4.57</v>
      </c>
      <c r="K42" s="193">
        <v>2.5099999999999998</v>
      </c>
      <c r="L42" s="193">
        <v>1.38</v>
      </c>
      <c r="M42" s="193">
        <v>4.7300000000000004</v>
      </c>
      <c r="N42" s="193">
        <v>24.68</v>
      </c>
      <c r="O42" s="193">
        <v>4.75</v>
      </c>
      <c r="P42" s="193">
        <v>6.55</v>
      </c>
      <c r="Q42" s="193">
        <v>6</v>
      </c>
      <c r="R42" s="193">
        <v>4.75</v>
      </c>
      <c r="S42" s="73">
        <v>43903</v>
      </c>
      <c r="T42" s="196">
        <f t="shared" si="11"/>
        <v>15.043763676148796</v>
      </c>
      <c r="U42" s="197">
        <f t="shared" si="3"/>
        <v>2.7856564019448946</v>
      </c>
      <c r="V42" s="198">
        <f t="shared" si="4"/>
        <v>5.5915721231766607E-2</v>
      </c>
      <c r="W42" s="197">
        <f t="shared" si="5"/>
        <v>0.54980079681274896</v>
      </c>
      <c r="X42" s="197">
        <f t="shared" si="6"/>
        <v>0.96617336152219868</v>
      </c>
      <c r="Y42" s="198">
        <f t="shared" si="7"/>
        <v>2.007272727272727E-2</v>
      </c>
      <c r="Z42" s="197">
        <f t="shared" si="14"/>
        <v>0.72519083969465647</v>
      </c>
      <c r="AA42" s="197">
        <f t="shared" si="9"/>
        <v>1.263157894736842</v>
      </c>
      <c r="AB42" s="197"/>
      <c r="AD42" s="199">
        <f t="shared" si="13"/>
        <v>203.76999999999995</v>
      </c>
    </row>
    <row r="43" spans="1:37" ht="14.25" customHeight="1" x14ac:dyDescent="0.25">
      <c r="A43" t="str">
        <f t="shared" si="1"/>
        <v/>
      </c>
      <c r="B43" t="str">
        <f t="shared" si="2"/>
        <v>W</v>
      </c>
      <c r="C43" t="s">
        <v>270</v>
      </c>
      <c r="D43" s="13" t="s">
        <v>188</v>
      </c>
      <c r="E43" t="str">
        <f ca="1">INDEX(nameLU,MATCH(D43,tickerLU,0))</f>
        <v>Middlesex Water</v>
      </c>
      <c r="F43" s="64">
        <v>31.5</v>
      </c>
      <c r="G43" s="64">
        <v>67.7</v>
      </c>
      <c r="H43" s="64">
        <v>51</v>
      </c>
      <c r="I43" s="2">
        <f t="shared" si="12"/>
        <v>59.35</v>
      </c>
      <c r="J43" s="65">
        <v>2.8</v>
      </c>
      <c r="K43" s="65">
        <v>1.95</v>
      </c>
      <c r="L43" s="65">
        <v>0.98</v>
      </c>
      <c r="M43" s="65">
        <v>3.5</v>
      </c>
      <c r="N43" s="65">
        <v>15.7</v>
      </c>
      <c r="O43" s="65">
        <v>2.95</v>
      </c>
      <c r="P43" s="65">
        <v>3.5</v>
      </c>
      <c r="Q43" s="65">
        <v>3.45</v>
      </c>
      <c r="R43" s="65">
        <v>3.5</v>
      </c>
      <c r="S43" s="73">
        <v>43840</v>
      </c>
      <c r="T43" s="2">
        <f t="shared" si="11"/>
        <v>21.196428571428573</v>
      </c>
      <c r="U43" s="52">
        <f t="shared" si="3"/>
        <v>3.7802547770700641</v>
      </c>
      <c r="V43" s="84">
        <f t="shared" si="4"/>
        <v>6.2420382165605096E-2</v>
      </c>
      <c r="W43" s="52">
        <f t="shared" si="5"/>
        <v>0.50256410256410255</v>
      </c>
      <c r="X43" s="52">
        <f t="shared" si="6"/>
        <v>0.79999999999999993</v>
      </c>
      <c r="Y43" s="84">
        <f t="shared" si="7"/>
        <v>1.6512215669755685E-2</v>
      </c>
      <c r="Z43" s="52">
        <f t="shared" si="14"/>
        <v>0.84285714285714286</v>
      </c>
      <c r="AA43" s="52">
        <f t="shared" si="9"/>
        <v>0.98571428571428577</v>
      </c>
      <c r="AB43" s="52"/>
      <c r="AD43" s="33">
        <f t="shared" si="13"/>
        <v>175.12999999999997</v>
      </c>
    </row>
    <row r="44" spans="1:37" ht="14.25" hidden="1" customHeight="1" x14ac:dyDescent="0.25">
      <c r="A44">
        <f t="shared" si="1"/>
        <v>1</v>
      </c>
      <c r="B44" t="str">
        <f t="shared" si="2"/>
        <v>N</v>
      </c>
      <c r="C44" t="s">
        <v>271</v>
      </c>
      <c r="D44" s="13" t="s">
        <v>190</v>
      </c>
      <c r="E44" t="str">
        <f ca="1">INDEX(OFFSET(CashFlow,0,-1,,1),MATCH(D44,OFFSET(CashFlow,0,0,,1),0))</f>
        <v>New Jersey Resources</v>
      </c>
      <c r="F44" s="64">
        <v>24.3</v>
      </c>
      <c r="G44" s="64">
        <v>51.2</v>
      </c>
      <c r="H44" s="64">
        <v>40.299999999999997</v>
      </c>
      <c r="I44" s="2">
        <f t="shared" si="12"/>
        <v>45.75</v>
      </c>
      <c r="J44" s="65">
        <v>2.99</v>
      </c>
      <c r="K44" s="65">
        <v>1.96</v>
      </c>
      <c r="L44" s="65">
        <v>1.19</v>
      </c>
      <c r="M44" s="65">
        <v>5.83</v>
      </c>
      <c r="N44" s="65">
        <v>17.37</v>
      </c>
      <c r="O44" s="65">
        <v>3.05</v>
      </c>
      <c r="P44" s="65">
        <v>4.7</v>
      </c>
      <c r="Q44" s="65">
        <v>3.55</v>
      </c>
      <c r="R44" s="65">
        <v>4</v>
      </c>
      <c r="S44" s="73">
        <v>43889</v>
      </c>
      <c r="T44" s="2">
        <f t="shared" si="11"/>
        <v>15.301003344481604</v>
      </c>
      <c r="U44" s="52">
        <f t="shared" si="3"/>
        <v>2.6338514680483591</v>
      </c>
      <c r="V44" s="84">
        <f t="shared" si="4"/>
        <v>6.8508923431203211E-2</v>
      </c>
      <c r="W44" s="52">
        <f t="shared" si="5"/>
        <v>0.6071428571428571</v>
      </c>
      <c r="X44" s="52">
        <f t="shared" si="6"/>
        <v>0.51286449399656953</v>
      </c>
      <c r="Y44" s="84">
        <f t="shared" si="7"/>
        <v>2.6010928961748631E-2</v>
      </c>
      <c r="Z44" s="52">
        <f t="shared" si="14"/>
        <v>0.64893617021276595</v>
      </c>
      <c r="AA44" s="52">
        <f t="shared" si="9"/>
        <v>0.88749999999999996</v>
      </c>
      <c r="AB44" s="52"/>
      <c r="AD44" s="33">
        <f t="shared" si="13"/>
        <v>145.13999999999999</v>
      </c>
    </row>
    <row r="45" spans="1:37" ht="14.25" hidden="1" customHeight="1" x14ac:dyDescent="0.25">
      <c r="A45">
        <f t="shared" si="1"/>
        <v>1</v>
      </c>
      <c r="B45" t="str">
        <f t="shared" si="2"/>
        <v>E</v>
      </c>
      <c r="C45" t="s">
        <v>268</v>
      </c>
      <c r="D45" s="13" t="s">
        <v>141</v>
      </c>
      <c r="E45" t="str">
        <f>VLOOKUP(D45,'MP-CF (WP)'!$B$4:$Z$81,2,FALSE)</f>
        <v>NextEra Energy, Inc.</v>
      </c>
      <c r="F45" s="64">
        <v>26.8</v>
      </c>
      <c r="G45" s="64">
        <v>61.3</v>
      </c>
      <c r="H45" s="64">
        <v>42.2</v>
      </c>
      <c r="I45" s="2">
        <f t="shared" si="12"/>
        <v>51.75</v>
      </c>
      <c r="J45" s="65">
        <v>4.22</v>
      </c>
      <c r="K45" s="65">
        <v>1.94</v>
      </c>
      <c r="L45" s="65">
        <v>1.25</v>
      </c>
      <c r="M45" s="65">
        <v>6.29</v>
      </c>
      <c r="N45" s="65">
        <v>18.920000000000002</v>
      </c>
      <c r="O45" s="65">
        <v>4.3</v>
      </c>
      <c r="P45" s="65">
        <v>7.45</v>
      </c>
      <c r="Q45" s="65">
        <v>6</v>
      </c>
      <c r="R45" s="65">
        <v>9</v>
      </c>
      <c r="S45" s="73">
        <v>44239</v>
      </c>
      <c r="T45" s="2">
        <f t="shared" si="11"/>
        <v>12.263033175355451</v>
      </c>
      <c r="U45" s="52">
        <f t="shared" si="3"/>
        <v>2.7352008456659616</v>
      </c>
      <c r="V45" s="84">
        <f t="shared" si="4"/>
        <v>6.6067653276955601E-2</v>
      </c>
      <c r="W45" s="52">
        <f t="shared" si="5"/>
        <v>0.64432989690721654</v>
      </c>
      <c r="X45" s="52">
        <f t="shared" si="6"/>
        <v>0.670906200317965</v>
      </c>
      <c r="Y45" s="84">
        <f t="shared" si="7"/>
        <v>2.4154589371980676E-2</v>
      </c>
      <c r="Z45" s="52">
        <f t="shared" si="14"/>
        <v>0.57718120805369122</v>
      </c>
      <c r="AA45" s="52">
        <f t="shared" si="9"/>
        <v>0.66666666666666663</v>
      </c>
      <c r="AB45" s="52"/>
      <c r="AD45" s="33">
        <f t="shared" si="13"/>
        <v>162.92000000000002</v>
      </c>
    </row>
    <row r="46" spans="1:37" ht="14.25" hidden="1" customHeight="1" x14ac:dyDescent="0.25">
      <c r="A46">
        <f t="shared" si="1"/>
        <v>1</v>
      </c>
      <c r="B46" t="str">
        <f t="shared" si="2"/>
        <v>N</v>
      </c>
      <c r="C46" t="s">
        <v>271</v>
      </c>
      <c r="D46" s="13" t="s">
        <v>26</v>
      </c>
      <c r="E46" t="str">
        <f ca="1">INDEX(OFFSET(CashFlow,0,-1,,1),MATCH(D46,OFFSET(CashFlow,0,0,,1),0))</f>
        <v>NiSource Inc.</v>
      </c>
      <c r="F46" s="167">
        <v>22.3</v>
      </c>
      <c r="G46" s="64">
        <v>30.7</v>
      </c>
      <c r="H46" s="64">
        <v>24.7</v>
      </c>
      <c r="I46" s="2">
        <f t="shared" si="12"/>
        <v>27.7</v>
      </c>
      <c r="J46" s="65">
        <v>2.8</v>
      </c>
      <c r="K46" s="65">
        <v>1.25</v>
      </c>
      <c r="L46" s="65">
        <v>0.8</v>
      </c>
      <c r="M46" s="65">
        <v>4.5999999999999996</v>
      </c>
      <c r="N46" s="65">
        <v>13.65</v>
      </c>
      <c r="O46" s="65">
        <v>3</v>
      </c>
      <c r="P46" s="65">
        <v>4.5999999999999996</v>
      </c>
      <c r="Q46" s="65">
        <v>4.1500000000000004</v>
      </c>
      <c r="R46" s="65">
        <v>4.8499999999999996</v>
      </c>
      <c r="S46" s="73">
        <v>43889</v>
      </c>
      <c r="T46" s="2">
        <f t="shared" si="11"/>
        <v>9.8928571428571423</v>
      </c>
      <c r="U46" s="52">
        <f t="shared" si="3"/>
        <v>2.0293040293040292</v>
      </c>
      <c r="V46" s="84">
        <f t="shared" si="4"/>
        <v>5.8608058608058608E-2</v>
      </c>
      <c r="W46" s="52">
        <f t="shared" si="5"/>
        <v>0.64</v>
      </c>
      <c r="X46" s="52">
        <f t="shared" si="6"/>
        <v>0.60869565217391308</v>
      </c>
      <c r="Y46" s="84">
        <f t="shared" si="7"/>
        <v>2.8880866425992781E-2</v>
      </c>
      <c r="Z46" s="52">
        <f t="shared" si="14"/>
        <v>0.65217391304347827</v>
      </c>
      <c r="AA46" s="52">
        <f t="shared" si="9"/>
        <v>0.85567010309278368</v>
      </c>
      <c r="AB46" s="52"/>
      <c r="AD46" s="33">
        <f t="shared" si="13"/>
        <v>100.8</v>
      </c>
    </row>
    <row r="47" spans="1:37" ht="14.25" hidden="1" customHeight="1" x14ac:dyDescent="0.25">
      <c r="A47">
        <f t="shared" si="1"/>
        <v>1</v>
      </c>
      <c r="B47" t="str">
        <f t="shared" si="2"/>
        <v>N</v>
      </c>
      <c r="C47" t="s">
        <v>271</v>
      </c>
      <c r="D47" s="13" t="s">
        <v>192</v>
      </c>
      <c r="E47" t="str">
        <f ca="1">INDEX(OFFSET(CashFlow,0,-1,,1),MATCH(D47,OFFSET(CashFlow,0,0,,1),0))</f>
        <v>Northwest Nat. Gas</v>
      </c>
      <c r="F47" s="167">
        <v>32.200000000000003</v>
      </c>
      <c r="G47" s="64">
        <v>74.099999999999994</v>
      </c>
      <c r="H47" s="64">
        <v>57.2</v>
      </c>
      <c r="I47" s="2">
        <f t="shared" si="12"/>
        <v>65.650000000000006</v>
      </c>
      <c r="J47" s="65">
        <v>4.5</v>
      </c>
      <c r="K47" s="65">
        <v>2.1</v>
      </c>
      <c r="L47" s="65">
        <v>1.9</v>
      </c>
      <c r="M47" s="65">
        <v>6.5</v>
      </c>
      <c r="N47" s="65">
        <v>25.8</v>
      </c>
      <c r="O47" s="65">
        <v>4.9000000000000004</v>
      </c>
      <c r="P47" s="65">
        <v>6.5</v>
      </c>
      <c r="Q47" s="65">
        <v>6.45</v>
      </c>
      <c r="R47" s="65">
        <v>6.25</v>
      </c>
      <c r="S47" s="73">
        <v>43889</v>
      </c>
      <c r="T47" s="2">
        <f t="shared" si="11"/>
        <v>14.58888888888889</v>
      </c>
      <c r="U47" s="52">
        <f t="shared" si="3"/>
        <v>2.5445736434108528</v>
      </c>
      <c r="V47" s="84">
        <f t="shared" si="4"/>
        <v>7.364341085271317E-2</v>
      </c>
      <c r="W47" s="52">
        <f t="shared" si="5"/>
        <v>0.90476190476190466</v>
      </c>
      <c r="X47" s="52">
        <f t="shared" si="6"/>
        <v>0.69230769230769229</v>
      </c>
      <c r="Y47" s="84">
        <f t="shared" si="7"/>
        <v>2.8941355674028939E-2</v>
      </c>
      <c r="Z47" s="52">
        <f t="shared" si="14"/>
        <v>0.75384615384615394</v>
      </c>
      <c r="AA47" s="52">
        <f t="shared" si="9"/>
        <v>1.032</v>
      </c>
      <c r="AB47" s="52"/>
      <c r="AD47" s="33">
        <f t="shared" si="13"/>
        <v>204.3</v>
      </c>
    </row>
    <row r="48" spans="1:37" ht="14.25" hidden="1" customHeight="1" x14ac:dyDescent="0.25">
      <c r="A48">
        <f t="shared" si="1"/>
        <v>1</v>
      </c>
      <c r="B48" t="str">
        <f t="shared" si="2"/>
        <v>E</v>
      </c>
      <c r="C48" t="s">
        <v>269</v>
      </c>
      <c r="D48" s="13" t="str">
        <f>"NW"&amp;"E"</f>
        <v>NWE</v>
      </c>
      <c r="E48" t="str">
        <f>VLOOKUP(D48,'MP-CF (WP)'!$B$4:$Z$81,2,FALSE)</f>
        <v xml:space="preserve">NorthWestern Corp             </v>
      </c>
      <c r="F48" s="64">
        <v>19.8</v>
      </c>
      <c r="G48" s="64">
        <v>76.7</v>
      </c>
      <c r="H48" s="64">
        <v>57.3</v>
      </c>
      <c r="I48" s="2">
        <f t="shared" si="12"/>
        <v>67</v>
      </c>
      <c r="J48" s="65">
        <v>7.1</v>
      </c>
      <c r="K48" s="65">
        <v>3.55</v>
      </c>
      <c r="L48" s="65">
        <v>2.2999999999999998</v>
      </c>
      <c r="M48" s="65">
        <v>6.65</v>
      </c>
      <c r="N48" s="65">
        <v>40.200000000000003</v>
      </c>
      <c r="O48" s="65">
        <v>7.15</v>
      </c>
      <c r="P48" s="65">
        <v>7.3</v>
      </c>
      <c r="Q48" s="65">
        <v>8</v>
      </c>
      <c r="R48" s="65">
        <v>5.75</v>
      </c>
      <c r="S48" s="73">
        <v>43854</v>
      </c>
      <c r="T48" s="2">
        <f t="shared" si="11"/>
        <v>9.4366197183098599</v>
      </c>
      <c r="U48" s="52">
        <f t="shared" si="3"/>
        <v>1.6666666666666665</v>
      </c>
      <c r="V48" s="84">
        <f t="shared" si="4"/>
        <v>5.7213930348258696E-2</v>
      </c>
      <c r="W48" s="52">
        <f t="shared" si="5"/>
        <v>0.647887323943662</v>
      </c>
      <c r="X48" s="52">
        <f t="shared" si="6"/>
        <v>1.0676691729323307</v>
      </c>
      <c r="Y48" s="84">
        <f t="shared" si="7"/>
        <v>3.4328358208955224E-2</v>
      </c>
      <c r="Z48" s="52">
        <f t="shared" si="14"/>
        <v>0.97945205479452058</v>
      </c>
      <c r="AA48" s="52">
        <f t="shared" si="9"/>
        <v>1.3913043478260869</v>
      </c>
      <c r="AB48" s="52"/>
      <c r="AD48" s="33">
        <f t="shared" si="13"/>
        <v>213.60000000000002</v>
      </c>
    </row>
    <row r="49" spans="1:30" ht="14.25" hidden="1" customHeight="1" x14ac:dyDescent="0.25">
      <c r="A49">
        <f t="shared" si="1"/>
        <v>1</v>
      </c>
      <c r="B49" t="str">
        <f t="shared" si="2"/>
        <v>N</v>
      </c>
      <c r="C49" s="31" t="s">
        <v>271</v>
      </c>
      <c r="D49" s="13" t="s">
        <v>345</v>
      </c>
      <c r="E49" t="str">
        <f ca="1">INDEX(OFFSET(CashFlow,0,-1,,1),MATCH(D49,OFFSET(CashFlow,0,0,,1),0))</f>
        <v>ONE Gas Inc.</v>
      </c>
      <c r="F49" s="64">
        <v>25.3</v>
      </c>
      <c r="G49" s="64">
        <v>96.7</v>
      </c>
      <c r="H49" s="64">
        <v>75.8</v>
      </c>
      <c r="I49" s="2">
        <f t="shared" si="12"/>
        <v>86.25</v>
      </c>
      <c r="J49" s="65">
        <v>6.95</v>
      </c>
      <c r="K49" s="65">
        <v>3.51</v>
      </c>
      <c r="L49" s="65">
        <v>2</v>
      </c>
      <c r="M49" s="65">
        <v>7.85</v>
      </c>
      <c r="N49" s="65">
        <v>39.950000000000003</v>
      </c>
      <c r="O49" s="65">
        <v>7.4</v>
      </c>
      <c r="P49" s="65">
        <v>8.4</v>
      </c>
      <c r="Q49" s="65">
        <v>9.3000000000000007</v>
      </c>
      <c r="R49" s="65">
        <v>9.35</v>
      </c>
      <c r="S49" s="73">
        <v>43889</v>
      </c>
      <c r="T49" s="52">
        <f t="shared" si="11"/>
        <v>12.410071942446043</v>
      </c>
      <c r="U49" s="52">
        <f t="shared" si="3"/>
        <v>2.1589486858573217</v>
      </c>
      <c r="V49" s="84">
        <f t="shared" si="4"/>
        <v>5.0062578222778473E-2</v>
      </c>
      <c r="W49" s="52">
        <f t="shared" si="5"/>
        <v>0.56980056980056981</v>
      </c>
      <c r="X49" s="52">
        <f t="shared" si="6"/>
        <v>0.88535031847133761</v>
      </c>
      <c r="Y49" s="84">
        <f t="shared" si="7"/>
        <v>2.318840579710145E-2</v>
      </c>
      <c r="Z49" s="52">
        <f t="shared" si="14"/>
        <v>0.88095238095238093</v>
      </c>
      <c r="AA49" s="52">
        <f t="shared" si="9"/>
        <v>0.99465240641711239</v>
      </c>
      <c r="AB49" s="52"/>
      <c r="AC49" s="33"/>
      <c r="AD49" s="33">
        <f t="shared" si="13"/>
        <v>258.06</v>
      </c>
    </row>
    <row r="50" spans="1:30" hidden="1" x14ac:dyDescent="0.25">
      <c r="A50">
        <f t="shared" si="1"/>
        <v>1</v>
      </c>
      <c r="B50" t="str">
        <f t="shared" si="2"/>
        <v>E</v>
      </c>
      <c r="C50" t="s">
        <v>342</v>
      </c>
      <c r="D50" s="13" t="s">
        <v>27</v>
      </c>
      <c r="E50" t="str">
        <f>VLOOKUP(D50,'MP-CF (WP)'!$B$4:$Z$81,2,FALSE)</f>
        <v xml:space="preserve">OGE Energy                    </v>
      </c>
      <c r="F50" s="167">
        <v>19</v>
      </c>
      <c r="G50" s="64">
        <v>45.8</v>
      </c>
      <c r="H50" s="64">
        <v>38</v>
      </c>
      <c r="I50" s="2">
        <f t="shared" si="12"/>
        <v>41.9</v>
      </c>
      <c r="J50" s="65">
        <v>4.0199999999999996</v>
      </c>
      <c r="K50" s="65">
        <v>2.2400000000000002</v>
      </c>
      <c r="L50" s="65">
        <v>1.51</v>
      </c>
      <c r="M50" s="65">
        <v>3.18</v>
      </c>
      <c r="N50" s="65">
        <v>20.69</v>
      </c>
      <c r="O50" s="65">
        <v>4.1500000000000004</v>
      </c>
      <c r="P50" s="65">
        <v>2.9</v>
      </c>
      <c r="Q50" s="65">
        <v>5</v>
      </c>
      <c r="R50" s="65">
        <v>3.75</v>
      </c>
      <c r="S50" s="73">
        <v>43903</v>
      </c>
      <c r="T50" s="2">
        <f t="shared" si="11"/>
        <v>10.422885572139304</v>
      </c>
      <c r="U50" s="52">
        <f t="shared" si="3"/>
        <v>2.0251329144514254</v>
      </c>
      <c r="V50" s="84">
        <f t="shared" si="4"/>
        <v>7.298211696471725E-2</v>
      </c>
      <c r="W50" s="52">
        <f t="shared" si="5"/>
        <v>0.67410714285714279</v>
      </c>
      <c r="X50" s="52">
        <f t="shared" si="6"/>
        <v>1.2641509433962261</v>
      </c>
      <c r="Y50" s="84">
        <f t="shared" si="7"/>
        <v>3.6038186157517901E-2</v>
      </c>
      <c r="Z50" s="52">
        <f t="shared" si="14"/>
        <v>1.4310344827586208</v>
      </c>
      <c r="AA50" s="52">
        <f t="shared" si="9"/>
        <v>1.3333333333333333</v>
      </c>
      <c r="AB50" s="52"/>
      <c r="AD50" s="33">
        <f t="shared" si="13"/>
        <v>134.44</v>
      </c>
    </row>
    <row r="51" spans="1:30" hidden="1" x14ac:dyDescent="0.25">
      <c r="A51">
        <f t="shared" si="1"/>
        <v>1</v>
      </c>
      <c r="B51" t="str">
        <f t="shared" si="2"/>
        <v>E</v>
      </c>
      <c r="C51" t="s">
        <v>342</v>
      </c>
      <c r="D51" s="13" t="s">
        <v>28</v>
      </c>
      <c r="E51" t="str">
        <f>VLOOKUP(D51,'MP-CF (WP)'!$B$4:$Z$81,2,FALSE)</f>
        <v xml:space="preserve">Otter Tail Corp.              </v>
      </c>
      <c r="F51" s="167">
        <v>23.5</v>
      </c>
      <c r="G51" s="64">
        <v>57.7</v>
      </c>
      <c r="H51" s="64">
        <v>45.9</v>
      </c>
      <c r="I51" s="2">
        <f t="shared" si="12"/>
        <v>51.8</v>
      </c>
      <c r="J51" s="65">
        <v>4.1100000000000003</v>
      </c>
      <c r="K51" s="65">
        <v>2.17</v>
      </c>
      <c r="L51" s="65">
        <v>1.4</v>
      </c>
      <c r="M51" s="65">
        <v>5.16</v>
      </c>
      <c r="N51" s="65">
        <v>19.46</v>
      </c>
      <c r="O51" s="65">
        <v>4.2</v>
      </c>
      <c r="P51" s="65">
        <v>9.4</v>
      </c>
      <c r="Q51" s="65">
        <v>5.25</v>
      </c>
      <c r="R51" s="65">
        <v>2.75</v>
      </c>
      <c r="S51" s="73">
        <v>43903</v>
      </c>
      <c r="T51" s="2">
        <f t="shared" si="11"/>
        <v>12.603406326034062</v>
      </c>
      <c r="U51" s="52">
        <f t="shared" si="3"/>
        <v>2.6618705035971222</v>
      </c>
      <c r="V51" s="84">
        <f t="shared" si="4"/>
        <v>7.1942446043165464E-2</v>
      </c>
      <c r="W51" s="52">
        <f t="shared" si="5"/>
        <v>0.64516129032258063</v>
      </c>
      <c r="X51" s="52">
        <f t="shared" si="6"/>
        <v>0.79651162790697683</v>
      </c>
      <c r="Y51" s="84">
        <f t="shared" si="7"/>
        <v>2.7027027027027029E-2</v>
      </c>
      <c r="Z51" s="52">
        <f t="shared" si="14"/>
        <v>0.44680851063829785</v>
      </c>
      <c r="AA51" s="52">
        <f t="shared" si="9"/>
        <v>1.9090909090909092</v>
      </c>
      <c r="AB51" s="52"/>
      <c r="AD51" s="33">
        <f t="shared" si="13"/>
        <v>159.4</v>
      </c>
    </row>
    <row r="52" spans="1:30" ht="14.25" hidden="1" customHeight="1" x14ac:dyDescent="0.25">
      <c r="A52">
        <f t="shared" si="1"/>
        <v>1</v>
      </c>
      <c r="B52" t="str">
        <f t="shared" si="2"/>
        <v>E</v>
      </c>
      <c r="C52" t="s">
        <v>269</v>
      </c>
      <c r="D52" s="13" t="s">
        <v>30</v>
      </c>
      <c r="E52" t="str">
        <f>VLOOKUP(D52,'MP-CF (WP)'!$B$4:$Z$81,2,FALSE)</f>
        <v xml:space="preserve">PG&amp;E Corp.                    </v>
      </c>
      <c r="F52" s="167" t="s">
        <v>106</v>
      </c>
      <c r="G52" s="64" t="s">
        <v>106</v>
      </c>
      <c r="H52" s="64" t="s">
        <v>106</v>
      </c>
      <c r="I52" s="2" t="str">
        <f t="shared" si="12"/>
        <v/>
      </c>
      <c r="J52" s="65" t="s">
        <v>106</v>
      </c>
      <c r="K52" s="65" t="s">
        <v>106</v>
      </c>
      <c r="L52" s="192" t="s">
        <v>106</v>
      </c>
      <c r="M52" s="65" t="s">
        <v>106</v>
      </c>
      <c r="N52" s="65" t="s">
        <v>106</v>
      </c>
      <c r="O52" s="65" t="s">
        <v>106</v>
      </c>
      <c r="P52" s="65" t="s">
        <v>106</v>
      </c>
      <c r="Q52" s="65" t="s">
        <v>106</v>
      </c>
      <c r="R52" s="65" t="s">
        <v>106</v>
      </c>
      <c r="S52" s="73" t="s">
        <v>106</v>
      </c>
      <c r="T52" s="2" t="str">
        <f>IFERROR(I52/J52,"N/A")</f>
        <v>N/A</v>
      </c>
      <c r="U52" s="52" t="str">
        <f>IFERROR(I52/N52,"N/A")</f>
        <v>N/A</v>
      </c>
      <c r="V52" s="84" t="str">
        <f>IFERROR(L52/N52,"N/A")</f>
        <v>N/A</v>
      </c>
      <c r="W52" s="52" t="str">
        <f>IFERROR(L52/K52,"N/A")</f>
        <v>N/A</v>
      </c>
      <c r="X52" s="52" t="str">
        <f>IFERROR(J52/M52,"N/A")</f>
        <v>N/A</v>
      </c>
      <c r="Y52" s="84" t="str">
        <f>IFERROR(L52/I52,"N/A")</f>
        <v>N/A</v>
      </c>
      <c r="Z52" s="52" t="str">
        <f>IFERROR(O52/P52,"N/A")</f>
        <v>N/A</v>
      </c>
      <c r="AA52" s="52" t="str">
        <f>IFERROR(Q52/R52,"N/A")</f>
        <v>N/A</v>
      </c>
      <c r="AB52" s="52"/>
      <c r="AD52" s="33">
        <f t="shared" si="10"/>
        <v>0</v>
      </c>
    </row>
    <row r="53" spans="1:30" ht="14.25" hidden="1" customHeight="1" x14ac:dyDescent="0.25">
      <c r="A53">
        <f t="shared" si="1"/>
        <v>1</v>
      </c>
      <c r="B53" t="str">
        <f t="shared" si="2"/>
        <v>E</v>
      </c>
      <c r="C53" t="s">
        <v>269</v>
      </c>
      <c r="D53" s="13" t="s">
        <v>31</v>
      </c>
      <c r="E53" t="str">
        <f>VLOOKUP(D53,'MP-CF (WP)'!$B$4:$Z$81,2,FALSE)</f>
        <v xml:space="preserve">Pinnacle West Capital         </v>
      </c>
      <c r="F53" s="64">
        <v>20.5</v>
      </c>
      <c r="G53" s="64">
        <v>99.8</v>
      </c>
      <c r="H53" s="64">
        <v>81.599999999999994</v>
      </c>
      <c r="I53" s="2">
        <f t="shared" si="12"/>
        <v>90.699999999999989</v>
      </c>
      <c r="J53" s="65">
        <v>11.05</v>
      </c>
      <c r="K53" s="65">
        <v>4.5</v>
      </c>
      <c r="L53" s="65">
        <v>3.04</v>
      </c>
      <c r="M53" s="65">
        <v>11.3</v>
      </c>
      <c r="N53" s="65">
        <v>47.7</v>
      </c>
      <c r="O53" s="65">
        <v>11.85</v>
      </c>
      <c r="P53" s="65">
        <v>12.15</v>
      </c>
      <c r="Q53" s="65">
        <v>14</v>
      </c>
      <c r="R53" s="65">
        <v>11.5</v>
      </c>
      <c r="S53" s="73">
        <v>43854</v>
      </c>
      <c r="T53" s="2">
        <f t="shared" si="11"/>
        <v>8.2081447963800898</v>
      </c>
      <c r="U53" s="52">
        <f t="shared" si="3"/>
        <v>1.9014675052410899</v>
      </c>
      <c r="V53" s="84">
        <f t="shared" si="4"/>
        <v>6.3731656184486368E-2</v>
      </c>
      <c r="W53" s="52">
        <f t="shared" si="5"/>
        <v>0.67555555555555558</v>
      </c>
      <c r="X53" s="52">
        <f t="shared" si="6"/>
        <v>0.97787610619469023</v>
      </c>
      <c r="Y53" s="84">
        <f t="shared" si="7"/>
        <v>3.3517089305402432E-2</v>
      </c>
      <c r="Z53" s="52">
        <f t="shared" si="14"/>
        <v>0.97530864197530853</v>
      </c>
      <c r="AA53" s="52">
        <f t="shared" si="9"/>
        <v>1.2173913043478262</v>
      </c>
      <c r="AB53" s="52"/>
      <c r="AD53" s="33">
        <f t="shared" si="10"/>
        <v>279.49</v>
      </c>
    </row>
    <row r="54" spans="1:30" ht="14.25" hidden="1" customHeight="1" x14ac:dyDescent="0.25">
      <c r="A54">
        <f t="shared" si="1"/>
        <v>1</v>
      </c>
      <c r="B54" t="str">
        <f t="shared" si="2"/>
        <v>E</v>
      </c>
      <c r="C54" t="s">
        <v>269</v>
      </c>
      <c r="D54" s="13" t="s">
        <v>32</v>
      </c>
      <c r="E54" t="str">
        <f>VLOOKUP(D54,'MP-CF (WP)'!$B$4:$Z$81,2,FALSE)</f>
        <v xml:space="preserve">PNM Resources                 </v>
      </c>
      <c r="F54" s="64">
        <v>21.8</v>
      </c>
      <c r="G54" s="64">
        <v>53</v>
      </c>
      <c r="H54" s="64">
        <v>39.700000000000003</v>
      </c>
      <c r="I54" s="2">
        <f t="shared" si="12"/>
        <v>46.35</v>
      </c>
      <c r="J54" s="65">
        <v>5.8</v>
      </c>
      <c r="K54" s="65">
        <v>2.2000000000000002</v>
      </c>
      <c r="L54" s="65">
        <v>1.18</v>
      </c>
      <c r="M54" s="65">
        <v>8.0500000000000007</v>
      </c>
      <c r="N54" s="65">
        <v>20.8</v>
      </c>
      <c r="O54" s="65">
        <v>6.05</v>
      </c>
      <c r="P54" s="65">
        <v>10.25</v>
      </c>
      <c r="Q54" s="65">
        <v>6.75</v>
      </c>
      <c r="R54" s="65">
        <v>8.5</v>
      </c>
      <c r="S54" s="73">
        <v>43854</v>
      </c>
      <c r="T54" s="2">
        <f t="shared" si="11"/>
        <v>7.9913793103448283</v>
      </c>
      <c r="U54" s="52">
        <f t="shared" si="3"/>
        <v>2.2283653846153846</v>
      </c>
      <c r="V54" s="84">
        <f t="shared" si="4"/>
        <v>5.6730769230769224E-2</v>
      </c>
      <c r="W54" s="52">
        <f t="shared" si="5"/>
        <v>0.53636363636363626</v>
      </c>
      <c r="X54" s="52">
        <f t="shared" si="6"/>
        <v>0.7204968944099378</v>
      </c>
      <c r="Y54" s="84">
        <f t="shared" si="7"/>
        <v>2.5458468176914776E-2</v>
      </c>
      <c r="Z54" s="52">
        <f t="shared" si="14"/>
        <v>0.59024390243902436</v>
      </c>
      <c r="AA54" s="52">
        <f t="shared" si="9"/>
        <v>0.79411764705882348</v>
      </c>
      <c r="AB54" s="52"/>
      <c r="AD54" s="33">
        <f t="shared" si="10"/>
        <v>152.53000000000003</v>
      </c>
    </row>
    <row r="55" spans="1:30" ht="14.25" hidden="1" customHeight="1" x14ac:dyDescent="0.25">
      <c r="A55">
        <f t="shared" si="1"/>
        <v>1</v>
      </c>
      <c r="B55" t="str">
        <f t="shared" si="2"/>
        <v>E</v>
      </c>
      <c r="C55" t="s">
        <v>269</v>
      </c>
      <c r="D55" s="13" t="s">
        <v>33</v>
      </c>
      <c r="E55" t="str">
        <f>VLOOKUP(D55,'MP-CF (WP)'!$B$4:$Z$81,2,FALSE)</f>
        <v xml:space="preserve">Portland General              </v>
      </c>
      <c r="F55" s="64">
        <v>21.9</v>
      </c>
      <c r="G55" s="64">
        <v>58.4</v>
      </c>
      <c r="H55" s="64">
        <v>44</v>
      </c>
      <c r="I55" s="2">
        <f t="shared" si="12"/>
        <v>51.2</v>
      </c>
      <c r="J55" s="65">
        <v>7</v>
      </c>
      <c r="K55" s="65">
        <v>2.4</v>
      </c>
      <c r="L55" s="65">
        <v>1.52</v>
      </c>
      <c r="M55" s="65">
        <v>7.1</v>
      </c>
      <c r="N55" s="65">
        <v>28.9</v>
      </c>
      <c r="O55" s="65">
        <v>7.45</v>
      </c>
      <c r="P55" s="65">
        <v>9.9</v>
      </c>
      <c r="Q55" s="65">
        <v>8.75</v>
      </c>
      <c r="R55" s="65">
        <v>5.75</v>
      </c>
      <c r="S55" s="73">
        <v>43854</v>
      </c>
      <c r="T55" s="2">
        <f t="shared" si="11"/>
        <v>7.3142857142857149</v>
      </c>
      <c r="U55" s="52">
        <f t="shared" si="3"/>
        <v>1.7716262975778549</v>
      </c>
      <c r="V55" s="84">
        <f t="shared" si="4"/>
        <v>5.2595155709342561E-2</v>
      </c>
      <c r="W55" s="52">
        <f t="shared" si="5"/>
        <v>0.63333333333333341</v>
      </c>
      <c r="X55" s="52">
        <f t="shared" si="6"/>
        <v>0.9859154929577465</v>
      </c>
      <c r="Y55" s="84">
        <f t="shared" si="7"/>
        <v>2.9687499999999999E-2</v>
      </c>
      <c r="Z55" s="52">
        <f t="shared" si="14"/>
        <v>0.75252525252525249</v>
      </c>
      <c r="AA55" s="52">
        <f t="shared" si="9"/>
        <v>1.5217391304347827</v>
      </c>
      <c r="AB55" s="52"/>
      <c r="AD55" s="33">
        <f t="shared" si="10"/>
        <v>171.22000000000003</v>
      </c>
    </row>
    <row r="56" spans="1:30" ht="14.25" hidden="1" customHeight="1" x14ac:dyDescent="0.25">
      <c r="A56">
        <f t="shared" si="1"/>
        <v>1</v>
      </c>
      <c r="B56" t="str">
        <f t="shared" si="2"/>
        <v>E</v>
      </c>
      <c r="C56" t="s">
        <v>268</v>
      </c>
      <c r="D56" s="13" t="s">
        <v>34</v>
      </c>
      <c r="E56" t="str">
        <f>VLOOKUP(D56,'MP-CF (WP)'!$B$4:$Z$81,2,FALSE)</f>
        <v xml:space="preserve">PPL Corp.                     </v>
      </c>
      <c r="F56" s="64">
        <v>13.1</v>
      </c>
      <c r="G56" s="64">
        <v>36.299999999999997</v>
      </c>
      <c r="H56" s="64">
        <v>27.8</v>
      </c>
      <c r="I56" s="2">
        <f t="shared" si="12"/>
        <v>32.049999999999997</v>
      </c>
      <c r="J56" s="65">
        <v>3.95</v>
      </c>
      <c r="K56" s="65">
        <v>2.4</v>
      </c>
      <c r="L56" s="65">
        <v>1.65</v>
      </c>
      <c r="M56" s="65">
        <v>4.3</v>
      </c>
      <c r="N56" s="65">
        <v>17.399999999999999</v>
      </c>
      <c r="O56" s="65">
        <v>4.3</v>
      </c>
      <c r="P56" s="65">
        <v>4.05</v>
      </c>
      <c r="Q56" s="65">
        <v>5.25</v>
      </c>
      <c r="R56" s="65">
        <v>3.25</v>
      </c>
      <c r="S56" s="73">
        <v>43875</v>
      </c>
      <c r="T56" s="2">
        <f t="shared" si="11"/>
        <v>8.1139240506329102</v>
      </c>
      <c r="U56" s="52">
        <f t="shared" si="3"/>
        <v>1.8419540229885056</v>
      </c>
      <c r="V56" s="84">
        <f t="shared" si="4"/>
        <v>9.4827586206896561E-2</v>
      </c>
      <c r="W56" s="52">
        <f t="shared" si="5"/>
        <v>0.6875</v>
      </c>
      <c r="X56" s="52">
        <f t="shared" si="6"/>
        <v>0.91860465116279078</v>
      </c>
      <c r="Y56" s="84">
        <f t="shared" si="7"/>
        <v>5.1482059282371297E-2</v>
      </c>
      <c r="Z56" s="52">
        <f t="shared" si="14"/>
        <v>1.0617283950617284</v>
      </c>
      <c r="AA56" s="52">
        <f t="shared" si="9"/>
        <v>1.6153846153846154</v>
      </c>
      <c r="AB56" s="52"/>
      <c r="AD56" s="33">
        <f t="shared" si="10"/>
        <v>106.9</v>
      </c>
    </row>
    <row r="57" spans="1:30" ht="14.25" hidden="1" customHeight="1" x14ac:dyDescent="0.25">
      <c r="A57">
        <f t="shared" si="1"/>
        <v>1</v>
      </c>
      <c r="B57" t="str">
        <f t="shared" si="2"/>
        <v>E</v>
      </c>
      <c r="C57" t="s">
        <v>268</v>
      </c>
      <c r="D57" s="13" t="s">
        <v>35</v>
      </c>
      <c r="E57" t="str">
        <f>VLOOKUP(D57,'MP-CF (WP)'!$B$4:$Z$81,2,FALSE)</f>
        <v xml:space="preserve">Public Serv. Enterprise       </v>
      </c>
      <c r="F57" s="64">
        <v>15.9</v>
      </c>
      <c r="G57" s="64">
        <v>63.9</v>
      </c>
      <c r="H57" s="64">
        <v>50</v>
      </c>
      <c r="I57" s="2">
        <f t="shared" si="12"/>
        <v>56.95</v>
      </c>
      <c r="J57" s="65">
        <v>6.6</v>
      </c>
      <c r="K57" s="65">
        <v>3.7</v>
      </c>
      <c r="L57" s="65">
        <v>1.88</v>
      </c>
      <c r="M57" s="65">
        <v>6.15</v>
      </c>
      <c r="N57" s="65">
        <v>29.65</v>
      </c>
      <c r="O57" s="65">
        <v>6.5</v>
      </c>
      <c r="P57" s="65">
        <v>6.5</v>
      </c>
      <c r="Q57" s="65">
        <v>8.25</v>
      </c>
      <c r="R57" s="65">
        <v>5.25</v>
      </c>
      <c r="S57" s="73">
        <v>43875</v>
      </c>
      <c r="T57" s="2">
        <f t="shared" si="11"/>
        <v>8.6287878787878789</v>
      </c>
      <c r="U57" s="52">
        <f t="shared" si="3"/>
        <v>1.9207419898819564</v>
      </c>
      <c r="V57" s="84">
        <f t="shared" si="4"/>
        <v>6.3406408094435082E-2</v>
      </c>
      <c r="W57" s="52">
        <f t="shared" si="5"/>
        <v>0.50810810810810803</v>
      </c>
      <c r="X57" s="52">
        <f t="shared" si="6"/>
        <v>1.0731707317073169</v>
      </c>
      <c r="Y57" s="84">
        <f t="shared" si="7"/>
        <v>3.3011413520632131E-2</v>
      </c>
      <c r="Z57" s="52">
        <f t="shared" si="14"/>
        <v>1</v>
      </c>
      <c r="AA57" s="52">
        <f t="shared" si="9"/>
        <v>1.5714285714285714</v>
      </c>
      <c r="AB57" s="52"/>
      <c r="AD57" s="33">
        <f t="shared" si="10"/>
        <v>177.78</v>
      </c>
    </row>
    <row r="58" spans="1:30" ht="14.25" hidden="1" customHeight="1" x14ac:dyDescent="0.25">
      <c r="A58">
        <f t="shared" si="1"/>
        <v>1</v>
      </c>
      <c r="B58" t="str">
        <f t="shared" si="2"/>
        <v>E</v>
      </c>
      <c r="C58" t="s">
        <v>268</v>
      </c>
      <c r="D58" s="13" t="s">
        <v>36</v>
      </c>
      <c r="E58" t="str">
        <f>VLOOKUP(D58,'MP-CF (WP)'!$B$4:$Z$81,2,FALSE)</f>
        <v xml:space="preserve">SCANA Corp.                   </v>
      </c>
      <c r="F58" s="64" t="s">
        <v>106</v>
      </c>
      <c r="G58" s="64" t="s">
        <v>106</v>
      </c>
      <c r="H58" s="64" t="s">
        <v>106</v>
      </c>
      <c r="I58" s="2" t="str">
        <f t="shared" si="12"/>
        <v/>
      </c>
      <c r="J58" s="65" t="s">
        <v>106</v>
      </c>
      <c r="K58" s="65" t="s">
        <v>106</v>
      </c>
      <c r="L58" s="65" t="s">
        <v>106</v>
      </c>
      <c r="M58" s="65" t="s">
        <v>106</v>
      </c>
      <c r="N58" s="65" t="s">
        <v>106</v>
      </c>
      <c r="O58" s="65" t="s">
        <v>106</v>
      </c>
      <c r="P58" s="65" t="s">
        <v>106</v>
      </c>
      <c r="Q58" s="65" t="s">
        <v>106</v>
      </c>
      <c r="R58" s="65" t="s">
        <v>106</v>
      </c>
      <c r="S58" s="73" t="s">
        <v>106</v>
      </c>
      <c r="T58" s="2" t="str">
        <f>IFERROR(I58/J58,"N/A")</f>
        <v>N/A</v>
      </c>
      <c r="U58" s="52" t="str">
        <f>IFERROR(I58/N58,"N/A")</f>
        <v>N/A</v>
      </c>
      <c r="V58" s="84" t="str">
        <f>IFERROR(L58/N58,"N/A")</f>
        <v>N/A</v>
      </c>
      <c r="W58" s="52" t="str">
        <f>IFERROR(L58/K58,"N/A")</f>
        <v>N/A</v>
      </c>
      <c r="X58" s="52" t="str">
        <f>IFERROR(J58/M58,"N/A")</f>
        <v>N/A</v>
      </c>
      <c r="Y58" s="84" t="str">
        <f>IFERROR(L58/I58,"N/A")</f>
        <v>N/A</v>
      </c>
      <c r="Z58" s="52" t="str">
        <f>IFERROR(O58/P58,"N/A")</f>
        <v>N/A</v>
      </c>
      <c r="AA58" s="52" t="str">
        <f>IFERROR(Q58/R58,"N/A")</f>
        <v>N/A</v>
      </c>
      <c r="AB58" s="52"/>
      <c r="AD58" s="33">
        <f t="shared" si="10"/>
        <v>0</v>
      </c>
    </row>
    <row r="59" spans="1:30" ht="14.25" hidden="1" customHeight="1" x14ac:dyDescent="0.25">
      <c r="A59">
        <f t="shared" si="1"/>
        <v>1</v>
      </c>
      <c r="B59" t="str">
        <f t="shared" si="2"/>
        <v>E</v>
      </c>
      <c r="C59" t="s">
        <v>269</v>
      </c>
      <c r="D59" s="13" t="s">
        <v>37</v>
      </c>
      <c r="E59" t="str">
        <f>VLOOKUP(D59,'MP-CF (WP)'!$B$4:$Z$81,2,FALSE)</f>
        <v xml:space="preserve">Sempra Energy                 </v>
      </c>
      <c r="F59" s="167">
        <v>23</v>
      </c>
      <c r="G59" s="64">
        <v>154.5</v>
      </c>
      <c r="H59" s="64">
        <v>106.1</v>
      </c>
      <c r="I59" s="2">
        <f t="shared" si="12"/>
        <v>130.30000000000001</v>
      </c>
      <c r="J59" s="65">
        <v>11.15</v>
      </c>
      <c r="K59" s="65">
        <v>5.85</v>
      </c>
      <c r="L59" s="65">
        <v>3.87</v>
      </c>
      <c r="M59" s="65">
        <v>16.899999999999999</v>
      </c>
      <c r="N59" s="65">
        <v>61.25</v>
      </c>
      <c r="O59" s="65">
        <v>12.35</v>
      </c>
      <c r="P59" s="65">
        <v>13.4</v>
      </c>
      <c r="Q59" s="65">
        <v>15</v>
      </c>
      <c r="R59" s="65">
        <v>10.25</v>
      </c>
      <c r="S59" s="73">
        <v>43854</v>
      </c>
      <c r="T59" s="2">
        <f t="shared" si="11"/>
        <v>11.686098654708521</v>
      </c>
      <c r="U59" s="52">
        <f t="shared" si="3"/>
        <v>2.1273469387755104</v>
      </c>
      <c r="V59" s="84">
        <f t="shared" si="4"/>
        <v>6.3183673469387761E-2</v>
      </c>
      <c r="W59" s="52">
        <f t="shared" si="5"/>
        <v>0.66153846153846163</v>
      </c>
      <c r="X59" s="52">
        <f t="shared" si="6"/>
        <v>0.65976331360946749</v>
      </c>
      <c r="Y59" s="84">
        <f t="shared" si="7"/>
        <v>2.9700690713737526E-2</v>
      </c>
      <c r="Z59" s="52">
        <f t="shared" si="14"/>
        <v>0.92164179104477606</v>
      </c>
      <c r="AA59" s="52">
        <f t="shared" si="9"/>
        <v>1.4634146341463414</v>
      </c>
      <c r="AB59" s="52"/>
      <c r="AD59" s="33">
        <f t="shared" si="10"/>
        <v>382.62</v>
      </c>
    </row>
    <row r="60" spans="1:30" ht="14.25" customHeight="1" x14ac:dyDescent="0.25">
      <c r="A60" t="str">
        <f t="shared" si="1"/>
        <v/>
      </c>
      <c r="B60" t="str">
        <f t="shared" si="2"/>
        <v>W</v>
      </c>
      <c r="C60" t="s">
        <v>270</v>
      </c>
      <c r="D60" s="13" t="s">
        <v>196</v>
      </c>
      <c r="E60" t="str">
        <f ca="1">INDEX(nameLU,MATCH(D60,tickerLU,0))</f>
        <v>SJW Corp.</v>
      </c>
      <c r="F60" s="64">
        <v>44.3</v>
      </c>
      <c r="G60" s="64">
        <v>74.5</v>
      </c>
      <c r="H60" s="64">
        <v>53.9</v>
      </c>
      <c r="I60" s="2">
        <f t="shared" si="12"/>
        <v>64.2</v>
      </c>
      <c r="J60" s="65">
        <v>3.15</v>
      </c>
      <c r="K60" s="65">
        <v>1.45</v>
      </c>
      <c r="L60" s="65">
        <v>1.2</v>
      </c>
      <c r="M60" s="65">
        <v>5</v>
      </c>
      <c r="N60" s="65">
        <v>31.2</v>
      </c>
      <c r="O60" s="65">
        <v>4.1500000000000004</v>
      </c>
      <c r="P60" s="65">
        <v>5.25</v>
      </c>
      <c r="Q60" s="65">
        <v>5.3</v>
      </c>
      <c r="R60" s="65">
        <v>5.25</v>
      </c>
      <c r="S60" s="73">
        <v>43840</v>
      </c>
      <c r="T60" s="2">
        <f t="shared" si="11"/>
        <v>20.380952380952383</v>
      </c>
      <c r="U60" s="52">
        <f t="shared" si="3"/>
        <v>2.0576923076923079</v>
      </c>
      <c r="V60" s="84">
        <f t="shared" si="4"/>
        <v>3.8461538461538464E-2</v>
      </c>
      <c r="W60" s="52">
        <f t="shared" si="5"/>
        <v>0.82758620689655171</v>
      </c>
      <c r="X60" s="52">
        <f t="shared" si="6"/>
        <v>0.63</v>
      </c>
      <c r="Y60" s="84">
        <f t="shared" si="7"/>
        <v>1.8691588785046728E-2</v>
      </c>
      <c r="Z60" s="52">
        <f t="shared" si="14"/>
        <v>0.79047619047619055</v>
      </c>
      <c r="AA60" s="52">
        <f t="shared" si="9"/>
        <v>1.0095238095238095</v>
      </c>
      <c r="AB60" s="52"/>
      <c r="AD60" s="33">
        <f t="shared" si="10"/>
        <v>214.69999999999996</v>
      </c>
    </row>
    <row r="61" spans="1:30" ht="14.25" hidden="1" customHeight="1" x14ac:dyDescent="0.25">
      <c r="A61">
        <f t="shared" si="1"/>
        <v>1</v>
      </c>
      <c r="B61" t="str">
        <f t="shared" si="2"/>
        <v>N</v>
      </c>
      <c r="C61" t="s">
        <v>271</v>
      </c>
      <c r="D61" s="13" t="s">
        <v>198</v>
      </c>
      <c r="E61" t="str">
        <f ca="1">INDEX(OFFSET(CashFlow,0,-1,,1),MATCH(D61,OFFSET(CashFlow,0,0,,1),0))</f>
        <v>South Jersey Inds.</v>
      </c>
      <c r="F61" s="64">
        <v>28.8</v>
      </c>
      <c r="G61" s="64">
        <v>34.5</v>
      </c>
      <c r="H61" s="64">
        <v>26.6</v>
      </c>
      <c r="I61" s="2">
        <f t="shared" si="12"/>
        <v>30.55</v>
      </c>
      <c r="J61" s="65">
        <v>2.15</v>
      </c>
      <c r="K61" s="65">
        <v>1.1000000000000001</v>
      </c>
      <c r="L61" s="65">
        <v>1.1599999999999999</v>
      </c>
      <c r="M61" s="65">
        <v>5.4</v>
      </c>
      <c r="N61" s="65">
        <v>16.149999999999999</v>
      </c>
      <c r="O61" s="65">
        <v>2.75</v>
      </c>
      <c r="P61" s="65">
        <v>5.9</v>
      </c>
      <c r="Q61" s="65">
        <v>3.95</v>
      </c>
      <c r="R61" s="65">
        <v>7.85</v>
      </c>
      <c r="S61" s="73">
        <v>43889</v>
      </c>
      <c r="T61" s="2">
        <f t="shared" si="11"/>
        <v>14.209302325581396</v>
      </c>
      <c r="U61" s="52">
        <f t="shared" si="3"/>
        <v>1.8916408668730653</v>
      </c>
      <c r="V61" s="84">
        <f t="shared" si="4"/>
        <v>7.1826625386996912E-2</v>
      </c>
      <c r="W61" s="52">
        <f t="shared" si="5"/>
        <v>1.0545454545454545</v>
      </c>
      <c r="X61" s="52">
        <f t="shared" si="6"/>
        <v>0.39814814814814808</v>
      </c>
      <c r="Y61" s="84">
        <f t="shared" si="7"/>
        <v>3.7970540098199668E-2</v>
      </c>
      <c r="Z61" s="52">
        <f t="shared" si="14"/>
        <v>0.46610169491525422</v>
      </c>
      <c r="AA61" s="52">
        <f t="shared" si="9"/>
        <v>0.50318471337579618</v>
      </c>
      <c r="AB61" s="52"/>
      <c r="AD61" s="33">
        <f t="shared" si="10"/>
        <v>115.86000000000001</v>
      </c>
    </row>
    <row r="62" spans="1:30" ht="14.25" hidden="1" customHeight="1" x14ac:dyDescent="0.25">
      <c r="A62">
        <f t="shared" si="1"/>
        <v>1</v>
      </c>
      <c r="B62" t="str">
        <f t="shared" si="2"/>
        <v>E</v>
      </c>
      <c r="C62" t="s">
        <v>268</v>
      </c>
      <c r="D62" s="13" t="s">
        <v>38</v>
      </c>
      <c r="E62" t="str">
        <f>VLOOKUP(D62,'MP-CF (WP)'!$B$4:$Z$81,2,FALSE)</f>
        <v xml:space="preserve">Southern Co.                  </v>
      </c>
      <c r="F62" s="64">
        <v>18</v>
      </c>
      <c r="G62" s="64">
        <v>64.3</v>
      </c>
      <c r="H62" s="64">
        <v>43.3</v>
      </c>
      <c r="I62" s="2">
        <f t="shared" si="12"/>
        <v>53.8</v>
      </c>
      <c r="J62" s="65">
        <v>6.3</v>
      </c>
      <c r="K62" s="65">
        <v>3.1</v>
      </c>
      <c r="L62" s="65">
        <v>2.46</v>
      </c>
      <c r="M62" s="65">
        <v>7.15</v>
      </c>
      <c r="N62" s="65">
        <v>26.2</v>
      </c>
      <c r="O62" s="65">
        <v>6.55</v>
      </c>
      <c r="P62" s="65">
        <v>6.5</v>
      </c>
      <c r="Q62" s="65">
        <v>7.75</v>
      </c>
      <c r="R62" s="65">
        <v>5.25</v>
      </c>
      <c r="S62" s="73">
        <v>43875</v>
      </c>
      <c r="T62" s="2">
        <f t="shared" si="11"/>
        <v>8.5396825396825395</v>
      </c>
      <c r="U62" s="52">
        <f t="shared" si="3"/>
        <v>2.0534351145038165</v>
      </c>
      <c r="V62" s="84">
        <f t="shared" si="4"/>
        <v>9.3893129770992373E-2</v>
      </c>
      <c r="W62" s="52">
        <f t="shared" si="5"/>
        <v>0.79354838709677411</v>
      </c>
      <c r="X62" s="52">
        <f t="shared" si="6"/>
        <v>0.88111888111888104</v>
      </c>
      <c r="Y62" s="84">
        <f t="shared" si="7"/>
        <v>4.5724907063197026E-2</v>
      </c>
      <c r="Z62" s="52">
        <f t="shared" si="14"/>
        <v>1.0076923076923077</v>
      </c>
      <c r="AA62" s="52">
        <f t="shared" si="9"/>
        <v>1.4761904761904763</v>
      </c>
      <c r="AB62" s="52"/>
      <c r="AD62" s="33">
        <f t="shared" si="10"/>
        <v>170.81</v>
      </c>
    </row>
    <row r="63" spans="1:30" ht="14.25" hidden="1" customHeight="1" x14ac:dyDescent="0.25">
      <c r="A63">
        <f t="shared" si="1"/>
        <v>1</v>
      </c>
      <c r="B63" t="str">
        <f t="shared" si="2"/>
        <v>N</v>
      </c>
      <c r="C63" t="s">
        <v>271</v>
      </c>
      <c r="D63" s="13" t="s">
        <v>200</v>
      </c>
      <c r="E63" t="str">
        <f ca="1">INDEX(OFFSET(CashFlow,0,-1,,1),MATCH(D63,OFFSET(CashFlow,0,0,,1),0))</f>
        <v>Southwest Gas</v>
      </c>
      <c r="F63" s="64">
        <v>20.2</v>
      </c>
      <c r="G63" s="64">
        <v>92.9</v>
      </c>
      <c r="H63" s="64">
        <v>73.3</v>
      </c>
      <c r="I63" s="2">
        <f t="shared" si="12"/>
        <v>83.1</v>
      </c>
      <c r="J63" s="65">
        <v>9.1999999999999993</v>
      </c>
      <c r="K63" s="65">
        <v>3.75</v>
      </c>
      <c r="L63" s="65">
        <v>2.1800000000000002</v>
      </c>
      <c r="M63" s="65">
        <v>17.25</v>
      </c>
      <c r="N63" s="65">
        <v>45.45</v>
      </c>
      <c r="O63" s="65">
        <v>9.75</v>
      </c>
      <c r="P63" s="65">
        <v>18.399999999999999</v>
      </c>
      <c r="Q63" s="65">
        <v>13.25</v>
      </c>
      <c r="R63" s="65">
        <v>21.55</v>
      </c>
      <c r="S63" s="73">
        <v>43889</v>
      </c>
      <c r="T63" s="2">
        <f t="shared" si="11"/>
        <v>9.0326086956521738</v>
      </c>
      <c r="U63" s="52">
        <f t="shared" si="3"/>
        <v>1.8283828382838281</v>
      </c>
      <c r="V63" s="84">
        <f t="shared" si="4"/>
        <v>4.7964796479647964E-2</v>
      </c>
      <c r="W63" s="52">
        <f t="shared" si="5"/>
        <v>0.58133333333333337</v>
      </c>
      <c r="X63" s="52">
        <f t="shared" si="6"/>
        <v>0.53333333333333333</v>
      </c>
      <c r="Y63" s="84">
        <f t="shared" si="7"/>
        <v>2.6233453670276779E-2</v>
      </c>
      <c r="Z63" s="52">
        <f t="shared" si="14"/>
        <v>0.52989130434782616</v>
      </c>
      <c r="AA63" s="52">
        <f t="shared" si="9"/>
        <v>0.61484918793503474</v>
      </c>
      <c r="AB63" s="52"/>
      <c r="AD63" s="33">
        <f t="shared" si="10"/>
        <v>264.23</v>
      </c>
    </row>
    <row r="64" spans="1:30" ht="14.25" hidden="1" customHeight="1" x14ac:dyDescent="0.25">
      <c r="A64">
        <f t="shared" si="1"/>
        <v>1</v>
      </c>
      <c r="B64" t="str">
        <f t="shared" si="2"/>
        <v>N</v>
      </c>
      <c r="C64" t="s">
        <v>271</v>
      </c>
      <c r="D64" s="13" t="s">
        <v>244</v>
      </c>
      <c r="E64" t="str">
        <f ca="1">INDEX(OFFSET(CashFlow,0,-1,,1),MATCH(D64,OFFSET(CashFlow,0,0,,1),0))</f>
        <v>Spire Inc.</v>
      </c>
      <c r="F64" s="64">
        <v>22.8</v>
      </c>
      <c r="G64" s="64">
        <v>88</v>
      </c>
      <c r="H64" s="64">
        <v>71.7</v>
      </c>
      <c r="I64" s="2">
        <f t="shared" si="12"/>
        <v>79.849999999999994</v>
      </c>
      <c r="J64" s="193">
        <v>7.12</v>
      </c>
      <c r="K64" s="65">
        <v>3.52</v>
      </c>
      <c r="L64" s="65">
        <v>2.37</v>
      </c>
      <c r="M64" s="65">
        <v>16.149999999999999</v>
      </c>
      <c r="N64" s="65">
        <v>45.14</v>
      </c>
      <c r="O64" s="65">
        <v>7.6</v>
      </c>
      <c r="P64" s="65">
        <v>11.75</v>
      </c>
      <c r="Q64" s="65">
        <v>9.75</v>
      </c>
      <c r="R64" s="65">
        <v>13</v>
      </c>
      <c r="S64" s="73">
        <v>43889</v>
      </c>
      <c r="T64" s="2">
        <f t="shared" si="11"/>
        <v>11.214887640449437</v>
      </c>
      <c r="U64" s="52">
        <f t="shared" si="3"/>
        <v>1.7689410722197605</v>
      </c>
      <c r="V64" s="84">
        <f t="shared" si="4"/>
        <v>5.2503322995126278E-2</v>
      </c>
      <c r="W64" s="52">
        <f t="shared" si="5"/>
        <v>0.67329545454545459</v>
      </c>
      <c r="X64" s="52">
        <f t="shared" si="6"/>
        <v>0.44086687306501554</v>
      </c>
      <c r="Y64" s="84">
        <f t="shared" si="7"/>
        <v>2.9680651221039453E-2</v>
      </c>
      <c r="Z64" s="52">
        <f t="shared" si="14"/>
        <v>0.64680851063829781</v>
      </c>
      <c r="AA64" s="52">
        <f t="shared" si="9"/>
        <v>0.75</v>
      </c>
      <c r="AB64" s="52"/>
      <c r="AD64" s="33">
        <f t="shared" si="10"/>
        <v>256.8</v>
      </c>
    </row>
    <row r="65" spans="1:30" ht="14.25" hidden="1" customHeight="1" x14ac:dyDescent="0.25">
      <c r="A65">
        <f t="shared" si="1"/>
        <v>1</v>
      </c>
      <c r="B65" t="str">
        <f t="shared" si="2"/>
        <v>N</v>
      </c>
      <c r="C65" t="s">
        <v>271</v>
      </c>
      <c r="D65" s="13" t="s">
        <v>204</v>
      </c>
      <c r="E65" t="str">
        <f ca="1">INDEX(OFFSET(CashFlow,0,-1,,1),MATCH(D65,OFFSET(CashFlow,0,0,,1),0))</f>
        <v>UGI Corp.</v>
      </c>
      <c r="F65" s="64">
        <v>23.4</v>
      </c>
      <c r="G65" s="64">
        <v>57.3</v>
      </c>
      <c r="H65" s="64">
        <v>40.5</v>
      </c>
      <c r="I65" s="2">
        <f t="shared" si="12"/>
        <v>48.9</v>
      </c>
      <c r="J65" s="65">
        <v>4.12</v>
      </c>
      <c r="K65" s="65">
        <v>2.2799999999999998</v>
      </c>
      <c r="L65" s="65">
        <v>1.1499999999999999</v>
      </c>
      <c r="M65" s="65">
        <v>3.37</v>
      </c>
      <c r="N65" s="65">
        <v>18.27</v>
      </c>
      <c r="O65" s="65">
        <v>5.15</v>
      </c>
      <c r="P65" s="65">
        <v>3.35</v>
      </c>
      <c r="Q65" s="65">
        <v>6.6</v>
      </c>
      <c r="R65" s="65">
        <v>3.55</v>
      </c>
      <c r="S65" s="73">
        <v>43889</v>
      </c>
      <c r="T65" s="2">
        <f t="shared" si="11"/>
        <v>11.86893203883495</v>
      </c>
      <c r="U65" s="52">
        <f t="shared" si="3"/>
        <v>2.6765188834154352</v>
      </c>
      <c r="V65" s="84">
        <f t="shared" si="4"/>
        <v>6.2944718117131912E-2</v>
      </c>
      <c r="W65" s="52">
        <f t="shared" si="5"/>
        <v>0.50438596491228072</v>
      </c>
      <c r="X65" s="52">
        <f t="shared" si="6"/>
        <v>1.2225519287833828</v>
      </c>
      <c r="Y65" s="84">
        <f t="shared" si="7"/>
        <v>2.3517382413087932E-2</v>
      </c>
      <c r="Z65" s="52">
        <f t="shared" si="14"/>
        <v>1.5373134328358209</v>
      </c>
      <c r="AA65" s="52">
        <f t="shared" si="9"/>
        <v>1.8591549295774648</v>
      </c>
      <c r="AB65" s="52"/>
      <c r="AD65" s="33">
        <f t="shared" si="10"/>
        <v>150.39000000000001</v>
      </c>
    </row>
    <row r="66" spans="1:30" hidden="1" x14ac:dyDescent="0.25">
      <c r="A66">
        <f t="shared" si="1"/>
        <v>1</v>
      </c>
      <c r="B66" t="str">
        <f t="shared" si="2"/>
        <v>E</v>
      </c>
      <c r="C66" t="s">
        <v>342</v>
      </c>
      <c r="D66" s="13" t="s">
        <v>42</v>
      </c>
      <c r="E66" t="str">
        <f>VLOOKUP(D66,'MP-CF (WP)'!$B$4:$Z$81,2,FALSE)</f>
        <v xml:space="preserve">Vectren Corp.                 </v>
      </c>
      <c r="F66" s="167" t="s">
        <v>106</v>
      </c>
      <c r="G66" s="64" t="s">
        <v>106</v>
      </c>
      <c r="H66" s="64" t="s">
        <v>106</v>
      </c>
      <c r="I66" s="2" t="str">
        <f t="shared" si="12"/>
        <v/>
      </c>
      <c r="J66" s="65" t="s">
        <v>106</v>
      </c>
      <c r="K66" s="65" t="s">
        <v>106</v>
      </c>
      <c r="L66" s="65" t="s">
        <v>106</v>
      </c>
      <c r="M66" s="65" t="s">
        <v>106</v>
      </c>
      <c r="N66" s="65" t="s">
        <v>106</v>
      </c>
      <c r="O66" s="65" t="s">
        <v>106</v>
      </c>
      <c r="P66" s="65" t="s">
        <v>106</v>
      </c>
      <c r="Q66" s="65" t="s">
        <v>106</v>
      </c>
      <c r="R66" s="65" t="s">
        <v>106</v>
      </c>
      <c r="S66" s="73">
        <v>43539</v>
      </c>
      <c r="T66" s="2" t="str">
        <f>IFERROR(I66/J66,"N/A")</f>
        <v>N/A</v>
      </c>
      <c r="U66" s="52" t="str">
        <f>IFERROR(I66/N66,"N/A")</f>
        <v>N/A</v>
      </c>
      <c r="V66" s="84" t="str">
        <f>IFERROR(L66/N66,"N/A")</f>
        <v>N/A</v>
      </c>
      <c r="W66" s="52" t="str">
        <f>IFERROR(L66/K66,"N/A")</f>
        <v>N/A</v>
      </c>
      <c r="X66" s="52" t="str">
        <f>IFERROR(J66/M66,"N/A")</f>
        <v>N/A</v>
      </c>
      <c r="Y66" s="84" t="str">
        <f>IFERROR(L66/I66,"N/A")</f>
        <v>N/A</v>
      </c>
      <c r="Z66" s="52" t="str">
        <f>IFERROR(O66/P66,"N/A")</f>
        <v>N/A</v>
      </c>
      <c r="AA66" s="52" t="str">
        <f>IFERROR(Q66/R66,"N/A")</f>
        <v>N/A</v>
      </c>
      <c r="AB66" s="52"/>
      <c r="AD66" s="33">
        <f t="shared" si="10"/>
        <v>0</v>
      </c>
    </row>
    <row r="67" spans="1:30" hidden="1" x14ac:dyDescent="0.25">
      <c r="A67">
        <f t="shared" si="1"/>
        <v>1</v>
      </c>
      <c r="B67" t="str">
        <f t="shared" si="2"/>
        <v>E</v>
      </c>
      <c r="C67" t="s">
        <v>342</v>
      </c>
      <c r="D67" s="13" t="s">
        <v>44</v>
      </c>
      <c r="E67" t="str">
        <f>VLOOKUP(D67,'MP-CF (WP)'!$B$4:$Z$81,2,FALSE)</f>
        <v>WEC Energy Group</v>
      </c>
      <c r="F67" s="167">
        <v>23.5</v>
      </c>
      <c r="G67" s="64">
        <v>98.2</v>
      </c>
      <c r="H67" s="64">
        <v>67.2</v>
      </c>
      <c r="I67" s="2">
        <f t="shared" si="12"/>
        <v>82.7</v>
      </c>
      <c r="J67" s="65">
        <v>6.53</v>
      </c>
      <c r="K67" s="65">
        <v>3.58</v>
      </c>
      <c r="L67" s="65">
        <v>2.36</v>
      </c>
      <c r="M67" s="65">
        <v>7.17</v>
      </c>
      <c r="N67" s="65">
        <v>32.06</v>
      </c>
      <c r="O67" s="65">
        <v>6.95</v>
      </c>
      <c r="P67" s="65">
        <v>10</v>
      </c>
      <c r="Q67" s="65">
        <v>9</v>
      </c>
      <c r="R67" s="65">
        <v>7.75</v>
      </c>
      <c r="S67" s="73">
        <v>43903</v>
      </c>
      <c r="T67" s="2">
        <f t="shared" si="11"/>
        <v>12.664624808575804</v>
      </c>
      <c r="U67" s="52">
        <f t="shared" si="3"/>
        <v>2.5795383655645665</v>
      </c>
      <c r="V67" s="84">
        <f t="shared" si="4"/>
        <v>7.3611977542108534E-2</v>
      </c>
      <c r="W67" s="52">
        <f t="shared" si="5"/>
        <v>0.65921787709497204</v>
      </c>
      <c r="X67" s="52">
        <f t="shared" si="6"/>
        <v>0.9107391910739191</v>
      </c>
      <c r="Y67" s="84">
        <f t="shared" si="7"/>
        <v>2.8536880290205558E-2</v>
      </c>
      <c r="Z67" s="52">
        <f t="shared" si="14"/>
        <v>0.69500000000000006</v>
      </c>
      <c r="AA67" s="52">
        <f t="shared" si="9"/>
        <v>1.1612903225806452</v>
      </c>
      <c r="AB67" s="52"/>
      <c r="AD67" s="33">
        <f t="shared" si="10"/>
        <v>240.60000000000002</v>
      </c>
    </row>
    <row r="68" spans="1:30" hidden="1" x14ac:dyDescent="0.25">
      <c r="A68">
        <f t="shared" si="1"/>
        <v>1</v>
      </c>
      <c r="B68" t="str">
        <f t="shared" si="2"/>
        <v>E</v>
      </c>
      <c r="C68" t="s">
        <v>342</v>
      </c>
      <c r="D68" s="13" t="s">
        <v>43</v>
      </c>
      <c r="E68" t="str">
        <f>VLOOKUP(D68,'MP-CF (WP)'!$B$4:$Z$81,2,FALSE)</f>
        <v xml:space="preserve">Westar Energy                 </v>
      </c>
      <c r="F68" s="175" t="s">
        <v>106</v>
      </c>
      <c r="G68" s="175" t="s">
        <v>106</v>
      </c>
      <c r="H68" s="175" t="s">
        <v>106</v>
      </c>
      <c r="I68" s="17" t="str">
        <f t="shared" si="12"/>
        <v/>
      </c>
      <c r="J68" s="176" t="s">
        <v>106</v>
      </c>
      <c r="K68" s="176" t="s">
        <v>106</v>
      </c>
      <c r="L68" s="176" t="s">
        <v>106</v>
      </c>
      <c r="M68" s="176" t="s">
        <v>106</v>
      </c>
      <c r="N68" s="176" t="s">
        <v>106</v>
      </c>
      <c r="O68" s="65"/>
      <c r="P68" s="65"/>
      <c r="Q68" s="65"/>
      <c r="R68" s="65"/>
      <c r="S68" s="73">
        <v>43266</v>
      </c>
      <c r="T68" s="2" t="str">
        <f>IFERROR(I68/J68,"N/A")</f>
        <v>N/A</v>
      </c>
      <c r="U68" s="52" t="str">
        <f>IFERROR(I68/N68,"N/A")</f>
        <v>N/A</v>
      </c>
      <c r="V68" s="84" t="str">
        <f>IFERROR(L68/N68,"N/A")</f>
        <v>N/A</v>
      </c>
      <c r="W68" s="52" t="str">
        <f>IFERROR(L68/K68,"N/A")</f>
        <v>N/A</v>
      </c>
      <c r="X68" s="52" t="str">
        <f>IFERROR(J68/M68,"N/A")</f>
        <v>N/A</v>
      </c>
      <c r="Y68" s="84" t="str">
        <f>IFERROR(L68/I68,"N/A")</f>
        <v>N/A</v>
      </c>
      <c r="Z68" s="52" t="str">
        <f>IFERROR(O68/P68,"N/A")</f>
        <v>N/A</v>
      </c>
      <c r="AA68" s="52" t="str">
        <f>IFERROR(Q68/R68,"N/A")</f>
        <v>N/A</v>
      </c>
      <c r="AB68" s="52"/>
      <c r="AD68" s="33">
        <f t="shared" si="10"/>
        <v>0</v>
      </c>
    </row>
    <row r="69" spans="1:30" ht="14.25" hidden="1" customHeight="1" x14ac:dyDescent="0.25">
      <c r="A69">
        <f t="shared" si="1"/>
        <v>1</v>
      </c>
      <c r="B69" t="str">
        <f t="shared" si="2"/>
        <v>N</v>
      </c>
      <c r="C69" t="s">
        <v>271</v>
      </c>
      <c r="D69" s="13" t="s">
        <v>206</v>
      </c>
      <c r="E69" t="str">
        <f ca="1">INDEX(OFFSET(CashFlow,0,-1,,1),MATCH(D69,OFFSET(CashFlow,0,0,,1),0))</f>
        <v>WGL Holdings Inc.</v>
      </c>
      <c r="F69" s="64" t="s">
        <v>106</v>
      </c>
      <c r="G69" s="64" t="s">
        <v>106</v>
      </c>
      <c r="H69" s="64" t="s">
        <v>106</v>
      </c>
      <c r="I69" s="2" t="str">
        <f t="shared" si="12"/>
        <v/>
      </c>
      <c r="J69" s="65" t="s">
        <v>106</v>
      </c>
      <c r="K69" s="65" t="s">
        <v>106</v>
      </c>
      <c r="L69" s="65" t="s">
        <v>106</v>
      </c>
      <c r="M69" s="65" t="s">
        <v>106</v>
      </c>
      <c r="N69" s="65" t="s">
        <v>106</v>
      </c>
      <c r="O69" s="65" t="s">
        <v>106</v>
      </c>
      <c r="P69" s="65" t="s">
        <v>106</v>
      </c>
      <c r="Q69" s="65" t="s">
        <v>106</v>
      </c>
      <c r="R69" s="65" t="s">
        <v>106</v>
      </c>
      <c r="S69" s="73">
        <v>43252</v>
      </c>
      <c r="T69" s="2" t="s">
        <v>106</v>
      </c>
      <c r="U69" s="52" t="s">
        <v>106</v>
      </c>
      <c r="V69" s="84" t="s">
        <v>106</v>
      </c>
      <c r="W69" s="52" t="s">
        <v>106</v>
      </c>
      <c r="X69" s="52" t="s">
        <v>106</v>
      </c>
      <c r="Y69" s="84" t="s">
        <v>106</v>
      </c>
      <c r="Z69" s="52" t="s">
        <v>106</v>
      </c>
      <c r="AA69" s="52" t="s">
        <v>106</v>
      </c>
      <c r="AB69" s="52"/>
      <c r="AD69" s="33">
        <f t="shared" si="10"/>
        <v>0</v>
      </c>
    </row>
    <row r="70" spans="1:30" ht="14.25" hidden="1" customHeight="1" x14ac:dyDescent="0.25">
      <c r="A70">
        <f t="shared" si="1"/>
        <v>1</v>
      </c>
      <c r="B70" t="str">
        <f t="shared" si="2"/>
        <v>E</v>
      </c>
      <c r="C70" t="s">
        <v>269</v>
      </c>
      <c r="D70" s="13" t="s">
        <v>45</v>
      </c>
      <c r="E70" t="str">
        <f>VLOOKUP(D70,'MP-CF (WP)'!$B$4:$Z$81,2,FALSE)</f>
        <v xml:space="preserve">Xcel Energy Inc.              </v>
      </c>
      <c r="F70" s="64">
        <v>22.7</v>
      </c>
      <c r="G70" s="64">
        <v>66.099999999999994</v>
      </c>
      <c r="H70" s="64">
        <v>47.7</v>
      </c>
      <c r="I70" s="2">
        <f t="shared" si="12"/>
        <v>56.9</v>
      </c>
      <c r="J70" s="65">
        <v>6.2</v>
      </c>
      <c r="K70" s="65">
        <v>2.6</v>
      </c>
      <c r="L70" s="65">
        <v>1.62</v>
      </c>
      <c r="M70" s="65">
        <v>9</v>
      </c>
      <c r="N70" s="65">
        <v>25.15</v>
      </c>
      <c r="O70" s="65">
        <v>6.6</v>
      </c>
      <c r="P70" s="65">
        <v>6.7</v>
      </c>
      <c r="Q70" s="65">
        <v>7.75</v>
      </c>
      <c r="R70" s="65">
        <v>8.25</v>
      </c>
      <c r="S70" s="73">
        <v>43854</v>
      </c>
      <c r="T70" s="2">
        <f t="shared" si="11"/>
        <v>9.17741935483871</v>
      </c>
      <c r="U70" s="52">
        <f t="shared" si="3"/>
        <v>2.2624254473161036</v>
      </c>
      <c r="V70" s="84">
        <f t="shared" si="4"/>
        <v>6.4413518886679927E-2</v>
      </c>
      <c r="W70" s="52">
        <f t="shared" si="5"/>
        <v>0.62307692307692308</v>
      </c>
      <c r="X70" s="52">
        <f t="shared" si="6"/>
        <v>0.68888888888888888</v>
      </c>
      <c r="Y70" s="84">
        <f t="shared" si="7"/>
        <v>2.8471001757469246E-2</v>
      </c>
      <c r="Z70" s="52">
        <f t="shared" si="14"/>
        <v>0.9850746268656716</v>
      </c>
      <c r="AA70" s="52">
        <f t="shared" si="9"/>
        <v>0.93939393939393945</v>
      </c>
      <c r="AB70" s="52"/>
      <c r="AD70" s="33">
        <f t="shared" si="10"/>
        <v>181.07</v>
      </c>
    </row>
    <row r="71" spans="1:30" ht="14.25" customHeight="1" x14ac:dyDescent="0.25">
      <c r="A71" t="str">
        <f t="shared" si="1"/>
        <v/>
      </c>
      <c r="B71" t="str">
        <f t="shared" si="2"/>
        <v>W</v>
      </c>
      <c r="C71" t="s">
        <v>270</v>
      </c>
      <c r="D71" s="13" t="s">
        <v>208</v>
      </c>
      <c r="E71" t="str">
        <f ca="1">INDEX(nameLU,MATCH(D71,tickerLU,0))</f>
        <v>York Water Co. (The)</v>
      </c>
      <c r="F71" s="64">
        <v>39.299999999999997</v>
      </c>
      <c r="G71" s="64">
        <v>47.3</v>
      </c>
      <c r="H71" s="64">
        <v>30.3</v>
      </c>
      <c r="I71" s="2">
        <f t="shared" si="12"/>
        <v>38.799999999999997</v>
      </c>
      <c r="J71" s="65">
        <v>1.75</v>
      </c>
      <c r="K71" s="65">
        <v>1.1499999999999999</v>
      </c>
      <c r="L71" s="65">
        <v>0.7</v>
      </c>
      <c r="M71" s="65">
        <v>2</v>
      </c>
      <c r="N71" s="65">
        <v>10.4</v>
      </c>
      <c r="O71" s="65">
        <v>1.8</v>
      </c>
      <c r="P71" s="65">
        <v>2</v>
      </c>
      <c r="Q71" s="65">
        <v>2.5</v>
      </c>
      <c r="R71" s="65">
        <v>1.85</v>
      </c>
      <c r="S71" s="73">
        <v>43840</v>
      </c>
      <c r="T71" s="2">
        <f t="shared" si="11"/>
        <v>22.171428571428571</v>
      </c>
      <c r="U71" s="52">
        <f t="shared" si="3"/>
        <v>3.7307692307692304</v>
      </c>
      <c r="V71" s="52">
        <f t="shared" si="4"/>
        <v>6.7307692307692304E-2</v>
      </c>
      <c r="W71" s="52">
        <f t="shared" si="5"/>
        <v>0.60869565217391308</v>
      </c>
      <c r="X71" s="52">
        <f t="shared" si="6"/>
        <v>0.875</v>
      </c>
      <c r="Y71" s="84">
        <f t="shared" si="7"/>
        <v>1.8041237113402064E-2</v>
      </c>
      <c r="Z71" s="52">
        <f t="shared" si="14"/>
        <v>0.9</v>
      </c>
      <c r="AA71" s="52">
        <f t="shared" si="9"/>
        <v>1.3513513513513513</v>
      </c>
      <c r="AB71" s="52"/>
      <c r="AD71" s="33">
        <f t="shared" si="10"/>
        <v>132.9</v>
      </c>
    </row>
    <row r="72" spans="1:30" ht="14.25" hidden="1" customHeight="1" x14ac:dyDescent="0.25">
      <c r="A72" t="str">
        <f t="shared" si="1"/>
        <v/>
      </c>
      <c r="B72" t="str">
        <f t="shared" si="2"/>
        <v/>
      </c>
      <c r="D72" s="13"/>
      <c r="E72" t="e">
        <f>VLOOKUP(D72,'MP-CF (WP)'!$B$4:$Z$60,2,FALSE)</f>
        <v>#N/A</v>
      </c>
      <c r="F72" s="33"/>
      <c r="G72" s="33"/>
      <c r="H72" s="33"/>
      <c r="I72" s="2" t="str">
        <f>IFERROR(AVERAGE(G72:H72),"")</f>
        <v/>
      </c>
      <c r="J72" s="2"/>
      <c r="K72" s="2"/>
      <c r="L72" s="2"/>
      <c r="M72" s="2"/>
      <c r="N72" s="2"/>
      <c r="O72" s="65"/>
      <c r="P72" s="65"/>
      <c r="Q72" s="65"/>
      <c r="R72" s="65"/>
      <c r="S72" s="73"/>
      <c r="T72" s="2" t="str">
        <f t="shared" si="11"/>
        <v/>
      </c>
      <c r="U72" s="52" t="str">
        <f t="shared" si="3"/>
        <v/>
      </c>
      <c r="V72" s="52" t="str">
        <f t="shared" si="4"/>
        <v/>
      </c>
      <c r="W72" s="52" t="str">
        <f t="shared" si="5"/>
        <v/>
      </c>
      <c r="X72" s="52" t="str">
        <f t="shared" si="6"/>
        <v/>
      </c>
      <c r="Y72" s="84" t="str">
        <f t="shared" si="7"/>
        <v/>
      </c>
      <c r="Z72" s="52" t="str">
        <f t="shared" si="14"/>
        <v/>
      </c>
      <c r="AA72" s="52" t="str">
        <f t="shared" si="9"/>
        <v/>
      </c>
      <c r="AB72" s="52"/>
      <c r="AD72" s="33">
        <f t="shared" si="10"/>
        <v>0</v>
      </c>
    </row>
    <row r="73" spans="1:30" ht="14.25" hidden="1" customHeight="1" x14ac:dyDescent="0.25">
      <c r="A73" t="str">
        <f t="shared" si="1"/>
        <v/>
      </c>
      <c r="B73" t="str">
        <f t="shared" si="2"/>
        <v/>
      </c>
      <c r="D73" s="13"/>
      <c r="E73" t="e">
        <f>VLOOKUP(D73,'MP-CF (WP)'!$B$4:$Z$60,2,FALSE)</f>
        <v>#N/A</v>
      </c>
      <c r="F73" s="33"/>
      <c r="G73" s="33"/>
      <c r="H73" s="33"/>
      <c r="I73" s="2" t="str">
        <f>IFERROR(AVERAGE(G73:H73),"")</f>
        <v/>
      </c>
      <c r="J73" s="2"/>
      <c r="K73" s="2"/>
      <c r="L73" s="2"/>
      <c r="M73" s="2"/>
      <c r="N73" s="2"/>
      <c r="O73" s="65"/>
      <c r="P73" s="65"/>
      <c r="Q73" s="65"/>
      <c r="R73" s="65"/>
      <c r="S73" s="73"/>
      <c r="T73" s="2" t="str">
        <f t="shared" si="11"/>
        <v/>
      </c>
      <c r="U73" s="52" t="str">
        <f t="shared" si="3"/>
        <v/>
      </c>
      <c r="V73" s="52" t="str">
        <f t="shared" si="4"/>
        <v/>
      </c>
      <c r="W73" s="52" t="str">
        <f t="shared" si="5"/>
        <v/>
      </c>
      <c r="X73" s="52" t="str">
        <f t="shared" si="6"/>
        <v/>
      </c>
      <c r="Y73" s="84" t="str">
        <f t="shared" si="7"/>
        <v/>
      </c>
      <c r="Z73" s="52" t="str">
        <f t="shared" si="14"/>
        <v/>
      </c>
      <c r="AA73" s="52" t="str">
        <f t="shared" si="9"/>
        <v/>
      </c>
      <c r="AB73" s="52"/>
      <c r="AD73" s="33">
        <f t="shared" si="10"/>
        <v>0</v>
      </c>
    </row>
    <row r="74" spans="1:30" ht="14.25" hidden="1" customHeight="1" x14ac:dyDescent="0.25">
      <c r="F74" s="33"/>
      <c r="G74" s="33"/>
      <c r="H74" s="33"/>
      <c r="I74" s="2"/>
      <c r="J74" s="2"/>
      <c r="K74" s="2"/>
      <c r="L74" s="2"/>
      <c r="M74" s="2"/>
      <c r="N74" s="2"/>
      <c r="O74" s="65"/>
      <c r="P74" s="65"/>
      <c r="Q74" s="65"/>
      <c r="R74" s="65"/>
      <c r="S74" s="73"/>
      <c r="T74" s="2" t="str">
        <f>IFERROR(I74/J74,"")</f>
        <v/>
      </c>
      <c r="U74" s="52" t="str">
        <f>IFERROR(I74/N74,"")</f>
        <v/>
      </c>
      <c r="W74" s="32"/>
      <c r="Z74" s="52" t="str">
        <f t="shared" si="14"/>
        <v/>
      </c>
      <c r="AA74" s="52" t="str">
        <f t="shared" si="9"/>
        <v/>
      </c>
      <c r="AB74" s="52"/>
      <c r="AD74" s="33"/>
    </row>
    <row r="75" spans="1:30" hidden="1" x14ac:dyDescent="0.25">
      <c r="F75" s="33"/>
      <c r="G75" s="33"/>
      <c r="H75" s="33"/>
      <c r="W75" s="32"/>
    </row>
    <row r="77" spans="1:30" x14ac:dyDescent="0.25">
      <c r="C77" t="s">
        <v>339</v>
      </c>
      <c r="D77">
        <f>COUNTIFS($AD$9:$AD$73,"&gt;0")</f>
        <v>56</v>
      </c>
      <c r="E77" t="s">
        <v>340</v>
      </c>
      <c r="F77" s="80">
        <f>IFERROR(AVERAGEIFS(F$9:F$76,$AD$9:$AD$76,"&gt;0"),"N/A")</f>
        <v>23.918181818181814</v>
      </c>
      <c r="G77" s="80">
        <f>IFERROR(AVERAGEIFS(G$9:G$76,$AD$9:$AD$76,"&gt;0"),"N/A")</f>
        <v>73.612499999999997</v>
      </c>
      <c r="H77" s="80">
        <f>IFERROR(AVERAGEIFS(H$9:H$76,$AD$9:$AD$76,"&gt;0"),"N/A")</f>
        <v>55.571428571428569</v>
      </c>
      <c r="I77" s="2">
        <f>IFERROR(AVERAGE(G77:H77),"N/A")</f>
        <v>64.591964285714283</v>
      </c>
      <c r="J77" s="80">
        <f t="shared" ref="J77:R77" si="15">IFERROR(AVERAGEIFS(J$9:J$76,$AD$9:$AD$76,"&gt;0"),"N/A")</f>
        <v>6.1482142857142845</v>
      </c>
      <c r="K77" s="80">
        <f t="shared" si="15"/>
        <v>2.9051785714285714</v>
      </c>
      <c r="L77" s="80">
        <f t="shared" si="15"/>
        <v>1.8562500000000011</v>
      </c>
      <c r="M77" s="80">
        <f t="shared" si="15"/>
        <v>7.9496428571428579</v>
      </c>
      <c r="N77" s="80">
        <f t="shared" si="15"/>
        <v>31.039285714285736</v>
      </c>
      <c r="O77" s="80">
        <f t="shared" si="15"/>
        <v>6.5098214285714286</v>
      </c>
      <c r="P77" s="80">
        <f t="shared" si="15"/>
        <v>8.2812499999999982</v>
      </c>
      <c r="Q77" s="80">
        <f t="shared" si="15"/>
        <v>7.9276785714285714</v>
      </c>
      <c r="R77" s="80">
        <f t="shared" si="15"/>
        <v>7.5258928571428587</v>
      </c>
      <c r="S77" s="2"/>
      <c r="T77" s="80">
        <f>IFERROR(AVERAGEIFS(T$9:T$76,$AD$9:$AD$76,"&gt;0"),"N/A")</f>
        <v>11.692295225340652</v>
      </c>
      <c r="U77" s="80">
        <f>IFERROR(AVERAGEIFS(U$9:U$76,$AD$9:$AD$76,"&gt;0"),"N/A")</f>
        <v>2.2240100813764956</v>
      </c>
      <c r="V77" s="80">
        <f>IFERROR(AVERAGEIFS(V$9:V$76,$AD$9:$AD$76,"&gt;0"),"N/A")</f>
        <v>6.1564900633720887E-2</v>
      </c>
      <c r="W77" s="80">
        <f>IFERROR(AVERAGEIFS(W$9:W$76,$AD$9:$AD$76,"&gt;0"),"N/A")</f>
        <v>0.65477871869788218</v>
      </c>
      <c r="X77" s="80">
        <f>IFERROR(AVERAGEIFS(X$9:X$76,$AD$9:$AD$76,"&gt;0"),"N/A")</f>
        <v>0.87111597296358201</v>
      </c>
      <c r="Y77" s="80"/>
      <c r="Z77" s="80"/>
      <c r="AA77" s="80"/>
      <c r="AB77" s="80"/>
    </row>
    <row r="78" spans="1:30" x14ac:dyDescent="0.25">
      <c r="C78" t="s">
        <v>339</v>
      </c>
      <c r="D78">
        <f>COUNTIFS($AD$9:$AD$73,"&gt;0",$C$9:$C$73,E78)</f>
        <v>14</v>
      </c>
      <c r="E78" t="s">
        <v>342</v>
      </c>
      <c r="F78" s="80">
        <f t="shared" ref="F78:H80" si="16">IFERROR(AVERAGEIFS(F$9:F$73,$AD$9:$AD$73,"&gt;0",$C$9:$C$73,$E78),"N/A")</f>
        <v>21.785714285714285</v>
      </c>
      <c r="G78" s="80">
        <f t="shared" si="16"/>
        <v>77.25</v>
      </c>
      <c r="H78" s="80">
        <f t="shared" si="16"/>
        <v>58.421428571428578</v>
      </c>
      <c r="I78" s="2">
        <f t="shared" ref="I78:I84" si="17">IFERROR(AVERAGE(G78:H78),"N/A")</f>
        <v>67.835714285714289</v>
      </c>
      <c r="J78" s="80">
        <f t="shared" ref="J78:R80" si="18">IFERROR(AVERAGEIFS(J$9:J$73,$AD$9:$AD$73,"&gt;0",$C$9:$C$73,$E78),"N/A")</f>
        <v>7.2164285714285699</v>
      </c>
      <c r="K78" s="80">
        <f t="shared" si="18"/>
        <v>3.2535714285714286</v>
      </c>
      <c r="L78" s="80">
        <f t="shared" si="18"/>
        <v>2.0528571428571425</v>
      </c>
      <c r="M78" s="80">
        <f t="shared" si="18"/>
        <v>8.821428571428573</v>
      </c>
      <c r="N78" s="80">
        <f t="shared" si="18"/>
        <v>32.208571428571425</v>
      </c>
      <c r="O78" s="80">
        <f t="shared" si="18"/>
        <v>7.4821428571428568</v>
      </c>
      <c r="P78" s="80">
        <f t="shared" si="18"/>
        <v>10.310714285714285</v>
      </c>
      <c r="Q78" s="80">
        <f t="shared" si="18"/>
        <v>9.0928571428571434</v>
      </c>
      <c r="R78" s="80">
        <f t="shared" si="18"/>
        <v>7.7785714285714294</v>
      </c>
      <c r="S78" s="2"/>
      <c r="T78" s="80">
        <f t="shared" ref="T78:X80" si="19">IFERROR(AVERAGEIFS(T$9:T$73,$AD$9:$AD$73,"&gt;0",$C$9:$C$73,$E78),"N/A")</f>
        <v>10.000728698215157</v>
      </c>
      <c r="U78" s="80">
        <f t="shared" si="19"/>
        <v>2.2016661271360629</v>
      </c>
      <c r="V78" s="80">
        <f t="shared" si="19"/>
        <v>6.5106541957705225E-2</v>
      </c>
      <c r="W78" s="80">
        <f t="shared" si="19"/>
        <v>0.63392961388764757</v>
      </c>
      <c r="X78" s="80">
        <f t="shared" si="19"/>
        <v>0.86448325044881569</v>
      </c>
      <c r="Y78" s="80"/>
      <c r="Z78" s="80"/>
      <c r="AA78" s="80"/>
      <c r="AB78" s="80"/>
    </row>
    <row r="79" spans="1:30" x14ac:dyDescent="0.25">
      <c r="C79" t="s">
        <v>339</v>
      </c>
      <c r="D79">
        <f>COUNTIFS($AD$9:$AD$73,"&gt;0",$C$9:$C$73,E79)</f>
        <v>11</v>
      </c>
      <c r="E79" t="s">
        <v>268</v>
      </c>
      <c r="F79" s="80">
        <f t="shared" si="16"/>
        <v>19.580000000000002</v>
      </c>
      <c r="G79" s="80">
        <f t="shared" si="16"/>
        <v>67.445454545454538</v>
      </c>
      <c r="H79" s="80">
        <f t="shared" si="16"/>
        <v>52.427272727272729</v>
      </c>
      <c r="I79" s="2">
        <f t="shared" si="17"/>
        <v>59.936363636363637</v>
      </c>
      <c r="J79" s="80">
        <f t="shared" si="18"/>
        <v>6.6427272727272735</v>
      </c>
      <c r="K79" s="80">
        <f t="shared" si="18"/>
        <v>2.9990909090909095</v>
      </c>
      <c r="L79" s="80">
        <f t="shared" si="18"/>
        <v>2.2272727272727271</v>
      </c>
      <c r="M79" s="80">
        <f t="shared" si="18"/>
        <v>7.9309090909090916</v>
      </c>
      <c r="N79" s="80">
        <f t="shared" si="18"/>
        <v>34.25181818181818</v>
      </c>
      <c r="O79" s="80">
        <f t="shared" si="18"/>
        <v>7.2045454545454533</v>
      </c>
      <c r="P79" s="80">
        <f t="shared" si="18"/>
        <v>8.081818181818182</v>
      </c>
      <c r="Q79" s="80">
        <f t="shared" si="18"/>
        <v>8.75</v>
      </c>
      <c r="R79" s="80">
        <f t="shared" si="18"/>
        <v>7.6363636363636367</v>
      </c>
      <c r="S79" s="2"/>
      <c r="T79" s="80">
        <f t="shared" si="19"/>
        <v>9.3741620593127362</v>
      </c>
      <c r="U79" s="80">
        <f t="shared" si="19"/>
        <v>1.9282994627266654</v>
      </c>
      <c r="V79" s="80">
        <f t="shared" si="19"/>
        <v>7.1329743813321481E-2</v>
      </c>
      <c r="W79" s="80">
        <f t="shared" si="19"/>
        <v>0.77239891191796739</v>
      </c>
      <c r="X79" s="80">
        <f t="shared" si="19"/>
        <v>0.84828364498381714</v>
      </c>
      <c r="Y79" s="80"/>
      <c r="Z79" s="80"/>
      <c r="AA79" s="80"/>
      <c r="AB79" s="80"/>
    </row>
    <row r="80" spans="1:30" x14ac:dyDescent="0.25">
      <c r="C80" t="s">
        <v>339</v>
      </c>
      <c r="D80">
        <f>COUNTIFS($AD$9:$AD$73,"&gt;0",$C$9:$C$73,E80)</f>
        <v>12</v>
      </c>
      <c r="E80" t="s">
        <v>269</v>
      </c>
      <c r="F80" s="80">
        <f t="shared" si="16"/>
        <v>20.791666666666668</v>
      </c>
      <c r="G80" s="80">
        <f t="shared" si="16"/>
        <v>79.36666666666666</v>
      </c>
      <c r="H80" s="80">
        <f t="shared" si="16"/>
        <v>58.56666666666667</v>
      </c>
      <c r="I80" s="2">
        <f t="shared" si="17"/>
        <v>68.966666666666669</v>
      </c>
      <c r="J80" s="80">
        <f t="shared" si="18"/>
        <v>7.4000000000000012</v>
      </c>
      <c r="K80" s="80">
        <f t="shared" si="18"/>
        <v>3.4291666666666671</v>
      </c>
      <c r="L80" s="80">
        <f t="shared" si="18"/>
        <v>2.0808333333333331</v>
      </c>
      <c r="M80" s="80">
        <f t="shared" si="18"/>
        <v>9.0666666666666647</v>
      </c>
      <c r="N80" s="80">
        <f t="shared" si="18"/>
        <v>35.658333333333324</v>
      </c>
      <c r="O80" s="80">
        <f t="shared" si="18"/>
        <v>7.6624999999999988</v>
      </c>
      <c r="P80" s="80">
        <f t="shared" si="18"/>
        <v>8.8541666666666679</v>
      </c>
      <c r="Q80" s="80">
        <f t="shared" si="18"/>
        <v>8.9166666666666661</v>
      </c>
      <c r="R80" s="80">
        <f t="shared" si="18"/>
        <v>8.0625</v>
      </c>
      <c r="S80" s="2"/>
      <c r="T80" s="80">
        <f t="shared" si="19"/>
        <v>9.2211306598468976</v>
      </c>
      <c r="U80" s="80">
        <f t="shared" si="19"/>
        <v>1.9378548994698048</v>
      </c>
      <c r="V80" s="80">
        <f t="shared" si="19"/>
        <v>5.8081670054454713E-2</v>
      </c>
      <c r="W80" s="80">
        <f t="shared" si="19"/>
        <v>0.60430852472350027</v>
      </c>
      <c r="X80" s="80">
        <f t="shared" si="19"/>
        <v>0.87725728512255829</v>
      </c>
      <c r="Y80" s="80"/>
      <c r="Z80" s="80"/>
      <c r="AA80" s="80"/>
      <c r="AB80" s="80"/>
    </row>
    <row r="81" spans="2:28" x14ac:dyDescent="0.25">
      <c r="C81" t="s">
        <v>339</v>
      </c>
      <c r="D81">
        <f>COUNTIFS($AD$9:$AD$73,"&gt;0",$B$9:$B$73,LEFT(E81,1))</f>
        <v>37</v>
      </c>
      <c r="E81" t="s">
        <v>344</v>
      </c>
      <c r="F81" s="80">
        <f t="shared" ref="F81:H82" si="20">IFERROR(AVERAGEIFS(F$9:F$73,$AD$9:$AD$73,"&gt;0",$B$9:$B$73,LEFT($E81,1)),"N/A")</f>
        <v>20.841666666666669</v>
      </c>
      <c r="G81" s="80">
        <f t="shared" si="20"/>
        <v>75.02162162162162</v>
      </c>
      <c r="H81" s="80">
        <f t="shared" si="20"/>
        <v>56.686486486486466</v>
      </c>
      <c r="I81" s="2">
        <f t="shared" si="17"/>
        <v>65.854054054054046</v>
      </c>
      <c r="J81" s="80">
        <f t="shared" ref="J81:R82" si="21">IFERROR(AVERAGEIFS(J$9:J$73,$AD$9:$AD$73,"&gt;0",$B$9:$B$73,LEFT($E81,1)),"N/A")</f>
        <v>7.1054054054054063</v>
      </c>
      <c r="K81" s="80">
        <f t="shared" si="21"/>
        <v>3.234864864864865</v>
      </c>
      <c r="L81" s="80">
        <f t="shared" si="21"/>
        <v>2.1137837837837838</v>
      </c>
      <c r="M81" s="80">
        <f t="shared" si="21"/>
        <v>8.6362162162162157</v>
      </c>
      <c r="N81" s="80">
        <f t="shared" si="21"/>
        <v>33.934864864864878</v>
      </c>
      <c r="O81" s="80">
        <f t="shared" si="21"/>
        <v>7.4581081081081075</v>
      </c>
      <c r="P81" s="80">
        <f t="shared" si="21"/>
        <v>9.1756756756756737</v>
      </c>
      <c r="Q81" s="80">
        <f t="shared" si="21"/>
        <v>8.9337837837837846</v>
      </c>
      <c r="R81" s="80">
        <f t="shared" si="21"/>
        <v>7.8283783783783774</v>
      </c>
      <c r="T81" s="80">
        <f t="shared" ref="T81:X82" si="22">IFERROR(AVERAGEIFS(T$9:T$73,$AD$9:$AD$73,"&gt;0",$B$9:$B$73,LEFT($E81,1)),"N/A")</f>
        <v>9.5616095228544609</v>
      </c>
      <c r="U81" s="80">
        <f t="shared" si="22"/>
        <v>2.0348345584739418</v>
      </c>
      <c r="V81" s="80">
        <f t="shared" si="22"/>
        <v>6.4678346216428803E-2</v>
      </c>
      <c r="W81" s="80">
        <f t="shared" si="22"/>
        <v>0.66548932222180268</v>
      </c>
      <c r="X81" s="80">
        <f t="shared" si="22"/>
        <v>0.86381008169124618</v>
      </c>
      <c r="Y81" s="80"/>
      <c r="Z81" s="80"/>
      <c r="AA81" s="80"/>
      <c r="AB81" s="80"/>
    </row>
    <row r="82" spans="2:28" x14ac:dyDescent="0.25">
      <c r="C82" t="s">
        <v>339</v>
      </c>
      <c r="D82">
        <f>COUNTIFS($AD$9:$AD$73,"&gt;0",$B$9:$B$73,LEFT(E82,1))</f>
        <v>10</v>
      </c>
      <c r="E82" t="s">
        <v>271</v>
      </c>
      <c r="F82" s="80">
        <f t="shared" si="20"/>
        <v>24.96</v>
      </c>
      <c r="G82" s="80">
        <f t="shared" si="20"/>
        <v>73.919999999999987</v>
      </c>
      <c r="H82" s="80">
        <f t="shared" si="20"/>
        <v>57.690000000000012</v>
      </c>
      <c r="I82" s="2">
        <f t="shared" si="17"/>
        <v>65.805000000000007</v>
      </c>
      <c r="J82" s="80">
        <f t="shared" si="21"/>
        <v>5.4049999999999994</v>
      </c>
      <c r="K82" s="80">
        <f t="shared" si="21"/>
        <v>2.7220000000000004</v>
      </c>
      <c r="L82" s="80">
        <f t="shared" si="21"/>
        <v>1.64</v>
      </c>
      <c r="M82" s="80">
        <f t="shared" si="21"/>
        <v>9.1890000000000018</v>
      </c>
      <c r="N82" s="80">
        <f t="shared" si="21"/>
        <v>30.500999999999998</v>
      </c>
      <c r="O82" s="80">
        <f t="shared" si="21"/>
        <v>5.8699999999999992</v>
      </c>
      <c r="P82" s="80">
        <f t="shared" si="21"/>
        <v>8.9849999999999994</v>
      </c>
      <c r="Q82" s="80">
        <f t="shared" si="21"/>
        <v>7.68</v>
      </c>
      <c r="R82" s="80">
        <f t="shared" si="21"/>
        <v>9.870000000000001</v>
      </c>
      <c r="T82" s="80">
        <f t="shared" si="22"/>
        <v>12.526733282192501</v>
      </c>
      <c r="U82" s="80">
        <f t="shared" si="22"/>
        <v>2.2166925677098384</v>
      </c>
      <c r="V82" s="80">
        <f t="shared" si="22"/>
        <v>5.7387152375919383E-2</v>
      </c>
      <c r="W82" s="80">
        <f t="shared" si="22"/>
        <v>0.64739065126726858</v>
      </c>
      <c r="X82" s="80">
        <f t="shared" si="22"/>
        <v>0.64461973691025076</v>
      </c>
      <c r="Y82" s="80"/>
      <c r="Z82" s="80"/>
      <c r="AA82" s="80"/>
      <c r="AB82" s="80"/>
    </row>
    <row r="83" spans="2:28" x14ac:dyDescent="0.25">
      <c r="C83" t="s">
        <v>339</v>
      </c>
      <c r="D83" s="79">
        <f>COUNTIFS($AD$9:$AD$73,"&gt;0",$A$9:$A$73,1)</f>
        <v>47</v>
      </c>
      <c r="E83" t="s">
        <v>341</v>
      </c>
      <c r="F83" s="80">
        <f>IFERROR(AVERAGEIFS(F$9:F$73,$AD$9:$AD$73,"&gt;0",$A$9:$A$73,1),"N/A")</f>
        <v>21.736956521739124</v>
      </c>
      <c r="G83" s="80">
        <f>IFERROR(AVERAGEIFS(G$9:G$73,$AD$9:$AD$73,"&gt;0",$A$9:$A$73,1),"N/A")</f>
        <v>74.787234042553195</v>
      </c>
      <c r="H83" s="80">
        <f>IFERROR(AVERAGEIFS(H$9:H$73,$AD$9:$AD$73,"&gt;0",$A$9:$A$73,1),"N/A")</f>
        <v>56.899999999999984</v>
      </c>
      <c r="I83" s="2">
        <f t="shared" si="17"/>
        <v>65.843617021276586</v>
      </c>
      <c r="J83" s="80">
        <f t="shared" ref="J83:R83" si="23">IFERROR(AVERAGEIFS(J$9:J$73,$AD$9:$AD$73,"&gt;0",$A$9:$A$73,1),"N/A")</f>
        <v>6.7436170212765951</v>
      </c>
      <c r="K83" s="80">
        <f t="shared" si="23"/>
        <v>3.1257446808510645</v>
      </c>
      <c r="L83" s="80">
        <f t="shared" si="23"/>
        <v>2.012978723404256</v>
      </c>
      <c r="M83" s="80">
        <f t="shared" si="23"/>
        <v>8.7538297872340429</v>
      </c>
      <c r="N83" s="80">
        <f t="shared" si="23"/>
        <v>33.204255319148956</v>
      </c>
      <c r="O83" s="80">
        <f t="shared" si="23"/>
        <v>7.1202127659574472</v>
      </c>
      <c r="P83" s="80">
        <f t="shared" si="23"/>
        <v>9.1351063829787211</v>
      </c>
      <c r="Q83" s="80">
        <f t="shared" si="23"/>
        <v>8.6670212765957455</v>
      </c>
      <c r="R83" s="80">
        <f t="shared" si="23"/>
        <v>8.2627659574468098</v>
      </c>
      <c r="T83" s="80">
        <f>IFERROR(AVERAGEIFS(T$9:T$73,$AD$9:$AD$73,"&gt;0",$A$9:$A$73,1),"N/A")</f>
        <v>10.192486918458304</v>
      </c>
      <c r="U83" s="120">
        <f>IFERROR(AVERAGEIFS(U$9:U$73,$AD$9:$AD$73,"&gt;0",$A$9:$A$73,1),"N/A")</f>
        <v>2.0735277519283883</v>
      </c>
      <c r="V83" s="80">
        <f>IFERROR(AVERAGEIFS(V$9:V$73,$AD$9:$AD$73,"&gt;0",$A$9:$A$73,1),"N/A")</f>
        <v>6.3127028378022546E-2</v>
      </c>
      <c r="W83" s="80">
        <f>IFERROR(AVERAGEIFS(W$9:W$73,$AD$9:$AD$73,"&gt;0",$A$9:$A$73,1),"N/A")</f>
        <v>0.66163854116764664</v>
      </c>
      <c r="X83" s="80">
        <f>IFERROR(AVERAGEIFS(X$9:X$73,$AD$9:$AD$73,"&gt;0",$A$9:$A$73,1),"N/A")</f>
        <v>0.81717383812082156</v>
      </c>
      <c r="Y83" s="80"/>
      <c r="Z83" s="80"/>
      <c r="AA83" s="80"/>
      <c r="AB83" s="80"/>
    </row>
    <row r="84" spans="2:28" x14ac:dyDescent="0.25">
      <c r="C84" t="s">
        <v>339</v>
      </c>
      <c r="D84">
        <f>COUNTIFS($AD$9:$AD$73,"&gt;0",$B$9:$B$73,LEFT(E84,1))</f>
        <v>9</v>
      </c>
      <c r="E84" t="s">
        <v>270</v>
      </c>
      <c r="F84" s="80">
        <f>IFERROR(AVERAGEIFS(F$9:F$73,$AD$9:$AD$73,"&gt;0",$B$9:$B$73,LEFT($E84,1)),"N/A")</f>
        <v>35.06666666666667</v>
      </c>
      <c r="G84" s="80">
        <f>IFERROR(AVERAGEIFS(G$9:G$73,$AD$9:$AD$73,"&gt;0",$B$9:$B$73,LEFT($E84,1)),"N/A")</f>
        <v>67.477777777777774</v>
      </c>
      <c r="H84" s="80">
        <f>IFERROR(AVERAGEIFS(H$9:H$73,$AD$9:$AD$73,"&gt;0",$B$9:$B$73,LEFT($E84,1)),"N/A")</f>
        <v>48.633333333333333</v>
      </c>
      <c r="I84" s="2">
        <f t="shared" si="17"/>
        <v>58.055555555555557</v>
      </c>
      <c r="J84" s="80">
        <f t="shared" ref="J84:R84" si="24">IFERROR(AVERAGEIFS(J$9:J$73,$AD$9:$AD$73,"&gt;0",$B$9:$B$73,LEFT($E84,1)),"N/A")</f>
        <v>3.0388888888888888</v>
      </c>
      <c r="K84" s="80">
        <f t="shared" si="24"/>
        <v>1.753333333333333</v>
      </c>
      <c r="L84" s="80">
        <f t="shared" si="24"/>
        <v>1.0377777777777775</v>
      </c>
      <c r="M84" s="80">
        <f t="shared" si="24"/>
        <v>3.75</v>
      </c>
      <c r="N84" s="80">
        <f t="shared" si="24"/>
        <v>19.733333333333334</v>
      </c>
      <c r="O84" s="80">
        <f t="shared" si="24"/>
        <v>3.3222222222222224</v>
      </c>
      <c r="P84" s="80">
        <f t="shared" si="24"/>
        <v>3.822222222222222</v>
      </c>
      <c r="Q84" s="80">
        <f t="shared" si="24"/>
        <v>4.0666666666666664</v>
      </c>
      <c r="R84" s="80">
        <f t="shared" si="24"/>
        <v>3.677777777777778</v>
      </c>
      <c r="T84" s="80">
        <f>IFERROR(AVERAGEIFS(T$9:T$73,$AD$9:$AD$73,"&gt;0",$B$9:$B$73,LEFT($E84,1)),"N/A")</f>
        <v>19.524627494615157</v>
      </c>
      <c r="U84" s="80">
        <f>IFERROR(AVERAGEIFS(U$9:U$73,$AD$9:$AD$73,"&gt;0",$B$9:$B$73,LEFT($E84,1)),"N/A")</f>
        <v>3.0098622462721689</v>
      </c>
      <c r="V84" s="80">
        <f>IFERROR(AVERAGEIFS(V$9:V$73,$AD$9:$AD$73,"&gt;0",$B$9:$B$73,LEFT($E84,1)),"N/A")</f>
        <v>5.3407122413478815E-2</v>
      </c>
      <c r="W84" s="80">
        <f>IFERROR(AVERAGEIFS(W$9:W$73,$AD$9:$AD$73,"&gt;0",$B$9:$B$73,LEFT($E84,1)),"N/A")</f>
        <v>0.61895520135577842</v>
      </c>
      <c r="X84" s="80">
        <f>IFERROR(AVERAGEIFS(X$9:X$73,$AD$9:$AD$73,"&gt;0",$B$9:$B$73,LEFT($E84,1)),"N/A")</f>
        <v>1.1528137882535525</v>
      </c>
      <c r="Y84" s="80"/>
      <c r="Z84" s="80"/>
      <c r="AA84" s="80"/>
      <c r="AB84" s="80"/>
    </row>
    <row r="88" spans="2:28" x14ac:dyDescent="0.25">
      <c r="B88" s="68" t="s">
        <v>108</v>
      </c>
      <c r="C88" t="s">
        <v>407</v>
      </c>
    </row>
  </sheetData>
  <autoFilter ref="A8:AK74">
    <filterColumn colId="2">
      <filters>
        <filter val="Water Utility"/>
      </filters>
    </filterColumn>
  </autoFilter>
  <sortState ref="C9:S69">
    <sortCondition ref="E9:E69"/>
  </sortState>
  <mergeCells count="1">
    <mergeCell ref="G5:I5"/>
  </mergeCells>
  <pageMargins left="0.3" right="0.3" top="0.45" bottom="0.54" header="0.3" footer="0.3"/>
  <pageSetup scale="57" fitToHeight="0" orientation="landscape" r:id="rId1"/>
  <headerFooter>
    <oddFooter>&amp;L&amp;F&amp;R&amp;A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J65"/>
  <sheetViews>
    <sheetView workbookViewId="0">
      <selection activeCell="A6" sqref="A6"/>
    </sheetView>
  </sheetViews>
  <sheetFormatPr defaultRowHeight="13.8" x14ac:dyDescent="0.25"/>
  <cols>
    <col min="5" max="5" width="9.59765625" bestFit="1" customWidth="1"/>
  </cols>
  <sheetData>
    <row r="1" spans="1:10" x14ac:dyDescent="0.25">
      <c r="A1" t="s">
        <v>99</v>
      </c>
      <c r="B1" t="s">
        <v>117</v>
      </c>
      <c r="C1" t="s">
        <v>307</v>
      </c>
      <c r="D1" t="s">
        <v>471</v>
      </c>
      <c r="E1" t="s">
        <v>472</v>
      </c>
      <c r="F1" t="s">
        <v>310</v>
      </c>
      <c r="G1" t="s">
        <v>311</v>
      </c>
      <c r="H1" t="s">
        <v>312</v>
      </c>
      <c r="I1" t="s">
        <v>313</v>
      </c>
      <c r="J1" t="s">
        <v>473</v>
      </c>
    </row>
    <row r="3" spans="1:10" x14ac:dyDescent="0.25">
      <c r="A3" t="s">
        <v>163</v>
      </c>
      <c r="B3" t="s">
        <v>409</v>
      </c>
      <c r="C3">
        <v>61.152999999999999</v>
      </c>
      <c r="D3">
        <v>34.755000000000003</v>
      </c>
      <c r="E3">
        <v>3.2240000000000002</v>
      </c>
      <c r="F3">
        <v>0.7</v>
      </c>
      <c r="G3">
        <v>42.807000000000002</v>
      </c>
      <c r="H3">
        <v>2.7810000000000001</v>
      </c>
      <c r="I3">
        <v>0.88</v>
      </c>
      <c r="J3">
        <v>2.056</v>
      </c>
    </row>
    <row r="4" spans="1:10" x14ac:dyDescent="0.25">
      <c r="A4" t="s">
        <v>2</v>
      </c>
      <c r="B4" t="s">
        <v>410</v>
      </c>
      <c r="C4">
        <v>18.04</v>
      </c>
      <c r="D4">
        <v>38.578000000000003</v>
      </c>
      <c r="E4">
        <v>8.7669999999999995</v>
      </c>
      <c r="F4">
        <v>3.9</v>
      </c>
      <c r="G4">
        <v>70.355999999999995</v>
      </c>
      <c r="H4">
        <v>12.888</v>
      </c>
      <c r="I4">
        <v>2.5299999999999998</v>
      </c>
      <c r="J4">
        <v>3.5960000000000001</v>
      </c>
    </row>
    <row r="5" spans="1:10" x14ac:dyDescent="0.25">
      <c r="A5" t="s">
        <v>175</v>
      </c>
      <c r="B5" t="s">
        <v>416</v>
      </c>
      <c r="C5">
        <v>21.747</v>
      </c>
      <c r="D5">
        <v>42.866999999999997</v>
      </c>
      <c r="E5">
        <v>7.2380000000000004</v>
      </c>
      <c r="F5">
        <v>4</v>
      </c>
      <c r="G5">
        <v>86.986999999999995</v>
      </c>
      <c r="H5">
        <v>13.189</v>
      </c>
      <c r="I5">
        <v>1.94</v>
      </c>
      <c r="J5">
        <v>2.23</v>
      </c>
    </row>
    <row r="6" spans="1:10" x14ac:dyDescent="0.25">
      <c r="A6" t="s">
        <v>5</v>
      </c>
      <c r="B6" t="s">
        <v>46</v>
      </c>
      <c r="C6">
        <v>16.821999999999999</v>
      </c>
      <c r="D6">
        <v>36.356999999999999</v>
      </c>
      <c r="E6">
        <v>6.6109999999999998</v>
      </c>
      <c r="F6">
        <v>3.47</v>
      </c>
      <c r="G6">
        <v>58.372</v>
      </c>
      <c r="H6">
        <v>7.625</v>
      </c>
      <c r="I6">
        <v>1.93</v>
      </c>
      <c r="J6">
        <v>3.306</v>
      </c>
    </row>
    <row r="7" spans="1:10" x14ac:dyDescent="0.25">
      <c r="A7" t="s">
        <v>9</v>
      </c>
      <c r="B7" t="s">
        <v>47</v>
      </c>
      <c r="C7">
        <v>20.312999999999999</v>
      </c>
      <c r="D7">
        <v>16.78</v>
      </c>
      <c r="E7">
        <v>5.6109999999999998</v>
      </c>
      <c r="F7">
        <v>2.3199999999999998</v>
      </c>
      <c r="G7">
        <v>47.125</v>
      </c>
      <c r="H7">
        <v>7.319</v>
      </c>
      <c r="I7">
        <v>1.43</v>
      </c>
      <c r="J7">
        <v>3.0339999999999998</v>
      </c>
    </row>
    <row r="8" spans="1:10" x14ac:dyDescent="0.25">
      <c r="A8" t="s">
        <v>177</v>
      </c>
      <c r="B8" t="s">
        <v>418</v>
      </c>
      <c r="C8">
        <v>30.302</v>
      </c>
      <c r="D8">
        <v>15.191000000000001</v>
      </c>
      <c r="E8">
        <v>3.1080000000000001</v>
      </c>
      <c r="F8">
        <v>1.36</v>
      </c>
      <c r="G8">
        <v>41.210999999999999</v>
      </c>
      <c r="H8">
        <v>5.6529999999999996</v>
      </c>
      <c r="I8">
        <v>0.75</v>
      </c>
      <c r="J8">
        <v>1.82</v>
      </c>
    </row>
    <row r="9" spans="1:10" x14ac:dyDescent="0.25">
      <c r="A9" t="s">
        <v>178</v>
      </c>
      <c r="B9" t="s">
        <v>419</v>
      </c>
      <c r="C9">
        <v>22.937000000000001</v>
      </c>
      <c r="D9">
        <v>31.654</v>
      </c>
      <c r="E9">
        <v>6.4669999999999996</v>
      </c>
      <c r="F9">
        <v>3.45</v>
      </c>
      <c r="G9">
        <v>79.132999999999996</v>
      </c>
      <c r="H9">
        <v>16.471</v>
      </c>
      <c r="I9">
        <v>1.39</v>
      </c>
      <c r="J9">
        <v>1.7569999999999999</v>
      </c>
    </row>
    <row r="10" spans="1:10" x14ac:dyDescent="0.25">
      <c r="A10" t="s">
        <v>180</v>
      </c>
      <c r="B10" t="s">
        <v>420</v>
      </c>
      <c r="C10">
        <v>46.325000000000003</v>
      </c>
      <c r="D10">
        <v>24.402000000000001</v>
      </c>
      <c r="E10">
        <v>2.9350000000000001</v>
      </c>
      <c r="F10">
        <v>1.38</v>
      </c>
      <c r="G10">
        <v>63.929000000000002</v>
      </c>
      <c r="H10">
        <v>4.7309999999999999</v>
      </c>
      <c r="I10">
        <v>1.24</v>
      </c>
      <c r="J10">
        <v>1.94</v>
      </c>
    </row>
    <row r="11" spans="1:10" x14ac:dyDescent="0.25">
      <c r="A11" t="s">
        <v>10</v>
      </c>
      <c r="B11" t="s">
        <v>50</v>
      </c>
      <c r="C11">
        <v>17.099</v>
      </c>
      <c r="D11">
        <v>52.106000000000002</v>
      </c>
      <c r="E11">
        <v>8.9160000000000004</v>
      </c>
      <c r="F11">
        <v>4.55</v>
      </c>
      <c r="G11">
        <v>77.8</v>
      </c>
      <c r="H11">
        <v>10.894</v>
      </c>
      <c r="I11">
        <v>2.86</v>
      </c>
      <c r="J11">
        <v>3.6760000000000002</v>
      </c>
    </row>
    <row r="12" spans="1:10" x14ac:dyDescent="0.25">
      <c r="A12" t="s">
        <v>12</v>
      </c>
      <c r="B12" t="s">
        <v>51</v>
      </c>
      <c r="C12">
        <v>17.405999999999999</v>
      </c>
      <c r="D12">
        <v>56.27</v>
      </c>
      <c r="E12">
        <v>12.582000000000001</v>
      </c>
      <c r="F12">
        <v>6.17</v>
      </c>
      <c r="G12">
        <v>107.39400000000001</v>
      </c>
      <c r="H12">
        <v>14.913</v>
      </c>
      <c r="I12">
        <v>3.59</v>
      </c>
      <c r="J12">
        <v>3.343</v>
      </c>
    </row>
    <row r="13" spans="1:10" x14ac:dyDescent="0.25">
      <c r="A13" t="s">
        <v>11</v>
      </c>
      <c r="B13" t="s">
        <v>422</v>
      </c>
      <c r="C13">
        <v>21.795999999999999</v>
      </c>
      <c r="D13">
        <v>29.53</v>
      </c>
      <c r="E13">
        <v>6.4770000000000003</v>
      </c>
      <c r="F13">
        <v>3.25</v>
      </c>
      <c r="G13">
        <v>70.837000000000003</v>
      </c>
      <c r="H13">
        <v>6.2480000000000002</v>
      </c>
      <c r="I13">
        <v>3.34</v>
      </c>
      <c r="J13">
        <v>4.7149999999999999</v>
      </c>
    </row>
    <row r="14" spans="1:10" x14ac:dyDescent="0.25">
      <c r="A14" t="s">
        <v>14</v>
      </c>
      <c r="B14" t="s">
        <v>53</v>
      </c>
      <c r="D14">
        <v>32.100999999999999</v>
      </c>
      <c r="E14">
        <v>4.6929999999999996</v>
      </c>
      <c r="F14">
        <v>-1.26</v>
      </c>
      <c r="G14">
        <v>63.176000000000002</v>
      </c>
      <c r="H14">
        <v>13.839</v>
      </c>
      <c r="I14">
        <v>2.4279999999999999</v>
      </c>
      <c r="J14">
        <v>3.843</v>
      </c>
    </row>
    <row r="15" spans="1:10" x14ac:dyDescent="0.25">
      <c r="A15" t="s">
        <v>37</v>
      </c>
      <c r="B15" t="s">
        <v>54</v>
      </c>
      <c r="C15">
        <v>20.402000000000001</v>
      </c>
      <c r="D15">
        <v>54.351999999999997</v>
      </c>
      <c r="E15">
        <v>11.068</v>
      </c>
      <c r="F15">
        <v>5.48</v>
      </c>
      <c r="G15">
        <v>111.804</v>
      </c>
      <c r="H15">
        <v>13.821999999999999</v>
      </c>
      <c r="I15">
        <v>3.58</v>
      </c>
      <c r="J15">
        <v>3.202</v>
      </c>
    </row>
    <row r="16" spans="1:10" x14ac:dyDescent="0.25">
      <c r="A16" t="s">
        <v>17</v>
      </c>
      <c r="B16" t="s">
        <v>55</v>
      </c>
      <c r="C16">
        <v>13.808999999999999</v>
      </c>
      <c r="D16">
        <v>46.780999999999999</v>
      </c>
      <c r="E16">
        <v>16.495999999999999</v>
      </c>
      <c r="F16">
        <v>5.88</v>
      </c>
      <c r="G16">
        <v>81.197000000000003</v>
      </c>
      <c r="H16">
        <v>22.452000000000002</v>
      </c>
      <c r="I16">
        <v>3.58</v>
      </c>
      <c r="J16">
        <v>4.4089999999999998</v>
      </c>
    </row>
    <row r="17" spans="1:10" x14ac:dyDescent="0.25">
      <c r="A17" t="s">
        <v>141</v>
      </c>
      <c r="B17" t="s">
        <v>427</v>
      </c>
      <c r="C17">
        <v>24.800999999999998</v>
      </c>
      <c r="D17">
        <v>71.430999999999997</v>
      </c>
      <c r="E17">
        <v>15.37</v>
      </c>
      <c r="F17">
        <v>6.67</v>
      </c>
      <c r="G17">
        <v>165.42400000000001</v>
      </c>
      <c r="H17">
        <v>27.204999999999998</v>
      </c>
      <c r="I17">
        <v>4.4400000000000004</v>
      </c>
      <c r="J17">
        <v>2.6840000000000002</v>
      </c>
    </row>
    <row r="18" spans="1:10" x14ac:dyDescent="0.25">
      <c r="A18" t="s">
        <v>266</v>
      </c>
      <c r="B18" t="s">
        <v>424</v>
      </c>
      <c r="C18">
        <v>17.079999999999998</v>
      </c>
      <c r="D18">
        <v>34.795999999999999</v>
      </c>
      <c r="E18">
        <v>5.3979999999999997</v>
      </c>
      <c r="F18">
        <v>2.52</v>
      </c>
      <c r="G18">
        <v>43.042000000000002</v>
      </c>
      <c r="H18">
        <v>7.51</v>
      </c>
      <c r="I18">
        <v>1.75</v>
      </c>
      <c r="J18">
        <v>4.0659999999999998</v>
      </c>
    </row>
    <row r="19" spans="1:10" x14ac:dyDescent="0.25">
      <c r="A19" t="s">
        <v>21</v>
      </c>
      <c r="B19" t="s">
        <v>58</v>
      </c>
      <c r="C19">
        <v>18.945</v>
      </c>
      <c r="D19">
        <v>19.859000000000002</v>
      </c>
      <c r="E19">
        <v>4.2009999999999996</v>
      </c>
      <c r="F19">
        <v>1.85</v>
      </c>
      <c r="G19">
        <v>35.048999999999999</v>
      </c>
      <c r="H19">
        <v>4.9349999999999996</v>
      </c>
      <c r="I19">
        <v>1.24</v>
      </c>
      <c r="J19">
        <v>3.5379999999999998</v>
      </c>
    </row>
    <row r="20" spans="1:10" x14ac:dyDescent="0.25">
      <c r="A20" t="s">
        <v>22</v>
      </c>
      <c r="B20" t="s">
        <v>59</v>
      </c>
      <c r="C20">
        <v>20.503</v>
      </c>
      <c r="D20">
        <v>47.012</v>
      </c>
      <c r="E20">
        <v>7.8520000000000003</v>
      </c>
      <c r="F20">
        <v>4.49</v>
      </c>
      <c r="G20">
        <v>92.058000000000007</v>
      </c>
      <c r="H20">
        <v>5.5110000000000001</v>
      </c>
      <c r="I20">
        <v>2.4</v>
      </c>
      <c r="J20">
        <v>2.6070000000000002</v>
      </c>
    </row>
    <row r="21" spans="1:10" x14ac:dyDescent="0.25">
      <c r="A21" t="s">
        <v>244</v>
      </c>
      <c r="B21" t="s">
        <v>434</v>
      </c>
      <c r="C21">
        <v>16.742000000000001</v>
      </c>
      <c r="D21">
        <v>44.51</v>
      </c>
      <c r="E21">
        <v>7.5510000000000002</v>
      </c>
      <c r="F21">
        <v>4.33</v>
      </c>
      <c r="G21">
        <v>72.492000000000004</v>
      </c>
      <c r="H21">
        <v>9.8559999999999999</v>
      </c>
      <c r="I21">
        <v>2.25</v>
      </c>
      <c r="J21">
        <v>3.1040000000000001</v>
      </c>
    </row>
    <row r="22" spans="1:10" x14ac:dyDescent="0.25">
      <c r="A22" t="s">
        <v>25</v>
      </c>
      <c r="B22" t="s">
        <v>61</v>
      </c>
      <c r="C22">
        <v>25.113</v>
      </c>
      <c r="D22">
        <v>23.556000000000001</v>
      </c>
      <c r="E22">
        <v>4.0570000000000004</v>
      </c>
      <c r="F22">
        <v>2.4300000000000002</v>
      </c>
      <c r="G22">
        <v>61.024999999999999</v>
      </c>
      <c r="H22">
        <v>6.1210000000000004</v>
      </c>
      <c r="I22">
        <v>1.32</v>
      </c>
      <c r="J22">
        <v>2.1629999999999998</v>
      </c>
    </row>
    <row r="23" spans="1:10" x14ac:dyDescent="0.25">
      <c r="A23" t="s">
        <v>188</v>
      </c>
      <c r="B23" t="s">
        <v>425</v>
      </c>
      <c r="C23">
        <v>22.177</v>
      </c>
      <c r="D23">
        <v>15.167</v>
      </c>
      <c r="E23">
        <v>2.8860000000000001</v>
      </c>
      <c r="F23">
        <v>1.96</v>
      </c>
      <c r="G23">
        <v>43.466999999999999</v>
      </c>
      <c r="H23">
        <v>4.3949999999999996</v>
      </c>
      <c r="I23">
        <v>0.91100000000000003</v>
      </c>
      <c r="J23">
        <v>2.0960000000000001</v>
      </c>
    </row>
    <row r="24" spans="1:10" x14ac:dyDescent="0.25">
      <c r="A24" t="s">
        <v>26</v>
      </c>
      <c r="B24" t="s">
        <v>62</v>
      </c>
      <c r="C24">
        <v>19.343</v>
      </c>
      <c r="D24">
        <v>13.081</v>
      </c>
      <c r="E24">
        <v>2.823</v>
      </c>
      <c r="F24">
        <v>1.3</v>
      </c>
      <c r="G24">
        <v>25.146000000000001</v>
      </c>
      <c r="H24">
        <v>4.883</v>
      </c>
      <c r="I24">
        <v>0.78</v>
      </c>
      <c r="J24">
        <v>3.1019999999999999</v>
      </c>
    </row>
    <row r="25" spans="1:10" x14ac:dyDescent="0.25">
      <c r="A25" t="s">
        <v>190</v>
      </c>
      <c r="B25" t="s">
        <v>426</v>
      </c>
      <c r="C25">
        <v>15.641999999999999</v>
      </c>
      <c r="D25">
        <v>16.181999999999999</v>
      </c>
      <c r="E25">
        <v>3.72</v>
      </c>
      <c r="F25">
        <v>2.72</v>
      </c>
      <c r="G25">
        <v>42.545999999999999</v>
      </c>
      <c r="H25">
        <v>4.3860000000000001</v>
      </c>
      <c r="I25">
        <v>1.1120000000000001</v>
      </c>
      <c r="J25">
        <v>2.6139999999999999</v>
      </c>
    </row>
    <row r="26" spans="1:10" x14ac:dyDescent="0.25">
      <c r="A26" t="s">
        <v>211</v>
      </c>
      <c r="B26" t="s">
        <v>423</v>
      </c>
      <c r="C26">
        <v>18.73</v>
      </c>
      <c r="D26">
        <v>36.249000000000002</v>
      </c>
      <c r="E26">
        <v>6.6429999999999998</v>
      </c>
      <c r="F26">
        <v>3.25</v>
      </c>
      <c r="G26">
        <v>60.872999999999998</v>
      </c>
      <c r="H26">
        <v>7.9630000000000001</v>
      </c>
      <c r="I26">
        <v>2.02</v>
      </c>
      <c r="J26">
        <v>3.3180000000000001</v>
      </c>
    </row>
    <row r="27" spans="1:10" x14ac:dyDescent="0.25">
      <c r="A27" t="s">
        <v>45</v>
      </c>
      <c r="B27" t="s">
        <v>65</v>
      </c>
      <c r="C27">
        <v>18.933</v>
      </c>
      <c r="D27">
        <v>23.777000000000001</v>
      </c>
      <c r="E27">
        <v>5.9180000000000001</v>
      </c>
      <c r="F27">
        <v>2.4700000000000002</v>
      </c>
      <c r="G27">
        <v>46.764000000000003</v>
      </c>
      <c r="H27">
        <v>7.6980000000000004</v>
      </c>
      <c r="I27">
        <v>1.52</v>
      </c>
      <c r="J27">
        <v>3.25</v>
      </c>
    </row>
    <row r="28" spans="1:10" x14ac:dyDescent="0.25">
      <c r="A28" t="s">
        <v>192</v>
      </c>
      <c r="B28" t="s">
        <v>474</v>
      </c>
      <c r="C28">
        <v>26.632000000000001</v>
      </c>
      <c r="D28">
        <v>26.407</v>
      </c>
      <c r="E28">
        <v>5.2789999999999999</v>
      </c>
      <c r="F28">
        <v>2.33</v>
      </c>
      <c r="G28">
        <v>62.052</v>
      </c>
      <c r="H28">
        <v>7.4320000000000004</v>
      </c>
      <c r="I28">
        <v>1.89</v>
      </c>
      <c r="J28">
        <v>3.0459999999999998</v>
      </c>
    </row>
    <row r="29" spans="1:10" x14ac:dyDescent="0.25">
      <c r="A29" t="s">
        <v>19</v>
      </c>
      <c r="B29" t="s">
        <v>66</v>
      </c>
      <c r="C29">
        <v>26.474</v>
      </c>
      <c r="D29">
        <v>13.172000000000001</v>
      </c>
      <c r="E29">
        <v>3.9830000000000001</v>
      </c>
      <c r="F29">
        <v>1.33</v>
      </c>
      <c r="G29">
        <v>35.210999999999999</v>
      </c>
      <c r="H29">
        <v>5.2249999999999996</v>
      </c>
      <c r="I29">
        <v>1.82</v>
      </c>
      <c r="J29">
        <v>5.1689999999999996</v>
      </c>
    </row>
    <row r="30" spans="1:10" x14ac:dyDescent="0.25">
      <c r="A30" t="s">
        <v>27</v>
      </c>
      <c r="B30" t="s">
        <v>67</v>
      </c>
      <c r="C30">
        <v>16.524999999999999</v>
      </c>
      <c r="D30">
        <v>20.056000000000001</v>
      </c>
      <c r="E30">
        <v>3.7410000000000001</v>
      </c>
      <c r="F30">
        <v>2.12</v>
      </c>
      <c r="G30">
        <v>35.033000000000001</v>
      </c>
      <c r="H30">
        <v>2.8719999999999999</v>
      </c>
      <c r="I30">
        <v>1.395</v>
      </c>
      <c r="J30">
        <v>3.9820000000000002</v>
      </c>
    </row>
    <row r="31" spans="1:10" x14ac:dyDescent="0.25">
      <c r="A31" t="s">
        <v>28</v>
      </c>
      <c r="B31" t="s">
        <v>68</v>
      </c>
      <c r="C31">
        <v>22.245999999999999</v>
      </c>
      <c r="D31">
        <v>18.376000000000001</v>
      </c>
      <c r="E31">
        <v>3.9580000000000002</v>
      </c>
      <c r="F31">
        <v>2.06</v>
      </c>
      <c r="G31">
        <v>45.826000000000001</v>
      </c>
      <c r="H31">
        <v>2.6579999999999999</v>
      </c>
      <c r="I31">
        <v>1.34</v>
      </c>
      <c r="J31">
        <v>2.9239999999999999</v>
      </c>
    </row>
    <row r="32" spans="1:10" x14ac:dyDescent="0.25">
      <c r="A32" t="s">
        <v>18</v>
      </c>
      <c r="B32" t="s">
        <v>69</v>
      </c>
      <c r="C32">
        <v>20.091999999999999</v>
      </c>
      <c r="D32">
        <v>31.774999999999999</v>
      </c>
      <c r="E32">
        <v>8.2430000000000003</v>
      </c>
      <c r="F32">
        <v>2.0699999999999998</v>
      </c>
      <c r="G32">
        <v>41.59</v>
      </c>
      <c r="H32">
        <v>7.8440000000000003</v>
      </c>
      <c r="I32">
        <v>1.38</v>
      </c>
      <c r="J32">
        <v>3.3180000000000001</v>
      </c>
    </row>
    <row r="33" spans="1:10" x14ac:dyDescent="0.25">
      <c r="A33" t="s">
        <v>34</v>
      </c>
      <c r="B33" t="s">
        <v>70</v>
      </c>
      <c r="C33">
        <v>11.331</v>
      </c>
      <c r="D33">
        <v>16.183</v>
      </c>
      <c r="E33">
        <v>4.1630000000000003</v>
      </c>
      <c r="F33">
        <v>2.58</v>
      </c>
      <c r="G33">
        <v>29.233000000000001</v>
      </c>
      <c r="H33">
        <v>4.4950000000000001</v>
      </c>
      <c r="I33">
        <v>1.64</v>
      </c>
      <c r="J33">
        <v>5.61</v>
      </c>
    </row>
    <row r="34" spans="1:10" x14ac:dyDescent="0.25">
      <c r="A34" t="s">
        <v>30</v>
      </c>
      <c r="B34" t="s">
        <v>71</v>
      </c>
      <c r="D34">
        <v>24.312999999999999</v>
      </c>
      <c r="E34">
        <v>-7.3049999999999997</v>
      </c>
      <c r="F34">
        <v>-13.25</v>
      </c>
      <c r="G34">
        <v>41.295999999999999</v>
      </c>
      <c r="H34">
        <v>12.519</v>
      </c>
      <c r="I34">
        <v>0</v>
      </c>
    </row>
    <row r="35" spans="1:10" x14ac:dyDescent="0.25">
      <c r="A35" t="s">
        <v>171</v>
      </c>
      <c r="B35" t="s">
        <v>414</v>
      </c>
      <c r="C35">
        <v>32.569000000000003</v>
      </c>
      <c r="D35">
        <v>11.282999999999999</v>
      </c>
      <c r="E35">
        <v>1.9019999999999999</v>
      </c>
      <c r="F35">
        <v>1.08</v>
      </c>
      <c r="G35">
        <v>35.173999999999999</v>
      </c>
      <c r="H35">
        <v>2.7839999999999998</v>
      </c>
      <c r="I35">
        <v>0.85</v>
      </c>
      <c r="J35">
        <v>2.4169999999999998</v>
      </c>
    </row>
    <row r="36" spans="1:10" x14ac:dyDescent="0.25">
      <c r="A36" t="s">
        <v>31</v>
      </c>
      <c r="B36" t="s">
        <v>72</v>
      </c>
      <c r="C36">
        <v>17.818999999999999</v>
      </c>
      <c r="D36">
        <v>46.591000000000001</v>
      </c>
      <c r="E36">
        <v>11.407</v>
      </c>
      <c r="F36">
        <v>4.54</v>
      </c>
      <c r="G36">
        <v>80.896000000000001</v>
      </c>
      <c r="H36">
        <v>10.734</v>
      </c>
      <c r="I36">
        <v>2.87</v>
      </c>
      <c r="J36">
        <v>3.548</v>
      </c>
    </row>
    <row r="37" spans="1:10" x14ac:dyDescent="0.25">
      <c r="A37" t="s">
        <v>32</v>
      </c>
      <c r="B37" t="s">
        <v>74</v>
      </c>
      <c r="C37">
        <v>23.388999999999999</v>
      </c>
      <c r="D37">
        <v>21.196999999999999</v>
      </c>
      <c r="E37">
        <v>5.1280000000000001</v>
      </c>
      <c r="F37">
        <v>1.66</v>
      </c>
      <c r="G37">
        <v>38.825000000000003</v>
      </c>
      <c r="H37">
        <v>6.2919999999999998</v>
      </c>
      <c r="I37">
        <v>1.085</v>
      </c>
      <c r="J37">
        <v>2.7949999999999999</v>
      </c>
    </row>
    <row r="38" spans="1:10" x14ac:dyDescent="0.25">
      <c r="A38" t="s">
        <v>35</v>
      </c>
      <c r="B38" t="s">
        <v>75</v>
      </c>
      <c r="C38">
        <v>18.709</v>
      </c>
      <c r="D38">
        <v>28.526</v>
      </c>
      <c r="E38">
        <v>5.444</v>
      </c>
      <c r="F38">
        <v>2.76</v>
      </c>
      <c r="G38">
        <v>51.636000000000003</v>
      </c>
      <c r="H38">
        <v>7.7619999999999996</v>
      </c>
      <c r="I38">
        <v>1.8</v>
      </c>
      <c r="J38">
        <v>3.4860000000000002</v>
      </c>
    </row>
    <row r="39" spans="1:10" x14ac:dyDescent="0.25">
      <c r="A39" t="s">
        <v>194</v>
      </c>
      <c r="B39" t="s">
        <v>430</v>
      </c>
      <c r="C39">
        <v>28.302</v>
      </c>
      <c r="D39">
        <v>9.9540000000000006</v>
      </c>
      <c r="E39">
        <v>1.7989999999999999</v>
      </c>
      <c r="F39">
        <v>0.95</v>
      </c>
      <c r="G39">
        <v>26.887</v>
      </c>
      <c r="H39">
        <v>2.9129999999999998</v>
      </c>
      <c r="I39">
        <v>0.62</v>
      </c>
      <c r="J39">
        <v>2.306</v>
      </c>
    </row>
    <row r="40" spans="1:10" x14ac:dyDescent="0.25">
      <c r="A40" t="s">
        <v>196</v>
      </c>
      <c r="B40" t="s">
        <v>431</v>
      </c>
      <c r="C40">
        <v>32.746000000000002</v>
      </c>
      <c r="D40">
        <v>31.309000000000001</v>
      </c>
      <c r="E40">
        <v>3.2869999999999999</v>
      </c>
      <c r="F40">
        <v>1.82</v>
      </c>
      <c r="G40">
        <v>59.597999999999999</v>
      </c>
      <c r="H40">
        <v>5.085</v>
      </c>
      <c r="I40">
        <v>1.1200000000000001</v>
      </c>
      <c r="J40">
        <v>1.879</v>
      </c>
    </row>
    <row r="41" spans="1:10" x14ac:dyDescent="0.25">
      <c r="A41" t="s">
        <v>198</v>
      </c>
      <c r="B41" t="s">
        <v>432</v>
      </c>
      <c r="C41">
        <v>22.638000000000002</v>
      </c>
      <c r="D41">
        <v>14.818</v>
      </c>
      <c r="E41">
        <v>2.9129999999999998</v>
      </c>
      <c r="F41">
        <v>1.38</v>
      </c>
      <c r="G41">
        <v>31.241</v>
      </c>
      <c r="H41">
        <v>3.9889999999999999</v>
      </c>
      <c r="I41">
        <v>1.1299999999999999</v>
      </c>
      <c r="J41">
        <v>3.617</v>
      </c>
    </row>
    <row r="42" spans="1:10" x14ac:dyDescent="0.25">
      <c r="A42" t="s">
        <v>165</v>
      </c>
      <c r="B42" t="s">
        <v>411</v>
      </c>
      <c r="C42">
        <v>34.045000000000002</v>
      </c>
      <c r="D42">
        <v>15.186</v>
      </c>
      <c r="E42">
        <v>2.8370000000000002</v>
      </c>
      <c r="F42">
        <v>1.72</v>
      </c>
      <c r="G42">
        <v>58.558</v>
      </c>
      <c r="H42">
        <v>3.4430000000000001</v>
      </c>
      <c r="I42">
        <v>1.06</v>
      </c>
      <c r="J42">
        <v>1.81</v>
      </c>
    </row>
    <row r="43" spans="1:10" x14ac:dyDescent="0.25">
      <c r="A43" t="s">
        <v>38</v>
      </c>
      <c r="B43" t="s">
        <v>77</v>
      </c>
      <c r="C43">
        <v>15.061999999999999</v>
      </c>
      <c r="D43">
        <v>23.914999999999999</v>
      </c>
      <c r="E43">
        <v>6.4119999999999999</v>
      </c>
      <c r="F43">
        <v>3</v>
      </c>
      <c r="G43">
        <v>45.185000000000002</v>
      </c>
      <c r="H43">
        <v>7.7389999999999999</v>
      </c>
      <c r="I43">
        <v>2.38</v>
      </c>
      <c r="J43">
        <v>5.2670000000000003</v>
      </c>
    </row>
    <row r="44" spans="1:10" x14ac:dyDescent="0.25">
      <c r="A44" t="s">
        <v>200</v>
      </c>
      <c r="B44" t="s">
        <v>433</v>
      </c>
      <c r="C44">
        <v>20.608000000000001</v>
      </c>
      <c r="D44">
        <v>42.47</v>
      </c>
      <c r="E44">
        <v>8.1370000000000005</v>
      </c>
      <c r="F44">
        <v>3.68</v>
      </c>
      <c r="G44">
        <v>75.837999999999994</v>
      </c>
      <c r="H44">
        <v>14.444000000000001</v>
      </c>
      <c r="I44">
        <v>2.08</v>
      </c>
      <c r="J44">
        <v>2.7429999999999999</v>
      </c>
    </row>
    <row r="45" spans="1:10" x14ac:dyDescent="0.25">
      <c r="A45" t="s">
        <v>204</v>
      </c>
      <c r="B45" t="s">
        <v>436</v>
      </c>
      <c r="C45">
        <v>17.77</v>
      </c>
      <c r="D45">
        <v>21.14</v>
      </c>
      <c r="E45">
        <v>5.4020000000000001</v>
      </c>
      <c r="F45">
        <v>2.74</v>
      </c>
      <c r="G45">
        <v>48.69</v>
      </c>
      <c r="H45">
        <v>3.298</v>
      </c>
      <c r="I45">
        <v>1.02</v>
      </c>
      <c r="J45">
        <v>2.0950000000000002</v>
      </c>
    </row>
    <row r="46" spans="1:10" x14ac:dyDescent="0.25">
      <c r="A46" t="s">
        <v>3</v>
      </c>
      <c r="B46" t="s">
        <v>80</v>
      </c>
      <c r="C46">
        <v>18.286000000000001</v>
      </c>
      <c r="D46">
        <v>31.210999999999999</v>
      </c>
      <c r="E46">
        <v>7.64</v>
      </c>
      <c r="F46">
        <v>3.32</v>
      </c>
      <c r="G46">
        <v>60.710999999999999</v>
      </c>
      <c r="H46">
        <v>9.5619999999999994</v>
      </c>
      <c r="I46">
        <v>1.8480000000000001</v>
      </c>
      <c r="J46">
        <v>3.044</v>
      </c>
    </row>
    <row r="47" spans="1:10" x14ac:dyDescent="0.25">
      <c r="A47" t="s">
        <v>83</v>
      </c>
      <c r="B47" t="s">
        <v>437</v>
      </c>
      <c r="C47">
        <v>21.628</v>
      </c>
      <c r="D47">
        <v>23.6</v>
      </c>
      <c r="E47">
        <v>5.6059999999999999</v>
      </c>
      <c r="F47">
        <v>2.23</v>
      </c>
      <c r="G47">
        <v>48.231000000000002</v>
      </c>
      <c r="H47">
        <v>6.883</v>
      </c>
      <c r="I47">
        <v>1.46</v>
      </c>
      <c r="J47">
        <v>3.0270000000000001</v>
      </c>
    </row>
    <row r="48" spans="1:10" x14ac:dyDescent="0.25">
      <c r="A48" t="s">
        <v>1</v>
      </c>
      <c r="B48" t="s">
        <v>84</v>
      </c>
      <c r="C48">
        <v>19.138000000000002</v>
      </c>
      <c r="D48">
        <v>19.425999999999998</v>
      </c>
      <c r="E48">
        <v>4.3170000000000002</v>
      </c>
      <c r="F48">
        <v>2.19</v>
      </c>
      <c r="G48">
        <v>41.912999999999997</v>
      </c>
      <c r="I48">
        <v>1.34</v>
      </c>
      <c r="J48">
        <v>3.1970000000000001</v>
      </c>
    </row>
    <row r="49" spans="1:10" x14ac:dyDescent="0.25">
      <c r="A49" t="s">
        <v>4</v>
      </c>
      <c r="B49" t="s">
        <v>86</v>
      </c>
      <c r="C49">
        <v>24.542999999999999</v>
      </c>
      <c r="D49">
        <v>26.994</v>
      </c>
      <c r="E49">
        <v>5.0110000000000001</v>
      </c>
      <c r="F49">
        <v>2.0699999999999998</v>
      </c>
      <c r="G49">
        <v>50.804000000000002</v>
      </c>
      <c r="H49">
        <v>6.46</v>
      </c>
      <c r="I49">
        <v>1.49</v>
      </c>
      <c r="J49">
        <v>2.9329999999999998</v>
      </c>
    </row>
    <row r="50" spans="1:10" x14ac:dyDescent="0.25">
      <c r="A50" t="s">
        <v>44</v>
      </c>
      <c r="B50" t="s">
        <v>438</v>
      </c>
      <c r="C50">
        <v>19.565999999999999</v>
      </c>
      <c r="D50">
        <v>31.024000000000001</v>
      </c>
      <c r="E50">
        <v>6.0380000000000003</v>
      </c>
      <c r="F50">
        <v>3.34</v>
      </c>
      <c r="G50">
        <v>65.349999999999994</v>
      </c>
      <c r="H50">
        <v>6.7050000000000001</v>
      </c>
      <c r="I50">
        <v>2.21</v>
      </c>
      <c r="J50">
        <v>3.3820000000000001</v>
      </c>
    </row>
    <row r="51" spans="1:10" x14ac:dyDescent="0.25">
      <c r="A51" t="s">
        <v>182</v>
      </c>
      <c r="B51" t="s">
        <v>421</v>
      </c>
      <c r="C51">
        <v>19.413</v>
      </c>
      <c r="D51">
        <v>10.342000000000001</v>
      </c>
      <c r="E51">
        <v>1.149</v>
      </c>
      <c r="F51">
        <v>0.68</v>
      </c>
      <c r="G51">
        <v>13.201000000000001</v>
      </c>
      <c r="H51">
        <v>1.081</v>
      </c>
      <c r="I51">
        <v>0.34</v>
      </c>
      <c r="J51">
        <v>2.5760000000000001</v>
      </c>
    </row>
    <row r="52" spans="1:10" x14ac:dyDescent="0.25">
      <c r="A52" t="s">
        <v>15</v>
      </c>
      <c r="B52" t="s">
        <v>88</v>
      </c>
      <c r="C52">
        <v>26.849</v>
      </c>
      <c r="D52">
        <v>28.614999999999998</v>
      </c>
      <c r="E52">
        <v>5.8920000000000003</v>
      </c>
      <c r="F52">
        <v>2.0699999999999998</v>
      </c>
      <c r="G52">
        <v>55.578000000000003</v>
      </c>
      <c r="H52">
        <v>6.843</v>
      </c>
      <c r="I52">
        <v>1.415</v>
      </c>
      <c r="J52">
        <v>2.5459999999999998</v>
      </c>
    </row>
    <row r="53" spans="1:10" x14ac:dyDescent="0.25">
      <c r="A53" t="s">
        <v>169</v>
      </c>
      <c r="B53" t="s">
        <v>413</v>
      </c>
      <c r="C53">
        <v>27.957000000000001</v>
      </c>
      <c r="D53">
        <v>5.7709999999999999</v>
      </c>
      <c r="E53">
        <v>4.0469999999999997</v>
      </c>
      <c r="F53">
        <v>1.54</v>
      </c>
      <c r="G53">
        <v>43.054000000000002</v>
      </c>
      <c r="H53">
        <v>1.089</v>
      </c>
      <c r="I53">
        <v>3.8</v>
      </c>
      <c r="J53">
        <v>8.8260000000000005</v>
      </c>
    </row>
    <row r="54" spans="1:10" x14ac:dyDescent="0.25">
      <c r="A54" t="s">
        <v>173</v>
      </c>
      <c r="B54" t="s">
        <v>415</v>
      </c>
      <c r="C54">
        <v>23.87</v>
      </c>
      <c r="D54">
        <v>16.568000000000001</v>
      </c>
      <c r="E54">
        <v>2.6560000000000001</v>
      </c>
      <c r="F54">
        <v>1.54</v>
      </c>
      <c r="G54">
        <v>36.76</v>
      </c>
      <c r="H54">
        <v>5.3029999999999999</v>
      </c>
      <c r="I54">
        <v>0.95499999999999996</v>
      </c>
      <c r="J54">
        <v>2.5979999999999999</v>
      </c>
    </row>
    <row r="55" spans="1:10" x14ac:dyDescent="0.25">
      <c r="A55" t="s">
        <v>208</v>
      </c>
      <c r="B55" t="s">
        <v>439</v>
      </c>
      <c r="C55">
        <v>30.303999999999998</v>
      </c>
      <c r="D55">
        <v>9.7490000000000006</v>
      </c>
      <c r="E55">
        <v>1.575</v>
      </c>
      <c r="F55">
        <v>1.04</v>
      </c>
      <c r="G55">
        <v>31.515999999999998</v>
      </c>
      <c r="I55">
        <v>0.67300000000000004</v>
      </c>
      <c r="J55">
        <v>2.1349999999999998</v>
      </c>
    </row>
    <row r="56" spans="1:10" x14ac:dyDescent="0.25">
      <c r="A56" t="s">
        <v>202</v>
      </c>
      <c r="B56" t="s">
        <v>435</v>
      </c>
      <c r="C56">
        <v>11.211</v>
      </c>
      <c r="D56">
        <v>5.8</v>
      </c>
      <c r="E56">
        <v>1.649</v>
      </c>
      <c r="F56">
        <v>0.89</v>
      </c>
      <c r="G56">
        <v>9.9779999999999998</v>
      </c>
      <c r="H56">
        <v>0.254</v>
      </c>
      <c r="I56">
        <v>0.45500000000000002</v>
      </c>
      <c r="J56">
        <v>4.5599999999999996</v>
      </c>
    </row>
    <row r="57" spans="1:10" x14ac:dyDescent="0.25">
      <c r="A57" t="s">
        <v>6</v>
      </c>
      <c r="B57" t="s">
        <v>90</v>
      </c>
      <c r="C57">
        <v>36.984999999999999</v>
      </c>
      <c r="D57">
        <v>12.53</v>
      </c>
      <c r="E57">
        <v>3.24</v>
      </c>
      <c r="F57">
        <v>0.74</v>
      </c>
      <c r="G57">
        <v>27.369</v>
      </c>
      <c r="H57">
        <v>3.294</v>
      </c>
      <c r="I57">
        <v>1.1200000000000001</v>
      </c>
      <c r="J57">
        <v>4.0919999999999996</v>
      </c>
    </row>
    <row r="58" spans="1:10" x14ac:dyDescent="0.25">
      <c r="A58" t="s">
        <v>345</v>
      </c>
      <c r="B58" t="s">
        <v>429</v>
      </c>
      <c r="C58">
        <v>23.058</v>
      </c>
      <c r="D58">
        <v>38.86</v>
      </c>
      <c r="E58">
        <v>6.3220000000000001</v>
      </c>
      <c r="F58">
        <v>3.25</v>
      </c>
      <c r="G58">
        <v>74.938999999999993</v>
      </c>
      <c r="H58">
        <v>7.5039999999999996</v>
      </c>
      <c r="I58">
        <v>1.84</v>
      </c>
      <c r="J58">
        <v>2.4550000000000001</v>
      </c>
    </row>
    <row r="59" spans="1:10" x14ac:dyDescent="0.25">
      <c r="A59" t="s">
        <v>260</v>
      </c>
      <c r="B59" t="s">
        <v>417</v>
      </c>
      <c r="C59">
        <v>26.053000000000001</v>
      </c>
      <c r="D59">
        <v>48.878999999999998</v>
      </c>
      <c r="E59">
        <v>4.8869999999999996</v>
      </c>
      <c r="F59">
        <v>1.92</v>
      </c>
      <c r="G59">
        <v>50.021000000000001</v>
      </c>
      <c r="H59">
        <v>5.7830000000000004</v>
      </c>
      <c r="I59">
        <v>1.744</v>
      </c>
      <c r="J59">
        <v>3.4870000000000001</v>
      </c>
    </row>
    <row r="60" spans="1:10" x14ac:dyDescent="0.25">
      <c r="A60" t="s">
        <v>447</v>
      </c>
      <c r="B60" t="s">
        <v>475</v>
      </c>
      <c r="C60">
        <v>22.713000000000001</v>
      </c>
      <c r="D60">
        <v>39.276000000000003</v>
      </c>
      <c r="E60">
        <v>4.8860000000000001</v>
      </c>
      <c r="F60">
        <v>2.5</v>
      </c>
      <c r="G60">
        <v>56.781999999999996</v>
      </c>
      <c r="H60">
        <v>4.1900000000000004</v>
      </c>
      <c r="I60">
        <v>1.7350000000000001</v>
      </c>
      <c r="J60">
        <v>3.056</v>
      </c>
    </row>
    <row r="61" spans="1:10" x14ac:dyDescent="0.25">
      <c r="A61" t="s">
        <v>0</v>
      </c>
      <c r="B61" t="s">
        <v>91</v>
      </c>
      <c r="C61">
        <v>22.167000000000002</v>
      </c>
      <c r="D61">
        <v>41.86</v>
      </c>
      <c r="E61">
        <v>7.3730000000000002</v>
      </c>
      <c r="F61">
        <v>3.38</v>
      </c>
      <c r="G61">
        <v>74.923000000000002</v>
      </c>
      <c r="H61">
        <v>6.0659999999999998</v>
      </c>
      <c r="I61">
        <v>2.2400000000000002</v>
      </c>
      <c r="J61">
        <v>2.99</v>
      </c>
    </row>
    <row r="62" spans="1:10" x14ac:dyDescent="0.25">
      <c r="A62" t="s">
        <v>33</v>
      </c>
      <c r="B62" t="s">
        <v>92</v>
      </c>
      <c r="C62">
        <v>18.423999999999999</v>
      </c>
      <c r="D62">
        <v>28.073</v>
      </c>
      <c r="E62">
        <v>6.6539999999999999</v>
      </c>
      <c r="F62">
        <v>2.37</v>
      </c>
      <c r="G62">
        <v>43.664999999999999</v>
      </c>
      <c r="H62">
        <v>6.665</v>
      </c>
      <c r="I62">
        <v>1.4279999999999999</v>
      </c>
      <c r="J62">
        <v>3.27</v>
      </c>
    </row>
    <row r="63" spans="1:10" x14ac:dyDescent="0.25">
      <c r="A63" t="s">
        <v>13</v>
      </c>
      <c r="B63" t="s">
        <v>93</v>
      </c>
      <c r="C63">
        <v>19.414000000000001</v>
      </c>
      <c r="D63">
        <v>60.271000000000001</v>
      </c>
      <c r="E63">
        <v>10.487</v>
      </c>
      <c r="F63">
        <v>4.13</v>
      </c>
      <c r="G63">
        <v>80.179000000000002</v>
      </c>
      <c r="H63">
        <v>12.914999999999999</v>
      </c>
      <c r="I63">
        <v>3.64</v>
      </c>
      <c r="J63">
        <v>4.54</v>
      </c>
    </row>
    <row r="64" spans="1:10" x14ac:dyDescent="0.25">
      <c r="A64" t="s">
        <v>144</v>
      </c>
      <c r="B64" t="s">
        <v>428</v>
      </c>
      <c r="C64">
        <v>16.771000000000001</v>
      </c>
      <c r="D64">
        <v>38.597999999999999</v>
      </c>
      <c r="E64">
        <v>6.9589999999999996</v>
      </c>
      <c r="F64">
        <v>3.4</v>
      </c>
      <c r="G64">
        <v>57.023000000000003</v>
      </c>
      <c r="H64">
        <v>5.6429999999999998</v>
      </c>
      <c r="I64">
        <v>2.2000000000000002</v>
      </c>
      <c r="J64">
        <v>3.8580000000000001</v>
      </c>
    </row>
    <row r="65" spans="1:10" x14ac:dyDescent="0.25">
      <c r="A65" t="s">
        <v>167</v>
      </c>
      <c r="B65" t="s">
        <v>412</v>
      </c>
      <c r="C65">
        <v>27.306999999999999</v>
      </c>
      <c r="D65">
        <v>32.415999999999997</v>
      </c>
      <c r="E65">
        <v>6.15</v>
      </c>
      <c r="F65">
        <v>3.15</v>
      </c>
      <c r="G65">
        <v>86.018000000000001</v>
      </c>
      <c r="H65">
        <v>8.7780000000000005</v>
      </c>
      <c r="I65">
        <v>1.78</v>
      </c>
      <c r="J65">
        <v>2.069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T67"/>
  <sheetViews>
    <sheetView workbookViewId="0">
      <selection activeCell="K77" sqref="K77"/>
    </sheetView>
  </sheetViews>
  <sheetFormatPr defaultRowHeight="13.8" x14ac:dyDescent="0.25"/>
  <sheetData>
    <row r="1" spans="1:20" x14ac:dyDescent="0.25">
      <c r="A1" s="70">
        <v>44365</v>
      </c>
      <c r="B1" s="59" t="s">
        <v>316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</row>
    <row r="2" spans="1:20" ht="31.2" x14ac:dyDescent="0.25">
      <c r="A2" s="81">
        <f>COUNTA(A5:A296)</f>
        <v>60</v>
      </c>
      <c r="B2" s="59"/>
      <c r="C2" s="71" t="s">
        <v>331</v>
      </c>
      <c r="D2" s="71" t="s">
        <v>333</v>
      </c>
      <c r="E2" s="71" t="s">
        <v>335</v>
      </c>
      <c r="F2" s="71" t="s">
        <v>337</v>
      </c>
      <c r="G2" s="71" t="s">
        <v>332</v>
      </c>
      <c r="H2" s="71" t="s">
        <v>334</v>
      </c>
      <c r="I2" s="71" t="s">
        <v>336</v>
      </c>
      <c r="J2" s="71" t="s">
        <v>338</v>
      </c>
      <c r="K2" s="58"/>
      <c r="L2" s="58"/>
      <c r="M2" s="58"/>
      <c r="N2" s="58"/>
      <c r="O2" s="58"/>
      <c r="P2" s="58"/>
      <c r="Q2" s="59"/>
      <c r="R2" s="59"/>
      <c r="S2" s="59"/>
    </row>
    <row r="3" spans="1:20" x14ac:dyDescent="0.25">
      <c r="A3" s="81">
        <v>1</v>
      </c>
      <c r="B3" s="59">
        <v>2</v>
      </c>
      <c r="C3" s="71">
        <v>3</v>
      </c>
      <c r="D3" s="81">
        <v>4</v>
      </c>
      <c r="E3" s="59">
        <v>5</v>
      </c>
      <c r="F3" s="71">
        <v>6</v>
      </c>
      <c r="G3" s="81">
        <v>7</v>
      </c>
      <c r="H3" s="59">
        <v>8</v>
      </c>
      <c r="I3" s="71">
        <v>9</v>
      </c>
      <c r="J3" s="81">
        <v>10</v>
      </c>
      <c r="K3" s="59">
        <v>11</v>
      </c>
      <c r="L3" s="71">
        <v>12</v>
      </c>
      <c r="M3" s="81">
        <v>13</v>
      </c>
      <c r="N3" s="59">
        <v>14</v>
      </c>
      <c r="O3" s="71">
        <v>15</v>
      </c>
      <c r="P3" s="81">
        <v>16</v>
      </c>
      <c r="Q3" s="59">
        <v>17</v>
      </c>
      <c r="R3" s="59"/>
      <c r="S3" s="59"/>
    </row>
    <row r="4" spans="1:20" ht="21" x14ac:dyDescent="0.25">
      <c r="A4" s="78" t="s">
        <v>118</v>
      </c>
      <c r="B4" s="78" t="s">
        <v>117</v>
      </c>
      <c r="C4" s="78" t="s">
        <v>307</v>
      </c>
      <c r="D4" s="78" t="s">
        <v>308</v>
      </c>
      <c r="E4" s="78" t="s">
        <v>309</v>
      </c>
      <c r="F4" s="78" t="s">
        <v>310</v>
      </c>
      <c r="G4" s="78" t="s">
        <v>311</v>
      </c>
      <c r="H4" s="78" t="s">
        <v>312</v>
      </c>
      <c r="I4" s="78" t="s">
        <v>313</v>
      </c>
      <c r="J4" s="78" t="s">
        <v>330</v>
      </c>
      <c r="K4" s="59"/>
      <c r="L4" s="85" t="s">
        <v>114</v>
      </c>
      <c r="M4" s="85" t="s">
        <v>245</v>
      </c>
      <c r="N4" s="85" t="s">
        <v>350</v>
      </c>
      <c r="O4" s="85" t="s">
        <v>324</v>
      </c>
      <c r="P4" s="85" t="s">
        <v>325</v>
      </c>
      <c r="Q4" s="85" t="s">
        <v>361</v>
      </c>
      <c r="R4" s="59"/>
      <c r="S4" s="59"/>
    </row>
    <row r="5" spans="1:20" x14ac:dyDescent="0.25">
      <c r="A5" s="59" t="s">
        <v>163</v>
      </c>
      <c r="B5" s="59" t="s">
        <v>409</v>
      </c>
      <c r="C5" s="59"/>
      <c r="D5" s="59">
        <v>35.130000000000003</v>
      </c>
      <c r="E5" s="59">
        <v>4.6109999999999998</v>
      </c>
      <c r="F5" s="59">
        <v>0.23</v>
      </c>
      <c r="G5" s="59">
        <v>25.95</v>
      </c>
      <c r="H5" s="59">
        <v>1.18</v>
      </c>
      <c r="I5" s="59">
        <v>0.96</v>
      </c>
      <c r="J5" s="59">
        <v>3.6989999999999998</v>
      </c>
      <c r="K5" s="59"/>
      <c r="L5" s="59"/>
      <c r="M5" s="59"/>
      <c r="N5" s="59"/>
      <c r="O5" s="59"/>
      <c r="P5" s="59"/>
      <c r="Q5" s="59"/>
      <c r="R5" s="59"/>
      <c r="S5" s="59"/>
    </row>
    <row r="6" spans="1:20" s="31" customFormat="1" x14ac:dyDescent="0.25">
      <c r="A6" s="250" t="s">
        <v>2</v>
      </c>
      <c r="B6" s="250" t="s">
        <v>410</v>
      </c>
      <c r="C6" s="250">
        <v>19.600000000000001</v>
      </c>
      <c r="D6" s="250">
        <v>41.383000000000003</v>
      </c>
      <c r="E6" s="250">
        <v>10.284000000000001</v>
      </c>
      <c r="F6" s="250">
        <v>4.42</v>
      </c>
      <c r="G6" s="250">
        <v>86.5</v>
      </c>
      <c r="H6" s="250">
        <v>12.718</v>
      </c>
      <c r="I6" s="250">
        <v>2.84</v>
      </c>
      <c r="J6" s="250">
        <v>3.2829999999999999</v>
      </c>
      <c r="K6" s="250"/>
      <c r="L6" s="251">
        <f>IFERROR(G6/E6,"")</f>
        <v>8.4111240762349269</v>
      </c>
      <c r="M6" s="251">
        <f>IFERROR(G6/D6,"")</f>
        <v>2.0902302877993377</v>
      </c>
      <c r="N6" s="252">
        <f>IFERROR(I6/D6,"")</f>
        <v>6.8627214073411782E-2</v>
      </c>
      <c r="O6" s="251">
        <f>IFERROR(I6/F6,"")</f>
        <v>0.64253393665158365</v>
      </c>
      <c r="P6" s="251">
        <f>IFERROR(E6/H6,"")</f>
        <v>0.80861770718666459</v>
      </c>
      <c r="Q6" s="252">
        <f>IFERROR(I6/G6,"")</f>
        <v>3.2832369942196529E-2</v>
      </c>
      <c r="R6" s="250"/>
      <c r="S6" s="250" t="s">
        <v>163</v>
      </c>
      <c r="T6" s="31" t="b">
        <f>A5=S6</f>
        <v>1</v>
      </c>
    </row>
    <row r="7" spans="1:20" s="31" customFormat="1" x14ac:dyDescent="0.25">
      <c r="A7" s="250" t="s">
        <v>175</v>
      </c>
      <c r="B7" s="250" t="s">
        <v>416</v>
      </c>
      <c r="C7" s="250">
        <v>22.3</v>
      </c>
      <c r="D7" s="250">
        <v>53.948999999999998</v>
      </c>
      <c r="E7" s="250">
        <v>8.0259999999999998</v>
      </c>
      <c r="F7" s="250">
        <v>4.72</v>
      </c>
      <c r="G7" s="250">
        <v>105.248</v>
      </c>
      <c r="H7" s="250">
        <v>15.377000000000001</v>
      </c>
      <c r="I7" s="250">
        <v>2.2999999999999998</v>
      </c>
      <c r="J7" s="250">
        <v>2.1850000000000001</v>
      </c>
      <c r="K7" s="250"/>
      <c r="L7" s="251">
        <f>IFERROR(G7/E7,"")</f>
        <v>13.113381510092202</v>
      </c>
      <c r="M7" s="251">
        <f t="shared" ref="M7:M66" si="0">IFERROR(G7/D7,"")</f>
        <v>1.950879534375058</v>
      </c>
      <c r="N7" s="252">
        <f t="shared" ref="N7:N66" si="1">IFERROR(I7/D7,"")</f>
        <v>4.2632856957496891E-2</v>
      </c>
      <c r="O7" s="251">
        <f t="shared" ref="O7:O66" si="2">IFERROR(I7/F7,"")</f>
        <v>0.48728813559322032</v>
      </c>
      <c r="P7" s="251">
        <f t="shared" ref="P7:P66" si="3">IFERROR(E7/H7,"")</f>
        <v>0.52194836444039794</v>
      </c>
      <c r="Q7" s="252">
        <f t="shared" ref="Q7:Q66" si="4">IFERROR(I7/G7,"")</f>
        <v>2.1853146853146852E-2</v>
      </c>
      <c r="R7" s="250"/>
      <c r="S7" s="250" t="s">
        <v>2</v>
      </c>
      <c r="T7" s="31" t="b">
        <f t="shared" ref="T7:T65" si="5">A6=S7</f>
        <v>1</v>
      </c>
    </row>
    <row r="8" spans="1:20" s="31" customFormat="1" x14ac:dyDescent="0.25">
      <c r="A8" s="250" t="s">
        <v>5</v>
      </c>
      <c r="B8" s="250" t="s">
        <v>46</v>
      </c>
      <c r="C8" s="250">
        <v>17</v>
      </c>
      <c r="D8" s="250">
        <v>40.79</v>
      </c>
      <c r="E8" s="250">
        <v>7.4089999999999998</v>
      </c>
      <c r="F8" s="250">
        <v>3.73</v>
      </c>
      <c r="G8" s="250">
        <v>63.393000000000001</v>
      </c>
      <c r="H8" s="250">
        <v>12.221</v>
      </c>
      <c r="I8" s="250">
        <v>2.17</v>
      </c>
      <c r="J8" s="250">
        <v>3.423</v>
      </c>
      <c r="K8" s="250"/>
      <c r="L8" s="251">
        <f>IFERROR(G8/E8,"")</f>
        <v>8.5562154136860578</v>
      </c>
      <c r="M8" s="251">
        <f t="shared" si="0"/>
        <v>1.5541309144398137</v>
      </c>
      <c r="N8" s="252">
        <f t="shared" si="1"/>
        <v>5.3199313557244422E-2</v>
      </c>
      <c r="O8" s="251">
        <f t="shared" si="2"/>
        <v>0.58176943699731898</v>
      </c>
      <c r="P8" s="251">
        <f t="shared" si="3"/>
        <v>0.60625153424433353</v>
      </c>
      <c r="Q8" s="252">
        <f t="shared" si="4"/>
        <v>3.4230908775416839E-2</v>
      </c>
      <c r="R8" s="250"/>
      <c r="S8" s="250" t="s">
        <v>175</v>
      </c>
      <c r="T8" s="31" t="b">
        <f t="shared" si="5"/>
        <v>1</v>
      </c>
    </row>
    <row r="9" spans="1:20" s="31" customFormat="1" x14ac:dyDescent="0.25">
      <c r="A9" s="250" t="s">
        <v>9</v>
      </c>
      <c r="B9" s="250" t="s">
        <v>47</v>
      </c>
      <c r="C9" s="250">
        <v>23.3</v>
      </c>
      <c r="D9" s="250">
        <v>19.021000000000001</v>
      </c>
      <c r="E9" s="250">
        <v>6.24</v>
      </c>
      <c r="F9" s="250">
        <v>2.64</v>
      </c>
      <c r="G9" s="250">
        <v>61.563000000000002</v>
      </c>
      <c r="H9" s="250">
        <v>8.0190000000000001</v>
      </c>
      <c r="I9" s="250">
        <v>1.63</v>
      </c>
      <c r="J9" s="250">
        <v>2.6480000000000001</v>
      </c>
      <c r="K9" s="250"/>
      <c r="L9" s="251">
        <f t="shared" ref="L9:L66" si="6">IFERROR(G9/E9,"")</f>
        <v>9.8658653846153843</v>
      </c>
      <c r="M9" s="251">
        <f t="shared" si="0"/>
        <v>3.2365806214184323</v>
      </c>
      <c r="N9" s="252">
        <f t="shared" si="1"/>
        <v>8.5694758424898793E-2</v>
      </c>
      <c r="O9" s="251">
        <f t="shared" si="2"/>
        <v>0.61742424242424232</v>
      </c>
      <c r="P9" s="251">
        <f t="shared" si="3"/>
        <v>0.77815188926300038</v>
      </c>
      <c r="Q9" s="252">
        <f t="shared" si="4"/>
        <v>2.6476942319250196E-2</v>
      </c>
      <c r="R9" s="250"/>
      <c r="S9" s="250" t="s">
        <v>5</v>
      </c>
      <c r="T9" s="31" t="b">
        <f t="shared" si="5"/>
        <v>1</v>
      </c>
    </row>
    <row r="10" spans="1:20" s="31" customFormat="1" x14ac:dyDescent="0.25">
      <c r="A10" s="250" t="s">
        <v>177</v>
      </c>
      <c r="B10" s="250" t="s">
        <v>418</v>
      </c>
      <c r="C10" s="250">
        <v>24.9</v>
      </c>
      <c r="D10" s="250">
        <v>18.305</v>
      </c>
      <c r="E10" s="250">
        <v>3.8809999999999998</v>
      </c>
      <c r="F10" s="250">
        <v>1.97</v>
      </c>
      <c r="G10" s="250">
        <v>48.993000000000002</v>
      </c>
      <c r="H10" s="250">
        <v>5.9329999999999998</v>
      </c>
      <c r="I10" s="250">
        <v>0.85</v>
      </c>
      <c r="J10" s="250">
        <v>1.7350000000000001</v>
      </c>
      <c r="K10" s="250"/>
      <c r="L10" s="251">
        <f t="shared" si="6"/>
        <v>12.623808296830715</v>
      </c>
      <c r="M10" s="251">
        <f t="shared" si="0"/>
        <v>2.6764818355640538</v>
      </c>
      <c r="N10" s="252">
        <f t="shared" si="1"/>
        <v>4.6435400163889647E-2</v>
      </c>
      <c r="O10" s="251">
        <f t="shared" si="2"/>
        <v>0.43147208121827413</v>
      </c>
      <c r="P10" s="251">
        <f t="shared" si="3"/>
        <v>0.65413787291420866</v>
      </c>
      <c r="Q10" s="252">
        <f t="shared" si="4"/>
        <v>1.7349417263690731E-2</v>
      </c>
      <c r="R10" s="250"/>
      <c r="S10" s="250" t="s">
        <v>9</v>
      </c>
      <c r="T10" s="31" t="b">
        <f t="shared" si="5"/>
        <v>1</v>
      </c>
    </row>
    <row r="11" spans="1:20" s="31" customFormat="1" x14ac:dyDescent="0.25">
      <c r="A11" s="250" t="s">
        <v>178</v>
      </c>
      <c r="B11" s="250" t="s">
        <v>419</v>
      </c>
      <c r="C11" s="250">
        <v>21.6</v>
      </c>
      <c r="D11" s="250">
        <v>39.92</v>
      </c>
      <c r="E11" s="250">
        <v>7.3739999999999997</v>
      </c>
      <c r="F11" s="250">
        <v>4.21</v>
      </c>
      <c r="G11" s="250">
        <v>90.8</v>
      </c>
      <c r="H11" s="250">
        <v>9.4779999999999998</v>
      </c>
      <c r="I11" s="250">
        <v>1.69</v>
      </c>
      <c r="J11" s="250">
        <v>1.861</v>
      </c>
      <c r="K11" s="250"/>
      <c r="L11" s="251">
        <f t="shared" si="6"/>
        <v>12.313534038513698</v>
      </c>
      <c r="M11" s="251">
        <f t="shared" si="0"/>
        <v>2.2745490981963927</v>
      </c>
      <c r="N11" s="252">
        <f t="shared" si="1"/>
        <v>4.2334669338677348E-2</v>
      </c>
      <c r="O11" s="251">
        <f t="shared" si="2"/>
        <v>0.40142517814726841</v>
      </c>
      <c r="P11" s="251">
        <f t="shared" si="3"/>
        <v>0.77801223886895965</v>
      </c>
      <c r="Q11" s="252">
        <f t="shared" si="4"/>
        <v>1.8612334801762116E-2</v>
      </c>
      <c r="R11" s="250"/>
      <c r="S11" s="250" t="s">
        <v>177</v>
      </c>
      <c r="T11" s="31" t="b">
        <f t="shared" si="5"/>
        <v>1</v>
      </c>
    </row>
    <row r="12" spans="1:20" s="31" customFormat="1" x14ac:dyDescent="0.25">
      <c r="A12" s="250" t="s">
        <v>10</v>
      </c>
      <c r="B12" s="250" t="s">
        <v>50</v>
      </c>
      <c r="C12" s="250">
        <v>19</v>
      </c>
      <c r="D12" s="250">
        <v>55.06</v>
      </c>
      <c r="E12" s="250">
        <v>9.4770000000000003</v>
      </c>
      <c r="F12" s="250">
        <v>3.94</v>
      </c>
      <c r="G12" s="250">
        <v>79.094999999999999</v>
      </c>
      <c r="H12" s="250">
        <v>11.42</v>
      </c>
      <c r="I12" s="250">
        <v>3.06</v>
      </c>
      <c r="J12" s="250">
        <v>3.8690000000000002</v>
      </c>
      <c r="K12" s="250"/>
      <c r="L12" s="251">
        <f t="shared" si="6"/>
        <v>8.3459955682177895</v>
      </c>
      <c r="M12" s="251">
        <f t="shared" si="0"/>
        <v>1.4365237922266618</v>
      </c>
      <c r="N12" s="252">
        <f t="shared" si="1"/>
        <v>5.5575735561205958E-2</v>
      </c>
      <c r="O12" s="251">
        <f t="shared" si="2"/>
        <v>0.7766497461928934</v>
      </c>
      <c r="P12" s="251">
        <f t="shared" si="3"/>
        <v>0.82985989492119094</v>
      </c>
      <c r="Q12" s="252">
        <f t="shared" si="4"/>
        <v>3.8687654086857579E-2</v>
      </c>
      <c r="R12" s="250"/>
      <c r="S12" s="250" t="s">
        <v>178</v>
      </c>
      <c r="T12" s="31" t="b">
        <f t="shared" si="5"/>
        <v>1</v>
      </c>
    </row>
    <row r="13" spans="1:20" s="31" customFormat="1" x14ac:dyDescent="0.25">
      <c r="A13" s="250" t="s">
        <v>12</v>
      </c>
      <c r="B13" s="250" t="s">
        <v>51</v>
      </c>
      <c r="C13" s="250">
        <v>16.3</v>
      </c>
      <c r="D13" s="250">
        <v>64.122</v>
      </c>
      <c r="E13" s="250">
        <v>14.698</v>
      </c>
      <c r="F13" s="250">
        <v>7.08</v>
      </c>
      <c r="G13" s="250">
        <v>115.41800000000001</v>
      </c>
      <c r="H13" s="250">
        <v>19.905000000000001</v>
      </c>
      <c r="I13" s="250">
        <v>4.12</v>
      </c>
      <c r="J13" s="250">
        <v>3.57</v>
      </c>
      <c r="K13" s="250"/>
      <c r="L13" s="251">
        <f t="shared" si="6"/>
        <v>7.8526330112940537</v>
      </c>
      <c r="M13" s="251">
        <f t="shared" si="0"/>
        <v>1.7999750475655782</v>
      </c>
      <c r="N13" s="252">
        <f t="shared" si="1"/>
        <v>6.4252518636349454E-2</v>
      </c>
      <c r="O13" s="251">
        <f t="shared" si="2"/>
        <v>0.58192090395480223</v>
      </c>
      <c r="P13" s="251">
        <f t="shared" si="3"/>
        <v>0.73840743531775932</v>
      </c>
      <c r="Q13" s="252">
        <f t="shared" si="4"/>
        <v>3.5696338526053126E-2</v>
      </c>
      <c r="R13" s="250"/>
      <c r="S13" s="250" t="s">
        <v>10</v>
      </c>
      <c r="T13" s="31" t="b">
        <f t="shared" si="5"/>
        <v>1</v>
      </c>
    </row>
    <row r="14" spans="1:20" s="31" customFormat="1" x14ac:dyDescent="0.25">
      <c r="A14" s="250" t="s">
        <v>11</v>
      </c>
      <c r="B14" s="250" t="s">
        <v>422</v>
      </c>
      <c r="C14" s="250">
        <v>22.6</v>
      </c>
      <c r="D14" s="250">
        <v>29.442</v>
      </c>
      <c r="E14" s="250">
        <v>5.4829999999999997</v>
      </c>
      <c r="F14" s="250">
        <v>1.82</v>
      </c>
      <c r="G14" s="250">
        <v>79.974999999999994</v>
      </c>
      <c r="H14" s="250">
        <v>7.4690000000000003</v>
      </c>
      <c r="I14" s="250">
        <v>3.45</v>
      </c>
      <c r="J14" s="250">
        <v>4.3140000000000001</v>
      </c>
      <c r="K14" s="250"/>
      <c r="L14" s="251">
        <f t="shared" si="6"/>
        <v>14.585993069487508</v>
      </c>
      <c r="M14" s="251">
        <f t="shared" si="0"/>
        <v>2.7163575844032333</v>
      </c>
      <c r="N14" s="252">
        <f t="shared" si="1"/>
        <v>0.1171795394334624</v>
      </c>
      <c r="O14" s="251">
        <f t="shared" si="2"/>
        <v>1.8956043956043955</v>
      </c>
      <c r="P14" s="251">
        <f t="shared" si="3"/>
        <v>0.73410095059579583</v>
      </c>
      <c r="Q14" s="252">
        <f t="shared" si="4"/>
        <v>4.3138480775242266E-2</v>
      </c>
      <c r="R14" s="250"/>
      <c r="S14" s="250" t="s">
        <v>12</v>
      </c>
      <c r="T14" s="31" t="b">
        <f t="shared" si="5"/>
        <v>1</v>
      </c>
    </row>
    <row r="15" spans="1:20" s="31" customFormat="1" x14ac:dyDescent="0.25">
      <c r="A15" s="250" t="s">
        <v>14</v>
      </c>
      <c r="B15" s="250" t="s">
        <v>53</v>
      </c>
      <c r="C15" s="250">
        <v>34.9</v>
      </c>
      <c r="D15" s="250">
        <v>37.075000000000003</v>
      </c>
      <c r="E15" s="250">
        <v>7.9390000000000001</v>
      </c>
      <c r="F15" s="250">
        <v>1.72</v>
      </c>
      <c r="G15" s="250">
        <v>60.072000000000003</v>
      </c>
      <c r="H15" s="250">
        <v>14.473000000000001</v>
      </c>
      <c r="I15" s="250">
        <v>2.5750000000000002</v>
      </c>
      <c r="J15" s="250">
        <v>4.2869999999999999</v>
      </c>
      <c r="K15" s="250"/>
      <c r="L15" s="251">
        <f t="shared" si="6"/>
        <v>7.5666960574379649</v>
      </c>
      <c r="M15" s="251">
        <f t="shared" si="0"/>
        <v>1.6202832097100472</v>
      </c>
      <c r="N15" s="252">
        <f t="shared" si="1"/>
        <v>6.9453809844908967E-2</v>
      </c>
      <c r="O15" s="251">
        <f t="shared" si="2"/>
        <v>1.4970930232558142</v>
      </c>
      <c r="P15" s="251">
        <f t="shared" si="3"/>
        <v>0.54853865819111447</v>
      </c>
      <c r="Q15" s="252">
        <f t="shared" si="4"/>
        <v>4.2865228392595552E-2</v>
      </c>
      <c r="R15" s="250"/>
      <c r="S15" s="250" t="s">
        <v>11</v>
      </c>
      <c r="T15" s="31" t="b">
        <f t="shared" si="5"/>
        <v>1</v>
      </c>
    </row>
    <row r="16" spans="1:20" s="31" customFormat="1" x14ac:dyDescent="0.25">
      <c r="A16" s="250" t="s">
        <v>37</v>
      </c>
      <c r="B16" s="250" t="s">
        <v>54</v>
      </c>
      <c r="C16" s="250">
        <v>17.5</v>
      </c>
      <c r="D16" s="250">
        <v>70.114999999999995</v>
      </c>
      <c r="E16" s="250">
        <v>12.41</v>
      </c>
      <c r="F16" s="250">
        <v>6.58</v>
      </c>
      <c r="G16" s="250">
        <v>129.08199999999999</v>
      </c>
      <c r="H16" s="250">
        <v>16.21</v>
      </c>
      <c r="I16" s="250">
        <v>4.18</v>
      </c>
      <c r="J16" s="250">
        <v>3.238</v>
      </c>
      <c r="K16" s="250"/>
      <c r="L16" s="251">
        <f t="shared" si="6"/>
        <v>10.401450443190974</v>
      </c>
      <c r="M16" s="251">
        <f t="shared" si="0"/>
        <v>1.8410040647507666</v>
      </c>
      <c r="N16" s="252">
        <f t="shared" si="1"/>
        <v>5.961634457676674E-2</v>
      </c>
      <c r="O16" s="251">
        <f t="shared" si="2"/>
        <v>0.63525835866261393</v>
      </c>
      <c r="P16" s="251">
        <f t="shared" si="3"/>
        <v>0.76557680444170262</v>
      </c>
      <c r="Q16" s="252">
        <f t="shared" si="4"/>
        <v>3.2382516539873875E-2</v>
      </c>
      <c r="R16" s="250"/>
      <c r="S16" s="250" t="s">
        <v>14</v>
      </c>
      <c r="T16" s="31" t="b">
        <f t="shared" si="5"/>
        <v>1</v>
      </c>
    </row>
    <row r="17" spans="1:20" s="31" customFormat="1" x14ac:dyDescent="0.25">
      <c r="A17" s="250" t="s">
        <v>17</v>
      </c>
      <c r="B17" s="250" t="s">
        <v>55</v>
      </c>
      <c r="C17" s="250">
        <v>15.3</v>
      </c>
      <c r="D17" s="250">
        <v>54.564</v>
      </c>
      <c r="E17" s="250">
        <v>18.207999999999998</v>
      </c>
      <c r="F17" s="250">
        <v>6.9</v>
      </c>
      <c r="G17" s="250">
        <v>105.25700000000001</v>
      </c>
      <c r="H17" s="250">
        <v>24.518999999999998</v>
      </c>
      <c r="I17" s="250">
        <v>3.74</v>
      </c>
      <c r="J17" s="250">
        <v>3.5529999999999999</v>
      </c>
      <c r="K17" s="250"/>
      <c r="L17" s="251">
        <f t="shared" si="6"/>
        <v>5.7808106326889286</v>
      </c>
      <c r="M17" s="251">
        <f t="shared" si="0"/>
        <v>1.9290557876988492</v>
      </c>
      <c r="N17" s="252">
        <f t="shared" si="1"/>
        <v>6.8543361923612642E-2</v>
      </c>
      <c r="O17" s="251">
        <f t="shared" si="2"/>
        <v>0.54202898550724643</v>
      </c>
      <c r="P17" s="251">
        <f t="shared" si="3"/>
        <v>0.74260777356335905</v>
      </c>
      <c r="Q17" s="252">
        <f t="shared" si="4"/>
        <v>3.5532078626599656E-2</v>
      </c>
      <c r="R17" s="250"/>
      <c r="S17" s="250" t="s">
        <v>37</v>
      </c>
      <c r="T17" s="31" t="b">
        <f t="shared" si="5"/>
        <v>1</v>
      </c>
    </row>
    <row r="18" spans="1:20" s="31" customFormat="1" x14ac:dyDescent="0.25">
      <c r="A18" s="250" t="s">
        <v>141</v>
      </c>
      <c r="B18" s="250" t="s">
        <v>427</v>
      </c>
      <c r="C18" s="250">
        <v>28.9</v>
      </c>
      <c r="D18" s="250">
        <v>18.629000000000001</v>
      </c>
      <c r="E18" s="250">
        <v>4.3070000000000004</v>
      </c>
      <c r="F18" s="250">
        <v>2.1</v>
      </c>
      <c r="G18" s="250">
        <v>66.679000000000002</v>
      </c>
      <c r="H18" s="250">
        <v>7.4539999999999997</v>
      </c>
      <c r="I18" s="250">
        <v>1.4</v>
      </c>
      <c r="J18" s="250">
        <v>2.1</v>
      </c>
      <c r="K18" s="250"/>
      <c r="L18" s="251">
        <f t="shared" si="6"/>
        <v>15.481541676340839</v>
      </c>
      <c r="M18" s="251">
        <f t="shared" si="0"/>
        <v>3.5793118256481828</v>
      </c>
      <c r="N18" s="252">
        <f t="shared" si="1"/>
        <v>7.515164528423425E-2</v>
      </c>
      <c r="O18" s="251">
        <f t="shared" si="2"/>
        <v>0.66666666666666663</v>
      </c>
      <c r="P18" s="251">
        <f t="shared" si="3"/>
        <v>0.57781057150523218</v>
      </c>
      <c r="Q18" s="252">
        <f t="shared" si="4"/>
        <v>2.099611571859206E-2</v>
      </c>
      <c r="R18" s="250"/>
      <c r="S18" s="250" t="s">
        <v>17</v>
      </c>
      <c r="T18" s="31" t="b">
        <f t="shared" si="5"/>
        <v>1</v>
      </c>
    </row>
    <row r="19" spans="1:20" s="31" customFormat="1" x14ac:dyDescent="0.25">
      <c r="A19" s="250" t="s">
        <v>266</v>
      </c>
      <c r="B19" s="250" t="s">
        <v>424</v>
      </c>
      <c r="C19" s="250">
        <v>20.6</v>
      </c>
      <c r="D19" s="250">
        <v>36.576999999999998</v>
      </c>
      <c r="E19" s="250">
        <v>5.649</v>
      </c>
      <c r="F19" s="250">
        <v>2.6</v>
      </c>
      <c r="G19" s="250">
        <v>53.637999999999998</v>
      </c>
      <c r="H19" s="250">
        <v>8.6530000000000005</v>
      </c>
      <c r="I19" s="250">
        <v>1.9650000000000001</v>
      </c>
      <c r="J19" s="250">
        <v>3.6629999999999998</v>
      </c>
      <c r="K19" s="250"/>
      <c r="L19" s="251">
        <f t="shared" si="6"/>
        <v>9.495131881748982</v>
      </c>
      <c r="M19" s="251">
        <f t="shared" si="0"/>
        <v>1.4664406594307899</v>
      </c>
      <c r="N19" s="252">
        <f t="shared" si="1"/>
        <v>5.3722284495721362E-2</v>
      </c>
      <c r="O19" s="251">
        <f t="shared" si="2"/>
        <v>0.75576923076923075</v>
      </c>
      <c r="P19" s="251">
        <f t="shared" si="3"/>
        <v>0.65283716630070487</v>
      </c>
      <c r="Q19" s="252">
        <f t="shared" si="4"/>
        <v>3.6634475558372799E-2</v>
      </c>
      <c r="R19" s="250"/>
      <c r="S19" s="250" t="s">
        <v>141</v>
      </c>
      <c r="T19" s="31" t="b">
        <f t="shared" si="5"/>
        <v>1</v>
      </c>
    </row>
    <row r="20" spans="1:20" s="31" customFormat="1" x14ac:dyDescent="0.25">
      <c r="A20" s="250" t="s">
        <v>21</v>
      </c>
      <c r="B20" s="250" t="s">
        <v>58</v>
      </c>
      <c r="C20" s="250">
        <v>21.5</v>
      </c>
      <c r="D20" s="250">
        <v>21.408999999999999</v>
      </c>
      <c r="E20" s="250">
        <v>4.4749999999999996</v>
      </c>
      <c r="F20" s="250">
        <v>1.81</v>
      </c>
      <c r="G20" s="250">
        <v>38.875999999999998</v>
      </c>
      <c r="H20" s="250">
        <v>3.516</v>
      </c>
      <c r="I20" s="250">
        <v>1.32</v>
      </c>
      <c r="J20" s="250">
        <v>3.395</v>
      </c>
      <c r="K20" s="250"/>
      <c r="L20" s="251">
        <f t="shared" si="6"/>
        <v>8.6873743016759786</v>
      </c>
      <c r="M20" s="251">
        <f t="shared" si="0"/>
        <v>1.8158718296043719</v>
      </c>
      <c r="N20" s="252">
        <f t="shared" si="1"/>
        <v>6.1656312765659312E-2</v>
      </c>
      <c r="O20" s="251">
        <f t="shared" si="2"/>
        <v>0.72928176795580113</v>
      </c>
      <c r="P20" s="251">
        <f t="shared" si="3"/>
        <v>1.2727531285551763</v>
      </c>
      <c r="Q20" s="252">
        <f t="shared" si="4"/>
        <v>3.3954110505196013E-2</v>
      </c>
      <c r="R20" s="250"/>
      <c r="S20" s="250" t="s">
        <v>266</v>
      </c>
      <c r="T20" s="31" t="b">
        <f t="shared" si="5"/>
        <v>1</v>
      </c>
    </row>
    <row r="21" spans="1:20" s="31" customFormat="1" x14ac:dyDescent="0.25">
      <c r="A21" s="250" t="s">
        <v>22</v>
      </c>
      <c r="B21" s="250" t="s">
        <v>59</v>
      </c>
      <c r="C21" s="250">
        <v>19.899999999999999</v>
      </c>
      <c r="D21" s="250">
        <v>50.731000000000002</v>
      </c>
      <c r="E21" s="250">
        <v>8.1910000000000007</v>
      </c>
      <c r="F21" s="250">
        <v>4.6900000000000004</v>
      </c>
      <c r="G21" s="250">
        <v>93.238</v>
      </c>
      <c r="H21" s="250">
        <v>6.1619999999999999</v>
      </c>
      <c r="I21" s="250">
        <v>2.72</v>
      </c>
      <c r="J21" s="250">
        <v>2.9169999999999998</v>
      </c>
      <c r="K21" s="250"/>
      <c r="L21" s="251">
        <f t="shared" si="6"/>
        <v>11.382981320962031</v>
      </c>
      <c r="M21" s="251">
        <f t="shared" si="0"/>
        <v>1.83789004750547</v>
      </c>
      <c r="N21" s="252">
        <f t="shared" si="1"/>
        <v>5.36161321479963E-2</v>
      </c>
      <c r="O21" s="251">
        <f t="shared" si="2"/>
        <v>0.57995735607675902</v>
      </c>
      <c r="P21" s="251">
        <f t="shared" si="3"/>
        <v>1.3292762090230446</v>
      </c>
      <c r="Q21" s="252">
        <f t="shared" si="4"/>
        <v>2.9172654926103093E-2</v>
      </c>
      <c r="R21" s="250"/>
      <c r="S21" s="250" t="s">
        <v>21</v>
      </c>
      <c r="T21" s="31" t="b">
        <f t="shared" si="5"/>
        <v>1</v>
      </c>
    </row>
    <row r="22" spans="1:20" s="31" customFormat="1" x14ac:dyDescent="0.25">
      <c r="A22" s="250" t="s">
        <v>244</v>
      </c>
      <c r="B22" s="250" t="s">
        <v>434</v>
      </c>
      <c r="C22" s="250">
        <v>51.1</v>
      </c>
      <c r="D22" s="250">
        <v>44.192</v>
      </c>
      <c r="E22" s="250">
        <v>5.2539999999999996</v>
      </c>
      <c r="F22" s="250">
        <v>1.44</v>
      </c>
      <c r="G22" s="250">
        <v>73.611000000000004</v>
      </c>
      <c r="H22" s="250">
        <v>12.372</v>
      </c>
      <c r="I22" s="250">
        <v>2.4900000000000002</v>
      </c>
      <c r="J22" s="250">
        <v>3.383</v>
      </c>
      <c r="K22" s="250"/>
      <c r="L22" s="251">
        <f t="shared" si="6"/>
        <v>14.010468214693569</v>
      </c>
      <c r="M22" s="251">
        <f t="shared" si="0"/>
        <v>1.6657087255611875</v>
      </c>
      <c r="N22" s="252">
        <f t="shared" si="1"/>
        <v>5.6345039826212896E-2</v>
      </c>
      <c r="O22" s="251">
        <f t="shared" si="2"/>
        <v>1.729166666666667</v>
      </c>
      <c r="P22" s="251">
        <f t="shared" si="3"/>
        <v>0.42466860653087612</v>
      </c>
      <c r="Q22" s="252">
        <f t="shared" si="4"/>
        <v>3.3826466153156459E-2</v>
      </c>
      <c r="R22" s="250"/>
      <c r="S22" s="250" t="s">
        <v>22</v>
      </c>
      <c r="T22" s="31" t="b">
        <f t="shared" si="5"/>
        <v>1</v>
      </c>
    </row>
    <row r="23" spans="1:20" s="31" customFormat="1" x14ac:dyDescent="0.25">
      <c r="A23" s="250" t="s">
        <v>25</v>
      </c>
      <c r="B23" s="250" t="s">
        <v>61</v>
      </c>
      <c r="C23" s="250">
        <v>26.4</v>
      </c>
      <c r="D23" s="250">
        <v>26.989000000000001</v>
      </c>
      <c r="E23" s="250">
        <v>4.6070000000000002</v>
      </c>
      <c r="F23" s="250">
        <v>2.6</v>
      </c>
      <c r="G23" s="250">
        <v>68.66</v>
      </c>
      <c r="H23" s="250">
        <v>5.617</v>
      </c>
      <c r="I23" s="250">
        <v>1.4450000000000001</v>
      </c>
      <c r="J23" s="250">
        <v>2.105</v>
      </c>
      <c r="K23" s="250"/>
      <c r="L23" s="251">
        <f t="shared" si="6"/>
        <v>14.903407857607986</v>
      </c>
      <c r="M23" s="251">
        <f t="shared" si="0"/>
        <v>2.5439994071658822</v>
      </c>
      <c r="N23" s="252">
        <f t="shared" si="1"/>
        <v>5.3540331246063215E-2</v>
      </c>
      <c r="O23" s="251">
        <f t="shared" si="2"/>
        <v>0.55576923076923079</v>
      </c>
      <c r="P23" s="251">
        <f t="shared" si="3"/>
        <v>0.82018871283603356</v>
      </c>
      <c r="Q23" s="252">
        <f t="shared" si="4"/>
        <v>2.1045732595397614E-2</v>
      </c>
      <c r="R23" s="250"/>
      <c r="S23" s="250" t="s">
        <v>244</v>
      </c>
      <c r="T23" s="31" t="b">
        <f t="shared" si="5"/>
        <v>1</v>
      </c>
    </row>
    <row r="24" spans="1:20" s="31" customFormat="1" x14ac:dyDescent="0.25">
      <c r="A24" s="250" t="s">
        <v>188</v>
      </c>
      <c r="B24" s="250" t="s">
        <v>425</v>
      </c>
      <c r="C24" s="250">
        <v>30.1</v>
      </c>
      <c r="D24" s="250">
        <v>19.814</v>
      </c>
      <c r="E24" s="250">
        <v>3.2490000000000001</v>
      </c>
      <c r="F24" s="250">
        <v>2.1800000000000002</v>
      </c>
      <c r="G24" s="250">
        <v>65.510000000000005</v>
      </c>
      <c r="H24" s="250">
        <v>6.0449999999999999</v>
      </c>
      <c r="I24" s="250">
        <v>1.04</v>
      </c>
      <c r="J24" s="250">
        <v>1.5880000000000001</v>
      </c>
      <c r="K24" s="250"/>
      <c r="L24" s="251">
        <f t="shared" si="6"/>
        <v>20.163127116035703</v>
      </c>
      <c r="M24" s="251">
        <f t="shared" si="0"/>
        <v>3.306248107398809</v>
      </c>
      <c r="N24" s="252">
        <f t="shared" si="1"/>
        <v>5.2488139699202588E-2</v>
      </c>
      <c r="O24" s="251">
        <f t="shared" si="2"/>
        <v>0.47706422018348621</v>
      </c>
      <c r="P24" s="251">
        <f t="shared" si="3"/>
        <v>0.53746898263027298</v>
      </c>
      <c r="Q24" s="252">
        <f t="shared" si="4"/>
        <v>1.5875438864295526E-2</v>
      </c>
      <c r="R24" s="250"/>
      <c r="S24" s="250" t="s">
        <v>25</v>
      </c>
      <c r="T24" s="31" t="b">
        <f t="shared" si="5"/>
        <v>1</v>
      </c>
    </row>
    <row r="25" spans="1:20" s="31" customFormat="1" x14ac:dyDescent="0.25">
      <c r="A25" s="250" t="s">
        <v>26</v>
      </c>
      <c r="B25" s="250" t="s">
        <v>62</v>
      </c>
      <c r="C25" s="250">
        <v>18.7</v>
      </c>
      <c r="D25" s="250">
        <v>12.654999999999999</v>
      </c>
      <c r="E25" s="250">
        <v>3.1480000000000001</v>
      </c>
      <c r="F25" s="250">
        <v>1.32</v>
      </c>
      <c r="G25" s="250">
        <v>24.649000000000001</v>
      </c>
      <c r="H25" s="250">
        <v>4.4880000000000004</v>
      </c>
      <c r="I25" s="250">
        <v>0.84</v>
      </c>
      <c r="J25" s="250">
        <v>3.4079999999999999</v>
      </c>
      <c r="K25" s="250"/>
      <c r="L25" s="251">
        <f t="shared" si="6"/>
        <v>7.8300508259212194</v>
      </c>
      <c r="M25" s="251">
        <f t="shared" si="0"/>
        <v>1.9477676807585935</v>
      </c>
      <c r="N25" s="252">
        <f t="shared" si="1"/>
        <v>6.6376926116159626E-2</v>
      </c>
      <c r="O25" s="251">
        <f t="shared" si="2"/>
        <v>0.63636363636363635</v>
      </c>
      <c r="P25" s="251">
        <f t="shared" si="3"/>
        <v>0.70142602495543671</v>
      </c>
      <c r="Q25" s="252">
        <f t="shared" si="4"/>
        <v>3.4078461600876297E-2</v>
      </c>
      <c r="R25" s="250"/>
      <c r="S25" s="250" t="s">
        <v>188</v>
      </c>
      <c r="T25" s="31" t="b">
        <f t="shared" si="5"/>
        <v>1</v>
      </c>
    </row>
    <row r="26" spans="1:20" s="31" customFormat="1" x14ac:dyDescent="0.25">
      <c r="A26" s="250" t="s">
        <v>190</v>
      </c>
      <c r="B26" s="250" t="s">
        <v>426</v>
      </c>
      <c r="C26" s="250">
        <v>17.7</v>
      </c>
      <c r="D26" s="250">
        <v>19.254999999999999</v>
      </c>
      <c r="E26" s="250">
        <v>3.3</v>
      </c>
      <c r="F26" s="250">
        <v>2.0699999999999998</v>
      </c>
      <c r="G26" s="250">
        <v>36.64</v>
      </c>
      <c r="H26" s="250">
        <v>4.6550000000000002</v>
      </c>
      <c r="I26" s="250">
        <v>1.27</v>
      </c>
      <c r="J26" s="250">
        <v>3.4660000000000002</v>
      </c>
      <c r="K26" s="250"/>
      <c r="L26" s="251">
        <f t="shared" si="6"/>
        <v>11.103030303030303</v>
      </c>
      <c r="M26" s="251">
        <f t="shared" si="0"/>
        <v>1.9028823682160478</v>
      </c>
      <c r="N26" s="252">
        <f t="shared" si="1"/>
        <v>6.5956894313165412E-2</v>
      </c>
      <c r="O26" s="251">
        <f t="shared" si="2"/>
        <v>0.61352657004830924</v>
      </c>
      <c r="P26" s="251">
        <f t="shared" si="3"/>
        <v>0.70891514500537045</v>
      </c>
      <c r="Q26" s="252">
        <f t="shared" si="4"/>
        <v>3.4661572052401744E-2</v>
      </c>
      <c r="R26" s="250"/>
      <c r="S26" s="250" t="s">
        <v>26</v>
      </c>
      <c r="T26" s="31" t="b">
        <f t="shared" si="5"/>
        <v>1</v>
      </c>
    </row>
    <row r="27" spans="1:20" s="31" customFormat="1" x14ac:dyDescent="0.25">
      <c r="A27" s="250" t="s">
        <v>211</v>
      </c>
      <c r="B27" s="250" t="s">
        <v>423</v>
      </c>
      <c r="C27" s="250">
        <v>23.7</v>
      </c>
      <c r="D27" s="250">
        <v>41.006999999999998</v>
      </c>
      <c r="E27" s="250">
        <v>6.8940000000000001</v>
      </c>
      <c r="F27" s="250">
        <v>3.55</v>
      </c>
      <c r="G27" s="250">
        <v>86.381</v>
      </c>
      <c r="H27" s="250">
        <v>8.5809999999999995</v>
      </c>
      <c r="I27" s="250">
        <v>2.27</v>
      </c>
      <c r="J27" s="250">
        <v>2.6280000000000001</v>
      </c>
      <c r="K27" s="250"/>
      <c r="L27" s="251">
        <f t="shared" si="6"/>
        <v>12.529881055990716</v>
      </c>
      <c r="M27" s="251">
        <f t="shared" si="0"/>
        <v>2.1064940132172558</v>
      </c>
      <c r="N27" s="252">
        <f t="shared" si="1"/>
        <v>5.5356402565415665E-2</v>
      </c>
      <c r="O27" s="251">
        <f t="shared" si="2"/>
        <v>0.6394366197183099</v>
      </c>
      <c r="P27" s="251">
        <f t="shared" si="3"/>
        <v>0.80340286679874151</v>
      </c>
      <c r="Q27" s="252">
        <f t="shared" si="4"/>
        <v>2.6278927078871511E-2</v>
      </c>
      <c r="R27" s="250"/>
      <c r="S27" s="250" t="s">
        <v>190</v>
      </c>
      <c r="T27" s="31" t="b">
        <f t="shared" si="5"/>
        <v>1</v>
      </c>
    </row>
    <row r="28" spans="1:20" s="31" customFormat="1" x14ac:dyDescent="0.25">
      <c r="A28" s="250" t="s">
        <v>45</v>
      </c>
      <c r="B28" s="250" t="s">
        <v>65</v>
      </c>
      <c r="C28" s="250">
        <v>23.9</v>
      </c>
      <c r="D28" s="250">
        <v>27.119</v>
      </c>
      <c r="E28" s="250">
        <v>6.6150000000000002</v>
      </c>
      <c r="F28" s="250">
        <v>2.79</v>
      </c>
      <c r="G28" s="250">
        <v>66.626000000000005</v>
      </c>
      <c r="H28" s="250">
        <v>9.99</v>
      </c>
      <c r="I28" s="250">
        <v>1.72</v>
      </c>
      <c r="J28" s="250">
        <v>2.5819999999999999</v>
      </c>
      <c r="K28" s="250"/>
      <c r="L28" s="251">
        <f t="shared" si="6"/>
        <v>10.071957671957673</v>
      </c>
      <c r="M28" s="251">
        <f t="shared" si="0"/>
        <v>2.456801504480254</v>
      </c>
      <c r="N28" s="252">
        <f t="shared" si="1"/>
        <v>6.3424167557800809E-2</v>
      </c>
      <c r="O28" s="251">
        <f t="shared" si="2"/>
        <v>0.61648745519713255</v>
      </c>
      <c r="P28" s="251">
        <f t="shared" si="3"/>
        <v>0.66216216216216217</v>
      </c>
      <c r="Q28" s="252">
        <f t="shared" si="4"/>
        <v>2.581574760603968E-2</v>
      </c>
      <c r="R28" s="250"/>
      <c r="S28" s="250" t="s">
        <v>211</v>
      </c>
      <c r="T28" s="31" t="b">
        <f t="shared" si="5"/>
        <v>1</v>
      </c>
    </row>
    <row r="29" spans="1:20" s="31" customFormat="1" x14ac:dyDescent="0.25">
      <c r="A29" s="250" t="s">
        <v>192</v>
      </c>
      <c r="B29" s="250" t="s">
        <v>474</v>
      </c>
      <c r="C29" s="250">
        <v>25</v>
      </c>
      <c r="D29" s="250">
        <v>29.053999999999998</v>
      </c>
      <c r="E29" s="250">
        <v>5.6870000000000003</v>
      </c>
      <c r="F29" s="250">
        <v>2.2999999999999998</v>
      </c>
      <c r="G29" s="250">
        <v>57.417000000000002</v>
      </c>
      <c r="H29" s="250">
        <v>9.1829999999999998</v>
      </c>
      <c r="I29" s="250">
        <v>1.91</v>
      </c>
      <c r="J29" s="250">
        <v>3.327</v>
      </c>
      <c r="K29" s="250"/>
      <c r="L29" s="251">
        <f t="shared" si="6"/>
        <v>10.096184279936697</v>
      </c>
      <c r="M29" s="251">
        <f t="shared" si="0"/>
        <v>1.9762166999380466</v>
      </c>
      <c r="N29" s="252">
        <f t="shared" si="1"/>
        <v>6.5739657190059891E-2</v>
      </c>
      <c r="O29" s="251">
        <f t="shared" si="2"/>
        <v>0.83043478260869563</v>
      </c>
      <c r="P29" s="251">
        <f t="shared" si="3"/>
        <v>0.61929652618969844</v>
      </c>
      <c r="Q29" s="252">
        <f t="shared" si="4"/>
        <v>3.326540919936604E-2</v>
      </c>
      <c r="R29" s="250"/>
      <c r="S29" s="250" t="s">
        <v>45</v>
      </c>
      <c r="T29" s="31" t="b">
        <f t="shared" si="5"/>
        <v>1</v>
      </c>
    </row>
    <row r="30" spans="1:20" s="31" customFormat="1" x14ac:dyDescent="0.25">
      <c r="A30" s="250" t="s">
        <v>19</v>
      </c>
      <c r="B30" s="250" t="s">
        <v>66</v>
      </c>
      <c r="C30" s="250">
        <v>15.7</v>
      </c>
      <c r="D30" s="250">
        <v>13.324999999999999</v>
      </c>
      <c r="E30" s="250">
        <v>4.0540000000000003</v>
      </c>
      <c r="F30" s="250">
        <v>1.85</v>
      </c>
      <c r="G30" s="250">
        <v>37.433999999999997</v>
      </c>
      <c r="H30" s="250">
        <v>4.8920000000000003</v>
      </c>
      <c r="I30" s="250">
        <v>1.56</v>
      </c>
      <c r="J30" s="250">
        <v>4.1669999999999998</v>
      </c>
      <c r="K30" s="250"/>
      <c r="L30" s="251">
        <f t="shared" si="6"/>
        <v>9.2338431179082381</v>
      </c>
      <c r="M30" s="251">
        <f t="shared" si="0"/>
        <v>2.8093058161350846</v>
      </c>
      <c r="N30" s="252">
        <f t="shared" si="1"/>
        <v>0.11707317073170732</v>
      </c>
      <c r="O30" s="251">
        <f t="shared" si="2"/>
        <v>0.84324324324324318</v>
      </c>
      <c r="P30" s="251">
        <f t="shared" si="3"/>
        <v>0.82869991823385114</v>
      </c>
      <c r="Q30" s="252">
        <f t="shared" si="4"/>
        <v>4.167334508735375E-2</v>
      </c>
      <c r="R30" s="250"/>
      <c r="S30" s="250" t="s">
        <v>192</v>
      </c>
      <c r="T30" s="31" t="b">
        <f t="shared" si="5"/>
        <v>1</v>
      </c>
    </row>
    <row r="31" spans="1:20" s="31" customFormat="1" x14ac:dyDescent="0.25">
      <c r="A31" s="250" t="s">
        <v>27</v>
      </c>
      <c r="B31" s="250" t="s">
        <v>67</v>
      </c>
      <c r="C31" s="250">
        <v>16.2</v>
      </c>
      <c r="D31" s="250">
        <v>18.149999999999999</v>
      </c>
      <c r="E31" s="250">
        <v>4.0339999999999998</v>
      </c>
      <c r="F31" s="250">
        <v>2.08</v>
      </c>
      <c r="G31" s="250">
        <v>33.790999999999997</v>
      </c>
      <c r="H31" s="250">
        <v>3.2509999999999999</v>
      </c>
      <c r="I31" s="250">
        <v>1.58</v>
      </c>
      <c r="J31" s="250">
        <v>4.6760000000000002</v>
      </c>
      <c r="K31" s="250"/>
      <c r="L31" s="251">
        <f t="shared" si="6"/>
        <v>8.3765493306891425</v>
      </c>
      <c r="M31" s="251">
        <f t="shared" si="0"/>
        <v>1.8617630853994489</v>
      </c>
      <c r="N31" s="252">
        <f t="shared" si="1"/>
        <v>8.7052341597796151E-2</v>
      </c>
      <c r="O31" s="251">
        <f t="shared" si="2"/>
        <v>0.75961538461538458</v>
      </c>
      <c r="P31" s="251">
        <f t="shared" si="3"/>
        <v>1.2408489695478315</v>
      </c>
      <c r="Q31" s="252">
        <f t="shared" si="4"/>
        <v>4.6758012488532459E-2</v>
      </c>
      <c r="R31" s="250"/>
      <c r="S31" s="250" t="s">
        <v>19</v>
      </c>
      <c r="T31" s="31" t="b">
        <f t="shared" si="5"/>
        <v>1</v>
      </c>
    </row>
    <row r="32" spans="1:20" s="31" customFormat="1" x14ac:dyDescent="0.25">
      <c r="A32" s="250" t="s">
        <v>28</v>
      </c>
      <c r="B32" s="250" t="s">
        <v>68</v>
      </c>
      <c r="C32" s="250">
        <v>18.3</v>
      </c>
      <c r="D32" s="250">
        <v>21.001999999999999</v>
      </c>
      <c r="E32" s="250">
        <v>4.29</v>
      </c>
      <c r="F32" s="250">
        <v>2.34</v>
      </c>
      <c r="G32" s="250">
        <v>42.844999999999999</v>
      </c>
      <c r="H32" s="250">
        <v>8.9600000000000009</v>
      </c>
      <c r="I32" s="250">
        <v>1.48</v>
      </c>
      <c r="J32" s="250">
        <v>3.4540000000000002</v>
      </c>
      <c r="K32" s="250"/>
      <c r="L32" s="251">
        <f t="shared" si="6"/>
        <v>9.9871794871794872</v>
      </c>
      <c r="M32" s="251">
        <f t="shared" si="0"/>
        <v>2.0400438053518712</v>
      </c>
      <c r="N32" s="252">
        <f t="shared" si="1"/>
        <v>7.0469479097228838E-2</v>
      </c>
      <c r="O32" s="251">
        <f t="shared" si="2"/>
        <v>0.63247863247863256</v>
      </c>
      <c r="P32" s="251">
        <f t="shared" si="3"/>
        <v>0.47879464285714279</v>
      </c>
      <c r="Q32" s="252">
        <f t="shared" si="4"/>
        <v>3.4543120550822731E-2</v>
      </c>
      <c r="R32" s="250"/>
      <c r="S32" s="250" t="s">
        <v>27</v>
      </c>
      <c r="T32" s="31" t="b">
        <f t="shared" si="5"/>
        <v>1</v>
      </c>
    </row>
    <row r="33" spans="1:20" s="31" customFormat="1" x14ac:dyDescent="0.25">
      <c r="A33" s="250" t="s">
        <v>18</v>
      </c>
      <c r="B33" s="250" t="s">
        <v>69</v>
      </c>
      <c r="C33" s="250">
        <v>12.4</v>
      </c>
      <c r="D33" s="250">
        <v>33.386000000000003</v>
      </c>
      <c r="E33" s="250">
        <v>9.0190000000000001</v>
      </c>
      <c r="F33" s="250">
        <v>2.6</v>
      </c>
      <c r="G33" s="250">
        <v>40.015999999999998</v>
      </c>
      <c r="H33" s="250">
        <v>8.2460000000000004</v>
      </c>
      <c r="I33" s="250">
        <v>1.53</v>
      </c>
      <c r="J33" s="250">
        <v>3.823</v>
      </c>
      <c r="K33" s="250"/>
      <c r="L33" s="251">
        <f t="shared" si="6"/>
        <v>4.4368555272203123</v>
      </c>
      <c r="M33" s="251">
        <f t="shared" si="0"/>
        <v>1.1985862337506739</v>
      </c>
      <c r="N33" s="252">
        <f t="shared" si="1"/>
        <v>4.5827592404001673E-2</v>
      </c>
      <c r="O33" s="251">
        <f t="shared" si="2"/>
        <v>0.58846153846153848</v>
      </c>
      <c r="P33" s="251">
        <f t="shared" si="3"/>
        <v>1.0937424205675479</v>
      </c>
      <c r="Q33" s="252">
        <f t="shared" si="4"/>
        <v>3.8234706117552981E-2</v>
      </c>
      <c r="R33" s="250"/>
      <c r="S33" s="250" t="s">
        <v>28</v>
      </c>
      <c r="T33" s="31" t="b">
        <f t="shared" si="5"/>
        <v>1</v>
      </c>
    </row>
    <row r="34" spans="1:20" s="31" customFormat="1" x14ac:dyDescent="0.25">
      <c r="A34" s="250" t="s">
        <v>34</v>
      </c>
      <c r="B34" s="250" t="s">
        <v>70</v>
      </c>
      <c r="C34" s="250">
        <v>13.9</v>
      </c>
      <c r="D34" s="250">
        <v>17.391999999999999</v>
      </c>
      <c r="E34" s="250">
        <v>3.8109999999999999</v>
      </c>
      <c r="F34" s="250">
        <v>2.04</v>
      </c>
      <c r="G34" s="250">
        <v>28.434000000000001</v>
      </c>
      <c r="H34" s="250">
        <v>4.2249999999999996</v>
      </c>
      <c r="I34" s="250">
        <v>1.66</v>
      </c>
      <c r="J34" s="250">
        <v>5.8380000000000001</v>
      </c>
      <c r="K34" s="250"/>
      <c r="L34" s="251">
        <f t="shared" si="6"/>
        <v>7.4610338493833641</v>
      </c>
      <c r="M34" s="251">
        <f t="shared" si="0"/>
        <v>1.6348896044158234</v>
      </c>
      <c r="N34" s="252">
        <f t="shared" si="1"/>
        <v>9.5446182152713888E-2</v>
      </c>
      <c r="O34" s="251">
        <f t="shared" si="2"/>
        <v>0.81372549019607843</v>
      </c>
      <c r="P34" s="251">
        <f t="shared" si="3"/>
        <v>0.9020118343195267</v>
      </c>
      <c r="Q34" s="252">
        <f t="shared" si="4"/>
        <v>5.8380811704297667E-2</v>
      </c>
      <c r="R34" s="250"/>
      <c r="S34" s="250" t="s">
        <v>18</v>
      </c>
      <c r="T34" s="31" t="b">
        <f t="shared" si="5"/>
        <v>1</v>
      </c>
    </row>
    <row r="35" spans="1:20" s="31" customFormat="1" x14ac:dyDescent="0.25">
      <c r="A35" s="250" t="s">
        <v>30</v>
      </c>
      <c r="B35" s="250" t="s">
        <v>71</v>
      </c>
      <c r="C35" s="250"/>
      <c r="D35" s="250">
        <v>10.582000000000001</v>
      </c>
      <c r="E35" s="250">
        <v>1.0900000000000001</v>
      </c>
      <c r="F35" s="250">
        <v>-1.05</v>
      </c>
      <c r="G35" s="250">
        <v>11.244</v>
      </c>
      <c r="H35" s="250">
        <v>3.875</v>
      </c>
      <c r="I35" s="250">
        <v>0</v>
      </c>
      <c r="J35" s="250"/>
      <c r="K35" s="250"/>
      <c r="L35" s="251">
        <f t="shared" si="6"/>
        <v>10.315596330275229</v>
      </c>
      <c r="M35" s="251">
        <f t="shared" si="0"/>
        <v>1.0625590625590624</v>
      </c>
      <c r="N35" s="252">
        <f t="shared" si="1"/>
        <v>0</v>
      </c>
      <c r="O35" s="251">
        <f t="shared" si="2"/>
        <v>0</v>
      </c>
      <c r="P35" s="251">
        <f t="shared" si="3"/>
        <v>0.28129032258064518</v>
      </c>
      <c r="Q35" s="252">
        <f t="shared" si="4"/>
        <v>0</v>
      </c>
      <c r="R35" s="250"/>
      <c r="S35" s="250" t="s">
        <v>34</v>
      </c>
      <c r="T35" s="31" t="b">
        <f t="shared" si="5"/>
        <v>1</v>
      </c>
    </row>
    <row r="36" spans="1:20" s="31" customFormat="1" x14ac:dyDescent="0.25">
      <c r="A36" s="250" t="s">
        <v>533</v>
      </c>
      <c r="B36" s="250" t="s">
        <v>534</v>
      </c>
      <c r="C36" s="250">
        <v>39.6</v>
      </c>
      <c r="D36" s="250">
        <v>19.087</v>
      </c>
      <c r="E36" s="250">
        <v>2.2080000000000002</v>
      </c>
      <c r="F36" s="250">
        <v>1.1200000000000001</v>
      </c>
      <c r="G36" s="250">
        <v>44.328000000000003</v>
      </c>
      <c r="H36" s="250">
        <v>3.4049999999999998</v>
      </c>
      <c r="I36" s="250">
        <v>0.97</v>
      </c>
      <c r="J36" s="250">
        <v>2.1880000000000002</v>
      </c>
      <c r="K36" s="250"/>
      <c r="L36" s="251">
        <f t="shared" si="6"/>
        <v>20.076086956521738</v>
      </c>
      <c r="M36" s="251">
        <f t="shared" si="0"/>
        <v>2.322418399958087</v>
      </c>
      <c r="N36" s="252">
        <f t="shared" si="1"/>
        <v>5.081992979514853E-2</v>
      </c>
      <c r="O36" s="251">
        <f t="shared" si="2"/>
        <v>0.86607142857142849</v>
      </c>
      <c r="P36" s="251">
        <f t="shared" si="3"/>
        <v>0.64845814977973582</v>
      </c>
      <c r="Q36" s="252">
        <f t="shared" si="4"/>
        <v>2.1882331709077781E-2</v>
      </c>
      <c r="R36" s="250"/>
      <c r="S36" s="250" t="s">
        <v>30</v>
      </c>
      <c r="T36" s="31" t="b">
        <f t="shared" si="5"/>
        <v>1</v>
      </c>
    </row>
    <row r="37" spans="1:20" s="31" customFormat="1" x14ac:dyDescent="0.25">
      <c r="A37" s="250" t="s">
        <v>31</v>
      </c>
      <c r="B37" s="250" t="s">
        <v>72</v>
      </c>
      <c r="C37" s="250">
        <v>16.7</v>
      </c>
      <c r="D37" s="250">
        <v>49.96</v>
      </c>
      <c r="E37" s="250">
        <v>10.862</v>
      </c>
      <c r="F37" s="250">
        <v>4.87</v>
      </c>
      <c r="G37" s="250">
        <v>81.356999999999999</v>
      </c>
      <c r="H37" s="250">
        <v>11.929</v>
      </c>
      <c r="I37" s="250">
        <v>3.23</v>
      </c>
      <c r="J37" s="250">
        <v>3.97</v>
      </c>
      <c r="K37" s="250"/>
      <c r="L37" s="251">
        <f t="shared" si="6"/>
        <v>7.4900570797274906</v>
      </c>
      <c r="M37" s="251">
        <f t="shared" si="0"/>
        <v>1.6284427542033626</v>
      </c>
      <c r="N37" s="252">
        <f t="shared" si="1"/>
        <v>6.4651721377101679E-2</v>
      </c>
      <c r="O37" s="251">
        <f t="shared" si="2"/>
        <v>0.66324435318275154</v>
      </c>
      <c r="P37" s="251">
        <f t="shared" si="3"/>
        <v>0.91055411182831758</v>
      </c>
      <c r="Q37" s="252">
        <f t="shared" si="4"/>
        <v>3.9701562250328795E-2</v>
      </c>
      <c r="R37" s="250"/>
      <c r="S37" s="250" t="s">
        <v>533</v>
      </c>
      <c r="T37" s="31" t="b">
        <f t="shared" si="5"/>
        <v>1</v>
      </c>
    </row>
    <row r="38" spans="1:20" s="31" customFormat="1" x14ac:dyDescent="0.25">
      <c r="A38" s="250" t="s">
        <v>32</v>
      </c>
      <c r="B38" s="250" t="s">
        <v>74</v>
      </c>
      <c r="C38" s="250">
        <v>19.600000000000001</v>
      </c>
      <c r="D38" s="250">
        <v>23.876999999999999</v>
      </c>
      <c r="E38" s="250">
        <v>5.6790000000000003</v>
      </c>
      <c r="F38" s="250">
        <v>2.15</v>
      </c>
      <c r="G38" s="250">
        <v>44.689</v>
      </c>
      <c r="H38" s="250">
        <v>7.9109999999999996</v>
      </c>
      <c r="I38" s="250">
        <v>1.25</v>
      </c>
      <c r="J38" s="250">
        <v>2.7970000000000002</v>
      </c>
      <c r="K38" s="250"/>
      <c r="L38" s="251">
        <f t="shared" si="6"/>
        <v>7.8691671068850146</v>
      </c>
      <c r="M38" s="251">
        <f t="shared" si="0"/>
        <v>1.8716337898395947</v>
      </c>
      <c r="N38" s="252">
        <f t="shared" si="1"/>
        <v>5.2351635465091931E-2</v>
      </c>
      <c r="O38" s="251">
        <f t="shared" si="2"/>
        <v>0.58139534883720934</v>
      </c>
      <c r="P38" s="251">
        <f t="shared" si="3"/>
        <v>0.71786120591581348</v>
      </c>
      <c r="Q38" s="252">
        <f t="shared" si="4"/>
        <v>2.7971089082324509E-2</v>
      </c>
      <c r="R38" s="250"/>
      <c r="S38" s="250" t="s">
        <v>31</v>
      </c>
      <c r="T38" s="31" t="b">
        <f t="shared" si="5"/>
        <v>1</v>
      </c>
    </row>
    <row r="39" spans="1:20" s="31" customFormat="1" x14ac:dyDescent="0.25">
      <c r="A39" s="250" t="s">
        <v>35</v>
      </c>
      <c r="B39" s="250" t="s">
        <v>75</v>
      </c>
      <c r="C39" s="250">
        <v>15.7</v>
      </c>
      <c r="D39" s="250">
        <v>31.713999999999999</v>
      </c>
      <c r="E39" s="250">
        <v>6.5439999999999996</v>
      </c>
      <c r="F39" s="250">
        <v>3.61</v>
      </c>
      <c r="G39" s="250">
        <v>53.805999999999997</v>
      </c>
      <c r="H39" s="250">
        <v>5.8</v>
      </c>
      <c r="I39" s="250">
        <v>1.96</v>
      </c>
      <c r="J39" s="250">
        <v>3.6429999999999998</v>
      </c>
      <c r="K39" s="250"/>
      <c r="L39" s="251">
        <f t="shared" si="6"/>
        <v>8.2221882640586799</v>
      </c>
      <c r="M39" s="251">
        <f t="shared" si="0"/>
        <v>1.6966008702781106</v>
      </c>
      <c r="N39" s="252">
        <f t="shared" si="1"/>
        <v>6.1802358579807024E-2</v>
      </c>
      <c r="O39" s="251">
        <f t="shared" si="2"/>
        <v>0.54293628808864269</v>
      </c>
      <c r="P39" s="251">
        <f t="shared" si="3"/>
        <v>1.1282758620689655</v>
      </c>
      <c r="Q39" s="252">
        <f t="shared" si="4"/>
        <v>3.6427164256774336E-2</v>
      </c>
      <c r="R39" s="250"/>
      <c r="S39" s="250" t="s">
        <v>32</v>
      </c>
      <c r="T39" s="31" t="b">
        <f t="shared" si="5"/>
        <v>1</v>
      </c>
    </row>
    <row r="40" spans="1:20" s="31" customFormat="1" x14ac:dyDescent="0.25">
      <c r="A40" s="250" t="s">
        <v>194</v>
      </c>
      <c r="B40" s="250" t="s">
        <v>430</v>
      </c>
      <c r="C40" s="250">
        <v>20.29</v>
      </c>
      <c r="D40" s="250">
        <v>10.893000000000001</v>
      </c>
      <c r="E40" s="250">
        <v>2.2909999999999999</v>
      </c>
      <c r="F40" s="250">
        <v>1.3</v>
      </c>
      <c r="G40" s="250">
        <v>26.376999999999999</v>
      </c>
      <c r="H40" s="250">
        <v>2.8079999999999998</v>
      </c>
      <c r="I40" s="250">
        <v>0.7</v>
      </c>
      <c r="J40" s="250">
        <v>2.6539999999999999</v>
      </c>
      <c r="K40" s="250"/>
      <c r="L40" s="251">
        <f t="shared" si="6"/>
        <v>11.513312963771279</v>
      </c>
      <c r="M40" s="251">
        <f t="shared" si="0"/>
        <v>2.4214633250711461</v>
      </c>
      <c r="N40" s="252">
        <f t="shared" si="1"/>
        <v>6.4261452308822173E-2</v>
      </c>
      <c r="O40" s="251">
        <f t="shared" si="2"/>
        <v>0.53846153846153844</v>
      </c>
      <c r="P40" s="251">
        <f t="shared" si="3"/>
        <v>0.81588319088319095</v>
      </c>
      <c r="Q40" s="252">
        <f t="shared" si="4"/>
        <v>2.6538271979375971E-2</v>
      </c>
      <c r="R40" s="250"/>
      <c r="S40" s="250" t="s">
        <v>35</v>
      </c>
      <c r="T40" s="31" t="b">
        <f t="shared" si="5"/>
        <v>1</v>
      </c>
    </row>
    <row r="41" spans="1:20" s="31" customFormat="1" x14ac:dyDescent="0.25">
      <c r="A41" s="250" t="s">
        <v>196</v>
      </c>
      <c r="B41" s="250" t="s">
        <v>431</v>
      </c>
      <c r="C41" s="250">
        <v>30</v>
      </c>
      <c r="D41" s="250">
        <v>32.116999999999997</v>
      </c>
      <c r="E41" s="250">
        <v>5.28</v>
      </c>
      <c r="F41" s="250">
        <v>2.14</v>
      </c>
      <c r="G41" s="250">
        <v>64.165000000000006</v>
      </c>
      <c r="H41" s="250">
        <v>7.4379999999999997</v>
      </c>
      <c r="I41" s="250">
        <v>1.28</v>
      </c>
      <c r="J41" s="250">
        <v>1.9950000000000001</v>
      </c>
      <c r="K41" s="250"/>
      <c r="L41" s="251">
        <f t="shared" si="6"/>
        <v>12.152462121212121</v>
      </c>
      <c r="M41" s="251">
        <f t="shared" si="0"/>
        <v>1.997851605068967</v>
      </c>
      <c r="N41" s="252">
        <f t="shared" si="1"/>
        <v>3.985428277859078E-2</v>
      </c>
      <c r="O41" s="251">
        <f t="shared" si="2"/>
        <v>0.59813084112149528</v>
      </c>
      <c r="P41" s="251">
        <f t="shared" si="3"/>
        <v>0.70986824415165373</v>
      </c>
      <c r="Q41" s="252">
        <f t="shared" si="4"/>
        <v>1.994857009272968E-2</v>
      </c>
      <c r="R41" s="250"/>
      <c r="S41" s="250" t="s">
        <v>194</v>
      </c>
      <c r="T41" s="31" t="b">
        <f t="shared" si="5"/>
        <v>1</v>
      </c>
    </row>
    <row r="42" spans="1:20" s="31" customFormat="1" x14ac:dyDescent="0.25">
      <c r="A42" s="250" t="s">
        <v>198</v>
      </c>
      <c r="B42" s="250" t="s">
        <v>432</v>
      </c>
      <c r="C42" s="250">
        <v>14.89</v>
      </c>
      <c r="D42" s="250">
        <v>16.510999999999999</v>
      </c>
      <c r="E42" s="250">
        <v>3.3170000000000002</v>
      </c>
      <c r="F42" s="250">
        <v>1.68</v>
      </c>
      <c r="G42" s="250">
        <v>25.015000000000001</v>
      </c>
      <c r="H42" s="250">
        <v>4.8360000000000003</v>
      </c>
      <c r="I42" s="250">
        <v>1.19</v>
      </c>
      <c r="J42" s="250">
        <v>4.7569999999999997</v>
      </c>
      <c r="K42" s="250"/>
      <c r="L42" s="251">
        <f t="shared" si="6"/>
        <v>7.5414531202894182</v>
      </c>
      <c r="M42" s="251">
        <f t="shared" si="0"/>
        <v>1.5150505723457091</v>
      </c>
      <c r="N42" s="252">
        <f t="shared" si="1"/>
        <v>7.2073163345648353E-2</v>
      </c>
      <c r="O42" s="251">
        <f t="shared" si="2"/>
        <v>0.70833333333333337</v>
      </c>
      <c r="P42" s="251">
        <f t="shared" si="3"/>
        <v>0.6858974358974359</v>
      </c>
      <c r="Q42" s="252">
        <f t="shared" si="4"/>
        <v>4.757145712572456E-2</v>
      </c>
      <c r="R42" s="250"/>
      <c r="S42" s="250" t="s">
        <v>196</v>
      </c>
      <c r="T42" s="31" t="b">
        <f t="shared" si="5"/>
        <v>1</v>
      </c>
    </row>
    <row r="43" spans="1:20" s="31" customFormat="1" x14ac:dyDescent="0.25">
      <c r="A43" s="250" t="s">
        <v>165</v>
      </c>
      <c r="B43" s="250" t="s">
        <v>411</v>
      </c>
      <c r="C43" s="250">
        <v>34.299999999999997</v>
      </c>
      <c r="D43" s="250">
        <v>17.395</v>
      </c>
      <c r="E43" s="250">
        <v>3.3420000000000001</v>
      </c>
      <c r="F43" s="250">
        <v>2.33</v>
      </c>
      <c r="G43" s="250">
        <v>79.893000000000001</v>
      </c>
      <c r="H43" s="250">
        <v>3.536</v>
      </c>
      <c r="I43" s="250">
        <v>1.28</v>
      </c>
      <c r="J43" s="250">
        <v>1.6020000000000001</v>
      </c>
      <c r="K43" s="250"/>
      <c r="L43" s="251">
        <f t="shared" si="6"/>
        <v>23.905745062836626</v>
      </c>
      <c r="M43" s="251">
        <f t="shared" si="0"/>
        <v>4.5928715148031047</v>
      </c>
      <c r="N43" s="252">
        <f t="shared" si="1"/>
        <v>7.3584363322793916E-2</v>
      </c>
      <c r="O43" s="251">
        <f t="shared" si="2"/>
        <v>0.54935622317596566</v>
      </c>
      <c r="P43" s="251">
        <f t="shared" si="3"/>
        <v>0.94513574660633481</v>
      </c>
      <c r="Q43" s="252">
        <f t="shared" si="4"/>
        <v>1.6021428660833864E-2</v>
      </c>
      <c r="R43" s="250"/>
      <c r="S43" s="250" t="s">
        <v>198</v>
      </c>
      <c r="T43" s="31" t="b">
        <f t="shared" si="5"/>
        <v>1</v>
      </c>
    </row>
    <row r="44" spans="1:20" s="31" customFormat="1" x14ac:dyDescent="0.25">
      <c r="A44" s="250" t="s">
        <v>38</v>
      </c>
      <c r="B44" s="250" t="s">
        <v>77</v>
      </c>
      <c r="C44" s="250">
        <v>17.899999999999999</v>
      </c>
      <c r="D44" s="250">
        <v>26.477</v>
      </c>
      <c r="E44" s="250">
        <v>6.9770000000000003</v>
      </c>
      <c r="F44" s="250">
        <v>3.25</v>
      </c>
      <c r="G44" s="250">
        <v>58.210999999999999</v>
      </c>
      <c r="H44" s="250">
        <v>7.0430000000000001</v>
      </c>
      <c r="I44" s="250">
        <v>2.54</v>
      </c>
      <c r="J44" s="250">
        <v>4.3630000000000004</v>
      </c>
      <c r="K44" s="250"/>
      <c r="L44" s="251">
        <f t="shared" si="6"/>
        <v>8.3432707467392859</v>
      </c>
      <c r="M44" s="251">
        <f t="shared" si="0"/>
        <v>2.1985496846319448</v>
      </c>
      <c r="N44" s="252">
        <f t="shared" si="1"/>
        <v>9.5932318616157419E-2</v>
      </c>
      <c r="O44" s="251">
        <f t="shared" si="2"/>
        <v>0.78153846153846152</v>
      </c>
      <c r="P44" s="251">
        <f t="shared" si="3"/>
        <v>0.9906289933267074</v>
      </c>
      <c r="Q44" s="252">
        <f t="shared" si="4"/>
        <v>4.3634364638985762E-2</v>
      </c>
      <c r="R44" s="250"/>
      <c r="S44" s="250" t="s">
        <v>165</v>
      </c>
      <c r="T44" s="31" t="b">
        <f t="shared" si="5"/>
        <v>1</v>
      </c>
    </row>
    <row r="45" spans="1:20" s="31" customFormat="1" x14ac:dyDescent="0.25">
      <c r="A45" s="250" t="s">
        <v>200</v>
      </c>
      <c r="B45" s="250" t="s">
        <v>433</v>
      </c>
      <c r="C45" s="250">
        <v>16.8</v>
      </c>
      <c r="D45" s="250">
        <v>46.771000000000001</v>
      </c>
      <c r="E45" s="250">
        <v>9.8670000000000009</v>
      </c>
      <c r="F45" s="250">
        <v>4.1399999999999997</v>
      </c>
      <c r="G45" s="250">
        <v>69.537999999999997</v>
      </c>
      <c r="H45" s="250">
        <v>14.427</v>
      </c>
      <c r="I45" s="250">
        <v>2.2799999999999998</v>
      </c>
      <c r="J45" s="250">
        <v>3.2789999999999999</v>
      </c>
      <c r="K45" s="250"/>
      <c r="L45" s="251">
        <f t="shared" si="6"/>
        <v>7.0475321779669597</v>
      </c>
      <c r="M45" s="251">
        <f t="shared" si="0"/>
        <v>1.4867759936712919</v>
      </c>
      <c r="N45" s="252">
        <f t="shared" si="1"/>
        <v>4.874815590857582E-2</v>
      </c>
      <c r="O45" s="251">
        <f t="shared" si="2"/>
        <v>0.55072463768115942</v>
      </c>
      <c r="P45" s="251">
        <f t="shared" si="3"/>
        <v>0.68392597213557915</v>
      </c>
      <c r="Q45" s="252">
        <f t="shared" si="4"/>
        <v>3.2787828237798036E-2</v>
      </c>
      <c r="R45" s="250"/>
      <c r="S45" s="250" t="s">
        <v>38</v>
      </c>
      <c r="T45" s="31" t="b">
        <f t="shared" si="5"/>
        <v>1</v>
      </c>
    </row>
    <row r="46" spans="1:20" s="31" customFormat="1" x14ac:dyDescent="0.25">
      <c r="A46" s="250" t="s">
        <v>204</v>
      </c>
      <c r="B46" s="250" t="s">
        <v>436</v>
      </c>
      <c r="C46" s="250">
        <v>13.8</v>
      </c>
      <c r="D46" s="250">
        <v>19.702999999999999</v>
      </c>
      <c r="E46" s="250">
        <v>4.9880000000000004</v>
      </c>
      <c r="F46" s="250">
        <v>2.67</v>
      </c>
      <c r="G46" s="250">
        <v>36.841999999999999</v>
      </c>
      <c r="H46" s="250">
        <v>3.1259999999999999</v>
      </c>
      <c r="I46" s="250">
        <v>1.31</v>
      </c>
      <c r="J46" s="250">
        <v>3.556</v>
      </c>
      <c r="K46" s="250"/>
      <c r="L46" s="251">
        <f t="shared" si="6"/>
        <v>7.3861267040898149</v>
      </c>
      <c r="M46" s="251">
        <f t="shared" si="0"/>
        <v>1.8698675328630159</v>
      </c>
      <c r="N46" s="252">
        <f t="shared" si="1"/>
        <v>6.6487336953763396E-2</v>
      </c>
      <c r="O46" s="251">
        <f t="shared" si="2"/>
        <v>0.49063670411985022</v>
      </c>
      <c r="P46" s="251">
        <f t="shared" si="3"/>
        <v>1.5956493921944979</v>
      </c>
      <c r="Q46" s="252">
        <f t="shared" si="4"/>
        <v>3.5557244449269859E-2</v>
      </c>
      <c r="R46" s="250"/>
      <c r="S46" s="250" t="s">
        <v>200</v>
      </c>
      <c r="T46" s="31" t="b">
        <f t="shared" si="5"/>
        <v>1</v>
      </c>
    </row>
    <row r="47" spans="1:20" s="31" customFormat="1" x14ac:dyDescent="0.25">
      <c r="A47" s="250" t="s">
        <v>3</v>
      </c>
      <c r="B47" s="250" t="s">
        <v>80</v>
      </c>
      <c r="C47" s="250">
        <v>22.2</v>
      </c>
      <c r="D47" s="250">
        <v>35.286000000000001</v>
      </c>
      <c r="E47" s="250">
        <v>8.077</v>
      </c>
      <c r="F47" s="250">
        <v>3.5</v>
      </c>
      <c r="G47" s="250">
        <v>77.816000000000003</v>
      </c>
      <c r="H47" s="250">
        <v>13.023999999999999</v>
      </c>
      <c r="I47" s="250">
        <v>2</v>
      </c>
      <c r="J47" s="250">
        <v>2.57</v>
      </c>
      <c r="K47" s="250"/>
      <c r="L47" s="251">
        <f t="shared" si="6"/>
        <v>9.6342701498080974</v>
      </c>
      <c r="M47" s="251">
        <f t="shared" si="0"/>
        <v>2.2052938842600462</v>
      </c>
      <c r="N47" s="252">
        <f t="shared" si="1"/>
        <v>5.6679702998356285E-2</v>
      </c>
      <c r="O47" s="251">
        <f t="shared" si="2"/>
        <v>0.5714285714285714</v>
      </c>
      <c r="P47" s="251">
        <f t="shared" si="3"/>
        <v>0.6201627764127764</v>
      </c>
      <c r="Q47" s="252">
        <f t="shared" si="4"/>
        <v>2.5701655186594015E-2</v>
      </c>
      <c r="R47" s="250"/>
      <c r="S47" s="250" t="s">
        <v>204</v>
      </c>
      <c r="T47" s="31" t="b">
        <f t="shared" si="5"/>
        <v>1</v>
      </c>
    </row>
    <row r="48" spans="1:20" s="31" customFormat="1" x14ac:dyDescent="0.25">
      <c r="A48" s="250" t="s">
        <v>83</v>
      </c>
      <c r="B48" s="250" t="s">
        <v>437</v>
      </c>
      <c r="C48" s="250">
        <v>22.106999999999999</v>
      </c>
      <c r="D48" s="250">
        <v>25.913</v>
      </c>
      <c r="E48" s="250">
        <v>5.7750000000000004</v>
      </c>
      <c r="F48" s="250">
        <v>2.15</v>
      </c>
      <c r="G48" s="250">
        <v>47.529000000000003</v>
      </c>
      <c r="H48" s="250">
        <v>8.1669999999999998</v>
      </c>
      <c r="I48" s="250">
        <v>1.5</v>
      </c>
      <c r="J48" s="250">
        <v>3.1560000000000001</v>
      </c>
      <c r="K48" s="250"/>
      <c r="L48" s="251">
        <f t="shared" si="6"/>
        <v>8.2301298701298702</v>
      </c>
      <c r="M48" s="251">
        <f t="shared" si="0"/>
        <v>1.8341758962682824</v>
      </c>
      <c r="N48" s="252">
        <f t="shared" si="1"/>
        <v>5.7886003164434839E-2</v>
      </c>
      <c r="O48" s="251">
        <f t="shared" si="2"/>
        <v>0.69767441860465118</v>
      </c>
      <c r="P48" s="251">
        <f t="shared" si="3"/>
        <v>0.70711399534712871</v>
      </c>
      <c r="Q48" s="252">
        <f t="shared" si="4"/>
        <v>3.1559679353657763E-2</v>
      </c>
      <c r="R48" s="250"/>
      <c r="S48" s="250" t="s">
        <v>3</v>
      </c>
      <c r="T48" s="31" t="b">
        <f t="shared" si="5"/>
        <v>1</v>
      </c>
    </row>
    <row r="49" spans="1:20" s="31" customFormat="1" x14ac:dyDescent="0.25">
      <c r="A49" s="250" t="s">
        <v>1</v>
      </c>
      <c r="B49" s="250" t="s">
        <v>84</v>
      </c>
      <c r="C49" s="250">
        <v>21.2</v>
      </c>
      <c r="D49" s="250">
        <v>22.763999999999999</v>
      </c>
      <c r="E49" s="250">
        <v>4.9189999999999996</v>
      </c>
      <c r="F49" s="250">
        <v>2.4700000000000002</v>
      </c>
      <c r="G49" s="250">
        <v>52.448999999999998</v>
      </c>
      <c r="H49" s="250"/>
      <c r="I49" s="250">
        <v>1.52</v>
      </c>
      <c r="J49" s="250">
        <v>2.8980000000000001</v>
      </c>
      <c r="K49" s="250"/>
      <c r="L49" s="251">
        <f t="shared" si="6"/>
        <v>10.66253303516975</v>
      </c>
      <c r="M49" s="251">
        <f t="shared" si="0"/>
        <v>2.3040326831839746</v>
      </c>
      <c r="N49" s="252">
        <f t="shared" si="1"/>
        <v>6.6772096292391503E-2</v>
      </c>
      <c r="O49" s="251">
        <f t="shared" si="2"/>
        <v>0.61538461538461531</v>
      </c>
      <c r="P49" s="251" t="str">
        <f t="shared" si="3"/>
        <v/>
      </c>
      <c r="Q49" s="252">
        <f t="shared" si="4"/>
        <v>2.8980533470609547E-2</v>
      </c>
      <c r="R49" s="250"/>
      <c r="S49" s="250" t="s">
        <v>83</v>
      </c>
      <c r="T49" s="31" t="b">
        <f t="shared" si="5"/>
        <v>1</v>
      </c>
    </row>
    <row r="50" spans="1:20" s="31" customFormat="1" x14ac:dyDescent="0.25">
      <c r="A50" s="250" t="s">
        <v>4</v>
      </c>
      <c r="B50" s="250" t="s">
        <v>86</v>
      </c>
      <c r="C50" s="250">
        <v>21.2</v>
      </c>
      <c r="D50" s="250">
        <v>29.315000000000001</v>
      </c>
      <c r="E50" s="250">
        <v>5.1550000000000002</v>
      </c>
      <c r="F50" s="250">
        <v>1.9</v>
      </c>
      <c r="G50" s="250">
        <v>40.232999999999997</v>
      </c>
      <c r="H50" s="250">
        <v>5.8390000000000004</v>
      </c>
      <c r="I50" s="250">
        <v>1.62</v>
      </c>
      <c r="J50" s="250">
        <v>4.0270000000000001</v>
      </c>
      <c r="K50" s="250"/>
      <c r="L50" s="251">
        <f t="shared" si="6"/>
        <v>7.8046556741028121</v>
      </c>
      <c r="M50" s="251">
        <f t="shared" si="0"/>
        <v>1.3724373187787819</v>
      </c>
      <c r="N50" s="252">
        <f t="shared" si="1"/>
        <v>5.5261811359372338E-2</v>
      </c>
      <c r="O50" s="251">
        <f t="shared" si="2"/>
        <v>0.85263157894736852</v>
      </c>
      <c r="P50" s="251">
        <f t="shared" si="3"/>
        <v>0.88285665353656451</v>
      </c>
      <c r="Q50" s="252">
        <f t="shared" si="4"/>
        <v>4.0265453732011042E-2</v>
      </c>
      <c r="R50" s="250"/>
      <c r="S50" s="250" t="s">
        <v>1</v>
      </c>
      <c r="T50" s="31" t="b">
        <f t="shared" si="5"/>
        <v>1</v>
      </c>
    </row>
    <row r="51" spans="1:20" s="31" customFormat="1" x14ac:dyDescent="0.25">
      <c r="A51" s="250" t="s">
        <v>44</v>
      </c>
      <c r="B51" s="250" t="s">
        <v>438</v>
      </c>
      <c r="C51" s="250">
        <v>24.9</v>
      </c>
      <c r="D51" s="250">
        <v>33.191000000000003</v>
      </c>
      <c r="E51" s="250">
        <v>6.8979999999999997</v>
      </c>
      <c r="F51" s="250">
        <v>3.79</v>
      </c>
      <c r="G51" s="250">
        <v>94.317999999999998</v>
      </c>
      <c r="H51" s="250">
        <v>7.0979999999999999</v>
      </c>
      <c r="I51" s="250">
        <v>2.5299999999999998</v>
      </c>
      <c r="J51" s="250">
        <v>2.6819999999999999</v>
      </c>
      <c r="K51" s="250"/>
      <c r="L51" s="251">
        <f t="shared" si="6"/>
        <v>13.673238619889823</v>
      </c>
      <c r="M51" s="251">
        <f t="shared" si="0"/>
        <v>2.8416739477569219</v>
      </c>
      <c r="N51" s="252">
        <f t="shared" si="1"/>
        <v>7.6225482811605544E-2</v>
      </c>
      <c r="O51" s="251">
        <f t="shared" si="2"/>
        <v>0.66754617414248019</v>
      </c>
      <c r="P51" s="251">
        <f t="shared" si="3"/>
        <v>0.97182304874612568</v>
      </c>
      <c r="Q51" s="252">
        <f t="shared" si="4"/>
        <v>2.6824148094743313E-2</v>
      </c>
      <c r="R51" s="250"/>
      <c r="S51" s="250" t="s">
        <v>4</v>
      </c>
      <c r="T51" s="31" t="b">
        <f t="shared" si="5"/>
        <v>1</v>
      </c>
    </row>
    <row r="52" spans="1:20" s="31" customFormat="1" x14ac:dyDescent="0.25">
      <c r="A52" s="250" t="s">
        <v>182</v>
      </c>
      <c r="B52" s="250" t="s">
        <v>421</v>
      </c>
      <c r="C52" s="250">
        <v>24.538</v>
      </c>
      <c r="D52" s="250">
        <v>10.624000000000001</v>
      </c>
      <c r="E52" s="250">
        <v>1.0569999999999999</v>
      </c>
      <c r="F52" s="250">
        <v>0.56000000000000005</v>
      </c>
      <c r="G52" s="250">
        <v>13.741</v>
      </c>
      <c r="H52" s="250">
        <v>0.114</v>
      </c>
      <c r="I52" s="250">
        <v>0.34</v>
      </c>
      <c r="J52" s="250">
        <v>2.4740000000000002</v>
      </c>
      <c r="K52" s="250"/>
      <c r="L52" s="251">
        <f t="shared" si="6"/>
        <v>13</v>
      </c>
      <c r="M52" s="251">
        <f t="shared" si="0"/>
        <v>1.2933923192771084</v>
      </c>
      <c r="N52" s="252">
        <f t="shared" si="1"/>
        <v>3.2003012048192774E-2</v>
      </c>
      <c r="O52" s="251">
        <f t="shared" si="2"/>
        <v>0.6071428571428571</v>
      </c>
      <c r="P52" s="251">
        <f t="shared" si="3"/>
        <v>9.2719298245614024</v>
      </c>
      <c r="Q52" s="252">
        <f t="shared" si="4"/>
        <v>2.4743468452077727E-2</v>
      </c>
      <c r="R52" s="250"/>
      <c r="S52" s="250" t="s">
        <v>44</v>
      </c>
      <c r="T52" s="31" t="b">
        <f t="shared" si="5"/>
        <v>1</v>
      </c>
    </row>
    <row r="53" spans="1:20" s="31" customFormat="1" x14ac:dyDescent="0.25">
      <c r="A53" s="250" t="s">
        <v>173</v>
      </c>
      <c r="B53" s="250" t="s">
        <v>415</v>
      </c>
      <c r="C53" s="250">
        <v>20.207999999999998</v>
      </c>
      <c r="D53" s="250">
        <v>18.106999999999999</v>
      </c>
      <c r="E53" s="250">
        <v>2.988</v>
      </c>
      <c r="F53" s="250">
        <v>1.79</v>
      </c>
      <c r="G53" s="250">
        <v>36.173000000000002</v>
      </c>
      <c r="H53" s="250">
        <v>3.6629999999999998</v>
      </c>
      <c r="I53" s="250">
        <v>1.01</v>
      </c>
      <c r="J53" s="250">
        <v>2.7919999999999998</v>
      </c>
      <c r="K53" s="250"/>
      <c r="L53" s="251">
        <f t="shared" si="6"/>
        <v>12.106091030789827</v>
      </c>
      <c r="M53" s="251">
        <f t="shared" si="0"/>
        <v>1.9977356823327996</v>
      </c>
      <c r="N53" s="252">
        <f t="shared" si="1"/>
        <v>5.5779532777378918E-2</v>
      </c>
      <c r="O53" s="251">
        <f t="shared" si="2"/>
        <v>0.56424581005586594</v>
      </c>
      <c r="P53" s="251">
        <f t="shared" si="3"/>
        <v>0.81572481572481581</v>
      </c>
      <c r="Q53" s="252">
        <f t="shared" si="4"/>
        <v>2.7921377823238325E-2</v>
      </c>
      <c r="R53" s="250"/>
      <c r="S53" s="250" t="s">
        <v>182</v>
      </c>
      <c r="T53" s="31" t="b">
        <f t="shared" si="5"/>
        <v>1</v>
      </c>
    </row>
    <row r="54" spans="1:20" s="31" customFormat="1" x14ac:dyDescent="0.25">
      <c r="A54" s="250" t="s">
        <v>208</v>
      </c>
      <c r="B54" s="250" t="s">
        <v>439</v>
      </c>
      <c r="C54" s="250">
        <v>35.691000000000003</v>
      </c>
      <c r="D54" s="250">
        <v>10.968</v>
      </c>
      <c r="E54" s="250">
        <v>1.897</v>
      </c>
      <c r="F54" s="250">
        <v>1.27</v>
      </c>
      <c r="G54" s="250">
        <v>45.326999999999998</v>
      </c>
      <c r="H54" s="250">
        <v>0.09</v>
      </c>
      <c r="I54" s="250">
        <v>0.73</v>
      </c>
      <c r="J54" s="250">
        <v>1.611</v>
      </c>
      <c r="K54" s="250"/>
      <c r="L54" s="251">
        <f t="shared" si="6"/>
        <v>23.894043226146547</v>
      </c>
      <c r="M54" s="251">
        <f t="shared" si="0"/>
        <v>4.1326586433260388</v>
      </c>
      <c r="N54" s="252">
        <f t="shared" si="1"/>
        <v>6.6557257476294679E-2</v>
      </c>
      <c r="O54" s="251">
        <f t="shared" si="2"/>
        <v>0.57480314960629919</v>
      </c>
      <c r="P54" s="251">
        <f t="shared" si="3"/>
        <v>21.077777777777779</v>
      </c>
      <c r="Q54" s="252">
        <f t="shared" si="4"/>
        <v>1.6105191166412954E-2</v>
      </c>
      <c r="R54" s="250"/>
      <c r="S54" s="250" t="s">
        <v>173</v>
      </c>
      <c r="T54" s="31" t="b">
        <f t="shared" si="5"/>
        <v>1</v>
      </c>
    </row>
    <row r="55" spans="1:20" s="31" customFormat="1" x14ac:dyDescent="0.25">
      <c r="A55" s="250" t="s">
        <v>202</v>
      </c>
      <c r="B55" s="250" t="s">
        <v>435</v>
      </c>
      <c r="C55" s="250">
        <v>8.27</v>
      </c>
      <c r="D55" s="250">
        <v>6.1689999999999996</v>
      </c>
      <c r="E55" s="250">
        <v>2.1829999999999998</v>
      </c>
      <c r="F55" s="250">
        <v>1.07</v>
      </c>
      <c r="G55" s="250">
        <v>8.8490000000000002</v>
      </c>
      <c r="H55" s="250">
        <v>0.34100000000000003</v>
      </c>
      <c r="I55" s="250">
        <v>0.51500000000000001</v>
      </c>
      <c r="J55" s="250">
        <v>5.82</v>
      </c>
      <c r="K55" s="250"/>
      <c r="L55" s="251">
        <f t="shared" si="6"/>
        <v>4.0535959688502068</v>
      </c>
      <c r="M55" s="251">
        <f t="shared" si="0"/>
        <v>1.4344302155940996</v>
      </c>
      <c r="N55" s="252">
        <f t="shared" si="1"/>
        <v>8.3481925757821374E-2</v>
      </c>
      <c r="O55" s="251">
        <f t="shared" si="2"/>
        <v>0.48130841121495327</v>
      </c>
      <c r="P55" s="251">
        <f t="shared" si="3"/>
        <v>6.4017595307917876</v>
      </c>
      <c r="Q55" s="252">
        <f t="shared" si="4"/>
        <v>5.819866651599051E-2</v>
      </c>
      <c r="R55" s="250"/>
      <c r="S55" s="250" t="s">
        <v>208</v>
      </c>
      <c r="T55" s="31" t="b">
        <f t="shared" si="5"/>
        <v>1</v>
      </c>
    </row>
    <row r="56" spans="1:20" s="31" customFormat="1" x14ac:dyDescent="0.25">
      <c r="A56" s="250" t="s">
        <v>6</v>
      </c>
      <c r="B56" s="250" t="s">
        <v>90</v>
      </c>
      <c r="C56" s="250">
        <v>15.9</v>
      </c>
      <c r="D56" s="250">
        <v>10.784000000000001</v>
      </c>
      <c r="E56" s="250">
        <v>3.4569999999999999</v>
      </c>
      <c r="F56" s="250">
        <v>1.29</v>
      </c>
      <c r="G56" s="250">
        <v>20.54</v>
      </c>
      <c r="H56" s="250">
        <v>4.7080000000000002</v>
      </c>
      <c r="I56" s="250">
        <v>0.9</v>
      </c>
      <c r="J56" s="250">
        <v>4.3819999999999997</v>
      </c>
      <c r="K56" s="250"/>
      <c r="L56" s="251">
        <f t="shared" si="6"/>
        <v>5.9415678333815443</v>
      </c>
      <c r="M56" s="251">
        <f t="shared" si="0"/>
        <v>1.9046735905044507</v>
      </c>
      <c r="N56" s="252">
        <f t="shared" si="1"/>
        <v>8.3456973293768541E-2</v>
      </c>
      <c r="O56" s="251">
        <f t="shared" si="2"/>
        <v>0.69767441860465118</v>
      </c>
      <c r="P56" s="251">
        <f t="shared" si="3"/>
        <v>0.73428207306711979</v>
      </c>
      <c r="Q56" s="252">
        <f t="shared" si="4"/>
        <v>4.3816942551119772E-2</v>
      </c>
      <c r="R56" s="250"/>
      <c r="S56" s="250" t="s">
        <v>202</v>
      </c>
      <c r="T56" s="31" t="b">
        <f t="shared" si="5"/>
        <v>1</v>
      </c>
    </row>
    <row r="57" spans="1:20" s="31" customFormat="1" x14ac:dyDescent="0.25">
      <c r="A57" s="250" t="s">
        <v>345</v>
      </c>
      <c r="B57" s="250" t="s">
        <v>429</v>
      </c>
      <c r="C57" s="250">
        <v>21.7</v>
      </c>
      <c r="D57" s="250">
        <v>42.006</v>
      </c>
      <c r="E57" s="250">
        <v>7.36</v>
      </c>
      <c r="F57" s="250">
        <v>3.68</v>
      </c>
      <c r="G57" s="250">
        <v>79.878</v>
      </c>
      <c r="H57" s="250">
        <v>8.8650000000000002</v>
      </c>
      <c r="I57" s="250">
        <v>2.16</v>
      </c>
      <c r="J57" s="250">
        <v>2.7040000000000002</v>
      </c>
      <c r="K57" s="250"/>
      <c r="L57" s="251">
        <f t="shared" si="6"/>
        <v>10.852989130434782</v>
      </c>
      <c r="M57" s="251">
        <f t="shared" si="0"/>
        <v>1.901585487787459</v>
      </c>
      <c r="N57" s="252">
        <f t="shared" si="1"/>
        <v>5.1421225539208686E-2</v>
      </c>
      <c r="O57" s="251">
        <f t="shared" si="2"/>
        <v>0.58695652173913049</v>
      </c>
      <c r="P57" s="251">
        <f t="shared" si="3"/>
        <v>0.83023124647490132</v>
      </c>
      <c r="Q57" s="252">
        <f t="shared" si="4"/>
        <v>2.7041237887778864E-2</v>
      </c>
      <c r="R57" s="250"/>
      <c r="S57" s="250" t="s">
        <v>6</v>
      </c>
      <c r="T57" s="31" t="b">
        <f t="shared" si="5"/>
        <v>1</v>
      </c>
    </row>
    <row r="58" spans="1:20" s="31" customFormat="1" x14ac:dyDescent="0.25">
      <c r="A58" s="250" t="s">
        <v>260</v>
      </c>
      <c r="B58" s="250" t="s">
        <v>417</v>
      </c>
      <c r="C58" s="250">
        <v>23.6</v>
      </c>
      <c r="D58" s="250">
        <v>49.207999999999998</v>
      </c>
      <c r="E58" s="250">
        <v>5.0730000000000004</v>
      </c>
      <c r="F58" s="250">
        <v>1.88</v>
      </c>
      <c r="G58" s="250">
        <v>47.634999999999998</v>
      </c>
      <c r="H58" s="250">
        <v>8.9979999999999993</v>
      </c>
      <c r="I58" s="250">
        <v>1.76</v>
      </c>
      <c r="J58" s="250">
        <v>3.6949999999999998</v>
      </c>
      <c r="K58" s="250"/>
      <c r="L58" s="251">
        <f t="shared" si="6"/>
        <v>9.3899073526512904</v>
      </c>
      <c r="M58" s="251">
        <f t="shared" si="0"/>
        <v>0.96803365306454237</v>
      </c>
      <c r="N58" s="252">
        <f t="shared" si="1"/>
        <v>3.5766542025686882E-2</v>
      </c>
      <c r="O58" s="251">
        <f t="shared" si="2"/>
        <v>0.93617021276595747</v>
      </c>
      <c r="P58" s="251">
        <f t="shared" si="3"/>
        <v>0.56379195376750402</v>
      </c>
      <c r="Q58" s="252">
        <f t="shared" si="4"/>
        <v>3.6947622546446943E-2</v>
      </c>
      <c r="R58" s="250"/>
      <c r="S58" s="250" t="s">
        <v>345</v>
      </c>
      <c r="T58" s="31" t="b">
        <f t="shared" si="5"/>
        <v>1</v>
      </c>
    </row>
    <row r="59" spans="1:20" s="31" customFormat="1" x14ac:dyDescent="0.25">
      <c r="A59" s="250" t="s">
        <v>447</v>
      </c>
      <c r="B59" s="250" t="s">
        <v>475</v>
      </c>
      <c r="C59" s="250">
        <v>21.7</v>
      </c>
      <c r="D59" s="250">
        <v>38.500999999999998</v>
      </c>
      <c r="E59" s="250">
        <v>7.0629999999999997</v>
      </c>
      <c r="F59" s="250">
        <v>2.72</v>
      </c>
      <c r="G59" s="250">
        <v>59.057000000000002</v>
      </c>
      <c r="H59" s="250">
        <v>6.8789999999999996</v>
      </c>
      <c r="I59" s="250">
        <v>2.0499999999999998</v>
      </c>
      <c r="J59" s="250">
        <v>3.4710000000000001</v>
      </c>
      <c r="K59" s="250"/>
      <c r="L59" s="251">
        <f t="shared" si="6"/>
        <v>8.3614611354948334</v>
      </c>
      <c r="M59" s="251">
        <f t="shared" si="0"/>
        <v>1.5339082101763593</v>
      </c>
      <c r="N59" s="252">
        <f t="shared" si="1"/>
        <v>5.3245370250123374E-2</v>
      </c>
      <c r="O59" s="251">
        <f t="shared" si="2"/>
        <v>0.75367647058823517</v>
      </c>
      <c r="P59" s="251">
        <f t="shared" si="3"/>
        <v>1.0267480738479431</v>
      </c>
      <c r="Q59" s="252">
        <f t="shared" si="4"/>
        <v>3.4712227170360835E-2</v>
      </c>
      <c r="R59" s="250"/>
      <c r="S59" s="250" t="s">
        <v>260</v>
      </c>
      <c r="T59" s="31" t="b">
        <f t="shared" si="5"/>
        <v>1</v>
      </c>
    </row>
    <row r="60" spans="1:20" s="31" customFormat="1" x14ac:dyDescent="0.25">
      <c r="A60" s="250" t="s">
        <v>0</v>
      </c>
      <c r="B60" s="250" t="s">
        <v>91</v>
      </c>
      <c r="C60" s="250">
        <v>18.3</v>
      </c>
      <c r="D60" s="250">
        <v>44.042000000000002</v>
      </c>
      <c r="E60" s="250">
        <v>7.524</v>
      </c>
      <c r="F60" s="250">
        <v>3.35</v>
      </c>
      <c r="G60" s="250">
        <v>61.250999999999998</v>
      </c>
      <c r="H60" s="250">
        <v>13.776999999999999</v>
      </c>
      <c r="I60" s="250">
        <v>2.4700000000000002</v>
      </c>
      <c r="J60" s="250">
        <v>4.0330000000000004</v>
      </c>
      <c r="K60" s="250"/>
      <c r="L60" s="251">
        <f t="shared" si="6"/>
        <v>8.1407496012759175</v>
      </c>
      <c r="M60" s="251">
        <f t="shared" si="0"/>
        <v>1.3907406566459288</v>
      </c>
      <c r="N60" s="252">
        <f t="shared" si="1"/>
        <v>5.6082830025884385E-2</v>
      </c>
      <c r="O60" s="251">
        <f t="shared" si="2"/>
        <v>0.73731343283582096</v>
      </c>
      <c r="P60" s="251">
        <f t="shared" si="3"/>
        <v>0.54612760397764393</v>
      </c>
      <c r="Q60" s="252">
        <f t="shared" si="4"/>
        <v>4.0325872230657464E-2</v>
      </c>
      <c r="R60" s="250"/>
      <c r="S60" s="250" t="s">
        <v>447</v>
      </c>
      <c r="T60" s="31" t="b">
        <f t="shared" si="5"/>
        <v>1</v>
      </c>
    </row>
    <row r="61" spans="1:20" s="31" customFormat="1" x14ac:dyDescent="0.25">
      <c r="A61" s="250" t="s">
        <v>33</v>
      </c>
      <c r="B61" s="250" t="s">
        <v>92</v>
      </c>
      <c r="C61" s="250">
        <v>16.600000000000001</v>
      </c>
      <c r="D61" s="250">
        <v>29.183</v>
      </c>
      <c r="E61" s="250">
        <v>6.8019999999999996</v>
      </c>
      <c r="F61" s="250">
        <v>1.72</v>
      </c>
      <c r="G61" s="250">
        <v>45.704999999999998</v>
      </c>
      <c r="H61" s="250">
        <v>8.7560000000000002</v>
      </c>
      <c r="I61" s="250">
        <v>1.585</v>
      </c>
      <c r="J61" s="250">
        <v>3.468</v>
      </c>
      <c r="K61" s="250"/>
      <c r="L61" s="251">
        <f t="shared" si="6"/>
        <v>6.7193472508085854</v>
      </c>
      <c r="M61" s="251">
        <f t="shared" si="0"/>
        <v>1.5661515265736901</v>
      </c>
      <c r="N61" s="252">
        <f t="shared" si="1"/>
        <v>5.4312442175239006E-2</v>
      </c>
      <c r="O61" s="251">
        <f t="shared" si="2"/>
        <v>0.92151162790697672</v>
      </c>
      <c r="P61" s="251">
        <f t="shared" si="3"/>
        <v>0.77683873915029689</v>
      </c>
      <c r="Q61" s="252">
        <f t="shared" si="4"/>
        <v>3.4678919155453451E-2</v>
      </c>
      <c r="R61" s="250"/>
      <c r="S61" s="250" t="s">
        <v>0</v>
      </c>
      <c r="T61" s="31" t="b">
        <f t="shared" si="5"/>
        <v>1</v>
      </c>
    </row>
    <row r="62" spans="1:20" s="31" customFormat="1" x14ac:dyDescent="0.25">
      <c r="A62" s="250" t="s">
        <v>13</v>
      </c>
      <c r="B62" s="250" t="s">
        <v>93</v>
      </c>
      <c r="C62" s="250">
        <v>17.100000000000001</v>
      </c>
      <c r="D62" s="250">
        <v>59.820999999999998</v>
      </c>
      <c r="E62" s="250">
        <v>10.891</v>
      </c>
      <c r="F62" s="250">
        <v>3.92</v>
      </c>
      <c r="G62" s="250">
        <v>87.793999999999997</v>
      </c>
      <c r="H62" s="250">
        <v>12.882999999999999</v>
      </c>
      <c r="I62" s="250">
        <v>3.82</v>
      </c>
      <c r="J62" s="250">
        <v>4.351</v>
      </c>
      <c r="K62" s="250"/>
      <c r="L62" s="251">
        <f t="shared" si="6"/>
        <v>8.0611514094206225</v>
      </c>
      <c r="M62" s="251">
        <f t="shared" si="0"/>
        <v>1.4676117082629845</v>
      </c>
      <c r="N62" s="252">
        <f t="shared" si="1"/>
        <v>6.3857173902141393E-2</v>
      </c>
      <c r="O62" s="251">
        <f t="shared" si="2"/>
        <v>0.97448979591836737</v>
      </c>
      <c r="P62" s="251">
        <f t="shared" si="3"/>
        <v>0.84537762943413808</v>
      </c>
      <c r="Q62" s="252">
        <f t="shared" si="4"/>
        <v>4.35109460783197E-2</v>
      </c>
      <c r="R62" s="250"/>
      <c r="S62" s="250" t="s">
        <v>33</v>
      </c>
      <c r="T62" s="31" t="b">
        <f t="shared" si="5"/>
        <v>1</v>
      </c>
    </row>
    <row r="63" spans="1:20" s="31" customFormat="1" x14ac:dyDescent="0.25">
      <c r="A63" s="250" t="s">
        <v>144</v>
      </c>
      <c r="B63" s="250" t="s">
        <v>428</v>
      </c>
      <c r="C63" s="250">
        <v>18.600000000000001</v>
      </c>
      <c r="D63" s="250">
        <v>41.098999999999997</v>
      </c>
      <c r="E63" s="250">
        <v>6.7169999999999996</v>
      </c>
      <c r="F63" s="250">
        <v>3.06</v>
      </c>
      <c r="G63" s="250">
        <v>59.645000000000003</v>
      </c>
      <c r="H63" s="250">
        <v>8.0210000000000008</v>
      </c>
      <c r="I63" s="250">
        <v>2.4</v>
      </c>
      <c r="J63" s="250">
        <v>4.024</v>
      </c>
      <c r="K63" s="250"/>
      <c r="L63" s="251">
        <f t="shared" si="6"/>
        <v>8.8797082030668459</v>
      </c>
      <c r="M63" s="251">
        <f t="shared" si="0"/>
        <v>1.4512518552762843</v>
      </c>
      <c r="N63" s="252">
        <f t="shared" si="1"/>
        <v>5.8395581401007327E-2</v>
      </c>
      <c r="O63" s="251">
        <f t="shared" si="2"/>
        <v>0.78431372549019607</v>
      </c>
      <c r="P63" s="251">
        <f t="shared" si="3"/>
        <v>0.83742675476873196</v>
      </c>
      <c r="Q63" s="252">
        <f t="shared" si="4"/>
        <v>4.0238075278732494E-2</v>
      </c>
      <c r="R63" s="250"/>
      <c r="S63" s="250" t="s">
        <v>13</v>
      </c>
      <c r="T63" s="31" t="b">
        <f t="shared" si="5"/>
        <v>1</v>
      </c>
    </row>
    <row r="64" spans="1:20" s="31" customFormat="1" x14ac:dyDescent="0.25">
      <c r="A64" s="250" t="s">
        <v>167</v>
      </c>
      <c r="B64" s="250" t="s">
        <v>412</v>
      </c>
      <c r="C64" s="250">
        <v>35.299999999999997</v>
      </c>
      <c r="D64" s="250">
        <v>35.576999999999998</v>
      </c>
      <c r="E64" s="250">
        <v>7.24</v>
      </c>
      <c r="F64" s="250">
        <v>3.91</v>
      </c>
      <c r="G64" s="250">
        <v>137.84299999999999</v>
      </c>
      <c r="H64" s="250">
        <v>10.050000000000001</v>
      </c>
      <c r="I64" s="250">
        <v>2.15</v>
      </c>
      <c r="J64" s="250">
        <v>1.56</v>
      </c>
      <c r="K64" s="250"/>
      <c r="L64" s="251">
        <f t="shared" si="6"/>
        <v>19.039088397790053</v>
      </c>
      <c r="M64" s="251">
        <f t="shared" si="0"/>
        <v>3.8744975686539056</v>
      </c>
      <c r="N64" s="252">
        <f t="shared" si="1"/>
        <v>6.0432301767996181E-2</v>
      </c>
      <c r="O64" s="251">
        <f t="shared" si="2"/>
        <v>0.54987212276214825</v>
      </c>
      <c r="P64" s="251">
        <f t="shared" si="3"/>
        <v>0.72039800995024872</v>
      </c>
      <c r="Q64" s="252">
        <f t="shared" si="4"/>
        <v>1.5597455075702068E-2</v>
      </c>
      <c r="R64" s="250"/>
      <c r="S64" s="250" t="s">
        <v>144</v>
      </c>
      <c r="T64" s="31" t="b">
        <f t="shared" si="5"/>
        <v>1</v>
      </c>
    </row>
    <row r="65" spans="1:20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75" t="str">
        <f t="shared" si="6"/>
        <v/>
      </c>
      <c r="M65" s="75" t="str">
        <f t="shared" si="0"/>
        <v/>
      </c>
      <c r="N65" s="86" t="str">
        <f t="shared" si="1"/>
        <v/>
      </c>
      <c r="O65" s="75" t="str">
        <f t="shared" si="2"/>
        <v/>
      </c>
      <c r="P65" s="75" t="str">
        <f t="shared" si="3"/>
        <v/>
      </c>
      <c r="Q65" s="86" t="str">
        <f t="shared" si="4"/>
        <v/>
      </c>
      <c r="R65" s="59"/>
      <c r="S65" s="59" t="s">
        <v>167</v>
      </c>
      <c r="T65" t="b">
        <f t="shared" si="5"/>
        <v>1</v>
      </c>
    </row>
    <row r="66" spans="1:20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75" t="str">
        <f t="shared" si="6"/>
        <v/>
      </c>
      <c r="M66" s="75" t="str">
        <f t="shared" si="0"/>
        <v/>
      </c>
      <c r="N66" s="86" t="str">
        <f t="shared" si="1"/>
        <v/>
      </c>
      <c r="O66" s="75" t="str">
        <f t="shared" si="2"/>
        <v/>
      </c>
      <c r="P66" s="75" t="str">
        <f t="shared" si="3"/>
        <v/>
      </c>
      <c r="Q66" s="86" t="str">
        <f t="shared" si="4"/>
        <v/>
      </c>
      <c r="R66" s="59"/>
      <c r="S66" s="59"/>
    </row>
    <row r="67" spans="1:20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75" t="str">
        <f>IFERROR(G67/E67,"")</f>
        <v/>
      </c>
      <c r="M67" s="75" t="str">
        <f>IFERROR(G67/D67,"")</f>
        <v/>
      </c>
      <c r="N67" s="86" t="str">
        <f>IFERROR(I67/D67,"")</f>
        <v/>
      </c>
      <c r="O67" s="75" t="str">
        <f>IFERROR(I67/F67,"")</f>
        <v/>
      </c>
      <c r="P67" s="75" t="str">
        <f>IFERROR(E67/H67,"")</f>
        <v/>
      </c>
      <c r="Q67" s="86" t="str">
        <f>IFERROR(I67/G67,"")</f>
        <v/>
      </c>
      <c r="R67" s="59"/>
      <c r="S67" s="59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T67"/>
  <sheetViews>
    <sheetView workbookViewId="0">
      <selection activeCell="A6" sqref="A6:XFD64"/>
    </sheetView>
  </sheetViews>
  <sheetFormatPr defaultRowHeight="13.8" x14ac:dyDescent="0.25"/>
  <sheetData>
    <row r="1" spans="1:20" x14ac:dyDescent="0.25">
      <c r="A1" s="70">
        <v>44365</v>
      </c>
      <c r="B1" s="59" t="s">
        <v>316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</row>
    <row r="2" spans="1:20" ht="31.2" x14ac:dyDescent="0.25">
      <c r="A2" s="81">
        <f>COUNTA(A5:A296)</f>
        <v>60</v>
      </c>
      <c r="B2" s="59"/>
      <c r="C2" s="71" t="s">
        <v>331</v>
      </c>
      <c r="D2" s="71" t="s">
        <v>333</v>
      </c>
      <c r="E2" s="71" t="s">
        <v>335</v>
      </c>
      <c r="F2" s="71" t="s">
        <v>337</v>
      </c>
      <c r="G2" s="71" t="s">
        <v>332</v>
      </c>
      <c r="H2" s="71" t="s">
        <v>334</v>
      </c>
      <c r="I2" s="71" t="s">
        <v>336</v>
      </c>
      <c r="J2" s="71" t="s">
        <v>338</v>
      </c>
      <c r="K2" s="58"/>
      <c r="L2" s="58"/>
      <c r="M2" s="58"/>
      <c r="N2" s="58"/>
      <c r="O2" s="58"/>
      <c r="P2" s="58"/>
      <c r="Q2" s="59"/>
      <c r="R2" s="59"/>
      <c r="S2" s="59"/>
    </row>
    <row r="3" spans="1:20" x14ac:dyDescent="0.25">
      <c r="A3" s="81">
        <v>1</v>
      </c>
      <c r="B3" s="59">
        <v>2</v>
      </c>
      <c r="C3" s="71">
        <v>3</v>
      </c>
      <c r="D3" s="81">
        <v>4</v>
      </c>
      <c r="E3" s="59">
        <v>5</v>
      </c>
      <c r="F3" s="71">
        <v>6</v>
      </c>
      <c r="G3" s="81">
        <v>7</v>
      </c>
      <c r="H3" s="59">
        <v>8</v>
      </c>
      <c r="I3" s="71">
        <v>9</v>
      </c>
      <c r="J3" s="81">
        <v>10</v>
      </c>
      <c r="K3" s="59">
        <v>11</v>
      </c>
      <c r="L3" s="71">
        <v>12</v>
      </c>
      <c r="M3" s="81">
        <v>13</v>
      </c>
      <c r="N3" s="59">
        <v>14</v>
      </c>
      <c r="O3" s="71">
        <v>15</v>
      </c>
      <c r="P3" s="81">
        <v>16</v>
      </c>
      <c r="Q3" s="59">
        <v>17</v>
      </c>
      <c r="R3" s="59"/>
      <c r="S3" s="59"/>
    </row>
    <row r="4" spans="1:20" ht="21" x14ac:dyDescent="0.25">
      <c r="A4" s="78" t="s">
        <v>118</v>
      </c>
      <c r="B4" s="78" t="s">
        <v>117</v>
      </c>
      <c r="C4" s="78" t="s">
        <v>307</v>
      </c>
      <c r="D4" s="78" t="s">
        <v>308</v>
      </c>
      <c r="E4" s="78" t="s">
        <v>309</v>
      </c>
      <c r="F4" s="78" t="s">
        <v>310</v>
      </c>
      <c r="G4" s="78" t="s">
        <v>311</v>
      </c>
      <c r="H4" s="78" t="s">
        <v>312</v>
      </c>
      <c r="I4" s="78" t="s">
        <v>313</v>
      </c>
      <c r="J4" s="78" t="s">
        <v>330</v>
      </c>
      <c r="K4" s="59"/>
      <c r="L4" s="85" t="s">
        <v>114</v>
      </c>
      <c r="M4" s="85" t="s">
        <v>245</v>
      </c>
      <c r="N4" s="85" t="s">
        <v>350</v>
      </c>
      <c r="O4" s="85" t="s">
        <v>324</v>
      </c>
      <c r="P4" s="85" t="s">
        <v>325</v>
      </c>
      <c r="Q4" s="85" t="s">
        <v>361</v>
      </c>
      <c r="R4" s="59"/>
      <c r="S4" s="59"/>
    </row>
    <row r="5" spans="1:20" x14ac:dyDescent="0.25">
      <c r="A5" s="59" t="s">
        <v>163</v>
      </c>
      <c r="B5" s="59" t="s">
        <v>409</v>
      </c>
      <c r="C5" s="59">
        <v>17.981999999999999</v>
      </c>
      <c r="D5" s="59">
        <v>35.798000000000002</v>
      </c>
      <c r="E5" s="59">
        <v>5.8659999999999997</v>
      </c>
      <c r="F5" s="59">
        <v>1.94</v>
      </c>
      <c r="G5" s="59">
        <v>34.884999999999998</v>
      </c>
      <c r="H5" s="59">
        <v>8.4380000000000006</v>
      </c>
      <c r="I5" s="59">
        <v>0.94</v>
      </c>
      <c r="J5" s="59">
        <v>2.6949999999999998</v>
      </c>
      <c r="K5" s="59"/>
      <c r="L5" s="59"/>
      <c r="M5" s="59"/>
      <c r="N5" s="59"/>
      <c r="O5" s="59"/>
      <c r="P5" s="59"/>
      <c r="Q5" s="59"/>
      <c r="R5" s="59"/>
      <c r="S5" s="59"/>
    </row>
    <row r="6" spans="1:20" s="31" customFormat="1" x14ac:dyDescent="0.25">
      <c r="A6" s="250" t="s">
        <v>2</v>
      </c>
      <c r="B6" s="250" t="s">
        <v>410</v>
      </c>
      <c r="C6" s="250">
        <v>21.4</v>
      </c>
      <c r="D6" s="250">
        <v>39.728000000000002</v>
      </c>
      <c r="E6" s="250">
        <v>9.3539999999999992</v>
      </c>
      <c r="F6" s="250">
        <v>4.08</v>
      </c>
      <c r="G6" s="250">
        <v>87.352000000000004</v>
      </c>
      <c r="H6" s="250">
        <v>12.432</v>
      </c>
      <c r="I6" s="250">
        <v>2.71</v>
      </c>
      <c r="J6" s="250">
        <v>3.1019999999999999</v>
      </c>
      <c r="K6" s="250"/>
      <c r="L6" s="251">
        <f>IFERROR(G6/E6,"")</f>
        <v>9.338464827881122</v>
      </c>
      <c r="M6" s="251">
        <f>IFERROR(G6/D6,"")</f>
        <v>2.198751510269835</v>
      </c>
      <c r="N6" s="252">
        <f>IFERROR(I6/D6,"")</f>
        <v>6.8213854208618599E-2</v>
      </c>
      <c r="O6" s="251">
        <f>IFERROR(I6/F6,"")</f>
        <v>0.66421568627450978</v>
      </c>
      <c r="P6" s="251">
        <f>IFERROR(E6/H6,"")</f>
        <v>0.75241312741312738</v>
      </c>
      <c r="Q6" s="252">
        <f>IFERROR(I6/G6,"")</f>
        <v>3.102390328784687E-2</v>
      </c>
      <c r="R6" s="250"/>
      <c r="S6" s="250" t="s">
        <v>163</v>
      </c>
      <c r="T6" s="31" t="b">
        <f>A5=S6</f>
        <v>1</v>
      </c>
    </row>
    <row r="7" spans="1:20" s="31" customFormat="1" x14ac:dyDescent="0.25">
      <c r="A7" s="250" t="s">
        <v>175</v>
      </c>
      <c r="B7" s="250" t="s">
        <v>416</v>
      </c>
      <c r="C7" s="250">
        <v>23.2</v>
      </c>
      <c r="D7" s="250">
        <v>48.183999999999997</v>
      </c>
      <c r="E7" s="250">
        <v>7.5659999999999998</v>
      </c>
      <c r="F7" s="250">
        <v>4.3499999999999996</v>
      </c>
      <c r="G7" s="250">
        <v>100.98399999999999</v>
      </c>
      <c r="H7" s="250">
        <v>14.19</v>
      </c>
      <c r="I7" s="250">
        <v>2.1</v>
      </c>
      <c r="J7" s="250">
        <v>2.08</v>
      </c>
      <c r="K7" s="250"/>
      <c r="L7" s="251">
        <f>IFERROR(G7/E7,"")</f>
        <v>13.347079037800686</v>
      </c>
      <c r="M7" s="251">
        <f t="shared" ref="M7:M66" si="0">IFERROR(G7/D7,"")</f>
        <v>2.0957994354972604</v>
      </c>
      <c r="N7" s="252">
        <f t="shared" ref="N7:N66" si="1">IFERROR(I7/D7,"")</f>
        <v>4.3582932093641044E-2</v>
      </c>
      <c r="O7" s="251">
        <f t="shared" ref="O7:O66" si="2">IFERROR(I7/F7,"")</f>
        <v>0.48275862068965525</v>
      </c>
      <c r="P7" s="251">
        <f t="shared" ref="P7:P66" si="3">IFERROR(E7/H7,"")</f>
        <v>0.53319238900634247</v>
      </c>
      <c r="Q7" s="252">
        <f t="shared" ref="Q7:Q66" si="4">IFERROR(I7/G7,"")</f>
        <v>2.0795373524518736E-2</v>
      </c>
      <c r="R7" s="250"/>
      <c r="S7" s="250" t="s">
        <v>2</v>
      </c>
      <c r="T7" s="31" t="b">
        <f t="shared" ref="T7:T65" si="5">A6=S7</f>
        <v>1</v>
      </c>
    </row>
    <row r="8" spans="1:20" s="31" customFormat="1" x14ac:dyDescent="0.25">
      <c r="A8" s="250" t="s">
        <v>5</v>
      </c>
      <c r="B8" s="250" t="s">
        <v>46</v>
      </c>
      <c r="C8" s="250">
        <v>21.2</v>
      </c>
      <c r="D8" s="250">
        <v>38.423000000000002</v>
      </c>
      <c r="E8" s="250">
        <v>7.0179999999999998</v>
      </c>
      <c r="F8" s="250">
        <v>3.53</v>
      </c>
      <c r="G8" s="250">
        <v>74.760000000000005</v>
      </c>
      <c r="H8" s="250">
        <v>13.311999999999999</v>
      </c>
      <c r="I8" s="250">
        <v>2.0499999999999998</v>
      </c>
      <c r="J8" s="250">
        <v>2.742</v>
      </c>
      <c r="K8" s="250"/>
      <c r="L8" s="251">
        <f>IFERROR(G8/E8,"")</f>
        <v>10.652607580507269</v>
      </c>
      <c r="M8" s="251">
        <f t="shared" si="0"/>
        <v>1.9457096010202224</v>
      </c>
      <c r="N8" s="252">
        <f t="shared" si="1"/>
        <v>5.3353460167087412E-2</v>
      </c>
      <c r="O8" s="251">
        <f t="shared" si="2"/>
        <v>0.58073654390934837</v>
      </c>
      <c r="P8" s="251">
        <f t="shared" si="3"/>
        <v>0.52719350961538458</v>
      </c>
      <c r="Q8" s="252">
        <f t="shared" si="4"/>
        <v>2.7421080791867305E-2</v>
      </c>
      <c r="R8" s="250"/>
      <c r="S8" s="250" t="s">
        <v>175</v>
      </c>
      <c r="T8" s="31" t="b">
        <f t="shared" si="5"/>
        <v>1</v>
      </c>
    </row>
    <row r="9" spans="1:20" s="31" customFormat="1" x14ac:dyDescent="0.25">
      <c r="A9" s="250" t="s">
        <v>9</v>
      </c>
      <c r="B9" s="250" t="s">
        <v>47</v>
      </c>
      <c r="C9" s="250">
        <v>24.3</v>
      </c>
      <c r="D9" s="250">
        <v>17.677</v>
      </c>
      <c r="E9" s="250">
        <v>5.89</v>
      </c>
      <c r="F9" s="250">
        <v>2.39</v>
      </c>
      <c r="G9" s="250">
        <v>58.030999999999999</v>
      </c>
      <c r="H9" s="250">
        <v>7.4119999999999999</v>
      </c>
      <c r="I9" s="250">
        <v>1.53</v>
      </c>
      <c r="J9" s="250">
        <v>2.637</v>
      </c>
      <c r="K9" s="250"/>
      <c r="L9" s="251">
        <f t="shared" ref="L9:L66" si="6">IFERROR(G9/E9,"")</f>
        <v>9.8524617996604409</v>
      </c>
      <c r="M9" s="251">
        <f t="shared" si="0"/>
        <v>3.2828534253549813</v>
      </c>
      <c r="N9" s="252">
        <f t="shared" si="1"/>
        <v>8.6553148158624207E-2</v>
      </c>
      <c r="O9" s="251">
        <f t="shared" si="2"/>
        <v>0.64016736401673635</v>
      </c>
      <c r="P9" s="251">
        <f t="shared" si="3"/>
        <v>0.79465731246627092</v>
      </c>
      <c r="Q9" s="252">
        <f t="shared" si="4"/>
        <v>2.6365218590063931E-2</v>
      </c>
      <c r="R9" s="250"/>
      <c r="S9" s="250" t="s">
        <v>5</v>
      </c>
      <c r="T9" s="31" t="b">
        <f t="shared" si="5"/>
        <v>1</v>
      </c>
    </row>
    <row r="10" spans="1:20" s="31" customFormat="1" x14ac:dyDescent="0.25">
      <c r="A10" s="250" t="s">
        <v>177</v>
      </c>
      <c r="B10" s="250" t="s">
        <v>418</v>
      </c>
      <c r="C10" s="250">
        <v>39.299999999999997</v>
      </c>
      <c r="D10" s="250">
        <v>16.07</v>
      </c>
      <c r="E10" s="250">
        <v>3.1389999999999998</v>
      </c>
      <c r="F10" s="250">
        <v>1.31</v>
      </c>
      <c r="G10" s="250">
        <v>51.51</v>
      </c>
      <c r="H10" s="250">
        <v>5.641</v>
      </c>
      <c r="I10" s="250">
        <v>0.79</v>
      </c>
      <c r="J10" s="250">
        <v>1.534</v>
      </c>
      <c r="K10" s="250"/>
      <c r="L10" s="251">
        <f t="shared" si="6"/>
        <v>16.409684612934058</v>
      </c>
      <c r="M10" s="251">
        <f t="shared" si="0"/>
        <v>3.205351586807716</v>
      </c>
      <c r="N10" s="252">
        <f t="shared" si="1"/>
        <v>4.9159925326695705E-2</v>
      </c>
      <c r="O10" s="251">
        <f t="shared" si="2"/>
        <v>0.60305343511450382</v>
      </c>
      <c r="P10" s="251">
        <f t="shared" si="3"/>
        <v>0.55646162028009216</v>
      </c>
      <c r="Q10" s="252">
        <f t="shared" si="4"/>
        <v>1.5336827800427102E-2</v>
      </c>
      <c r="R10" s="250"/>
      <c r="S10" s="250" t="s">
        <v>9</v>
      </c>
      <c r="T10" s="31" t="b">
        <f t="shared" si="5"/>
        <v>1</v>
      </c>
    </row>
    <row r="11" spans="1:20" s="31" customFormat="1" x14ac:dyDescent="0.25">
      <c r="A11" s="250" t="s">
        <v>178</v>
      </c>
      <c r="B11" s="250" t="s">
        <v>419</v>
      </c>
      <c r="C11" s="250">
        <v>24.7</v>
      </c>
      <c r="D11" s="250">
        <v>34.234999999999999</v>
      </c>
      <c r="E11" s="250">
        <v>6.4960000000000004</v>
      </c>
      <c r="F11" s="250">
        <v>3.72</v>
      </c>
      <c r="G11" s="250">
        <v>92.043000000000006</v>
      </c>
      <c r="H11" s="250">
        <v>11.260999999999999</v>
      </c>
      <c r="I11" s="250">
        <v>1.55</v>
      </c>
      <c r="J11" s="250">
        <v>1.6839999999999999</v>
      </c>
      <c r="K11" s="250"/>
      <c r="L11" s="251">
        <f t="shared" si="6"/>
        <v>14.169181034482758</v>
      </c>
      <c r="M11" s="251">
        <f t="shared" si="0"/>
        <v>2.688564334745144</v>
      </c>
      <c r="N11" s="252">
        <f t="shared" si="1"/>
        <v>4.5275303052431722E-2</v>
      </c>
      <c r="O11" s="251">
        <f t="shared" si="2"/>
        <v>0.41666666666666663</v>
      </c>
      <c r="P11" s="251">
        <f t="shared" si="3"/>
        <v>0.57685818310984827</v>
      </c>
      <c r="Q11" s="252">
        <f t="shared" si="4"/>
        <v>1.6839955238312526E-2</v>
      </c>
      <c r="R11" s="250"/>
      <c r="S11" s="250" t="s">
        <v>177</v>
      </c>
      <c r="T11" s="31" t="b">
        <f t="shared" si="5"/>
        <v>1</v>
      </c>
    </row>
    <row r="12" spans="1:20" s="31" customFormat="1" x14ac:dyDescent="0.25">
      <c r="A12" s="250" t="s">
        <v>10</v>
      </c>
      <c r="B12" s="250" t="s">
        <v>50</v>
      </c>
      <c r="C12" s="250">
        <v>19.7</v>
      </c>
      <c r="D12" s="250">
        <v>54.18</v>
      </c>
      <c r="E12" s="250">
        <v>9.1</v>
      </c>
      <c r="F12" s="250">
        <v>4.08</v>
      </c>
      <c r="G12" s="250">
        <v>86.102999999999994</v>
      </c>
      <c r="H12" s="250">
        <v>10.48</v>
      </c>
      <c r="I12" s="250">
        <v>2.96</v>
      </c>
      <c r="J12" s="250">
        <v>3.4380000000000002</v>
      </c>
      <c r="K12" s="250"/>
      <c r="L12" s="251">
        <f t="shared" si="6"/>
        <v>9.4618681318681315</v>
      </c>
      <c r="M12" s="251">
        <f t="shared" si="0"/>
        <v>1.5892026578073088</v>
      </c>
      <c r="N12" s="252">
        <f t="shared" si="1"/>
        <v>5.4632705795496492E-2</v>
      </c>
      <c r="O12" s="251">
        <f t="shared" si="2"/>
        <v>0.72549019607843135</v>
      </c>
      <c r="P12" s="251">
        <f t="shared" si="3"/>
        <v>0.86832061068702282</v>
      </c>
      <c r="Q12" s="252">
        <f t="shared" si="4"/>
        <v>3.4377431680661534E-2</v>
      </c>
      <c r="R12" s="250"/>
      <c r="S12" s="250" t="s">
        <v>178</v>
      </c>
      <c r="T12" s="31" t="b">
        <f t="shared" si="5"/>
        <v>1</v>
      </c>
    </row>
    <row r="13" spans="1:20" s="31" customFormat="1" x14ac:dyDescent="0.25">
      <c r="A13" s="250" t="s">
        <v>12</v>
      </c>
      <c r="B13" s="250" t="s">
        <v>51</v>
      </c>
      <c r="C13" s="250">
        <v>19.899999999999999</v>
      </c>
      <c r="D13" s="250">
        <v>60.725999999999999</v>
      </c>
      <c r="E13" s="250">
        <v>12.965</v>
      </c>
      <c r="F13" s="250">
        <v>6.31</v>
      </c>
      <c r="G13" s="250">
        <v>125.411</v>
      </c>
      <c r="H13" s="250">
        <v>15.592000000000001</v>
      </c>
      <c r="I13" s="250">
        <v>3.85</v>
      </c>
      <c r="J13" s="250">
        <v>3.07</v>
      </c>
      <c r="K13" s="250"/>
      <c r="L13" s="251">
        <f t="shared" si="6"/>
        <v>9.6730428075588115</v>
      </c>
      <c r="M13" s="251">
        <f t="shared" si="0"/>
        <v>2.0651944801238349</v>
      </c>
      <c r="N13" s="252">
        <f t="shared" si="1"/>
        <v>6.339953232552778E-2</v>
      </c>
      <c r="O13" s="251">
        <f t="shared" si="2"/>
        <v>0.61014263074484953</v>
      </c>
      <c r="P13" s="251">
        <f t="shared" si="3"/>
        <v>0.83151616213442792</v>
      </c>
      <c r="Q13" s="252">
        <f t="shared" si="4"/>
        <v>3.0699061485834577E-2</v>
      </c>
      <c r="R13" s="250"/>
      <c r="S13" s="250" t="s">
        <v>10</v>
      </c>
      <c r="T13" s="31" t="b">
        <f t="shared" si="5"/>
        <v>1</v>
      </c>
    </row>
    <row r="14" spans="1:20" s="31" customFormat="1" x14ac:dyDescent="0.25">
      <c r="A14" s="250" t="s">
        <v>11</v>
      </c>
      <c r="B14" s="250" t="s">
        <v>422</v>
      </c>
      <c r="C14" s="250">
        <v>18.2</v>
      </c>
      <c r="D14" s="250">
        <v>35.331000000000003</v>
      </c>
      <c r="E14" s="250">
        <v>5.726</v>
      </c>
      <c r="F14" s="250">
        <v>2.19</v>
      </c>
      <c r="G14" s="250">
        <v>77.106999999999999</v>
      </c>
      <c r="H14" s="250">
        <v>5.9429999999999996</v>
      </c>
      <c r="I14" s="250">
        <v>3.67</v>
      </c>
      <c r="J14" s="250">
        <v>4.76</v>
      </c>
      <c r="K14" s="250"/>
      <c r="L14" s="251">
        <f t="shared" si="6"/>
        <v>13.46611945511701</v>
      </c>
      <c r="M14" s="251">
        <f t="shared" si="0"/>
        <v>2.1824177068296962</v>
      </c>
      <c r="N14" s="252">
        <f t="shared" si="1"/>
        <v>0.10387478418386119</v>
      </c>
      <c r="O14" s="251">
        <f t="shared" si="2"/>
        <v>1.6757990867579908</v>
      </c>
      <c r="P14" s="251">
        <f t="shared" si="3"/>
        <v>0.96348645465253246</v>
      </c>
      <c r="Q14" s="252">
        <f t="shared" si="4"/>
        <v>4.759619749179711E-2</v>
      </c>
      <c r="R14" s="250"/>
      <c r="S14" s="250" t="s">
        <v>12</v>
      </c>
      <c r="T14" s="31" t="b">
        <f t="shared" si="5"/>
        <v>1</v>
      </c>
    </row>
    <row r="15" spans="1:20" s="31" customFormat="1" x14ac:dyDescent="0.25">
      <c r="A15" s="250" t="s">
        <v>14</v>
      </c>
      <c r="B15" s="250" t="s">
        <v>53</v>
      </c>
      <c r="C15" s="250">
        <v>16.7</v>
      </c>
      <c r="D15" s="250">
        <v>36.75</v>
      </c>
      <c r="E15" s="250">
        <v>9.1470000000000002</v>
      </c>
      <c r="F15" s="250">
        <v>3.98</v>
      </c>
      <c r="G15" s="250">
        <v>66.296000000000006</v>
      </c>
      <c r="H15" s="250">
        <v>13.473000000000001</v>
      </c>
      <c r="I15" s="250">
        <v>2.4750000000000001</v>
      </c>
      <c r="J15" s="250">
        <v>3.7330000000000001</v>
      </c>
      <c r="K15" s="250"/>
      <c r="L15" s="251">
        <f t="shared" si="6"/>
        <v>7.2478408221274737</v>
      </c>
      <c r="M15" s="251">
        <f t="shared" si="0"/>
        <v>1.8039727891156465</v>
      </c>
      <c r="N15" s="252">
        <f t="shared" si="1"/>
        <v>6.7346938775510207E-2</v>
      </c>
      <c r="O15" s="251">
        <f t="shared" si="2"/>
        <v>0.62185929648241212</v>
      </c>
      <c r="P15" s="251">
        <f t="shared" si="3"/>
        <v>0.67891338232019594</v>
      </c>
      <c r="Q15" s="252">
        <f t="shared" si="4"/>
        <v>3.7332569084107634E-2</v>
      </c>
      <c r="R15" s="250"/>
      <c r="S15" s="250" t="s">
        <v>11</v>
      </c>
      <c r="T15" s="31" t="b">
        <f t="shared" si="5"/>
        <v>1</v>
      </c>
    </row>
    <row r="16" spans="1:20" s="31" customFormat="1" x14ac:dyDescent="0.25">
      <c r="A16" s="250" t="s">
        <v>37</v>
      </c>
      <c r="B16" s="250" t="s">
        <v>54</v>
      </c>
      <c r="C16" s="250">
        <v>22.5</v>
      </c>
      <c r="D16" s="250">
        <v>60.576999999999998</v>
      </c>
      <c r="E16" s="250">
        <v>11.145</v>
      </c>
      <c r="F16" s="250">
        <v>5.97</v>
      </c>
      <c r="G16" s="250">
        <v>134.29400000000001</v>
      </c>
      <c r="H16" s="250">
        <v>12.711</v>
      </c>
      <c r="I16" s="250">
        <v>3.87</v>
      </c>
      <c r="J16" s="250">
        <v>2.8820000000000001</v>
      </c>
      <c r="K16" s="250"/>
      <c r="L16" s="251">
        <f t="shared" si="6"/>
        <v>12.049708389412293</v>
      </c>
      <c r="M16" s="251">
        <f t="shared" si="0"/>
        <v>2.2169140102679239</v>
      </c>
      <c r="N16" s="252">
        <f t="shared" si="1"/>
        <v>6.3885633161100755E-2</v>
      </c>
      <c r="O16" s="251">
        <f t="shared" si="2"/>
        <v>0.64824120603015079</v>
      </c>
      <c r="P16" s="251">
        <f t="shared" si="3"/>
        <v>0.87679962237432141</v>
      </c>
      <c r="Q16" s="252">
        <f t="shared" si="4"/>
        <v>2.8817370843075639E-2</v>
      </c>
      <c r="R16" s="250"/>
      <c r="S16" s="250" t="s">
        <v>14</v>
      </c>
      <c r="T16" s="31" t="b">
        <f t="shared" si="5"/>
        <v>1</v>
      </c>
    </row>
    <row r="17" spans="1:20" s="31" customFormat="1" x14ac:dyDescent="0.25">
      <c r="A17" s="250" t="s">
        <v>17</v>
      </c>
      <c r="B17" s="250" t="s">
        <v>55</v>
      </c>
      <c r="C17" s="250">
        <v>16.5</v>
      </c>
      <c r="D17" s="250">
        <v>51.337000000000003</v>
      </c>
      <c r="E17" s="250">
        <v>17.190999999999999</v>
      </c>
      <c r="F17" s="250">
        <v>6.3</v>
      </c>
      <c r="G17" s="250">
        <v>103.973</v>
      </c>
      <c r="H17" s="250">
        <v>21.722999999999999</v>
      </c>
      <c r="I17" s="250">
        <v>3.66</v>
      </c>
      <c r="J17" s="250">
        <v>3.52</v>
      </c>
      <c r="K17" s="250"/>
      <c r="L17" s="251">
        <f t="shared" si="6"/>
        <v>6.0481065673899135</v>
      </c>
      <c r="M17" s="251">
        <f t="shared" si="0"/>
        <v>2.025303387420379</v>
      </c>
      <c r="N17" s="252">
        <f t="shared" si="1"/>
        <v>7.1293608898065727E-2</v>
      </c>
      <c r="O17" s="251">
        <f t="shared" si="2"/>
        <v>0.580952380952381</v>
      </c>
      <c r="P17" s="251">
        <f t="shared" si="3"/>
        <v>0.79137319891359392</v>
      </c>
      <c r="Q17" s="252">
        <f t="shared" si="4"/>
        <v>3.5201446529387441E-2</v>
      </c>
      <c r="R17" s="250"/>
      <c r="S17" s="250" t="s">
        <v>37</v>
      </c>
      <c r="T17" s="31" t="b">
        <f t="shared" si="5"/>
        <v>1</v>
      </c>
    </row>
    <row r="18" spans="1:20" s="31" customFormat="1" x14ac:dyDescent="0.25">
      <c r="A18" s="250" t="s">
        <v>141</v>
      </c>
      <c r="B18" s="250" t="s">
        <v>427</v>
      </c>
      <c r="C18" s="250">
        <v>26.8</v>
      </c>
      <c r="D18" s="250">
        <v>18.919</v>
      </c>
      <c r="E18" s="250">
        <v>4.2160000000000002</v>
      </c>
      <c r="F18" s="250">
        <v>1.94</v>
      </c>
      <c r="G18" s="250">
        <v>51.965000000000003</v>
      </c>
      <c r="H18" s="250">
        <v>6.2869999999999999</v>
      </c>
      <c r="I18" s="250">
        <v>1.25</v>
      </c>
      <c r="J18" s="250">
        <v>2.4049999999999998</v>
      </c>
      <c r="K18" s="250"/>
      <c r="L18" s="251">
        <f t="shared" si="6"/>
        <v>12.325664136622391</v>
      </c>
      <c r="M18" s="251">
        <f t="shared" si="0"/>
        <v>2.7467096569586134</v>
      </c>
      <c r="N18" s="252">
        <f t="shared" si="1"/>
        <v>6.6071145409376822E-2</v>
      </c>
      <c r="O18" s="251">
        <f t="shared" si="2"/>
        <v>0.64432989690721654</v>
      </c>
      <c r="P18" s="251">
        <f t="shared" si="3"/>
        <v>0.67059010656911089</v>
      </c>
      <c r="Q18" s="252">
        <f t="shared" si="4"/>
        <v>2.4054652169729625E-2</v>
      </c>
      <c r="R18" s="250"/>
      <c r="S18" s="250" t="s">
        <v>17</v>
      </c>
      <c r="T18" s="31" t="b">
        <f t="shared" si="5"/>
        <v>1</v>
      </c>
    </row>
    <row r="19" spans="1:20" s="31" customFormat="1" x14ac:dyDescent="0.25">
      <c r="A19" s="250" t="s">
        <v>266</v>
      </c>
      <c r="B19" s="250" t="s">
        <v>424</v>
      </c>
      <c r="C19" s="250">
        <v>19.2</v>
      </c>
      <c r="D19" s="250">
        <v>36.494999999999997</v>
      </c>
      <c r="E19" s="250">
        <v>5.4409999999999998</v>
      </c>
      <c r="F19" s="250">
        <v>2.68</v>
      </c>
      <c r="G19" s="250">
        <v>51.497</v>
      </c>
      <c r="H19" s="250">
        <v>8.0289999999999999</v>
      </c>
      <c r="I19" s="250">
        <v>1.855</v>
      </c>
      <c r="J19" s="250">
        <v>3.6019999999999999</v>
      </c>
      <c r="K19" s="250"/>
      <c r="L19" s="251">
        <f t="shared" si="6"/>
        <v>9.4646204741775417</v>
      </c>
      <c r="M19" s="251">
        <f t="shared" si="0"/>
        <v>1.411070009590355</v>
      </c>
      <c r="N19" s="252">
        <f t="shared" si="1"/>
        <v>5.0828880668584743E-2</v>
      </c>
      <c r="O19" s="251">
        <f t="shared" si="2"/>
        <v>0.69216417910447758</v>
      </c>
      <c r="P19" s="251">
        <f t="shared" si="3"/>
        <v>0.6776684518620002</v>
      </c>
      <c r="Q19" s="252">
        <f t="shared" si="4"/>
        <v>3.6021515816455324E-2</v>
      </c>
      <c r="R19" s="250"/>
      <c r="S19" s="250" t="s">
        <v>141</v>
      </c>
      <c r="T19" s="31" t="b">
        <f t="shared" si="5"/>
        <v>1</v>
      </c>
    </row>
    <row r="20" spans="1:20" s="31" customFormat="1" x14ac:dyDescent="0.25">
      <c r="A20" s="250" t="s">
        <v>21</v>
      </c>
      <c r="B20" s="250" t="s">
        <v>58</v>
      </c>
      <c r="C20" s="250">
        <v>21.3</v>
      </c>
      <c r="D20" s="250">
        <v>20.925000000000001</v>
      </c>
      <c r="E20" s="250">
        <v>4.5519999999999996</v>
      </c>
      <c r="F20" s="250">
        <v>1.99</v>
      </c>
      <c r="G20" s="250">
        <v>42.326000000000001</v>
      </c>
      <c r="H20" s="250">
        <v>4.1980000000000004</v>
      </c>
      <c r="I20" s="250">
        <v>1.28</v>
      </c>
      <c r="J20" s="250">
        <v>3.024</v>
      </c>
      <c r="K20" s="250"/>
      <c r="L20" s="251">
        <f t="shared" si="6"/>
        <v>9.2983304042179267</v>
      </c>
      <c r="M20" s="251">
        <f t="shared" si="0"/>
        <v>2.0227479091995222</v>
      </c>
      <c r="N20" s="252">
        <f t="shared" si="1"/>
        <v>6.1170848267622459E-2</v>
      </c>
      <c r="O20" s="251">
        <f t="shared" si="2"/>
        <v>0.64321608040201006</v>
      </c>
      <c r="P20" s="251">
        <f t="shared" si="3"/>
        <v>1.0843258694616482</v>
      </c>
      <c r="Q20" s="252">
        <f t="shared" si="4"/>
        <v>3.0241459150404007E-2</v>
      </c>
      <c r="R20" s="250"/>
      <c r="S20" s="250" t="s">
        <v>266</v>
      </c>
      <c r="T20" s="31" t="b">
        <f t="shared" si="5"/>
        <v>1</v>
      </c>
    </row>
    <row r="21" spans="1:20" s="31" customFormat="1" x14ac:dyDescent="0.25">
      <c r="A21" s="250" t="s">
        <v>22</v>
      </c>
      <c r="B21" s="250" t="s">
        <v>59</v>
      </c>
      <c r="C21" s="250">
        <v>22.3</v>
      </c>
      <c r="D21" s="250">
        <v>48.881999999999998</v>
      </c>
      <c r="E21" s="250">
        <v>8.0649999999999995</v>
      </c>
      <c r="F21" s="250">
        <v>4.6100000000000003</v>
      </c>
      <c r="G21" s="250">
        <v>102.843</v>
      </c>
      <c r="H21" s="250">
        <v>5.5279999999999996</v>
      </c>
      <c r="I21" s="250">
        <v>2.56</v>
      </c>
      <c r="J21" s="250">
        <v>2.4889999999999999</v>
      </c>
      <c r="K21" s="250"/>
      <c r="L21" s="251">
        <f t="shared" si="6"/>
        <v>12.751766893986362</v>
      </c>
      <c r="M21" s="251">
        <f t="shared" si="0"/>
        <v>2.1039032772799806</v>
      </c>
      <c r="N21" s="252">
        <f t="shared" si="1"/>
        <v>5.237101591587906E-2</v>
      </c>
      <c r="O21" s="251">
        <f t="shared" si="2"/>
        <v>0.55531453362255967</v>
      </c>
      <c r="P21" s="251">
        <f t="shared" si="3"/>
        <v>1.4589363241678728</v>
      </c>
      <c r="Q21" s="252">
        <f t="shared" si="4"/>
        <v>2.4892311581731375E-2</v>
      </c>
      <c r="R21" s="250"/>
      <c r="S21" s="250" t="s">
        <v>21</v>
      </c>
      <c r="T21" s="31" t="b">
        <f t="shared" si="5"/>
        <v>1</v>
      </c>
    </row>
    <row r="22" spans="1:20" s="31" customFormat="1" x14ac:dyDescent="0.25">
      <c r="A22" s="250" t="s">
        <v>244</v>
      </c>
      <c r="B22" s="250" t="s">
        <v>434</v>
      </c>
      <c r="C22" s="250">
        <v>22.8</v>
      </c>
      <c r="D22" s="250">
        <v>45.140999999999998</v>
      </c>
      <c r="E22" s="250">
        <v>7.1189999999999998</v>
      </c>
      <c r="F22" s="250">
        <v>3.52</v>
      </c>
      <c r="G22" s="250">
        <v>80.210999999999999</v>
      </c>
      <c r="H22" s="250">
        <v>16.152000000000001</v>
      </c>
      <c r="I22" s="250">
        <v>2.37</v>
      </c>
      <c r="J22" s="250">
        <v>2.9550000000000001</v>
      </c>
      <c r="K22" s="250"/>
      <c r="L22" s="251">
        <f t="shared" si="6"/>
        <v>11.267172355667931</v>
      </c>
      <c r="M22" s="251">
        <f t="shared" si="0"/>
        <v>1.7768990496444474</v>
      </c>
      <c r="N22" s="252">
        <f t="shared" si="1"/>
        <v>5.2502159898983193E-2</v>
      </c>
      <c r="O22" s="251">
        <f t="shared" si="2"/>
        <v>0.67329545454545459</v>
      </c>
      <c r="P22" s="251">
        <f t="shared" si="3"/>
        <v>0.44075037147102519</v>
      </c>
      <c r="Q22" s="252">
        <f t="shared" si="4"/>
        <v>2.9547069603919663E-2</v>
      </c>
      <c r="R22" s="250"/>
      <c r="S22" s="250" t="s">
        <v>22</v>
      </c>
      <c r="T22" s="31" t="b">
        <f t="shared" si="5"/>
        <v>1</v>
      </c>
    </row>
    <row r="23" spans="1:20" s="31" customFormat="1" x14ac:dyDescent="0.25">
      <c r="A23" s="250" t="s">
        <v>25</v>
      </c>
      <c r="B23" s="250" t="s">
        <v>61</v>
      </c>
      <c r="C23" s="250">
        <v>28.4</v>
      </c>
      <c r="D23" s="250">
        <v>24.681999999999999</v>
      </c>
      <c r="E23" s="250">
        <v>4.57</v>
      </c>
      <c r="F23" s="250">
        <v>2.5099999999999998</v>
      </c>
      <c r="G23" s="250">
        <v>71.192999999999998</v>
      </c>
      <c r="H23" s="250">
        <v>4.7320000000000002</v>
      </c>
      <c r="I23" s="250">
        <v>1.38</v>
      </c>
      <c r="J23" s="250">
        <v>1.9379999999999999</v>
      </c>
      <c r="K23" s="250"/>
      <c r="L23" s="251">
        <f t="shared" si="6"/>
        <v>15.578336980306345</v>
      </c>
      <c r="M23" s="251">
        <f t="shared" si="0"/>
        <v>2.8844096912729924</v>
      </c>
      <c r="N23" s="252">
        <f t="shared" si="1"/>
        <v>5.591119034113929E-2</v>
      </c>
      <c r="O23" s="251">
        <f t="shared" si="2"/>
        <v>0.54980079681274896</v>
      </c>
      <c r="P23" s="251">
        <f t="shared" si="3"/>
        <v>0.96576500422654266</v>
      </c>
      <c r="Q23" s="252">
        <f t="shared" si="4"/>
        <v>1.9383928195187729E-2</v>
      </c>
      <c r="R23" s="250"/>
      <c r="S23" s="250" t="s">
        <v>244</v>
      </c>
      <c r="T23" s="31" t="b">
        <f t="shared" si="5"/>
        <v>1</v>
      </c>
    </row>
    <row r="24" spans="1:20" s="31" customFormat="1" x14ac:dyDescent="0.25">
      <c r="A24" s="250" t="s">
        <v>188</v>
      </c>
      <c r="B24" s="250" t="s">
        <v>425</v>
      </c>
      <c r="C24" s="250">
        <v>29.7</v>
      </c>
      <c r="D24" s="250">
        <v>18.571999999999999</v>
      </c>
      <c r="E24" s="250">
        <v>2.895</v>
      </c>
      <c r="F24" s="250">
        <v>2.0099999999999998</v>
      </c>
      <c r="G24" s="250">
        <v>59.612000000000002</v>
      </c>
      <c r="H24" s="250">
        <v>5.1120000000000001</v>
      </c>
      <c r="I24" s="250">
        <v>0.98</v>
      </c>
      <c r="J24" s="250">
        <v>1.6439999999999999</v>
      </c>
      <c r="K24" s="250"/>
      <c r="L24" s="251">
        <f t="shared" si="6"/>
        <v>20.591364421416234</v>
      </c>
      <c r="M24" s="251">
        <f t="shared" si="0"/>
        <v>3.2097781606719797</v>
      </c>
      <c r="N24" s="252">
        <f t="shared" si="1"/>
        <v>5.2767607150549213E-2</v>
      </c>
      <c r="O24" s="251">
        <f t="shared" si="2"/>
        <v>0.48756218905472642</v>
      </c>
      <c r="P24" s="251">
        <f t="shared" si="3"/>
        <v>0.56631455399061037</v>
      </c>
      <c r="Q24" s="252">
        <f t="shared" si="4"/>
        <v>1.6439643024894316E-2</v>
      </c>
      <c r="R24" s="250"/>
      <c r="S24" s="250" t="s">
        <v>25</v>
      </c>
      <c r="T24" s="31" t="b">
        <f t="shared" si="5"/>
        <v>1</v>
      </c>
    </row>
    <row r="25" spans="1:20" s="31" customFormat="1" x14ac:dyDescent="0.25">
      <c r="A25" s="250" t="s">
        <v>26</v>
      </c>
      <c r="B25" s="250" t="s">
        <v>62</v>
      </c>
      <c r="C25" s="250">
        <v>21.3</v>
      </c>
      <c r="D25" s="250">
        <v>13.364000000000001</v>
      </c>
      <c r="E25" s="250">
        <v>3.169</v>
      </c>
      <c r="F25" s="250">
        <v>1.31</v>
      </c>
      <c r="G25" s="250">
        <v>27.931000000000001</v>
      </c>
      <c r="H25" s="250">
        <v>4.7169999999999996</v>
      </c>
      <c r="I25" s="250">
        <v>0.8</v>
      </c>
      <c r="J25" s="250">
        <v>2.8639999999999999</v>
      </c>
      <c r="K25" s="250"/>
      <c r="L25" s="251">
        <f t="shared" si="6"/>
        <v>8.8138213947617547</v>
      </c>
      <c r="M25" s="251">
        <f t="shared" si="0"/>
        <v>2.0900179586950016</v>
      </c>
      <c r="N25" s="252">
        <f t="shared" si="1"/>
        <v>5.9862316671655195E-2</v>
      </c>
      <c r="O25" s="251">
        <f t="shared" si="2"/>
        <v>0.61068702290076338</v>
      </c>
      <c r="P25" s="251">
        <f t="shared" si="3"/>
        <v>0.67182531269874923</v>
      </c>
      <c r="Q25" s="252">
        <f t="shared" si="4"/>
        <v>2.8642010669148975E-2</v>
      </c>
      <c r="R25" s="250"/>
      <c r="S25" s="250" t="s">
        <v>188</v>
      </c>
      <c r="T25" s="31" t="b">
        <f t="shared" si="5"/>
        <v>1</v>
      </c>
    </row>
    <row r="26" spans="1:20" s="31" customFormat="1" x14ac:dyDescent="0.25">
      <c r="A26" s="250" t="s">
        <v>190</v>
      </c>
      <c r="B26" s="250" t="s">
        <v>426</v>
      </c>
      <c r="C26" s="250">
        <v>24.3</v>
      </c>
      <c r="D26" s="250">
        <v>17.369</v>
      </c>
      <c r="E26" s="250">
        <v>2.9849999999999999</v>
      </c>
      <c r="F26" s="250">
        <v>1.96</v>
      </c>
      <c r="G26" s="250">
        <v>47.695</v>
      </c>
      <c r="H26" s="250">
        <v>5.8339999999999996</v>
      </c>
      <c r="I26" s="250">
        <v>1.19</v>
      </c>
      <c r="J26" s="250">
        <v>2.4950000000000001</v>
      </c>
      <c r="K26" s="250"/>
      <c r="L26" s="251">
        <f t="shared" si="6"/>
        <v>15.978224455611391</v>
      </c>
      <c r="M26" s="251">
        <f t="shared" si="0"/>
        <v>2.7459842247682653</v>
      </c>
      <c r="N26" s="252">
        <f t="shared" si="1"/>
        <v>6.8512867752893086E-2</v>
      </c>
      <c r="O26" s="251">
        <f t="shared" si="2"/>
        <v>0.6071428571428571</v>
      </c>
      <c r="P26" s="251">
        <f t="shared" si="3"/>
        <v>0.51165581076448408</v>
      </c>
      <c r="Q26" s="252">
        <f t="shared" si="4"/>
        <v>2.4950204423943807E-2</v>
      </c>
      <c r="R26" s="250"/>
      <c r="S26" s="250" t="s">
        <v>26</v>
      </c>
      <c r="T26" s="31" t="b">
        <f t="shared" si="5"/>
        <v>1</v>
      </c>
    </row>
    <row r="27" spans="1:20" s="31" customFormat="1" x14ac:dyDescent="0.25">
      <c r="A27" s="250" t="s">
        <v>211</v>
      </c>
      <c r="B27" s="250" t="s">
        <v>423</v>
      </c>
      <c r="C27" s="250">
        <v>22.1</v>
      </c>
      <c r="D27" s="250">
        <v>38.286999999999999</v>
      </c>
      <c r="E27" s="250">
        <v>6.6509999999999998</v>
      </c>
      <c r="F27" s="250">
        <v>3.45</v>
      </c>
      <c r="G27" s="250">
        <v>76.284999999999997</v>
      </c>
      <c r="H27" s="250">
        <v>8.8260000000000005</v>
      </c>
      <c r="I27" s="250">
        <v>2.14</v>
      </c>
      <c r="J27" s="250">
        <v>2.8050000000000002</v>
      </c>
      <c r="K27" s="250"/>
      <c r="L27" s="251">
        <f t="shared" si="6"/>
        <v>11.469703803939257</v>
      </c>
      <c r="M27" s="251">
        <f t="shared" si="0"/>
        <v>1.9924517460234543</v>
      </c>
      <c r="N27" s="252">
        <f t="shared" si="1"/>
        <v>5.5893645362655738E-2</v>
      </c>
      <c r="O27" s="251">
        <f t="shared" si="2"/>
        <v>0.62028985507246381</v>
      </c>
      <c r="P27" s="251">
        <f t="shared" si="3"/>
        <v>0.75356900067980959</v>
      </c>
      <c r="Q27" s="252">
        <f t="shared" si="4"/>
        <v>2.8052697122632236E-2</v>
      </c>
      <c r="R27" s="250"/>
      <c r="S27" s="250" t="s">
        <v>190</v>
      </c>
      <c r="T27" s="31" t="b">
        <f t="shared" si="5"/>
        <v>1</v>
      </c>
    </row>
    <row r="28" spans="1:20" s="31" customFormat="1" x14ac:dyDescent="0.25">
      <c r="A28" s="250" t="s">
        <v>45</v>
      </c>
      <c r="B28" s="250" t="s">
        <v>65</v>
      </c>
      <c r="C28" s="250">
        <v>22.3</v>
      </c>
      <c r="D28" s="250">
        <v>25.239000000000001</v>
      </c>
      <c r="E28" s="250">
        <v>6.2450000000000001</v>
      </c>
      <c r="F28" s="250">
        <v>2.64</v>
      </c>
      <c r="G28" s="250">
        <v>58.970999999999997</v>
      </c>
      <c r="H28" s="250">
        <v>8.0549999999999997</v>
      </c>
      <c r="I28" s="250">
        <v>1.62</v>
      </c>
      <c r="J28" s="250">
        <v>2.7469999999999999</v>
      </c>
      <c r="K28" s="250"/>
      <c r="L28" s="251">
        <f t="shared" si="6"/>
        <v>9.4429143314651718</v>
      </c>
      <c r="M28" s="251">
        <f t="shared" si="0"/>
        <v>2.3365030310234158</v>
      </c>
      <c r="N28" s="252">
        <f t="shared" si="1"/>
        <v>6.4186378224176874E-2</v>
      </c>
      <c r="O28" s="251">
        <f t="shared" si="2"/>
        <v>0.61363636363636365</v>
      </c>
      <c r="P28" s="251">
        <f t="shared" si="3"/>
        <v>0.77529484792054626</v>
      </c>
      <c r="Q28" s="252">
        <f t="shared" si="4"/>
        <v>2.7471129877397367E-2</v>
      </c>
      <c r="R28" s="250"/>
      <c r="S28" s="250" t="s">
        <v>211</v>
      </c>
      <c r="T28" s="31" t="b">
        <f t="shared" si="5"/>
        <v>1</v>
      </c>
    </row>
    <row r="29" spans="1:20" s="31" customFormat="1" x14ac:dyDescent="0.25">
      <c r="A29" s="250" t="s">
        <v>192</v>
      </c>
      <c r="B29" s="250" t="s">
        <v>474</v>
      </c>
      <c r="C29" s="250">
        <v>30.9</v>
      </c>
      <c r="D29" s="250">
        <v>28.419</v>
      </c>
      <c r="E29" s="250">
        <v>5.1459999999999999</v>
      </c>
      <c r="F29" s="250">
        <v>2.19</v>
      </c>
      <c r="G29" s="250">
        <v>67.569999999999993</v>
      </c>
      <c r="H29" s="250">
        <v>7.9509999999999996</v>
      </c>
      <c r="I29" s="250">
        <v>1.9</v>
      </c>
      <c r="J29" s="250">
        <v>2.8119999999999998</v>
      </c>
      <c r="K29" s="250"/>
      <c r="L29" s="251">
        <f t="shared" si="6"/>
        <v>13.130586863583364</v>
      </c>
      <c r="M29" s="251">
        <f t="shared" si="0"/>
        <v>2.3776346810232587</v>
      </c>
      <c r="N29" s="252">
        <f t="shared" si="1"/>
        <v>6.6856680389880005E-2</v>
      </c>
      <c r="O29" s="251">
        <f t="shared" si="2"/>
        <v>0.86757990867579904</v>
      </c>
      <c r="P29" s="251">
        <f t="shared" si="3"/>
        <v>0.6472141868947302</v>
      </c>
      <c r="Q29" s="252">
        <f t="shared" si="4"/>
        <v>2.8118987716442209E-2</v>
      </c>
      <c r="R29" s="250"/>
      <c r="S29" s="250" t="s">
        <v>45</v>
      </c>
      <c r="T29" s="31" t="b">
        <f t="shared" si="5"/>
        <v>1</v>
      </c>
    </row>
    <row r="30" spans="1:20" s="31" customFormat="1" x14ac:dyDescent="0.25">
      <c r="A30" s="250" t="s">
        <v>19</v>
      </c>
      <c r="B30" s="250" t="s">
        <v>66</v>
      </c>
      <c r="C30" s="250">
        <v>17.100000000000001</v>
      </c>
      <c r="D30" s="250">
        <v>12.901</v>
      </c>
      <c r="E30" s="250">
        <v>3.9430000000000001</v>
      </c>
      <c r="F30" s="250">
        <v>1.84</v>
      </c>
      <c r="G30" s="250">
        <v>43.747</v>
      </c>
      <c r="H30" s="250">
        <v>4.9290000000000003</v>
      </c>
      <c r="I30" s="250">
        <v>1.53</v>
      </c>
      <c r="J30" s="250">
        <v>3.4969999999999999</v>
      </c>
      <c r="K30" s="250"/>
      <c r="L30" s="251">
        <f t="shared" si="6"/>
        <v>11.094851635810297</v>
      </c>
      <c r="M30" s="251">
        <f t="shared" si="0"/>
        <v>3.3909774436090228</v>
      </c>
      <c r="N30" s="252">
        <f t="shared" si="1"/>
        <v>0.11859545771645609</v>
      </c>
      <c r="O30" s="251">
        <f t="shared" si="2"/>
        <v>0.83152173913043481</v>
      </c>
      <c r="P30" s="251">
        <f t="shared" si="3"/>
        <v>0.79995942381821872</v>
      </c>
      <c r="Q30" s="252">
        <f t="shared" si="4"/>
        <v>3.4973826776693258E-2</v>
      </c>
      <c r="R30" s="250"/>
      <c r="S30" s="250" t="s">
        <v>192</v>
      </c>
      <c r="T30" s="31" t="b">
        <f t="shared" si="5"/>
        <v>1</v>
      </c>
    </row>
    <row r="31" spans="1:20" s="31" customFormat="1" x14ac:dyDescent="0.25">
      <c r="A31" s="250" t="s">
        <v>27</v>
      </c>
      <c r="B31" s="250" t="s">
        <v>67</v>
      </c>
      <c r="C31" s="250">
        <v>19</v>
      </c>
      <c r="D31" s="250">
        <v>20.687000000000001</v>
      </c>
      <c r="E31" s="250">
        <v>4.0209999999999999</v>
      </c>
      <c r="F31" s="250">
        <v>2.2400000000000002</v>
      </c>
      <c r="G31" s="250">
        <v>42.561</v>
      </c>
      <c r="H31" s="250">
        <v>3.1760000000000002</v>
      </c>
      <c r="I31" s="250">
        <v>1.5049999999999999</v>
      </c>
      <c r="J31" s="250">
        <v>3.536</v>
      </c>
      <c r="K31" s="250"/>
      <c r="L31" s="251">
        <f t="shared" si="6"/>
        <v>10.584680427754289</v>
      </c>
      <c r="M31" s="251">
        <f t="shared" si="0"/>
        <v>2.0573790303088897</v>
      </c>
      <c r="N31" s="252">
        <f t="shared" si="1"/>
        <v>7.2751003045390811E-2</v>
      </c>
      <c r="O31" s="251">
        <f t="shared" si="2"/>
        <v>0.67187499999999989</v>
      </c>
      <c r="P31" s="251">
        <f t="shared" si="3"/>
        <v>1.2660579345088161</v>
      </c>
      <c r="Q31" s="252">
        <f t="shared" si="4"/>
        <v>3.5361011254434811E-2</v>
      </c>
      <c r="R31" s="250"/>
      <c r="S31" s="250" t="s">
        <v>19</v>
      </c>
      <c r="T31" s="31" t="b">
        <f t="shared" si="5"/>
        <v>1</v>
      </c>
    </row>
    <row r="32" spans="1:20" s="31" customFormat="1" x14ac:dyDescent="0.25">
      <c r="A32" s="250" t="s">
        <v>28</v>
      </c>
      <c r="B32" s="250" t="s">
        <v>68</v>
      </c>
      <c r="C32" s="250">
        <v>23.5</v>
      </c>
      <c r="D32" s="250">
        <v>19.46</v>
      </c>
      <c r="E32" s="250">
        <v>4.1070000000000002</v>
      </c>
      <c r="F32" s="250">
        <v>2.17</v>
      </c>
      <c r="G32" s="250">
        <v>51.014000000000003</v>
      </c>
      <c r="H32" s="250">
        <v>5.1639999999999997</v>
      </c>
      <c r="I32" s="250">
        <v>1.4</v>
      </c>
      <c r="J32" s="250">
        <v>2.7440000000000002</v>
      </c>
      <c r="K32" s="250"/>
      <c r="L32" s="251">
        <f t="shared" si="6"/>
        <v>12.421232042853665</v>
      </c>
      <c r="M32" s="251">
        <f t="shared" si="0"/>
        <v>2.6214799588900308</v>
      </c>
      <c r="N32" s="252">
        <f t="shared" si="1"/>
        <v>7.1942446043165464E-2</v>
      </c>
      <c r="O32" s="251">
        <f t="shared" si="2"/>
        <v>0.64516129032258063</v>
      </c>
      <c r="P32" s="251">
        <f t="shared" si="3"/>
        <v>0.79531371030209153</v>
      </c>
      <c r="Q32" s="252">
        <f t="shared" si="4"/>
        <v>2.7443446896930252E-2</v>
      </c>
      <c r="R32" s="250"/>
      <c r="S32" s="250" t="s">
        <v>27</v>
      </c>
      <c r="T32" s="31" t="b">
        <f t="shared" si="5"/>
        <v>1</v>
      </c>
    </row>
    <row r="33" spans="1:20" s="31" customFormat="1" x14ac:dyDescent="0.25">
      <c r="A33" s="250" t="s">
        <v>18</v>
      </c>
      <c r="B33" s="250" t="s">
        <v>69</v>
      </c>
      <c r="C33" s="250">
        <v>14.7</v>
      </c>
      <c r="D33" s="250">
        <v>33.118000000000002</v>
      </c>
      <c r="E33" s="250">
        <v>8.9580000000000002</v>
      </c>
      <c r="F33" s="250">
        <v>3.01</v>
      </c>
      <c r="G33" s="250">
        <v>47.402999999999999</v>
      </c>
      <c r="H33" s="250">
        <v>7.4489999999999998</v>
      </c>
      <c r="I33" s="250">
        <v>1.45</v>
      </c>
      <c r="J33" s="250">
        <v>3.0590000000000002</v>
      </c>
      <c r="K33" s="250"/>
      <c r="L33" s="251">
        <f t="shared" si="6"/>
        <v>5.2916945746818485</v>
      </c>
      <c r="M33" s="251">
        <f t="shared" si="0"/>
        <v>1.4313364333595022</v>
      </c>
      <c r="N33" s="252">
        <f t="shared" si="1"/>
        <v>4.3782837127845878E-2</v>
      </c>
      <c r="O33" s="251">
        <f t="shared" si="2"/>
        <v>0.48172757475083061</v>
      </c>
      <c r="P33" s="251">
        <f t="shared" si="3"/>
        <v>1.2025775271848571</v>
      </c>
      <c r="Q33" s="252">
        <f t="shared" si="4"/>
        <v>3.0588781300761553E-2</v>
      </c>
      <c r="R33" s="250"/>
      <c r="S33" s="250" t="s">
        <v>28</v>
      </c>
      <c r="T33" s="31" t="b">
        <f t="shared" si="5"/>
        <v>1</v>
      </c>
    </row>
    <row r="34" spans="1:20" s="31" customFormat="1" x14ac:dyDescent="0.25">
      <c r="A34" s="250" t="s">
        <v>34</v>
      </c>
      <c r="B34" s="250" t="s">
        <v>70</v>
      </c>
      <c r="C34" s="250">
        <v>13.3</v>
      </c>
      <c r="D34" s="250">
        <v>16.931999999999999</v>
      </c>
      <c r="E34" s="250">
        <v>3.944</v>
      </c>
      <c r="F34" s="250">
        <v>2.37</v>
      </c>
      <c r="G34" s="250">
        <v>31.498000000000001</v>
      </c>
      <c r="H34" s="250">
        <v>4.0179999999999998</v>
      </c>
      <c r="I34" s="250">
        <v>1.65</v>
      </c>
      <c r="J34" s="250">
        <v>5.2380000000000004</v>
      </c>
      <c r="K34" s="250"/>
      <c r="L34" s="251">
        <f t="shared" si="6"/>
        <v>7.986308316430021</v>
      </c>
      <c r="M34" s="251">
        <f t="shared" si="0"/>
        <v>1.8602645877628161</v>
      </c>
      <c r="N34" s="252">
        <f t="shared" si="1"/>
        <v>9.7448618001417436E-2</v>
      </c>
      <c r="O34" s="251">
        <f t="shared" si="2"/>
        <v>0.69620253164556956</v>
      </c>
      <c r="P34" s="251">
        <f t="shared" si="3"/>
        <v>0.98158287705326042</v>
      </c>
      <c r="Q34" s="252">
        <f t="shared" si="4"/>
        <v>5.2384278366880435E-2</v>
      </c>
      <c r="R34" s="250"/>
      <c r="S34" s="250" t="s">
        <v>18</v>
      </c>
      <c r="T34" s="31" t="b">
        <f t="shared" si="5"/>
        <v>1</v>
      </c>
    </row>
    <row r="35" spans="1:20" s="31" customFormat="1" x14ac:dyDescent="0.25">
      <c r="A35" s="250" t="s">
        <v>30</v>
      </c>
      <c r="B35" s="250" t="s">
        <v>71</v>
      </c>
      <c r="C35" s="250"/>
      <c r="D35" s="250">
        <v>9.7050000000000001</v>
      </c>
      <c r="E35" s="250">
        <v>-8.3290000000000006</v>
      </c>
      <c r="F35" s="250">
        <v>-14.5</v>
      </c>
      <c r="G35" s="250">
        <v>14.801</v>
      </c>
      <c r="H35" s="250">
        <v>11.928000000000001</v>
      </c>
      <c r="I35" s="250">
        <v>0</v>
      </c>
      <c r="J35" s="250"/>
      <c r="K35" s="250"/>
      <c r="L35" s="251">
        <f t="shared" si="6"/>
        <v>-1.7770440629127144</v>
      </c>
      <c r="M35" s="251">
        <f t="shared" si="0"/>
        <v>1.525090159711489</v>
      </c>
      <c r="N35" s="252">
        <f t="shared" si="1"/>
        <v>0</v>
      </c>
      <c r="O35" s="251">
        <f t="shared" si="2"/>
        <v>0</v>
      </c>
      <c r="P35" s="251">
        <f t="shared" si="3"/>
        <v>-0.69827297116029508</v>
      </c>
      <c r="Q35" s="252">
        <f t="shared" si="4"/>
        <v>0</v>
      </c>
      <c r="R35" s="250"/>
      <c r="S35" s="250" t="s">
        <v>34</v>
      </c>
      <c r="T35" s="31" t="b">
        <f t="shared" si="5"/>
        <v>1</v>
      </c>
    </row>
    <row r="36" spans="1:20" s="31" customFormat="1" x14ac:dyDescent="0.25">
      <c r="A36" s="250" t="s">
        <v>533</v>
      </c>
      <c r="B36" s="250" t="s">
        <v>534</v>
      </c>
      <c r="C36" s="250">
        <v>39.1</v>
      </c>
      <c r="D36" s="250">
        <v>17.579999999999998</v>
      </c>
      <c r="E36" s="250">
        <v>1.726</v>
      </c>
      <c r="F36" s="250">
        <v>1.04</v>
      </c>
      <c r="G36" s="250">
        <v>40.619999999999997</v>
      </c>
      <c r="H36" s="250">
        <v>2.4929999999999999</v>
      </c>
      <c r="I36" s="250">
        <v>0.91</v>
      </c>
      <c r="J36" s="250">
        <v>2.2400000000000002</v>
      </c>
      <c r="K36" s="250"/>
      <c r="L36" s="251">
        <f t="shared" si="6"/>
        <v>23.534183082271145</v>
      </c>
      <c r="M36" s="251">
        <f t="shared" si="0"/>
        <v>2.310580204778157</v>
      </c>
      <c r="N36" s="252">
        <f t="shared" si="1"/>
        <v>5.1763367463026171E-2</v>
      </c>
      <c r="O36" s="251">
        <f t="shared" si="2"/>
        <v>0.875</v>
      </c>
      <c r="P36" s="251">
        <f t="shared" si="3"/>
        <v>0.69233854793421579</v>
      </c>
      <c r="Q36" s="252">
        <f t="shared" si="4"/>
        <v>2.24027572624323E-2</v>
      </c>
      <c r="R36" s="250"/>
      <c r="S36" s="250" t="s">
        <v>30</v>
      </c>
      <c r="T36" s="31" t="b">
        <f t="shared" si="5"/>
        <v>1</v>
      </c>
    </row>
    <row r="37" spans="1:20" s="31" customFormat="1" x14ac:dyDescent="0.25">
      <c r="A37" s="250" t="s">
        <v>31</v>
      </c>
      <c r="B37" s="250" t="s">
        <v>72</v>
      </c>
      <c r="C37" s="250">
        <v>19.399999999999999</v>
      </c>
      <c r="D37" s="250">
        <v>48.3</v>
      </c>
      <c r="E37" s="250">
        <v>11.135</v>
      </c>
      <c r="F37" s="250">
        <v>4.7699999999999996</v>
      </c>
      <c r="G37" s="250">
        <v>92.379000000000005</v>
      </c>
      <c r="H37" s="250">
        <v>10.760999999999999</v>
      </c>
      <c r="I37" s="250">
        <v>3.04</v>
      </c>
      <c r="J37" s="250">
        <v>3.2909999999999999</v>
      </c>
      <c r="K37" s="250"/>
      <c r="L37" s="251">
        <f t="shared" si="6"/>
        <v>8.2962730130220042</v>
      </c>
      <c r="M37" s="251">
        <f t="shared" si="0"/>
        <v>1.9126086956521742</v>
      </c>
      <c r="N37" s="252">
        <f t="shared" si="1"/>
        <v>6.2939958592132514E-2</v>
      </c>
      <c r="O37" s="251">
        <f t="shared" si="2"/>
        <v>0.63731656184486385</v>
      </c>
      <c r="P37" s="251">
        <f t="shared" si="3"/>
        <v>1.0347551342812007</v>
      </c>
      <c r="Q37" s="252">
        <f t="shared" si="4"/>
        <v>3.2907911971335475E-2</v>
      </c>
      <c r="R37" s="250"/>
      <c r="S37" s="250" t="s">
        <v>533</v>
      </c>
      <c r="T37" s="31" t="b">
        <f t="shared" si="5"/>
        <v>1</v>
      </c>
    </row>
    <row r="38" spans="1:20" s="31" customFormat="1" x14ac:dyDescent="0.25">
      <c r="A38" s="250" t="s">
        <v>32</v>
      </c>
      <c r="B38" s="250" t="s">
        <v>74</v>
      </c>
      <c r="C38" s="250">
        <v>22.2</v>
      </c>
      <c r="D38" s="250">
        <v>21.074999999999999</v>
      </c>
      <c r="E38" s="250">
        <v>6.0679999999999996</v>
      </c>
      <c r="F38" s="250">
        <v>2.2799999999999998</v>
      </c>
      <c r="G38" s="250">
        <v>48.052</v>
      </c>
      <c r="H38" s="250">
        <v>7.7370000000000001</v>
      </c>
      <c r="I38" s="250">
        <v>1.1779999999999999</v>
      </c>
      <c r="J38" s="250">
        <v>2.452</v>
      </c>
      <c r="K38" s="250"/>
      <c r="L38" s="251">
        <f t="shared" si="6"/>
        <v>7.9189189189189193</v>
      </c>
      <c r="M38" s="251">
        <f t="shared" si="0"/>
        <v>2.2800474495848162</v>
      </c>
      <c r="N38" s="252">
        <f t="shared" si="1"/>
        <v>5.5895610913404503E-2</v>
      </c>
      <c r="O38" s="251">
        <f t="shared" si="2"/>
        <v>0.51666666666666672</v>
      </c>
      <c r="P38" s="251">
        <f t="shared" si="3"/>
        <v>0.78428331394597384</v>
      </c>
      <c r="Q38" s="252">
        <f t="shared" si="4"/>
        <v>2.4515108632314989E-2</v>
      </c>
      <c r="R38" s="250"/>
      <c r="S38" s="250" t="s">
        <v>31</v>
      </c>
      <c r="T38" s="31" t="b">
        <f t="shared" si="5"/>
        <v>1</v>
      </c>
    </row>
    <row r="39" spans="1:20" s="31" customFormat="1" x14ac:dyDescent="0.25">
      <c r="A39" s="250" t="s">
        <v>35</v>
      </c>
      <c r="B39" s="250" t="s">
        <v>75</v>
      </c>
      <c r="C39" s="250">
        <v>18</v>
      </c>
      <c r="D39" s="250">
        <v>29.937999999999999</v>
      </c>
      <c r="E39" s="250">
        <v>6.7560000000000002</v>
      </c>
      <c r="F39" s="250">
        <v>3.9</v>
      </c>
      <c r="G39" s="250">
        <v>58.895000000000003</v>
      </c>
      <c r="H39" s="250">
        <v>6.282</v>
      </c>
      <c r="I39" s="250">
        <v>1.88</v>
      </c>
      <c r="J39" s="250">
        <v>3.1920000000000002</v>
      </c>
      <c r="K39" s="250"/>
      <c r="L39" s="251">
        <f t="shared" si="6"/>
        <v>8.7174363528715215</v>
      </c>
      <c r="M39" s="251">
        <f t="shared" si="0"/>
        <v>1.9672322800454274</v>
      </c>
      <c r="N39" s="252">
        <f t="shared" si="1"/>
        <v>6.2796445988375971E-2</v>
      </c>
      <c r="O39" s="251">
        <f t="shared" si="2"/>
        <v>0.48205128205128206</v>
      </c>
      <c r="P39" s="251">
        <f t="shared" si="3"/>
        <v>1.0754536771728749</v>
      </c>
      <c r="Q39" s="252">
        <f t="shared" si="4"/>
        <v>3.1921215722896676E-2</v>
      </c>
      <c r="R39" s="250"/>
      <c r="S39" s="250" t="s">
        <v>32</v>
      </c>
      <c r="T39" s="31" t="b">
        <f t="shared" si="5"/>
        <v>1</v>
      </c>
    </row>
    <row r="40" spans="1:20" s="31" customFormat="1" x14ac:dyDescent="0.25">
      <c r="A40" s="250" t="s">
        <v>194</v>
      </c>
      <c r="B40" s="250" t="s">
        <v>430</v>
      </c>
      <c r="C40" s="250">
        <v>25.882999999999999</v>
      </c>
      <c r="D40" s="250">
        <v>10.292999999999999</v>
      </c>
      <c r="E40" s="250">
        <v>2.0190000000000001</v>
      </c>
      <c r="F40" s="250">
        <v>1.08</v>
      </c>
      <c r="G40" s="250">
        <v>27.954000000000001</v>
      </c>
      <c r="H40" s="250">
        <v>2.7109999999999999</v>
      </c>
      <c r="I40" s="250">
        <v>0.66</v>
      </c>
      <c r="J40" s="250">
        <v>2.3610000000000002</v>
      </c>
      <c r="K40" s="250"/>
      <c r="L40" s="251">
        <f t="shared" si="6"/>
        <v>13.845468053491826</v>
      </c>
      <c r="M40" s="251">
        <f t="shared" si="0"/>
        <v>2.7158262897114547</v>
      </c>
      <c r="N40" s="252">
        <f t="shared" si="1"/>
        <v>6.4121247449723126E-2</v>
      </c>
      <c r="O40" s="251">
        <f t="shared" si="2"/>
        <v>0.61111111111111105</v>
      </c>
      <c r="P40" s="251">
        <f t="shared" si="3"/>
        <v>0.7447436370343048</v>
      </c>
      <c r="Q40" s="252">
        <f t="shared" si="4"/>
        <v>2.3610216784717752E-2</v>
      </c>
      <c r="R40" s="250"/>
      <c r="S40" s="250" t="s">
        <v>35</v>
      </c>
      <c r="T40" s="31" t="b">
        <f t="shared" si="5"/>
        <v>1</v>
      </c>
    </row>
    <row r="41" spans="1:20" s="31" customFormat="1" x14ac:dyDescent="0.25">
      <c r="A41" s="250" t="s">
        <v>196</v>
      </c>
      <c r="B41" s="250" t="s">
        <v>431</v>
      </c>
      <c r="C41" s="250">
        <v>78.8</v>
      </c>
      <c r="D41" s="250">
        <v>31.274999999999999</v>
      </c>
      <c r="E41" s="250">
        <v>3.665</v>
      </c>
      <c r="F41" s="250">
        <v>1.35</v>
      </c>
      <c r="G41" s="250">
        <v>64.591999999999999</v>
      </c>
      <c r="H41" s="250">
        <v>6.2510000000000003</v>
      </c>
      <c r="I41" s="250">
        <v>1.2</v>
      </c>
      <c r="J41" s="250">
        <v>1.8580000000000001</v>
      </c>
      <c r="K41" s="250"/>
      <c r="L41" s="251">
        <f t="shared" si="6"/>
        <v>17.624010914051841</v>
      </c>
      <c r="M41" s="251">
        <f t="shared" si="0"/>
        <v>2.0652917665867307</v>
      </c>
      <c r="N41" s="252">
        <f t="shared" si="1"/>
        <v>3.8369304556354913E-2</v>
      </c>
      <c r="O41" s="251">
        <f t="shared" si="2"/>
        <v>0.88888888888888884</v>
      </c>
      <c r="P41" s="251">
        <f t="shared" si="3"/>
        <v>0.58630619100943848</v>
      </c>
      <c r="Q41" s="252">
        <f t="shared" si="4"/>
        <v>1.857815209313847E-2</v>
      </c>
      <c r="R41" s="250"/>
      <c r="S41" s="250" t="s">
        <v>194</v>
      </c>
      <c r="T41" s="31" t="b">
        <f t="shared" si="5"/>
        <v>1</v>
      </c>
    </row>
    <row r="42" spans="1:20" s="31" customFormat="1" x14ac:dyDescent="0.25">
      <c r="A42" s="250" t="s">
        <v>198</v>
      </c>
      <c r="B42" s="250" t="s">
        <v>432</v>
      </c>
      <c r="C42" s="250">
        <v>28.282</v>
      </c>
      <c r="D42" s="250">
        <v>15.41</v>
      </c>
      <c r="E42" s="250">
        <v>2.5579999999999998</v>
      </c>
      <c r="F42" s="250">
        <v>1.1200000000000001</v>
      </c>
      <c r="G42" s="250">
        <v>31.675999999999998</v>
      </c>
      <c r="H42" s="250">
        <v>5.4569999999999999</v>
      </c>
      <c r="I42" s="250">
        <v>1.1599999999999999</v>
      </c>
      <c r="J42" s="250">
        <v>3.6619999999999999</v>
      </c>
      <c r="K42" s="250"/>
      <c r="L42" s="251">
        <f t="shared" si="6"/>
        <v>12.383111806098515</v>
      </c>
      <c r="M42" s="251">
        <f t="shared" si="0"/>
        <v>2.0555483452303696</v>
      </c>
      <c r="N42" s="252">
        <f t="shared" si="1"/>
        <v>7.5275794938351709E-2</v>
      </c>
      <c r="O42" s="251">
        <f t="shared" si="2"/>
        <v>1.0357142857142856</v>
      </c>
      <c r="P42" s="251">
        <f t="shared" si="3"/>
        <v>0.46875572658970127</v>
      </c>
      <c r="Q42" s="252">
        <f t="shared" si="4"/>
        <v>3.6620785452708672E-2</v>
      </c>
      <c r="R42" s="250"/>
      <c r="S42" s="250" t="s">
        <v>196</v>
      </c>
      <c r="T42" s="31" t="b">
        <f t="shared" si="5"/>
        <v>1</v>
      </c>
    </row>
    <row r="43" spans="1:20" s="31" customFormat="1" x14ac:dyDescent="0.25">
      <c r="A43" s="250" t="s">
        <v>165</v>
      </c>
      <c r="B43" s="250" t="s">
        <v>411</v>
      </c>
      <c r="C43" s="250">
        <v>34.4</v>
      </c>
      <c r="D43" s="250">
        <v>16.324999999999999</v>
      </c>
      <c r="E43" s="250">
        <v>3.258</v>
      </c>
      <c r="F43" s="250">
        <v>2.2799999999999998</v>
      </c>
      <c r="G43" s="250">
        <v>78.337999999999994</v>
      </c>
      <c r="H43" s="250">
        <v>4.1239999999999997</v>
      </c>
      <c r="I43" s="250">
        <v>1.1599999999999999</v>
      </c>
      <c r="J43" s="250">
        <v>1.4810000000000001</v>
      </c>
      <c r="K43" s="250"/>
      <c r="L43" s="251">
        <f t="shared" si="6"/>
        <v>24.044812768569674</v>
      </c>
      <c r="M43" s="251">
        <f t="shared" si="0"/>
        <v>4.7986523736600306</v>
      </c>
      <c r="N43" s="252">
        <f t="shared" si="1"/>
        <v>7.1056661562021436E-2</v>
      </c>
      <c r="O43" s="251">
        <f t="shared" si="2"/>
        <v>0.50877192982456143</v>
      </c>
      <c r="P43" s="251">
        <f t="shared" si="3"/>
        <v>0.79000969932104759</v>
      </c>
      <c r="Q43" s="252">
        <f t="shared" si="4"/>
        <v>1.4807628481707472E-2</v>
      </c>
      <c r="R43" s="250"/>
      <c r="S43" s="250" t="s">
        <v>198</v>
      </c>
      <c r="T43" s="31" t="b">
        <f t="shared" si="5"/>
        <v>1</v>
      </c>
    </row>
    <row r="44" spans="1:20" s="31" customFormat="1" x14ac:dyDescent="0.25">
      <c r="A44" s="250" t="s">
        <v>38</v>
      </c>
      <c r="B44" s="250" t="s">
        <v>77</v>
      </c>
      <c r="C44" s="250">
        <v>17.600000000000001</v>
      </c>
      <c r="D44" s="250">
        <v>26.114000000000001</v>
      </c>
      <c r="E44" s="250">
        <v>6.3330000000000002</v>
      </c>
      <c r="F44" s="250">
        <v>3.17</v>
      </c>
      <c r="G44" s="250">
        <v>55.738999999999997</v>
      </c>
      <c r="H44" s="250">
        <v>7.173</v>
      </c>
      <c r="I44" s="250">
        <v>2.46</v>
      </c>
      <c r="J44" s="250">
        <v>4.4130000000000003</v>
      </c>
      <c r="K44" s="250"/>
      <c r="L44" s="251">
        <f t="shared" si="6"/>
        <v>8.801357966208748</v>
      </c>
      <c r="M44" s="251">
        <f t="shared" si="0"/>
        <v>2.1344489545837479</v>
      </c>
      <c r="N44" s="252">
        <f t="shared" si="1"/>
        <v>9.4202343570498573E-2</v>
      </c>
      <c r="O44" s="251">
        <f t="shared" si="2"/>
        <v>0.77602523659306</v>
      </c>
      <c r="P44" s="251">
        <f t="shared" si="3"/>
        <v>0.88289418653283147</v>
      </c>
      <c r="Q44" s="252">
        <f t="shared" si="4"/>
        <v>4.413426864493443E-2</v>
      </c>
      <c r="R44" s="250"/>
      <c r="S44" s="250" t="s">
        <v>165</v>
      </c>
      <c r="T44" s="31" t="b">
        <f t="shared" si="5"/>
        <v>1</v>
      </c>
    </row>
    <row r="45" spans="1:20" s="31" customFormat="1" x14ac:dyDescent="0.25">
      <c r="A45" s="250" t="s">
        <v>200</v>
      </c>
      <c r="B45" s="250" t="s">
        <v>433</v>
      </c>
      <c r="C45" s="250">
        <v>21.3</v>
      </c>
      <c r="D45" s="250">
        <v>45.555999999999997</v>
      </c>
      <c r="E45" s="250">
        <v>9.4019999999999992</v>
      </c>
      <c r="F45" s="250">
        <v>3.94</v>
      </c>
      <c r="G45" s="250">
        <v>83.905000000000001</v>
      </c>
      <c r="H45" s="250">
        <v>17.055</v>
      </c>
      <c r="I45" s="250">
        <v>2.1800000000000002</v>
      </c>
      <c r="J45" s="250">
        <v>2.5979999999999999</v>
      </c>
      <c r="K45" s="250"/>
      <c r="L45" s="251">
        <f t="shared" si="6"/>
        <v>8.9241650712614344</v>
      </c>
      <c r="M45" s="251">
        <f t="shared" si="0"/>
        <v>1.8417991043989816</v>
      </c>
      <c r="N45" s="252">
        <f t="shared" si="1"/>
        <v>4.7853191676178776E-2</v>
      </c>
      <c r="O45" s="251">
        <f t="shared" si="2"/>
        <v>0.5532994923857868</v>
      </c>
      <c r="P45" s="251">
        <f t="shared" si="3"/>
        <v>0.55127528583992957</v>
      </c>
      <c r="Q45" s="252">
        <f t="shared" si="4"/>
        <v>2.59817650914725E-2</v>
      </c>
      <c r="R45" s="250"/>
      <c r="S45" s="250" t="s">
        <v>38</v>
      </c>
      <c r="T45" s="31" t="b">
        <f t="shared" si="5"/>
        <v>1</v>
      </c>
    </row>
    <row r="46" spans="1:20" s="31" customFormat="1" x14ac:dyDescent="0.25">
      <c r="A46" s="250" t="s">
        <v>204</v>
      </c>
      <c r="B46" s="250" t="s">
        <v>436</v>
      </c>
      <c r="C46" s="250">
        <v>23.4</v>
      </c>
      <c r="D46" s="250">
        <v>18.265000000000001</v>
      </c>
      <c r="E46" s="250">
        <v>4.12</v>
      </c>
      <c r="F46" s="250">
        <v>2.2799999999999998</v>
      </c>
      <c r="G46" s="250">
        <v>53.360999999999997</v>
      </c>
      <c r="H46" s="250">
        <v>3.371</v>
      </c>
      <c r="I46" s="250">
        <v>1.1499999999999999</v>
      </c>
      <c r="J46" s="250">
        <v>2.1549999999999998</v>
      </c>
      <c r="K46" s="250"/>
      <c r="L46" s="251">
        <f t="shared" si="6"/>
        <v>12.951699029126212</v>
      </c>
      <c r="M46" s="251">
        <f t="shared" si="0"/>
        <v>2.9214891869696138</v>
      </c>
      <c r="N46" s="252">
        <f t="shared" si="1"/>
        <v>6.2961949082945515E-2</v>
      </c>
      <c r="O46" s="251">
        <f t="shared" si="2"/>
        <v>0.50438596491228072</v>
      </c>
      <c r="P46" s="251">
        <f t="shared" si="3"/>
        <v>1.2221892613467813</v>
      </c>
      <c r="Q46" s="252">
        <f t="shared" si="4"/>
        <v>2.1551320252618952E-2</v>
      </c>
      <c r="R46" s="250"/>
      <c r="S46" s="250" t="s">
        <v>200</v>
      </c>
      <c r="T46" s="31" t="b">
        <f t="shared" si="5"/>
        <v>1</v>
      </c>
    </row>
    <row r="47" spans="1:20" s="31" customFormat="1" x14ac:dyDescent="0.25">
      <c r="A47" s="250" t="s">
        <v>3</v>
      </c>
      <c r="B47" s="250" t="s">
        <v>80</v>
      </c>
      <c r="C47" s="250">
        <v>22.1</v>
      </c>
      <c r="D47" s="250">
        <v>32.734000000000002</v>
      </c>
      <c r="E47" s="250">
        <v>7.8310000000000004</v>
      </c>
      <c r="F47" s="250">
        <v>3.35</v>
      </c>
      <c r="G47" s="250">
        <v>73.998999999999995</v>
      </c>
      <c r="H47" s="250">
        <v>9.9190000000000005</v>
      </c>
      <c r="I47" s="250">
        <v>1.92</v>
      </c>
      <c r="J47" s="250">
        <v>2.5950000000000002</v>
      </c>
      <c r="K47" s="250"/>
      <c r="L47" s="251">
        <f t="shared" si="6"/>
        <v>9.4494955944323831</v>
      </c>
      <c r="M47" s="251">
        <f t="shared" si="0"/>
        <v>2.2606158734038</v>
      </c>
      <c r="N47" s="252">
        <f t="shared" si="1"/>
        <v>5.8654609885745702E-2</v>
      </c>
      <c r="O47" s="251">
        <f t="shared" si="2"/>
        <v>0.57313432835820888</v>
      </c>
      <c r="P47" s="251">
        <f t="shared" si="3"/>
        <v>0.78949490876096384</v>
      </c>
      <c r="Q47" s="252">
        <f t="shared" si="4"/>
        <v>2.5946296571575291E-2</v>
      </c>
      <c r="R47" s="250"/>
      <c r="S47" s="250" t="s">
        <v>204</v>
      </c>
      <c r="T47" s="31" t="b">
        <f t="shared" si="5"/>
        <v>1</v>
      </c>
    </row>
    <row r="48" spans="1:20" s="31" customFormat="1" x14ac:dyDescent="0.25">
      <c r="A48" s="250" t="s">
        <v>83</v>
      </c>
      <c r="B48" s="250" t="s">
        <v>437</v>
      </c>
      <c r="C48" s="250">
        <v>19.445</v>
      </c>
      <c r="D48" s="250">
        <v>25.224</v>
      </c>
      <c r="E48" s="250">
        <v>6.43</v>
      </c>
      <c r="F48" s="250">
        <v>2.97</v>
      </c>
      <c r="G48" s="250">
        <v>57.752000000000002</v>
      </c>
      <c r="H48" s="250">
        <v>7.984</v>
      </c>
      <c r="I48" s="250">
        <v>1.48</v>
      </c>
      <c r="J48" s="250">
        <v>2.5630000000000002</v>
      </c>
      <c r="K48" s="250"/>
      <c r="L48" s="251">
        <f t="shared" si="6"/>
        <v>8.9816485225505449</v>
      </c>
      <c r="M48" s="251">
        <f t="shared" si="0"/>
        <v>2.2895654931810974</v>
      </c>
      <c r="N48" s="252">
        <f t="shared" si="1"/>
        <v>5.8674278464954009E-2</v>
      </c>
      <c r="O48" s="251">
        <f t="shared" si="2"/>
        <v>0.49831649831649827</v>
      </c>
      <c r="P48" s="251">
        <f t="shared" si="3"/>
        <v>0.80536072144288573</v>
      </c>
      <c r="Q48" s="252">
        <f t="shared" si="4"/>
        <v>2.5626818118853024E-2</v>
      </c>
      <c r="R48" s="250"/>
      <c r="S48" s="250" t="s">
        <v>3</v>
      </c>
      <c r="T48" s="31" t="b">
        <f t="shared" si="5"/>
        <v>1</v>
      </c>
    </row>
    <row r="49" spans="1:20" s="31" customFormat="1" x14ac:dyDescent="0.25">
      <c r="A49" s="250" t="s">
        <v>1</v>
      </c>
      <c r="B49" s="250" t="s">
        <v>84</v>
      </c>
      <c r="C49" s="250">
        <v>21.2</v>
      </c>
      <c r="D49" s="250">
        <v>21.242999999999999</v>
      </c>
      <c r="E49" s="250">
        <v>4.5890000000000004</v>
      </c>
      <c r="F49" s="250">
        <v>2.33</v>
      </c>
      <c r="G49" s="250">
        <v>49.292000000000002</v>
      </c>
      <c r="H49" s="250"/>
      <c r="I49" s="250">
        <v>1.42</v>
      </c>
      <c r="J49" s="250">
        <v>2.8809999999999998</v>
      </c>
      <c r="K49" s="250"/>
      <c r="L49" s="251">
        <f t="shared" si="6"/>
        <v>10.741337982131183</v>
      </c>
      <c r="M49" s="251">
        <f t="shared" si="0"/>
        <v>2.3203878924822297</v>
      </c>
      <c r="N49" s="252">
        <f t="shared" si="1"/>
        <v>6.6845549122063738E-2</v>
      </c>
      <c r="O49" s="251">
        <f t="shared" si="2"/>
        <v>0.6094420600858369</v>
      </c>
      <c r="P49" s="251" t="str">
        <f t="shared" si="3"/>
        <v/>
      </c>
      <c r="Q49" s="252">
        <f t="shared" si="4"/>
        <v>2.8807920149314287E-2</v>
      </c>
      <c r="R49" s="250"/>
      <c r="S49" s="250" t="s">
        <v>83</v>
      </c>
      <c r="T49" s="31" t="b">
        <f t="shared" si="5"/>
        <v>1</v>
      </c>
    </row>
    <row r="50" spans="1:20" s="31" customFormat="1" x14ac:dyDescent="0.25">
      <c r="A50" s="250" t="s">
        <v>4</v>
      </c>
      <c r="B50" s="250" t="s">
        <v>86</v>
      </c>
      <c r="C50" s="250">
        <v>15</v>
      </c>
      <c r="D50" s="250">
        <v>28.867999999999999</v>
      </c>
      <c r="E50" s="250">
        <v>6.0629999999999997</v>
      </c>
      <c r="F50" s="250">
        <v>2.97</v>
      </c>
      <c r="G50" s="250">
        <v>44.497</v>
      </c>
      <c r="H50" s="250">
        <v>6.5869999999999997</v>
      </c>
      <c r="I50" s="250">
        <v>1.55</v>
      </c>
      <c r="J50" s="250">
        <v>3.4830000000000001</v>
      </c>
      <c r="K50" s="250"/>
      <c r="L50" s="251">
        <f t="shared" si="6"/>
        <v>7.3391060531090222</v>
      </c>
      <c r="M50" s="251">
        <f t="shared" si="0"/>
        <v>1.5413953166135514</v>
      </c>
      <c r="N50" s="252">
        <f t="shared" si="1"/>
        <v>5.3692670084522658E-2</v>
      </c>
      <c r="O50" s="251">
        <f t="shared" si="2"/>
        <v>0.52188552188552184</v>
      </c>
      <c r="P50" s="251">
        <f t="shared" si="3"/>
        <v>0.92044936997115534</v>
      </c>
      <c r="Q50" s="252">
        <f t="shared" si="4"/>
        <v>3.4833809020832864E-2</v>
      </c>
      <c r="R50" s="250"/>
      <c r="S50" s="250" t="s">
        <v>1</v>
      </c>
      <c r="T50" s="31" t="b">
        <f t="shared" si="5"/>
        <v>1</v>
      </c>
    </row>
    <row r="51" spans="1:20" s="31" customFormat="1" x14ac:dyDescent="0.25">
      <c r="A51" s="250" t="s">
        <v>44</v>
      </c>
      <c r="B51" s="250" t="s">
        <v>438</v>
      </c>
      <c r="C51" s="250">
        <v>23.5</v>
      </c>
      <c r="D51" s="250">
        <v>32.061999999999998</v>
      </c>
      <c r="E51" s="250">
        <v>6.5279999999999996</v>
      </c>
      <c r="F51" s="250">
        <v>3.58</v>
      </c>
      <c r="G51" s="250">
        <v>84.078000000000003</v>
      </c>
      <c r="H51" s="250">
        <v>7.1669999999999998</v>
      </c>
      <c r="I51" s="250">
        <v>2.36</v>
      </c>
      <c r="J51" s="250">
        <v>2.8069999999999999</v>
      </c>
      <c r="K51" s="250"/>
      <c r="L51" s="251">
        <f t="shared" si="6"/>
        <v>12.879595588235295</v>
      </c>
      <c r="M51" s="251">
        <f t="shared" si="0"/>
        <v>2.6223566839248957</v>
      </c>
      <c r="N51" s="252">
        <f t="shared" si="1"/>
        <v>7.3607385690225194E-2</v>
      </c>
      <c r="O51" s="251">
        <f t="shared" si="2"/>
        <v>0.65921787709497204</v>
      </c>
      <c r="P51" s="251">
        <f t="shared" si="3"/>
        <v>0.91084135621598994</v>
      </c>
      <c r="Q51" s="252">
        <f t="shared" si="4"/>
        <v>2.8069173862365897E-2</v>
      </c>
      <c r="R51" s="250"/>
      <c r="S51" s="250" t="s">
        <v>4</v>
      </c>
      <c r="T51" s="31" t="b">
        <f t="shared" si="5"/>
        <v>1</v>
      </c>
    </row>
    <row r="52" spans="1:20" s="31" customFormat="1" x14ac:dyDescent="0.25">
      <c r="A52" s="250" t="s">
        <v>182</v>
      </c>
      <c r="B52" s="250" t="s">
        <v>421</v>
      </c>
      <c r="C52" s="250">
        <v>25.661000000000001</v>
      </c>
      <c r="D52" s="250">
        <v>10.88</v>
      </c>
      <c r="E52" s="250">
        <v>1.0469999999999999</v>
      </c>
      <c r="F52" s="250">
        <v>0.56000000000000005</v>
      </c>
      <c r="G52" s="250">
        <v>14.37</v>
      </c>
      <c r="H52" s="250">
        <v>0.23400000000000001</v>
      </c>
      <c r="I52" s="250">
        <v>0.34</v>
      </c>
      <c r="J52" s="250">
        <v>2.3660000000000001</v>
      </c>
      <c r="K52" s="250"/>
      <c r="L52" s="251">
        <f t="shared" si="6"/>
        <v>13.724928366762178</v>
      </c>
      <c r="M52" s="251">
        <f t="shared" si="0"/>
        <v>1.3207720588235292</v>
      </c>
      <c r="N52" s="252">
        <f t="shared" si="1"/>
        <v>3.125E-2</v>
      </c>
      <c r="O52" s="251">
        <f t="shared" si="2"/>
        <v>0.6071428571428571</v>
      </c>
      <c r="P52" s="251">
        <f t="shared" si="3"/>
        <v>4.4743589743589736</v>
      </c>
      <c r="Q52" s="252">
        <f t="shared" si="4"/>
        <v>2.3660403618649968E-2</v>
      </c>
      <c r="R52" s="250"/>
      <c r="S52" s="250" t="s">
        <v>44</v>
      </c>
      <c r="T52" s="31" t="b">
        <f t="shared" si="5"/>
        <v>1</v>
      </c>
    </row>
    <row r="53" spans="1:20" s="31" customFormat="1" x14ac:dyDescent="0.25">
      <c r="A53" s="250" t="s">
        <v>173</v>
      </c>
      <c r="B53" s="250" t="s">
        <v>415</v>
      </c>
      <c r="C53" s="250">
        <v>22.846</v>
      </c>
      <c r="D53" s="250">
        <v>17.248000000000001</v>
      </c>
      <c r="E53" s="250">
        <v>2.7690000000000001</v>
      </c>
      <c r="F53" s="250">
        <v>1.6</v>
      </c>
      <c r="G53" s="250">
        <v>36.554000000000002</v>
      </c>
      <c r="H53" s="250">
        <v>4.3780000000000001</v>
      </c>
      <c r="I53" s="250">
        <v>0.98399999999999999</v>
      </c>
      <c r="J53" s="250">
        <v>2.6920000000000002</v>
      </c>
      <c r="K53" s="250"/>
      <c r="L53" s="251">
        <f t="shared" si="6"/>
        <v>13.201155651859878</v>
      </c>
      <c r="M53" s="251">
        <f t="shared" si="0"/>
        <v>2.1193181818181817</v>
      </c>
      <c r="N53" s="252">
        <f t="shared" si="1"/>
        <v>5.7050092764378474E-2</v>
      </c>
      <c r="O53" s="251">
        <f t="shared" si="2"/>
        <v>0.61499999999999999</v>
      </c>
      <c r="P53" s="251">
        <f t="shared" si="3"/>
        <v>0.63248058474189128</v>
      </c>
      <c r="Q53" s="252">
        <f t="shared" si="4"/>
        <v>2.6919078623406464E-2</v>
      </c>
      <c r="R53" s="250"/>
      <c r="S53" s="250" t="s">
        <v>182</v>
      </c>
      <c r="T53" s="31" t="b">
        <f t="shared" si="5"/>
        <v>1</v>
      </c>
    </row>
    <row r="54" spans="1:20" s="31" customFormat="1" x14ac:dyDescent="0.25">
      <c r="A54" s="250" t="s">
        <v>208</v>
      </c>
      <c r="B54" s="250" t="s">
        <v>439</v>
      </c>
      <c r="C54" s="250">
        <v>33.75</v>
      </c>
      <c r="D54" s="250">
        <v>10.31</v>
      </c>
      <c r="E54" s="250">
        <v>1.6970000000000001</v>
      </c>
      <c r="F54" s="250">
        <v>1.1100000000000001</v>
      </c>
      <c r="G54" s="250">
        <v>37.463000000000001</v>
      </c>
      <c r="H54" s="250">
        <v>0.16200000000000001</v>
      </c>
      <c r="I54" s="250">
        <v>0.7</v>
      </c>
      <c r="J54" s="250">
        <v>1.869</v>
      </c>
      <c r="K54" s="250"/>
      <c r="L54" s="251">
        <f t="shared" si="6"/>
        <v>22.076016499705361</v>
      </c>
      <c r="M54" s="251">
        <f t="shared" si="0"/>
        <v>3.6336566440349176</v>
      </c>
      <c r="N54" s="252">
        <f t="shared" si="1"/>
        <v>6.7895247332686703E-2</v>
      </c>
      <c r="O54" s="251">
        <f t="shared" si="2"/>
        <v>0.63063063063063052</v>
      </c>
      <c r="P54" s="251">
        <f t="shared" si="3"/>
        <v>10.475308641975309</v>
      </c>
      <c r="Q54" s="252">
        <f t="shared" si="4"/>
        <v>1.8685102634599469E-2</v>
      </c>
      <c r="R54" s="250"/>
      <c r="S54" s="250" t="s">
        <v>173</v>
      </c>
      <c r="T54" s="31" t="b">
        <f t="shared" si="5"/>
        <v>1</v>
      </c>
    </row>
    <row r="55" spans="1:20" s="31" customFormat="1" x14ac:dyDescent="0.25">
      <c r="A55" s="250" t="s">
        <v>202</v>
      </c>
      <c r="B55" s="250" t="s">
        <v>435</v>
      </c>
      <c r="C55" s="250">
        <v>27.48</v>
      </c>
      <c r="D55" s="250">
        <v>5.5259999999999998</v>
      </c>
      <c r="E55" s="250">
        <v>1.071</v>
      </c>
      <c r="F55" s="250">
        <v>0.35</v>
      </c>
      <c r="G55" s="250">
        <v>9.6180000000000003</v>
      </c>
      <c r="H55" s="250">
        <v>0.23899999999999999</v>
      </c>
      <c r="I55" s="250">
        <v>0.48499999999999999</v>
      </c>
      <c r="J55" s="250">
        <v>5.0430000000000001</v>
      </c>
      <c r="K55" s="250"/>
      <c r="L55" s="251">
        <f t="shared" si="6"/>
        <v>8.9803921568627452</v>
      </c>
      <c r="M55" s="251">
        <f t="shared" si="0"/>
        <v>1.7404994571118351</v>
      </c>
      <c r="N55" s="252">
        <f t="shared" si="1"/>
        <v>8.7766920014477015E-2</v>
      </c>
      <c r="O55" s="251">
        <f t="shared" si="2"/>
        <v>1.3857142857142857</v>
      </c>
      <c r="P55" s="251">
        <f t="shared" si="3"/>
        <v>4.481171548117155</v>
      </c>
      <c r="Q55" s="252">
        <f t="shared" si="4"/>
        <v>5.0426284050738193E-2</v>
      </c>
      <c r="R55" s="250"/>
      <c r="S55" s="250" t="s">
        <v>208</v>
      </c>
      <c r="T55" s="31" t="b">
        <f t="shared" si="5"/>
        <v>1</v>
      </c>
    </row>
    <row r="56" spans="1:20" s="31" customFormat="1" x14ac:dyDescent="0.25">
      <c r="A56" s="250" t="s">
        <v>6</v>
      </c>
      <c r="B56" s="250" t="s">
        <v>90</v>
      </c>
      <c r="C56" s="250">
        <v>19.5</v>
      </c>
      <c r="D56" s="250">
        <v>13.103</v>
      </c>
      <c r="E56" s="250">
        <v>4.1219999999999999</v>
      </c>
      <c r="F56" s="250">
        <v>1.49</v>
      </c>
      <c r="G56" s="250">
        <v>28.984000000000002</v>
      </c>
      <c r="H56" s="250">
        <v>4.99</v>
      </c>
      <c r="I56" s="250">
        <v>0.86299999999999999</v>
      </c>
      <c r="J56" s="250">
        <v>2.9780000000000002</v>
      </c>
      <c r="K56" s="250"/>
      <c r="L56" s="251">
        <f t="shared" si="6"/>
        <v>7.0315380883066476</v>
      </c>
      <c r="M56" s="251">
        <f t="shared" si="0"/>
        <v>2.2120125162176603</v>
      </c>
      <c r="N56" s="252">
        <f t="shared" si="1"/>
        <v>6.5862779516141348E-2</v>
      </c>
      <c r="O56" s="251">
        <f t="shared" si="2"/>
        <v>0.57919463087248324</v>
      </c>
      <c r="P56" s="251">
        <f t="shared" si="3"/>
        <v>0.82605210420841679</v>
      </c>
      <c r="Q56" s="252">
        <f t="shared" si="4"/>
        <v>2.9775048302511729E-2</v>
      </c>
      <c r="R56" s="250"/>
      <c r="S56" s="250" t="s">
        <v>202</v>
      </c>
      <c r="T56" s="31" t="b">
        <f t="shared" si="5"/>
        <v>1</v>
      </c>
    </row>
    <row r="57" spans="1:20" s="31" customFormat="1" x14ac:dyDescent="0.25">
      <c r="A57" s="250" t="s">
        <v>345</v>
      </c>
      <c r="B57" s="250" t="s">
        <v>429</v>
      </c>
      <c r="C57" s="250">
        <v>25.3</v>
      </c>
      <c r="D57" s="250">
        <v>40.350999999999999</v>
      </c>
      <c r="E57" s="250">
        <v>6.9569999999999999</v>
      </c>
      <c r="F57" s="250">
        <v>3.51</v>
      </c>
      <c r="G57" s="250">
        <v>88.692999999999998</v>
      </c>
      <c r="H57" s="250">
        <v>7.9080000000000004</v>
      </c>
      <c r="I57" s="250">
        <v>2</v>
      </c>
      <c r="J57" s="250">
        <v>2.2549999999999999</v>
      </c>
      <c r="K57" s="250"/>
      <c r="L57" s="251">
        <f t="shared" si="6"/>
        <v>12.748742273968665</v>
      </c>
      <c r="M57" s="251">
        <f t="shared" si="0"/>
        <v>2.1980372233649725</v>
      </c>
      <c r="N57" s="252">
        <f t="shared" si="1"/>
        <v>4.9565066541101835E-2</v>
      </c>
      <c r="O57" s="251">
        <f t="shared" si="2"/>
        <v>0.56980056980056981</v>
      </c>
      <c r="P57" s="251">
        <f t="shared" si="3"/>
        <v>0.87974203338391499</v>
      </c>
      <c r="Q57" s="252">
        <f t="shared" si="4"/>
        <v>2.2549693887905474E-2</v>
      </c>
      <c r="R57" s="250"/>
      <c r="S57" s="250" t="s">
        <v>6</v>
      </c>
      <c r="T57" s="31" t="b">
        <f t="shared" si="5"/>
        <v>1</v>
      </c>
    </row>
    <row r="58" spans="1:20" s="31" customFormat="1" x14ac:dyDescent="0.25">
      <c r="A58" s="250" t="s">
        <v>260</v>
      </c>
      <c r="B58" s="250" t="s">
        <v>417</v>
      </c>
      <c r="C58" s="250">
        <v>23.1</v>
      </c>
      <c r="D58" s="250">
        <v>49.31</v>
      </c>
      <c r="E58" s="250">
        <v>5.4950000000000001</v>
      </c>
      <c r="F58" s="250">
        <v>2.2599999999999998</v>
      </c>
      <c r="G58" s="250">
        <v>50.058</v>
      </c>
      <c r="H58" s="250">
        <v>8.8670000000000009</v>
      </c>
      <c r="I58" s="250">
        <v>1.76</v>
      </c>
      <c r="J58" s="250">
        <v>3.516</v>
      </c>
      <c r="K58" s="250"/>
      <c r="L58" s="251">
        <f t="shared" si="6"/>
        <v>9.1097361237488617</v>
      </c>
      <c r="M58" s="251">
        <f t="shared" si="0"/>
        <v>1.0151693368485093</v>
      </c>
      <c r="N58" s="252">
        <f t="shared" si="1"/>
        <v>3.5692557290610424E-2</v>
      </c>
      <c r="O58" s="251">
        <f t="shared" si="2"/>
        <v>0.77876106194690276</v>
      </c>
      <c r="P58" s="251">
        <f t="shared" si="3"/>
        <v>0.6197135446035863</v>
      </c>
      <c r="Q58" s="252">
        <f t="shared" si="4"/>
        <v>3.5159215310240119E-2</v>
      </c>
      <c r="R58" s="250"/>
      <c r="S58" s="250" t="s">
        <v>345</v>
      </c>
      <c r="T58" s="31" t="b">
        <f t="shared" si="5"/>
        <v>1</v>
      </c>
    </row>
    <row r="59" spans="1:20" s="31" customFormat="1" x14ac:dyDescent="0.25">
      <c r="A59" s="250" t="s">
        <v>447</v>
      </c>
      <c r="B59" s="250" t="s">
        <v>475</v>
      </c>
      <c r="C59" s="250">
        <v>21.8</v>
      </c>
      <c r="D59" s="250">
        <v>37.820999999999998</v>
      </c>
      <c r="E59" s="250">
        <v>7.1840000000000002</v>
      </c>
      <c r="F59" s="250">
        <v>2.79</v>
      </c>
      <c r="G59" s="250">
        <v>60.706000000000003</v>
      </c>
      <c r="H59" s="250">
        <v>5.3390000000000004</v>
      </c>
      <c r="I59" s="250">
        <v>1.93</v>
      </c>
      <c r="J59" s="250">
        <v>3.1789999999999998</v>
      </c>
      <c r="K59" s="250"/>
      <c r="L59" s="251">
        <f t="shared" si="6"/>
        <v>8.4501670378619149</v>
      </c>
      <c r="M59" s="251">
        <f t="shared" si="0"/>
        <v>1.6050871209116631</v>
      </c>
      <c r="N59" s="252">
        <f t="shared" si="1"/>
        <v>5.1029851140900556E-2</v>
      </c>
      <c r="O59" s="251">
        <f t="shared" si="2"/>
        <v>0.69175627240143367</v>
      </c>
      <c r="P59" s="251">
        <f t="shared" si="3"/>
        <v>1.345570331522757</v>
      </c>
      <c r="Q59" s="252">
        <f t="shared" si="4"/>
        <v>3.1792574045399133E-2</v>
      </c>
      <c r="R59" s="250"/>
      <c r="S59" s="250" t="s">
        <v>260</v>
      </c>
      <c r="T59" s="31" t="b">
        <f t="shared" si="5"/>
        <v>1</v>
      </c>
    </row>
    <row r="60" spans="1:20" s="31" customFormat="1" x14ac:dyDescent="0.25">
      <c r="A60" s="250" t="s">
        <v>0</v>
      </c>
      <c r="B60" s="250" t="s">
        <v>91</v>
      </c>
      <c r="C60" s="250">
        <v>24.7</v>
      </c>
      <c r="D60" s="250">
        <v>43.17</v>
      </c>
      <c r="E60" s="250">
        <v>7.242</v>
      </c>
      <c r="F60" s="250">
        <v>3.33</v>
      </c>
      <c r="G60" s="250">
        <v>82.4</v>
      </c>
      <c r="H60" s="250">
        <v>11.548999999999999</v>
      </c>
      <c r="I60" s="250">
        <v>2.35</v>
      </c>
      <c r="J60" s="250">
        <v>2.8519999999999999</v>
      </c>
      <c r="K60" s="250"/>
      <c r="L60" s="251">
        <f t="shared" si="6"/>
        <v>11.378072355702844</v>
      </c>
      <c r="M60" s="251">
        <f t="shared" si="0"/>
        <v>1.9087329163771138</v>
      </c>
      <c r="N60" s="252">
        <f t="shared" si="1"/>
        <v>5.4435950891823022E-2</v>
      </c>
      <c r="O60" s="251">
        <f t="shared" si="2"/>
        <v>0.70570570570570568</v>
      </c>
      <c r="P60" s="251">
        <f t="shared" si="3"/>
        <v>0.62706727855225564</v>
      </c>
      <c r="Q60" s="252">
        <f t="shared" si="4"/>
        <v>2.8519417475728153E-2</v>
      </c>
      <c r="R60" s="250"/>
      <c r="S60" s="250" t="s">
        <v>447</v>
      </c>
      <c r="T60" s="31" t="b">
        <f t="shared" si="5"/>
        <v>1</v>
      </c>
    </row>
    <row r="61" spans="1:20" s="31" customFormat="1" x14ac:dyDescent="0.25">
      <c r="A61" s="250" t="s">
        <v>33</v>
      </c>
      <c r="B61" s="250" t="s">
        <v>92</v>
      </c>
      <c r="C61" s="250">
        <v>22.3</v>
      </c>
      <c r="D61" s="250">
        <v>28.986000000000001</v>
      </c>
      <c r="E61" s="250">
        <v>6.97</v>
      </c>
      <c r="F61" s="250">
        <v>2.39</v>
      </c>
      <c r="G61" s="250">
        <v>53.323999999999998</v>
      </c>
      <c r="H61" s="250">
        <v>6.7789999999999999</v>
      </c>
      <c r="I61" s="250">
        <v>1.518</v>
      </c>
      <c r="J61" s="250">
        <v>2.847</v>
      </c>
      <c r="K61" s="250"/>
      <c r="L61" s="251">
        <f t="shared" si="6"/>
        <v>7.6505021520803442</v>
      </c>
      <c r="M61" s="251">
        <f t="shared" si="0"/>
        <v>1.8396467260056577</v>
      </c>
      <c r="N61" s="252">
        <f t="shared" si="1"/>
        <v>5.2370109708134958E-2</v>
      </c>
      <c r="O61" s="251">
        <f t="shared" si="2"/>
        <v>0.63514644351464433</v>
      </c>
      <c r="P61" s="251">
        <f t="shared" si="3"/>
        <v>1.028175247086591</v>
      </c>
      <c r="Q61" s="252">
        <f t="shared" si="4"/>
        <v>2.846748180931663E-2</v>
      </c>
      <c r="R61" s="250"/>
      <c r="S61" s="250" t="s">
        <v>0</v>
      </c>
      <c r="T61" s="31" t="b">
        <f t="shared" si="5"/>
        <v>1</v>
      </c>
    </row>
    <row r="62" spans="1:20" s="31" customFormat="1" x14ac:dyDescent="0.25">
      <c r="A62" s="250" t="s">
        <v>13</v>
      </c>
      <c r="B62" s="250" t="s">
        <v>93</v>
      </c>
      <c r="C62" s="250">
        <v>17.7</v>
      </c>
      <c r="D62" s="250">
        <v>61.201000000000001</v>
      </c>
      <c r="E62" s="250">
        <v>12.128</v>
      </c>
      <c r="F62" s="250">
        <v>5.07</v>
      </c>
      <c r="G62" s="250">
        <v>89.774000000000001</v>
      </c>
      <c r="H62" s="250">
        <v>15.173</v>
      </c>
      <c r="I62" s="250">
        <v>3.7450000000000001</v>
      </c>
      <c r="J62" s="250">
        <v>4.1719999999999997</v>
      </c>
      <c r="K62" s="250"/>
      <c r="L62" s="251">
        <f t="shared" si="6"/>
        <v>7.4022097625329817</v>
      </c>
      <c r="M62" s="251">
        <f t="shared" si="0"/>
        <v>1.4668714563487524</v>
      </c>
      <c r="N62" s="252">
        <f t="shared" si="1"/>
        <v>6.1191810591330206E-2</v>
      </c>
      <c r="O62" s="251">
        <f t="shared" si="2"/>
        <v>0.73865877712031558</v>
      </c>
      <c r="P62" s="251">
        <f t="shared" si="3"/>
        <v>0.7993145719369934</v>
      </c>
      <c r="Q62" s="252">
        <f t="shared" si="4"/>
        <v>4.1715864281417783E-2</v>
      </c>
      <c r="R62" s="250"/>
      <c r="S62" s="250" t="s">
        <v>33</v>
      </c>
      <c r="T62" s="31" t="b">
        <f t="shared" si="5"/>
        <v>1</v>
      </c>
    </row>
    <row r="63" spans="1:20" s="31" customFormat="1" x14ac:dyDescent="0.25">
      <c r="A63" s="250" t="s">
        <v>144</v>
      </c>
      <c r="B63" s="250" t="s">
        <v>428</v>
      </c>
      <c r="C63" s="250">
        <v>19.899999999999999</v>
      </c>
      <c r="D63" s="250">
        <v>40.415999999999997</v>
      </c>
      <c r="E63" s="250">
        <v>7.0739999999999998</v>
      </c>
      <c r="F63" s="250">
        <v>3.53</v>
      </c>
      <c r="G63" s="250">
        <v>70.215999999999994</v>
      </c>
      <c r="H63" s="250">
        <v>6.2640000000000002</v>
      </c>
      <c r="I63" s="250">
        <v>2.2999999999999998</v>
      </c>
      <c r="J63" s="250">
        <v>3.2759999999999998</v>
      </c>
      <c r="K63" s="250"/>
      <c r="L63" s="251">
        <f t="shared" si="6"/>
        <v>9.9259259259259256</v>
      </c>
      <c r="M63" s="251">
        <f t="shared" si="0"/>
        <v>1.7373317498020586</v>
      </c>
      <c r="N63" s="252">
        <f t="shared" si="1"/>
        <v>5.6908155186064922E-2</v>
      </c>
      <c r="O63" s="251">
        <f t="shared" si="2"/>
        <v>0.65155807365439089</v>
      </c>
      <c r="P63" s="251">
        <f t="shared" si="3"/>
        <v>1.1293103448275861</v>
      </c>
      <c r="Q63" s="252">
        <f t="shared" si="4"/>
        <v>3.2756066993277884E-2</v>
      </c>
      <c r="R63" s="250"/>
      <c r="S63" s="250" t="s">
        <v>13</v>
      </c>
      <c r="T63" s="31" t="b">
        <f t="shared" si="5"/>
        <v>1</v>
      </c>
    </row>
    <row r="64" spans="1:20" s="31" customFormat="1" x14ac:dyDescent="0.25">
      <c r="A64" s="250" t="s">
        <v>167</v>
      </c>
      <c r="B64" s="250" t="s">
        <v>412</v>
      </c>
      <c r="C64" s="250">
        <v>32.9</v>
      </c>
      <c r="D64" s="250">
        <v>33.825000000000003</v>
      </c>
      <c r="E64" s="250">
        <v>6.649</v>
      </c>
      <c r="F64" s="250">
        <v>3.43</v>
      </c>
      <c r="G64" s="250">
        <v>112.776</v>
      </c>
      <c r="H64" s="250">
        <v>9.1479999999999997</v>
      </c>
      <c r="I64" s="250">
        <v>1.96</v>
      </c>
      <c r="J64" s="250">
        <v>1.738</v>
      </c>
      <c r="K64" s="250"/>
      <c r="L64" s="251">
        <f t="shared" si="6"/>
        <v>16.961347571063317</v>
      </c>
      <c r="M64" s="251">
        <f t="shared" si="0"/>
        <v>3.3341019955654096</v>
      </c>
      <c r="N64" s="252">
        <f t="shared" si="1"/>
        <v>5.7945306725794524E-2</v>
      </c>
      <c r="O64" s="251">
        <f t="shared" si="2"/>
        <v>0.5714285714285714</v>
      </c>
      <c r="P64" s="251">
        <f t="shared" si="3"/>
        <v>0.72682553563620467</v>
      </c>
      <c r="Q64" s="252">
        <f t="shared" si="4"/>
        <v>1.7379584308718166E-2</v>
      </c>
      <c r="R64" s="250"/>
      <c r="S64" s="250" t="s">
        <v>144</v>
      </c>
      <c r="T64" s="31" t="b">
        <f t="shared" si="5"/>
        <v>1</v>
      </c>
    </row>
    <row r="65" spans="1:20" x14ac:dyDescent="0.2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75" t="str">
        <f t="shared" si="6"/>
        <v/>
      </c>
      <c r="M65" s="75" t="str">
        <f t="shared" si="0"/>
        <v/>
      </c>
      <c r="N65" s="86" t="str">
        <f t="shared" si="1"/>
        <v/>
      </c>
      <c r="O65" s="75" t="str">
        <f t="shared" si="2"/>
        <v/>
      </c>
      <c r="P65" s="75" t="str">
        <f t="shared" si="3"/>
        <v/>
      </c>
      <c r="Q65" s="86" t="str">
        <f t="shared" si="4"/>
        <v/>
      </c>
      <c r="R65" s="59"/>
      <c r="S65" s="59" t="s">
        <v>167</v>
      </c>
      <c r="T65" t="b">
        <f t="shared" si="5"/>
        <v>1</v>
      </c>
    </row>
    <row r="66" spans="1:20" x14ac:dyDescent="0.25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75" t="str">
        <f t="shared" si="6"/>
        <v/>
      </c>
      <c r="M66" s="75" t="str">
        <f t="shared" si="0"/>
        <v/>
      </c>
      <c r="N66" s="86" t="str">
        <f t="shared" si="1"/>
        <v/>
      </c>
      <c r="O66" s="75" t="str">
        <f t="shared" si="2"/>
        <v/>
      </c>
      <c r="P66" s="75" t="str">
        <f t="shared" si="3"/>
        <v/>
      </c>
      <c r="Q66" s="86" t="str">
        <f t="shared" si="4"/>
        <v/>
      </c>
      <c r="R66" s="59"/>
      <c r="S66" s="59"/>
    </row>
    <row r="67" spans="1:20" x14ac:dyDescent="0.25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75" t="str">
        <f>IFERROR(G67/E67,"")</f>
        <v/>
      </c>
      <c r="M67" s="75" t="str">
        <f>IFERROR(G67/D67,"")</f>
        <v/>
      </c>
      <c r="N67" s="86" t="str">
        <f>IFERROR(I67/D67,"")</f>
        <v/>
      </c>
      <c r="O67" s="75" t="str">
        <f>IFERROR(I67/F67,"")</f>
        <v/>
      </c>
      <c r="P67" s="75" t="str">
        <f>IFERROR(E67/H67,"")</f>
        <v/>
      </c>
      <c r="Q67" s="86" t="str">
        <f>IFERROR(I67/G67,"")</f>
        <v/>
      </c>
      <c r="R67" s="59"/>
      <c r="S67" s="59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S67"/>
  <sheetViews>
    <sheetView workbookViewId="0">
      <selection activeCell="A6" sqref="A6:XFD67"/>
    </sheetView>
  </sheetViews>
  <sheetFormatPr defaultRowHeight="13.8" x14ac:dyDescent="0.25"/>
  <sheetData>
    <row r="1" spans="1:19" x14ac:dyDescent="0.25">
      <c r="A1" s="70">
        <v>43642</v>
      </c>
      <c r="B1" s="59" t="s">
        <v>316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</row>
    <row r="2" spans="1:19" ht="31.2" x14ac:dyDescent="0.25">
      <c r="A2" s="81">
        <f>COUNTA(A5:A296)</f>
        <v>63</v>
      </c>
      <c r="B2" s="59"/>
      <c r="C2" s="71" t="s">
        <v>331</v>
      </c>
      <c r="D2" s="71" t="s">
        <v>333</v>
      </c>
      <c r="E2" s="71" t="s">
        <v>335</v>
      </c>
      <c r="F2" s="71" t="s">
        <v>337</v>
      </c>
      <c r="G2" s="71" t="s">
        <v>332</v>
      </c>
      <c r="H2" s="71" t="s">
        <v>334</v>
      </c>
      <c r="I2" s="71" t="s">
        <v>336</v>
      </c>
      <c r="J2" s="71" t="s">
        <v>338</v>
      </c>
      <c r="K2" s="58"/>
      <c r="L2" s="58"/>
      <c r="M2" s="58"/>
      <c r="N2" s="58"/>
      <c r="O2" s="58"/>
      <c r="P2" s="58"/>
      <c r="Q2" s="59"/>
      <c r="R2" s="59"/>
      <c r="S2" s="59"/>
    </row>
    <row r="3" spans="1:19" x14ac:dyDescent="0.25">
      <c r="A3" s="81">
        <v>1</v>
      </c>
      <c r="B3" s="59">
        <v>2</v>
      </c>
      <c r="C3" s="71">
        <v>3</v>
      </c>
      <c r="D3" s="81">
        <v>4</v>
      </c>
      <c r="E3" s="59">
        <v>5</v>
      </c>
      <c r="F3" s="71">
        <v>6</v>
      </c>
      <c r="G3" s="81">
        <v>7</v>
      </c>
      <c r="H3" s="59">
        <v>8</v>
      </c>
      <c r="I3" s="71">
        <v>9</v>
      </c>
      <c r="J3" s="81">
        <v>10</v>
      </c>
      <c r="K3" s="59">
        <v>11</v>
      </c>
      <c r="L3" s="71">
        <v>12</v>
      </c>
      <c r="M3" s="81">
        <v>13</v>
      </c>
      <c r="N3" s="59">
        <v>14</v>
      </c>
      <c r="O3" s="71">
        <v>15</v>
      </c>
      <c r="P3" s="81">
        <v>16</v>
      </c>
      <c r="Q3" s="59">
        <v>17</v>
      </c>
      <c r="R3" s="59"/>
      <c r="S3" s="59"/>
    </row>
    <row r="4" spans="1:19" ht="21" x14ac:dyDescent="0.25">
      <c r="A4" s="78" t="s">
        <v>118</v>
      </c>
      <c r="B4" s="78" t="s">
        <v>117</v>
      </c>
      <c r="C4" s="78" t="s">
        <v>307</v>
      </c>
      <c r="D4" s="78" t="s">
        <v>308</v>
      </c>
      <c r="E4" s="78" t="s">
        <v>309</v>
      </c>
      <c r="F4" s="78" t="s">
        <v>310</v>
      </c>
      <c r="G4" s="78" t="s">
        <v>311</v>
      </c>
      <c r="H4" s="78" t="s">
        <v>312</v>
      </c>
      <c r="I4" s="78" t="s">
        <v>313</v>
      </c>
      <c r="J4" s="78" t="s">
        <v>330</v>
      </c>
      <c r="K4" s="59"/>
      <c r="L4" s="85" t="s">
        <v>114</v>
      </c>
      <c r="M4" s="85" t="s">
        <v>245</v>
      </c>
      <c r="N4" s="85" t="s">
        <v>350</v>
      </c>
      <c r="O4" s="85" t="s">
        <v>324</v>
      </c>
      <c r="P4" s="85" t="s">
        <v>325</v>
      </c>
      <c r="Q4" s="85" t="s">
        <v>361</v>
      </c>
      <c r="R4" s="59"/>
      <c r="S4" s="59"/>
    </row>
    <row r="5" spans="1:19" x14ac:dyDescent="0.25">
      <c r="A5" s="59" t="s">
        <v>163</v>
      </c>
      <c r="B5" s="59" t="s">
        <v>409</v>
      </c>
      <c r="C5" s="59">
        <v>61.152999999999999</v>
      </c>
      <c r="D5" s="59">
        <v>34.755000000000003</v>
      </c>
      <c r="E5" s="59">
        <v>3.2240000000000002</v>
      </c>
      <c r="F5" s="59">
        <v>0.7</v>
      </c>
      <c r="G5" s="59">
        <v>42.807000000000002</v>
      </c>
      <c r="H5" s="59">
        <v>2.7810000000000001</v>
      </c>
      <c r="I5" s="59">
        <v>0.88</v>
      </c>
      <c r="J5" s="59">
        <v>2.056</v>
      </c>
      <c r="K5" s="59"/>
      <c r="L5" s="59"/>
      <c r="M5" s="59"/>
      <c r="N5" s="59"/>
      <c r="O5" s="59"/>
      <c r="P5" s="59"/>
      <c r="Q5" s="59"/>
      <c r="R5" s="59"/>
      <c r="S5" s="59"/>
    </row>
    <row r="6" spans="1:19" s="31" customFormat="1" x14ac:dyDescent="0.25">
      <c r="A6" s="250" t="s">
        <v>2</v>
      </c>
      <c r="B6" s="250" t="s">
        <v>410</v>
      </c>
      <c r="C6" s="250">
        <v>18</v>
      </c>
      <c r="D6" s="250">
        <v>38.578000000000003</v>
      </c>
      <c r="E6" s="250">
        <v>8.7669999999999995</v>
      </c>
      <c r="F6" s="250">
        <v>3.9</v>
      </c>
      <c r="G6" s="250">
        <v>70.355999999999995</v>
      </c>
      <c r="H6" s="250">
        <v>12.888</v>
      </c>
      <c r="I6" s="250">
        <v>2.5299999999999998</v>
      </c>
      <c r="J6" s="250">
        <v>3.5960000000000001</v>
      </c>
      <c r="K6" s="250"/>
      <c r="L6" s="251">
        <f>IFERROR(G6/E6,"")</f>
        <v>8.0250941028858218</v>
      </c>
      <c r="M6" s="251">
        <f>IFERROR(G6/D6,"")</f>
        <v>1.8237337342526827</v>
      </c>
      <c r="N6" s="252">
        <f>IFERROR(I6/D6,"")</f>
        <v>6.5581419461869447E-2</v>
      </c>
      <c r="O6" s="251">
        <f>IFERROR(I6/F6,"")</f>
        <v>0.64871794871794863</v>
      </c>
      <c r="P6" s="251">
        <f>IFERROR(E6/H6,"")</f>
        <v>0.68024518932340161</v>
      </c>
      <c r="Q6" s="252">
        <f>IFERROR(I6/G6,"")</f>
        <v>3.5959974984365227E-2</v>
      </c>
      <c r="R6" s="250"/>
      <c r="S6" s="250"/>
    </row>
    <row r="7" spans="1:19" s="31" customFormat="1" x14ac:dyDescent="0.25">
      <c r="A7" s="250" t="s">
        <v>175</v>
      </c>
      <c r="B7" s="250" t="s">
        <v>416</v>
      </c>
      <c r="C7" s="250">
        <v>21.7</v>
      </c>
      <c r="D7" s="250">
        <v>42.866999999999997</v>
      </c>
      <c r="E7" s="250">
        <v>7.2380000000000004</v>
      </c>
      <c r="F7" s="250">
        <v>4</v>
      </c>
      <c r="G7" s="250">
        <v>86.986999999999995</v>
      </c>
      <c r="H7" s="250">
        <v>13.189</v>
      </c>
      <c r="I7" s="250">
        <v>1.94</v>
      </c>
      <c r="J7" s="250">
        <v>2.23</v>
      </c>
      <c r="K7" s="250"/>
      <c r="L7" s="251">
        <f>IFERROR(G7/E7,"")</f>
        <v>12.018098922354239</v>
      </c>
      <c r="M7" s="251">
        <f t="shared" ref="M7:M66" si="0">IFERROR(G7/D7,"")</f>
        <v>2.0292299437795975</v>
      </c>
      <c r="N7" s="252">
        <f t="shared" ref="N7:N66" si="1">IFERROR(I7/D7,"")</f>
        <v>4.5256257727389372E-2</v>
      </c>
      <c r="O7" s="251">
        <f t="shared" ref="O7:O66" si="2">IFERROR(I7/F7,"")</f>
        <v>0.48499999999999999</v>
      </c>
      <c r="P7" s="251">
        <f t="shared" ref="P7:P66" si="3">IFERROR(E7/H7,"")</f>
        <v>0.54879065888240208</v>
      </c>
      <c r="Q7" s="252">
        <f t="shared" ref="Q7:Q66" si="4">IFERROR(I7/G7,"")</f>
        <v>2.2302183084828769E-2</v>
      </c>
      <c r="R7" s="250"/>
      <c r="S7" s="250"/>
    </row>
    <row r="8" spans="1:19" s="31" customFormat="1" x14ac:dyDescent="0.25">
      <c r="A8" s="250" t="s">
        <v>5</v>
      </c>
      <c r="B8" s="250" t="s">
        <v>46</v>
      </c>
      <c r="C8" s="250">
        <v>16.8</v>
      </c>
      <c r="D8" s="250">
        <v>36.356999999999999</v>
      </c>
      <c r="E8" s="250">
        <v>6.6109999999999998</v>
      </c>
      <c r="F8" s="250">
        <v>3.47</v>
      </c>
      <c r="G8" s="250">
        <v>58.372</v>
      </c>
      <c r="H8" s="250">
        <v>7.625</v>
      </c>
      <c r="I8" s="250">
        <v>1.93</v>
      </c>
      <c r="J8" s="250">
        <v>3.306</v>
      </c>
      <c r="K8" s="250"/>
      <c r="L8" s="251">
        <f>IFERROR(G8/E8,"")</f>
        <v>8.8295265466646509</v>
      </c>
      <c r="M8" s="251">
        <f t="shared" si="0"/>
        <v>1.6055230079489506</v>
      </c>
      <c r="N8" s="252">
        <f t="shared" si="1"/>
        <v>5.3084687955551886E-2</v>
      </c>
      <c r="O8" s="251">
        <f t="shared" si="2"/>
        <v>0.55619596541786742</v>
      </c>
      <c r="P8" s="251">
        <f t="shared" si="3"/>
        <v>0.86701639344262293</v>
      </c>
      <c r="Q8" s="252">
        <f t="shared" si="4"/>
        <v>3.3063797711231413E-2</v>
      </c>
      <c r="R8" s="250"/>
      <c r="S8" s="250"/>
    </row>
    <row r="9" spans="1:19" s="31" customFormat="1" x14ac:dyDescent="0.25">
      <c r="A9" s="250" t="s">
        <v>9</v>
      </c>
      <c r="B9" s="250" t="s">
        <v>47</v>
      </c>
      <c r="C9" s="250">
        <v>20.3</v>
      </c>
      <c r="D9" s="250">
        <v>16.78</v>
      </c>
      <c r="E9" s="250">
        <v>5.6109999999999998</v>
      </c>
      <c r="F9" s="250">
        <v>2.3199999999999998</v>
      </c>
      <c r="G9" s="250">
        <v>47.125</v>
      </c>
      <c r="H9" s="250">
        <v>7.319</v>
      </c>
      <c r="I9" s="250">
        <v>1.43</v>
      </c>
      <c r="J9" s="250">
        <v>3.0339999999999998</v>
      </c>
      <c r="K9" s="250"/>
      <c r="L9" s="251">
        <f t="shared" ref="L9:L66" si="5">IFERROR(G9/E9,"")</f>
        <v>8.3986811620032089</v>
      </c>
      <c r="M9" s="251">
        <f t="shared" si="0"/>
        <v>2.8084028605482714</v>
      </c>
      <c r="N9" s="252">
        <f t="shared" si="1"/>
        <v>8.5220500595947546E-2</v>
      </c>
      <c r="O9" s="251">
        <f t="shared" si="2"/>
        <v>0.61637931034482762</v>
      </c>
      <c r="P9" s="251">
        <f t="shared" si="3"/>
        <v>0.76663478617297443</v>
      </c>
      <c r="Q9" s="252">
        <f t="shared" si="4"/>
        <v>3.0344827586206897E-2</v>
      </c>
      <c r="R9" s="250"/>
      <c r="S9" s="250"/>
    </row>
    <row r="10" spans="1:19" s="31" customFormat="1" x14ac:dyDescent="0.25">
      <c r="A10" s="250" t="s">
        <v>177</v>
      </c>
      <c r="B10" s="250" t="s">
        <v>418</v>
      </c>
      <c r="C10" s="250">
        <v>30.3</v>
      </c>
      <c r="D10" s="250">
        <v>15.191000000000001</v>
      </c>
      <c r="E10" s="250">
        <v>3.1080000000000001</v>
      </c>
      <c r="F10" s="250">
        <v>1.36</v>
      </c>
      <c r="G10" s="250">
        <v>41.210999999999999</v>
      </c>
      <c r="H10" s="250">
        <v>5.6529999999999996</v>
      </c>
      <c r="I10" s="250">
        <v>0.75</v>
      </c>
      <c r="J10" s="250">
        <v>1.82</v>
      </c>
      <c r="K10" s="250"/>
      <c r="L10" s="251">
        <f t="shared" si="5"/>
        <v>13.25965250965251</v>
      </c>
      <c r="M10" s="251">
        <f t="shared" si="0"/>
        <v>2.7128562964913434</v>
      </c>
      <c r="N10" s="252">
        <f t="shared" si="1"/>
        <v>4.9371338292409979E-2</v>
      </c>
      <c r="O10" s="251">
        <f t="shared" si="2"/>
        <v>0.55147058823529405</v>
      </c>
      <c r="P10" s="251">
        <f t="shared" si="3"/>
        <v>0.54979656819387945</v>
      </c>
      <c r="Q10" s="252">
        <f t="shared" si="4"/>
        <v>1.8199024532285071E-2</v>
      </c>
      <c r="R10" s="250"/>
      <c r="S10" s="250"/>
    </row>
    <row r="11" spans="1:19" s="31" customFormat="1" x14ac:dyDescent="0.25">
      <c r="A11" s="250" t="s">
        <v>178</v>
      </c>
      <c r="B11" s="250" t="s">
        <v>419</v>
      </c>
      <c r="C11" s="250">
        <v>22.9</v>
      </c>
      <c r="D11" s="250">
        <v>31.654</v>
      </c>
      <c r="E11" s="250">
        <v>6.4669999999999996</v>
      </c>
      <c r="F11" s="250">
        <v>3.45</v>
      </c>
      <c r="G11" s="250">
        <v>79.132999999999996</v>
      </c>
      <c r="H11" s="250">
        <v>16.471</v>
      </c>
      <c r="I11" s="250">
        <v>1.39</v>
      </c>
      <c r="J11" s="250">
        <v>1.7569999999999999</v>
      </c>
      <c r="K11" s="250"/>
      <c r="L11" s="251">
        <f t="shared" si="5"/>
        <v>12.23643111179836</v>
      </c>
      <c r="M11" s="251">
        <f t="shared" si="0"/>
        <v>2.4999368168319958</v>
      </c>
      <c r="N11" s="252">
        <f t="shared" si="1"/>
        <v>4.3912301762810385E-2</v>
      </c>
      <c r="O11" s="251">
        <f t="shared" si="2"/>
        <v>0.40289855072463765</v>
      </c>
      <c r="P11" s="251">
        <f t="shared" si="3"/>
        <v>0.39262946997753623</v>
      </c>
      <c r="Q11" s="252">
        <f t="shared" si="4"/>
        <v>1.7565364639278176E-2</v>
      </c>
      <c r="R11" s="250"/>
      <c r="S11" s="250"/>
    </row>
    <row r="12" spans="1:19" s="31" customFormat="1" x14ac:dyDescent="0.25">
      <c r="A12" s="250" t="s">
        <v>180</v>
      </c>
      <c r="B12" s="250" t="s">
        <v>420</v>
      </c>
      <c r="C12" s="250">
        <v>46.325000000000003</v>
      </c>
      <c r="D12" s="250">
        <v>24.402000000000001</v>
      </c>
      <c r="E12" s="250">
        <v>2.9350000000000001</v>
      </c>
      <c r="F12" s="250">
        <v>1.38</v>
      </c>
      <c r="G12" s="250">
        <v>63.929000000000002</v>
      </c>
      <c r="H12" s="250">
        <v>4.7309999999999999</v>
      </c>
      <c r="I12" s="250">
        <v>1.24</v>
      </c>
      <c r="J12" s="250">
        <v>1.94</v>
      </c>
      <c r="K12" s="250"/>
      <c r="L12" s="251">
        <f t="shared" si="5"/>
        <v>21.781601362862009</v>
      </c>
      <c r="M12" s="251">
        <f t="shared" si="0"/>
        <v>2.6198262437505124</v>
      </c>
      <c r="N12" s="252">
        <f t="shared" si="1"/>
        <v>5.0815506925661828E-2</v>
      </c>
      <c r="O12" s="251">
        <f t="shared" si="2"/>
        <v>0.89855072463768126</v>
      </c>
      <c r="P12" s="251">
        <f t="shared" si="3"/>
        <v>0.6203762418093427</v>
      </c>
      <c r="Q12" s="252">
        <f t="shared" si="4"/>
        <v>1.9396518012169749E-2</v>
      </c>
      <c r="R12" s="250"/>
      <c r="S12" s="250"/>
    </row>
    <row r="13" spans="1:19" s="31" customFormat="1" x14ac:dyDescent="0.25">
      <c r="A13" s="250" t="s">
        <v>10</v>
      </c>
      <c r="B13" s="250" t="s">
        <v>50</v>
      </c>
      <c r="C13" s="250">
        <v>17.100000000000001</v>
      </c>
      <c r="D13" s="250">
        <v>52.106000000000002</v>
      </c>
      <c r="E13" s="250">
        <v>8.9160000000000004</v>
      </c>
      <c r="F13" s="250">
        <v>4.55</v>
      </c>
      <c r="G13" s="250">
        <v>77.8</v>
      </c>
      <c r="H13" s="250">
        <v>10.894</v>
      </c>
      <c r="I13" s="250">
        <v>2.86</v>
      </c>
      <c r="J13" s="250">
        <v>3.6760000000000002</v>
      </c>
      <c r="K13" s="250"/>
      <c r="L13" s="251">
        <f t="shared" si="5"/>
        <v>8.7258860475549564</v>
      </c>
      <c r="M13" s="251">
        <f t="shared" si="0"/>
        <v>1.4931101984416382</v>
      </c>
      <c r="N13" s="252">
        <f t="shared" si="1"/>
        <v>5.4888112693355848E-2</v>
      </c>
      <c r="O13" s="251">
        <f t="shared" si="2"/>
        <v>0.62857142857142856</v>
      </c>
      <c r="P13" s="251">
        <f t="shared" si="3"/>
        <v>0.81843216449421707</v>
      </c>
      <c r="Q13" s="252">
        <f t="shared" si="4"/>
        <v>3.6760925449871466E-2</v>
      </c>
      <c r="R13" s="250"/>
      <c r="S13" s="250"/>
    </row>
    <row r="14" spans="1:19" s="31" customFormat="1" x14ac:dyDescent="0.25">
      <c r="A14" s="250" t="s">
        <v>12</v>
      </c>
      <c r="B14" s="250" t="s">
        <v>51</v>
      </c>
      <c r="C14" s="250">
        <v>17.399999999999999</v>
      </c>
      <c r="D14" s="250">
        <v>56.27</v>
      </c>
      <c r="E14" s="250">
        <v>12.582000000000001</v>
      </c>
      <c r="F14" s="250">
        <v>6.17</v>
      </c>
      <c r="G14" s="250">
        <v>107.39400000000001</v>
      </c>
      <c r="H14" s="250">
        <v>14.913</v>
      </c>
      <c r="I14" s="250">
        <v>3.59</v>
      </c>
      <c r="J14" s="250">
        <v>3.343</v>
      </c>
      <c r="K14" s="250"/>
      <c r="L14" s="251">
        <f t="shared" si="5"/>
        <v>8.5355269432522647</v>
      </c>
      <c r="M14" s="251">
        <f t="shared" si="0"/>
        <v>1.9085480717966945</v>
      </c>
      <c r="N14" s="252">
        <f t="shared" si="1"/>
        <v>6.379953794206504E-2</v>
      </c>
      <c r="O14" s="251">
        <f t="shared" si="2"/>
        <v>0.58184764991896276</v>
      </c>
      <c r="P14" s="251">
        <f t="shared" si="3"/>
        <v>0.84369342184671092</v>
      </c>
      <c r="Q14" s="252">
        <f t="shared" si="4"/>
        <v>3.342831070637093E-2</v>
      </c>
      <c r="R14" s="250"/>
      <c r="S14" s="250"/>
    </row>
    <row r="15" spans="1:19" s="31" customFormat="1" x14ac:dyDescent="0.25">
      <c r="A15" s="250" t="s">
        <v>11</v>
      </c>
      <c r="B15" s="250" t="s">
        <v>422</v>
      </c>
      <c r="C15" s="250">
        <v>17.5</v>
      </c>
      <c r="D15" s="250">
        <v>29.53</v>
      </c>
      <c r="E15" s="250">
        <v>6.4770000000000003</v>
      </c>
      <c r="F15" s="250">
        <v>3.25</v>
      </c>
      <c r="G15" s="250">
        <v>70.837000000000003</v>
      </c>
      <c r="H15" s="250">
        <v>6.2480000000000002</v>
      </c>
      <c r="I15" s="250">
        <v>3.34</v>
      </c>
      <c r="J15" s="250">
        <v>4.7149999999999999</v>
      </c>
      <c r="K15" s="250"/>
      <c r="L15" s="251">
        <f t="shared" si="5"/>
        <v>10.936699089084453</v>
      </c>
      <c r="M15" s="251">
        <f t="shared" si="0"/>
        <v>2.3988147646461226</v>
      </c>
      <c r="N15" s="252">
        <f t="shared" si="1"/>
        <v>0.11310531662715881</v>
      </c>
      <c r="O15" s="251">
        <f t="shared" si="2"/>
        <v>1.0276923076923077</v>
      </c>
      <c r="P15" s="251">
        <f t="shared" si="3"/>
        <v>1.0366517285531369</v>
      </c>
      <c r="Q15" s="252">
        <f t="shared" si="4"/>
        <v>4.7150500444682858E-2</v>
      </c>
      <c r="R15" s="250"/>
      <c r="S15" s="250"/>
    </row>
    <row r="16" spans="1:19" s="31" customFormat="1" x14ac:dyDescent="0.25">
      <c r="A16" s="250" t="s">
        <v>14</v>
      </c>
      <c r="B16" s="250" t="s">
        <v>53</v>
      </c>
      <c r="C16" s="250"/>
      <c r="D16" s="250">
        <v>32.100999999999999</v>
      </c>
      <c r="E16" s="250">
        <v>4.6929999999999996</v>
      </c>
      <c r="F16" s="250">
        <v>-1.26</v>
      </c>
      <c r="G16" s="250">
        <v>63.176000000000002</v>
      </c>
      <c r="H16" s="250">
        <v>13.839</v>
      </c>
      <c r="I16" s="250">
        <v>2.4279999999999999</v>
      </c>
      <c r="J16" s="250">
        <v>3.843</v>
      </c>
      <c r="K16" s="250"/>
      <c r="L16" s="251">
        <f t="shared" si="5"/>
        <v>13.461751544854039</v>
      </c>
      <c r="M16" s="251">
        <f t="shared" si="0"/>
        <v>1.9680383788667022</v>
      </c>
      <c r="N16" s="252">
        <f t="shared" si="1"/>
        <v>7.5636273013301766E-2</v>
      </c>
      <c r="O16" s="251">
        <f t="shared" si="2"/>
        <v>-1.926984126984127</v>
      </c>
      <c r="P16" s="251">
        <f t="shared" si="3"/>
        <v>0.33911409783943924</v>
      </c>
      <c r="Q16" s="252">
        <f t="shared" si="4"/>
        <v>3.8432316069393437E-2</v>
      </c>
      <c r="R16" s="250"/>
      <c r="S16" s="250"/>
    </row>
    <row r="17" spans="1:19" s="31" customFormat="1" x14ac:dyDescent="0.25">
      <c r="A17" s="250" t="s">
        <v>37</v>
      </c>
      <c r="B17" s="250" t="s">
        <v>54</v>
      </c>
      <c r="C17" s="250">
        <v>20.399999999999999</v>
      </c>
      <c r="D17" s="250">
        <v>54.351999999999997</v>
      </c>
      <c r="E17" s="250">
        <v>11.068</v>
      </c>
      <c r="F17" s="250">
        <v>5.48</v>
      </c>
      <c r="G17" s="250">
        <v>111.804</v>
      </c>
      <c r="H17" s="250">
        <v>13.821999999999999</v>
      </c>
      <c r="I17" s="250">
        <v>3.58</v>
      </c>
      <c r="J17" s="250">
        <v>3.202</v>
      </c>
      <c r="K17" s="250"/>
      <c r="L17" s="251">
        <f t="shared" si="5"/>
        <v>10.101554029634984</v>
      </c>
      <c r="M17" s="251">
        <f t="shared" si="0"/>
        <v>2.05703561966441</v>
      </c>
      <c r="N17" s="252">
        <f t="shared" si="1"/>
        <v>6.5866941418899039E-2</v>
      </c>
      <c r="O17" s="251">
        <f t="shared" si="2"/>
        <v>0.65328467153284664</v>
      </c>
      <c r="P17" s="251">
        <f t="shared" si="3"/>
        <v>0.80075242367240629</v>
      </c>
      <c r="Q17" s="252">
        <f t="shared" si="4"/>
        <v>3.2020321276519624E-2</v>
      </c>
      <c r="R17" s="250"/>
      <c r="S17" s="250"/>
    </row>
    <row r="18" spans="1:19" s="31" customFormat="1" x14ac:dyDescent="0.25">
      <c r="A18" s="250" t="s">
        <v>17</v>
      </c>
      <c r="B18" s="250" t="s">
        <v>55</v>
      </c>
      <c r="C18" s="250">
        <v>13.8</v>
      </c>
      <c r="D18" s="250">
        <v>46.780999999999999</v>
      </c>
      <c r="E18" s="250">
        <v>16.495999999999999</v>
      </c>
      <c r="F18" s="250">
        <v>5.88</v>
      </c>
      <c r="G18" s="250">
        <v>81.197000000000003</v>
      </c>
      <c r="H18" s="250">
        <v>22.452000000000002</v>
      </c>
      <c r="I18" s="250">
        <v>3.58</v>
      </c>
      <c r="J18" s="250">
        <v>4.4089999999999998</v>
      </c>
      <c r="K18" s="250"/>
      <c r="L18" s="251">
        <f t="shared" si="5"/>
        <v>4.9222235693501464</v>
      </c>
      <c r="M18" s="251">
        <f t="shared" si="0"/>
        <v>1.7356832902246639</v>
      </c>
      <c r="N18" s="252">
        <f t="shared" si="1"/>
        <v>7.652679506637311E-2</v>
      </c>
      <c r="O18" s="251">
        <f t="shared" si="2"/>
        <v>0.608843537414966</v>
      </c>
      <c r="P18" s="251">
        <f t="shared" si="3"/>
        <v>0.73472296454658814</v>
      </c>
      <c r="Q18" s="252">
        <f t="shared" si="4"/>
        <v>4.4090298902668815E-2</v>
      </c>
      <c r="R18" s="250"/>
      <c r="S18" s="250"/>
    </row>
    <row r="19" spans="1:19" s="31" customFormat="1" x14ac:dyDescent="0.25">
      <c r="A19" s="250" t="s">
        <v>141</v>
      </c>
      <c r="B19" s="250" t="s">
        <v>427</v>
      </c>
      <c r="C19" s="250">
        <v>24.8</v>
      </c>
      <c r="D19" s="250">
        <v>71.430999999999997</v>
      </c>
      <c r="E19" s="250">
        <v>15.37</v>
      </c>
      <c r="F19" s="250">
        <v>6.67</v>
      </c>
      <c r="G19" s="250">
        <v>165.42400000000001</v>
      </c>
      <c r="H19" s="250">
        <v>27.204999999999998</v>
      </c>
      <c r="I19" s="250">
        <v>4.4400000000000004</v>
      </c>
      <c r="J19" s="250">
        <v>2.6840000000000002</v>
      </c>
      <c r="K19" s="250"/>
      <c r="L19" s="251">
        <f t="shared" si="5"/>
        <v>10.762784645413143</v>
      </c>
      <c r="M19" s="251">
        <f t="shared" si="0"/>
        <v>2.3158572608531314</v>
      </c>
      <c r="N19" s="252">
        <f t="shared" si="1"/>
        <v>6.2157886631854523E-2</v>
      </c>
      <c r="O19" s="251">
        <f t="shared" si="2"/>
        <v>0.66566716641679169</v>
      </c>
      <c r="P19" s="251">
        <f t="shared" si="3"/>
        <v>0.5649696746921522</v>
      </c>
      <c r="Q19" s="252">
        <f t="shared" si="4"/>
        <v>2.6840119934229616E-2</v>
      </c>
      <c r="R19" s="250"/>
      <c r="S19" s="250"/>
    </row>
    <row r="20" spans="1:19" s="31" customFormat="1" x14ac:dyDescent="0.25">
      <c r="A20" s="250" t="s">
        <v>266</v>
      </c>
      <c r="B20" s="250" t="s">
        <v>424</v>
      </c>
      <c r="C20" s="250">
        <v>17.100000000000001</v>
      </c>
      <c r="D20" s="250">
        <v>34.795999999999999</v>
      </c>
      <c r="E20" s="250">
        <v>5.3979999999999997</v>
      </c>
      <c r="F20" s="250">
        <v>2.52</v>
      </c>
      <c r="G20" s="250">
        <v>43.042000000000002</v>
      </c>
      <c r="H20" s="250">
        <v>7.51</v>
      </c>
      <c r="I20" s="250">
        <v>1.75</v>
      </c>
      <c r="J20" s="250">
        <v>4.0659999999999998</v>
      </c>
      <c r="K20" s="250"/>
      <c r="L20" s="251">
        <f t="shared" si="5"/>
        <v>7.9736939607261954</v>
      </c>
      <c r="M20" s="251">
        <f t="shared" si="0"/>
        <v>1.2369812622140477</v>
      </c>
      <c r="N20" s="252">
        <f t="shared" si="1"/>
        <v>5.0293137142200253E-2</v>
      </c>
      <c r="O20" s="251">
        <f t="shared" si="2"/>
        <v>0.69444444444444442</v>
      </c>
      <c r="P20" s="251">
        <f t="shared" si="3"/>
        <v>0.7187749667110519</v>
      </c>
      <c r="Q20" s="252">
        <f t="shared" si="4"/>
        <v>4.065796199061382E-2</v>
      </c>
      <c r="R20" s="250"/>
      <c r="S20" s="250"/>
    </row>
    <row r="21" spans="1:19" s="31" customFormat="1" x14ac:dyDescent="0.25">
      <c r="A21" s="250" t="s">
        <v>21</v>
      </c>
      <c r="B21" s="250" t="s">
        <v>58</v>
      </c>
      <c r="C21" s="250">
        <v>18.899999999999999</v>
      </c>
      <c r="D21" s="250">
        <v>19.859000000000002</v>
      </c>
      <c r="E21" s="250">
        <v>4.2009999999999996</v>
      </c>
      <c r="F21" s="250">
        <v>1.85</v>
      </c>
      <c r="G21" s="250">
        <v>35.048999999999999</v>
      </c>
      <c r="H21" s="250">
        <v>4.9349999999999996</v>
      </c>
      <c r="I21" s="250">
        <v>1.24</v>
      </c>
      <c r="J21" s="250">
        <v>3.5379999999999998</v>
      </c>
      <c r="K21" s="250"/>
      <c r="L21" s="251">
        <f t="shared" si="5"/>
        <v>8.3430135681980495</v>
      </c>
      <c r="M21" s="251">
        <f t="shared" si="0"/>
        <v>1.7648924920690869</v>
      </c>
      <c r="N21" s="252">
        <f t="shared" si="1"/>
        <v>6.2440203434211181E-2</v>
      </c>
      <c r="O21" s="251">
        <f t="shared" si="2"/>
        <v>0.6702702702702702</v>
      </c>
      <c r="P21" s="251">
        <f t="shared" si="3"/>
        <v>0.85126646403242145</v>
      </c>
      <c r="Q21" s="252">
        <f t="shared" si="4"/>
        <v>3.5379040771491344E-2</v>
      </c>
      <c r="R21" s="250"/>
      <c r="S21" s="250"/>
    </row>
    <row r="22" spans="1:19" s="31" customFormat="1" x14ac:dyDescent="0.25">
      <c r="A22" s="250" t="s">
        <v>22</v>
      </c>
      <c r="B22" s="250" t="s">
        <v>59</v>
      </c>
      <c r="C22" s="250">
        <v>20.5</v>
      </c>
      <c r="D22" s="250">
        <v>47.012</v>
      </c>
      <c r="E22" s="250">
        <v>7.8520000000000003</v>
      </c>
      <c r="F22" s="250">
        <v>4.49</v>
      </c>
      <c r="G22" s="250">
        <v>92.058000000000007</v>
      </c>
      <c r="H22" s="250">
        <v>5.5110000000000001</v>
      </c>
      <c r="I22" s="250">
        <v>2.4</v>
      </c>
      <c r="J22" s="250">
        <v>2.6070000000000002</v>
      </c>
      <c r="K22" s="250"/>
      <c r="L22" s="251">
        <f t="shared" si="5"/>
        <v>11.724146714212941</v>
      </c>
      <c r="M22" s="251">
        <f t="shared" si="0"/>
        <v>1.9581808899855357</v>
      </c>
      <c r="N22" s="252">
        <f t="shared" si="1"/>
        <v>5.1050795541563852E-2</v>
      </c>
      <c r="O22" s="251">
        <f t="shared" si="2"/>
        <v>0.53452115812917589</v>
      </c>
      <c r="P22" s="251">
        <f t="shared" si="3"/>
        <v>1.4247867900562512</v>
      </c>
      <c r="Q22" s="252">
        <f t="shared" si="4"/>
        <v>2.6070520758652151E-2</v>
      </c>
      <c r="R22" s="250"/>
      <c r="S22" s="250"/>
    </row>
    <row r="23" spans="1:19" s="31" customFormat="1" x14ac:dyDescent="0.25">
      <c r="A23" s="250" t="s">
        <v>244</v>
      </c>
      <c r="B23" s="250" t="s">
        <v>434</v>
      </c>
      <c r="C23" s="250">
        <v>16.7</v>
      </c>
      <c r="D23" s="250">
        <v>44.51</v>
      </c>
      <c r="E23" s="250">
        <v>7.5510000000000002</v>
      </c>
      <c r="F23" s="250">
        <v>4.33</v>
      </c>
      <c r="G23" s="250">
        <v>72.492000000000004</v>
      </c>
      <c r="H23" s="250">
        <v>9.8559999999999999</v>
      </c>
      <c r="I23" s="250">
        <v>2.25</v>
      </c>
      <c r="J23" s="250">
        <v>3.1040000000000001</v>
      </c>
      <c r="K23" s="250"/>
      <c r="L23" s="251">
        <f t="shared" si="5"/>
        <v>9.6003178386968617</v>
      </c>
      <c r="M23" s="251">
        <f t="shared" si="0"/>
        <v>1.6286677151201978</v>
      </c>
      <c r="N23" s="252">
        <f t="shared" si="1"/>
        <v>5.0550438103796905E-2</v>
      </c>
      <c r="O23" s="251">
        <f t="shared" si="2"/>
        <v>0.51963048498845266</v>
      </c>
      <c r="P23" s="251">
        <f t="shared" si="3"/>
        <v>0.76613230519480524</v>
      </c>
      <c r="Q23" s="252">
        <f t="shared" si="4"/>
        <v>3.1037907631186887E-2</v>
      </c>
      <c r="R23" s="250"/>
      <c r="S23" s="250"/>
    </row>
    <row r="24" spans="1:19" s="31" customFormat="1" x14ac:dyDescent="0.25">
      <c r="A24" s="250" t="s">
        <v>25</v>
      </c>
      <c r="B24" s="250" t="s">
        <v>61</v>
      </c>
      <c r="C24" s="250">
        <v>25.1</v>
      </c>
      <c r="D24" s="250">
        <v>23.556000000000001</v>
      </c>
      <c r="E24" s="250">
        <v>4.0570000000000004</v>
      </c>
      <c r="F24" s="250">
        <v>2.4300000000000002</v>
      </c>
      <c r="G24" s="250">
        <v>61.024999999999999</v>
      </c>
      <c r="H24" s="250">
        <v>6.1210000000000004</v>
      </c>
      <c r="I24" s="250">
        <v>1.32</v>
      </c>
      <c r="J24" s="250">
        <v>2.1629999999999998</v>
      </c>
      <c r="K24" s="250"/>
      <c r="L24" s="251">
        <f t="shared" si="5"/>
        <v>15.041902883904362</v>
      </c>
      <c r="M24" s="251">
        <f t="shared" si="0"/>
        <v>2.5906350823569366</v>
      </c>
      <c r="N24" s="252">
        <f t="shared" si="1"/>
        <v>5.6036678553234846E-2</v>
      </c>
      <c r="O24" s="251">
        <f t="shared" si="2"/>
        <v>0.54320987654320985</v>
      </c>
      <c r="P24" s="251">
        <f t="shared" si="3"/>
        <v>0.66280019604639762</v>
      </c>
      <c r="Q24" s="252">
        <f t="shared" si="4"/>
        <v>2.1630479311757479E-2</v>
      </c>
      <c r="R24" s="250"/>
      <c r="S24" s="250"/>
    </row>
    <row r="25" spans="1:19" s="31" customFormat="1" x14ac:dyDescent="0.25">
      <c r="A25" s="250" t="s">
        <v>188</v>
      </c>
      <c r="B25" s="250" t="s">
        <v>425</v>
      </c>
      <c r="C25" s="250">
        <v>22.2</v>
      </c>
      <c r="D25" s="250">
        <v>15.167</v>
      </c>
      <c r="E25" s="250">
        <v>2.8860000000000001</v>
      </c>
      <c r="F25" s="250">
        <v>1.96</v>
      </c>
      <c r="G25" s="250">
        <v>43.466999999999999</v>
      </c>
      <c r="H25" s="250">
        <v>4.3949999999999996</v>
      </c>
      <c r="I25" s="250">
        <v>0.91100000000000003</v>
      </c>
      <c r="J25" s="250">
        <v>2.0960000000000001</v>
      </c>
      <c r="K25" s="250"/>
      <c r="L25" s="251">
        <f t="shared" si="5"/>
        <v>15.061330561330561</v>
      </c>
      <c r="M25" s="251">
        <f t="shared" si="0"/>
        <v>2.8658930572954442</v>
      </c>
      <c r="N25" s="252">
        <f t="shared" si="1"/>
        <v>6.0064613964528252E-2</v>
      </c>
      <c r="O25" s="251">
        <f t="shared" si="2"/>
        <v>0.46479591836734696</v>
      </c>
      <c r="P25" s="251">
        <f t="shared" si="3"/>
        <v>0.65665529010238921</v>
      </c>
      <c r="Q25" s="252">
        <f t="shared" si="4"/>
        <v>2.0958428232912326E-2</v>
      </c>
      <c r="R25" s="250"/>
      <c r="S25" s="250"/>
    </row>
    <row r="26" spans="1:19" s="31" customFormat="1" x14ac:dyDescent="0.25">
      <c r="A26" s="250" t="s">
        <v>26</v>
      </c>
      <c r="B26" s="250" t="s">
        <v>62</v>
      </c>
      <c r="C26" s="250">
        <v>19.3</v>
      </c>
      <c r="D26" s="250">
        <v>13.081</v>
      </c>
      <c r="E26" s="250">
        <v>2.823</v>
      </c>
      <c r="F26" s="250">
        <v>1.3</v>
      </c>
      <c r="G26" s="250">
        <v>25.146000000000001</v>
      </c>
      <c r="H26" s="250">
        <v>4.883</v>
      </c>
      <c r="I26" s="250">
        <v>0.78</v>
      </c>
      <c r="J26" s="250">
        <v>3.1019999999999999</v>
      </c>
      <c r="K26" s="250"/>
      <c r="L26" s="251">
        <f t="shared" si="5"/>
        <v>8.9075451647183854</v>
      </c>
      <c r="M26" s="251">
        <f t="shared" si="0"/>
        <v>1.9223300970873787</v>
      </c>
      <c r="N26" s="252">
        <f t="shared" si="1"/>
        <v>5.9628468771500652E-2</v>
      </c>
      <c r="O26" s="251">
        <f t="shared" si="2"/>
        <v>0.6</v>
      </c>
      <c r="P26" s="251">
        <f t="shared" si="3"/>
        <v>0.57812819987712472</v>
      </c>
      <c r="Q26" s="252">
        <f t="shared" si="4"/>
        <v>3.1018849916487713E-2</v>
      </c>
      <c r="R26" s="250"/>
      <c r="S26" s="250"/>
    </row>
    <row r="27" spans="1:19" s="31" customFormat="1" x14ac:dyDescent="0.25">
      <c r="A27" s="250" t="s">
        <v>190</v>
      </c>
      <c r="B27" s="250" t="s">
        <v>426</v>
      </c>
      <c r="C27" s="250">
        <v>15.6</v>
      </c>
      <c r="D27" s="250">
        <v>16.181999999999999</v>
      </c>
      <c r="E27" s="250">
        <v>3.72</v>
      </c>
      <c r="F27" s="250">
        <v>2.72</v>
      </c>
      <c r="G27" s="250">
        <v>42.545999999999999</v>
      </c>
      <c r="H27" s="250">
        <v>4.3860000000000001</v>
      </c>
      <c r="I27" s="250">
        <v>1.1120000000000001</v>
      </c>
      <c r="J27" s="250">
        <v>2.6139999999999999</v>
      </c>
      <c r="K27" s="250"/>
      <c r="L27" s="251">
        <f t="shared" si="5"/>
        <v>11.437096774193547</v>
      </c>
      <c r="M27" s="251">
        <f t="shared" si="0"/>
        <v>2.6292176492398962</v>
      </c>
      <c r="N27" s="252">
        <f t="shared" si="1"/>
        <v>6.8718329007539256E-2</v>
      </c>
      <c r="O27" s="251">
        <f t="shared" si="2"/>
        <v>0.4088235294117647</v>
      </c>
      <c r="P27" s="251">
        <f t="shared" si="3"/>
        <v>0.84815321477428185</v>
      </c>
      <c r="Q27" s="252">
        <f t="shared" si="4"/>
        <v>2.6136417054482209E-2</v>
      </c>
      <c r="R27" s="250"/>
      <c r="S27" s="250"/>
    </row>
    <row r="28" spans="1:19" s="31" customFormat="1" x14ac:dyDescent="0.25">
      <c r="A28" s="250" t="s">
        <v>211</v>
      </c>
      <c r="B28" s="250" t="s">
        <v>423</v>
      </c>
      <c r="C28" s="250">
        <v>18.7</v>
      </c>
      <c r="D28" s="250">
        <v>36.249000000000002</v>
      </c>
      <c r="E28" s="250">
        <v>6.6429999999999998</v>
      </c>
      <c r="F28" s="250">
        <v>3.25</v>
      </c>
      <c r="G28" s="250">
        <v>60.872999999999998</v>
      </c>
      <c r="H28" s="250">
        <v>7.9630000000000001</v>
      </c>
      <c r="I28" s="250">
        <v>2.02</v>
      </c>
      <c r="J28" s="250">
        <v>3.3180000000000001</v>
      </c>
      <c r="K28" s="250"/>
      <c r="L28" s="251">
        <f t="shared" si="5"/>
        <v>9.1634803552611768</v>
      </c>
      <c r="M28" s="251">
        <f t="shared" si="0"/>
        <v>1.6793014979723577</v>
      </c>
      <c r="N28" s="252">
        <f t="shared" si="1"/>
        <v>5.5725675191039749E-2</v>
      </c>
      <c r="O28" s="251">
        <f t="shared" si="2"/>
        <v>0.6215384615384616</v>
      </c>
      <c r="P28" s="251">
        <f t="shared" si="3"/>
        <v>0.8342333291473063</v>
      </c>
      <c r="Q28" s="252">
        <f t="shared" si="4"/>
        <v>3.3183841768928753E-2</v>
      </c>
      <c r="R28" s="250"/>
      <c r="S28" s="250"/>
    </row>
    <row r="29" spans="1:19" s="31" customFormat="1" x14ac:dyDescent="0.25">
      <c r="A29" s="250" t="s">
        <v>45</v>
      </c>
      <c r="B29" s="250" t="s">
        <v>65</v>
      </c>
      <c r="C29" s="250">
        <v>18.899999999999999</v>
      </c>
      <c r="D29" s="250">
        <v>23.777000000000001</v>
      </c>
      <c r="E29" s="250">
        <v>5.9180000000000001</v>
      </c>
      <c r="F29" s="250">
        <v>2.4700000000000002</v>
      </c>
      <c r="G29" s="250">
        <v>46.764000000000003</v>
      </c>
      <c r="H29" s="250">
        <v>7.6980000000000004</v>
      </c>
      <c r="I29" s="250">
        <v>1.52</v>
      </c>
      <c r="J29" s="250">
        <v>3.25</v>
      </c>
      <c r="K29" s="250"/>
      <c r="L29" s="251">
        <f t="shared" si="5"/>
        <v>7.9019939168638054</v>
      </c>
      <c r="M29" s="251">
        <f t="shared" si="0"/>
        <v>1.9667746141228919</v>
      </c>
      <c r="N29" s="252">
        <f t="shared" si="1"/>
        <v>6.3927324725575135E-2</v>
      </c>
      <c r="O29" s="251">
        <f t="shared" si="2"/>
        <v>0.61538461538461531</v>
      </c>
      <c r="P29" s="251">
        <f t="shared" si="3"/>
        <v>0.76877110937905946</v>
      </c>
      <c r="Q29" s="252">
        <f t="shared" si="4"/>
        <v>3.2503635274997861E-2</v>
      </c>
      <c r="R29" s="250"/>
      <c r="S29" s="250"/>
    </row>
    <row r="30" spans="1:19" s="31" customFormat="1" x14ac:dyDescent="0.25">
      <c r="A30" s="250" t="s">
        <v>192</v>
      </c>
      <c r="B30" s="250" t="s">
        <v>474</v>
      </c>
      <c r="C30" s="250">
        <v>26.6</v>
      </c>
      <c r="D30" s="250">
        <v>26.407</v>
      </c>
      <c r="E30" s="250">
        <v>5.2789999999999999</v>
      </c>
      <c r="F30" s="250">
        <v>2.33</v>
      </c>
      <c r="G30" s="250">
        <v>62.052</v>
      </c>
      <c r="H30" s="250">
        <v>7.4320000000000004</v>
      </c>
      <c r="I30" s="250">
        <v>1.89</v>
      </c>
      <c r="J30" s="250">
        <v>3.0459999999999998</v>
      </c>
      <c r="K30" s="250"/>
      <c r="L30" s="251">
        <f t="shared" si="5"/>
        <v>11.754498958136011</v>
      </c>
      <c r="M30" s="251">
        <f t="shared" si="0"/>
        <v>2.349831484076192</v>
      </c>
      <c r="N30" s="252">
        <f t="shared" si="1"/>
        <v>7.1571931684780543E-2</v>
      </c>
      <c r="O30" s="251">
        <f t="shared" si="2"/>
        <v>0.81115879828326176</v>
      </c>
      <c r="P30" s="251">
        <f t="shared" si="3"/>
        <v>0.71030678148546822</v>
      </c>
      <c r="Q30" s="252">
        <f t="shared" si="4"/>
        <v>3.0458325275575321E-2</v>
      </c>
      <c r="R30" s="250"/>
      <c r="S30" s="250"/>
    </row>
    <row r="31" spans="1:19" s="31" customFormat="1" x14ac:dyDescent="0.25">
      <c r="A31" s="250" t="s">
        <v>19</v>
      </c>
      <c r="B31" s="250" t="s">
        <v>66</v>
      </c>
      <c r="C31" s="250">
        <v>13.6</v>
      </c>
      <c r="D31" s="250">
        <v>13.172000000000001</v>
      </c>
      <c r="E31" s="250">
        <v>3.9830000000000001</v>
      </c>
      <c r="F31" s="250">
        <v>1.33</v>
      </c>
      <c r="G31" s="250">
        <v>35.210999999999999</v>
      </c>
      <c r="H31" s="250">
        <v>5.2249999999999996</v>
      </c>
      <c r="I31" s="250">
        <v>1.82</v>
      </c>
      <c r="J31" s="250">
        <v>5.1689999999999996</v>
      </c>
      <c r="K31" s="250"/>
      <c r="L31" s="251">
        <f t="shared" si="5"/>
        <v>8.8403213658046695</v>
      </c>
      <c r="M31" s="251">
        <f t="shared" si="0"/>
        <v>2.6731703613726085</v>
      </c>
      <c r="N31" s="252">
        <f t="shared" si="1"/>
        <v>0.13817187974491346</v>
      </c>
      <c r="O31" s="251">
        <f t="shared" si="2"/>
        <v>1.368421052631579</v>
      </c>
      <c r="P31" s="251">
        <f t="shared" si="3"/>
        <v>0.76229665071770347</v>
      </c>
      <c r="Q31" s="252">
        <f t="shared" si="4"/>
        <v>5.1688392831785522E-2</v>
      </c>
      <c r="R31" s="250"/>
      <c r="S31" s="250"/>
    </row>
    <row r="32" spans="1:19" s="31" customFormat="1" x14ac:dyDescent="0.25">
      <c r="A32" s="250" t="s">
        <v>27</v>
      </c>
      <c r="B32" s="250" t="s">
        <v>67</v>
      </c>
      <c r="C32" s="250">
        <v>16.5</v>
      </c>
      <c r="D32" s="250">
        <v>20.056000000000001</v>
      </c>
      <c r="E32" s="250">
        <v>3.7410000000000001</v>
      </c>
      <c r="F32" s="250">
        <v>2.12</v>
      </c>
      <c r="G32" s="250">
        <v>35.033000000000001</v>
      </c>
      <c r="H32" s="250">
        <v>2.8719999999999999</v>
      </c>
      <c r="I32" s="250">
        <v>1.395</v>
      </c>
      <c r="J32" s="250">
        <v>3.9820000000000002</v>
      </c>
      <c r="K32" s="250"/>
      <c r="L32" s="251">
        <f t="shared" si="5"/>
        <v>9.3646083934776794</v>
      </c>
      <c r="M32" s="251">
        <f t="shared" si="0"/>
        <v>1.7467590745911448</v>
      </c>
      <c r="N32" s="252">
        <f t="shared" si="1"/>
        <v>6.9555245313123251E-2</v>
      </c>
      <c r="O32" s="251">
        <f t="shared" si="2"/>
        <v>0.65801886792452824</v>
      </c>
      <c r="P32" s="251">
        <f t="shared" si="3"/>
        <v>1.3025766016713092</v>
      </c>
      <c r="Q32" s="252">
        <f t="shared" si="4"/>
        <v>3.981959866411669E-2</v>
      </c>
      <c r="R32" s="250"/>
      <c r="S32" s="250"/>
    </row>
    <row r="33" spans="1:19" s="31" customFormat="1" x14ac:dyDescent="0.25">
      <c r="A33" s="250" t="s">
        <v>28</v>
      </c>
      <c r="B33" s="250" t="s">
        <v>68</v>
      </c>
      <c r="C33" s="250">
        <v>22.2</v>
      </c>
      <c r="D33" s="250">
        <v>18.376000000000001</v>
      </c>
      <c r="E33" s="250">
        <v>3.9580000000000002</v>
      </c>
      <c r="F33" s="250">
        <v>2.06</v>
      </c>
      <c r="G33" s="250">
        <v>45.826000000000001</v>
      </c>
      <c r="H33" s="250">
        <v>2.6579999999999999</v>
      </c>
      <c r="I33" s="250">
        <v>1.34</v>
      </c>
      <c r="J33" s="250">
        <v>2.9239999999999999</v>
      </c>
      <c r="K33" s="250"/>
      <c r="L33" s="251">
        <f t="shared" si="5"/>
        <v>11.578069732187974</v>
      </c>
      <c r="M33" s="251">
        <f t="shared" si="0"/>
        <v>2.4937962559860685</v>
      </c>
      <c r="N33" s="252">
        <f t="shared" si="1"/>
        <v>7.2921201567261645E-2</v>
      </c>
      <c r="O33" s="251">
        <f t="shared" si="2"/>
        <v>0.65048543689320393</v>
      </c>
      <c r="P33" s="251">
        <f t="shared" si="3"/>
        <v>1.489089541008277</v>
      </c>
      <c r="Q33" s="252">
        <f t="shared" si="4"/>
        <v>2.9241042203116137E-2</v>
      </c>
      <c r="R33" s="250"/>
      <c r="S33" s="250"/>
    </row>
    <row r="34" spans="1:19" s="31" customFormat="1" x14ac:dyDescent="0.25">
      <c r="A34" s="250" t="s">
        <v>18</v>
      </c>
      <c r="B34" s="250" t="s">
        <v>69</v>
      </c>
      <c r="C34" s="250">
        <v>13.3</v>
      </c>
      <c r="D34" s="250">
        <v>31.774999999999999</v>
      </c>
      <c r="E34" s="250">
        <v>8.2430000000000003</v>
      </c>
      <c r="F34" s="250">
        <v>2.0699999999999998</v>
      </c>
      <c r="G34" s="250">
        <v>41.59</v>
      </c>
      <c r="H34" s="250">
        <v>7.8440000000000003</v>
      </c>
      <c r="I34" s="250">
        <v>1.38</v>
      </c>
      <c r="J34" s="250">
        <v>3.3180000000000001</v>
      </c>
      <c r="K34" s="250"/>
      <c r="L34" s="251">
        <f t="shared" si="5"/>
        <v>5.0454931456993819</v>
      </c>
      <c r="M34" s="251">
        <f t="shared" si="0"/>
        <v>1.3088906372934699</v>
      </c>
      <c r="N34" s="252">
        <f t="shared" si="1"/>
        <v>4.343036978756884E-2</v>
      </c>
      <c r="O34" s="251">
        <f t="shared" si="2"/>
        <v>0.66666666666666663</v>
      </c>
      <c r="P34" s="251">
        <f t="shared" si="3"/>
        <v>1.0508669046404895</v>
      </c>
      <c r="Q34" s="252">
        <f t="shared" si="4"/>
        <v>3.3181053137773496E-2</v>
      </c>
      <c r="R34" s="250"/>
      <c r="S34" s="250"/>
    </row>
    <row r="35" spans="1:19" s="31" customFormat="1" x14ac:dyDescent="0.25">
      <c r="A35" s="250" t="s">
        <v>34</v>
      </c>
      <c r="B35" s="250" t="s">
        <v>70</v>
      </c>
      <c r="C35" s="250">
        <v>11.3</v>
      </c>
      <c r="D35" s="250">
        <v>16.183</v>
      </c>
      <c r="E35" s="250">
        <v>4.1630000000000003</v>
      </c>
      <c r="F35" s="250">
        <v>2.58</v>
      </c>
      <c r="G35" s="250">
        <v>29.233000000000001</v>
      </c>
      <c r="H35" s="250">
        <v>4.4950000000000001</v>
      </c>
      <c r="I35" s="250">
        <v>1.64</v>
      </c>
      <c r="J35" s="250">
        <v>5.61</v>
      </c>
      <c r="K35" s="250"/>
      <c r="L35" s="251">
        <f t="shared" si="5"/>
        <v>7.0220994475138117</v>
      </c>
      <c r="M35" s="251">
        <f t="shared" si="0"/>
        <v>1.8064017796453069</v>
      </c>
      <c r="N35" s="252">
        <f t="shared" si="1"/>
        <v>0.10134091330408453</v>
      </c>
      <c r="O35" s="251">
        <f t="shared" si="2"/>
        <v>0.63565891472868208</v>
      </c>
      <c r="P35" s="251">
        <f t="shared" si="3"/>
        <v>0.92614015572858732</v>
      </c>
      <c r="Q35" s="252">
        <f t="shared" si="4"/>
        <v>5.6100981767180924E-2</v>
      </c>
      <c r="R35" s="250"/>
      <c r="S35" s="250"/>
    </row>
    <row r="36" spans="1:19" s="31" customFormat="1" x14ac:dyDescent="0.25">
      <c r="A36" s="250" t="s">
        <v>30</v>
      </c>
      <c r="B36" s="250" t="s">
        <v>71</v>
      </c>
      <c r="C36" s="250"/>
      <c r="D36" s="250">
        <v>24.312999999999999</v>
      </c>
      <c r="E36" s="250">
        <v>-7.3049999999999997</v>
      </c>
      <c r="F36" s="250">
        <v>-13.25</v>
      </c>
      <c r="G36" s="250">
        <v>41.295999999999999</v>
      </c>
      <c r="H36" s="250">
        <v>12.519</v>
      </c>
      <c r="I36" s="250">
        <v>0</v>
      </c>
      <c r="J36" s="250"/>
      <c r="K36" s="250"/>
      <c r="L36" s="251">
        <f t="shared" si="5"/>
        <v>-5.6531143052703632</v>
      </c>
      <c r="M36" s="251">
        <f t="shared" si="0"/>
        <v>1.6985151976308972</v>
      </c>
      <c r="N36" s="252">
        <f t="shared" si="1"/>
        <v>0</v>
      </c>
      <c r="O36" s="251">
        <f t="shared" si="2"/>
        <v>0</v>
      </c>
      <c r="P36" s="251">
        <f t="shared" si="3"/>
        <v>-0.58351306014857418</v>
      </c>
      <c r="Q36" s="252">
        <f t="shared" si="4"/>
        <v>0</v>
      </c>
      <c r="R36" s="250"/>
      <c r="S36" s="250"/>
    </row>
    <row r="37" spans="1:19" s="31" customFormat="1" x14ac:dyDescent="0.25">
      <c r="A37" s="250" t="s">
        <v>171</v>
      </c>
      <c r="B37" s="250" t="s">
        <v>414</v>
      </c>
      <c r="C37" s="250">
        <v>32.569000000000003</v>
      </c>
      <c r="D37" s="250">
        <v>11.282999999999999</v>
      </c>
      <c r="E37" s="250">
        <v>1.9019999999999999</v>
      </c>
      <c r="F37" s="250">
        <v>1.08</v>
      </c>
      <c r="G37" s="250">
        <v>35.173999999999999</v>
      </c>
      <c r="H37" s="250">
        <v>2.7839999999999998</v>
      </c>
      <c r="I37" s="250">
        <v>0.85</v>
      </c>
      <c r="J37" s="250">
        <v>2.4169999999999998</v>
      </c>
      <c r="K37" s="250"/>
      <c r="L37" s="251">
        <f t="shared" si="5"/>
        <v>18.493165089379602</v>
      </c>
      <c r="M37" s="251">
        <f t="shared" si="0"/>
        <v>3.11743330674466</v>
      </c>
      <c r="N37" s="252">
        <f t="shared" si="1"/>
        <v>7.5334574138083851E-2</v>
      </c>
      <c r="O37" s="251">
        <f t="shared" si="2"/>
        <v>0.78703703703703698</v>
      </c>
      <c r="P37" s="251">
        <f t="shared" si="3"/>
        <v>0.68318965517241381</v>
      </c>
      <c r="Q37" s="252">
        <f t="shared" si="4"/>
        <v>2.4165576846534371E-2</v>
      </c>
      <c r="R37" s="250"/>
      <c r="S37" s="250"/>
    </row>
    <row r="38" spans="1:19" s="31" customFormat="1" x14ac:dyDescent="0.25">
      <c r="A38" s="250" t="s">
        <v>31</v>
      </c>
      <c r="B38" s="250" t="s">
        <v>72</v>
      </c>
      <c r="C38" s="250">
        <v>17.8</v>
      </c>
      <c r="D38" s="250">
        <v>46.591000000000001</v>
      </c>
      <c r="E38" s="250">
        <v>11.407</v>
      </c>
      <c r="F38" s="250">
        <v>4.54</v>
      </c>
      <c r="G38" s="250">
        <v>80.896000000000001</v>
      </c>
      <c r="H38" s="250">
        <v>10.734</v>
      </c>
      <c r="I38" s="250">
        <v>2.87</v>
      </c>
      <c r="J38" s="250">
        <v>3.548</v>
      </c>
      <c r="K38" s="250"/>
      <c r="L38" s="251">
        <f t="shared" si="5"/>
        <v>7.0917857455948106</v>
      </c>
      <c r="M38" s="251">
        <f t="shared" si="0"/>
        <v>1.7363010023395076</v>
      </c>
      <c r="N38" s="252">
        <f t="shared" si="1"/>
        <v>6.1599879805112577E-2</v>
      </c>
      <c r="O38" s="251">
        <f t="shared" si="2"/>
        <v>0.63215859030837007</v>
      </c>
      <c r="P38" s="251">
        <f t="shared" si="3"/>
        <v>1.0626979690702441</v>
      </c>
      <c r="Q38" s="252">
        <f t="shared" si="4"/>
        <v>3.5477650316455694E-2</v>
      </c>
      <c r="R38" s="250"/>
      <c r="S38" s="250"/>
    </row>
    <row r="39" spans="1:19" s="31" customFormat="1" x14ac:dyDescent="0.25">
      <c r="A39" s="250" t="s">
        <v>32</v>
      </c>
      <c r="B39" s="250" t="s">
        <v>74</v>
      </c>
      <c r="C39" s="250">
        <v>19.399999999999999</v>
      </c>
      <c r="D39" s="250">
        <v>21.196999999999999</v>
      </c>
      <c r="E39" s="250">
        <v>5.1280000000000001</v>
      </c>
      <c r="F39" s="250">
        <v>1.66</v>
      </c>
      <c r="G39" s="250">
        <v>38.825000000000003</v>
      </c>
      <c r="H39" s="250">
        <v>6.2919999999999998</v>
      </c>
      <c r="I39" s="250">
        <v>1.085</v>
      </c>
      <c r="J39" s="250">
        <v>2.7949999999999999</v>
      </c>
      <c r="K39" s="250"/>
      <c r="L39" s="251">
        <f t="shared" si="5"/>
        <v>7.5711778471138853</v>
      </c>
      <c r="M39" s="251">
        <f t="shared" si="0"/>
        <v>1.831627117044865</v>
      </c>
      <c r="N39" s="252">
        <f t="shared" si="1"/>
        <v>5.1186488654054819E-2</v>
      </c>
      <c r="O39" s="251">
        <f t="shared" si="2"/>
        <v>0.65361445783132532</v>
      </c>
      <c r="P39" s="251">
        <f t="shared" si="3"/>
        <v>0.8150031786395423</v>
      </c>
      <c r="Q39" s="252">
        <f t="shared" si="4"/>
        <v>2.7945911139729551E-2</v>
      </c>
      <c r="R39" s="250"/>
      <c r="S39" s="250"/>
    </row>
    <row r="40" spans="1:19" s="31" customFormat="1" x14ac:dyDescent="0.25">
      <c r="A40" s="250" t="s">
        <v>35</v>
      </c>
      <c r="B40" s="250" t="s">
        <v>75</v>
      </c>
      <c r="C40" s="250">
        <v>16.600000000000001</v>
      </c>
      <c r="D40" s="250">
        <v>28.526</v>
      </c>
      <c r="E40" s="250">
        <v>5.444</v>
      </c>
      <c r="F40" s="250">
        <v>2.76</v>
      </c>
      <c r="G40" s="250">
        <v>51.636000000000003</v>
      </c>
      <c r="H40" s="250">
        <v>7.7619999999999996</v>
      </c>
      <c r="I40" s="250">
        <v>1.8</v>
      </c>
      <c r="J40" s="250">
        <v>3.4860000000000002</v>
      </c>
      <c r="K40" s="250"/>
      <c r="L40" s="251">
        <f t="shared" si="5"/>
        <v>9.4849375459221168</v>
      </c>
      <c r="M40" s="251">
        <f t="shared" si="0"/>
        <v>1.8101381196101802</v>
      </c>
      <c r="N40" s="252">
        <f t="shared" si="1"/>
        <v>6.3100329523943066E-2</v>
      </c>
      <c r="O40" s="251">
        <f t="shared" si="2"/>
        <v>0.65217391304347838</v>
      </c>
      <c r="P40" s="251">
        <f t="shared" si="3"/>
        <v>0.70136562741561459</v>
      </c>
      <c r="Q40" s="252">
        <f t="shared" si="4"/>
        <v>3.4859400418312807E-2</v>
      </c>
      <c r="R40" s="250"/>
      <c r="S40" s="250"/>
    </row>
    <row r="41" spans="1:19" s="31" customFormat="1" x14ac:dyDescent="0.25">
      <c r="A41" s="250" t="s">
        <v>194</v>
      </c>
      <c r="B41" s="250" t="s">
        <v>430</v>
      </c>
      <c r="C41" s="250">
        <v>28.302</v>
      </c>
      <c r="D41" s="250">
        <v>9.9540000000000006</v>
      </c>
      <c r="E41" s="250">
        <v>1.7989999999999999</v>
      </c>
      <c r="F41" s="250">
        <v>0.95</v>
      </c>
      <c r="G41" s="250">
        <v>26.887</v>
      </c>
      <c r="H41" s="250">
        <v>2.9129999999999998</v>
      </c>
      <c r="I41" s="250">
        <v>0.62</v>
      </c>
      <c r="J41" s="250">
        <v>2.306</v>
      </c>
      <c r="K41" s="250"/>
      <c r="L41" s="251">
        <f t="shared" si="5"/>
        <v>14.945525291828794</v>
      </c>
      <c r="M41" s="251">
        <f t="shared" si="0"/>
        <v>2.7011251758087198</v>
      </c>
      <c r="N41" s="252">
        <f t="shared" si="1"/>
        <v>6.2286517982720509E-2</v>
      </c>
      <c r="O41" s="251">
        <f t="shared" si="2"/>
        <v>0.65263157894736845</v>
      </c>
      <c r="P41" s="251">
        <f t="shared" si="3"/>
        <v>0.61757638173704088</v>
      </c>
      <c r="Q41" s="252">
        <f t="shared" si="4"/>
        <v>2.3059471119872058E-2</v>
      </c>
      <c r="R41" s="250"/>
      <c r="S41" s="250"/>
    </row>
    <row r="42" spans="1:19" s="31" customFormat="1" x14ac:dyDescent="0.25">
      <c r="A42" s="250" t="s">
        <v>196</v>
      </c>
      <c r="B42" s="250" t="s">
        <v>431</v>
      </c>
      <c r="C42" s="250">
        <v>32.700000000000003</v>
      </c>
      <c r="D42" s="250">
        <v>31.309000000000001</v>
      </c>
      <c r="E42" s="250">
        <v>3.2869999999999999</v>
      </c>
      <c r="F42" s="250">
        <v>1.82</v>
      </c>
      <c r="G42" s="250">
        <v>59.597999999999999</v>
      </c>
      <c r="H42" s="250">
        <v>5.085</v>
      </c>
      <c r="I42" s="250">
        <v>1.1200000000000001</v>
      </c>
      <c r="J42" s="250">
        <v>1.879</v>
      </c>
      <c r="K42" s="250"/>
      <c r="L42" s="251">
        <f t="shared" si="5"/>
        <v>18.131426832978399</v>
      </c>
      <c r="M42" s="251">
        <f t="shared" si="0"/>
        <v>1.9035421124916156</v>
      </c>
      <c r="N42" s="252">
        <f t="shared" si="1"/>
        <v>3.5772461592513335E-2</v>
      </c>
      <c r="O42" s="251">
        <f t="shared" si="2"/>
        <v>0.61538461538461542</v>
      </c>
      <c r="P42" s="251">
        <f t="shared" si="3"/>
        <v>0.64641101278269419</v>
      </c>
      <c r="Q42" s="252">
        <f t="shared" si="4"/>
        <v>1.8792576932111817E-2</v>
      </c>
      <c r="R42" s="250"/>
      <c r="S42" s="250"/>
    </row>
    <row r="43" spans="1:19" s="31" customFormat="1" x14ac:dyDescent="0.25">
      <c r="A43" s="250" t="s">
        <v>198</v>
      </c>
      <c r="B43" s="250" t="s">
        <v>432</v>
      </c>
      <c r="C43" s="250">
        <v>22.638000000000002</v>
      </c>
      <c r="D43" s="250">
        <v>14.818</v>
      </c>
      <c r="E43" s="250">
        <v>2.9129999999999998</v>
      </c>
      <c r="F43" s="250">
        <v>1.38</v>
      </c>
      <c r="G43" s="250">
        <v>31.241</v>
      </c>
      <c r="H43" s="250">
        <v>3.9889999999999999</v>
      </c>
      <c r="I43" s="250">
        <v>1.1299999999999999</v>
      </c>
      <c r="J43" s="250">
        <v>3.617</v>
      </c>
      <c r="K43" s="250"/>
      <c r="L43" s="251">
        <f t="shared" si="5"/>
        <v>10.724682457947134</v>
      </c>
      <c r="M43" s="251">
        <f t="shared" si="0"/>
        <v>2.1083142124443244</v>
      </c>
      <c r="N43" s="252">
        <f t="shared" si="1"/>
        <v>7.6258604400053984E-2</v>
      </c>
      <c r="O43" s="251">
        <f t="shared" si="2"/>
        <v>0.8188405797101449</v>
      </c>
      <c r="P43" s="251">
        <f t="shared" si="3"/>
        <v>0.73025821007771374</v>
      </c>
      <c r="Q43" s="252">
        <f t="shared" si="4"/>
        <v>3.6170417080119074E-2</v>
      </c>
      <c r="R43" s="250"/>
      <c r="S43" s="250"/>
    </row>
    <row r="44" spans="1:19" s="31" customFormat="1" x14ac:dyDescent="0.25">
      <c r="A44" s="250" t="s">
        <v>165</v>
      </c>
      <c r="B44" s="250" t="s">
        <v>411</v>
      </c>
      <c r="C44" s="250">
        <v>34</v>
      </c>
      <c r="D44" s="250">
        <v>15.186</v>
      </c>
      <c r="E44" s="250">
        <v>2.8370000000000002</v>
      </c>
      <c r="F44" s="250">
        <v>1.72</v>
      </c>
      <c r="G44" s="250">
        <v>58.558</v>
      </c>
      <c r="H44" s="250">
        <v>3.4430000000000001</v>
      </c>
      <c r="I44" s="250">
        <v>1.06</v>
      </c>
      <c r="J44" s="250">
        <v>1.81</v>
      </c>
      <c r="K44" s="250"/>
      <c r="L44" s="251">
        <f t="shared" si="5"/>
        <v>20.640817765244975</v>
      </c>
      <c r="M44" s="251">
        <f t="shared" si="0"/>
        <v>3.8560516264980902</v>
      </c>
      <c r="N44" s="252">
        <f t="shared" si="1"/>
        <v>6.9801132622151985E-2</v>
      </c>
      <c r="O44" s="251">
        <f t="shared" si="2"/>
        <v>0.61627906976744196</v>
      </c>
      <c r="P44" s="251">
        <f t="shared" si="3"/>
        <v>0.82399070577984324</v>
      </c>
      <c r="Q44" s="252">
        <f t="shared" si="4"/>
        <v>1.8101711124013799E-2</v>
      </c>
      <c r="R44" s="250"/>
      <c r="S44" s="250"/>
    </row>
    <row r="45" spans="1:19" s="31" customFormat="1" x14ac:dyDescent="0.25">
      <c r="A45" s="250" t="s">
        <v>38</v>
      </c>
      <c r="B45" s="250" t="s">
        <v>77</v>
      </c>
      <c r="C45" s="250">
        <v>15.1</v>
      </c>
      <c r="D45" s="250">
        <v>23.914999999999999</v>
      </c>
      <c r="E45" s="250">
        <v>6.4119999999999999</v>
      </c>
      <c r="F45" s="250">
        <v>3</v>
      </c>
      <c r="G45" s="250">
        <v>45.185000000000002</v>
      </c>
      <c r="H45" s="250">
        <v>7.7389999999999999</v>
      </c>
      <c r="I45" s="250">
        <v>2.38</v>
      </c>
      <c r="J45" s="250">
        <v>5.2670000000000003</v>
      </c>
      <c r="K45" s="250"/>
      <c r="L45" s="251">
        <f t="shared" si="5"/>
        <v>7.0469432314410483</v>
      </c>
      <c r="M45" s="251">
        <f t="shared" si="0"/>
        <v>1.8893999581852396</v>
      </c>
      <c r="N45" s="252">
        <f t="shared" si="1"/>
        <v>9.9519130252979301E-2</v>
      </c>
      <c r="O45" s="251">
        <f t="shared" si="2"/>
        <v>0.79333333333333333</v>
      </c>
      <c r="P45" s="251">
        <f t="shared" si="3"/>
        <v>0.82853081793513372</v>
      </c>
      <c r="Q45" s="252">
        <f t="shared" si="4"/>
        <v>5.2672347017815639E-2</v>
      </c>
      <c r="R45" s="250"/>
      <c r="S45" s="250"/>
    </row>
    <row r="46" spans="1:19" s="31" customFormat="1" x14ac:dyDescent="0.25">
      <c r="A46" s="250" t="s">
        <v>200</v>
      </c>
      <c r="B46" s="250" t="s">
        <v>433</v>
      </c>
      <c r="C46" s="250">
        <v>20.6</v>
      </c>
      <c r="D46" s="250">
        <v>42.47</v>
      </c>
      <c r="E46" s="250">
        <v>8.1370000000000005</v>
      </c>
      <c r="F46" s="250">
        <v>3.68</v>
      </c>
      <c r="G46" s="250">
        <v>75.837999999999994</v>
      </c>
      <c r="H46" s="250">
        <v>14.444000000000001</v>
      </c>
      <c r="I46" s="250">
        <v>2.08</v>
      </c>
      <c r="J46" s="250">
        <v>2.7429999999999999</v>
      </c>
      <c r="K46" s="250"/>
      <c r="L46" s="251">
        <f t="shared" si="5"/>
        <v>9.3201425586825604</v>
      </c>
      <c r="M46" s="251">
        <f t="shared" si="0"/>
        <v>1.7856840122439368</v>
      </c>
      <c r="N46" s="252">
        <f t="shared" si="1"/>
        <v>4.897574758653167E-2</v>
      </c>
      <c r="O46" s="251">
        <f t="shared" si="2"/>
        <v>0.56521739130434778</v>
      </c>
      <c r="P46" s="251">
        <f t="shared" si="3"/>
        <v>0.56334810301855442</v>
      </c>
      <c r="Q46" s="252">
        <f t="shared" si="4"/>
        <v>2.742688362034864E-2</v>
      </c>
      <c r="R46" s="250"/>
      <c r="S46" s="250"/>
    </row>
    <row r="47" spans="1:19" s="31" customFormat="1" x14ac:dyDescent="0.25">
      <c r="A47" s="250" t="s">
        <v>204</v>
      </c>
      <c r="B47" s="250" t="s">
        <v>436</v>
      </c>
      <c r="C47" s="250">
        <v>17.8</v>
      </c>
      <c r="D47" s="250">
        <v>21.14</v>
      </c>
      <c r="E47" s="250">
        <v>5.4020000000000001</v>
      </c>
      <c r="F47" s="250">
        <v>2.74</v>
      </c>
      <c r="G47" s="250">
        <v>48.69</v>
      </c>
      <c r="H47" s="250">
        <v>3.298</v>
      </c>
      <c r="I47" s="250">
        <v>1.02</v>
      </c>
      <c r="J47" s="250">
        <v>2.0950000000000002</v>
      </c>
      <c r="K47" s="250"/>
      <c r="L47" s="251">
        <f t="shared" si="5"/>
        <v>9.0133283968900404</v>
      </c>
      <c r="M47" s="251">
        <f t="shared" si="0"/>
        <v>2.3032166508987699</v>
      </c>
      <c r="N47" s="252">
        <f t="shared" si="1"/>
        <v>4.8249763481551564E-2</v>
      </c>
      <c r="O47" s="251">
        <f t="shared" si="2"/>
        <v>0.37226277372262773</v>
      </c>
      <c r="P47" s="251">
        <f t="shared" si="3"/>
        <v>1.6379624014554275</v>
      </c>
      <c r="Q47" s="252">
        <f t="shared" si="4"/>
        <v>2.0948860135551448E-2</v>
      </c>
      <c r="R47" s="250"/>
      <c r="S47" s="250"/>
    </row>
    <row r="48" spans="1:19" s="31" customFormat="1" x14ac:dyDescent="0.25">
      <c r="A48" s="250" t="s">
        <v>3</v>
      </c>
      <c r="B48" s="250" t="s">
        <v>80</v>
      </c>
      <c r="C48" s="250">
        <v>18.3</v>
      </c>
      <c r="D48" s="250">
        <v>31.210999999999999</v>
      </c>
      <c r="E48" s="250">
        <v>7.64</v>
      </c>
      <c r="F48" s="250">
        <v>3.32</v>
      </c>
      <c r="G48" s="250">
        <v>60.710999999999999</v>
      </c>
      <c r="H48" s="250">
        <v>9.5619999999999994</v>
      </c>
      <c r="I48" s="250">
        <v>1.8480000000000001</v>
      </c>
      <c r="J48" s="250">
        <v>3.044</v>
      </c>
      <c r="K48" s="250"/>
      <c r="L48" s="251">
        <f t="shared" si="5"/>
        <v>7.9464659685863879</v>
      </c>
      <c r="M48" s="251">
        <f t="shared" si="0"/>
        <v>1.9451795841209831</v>
      </c>
      <c r="N48" s="252">
        <f t="shared" si="1"/>
        <v>5.9209893947646669E-2</v>
      </c>
      <c r="O48" s="251">
        <f t="shared" si="2"/>
        <v>0.55662650602409647</v>
      </c>
      <c r="P48" s="251">
        <f t="shared" si="3"/>
        <v>0.79899602593599672</v>
      </c>
      <c r="Q48" s="252">
        <f t="shared" si="4"/>
        <v>3.0439294361812523E-2</v>
      </c>
      <c r="R48" s="250"/>
      <c r="S48" s="250"/>
    </row>
    <row r="49" spans="1:19" s="31" customFormat="1" x14ac:dyDescent="0.25">
      <c r="A49" s="250" t="s">
        <v>83</v>
      </c>
      <c r="B49" s="250" t="s">
        <v>437</v>
      </c>
      <c r="C49" s="250">
        <v>21.628</v>
      </c>
      <c r="D49" s="250">
        <v>23.6</v>
      </c>
      <c r="E49" s="250">
        <v>5.6059999999999999</v>
      </c>
      <c r="F49" s="250">
        <v>2.23</v>
      </c>
      <c r="G49" s="250">
        <v>48.231000000000002</v>
      </c>
      <c r="H49" s="250">
        <v>6.883</v>
      </c>
      <c r="I49" s="250">
        <v>1.46</v>
      </c>
      <c r="J49" s="250">
        <v>3.0270000000000001</v>
      </c>
      <c r="K49" s="250"/>
      <c r="L49" s="251">
        <f t="shared" si="5"/>
        <v>8.6034605779521947</v>
      </c>
      <c r="M49" s="251">
        <f t="shared" si="0"/>
        <v>2.0436864406779662</v>
      </c>
      <c r="N49" s="252">
        <f t="shared" si="1"/>
        <v>6.1864406779661013E-2</v>
      </c>
      <c r="O49" s="251">
        <f t="shared" si="2"/>
        <v>0.6547085201793722</v>
      </c>
      <c r="P49" s="251">
        <f t="shared" si="3"/>
        <v>0.81447043440360301</v>
      </c>
      <c r="Q49" s="252">
        <f t="shared" si="4"/>
        <v>3.027098753913458E-2</v>
      </c>
      <c r="R49" s="250"/>
      <c r="S49" s="250"/>
    </row>
    <row r="50" spans="1:19" s="31" customFormat="1" x14ac:dyDescent="0.25">
      <c r="A50" s="250" t="s">
        <v>1</v>
      </c>
      <c r="B50" s="250" t="s">
        <v>84</v>
      </c>
      <c r="C50" s="250">
        <v>19.100000000000001</v>
      </c>
      <c r="D50" s="250">
        <v>19.425999999999998</v>
      </c>
      <c r="E50" s="250">
        <v>4.3170000000000002</v>
      </c>
      <c r="F50" s="250">
        <v>2.19</v>
      </c>
      <c r="G50" s="250">
        <v>41.912999999999997</v>
      </c>
      <c r="H50" s="250"/>
      <c r="I50" s="250">
        <v>1.34</v>
      </c>
      <c r="J50" s="250">
        <v>3.1970000000000001</v>
      </c>
      <c r="K50" s="250"/>
      <c r="L50" s="251">
        <f t="shared" si="5"/>
        <v>9.708825573314801</v>
      </c>
      <c r="M50" s="251">
        <f t="shared" si="0"/>
        <v>2.1575723257489963</v>
      </c>
      <c r="N50" s="252">
        <f t="shared" si="1"/>
        <v>6.8979717903840221E-2</v>
      </c>
      <c r="O50" s="251">
        <f t="shared" si="2"/>
        <v>0.61187214611872154</v>
      </c>
      <c r="P50" s="251" t="str">
        <f t="shared" si="3"/>
        <v/>
      </c>
      <c r="Q50" s="252">
        <f t="shared" si="4"/>
        <v>3.1970987521771292E-2</v>
      </c>
      <c r="R50" s="250"/>
      <c r="S50" s="250"/>
    </row>
    <row r="51" spans="1:19" s="31" customFormat="1" x14ac:dyDescent="0.25">
      <c r="A51" s="250" t="s">
        <v>4</v>
      </c>
      <c r="B51" s="250" t="s">
        <v>86</v>
      </c>
      <c r="C51" s="250">
        <v>24.5</v>
      </c>
      <c r="D51" s="250">
        <v>26.994</v>
      </c>
      <c r="E51" s="250">
        <v>5.0110000000000001</v>
      </c>
      <c r="F51" s="250">
        <v>2.0699999999999998</v>
      </c>
      <c r="G51" s="250">
        <v>50.804000000000002</v>
      </c>
      <c r="H51" s="250">
        <v>6.46</v>
      </c>
      <c r="I51" s="250">
        <v>1.49</v>
      </c>
      <c r="J51" s="250">
        <v>2.9329999999999998</v>
      </c>
      <c r="K51" s="250"/>
      <c r="L51" s="251">
        <f t="shared" si="5"/>
        <v>10.138495310317301</v>
      </c>
      <c r="M51" s="251">
        <f t="shared" si="0"/>
        <v>1.8820478624879604</v>
      </c>
      <c r="N51" s="252">
        <f t="shared" si="1"/>
        <v>5.5197451285470843E-2</v>
      </c>
      <c r="O51" s="251">
        <f t="shared" si="2"/>
        <v>0.71980676328502424</v>
      </c>
      <c r="P51" s="251">
        <f t="shared" si="3"/>
        <v>0.77569659442724459</v>
      </c>
      <c r="Q51" s="252">
        <f t="shared" si="4"/>
        <v>2.932839933863475E-2</v>
      </c>
      <c r="R51" s="250"/>
      <c r="S51" s="250"/>
    </row>
    <row r="52" spans="1:19" s="31" customFormat="1" x14ac:dyDescent="0.25">
      <c r="A52" s="250" t="s">
        <v>44</v>
      </c>
      <c r="B52" s="250" t="s">
        <v>438</v>
      </c>
      <c r="C52" s="250">
        <v>19.600000000000001</v>
      </c>
      <c r="D52" s="250">
        <v>31.024000000000001</v>
      </c>
      <c r="E52" s="250">
        <v>6.0380000000000003</v>
      </c>
      <c r="F52" s="250">
        <v>3.34</v>
      </c>
      <c r="G52" s="250">
        <v>65.349999999999994</v>
      </c>
      <c r="H52" s="250">
        <v>6.7050000000000001</v>
      </c>
      <c r="I52" s="250">
        <v>2.21</v>
      </c>
      <c r="J52" s="250">
        <v>3.3820000000000001</v>
      </c>
      <c r="K52" s="250"/>
      <c r="L52" s="251">
        <f t="shared" si="5"/>
        <v>10.823120238489565</v>
      </c>
      <c r="M52" s="251">
        <f t="shared" si="0"/>
        <v>2.1064337287261474</v>
      </c>
      <c r="N52" s="252">
        <f t="shared" si="1"/>
        <v>7.1235172769468794E-2</v>
      </c>
      <c r="O52" s="251">
        <f t="shared" si="2"/>
        <v>0.66167664670658688</v>
      </c>
      <c r="P52" s="251">
        <f t="shared" si="3"/>
        <v>0.90052199850857573</v>
      </c>
      <c r="Q52" s="252">
        <f t="shared" si="4"/>
        <v>3.3817903596021423E-2</v>
      </c>
      <c r="R52" s="250"/>
      <c r="S52" s="250"/>
    </row>
    <row r="53" spans="1:19" s="31" customFormat="1" x14ac:dyDescent="0.25">
      <c r="A53" s="250" t="s">
        <v>182</v>
      </c>
      <c r="B53" s="250" t="s">
        <v>421</v>
      </c>
      <c r="C53" s="250">
        <v>19.413</v>
      </c>
      <c r="D53" s="250">
        <v>10.342000000000001</v>
      </c>
      <c r="E53" s="250">
        <v>1.149</v>
      </c>
      <c r="F53" s="250">
        <v>0.68</v>
      </c>
      <c r="G53" s="250">
        <v>13.201000000000001</v>
      </c>
      <c r="H53" s="250">
        <v>1.081</v>
      </c>
      <c r="I53" s="250">
        <v>0.34</v>
      </c>
      <c r="J53" s="250">
        <v>2.5760000000000001</v>
      </c>
      <c r="K53" s="250"/>
      <c r="L53" s="251">
        <f t="shared" si="5"/>
        <v>11.489120974760661</v>
      </c>
      <c r="M53" s="251">
        <f t="shared" si="0"/>
        <v>1.2764455617868884</v>
      </c>
      <c r="N53" s="252">
        <f t="shared" si="1"/>
        <v>3.2875652678398766E-2</v>
      </c>
      <c r="O53" s="251">
        <f t="shared" si="2"/>
        <v>0.5</v>
      </c>
      <c r="P53" s="251">
        <f t="shared" si="3"/>
        <v>1.0629047178538391</v>
      </c>
      <c r="Q53" s="252">
        <f t="shared" si="4"/>
        <v>2.5755624573895918E-2</v>
      </c>
      <c r="R53" s="250"/>
      <c r="S53" s="250"/>
    </row>
    <row r="54" spans="1:19" s="31" customFormat="1" x14ac:dyDescent="0.25">
      <c r="A54" s="250" t="s">
        <v>15</v>
      </c>
      <c r="B54" s="250" t="s">
        <v>88</v>
      </c>
      <c r="C54" s="250">
        <v>26.849</v>
      </c>
      <c r="D54" s="250">
        <v>28.614999999999998</v>
      </c>
      <c r="E54" s="250">
        <v>5.8920000000000003</v>
      </c>
      <c r="F54" s="250">
        <v>2.0699999999999998</v>
      </c>
      <c r="G54" s="250">
        <v>55.578000000000003</v>
      </c>
      <c r="H54" s="250">
        <v>6.843</v>
      </c>
      <c r="I54" s="250">
        <v>1.415</v>
      </c>
      <c r="J54" s="250">
        <v>2.5459999999999998</v>
      </c>
      <c r="K54" s="250"/>
      <c r="L54" s="251">
        <f t="shared" si="5"/>
        <v>9.4327902240325869</v>
      </c>
      <c r="M54" s="251">
        <f t="shared" si="0"/>
        <v>1.9422680412371136</v>
      </c>
      <c r="N54" s="252">
        <f t="shared" si="1"/>
        <v>4.9449589376201294E-2</v>
      </c>
      <c r="O54" s="251">
        <f t="shared" si="2"/>
        <v>0.68357487922705318</v>
      </c>
      <c r="P54" s="251">
        <f t="shared" si="3"/>
        <v>0.8610258658483122</v>
      </c>
      <c r="Q54" s="252">
        <f t="shared" si="4"/>
        <v>2.5459714275432723E-2</v>
      </c>
      <c r="R54" s="250"/>
      <c r="S54" s="250"/>
    </row>
    <row r="55" spans="1:19" s="31" customFormat="1" x14ac:dyDescent="0.25">
      <c r="A55" s="250" t="s">
        <v>169</v>
      </c>
      <c r="B55" s="250" t="s">
        <v>413</v>
      </c>
      <c r="C55" s="250">
        <v>27.957000000000001</v>
      </c>
      <c r="D55" s="250">
        <v>5.7709999999999999</v>
      </c>
      <c r="E55" s="250">
        <v>4.0469999999999997</v>
      </c>
      <c r="F55" s="250">
        <v>1.54</v>
      </c>
      <c r="G55" s="250">
        <v>43.054000000000002</v>
      </c>
      <c r="H55" s="250">
        <v>1.089</v>
      </c>
      <c r="I55" s="250">
        <v>3.8</v>
      </c>
      <c r="J55" s="250">
        <v>8.8260000000000005</v>
      </c>
      <c r="K55" s="250"/>
      <c r="L55" s="251">
        <f t="shared" si="5"/>
        <v>10.638497652582162</v>
      </c>
      <c r="M55" s="251">
        <f t="shared" si="0"/>
        <v>7.4604054756541336</v>
      </c>
      <c r="N55" s="252">
        <f t="shared" si="1"/>
        <v>0.65846473748050593</v>
      </c>
      <c r="O55" s="251">
        <f t="shared" si="2"/>
        <v>2.4675324675324672</v>
      </c>
      <c r="P55" s="251">
        <f t="shared" si="3"/>
        <v>3.7162534435261705</v>
      </c>
      <c r="Q55" s="252">
        <f t="shared" si="4"/>
        <v>8.8261253309796991E-2</v>
      </c>
      <c r="R55" s="250"/>
      <c r="S55" s="250"/>
    </row>
    <row r="56" spans="1:19" s="31" customFormat="1" x14ac:dyDescent="0.25">
      <c r="A56" s="250" t="s">
        <v>173</v>
      </c>
      <c r="B56" s="250" t="s">
        <v>415</v>
      </c>
      <c r="C56" s="250">
        <v>23.87</v>
      </c>
      <c r="D56" s="250">
        <v>16.568000000000001</v>
      </c>
      <c r="E56" s="250">
        <v>2.6560000000000001</v>
      </c>
      <c r="F56" s="250">
        <v>1.54</v>
      </c>
      <c r="G56" s="250">
        <v>36.76</v>
      </c>
      <c r="H56" s="250">
        <v>5.3029999999999999</v>
      </c>
      <c r="I56" s="250">
        <v>0.95499999999999996</v>
      </c>
      <c r="J56" s="250">
        <v>2.5979999999999999</v>
      </c>
      <c r="K56" s="250"/>
      <c r="L56" s="251">
        <f t="shared" si="5"/>
        <v>13.840361445783131</v>
      </c>
      <c r="M56" s="251">
        <f t="shared" si="0"/>
        <v>2.2187349106711731</v>
      </c>
      <c r="N56" s="252">
        <f t="shared" si="1"/>
        <v>5.764123611781747E-2</v>
      </c>
      <c r="O56" s="251">
        <f t="shared" si="2"/>
        <v>0.62012987012987009</v>
      </c>
      <c r="P56" s="251">
        <f t="shared" si="3"/>
        <v>0.50084857627757873</v>
      </c>
      <c r="Q56" s="252">
        <f t="shared" si="4"/>
        <v>2.5979325353645267E-2</v>
      </c>
      <c r="R56" s="250"/>
      <c r="S56" s="250"/>
    </row>
    <row r="57" spans="1:19" s="31" customFormat="1" x14ac:dyDescent="0.25">
      <c r="A57" s="250" t="s">
        <v>208</v>
      </c>
      <c r="B57" s="250" t="s">
        <v>439</v>
      </c>
      <c r="C57" s="250">
        <v>30.303999999999998</v>
      </c>
      <c r="D57" s="250">
        <v>9.7490000000000006</v>
      </c>
      <c r="E57" s="250">
        <v>1.575</v>
      </c>
      <c r="F57" s="250">
        <v>1.04</v>
      </c>
      <c r="G57" s="250">
        <v>31.515999999999998</v>
      </c>
      <c r="H57" s="250"/>
      <c r="I57" s="250">
        <v>0.67300000000000004</v>
      </c>
      <c r="J57" s="250">
        <v>2.1349999999999998</v>
      </c>
      <c r="K57" s="250"/>
      <c r="L57" s="251">
        <f t="shared" si="5"/>
        <v>20.010158730158729</v>
      </c>
      <c r="M57" s="251">
        <f t="shared" si="0"/>
        <v>3.2327418196738122</v>
      </c>
      <c r="N57" s="252">
        <f t="shared" si="1"/>
        <v>6.9032721304749203E-2</v>
      </c>
      <c r="O57" s="251">
        <f t="shared" si="2"/>
        <v>0.64711538461538465</v>
      </c>
      <c r="P57" s="251" t="str">
        <f t="shared" si="3"/>
        <v/>
      </c>
      <c r="Q57" s="252">
        <f t="shared" si="4"/>
        <v>2.1354232770656179E-2</v>
      </c>
      <c r="R57" s="250"/>
      <c r="S57" s="250"/>
    </row>
    <row r="58" spans="1:19" s="31" customFormat="1" x14ac:dyDescent="0.25">
      <c r="A58" s="250" t="s">
        <v>202</v>
      </c>
      <c r="B58" s="250" t="s">
        <v>435</v>
      </c>
      <c r="C58" s="250">
        <v>11.211</v>
      </c>
      <c r="D58" s="250">
        <v>5.8</v>
      </c>
      <c r="E58" s="250">
        <v>1.649</v>
      </c>
      <c r="F58" s="250">
        <v>0.89</v>
      </c>
      <c r="G58" s="250">
        <v>9.9779999999999998</v>
      </c>
      <c r="H58" s="250">
        <v>0.254</v>
      </c>
      <c r="I58" s="250">
        <v>0.45500000000000002</v>
      </c>
      <c r="J58" s="250">
        <v>4.5599999999999996</v>
      </c>
      <c r="K58" s="250"/>
      <c r="L58" s="251">
        <f t="shared" si="5"/>
        <v>6.0509399636143115</v>
      </c>
      <c r="M58" s="251">
        <f t="shared" si="0"/>
        <v>1.720344827586207</v>
      </c>
      <c r="N58" s="252">
        <f t="shared" si="1"/>
        <v>7.844827586206897E-2</v>
      </c>
      <c r="O58" s="251">
        <f t="shared" si="2"/>
        <v>0.5112359550561798</v>
      </c>
      <c r="P58" s="251">
        <f t="shared" si="3"/>
        <v>6.4921259842519685</v>
      </c>
      <c r="Q58" s="252">
        <f t="shared" si="4"/>
        <v>4.5600320705552221E-2</v>
      </c>
      <c r="R58" s="250"/>
      <c r="S58" s="250"/>
    </row>
    <row r="59" spans="1:19" s="31" customFormat="1" x14ac:dyDescent="0.25">
      <c r="A59" s="250" t="s">
        <v>6</v>
      </c>
      <c r="B59" s="250" t="s">
        <v>90</v>
      </c>
      <c r="C59" s="250">
        <v>37</v>
      </c>
      <c r="D59" s="250">
        <v>12.53</v>
      </c>
      <c r="E59" s="250">
        <v>3.24</v>
      </c>
      <c r="F59" s="250">
        <v>0.74</v>
      </c>
      <c r="G59" s="250">
        <v>27.369</v>
      </c>
      <c r="H59" s="250">
        <v>3.294</v>
      </c>
      <c r="I59" s="250">
        <v>1.1200000000000001</v>
      </c>
      <c r="J59" s="250">
        <v>4.0919999999999996</v>
      </c>
      <c r="K59" s="250"/>
      <c r="L59" s="251">
        <f t="shared" si="5"/>
        <v>8.4472222222222211</v>
      </c>
      <c r="M59" s="251">
        <f t="shared" si="0"/>
        <v>2.1842777334397447</v>
      </c>
      <c r="N59" s="252">
        <f t="shared" si="1"/>
        <v>8.9385474860335212E-2</v>
      </c>
      <c r="O59" s="251">
        <f t="shared" si="2"/>
        <v>1.5135135135135136</v>
      </c>
      <c r="P59" s="251">
        <f t="shared" si="3"/>
        <v>0.98360655737704927</v>
      </c>
      <c r="Q59" s="252">
        <f t="shared" si="4"/>
        <v>4.0922211260915636E-2</v>
      </c>
      <c r="R59" s="250"/>
      <c r="S59" s="250"/>
    </row>
    <row r="60" spans="1:19" s="31" customFormat="1" x14ac:dyDescent="0.25">
      <c r="A60" s="250" t="s">
        <v>345</v>
      </c>
      <c r="B60" s="250" t="s">
        <v>429</v>
      </c>
      <c r="C60" s="250">
        <v>23.1</v>
      </c>
      <c r="D60" s="250">
        <v>38.86</v>
      </c>
      <c r="E60" s="250">
        <v>6.3220000000000001</v>
      </c>
      <c r="F60" s="250">
        <v>3.25</v>
      </c>
      <c r="G60" s="250">
        <v>74.938999999999993</v>
      </c>
      <c r="H60" s="250">
        <v>7.5039999999999996</v>
      </c>
      <c r="I60" s="250">
        <v>1.84</v>
      </c>
      <c r="J60" s="250">
        <v>2.4550000000000001</v>
      </c>
      <c r="K60" s="250"/>
      <c r="L60" s="251">
        <f t="shared" si="5"/>
        <v>11.853685542549824</v>
      </c>
      <c r="M60" s="251">
        <f t="shared" si="0"/>
        <v>1.9284354091610909</v>
      </c>
      <c r="N60" s="252">
        <f t="shared" si="1"/>
        <v>4.7349459598558935E-2</v>
      </c>
      <c r="O60" s="251">
        <f t="shared" si="2"/>
        <v>0.56615384615384623</v>
      </c>
      <c r="P60" s="251">
        <f t="shared" si="3"/>
        <v>0.84248400852878469</v>
      </c>
      <c r="Q60" s="252">
        <f t="shared" si="4"/>
        <v>2.4553303353394097E-2</v>
      </c>
      <c r="R60" s="250"/>
      <c r="S60" s="250"/>
    </row>
    <row r="61" spans="1:19" s="31" customFormat="1" x14ac:dyDescent="0.25">
      <c r="A61" s="250" t="s">
        <v>260</v>
      </c>
      <c r="B61" s="250" t="s">
        <v>417</v>
      </c>
      <c r="C61" s="250">
        <v>26.1</v>
      </c>
      <c r="D61" s="250">
        <v>48.878999999999998</v>
      </c>
      <c r="E61" s="250">
        <v>4.8869999999999996</v>
      </c>
      <c r="F61" s="250">
        <v>1.92</v>
      </c>
      <c r="G61" s="250">
        <v>50.021000000000001</v>
      </c>
      <c r="H61" s="250">
        <v>5.7830000000000004</v>
      </c>
      <c r="I61" s="250">
        <v>1.744</v>
      </c>
      <c r="J61" s="250">
        <v>3.4870000000000001</v>
      </c>
      <c r="K61" s="250"/>
      <c r="L61" s="251">
        <f t="shared" si="5"/>
        <v>10.235522815633313</v>
      </c>
      <c r="M61" s="251">
        <f t="shared" si="0"/>
        <v>1.0233638167720289</v>
      </c>
      <c r="N61" s="252">
        <f t="shared" si="1"/>
        <v>3.5679944352380366E-2</v>
      </c>
      <c r="O61" s="251">
        <f t="shared" si="2"/>
        <v>0.90833333333333333</v>
      </c>
      <c r="P61" s="251">
        <f t="shared" si="3"/>
        <v>0.84506311602974227</v>
      </c>
      <c r="Q61" s="252">
        <f t="shared" si="4"/>
        <v>3.4865356550248895E-2</v>
      </c>
      <c r="R61" s="250"/>
      <c r="S61" s="250"/>
    </row>
    <row r="62" spans="1:19" s="31" customFormat="1" x14ac:dyDescent="0.25">
      <c r="A62" s="250" t="s">
        <v>447</v>
      </c>
      <c r="B62" s="250" t="s">
        <v>475</v>
      </c>
      <c r="C62" s="250">
        <v>22.7</v>
      </c>
      <c r="D62" s="250">
        <v>39.276000000000003</v>
      </c>
      <c r="E62" s="250">
        <v>4.8860000000000001</v>
      </c>
      <c r="F62" s="250">
        <v>2.5</v>
      </c>
      <c r="G62" s="250">
        <v>56.781999999999996</v>
      </c>
      <c r="H62" s="250">
        <v>4.1900000000000004</v>
      </c>
      <c r="I62" s="250">
        <v>1.7350000000000001</v>
      </c>
      <c r="J62" s="250">
        <v>3.056</v>
      </c>
      <c r="K62" s="250"/>
      <c r="L62" s="251">
        <f t="shared" si="5"/>
        <v>11.621367171510437</v>
      </c>
      <c r="M62" s="251">
        <f t="shared" si="0"/>
        <v>1.445717486505754</v>
      </c>
      <c r="N62" s="252">
        <f t="shared" si="1"/>
        <v>4.4174559527446783E-2</v>
      </c>
      <c r="O62" s="251">
        <f t="shared" si="2"/>
        <v>0.69400000000000006</v>
      </c>
      <c r="P62" s="251">
        <f t="shared" si="3"/>
        <v>1.1661097852028639</v>
      </c>
      <c r="Q62" s="252">
        <f t="shared" si="4"/>
        <v>3.0555457715473217E-2</v>
      </c>
      <c r="R62" s="250"/>
      <c r="S62" s="250"/>
    </row>
    <row r="63" spans="1:19" s="31" customFormat="1" x14ac:dyDescent="0.25">
      <c r="A63" s="250" t="s">
        <v>0</v>
      </c>
      <c r="B63" s="250" t="s">
        <v>91</v>
      </c>
      <c r="C63" s="250">
        <v>22.2</v>
      </c>
      <c r="D63" s="250">
        <v>41.86</v>
      </c>
      <c r="E63" s="250">
        <v>7.3730000000000002</v>
      </c>
      <c r="F63" s="250">
        <v>3.38</v>
      </c>
      <c r="G63" s="250">
        <v>74.923000000000002</v>
      </c>
      <c r="H63" s="250">
        <v>6.0659999999999998</v>
      </c>
      <c r="I63" s="250">
        <v>2.2400000000000002</v>
      </c>
      <c r="J63" s="250">
        <v>2.99</v>
      </c>
      <c r="K63" s="250"/>
      <c r="L63" s="251">
        <f t="shared" si="5"/>
        <v>10.161806591618065</v>
      </c>
      <c r="M63" s="251">
        <f t="shared" si="0"/>
        <v>1.7898471094123269</v>
      </c>
      <c r="N63" s="252">
        <f t="shared" si="1"/>
        <v>5.3511705685618735E-2</v>
      </c>
      <c r="O63" s="251">
        <f t="shared" si="2"/>
        <v>0.66272189349112431</v>
      </c>
      <c r="P63" s="251">
        <f t="shared" si="3"/>
        <v>1.2154632377184307</v>
      </c>
      <c r="Q63" s="252">
        <f t="shared" si="4"/>
        <v>2.9897361290925351E-2</v>
      </c>
      <c r="R63" s="250"/>
      <c r="S63" s="250"/>
    </row>
    <row r="64" spans="1:19" s="31" customFormat="1" x14ac:dyDescent="0.25">
      <c r="A64" s="250" t="s">
        <v>33</v>
      </c>
      <c r="B64" s="250" t="s">
        <v>92</v>
      </c>
      <c r="C64" s="250">
        <v>18.399999999999999</v>
      </c>
      <c r="D64" s="250">
        <v>28.073</v>
      </c>
      <c r="E64" s="250">
        <v>6.6539999999999999</v>
      </c>
      <c r="F64" s="250">
        <v>2.37</v>
      </c>
      <c r="G64" s="250">
        <v>43.664999999999999</v>
      </c>
      <c r="H64" s="250">
        <v>6.665</v>
      </c>
      <c r="I64" s="250">
        <v>1.4279999999999999</v>
      </c>
      <c r="J64" s="250">
        <v>3.27</v>
      </c>
      <c r="K64" s="250"/>
      <c r="L64" s="251">
        <f t="shared" si="5"/>
        <v>6.5622182146077543</v>
      </c>
      <c r="M64" s="251">
        <f t="shared" si="0"/>
        <v>1.5554091119581093</v>
      </c>
      <c r="N64" s="252">
        <f t="shared" si="1"/>
        <v>5.0867381469739605E-2</v>
      </c>
      <c r="O64" s="251">
        <f t="shared" si="2"/>
        <v>0.60253164556962024</v>
      </c>
      <c r="P64" s="251">
        <f t="shared" si="3"/>
        <v>0.9983495873968492</v>
      </c>
      <c r="Q64" s="252">
        <f t="shared" si="4"/>
        <v>3.2703538302988666E-2</v>
      </c>
      <c r="R64" s="250"/>
      <c r="S64" s="250"/>
    </row>
    <row r="65" spans="1:19" s="31" customFormat="1" x14ac:dyDescent="0.25">
      <c r="A65" s="250" t="s">
        <v>13</v>
      </c>
      <c r="B65" s="250" t="s">
        <v>93</v>
      </c>
      <c r="C65" s="250">
        <v>17</v>
      </c>
      <c r="D65" s="250">
        <v>60.271000000000001</v>
      </c>
      <c r="E65" s="250">
        <v>10.487</v>
      </c>
      <c r="F65" s="250">
        <v>4.13</v>
      </c>
      <c r="G65" s="250">
        <v>80.179000000000002</v>
      </c>
      <c r="H65" s="250">
        <v>12.914999999999999</v>
      </c>
      <c r="I65" s="250">
        <v>3.64</v>
      </c>
      <c r="J65" s="250">
        <v>4.54</v>
      </c>
      <c r="K65" s="250"/>
      <c r="L65" s="251">
        <f t="shared" si="5"/>
        <v>7.6455611709735862</v>
      </c>
      <c r="M65" s="251">
        <f t="shared" si="0"/>
        <v>1.3303081083771631</v>
      </c>
      <c r="N65" s="252">
        <f t="shared" si="1"/>
        <v>6.0393887607638835E-2</v>
      </c>
      <c r="O65" s="251">
        <f t="shared" si="2"/>
        <v>0.88135593220338992</v>
      </c>
      <c r="P65" s="251">
        <f t="shared" si="3"/>
        <v>0.81200154858691453</v>
      </c>
      <c r="Q65" s="252">
        <f t="shared" si="4"/>
        <v>4.5398421032938799E-2</v>
      </c>
      <c r="R65" s="250"/>
      <c r="S65" s="250"/>
    </row>
    <row r="66" spans="1:19" s="31" customFormat="1" x14ac:dyDescent="0.25">
      <c r="A66" s="250" t="s">
        <v>144</v>
      </c>
      <c r="B66" s="250" t="s">
        <v>428</v>
      </c>
      <c r="C66" s="250">
        <v>16.8</v>
      </c>
      <c r="D66" s="250">
        <v>38.597999999999999</v>
      </c>
      <c r="E66" s="250">
        <v>6.9589999999999996</v>
      </c>
      <c r="F66" s="250">
        <v>3.4</v>
      </c>
      <c r="G66" s="250">
        <v>57.023000000000003</v>
      </c>
      <c r="H66" s="250">
        <v>5.6429999999999998</v>
      </c>
      <c r="I66" s="250">
        <v>2.2000000000000002</v>
      </c>
      <c r="J66" s="250">
        <v>3.8580000000000001</v>
      </c>
      <c r="K66" s="250"/>
      <c r="L66" s="251">
        <f t="shared" si="5"/>
        <v>8.1941370886621652</v>
      </c>
      <c r="M66" s="251">
        <f t="shared" si="0"/>
        <v>1.4773563397067206</v>
      </c>
      <c r="N66" s="252">
        <f t="shared" si="1"/>
        <v>5.6997771905280076E-2</v>
      </c>
      <c r="O66" s="251">
        <f t="shared" si="2"/>
        <v>0.6470588235294118</v>
      </c>
      <c r="P66" s="251">
        <f t="shared" si="3"/>
        <v>1.2332092858408648</v>
      </c>
      <c r="Q66" s="252">
        <f t="shared" si="4"/>
        <v>3.8580923487014016E-2</v>
      </c>
      <c r="R66" s="250"/>
      <c r="S66" s="250"/>
    </row>
    <row r="67" spans="1:19" s="31" customFormat="1" x14ac:dyDescent="0.25">
      <c r="A67" s="250" t="s">
        <v>167</v>
      </c>
      <c r="B67" s="250" t="s">
        <v>412</v>
      </c>
      <c r="C67" s="250">
        <v>27.3</v>
      </c>
      <c r="D67" s="250">
        <v>32.415999999999997</v>
      </c>
      <c r="E67" s="250">
        <v>6.15</v>
      </c>
      <c r="F67" s="250">
        <v>3.15</v>
      </c>
      <c r="G67" s="250">
        <v>86.018000000000001</v>
      </c>
      <c r="H67" s="250">
        <v>8.7780000000000005</v>
      </c>
      <c r="I67" s="250">
        <v>1.78</v>
      </c>
      <c r="J67" s="250">
        <v>2.069</v>
      </c>
      <c r="K67" s="250"/>
      <c r="L67" s="251">
        <f>IFERROR(G67/E67,"")</f>
        <v>13.986666666666666</v>
      </c>
      <c r="M67" s="251">
        <f>IFERROR(G67/D67,"")</f>
        <v>2.6535661401776904</v>
      </c>
      <c r="N67" s="252">
        <f>IFERROR(I67/D67,"")</f>
        <v>5.4911154985192501E-2</v>
      </c>
      <c r="O67" s="251">
        <f>IFERROR(I67/F67,"")</f>
        <v>0.56507936507936507</v>
      </c>
      <c r="P67" s="251">
        <f>IFERROR(E67/H67,"")</f>
        <v>0.7006151742993848</v>
      </c>
      <c r="Q67" s="252">
        <f>IFERROR(I67/G67,"")</f>
        <v>2.0693343253737589E-2</v>
      </c>
      <c r="R67" s="250"/>
      <c r="S67" s="250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B73"/>
  <sheetViews>
    <sheetView workbookViewId="0">
      <pane ySplit="2" topLeftCell="A30" activePane="bottomLeft" state="frozen"/>
      <selection activeCell="E6" sqref="E6"/>
      <selection pane="bottomLeft" activeCell="A6" sqref="A6:XFD73"/>
    </sheetView>
  </sheetViews>
  <sheetFormatPr defaultColWidth="8.69921875" defaultRowHeight="10.199999999999999" x14ac:dyDescent="0.2"/>
  <cols>
    <col min="1" max="1" width="8.69921875" style="59"/>
    <col min="2" max="2" width="17.3984375" style="59" bestFit="1" customWidth="1"/>
    <col min="3" max="3" width="6.8984375" style="59" customWidth="1"/>
    <col min="4" max="4" width="7.8984375" style="59" customWidth="1"/>
    <col min="5" max="7" width="6.8984375" style="59" customWidth="1"/>
    <col min="8" max="8" width="7.59765625" style="59" customWidth="1"/>
    <col min="9" max="10" width="6.8984375" style="59" customWidth="1"/>
    <col min="11" max="11" width="2.3984375" style="59" bestFit="1" customWidth="1"/>
    <col min="12" max="12" width="4.69921875" style="59" bestFit="1" customWidth="1"/>
    <col min="13" max="13" width="4.8984375" style="59" bestFit="1" customWidth="1"/>
    <col min="14" max="14" width="5.8984375" style="59" customWidth="1"/>
    <col min="15" max="15" width="6.19921875" style="59" bestFit="1" customWidth="1"/>
    <col min="16" max="16" width="5.19921875" style="59" bestFit="1" customWidth="1"/>
    <col min="17" max="16384" width="8.69921875" style="59"/>
  </cols>
  <sheetData>
    <row r="1" spans="1:28" x14ac:dyDescent="0.2">
      <c r="A1" s="70">
        <v>43272</v>
      </c>
      <c r="B1" s="59" t="s">
        <v>316</v>
      </c>
      <c r="T1" s="70">
        <v>43272</v>
      </c>
      <c r="U1" s="59">
        <v>2017</v>
      </c>
      <c r="V1" s="59">
        <v>2017</v>
      </c>
      <c r="W1" s="59">
        <v>2017</v>
      </c>
      <c r="X1" s="59">
        <v>2017</v>
      </c>
      <c r="Y1" s="59">
        <v>2017</v>
      </c>
      <c r="Z1" s="59">
        <v>2017</v>
      </c>
      <c r="AA1" s="59">
        <v>2017</v>
      </c>
      <c r="AB1" s="59">
        <v>2017</v>
      </c>
    </row>
    <row r="2" spans="1:28" ht="40.799999999999997" x14ac:dyDescent="0.2">
      <c r="A2" s="81">
        <f>COUNTA(A5:A302)</f>
        <v>69</v>
      </c>
      <c r="C2" s="71" t="s">
        <v>331</v>
      </c>
      <c r="D2" s="71" t="s">
        <v>333</v>
      </c>
      <c r="E2" s="71" t="s">
        <v>335</v>
      </c>
      <c r="F2" s="71" t="s">
        <v>337</v>
      </c>
      <c r="G2" s="71" t="s">
        <v>332</v>
      </c>
      <c r="H2" s="71" t="s">
        <v>334</v>
      </c>
      <c r="I2" s="71" t="s">
        <v>336</v>
      </c>
      <c r="J2" s="71" t="s">
        <v>338</v>
      </c>
      <c r="K2" s="58"/>
      <c r="L2" s="58"/>
      <c r="M2" s="58"/>
      <c r="N2" s="58"/>
      <c r="O2" s="58"/>
      <c r="P2" s="58"/>
      <c r="U2" s="71" t="s">
        <v>331</v>
      </c>
      <c r="V2" s="71" t="s">
        <v>333</v>
      </c>
      <c r="W2" s="71" t="s">
        <v>335</v>
      </c>
      <c r="X2" s="71" t="s">
        <v>337</v>
      </c>
      <c r="Y2" s="71" t="s">
        <v>332</v>
      </c>
      <c r="Z2" s="71" t="s">
        <v>334</v>
      </c>
      <c r="AA2" s="71" t="s">
        <v>336</v>
      </c>
      <c r="AB2" s="71" t="s">
        <v>338</v>
      </c>
    </row>
    <row r="3" spans="1:28" x14ac:dyDescent="0.2">
      <c r="A3" s="81">
        <v>1</v>
      </c>
      <c r="B3" s="59">
        <v>2</v>
      </c>
      <c r="C3" s="71">
        <v>3</v>
      </c>
      <c r="D3" s="81">
        <v>4</v>
      </c>
      <c r="E3" s="59">
        <v>5</v>
      </c>
      <c r="F3" s="71">
        <v>6</v>
      </c>
      <c r="G3" s="81">
        <v>7</v>
      </c>
      <c r="H3" s="59">
        <v>8</v>
      </c>
      <c r="I3" s="71">
        <v>9</v>
      </c>
      <c r="J3" s="81">
        <v>10</v>
      </c>
      <c r="K3" s="59">
        <v>11</v>
      </c>
      <c r="L3" s="71">
        <v>12</v>
      </c>
      <c r="M3" s="81">
        <v>13</v>
      </c>
      <c r="N3" s="59">
        <v>14</v>
      </c>
      <c r="O3" s="71">
        <v>15</v>
      </c>
      <c r="P3" s="81">
        <v>16</v>
      </c>
      <c r="Q3" s="59">
        <v>17</v>
      </c>
      <c r="T3" s="59">
        <v>1</v>
      </c>
      <c r="U3" s="59">
        <v>2</v>
      </c>
      <c r="V3" s="59">
        <v>3</v>
      </c>
      <c r="W3" s="59">
        <v>4</v>
      </c>
      <c r="X3" s="59">
        <v>5</v>
      </c>
      <c r="Y3" s="59">
        <v>6</v>
      </c>
      <c r="Z3" s="59">
        <v>7</v>
      </c>
      <c r="AA3" s="59">
        <v>8</v>
      </c>
      <c r="AB3" s="59">
        <v>9</v>
      </c>
    </row>
    <row r="4" spans="1:28" ht="30.6" x14ac:dyDescent="0.2">
      <c r="A4" s="78" t="s">
        <v>118</v>
      </c>
      <c r="B4" s="78" t="s">
        <v>117</v>
      </c>
      <c r="C4" s="78" t="s">
        <v>307</v>
      </c>
      <c r="D4" s="78" t="s">
        <v>308</v>
      </c>
      <c r="E4" s="78" t="s">
        <v>309</v>
      </c>
      <c r="F4" s="78" t="s">
        <v>310</v>
      </c>
      <c r="G4" s="78" t="s">
        <v>311</v>
      </c>
      <c r="H4" s="78" t="s">
        <v>312</v>
      </c>
      <c r="I4" s="78" t="s">
        <v>313</v>
      </c>
      <c r="J4" s="78" t="s">
        <v>330</v>
      </c>
      <c r="L4" s="85" t="s">
        <v>114</v>
      </c>
      <c r="M4" s="85" t="s">
        <v>245</v>
      </c>
      <c r="N4" s="85" t="s">
        <v>350</v>
      </c>
      <c r="O4" s="85" t="s">
        <v>324</v>
      </c>
      <c r="P4" s="85" t="s">
        <v>325</v>
      </c>
      <c r="Q4" s="85" t="s">
        <v>361</v>
      </c>
    </row>
    <row r="5" spans="1:28" x14ac:dyDescent="0.2">
      <c r="A5" s="59" t="s">
        <v>163</v>
      </c>
      <c r="B5" s="59" t="s">
        <v>162</v>
      </c>
      <c r="C5" s="59">
        <f>VLOOKUP($A5,$T$5:$AB$71,U$3,0)</f>
        <v>0</v>
      </c>
      <c r="D5" s="59">
        <f>VLOOKUP($A5,$T$5:$AB$71,V$3,0)</f>
        <v>34.878999999999998</v>
      </c>
      <c r="E5" s="59">
        <f t="shared" ref="E5:J5" si="0">VLOOKUP($A5,$T$5:$AB$71,W$3,0)</f>
        <v>3.11</v>
      </c>
      <c r="F5" s="59">
        <f t="shared" si="0"/>
        <v>-0.11</v>
      </c>
      <c r="G5" s="59">
        <f t="shared" si="0"/>
        <v>40.198999999999998</v>
      </c>
      <c r="H5" s="59">
        <f t="shared" si="0"/>
        <v>0.627</v>
      </c>
      <c r="I5" s="59">
        <f t="shared" si="0"/>
        <v>0.88</v>
      </c>
      <c r="J5" s="59">
        <f t="shared" si="0"/>
        <v>2.1890000000000001</v>
      </c>
      <c r="T5" s="59" t="s">
        <v>163</v>
      </c>
      <c r="V5" s="59">
        <v>34.878999999999998</v>
      </c>
      <c r="W5" s="59">
        <v>3.11</v>
      </c>
      <c r="X5" s="59">
        <v>-0.11</v>
      </c>
      <c r="Y5" s="59">
        <v>40.198999999999998</v>
      </c>
      <c r="Z5" s="59">
        <v>0.627</v>
      </c>
      <c r="AA5" s="59">
        <v>0.88</v>
      </c>
      <c r="AB5" s="59">
        <v>2.1890000000000001</v>
      </c>
    </row>
    <row r="6" spans="1:28" s="250" customFormat="1" ht="10.8" thickBot="1" x14ac:dyDescent="0.25">
      <c r="A6" s="250" t="s">
        <v>0</v>
      </c>
      <c r="B6" s="250" t="s">
        <v>119</v>
      </c>
      <c r="C6" s="250">
        <v>23</v>
      </c>
      <c r="D6" s="250">
        <f>VLOOKUP($A6,$T$5:$AB$71,V$3,0)</f>
        <v>40.473999999999997</v>
      </c>
      <c r="E6" s="250">
        <f t="shared" ref="E6:J7" si="1">VLOOKUP($A6,$T$5:$AB$71,W$3,0)</f>
        <v>6.5890000000000004</v>
      </c>
      <c r="F6" s="250">
        <f t="shared" si="1"/>
        <v>3.13</v>
      </c>
      <c r="G6" s="250">
        <f t="shared" si="1"/>
        <v>72.134</v>
      </c>
      <c r="H6" s="250">
        <f t="shared" si="1"/>
        <v>4.08</v>
      </c>
      <c r="I6" s="250">
        <f t="shared" si="1"/>
        <v>2.14</v>
      </c>
      <c r="J6" s="250">
        <f t="shared" si="1"/>
        <v>2.9670000000000001</v>
      </c>
      <c r="L6" s="251">
        <f>IFERROR(G6/E6,"")</f>
        <v>10.947640006070724</v>
      </c>
      <c r="M6" s="251">
        <f>IFERROR(G6/D6,"")</f>
        <v>1.782230567771903</v>
      </c>
      <c r="N6" s="252">
        <f>IFERROR(I6/D6,"")</f>
        <v>5.2873449621979547E-2</v>
      </c>
      <c r="O6" s="251">
        <f>IFERROR(I6/F6,"")</f>
        <v>0.68370607028754005</v>
      </c>
      <c r="P6" s="251">
        <f>IFERROR(E6/H6,"")</f>
        <v>1.6149509803921569</v>
      </c>
      <c r="Q6" s="252">
        <f>IFERROR(I6/G6,"")</f>
        <v>2.9667008622840826E-2</v>
      </c>
      <c r="T6" s="250" t="s">
        <v>0</v>
      </c>
      <c r="U6" s="250">
        <v>23.045999999999999</v>
      </c>
      <c r="V6" s="250">
        <v>40.473999999999997</v>
      </c>
      <c r="W6" s="250">
        <v>6.5890000000000004</v>
      </c>
      <c r="X6" s="250">
        <v>3.13</v>
      </c>
      <c r="Y6" s="250">
        <v>72.134</v>
      </c>
      <c r="Z6" s="250">
        <v>4.08</v>
      </c>
      <c r="AA6" s="250">
        <v>2.14</v>
      </c>
      <c r="AB6" s="250">
        <v>2.9670000000000001</v>
      </c>
    </row>
    <row r="7" spans="1:28" s="250" customFormat="1" ht="10.8" thickBot="1" x14ac:dyDescent="0.25">
      <c r="A7" s="250" t="s">
        <v>1</v>
      </c>
      <c r="B7" s="250" t="s">
        <v>120</v>
      </c>
      <c r="C7" s="250">
        <v>20.6</v>
      </c>
      <c r="D7" s="250">
        <f t="shared" ref="D7:D66" si="2">VLOOKUP($A7,$T$5:$AB$71,V$3,0)</f>
        <v>17.213000000000001</v>
      </c>
      <c r="E7" s="250">
        <f t="shared" si="1"/>
        <v>3.1019999999999999</v>
      </c>
      <c r="F7" s="250">
        <f t="shared" si="1"/>
        <v>1.99</v>
      </c>
      <c r="G7" s="250">
        <f t="shared" si="1"/>
        <v>40.985999999999997</v>
      </c>
      <c r="H7" s="250">
        <f t="shared" si="1"/>
        <v>6.34</v>
      </c>
      <c r="I7" s="250">
        <f t="shared" si="1"/>
        <v>1.26</v>
      </c>
      <c r="J7" s="250">
        <f t="shared" si="1"/>
        <v>3.0739999999999998</v>
      </c>
      <c r="L7" s="251">
        <f t="shared" ref="L7:L66" si="3">IFERROR(G7/E7,"")</f>
        <v>13.212765957446807</v>
      </c>
      <c r="M7" s="251">
        <f t="shared" ref="M7:M66" si="4">IFERROR(G7/D7,"")</f>
        <v>2.3811073026201126</v>
      </c>
      <c r="N7" s="252">
        <f t="shared" ref="N7:N66" si="5">IFERROR(I7/D7,"")</f>
        <v>7.320048800325335E-2</v>
      </c>
      <c r="O7" s="251">
        <f t="shared" ref="O7:O66" si="6">IFERROR(I7/F7,"")</f>
        <v>0.63316582914572861</v>
      </c>
      <c r="P7" s="251">
        <f t="shared" ref="P7:P66" si="7">IFERROR(E7/H7,"")</f>
        <v>0.48927444794952679</v>
      </c>
      <c r="Q7" s="252">
        <f t="shared" ref="Q7:Q66" si="8">IFERROR(I7/G7,"")</f>
        <v>3.0742204655248136E-2</v>
      </c>
      <c r="T7" s="258" t="s">
        <v>1</v>
      </c>
      <c r="U7" s="259">
        <v>20.596</v>
      </c>
      <c r="V7" s="259">
        <v>17.213000000000001</v>
      </c>
      <c r="W7" s="259">
        <v>3.1019999999999999</v>
      </c>
      <c r="X7" s="259">
        <v>1.99</v>
      </c>
      <c r="Y7" s="259">
        <v>40.985999999999997</v>
      </c>
      <c r="Z7" s="259">
        <v>6.34</v>
      </c>
      <c r="AA7" s="259">
        <v>1.26</v>
      </c>
      <c r="AB7" s="260">
        <v>3.0739999999999998</v>
      </c>
    </row>
    <row r="8" spans="1:28" s="250" customFormat="1" x14ac:dyDescent="0.2">
      <c r="A8" s="250" t="s">
        <v>2</v>
      </c>
      <c r="B8" s="250" t="s">
        <v>121</v>
      </c>
      <c r="C8" s="250">
        <v>19.3</v>
      </c>
      <c r="D8" s="250">
        <f t="shared" si="2"/>
        <v>37.167999999999999</v>
      </c>
      <c r="E8" s="250">
        <f t="shared" ref="E8:E66" si="9">VLOOKUP($A8,$T$5:$AB$71,W$3,0)</f>
        <v>7.9459999999999997</v>
      </c>
      <c r="F8" s="250">
        <f t="shared" ref="F8:F66" si="10">VLOOKUP($A8,$T$5:$AB$71,X$3,0)</f>
        <v>3.62</v>
      </c>
      <c r="G8" s="250">
        <f t="shared" ref="G8:G66" si="11">VLOOKUP($A8,$T$5:$AB$71,Y$3,0)</f>
        <v>69.971000000000004</v>
      </c>
      <c r="H8" s="250">
        <f t="shared" ref="H8:H66" si="12">VLOOKUP($A8,$T$5:$AB$71,Z$3,0)</f>
        <v>11.787000000000001</v>
      </c>
      <c r="I8" s="250">
        <f t="shared" ref="I8:I66" si="13">VLOOKUP($A8,$T$5:$AB$71,AA$3,0)</f>
        <v>2.39</v>
      </c>
      <c r="J8" s="250">
        <f t="shared" ref="J8:J66" si="14">VLOOKUP($A8,$T$5:$AB$71,AB$3,0)</f>
        <v>3.4159999999999999</v>
      </c>
      <c r="L8" s="251">
        <f t="shared" si="3"/>
        <v>8.8058142461615923</v>
      </c>
      <c r="M8" s="251">
        <f t="shared" si="4"/>
        <v>1.8825602668962549</v>
      </c>
      <c r="N8" s="252">
        <f t="shared" si="5"/>
        <v>6.4302625914765391E-2</v>
      </c>
      <c r="O8" s="251">
        <f t="shared" si="6"/>
        <v>0.66022099447513816</v>
      </c>
      <c r="P8" s="251">
        <f t="shared" si="7"/>
        <v>0.67413251887672854</v>
      </c>
      <c r="Q8" s="252">
        <f t="shared" si="8"/>
        <v>3.4157007903274215E-2</v>
      </c>
      <c r="T8" s="250" t="s">
        <v>2</v>
      </c>
      <c r="U8" s="250">
        <v>19.329000000000001</v>
      </c>
      <c r="V8" s="250">
        <v>37.167999999999999</v>
      </c>
      <c r="W8" s="250">
        <v>7.9459999999999997</v>
      </c>
      <c r="X8" s="250">
        <v>3.62</v>
      </c>
      <c r="Y8" s="250">
        <v>69.971000000000004</v>
      </c>
      <c r="Z8" s="250">
        <v>11.787000000000001</v>
      </c>
      <c r="AA8" s="250">
        <v>2.39</v>
      </c>
      <c r="AB8" s="261">
        <v>3.4159999999999999</v>
      </c>
    </row>
    <row r="9" spans="1:28" s="250" customFormat="1" ht="10.8" thickBot="1" x14ac:dyDescent="0.25">
      <c r="A9" s="250" t="s">
        <v>165</v>
      </c>
      <c r="B9" s="250" t="s">
        <v>164</v>
      </c>
      <c r="C9" s="250">
        <v>25.7</v>
      </c>
      <c r="D9" s="250">
        <f t="shared" si="2"/>
        <v>14.446999999999999</v>
      </c>
      <c r="E9" s="250">
        <f t="shared" si="9"/>
        <v>2.9550000000000001</v>
      </c>
      <c r="F9" s="250">
        <f t="shared" si="10"/>
        <v>1.88</v>
      </c>
      <c r="G9" s="250">
        <f t="shared" si="11"/>
        <v>48.341999999999999</v>
      </c>
      <c r="H9" s="250">
        <f t="shared" si="12"/>
        <v>3.0840000000000001</v>
      </c>
      <c r="I9" s="250">
        <f t="shared" si="13"/>
        <v>0.99</v>
      </c>
      <c r="J9" s="250">
        <f t="shared" si="14"/>
        <v>2.048</v>
      </c>
      <c r="L9" s="251">
        <f t="shared" si="3"/>
        <v>16.35939086294416</v>
      </c>
      <c r="M9" s="251">
        <f t="shared" si="4"/>
        <v>3.3461618329064859</v>
      </c>
      <c r="N9" s="252">
        <f t="shared" si="5"/>
        <v>6.8526337647954599E-2</v>
      </c>
      <c r="O9" s="251">
        <f t="shared" si="6"/>
        <v>0.52659574468085113</v>
      </c>
      <c r="P9" s="251">
        <f t="shared" si="7"/>
        <v>0.95817120622568097</v>
      </c>
      <c r="Q9" s="252">
        <f t="shared" si="8"/>
        <v>2.0479086508626041E-2</v>
      </c>
      <c r="T9" s="250" t="s">
        <v>165</v>
      </c>
      <c r="U9" s="250">
        <v>25.713999999999999</v>
      </c>
      <c r="V9" s="250">
        <v>14.446999999999999</v>
      </c>
      <c r="W9" s="250">
        <v>2.9550000000000001</v>
      </c>
      <c r="X9" s="250">
        <v>1.88</v>
      </c>
      <c r="Y9" s="250">
        <v>48.341999999999999</v>
      </c>
      <c r="Z9" s="250">
        <v>3.0840000000000001</v>
      </c>
      <c r="AA9" s="250">
        <v>0.99</v>
      </c>
      <c r="AB9" s="262">
        <v>2.048</v>
      </c>
    </row>
    <row r="10" spans="1:28" s="250" customFormat="1" ht="10.8" thickBot="1" x14ac:dyDescent="0.25">
      <c r="A10" s="250" t="s">
        <v>167</v>
      </c>
      <c r="B10" s="250" t="s">
        <v>166</v>
      </c>
      <c r="C10" s="250">
        <v>33.799999999999997</v>
      </c>
      <c r="D10" s="250">
        <f t="shared" si="2"/>
        <v>30.132999999999999</v>
      </c>
      <c r="E10" s="250">
        <f t="shared" si="9"/>
        <v>5.14</v>
      </c>
      <c r="F10" s="250">
        <f t="shared" si="10"/>
        <v>2.38</v>
      </c>
      <c r="G10" s="250">
        <f t="shared" si="11"/>
        <v>80.414000000000001</v>
      </c>
      <c r="H10" s="250">
        <f t="shared" si="12"/>
        <v>8.0359999999999996</v>
      </c>
      <c r="I10" s="250">
        <f t="shared" si="13"/>
        <v>1.62</v>
      </c>
      <c r="J10" s="250">
        <f t="shared" si="14"/>
        <v>2.0150000000000001</v>
      </c>
      <c r="L10" s="251">
        <f t="shared" si="3"/>
        <v>15.644747081712064</v>
      </c>
      <c r="M10" s="251">
        <f t="shared" si="4"/>
        <v>2.6686357149968476</v>
      </c>
      <c r="N10" s="252">
        <f t="shared" si="5"/>
        <v>5.3761656655493983E-2</v>
      </c>
      <c r="O10" s="251">
        <f t="shared" si="6"/>
        <v>0.68067226890756305</v>
      </c>
      <c r="P10" s="251">
        <f t="shared" si="7"/>
        <v>0.63962170233947235</v>
      </c>
      <c r="Q10" s="252">
        <f t="shared" si="8"/>
        <v>2.0145745765662696E-2</v>
      </c>
      <c r="T10" s="258" t="s">
        <v>167</v>
      </c>
      <c r="U10" s="259">
        <v>33.786999999999999</v>
      </c>
      <c r="V10" s="259">
        <v>30.132999999999999</v>
      </c>
      <c r="W10" s="259">
        <v>5.14</v>
      </c>
      <c r="X10" s="259">
        <v>2.38</v>
      </c>
      <c r="Y10" s="259">
        <v>80.414000000000001</v>
      </c>
      <c r="Z10" s="259">
        <v>8.0359999999999996</v>
      </c>
      <c r="AA10" s="259">
        <v>1.62</v>
      </c>
      <c r="AB10" s="260">
        <v>2.0150000000000001</v>
      </c>
    </row>
    <row r="11" spans="1:28" s="250" customFormat="1" x14ac:dyDescent="0.2">
      <c r="A11" s="250" t="s">
        <v>3</v>
      </c>
      <c r="B11" s="250" t="s">
        <v>122</v>
      </c>
      <c r="C11" s="250">
        <v>20.6</v>
      </c>
      <c r="D11" s="250">
        <f t="shared" si="2"/>
        <v>29.608000000000001</v>
      </c>
      <c r="E11" s="250">
        <f t="shared" si="9"/>
        <v>6.8040000000000003</v>
      </c>
      <c r="F11" s="250">
        <f t="shared" si="10"/>
        <v>2.77</v>
      </c>
      <c r="G11" s="250">
        <f t="shared" si="11"/>
        <v>57.05</v>
      </c>
      <c r="H11" s="250">
        <f t="shared" si="12"/>
        <v>9.0470000000000006</v>
      </c>
      <c r="I11" s="250">
        <f t="shared" si="13"/>
        <v>1.778</v>
      </c>
      <c r="J11" s="250">
        <f t="shared" si="14"/>
        <v>3.117</v>
      </c>
      <c r="L11" s="251">
        <f t="shared" si="3"/>
        <v>8.3847736625514404</v>
      </c>
      <c r="M11" s="251">
        <f t="shared" si="4"/>
        <v>1.9268440961902187</v>
      </c>
      <c r="N11" s="252">
        <f t="shared" si="5"/>
        <v>6.0051337476357741E-2</v>
      </c>
      <c r="O11" s="251">
        <f t="shared" si="6"/>
        <v>0.64187725631768955</v>
      </c>
      <c r="P11" s="251">
        <f t="shared" si="7"/>
        <v>0.75207251022438371</v>
      </c>
      <c r="Q11" s="252">
        <f t="shared" si="8"/>
        <v>3.1165644171779142E-2</v>
      </c>
      <c r="T11" s="250" t="s">
        <v>3</v>
      </c>
      <c r="U11" s="250">
        <v>20.596</v>
      </c>
      <c r="V11" s="250">
        <v>29.608000000000001</v>
      </c>
      <c r="W11" s="250">
        <v>6.8040000000000003</v>
      </c>
      <c r="X11" s="250">
        <v>2.77</v>
      </c>
      <c r="Y11" s="250">
        <v>57.05</v>
      </c>
      <c r="Z11" s="250">
        <v>9.0470000000000006</v>
      </c>
      <c r="AA11" s="250">
        <v>1.778</v>
      </c>
      <c r="AB11" s="261">
        <v>3.117</v>
      </c>
    </row>
    <row r="12" spans="1:28" s="250" customFormat="1" x14ac:dyDescent="0.2">
      <c r="A12" s="250" t="s">
        <v>169</v>
      </c>
      <c r="B12" s="250" t="s">
        <v>168</v>
      </c>
      <c r="C12" s="250">
        <f t="shared" ref="C12:C65" si="15">VLOOKUP($A12,$T$5:$AB$71,U$3,0)</f>
        <v>36.398000000000003</v>
      </c>
      <c r="D12" s="250">
        <f t="shared" si="2"/>
        <v>8.0459999999999994</v>
      </c>
      <c r="E12" s="250">
        <f t="shared" si="9"/>
        <v>3.7930000000000001</v>
      </c>
      <c r="F12" s="250">
        <f t="shared" si="10"/>
        <v>1.25</v>
      </c>
      <c r="G12" s="250">
        <f t="shared" si="11"/>
        <v>45.497</v>
      </c>
      <c r="H12" s="250">
        <f t="shared" si="12"/>
        <v>1.056</v>
      </c>
      <c r="I12" s="250">
        <f t="shared" si="13"/>
        <v>3.78</v>
      </c>
      <c r="J12" s="250">
        <f t="shared" si="14"/>
        <v>8.3079999999999998</v>
      </c>
      <c r="L12" s="251">
        <f t="shared" si="3"/>
        <v>11.994990772475612</v>
      </c>
      <c r="M12" s="251">
        <f t="shared" si="4"/>
        <v>5.6546109868257526</v>
      </c>
      <c r="N12" s="252">
        <f t="shared" si="5"/>
        <v>0.46979865771812079</v>
      </c>
      <c r="O12" s="251">
        <f t="shared" si="6"/>
        <v>3.024</v>
      </c>
      <c r="P12" s="251">
        <f t="shared" si="7"/>
        <v>3.5918560606060606</v>
      </c>
      <c r="Q12" s="252">
        <f t="shared" si="8"/>
        <v>8.3082401037431031E-2</v>
      </c>
      <c r="T12" s="250" t="s">
        <v>169</v>
      </c>
      <c r="U12" s="250">
        <v>36.398000000000003</v>
      </c>
      <c r="V12" s="250">
        <v>8.0459999999999994</v>
      </c>
      <c r="W12" s="250">
        <v>3.7930000000000001</v>
      </c>
      <c r="X12" s="250">
        <v>1.25</v>
      </c>
      <c r="Y12" s="250">
        <v>45.497</v>
      </c>
      <c r="Z12" s="250">
        <v>1.056</v>
      </c>
      <c r="AA12" s="250">
        <v>3.78</v>
      </c>
      <c r="AB12" s="263">
        <v>8.3079999999999998</v>
      </c>
    </row>
    <row r="13" spans="1:28" s="250" customFormat="1" x14ac:dyDescent="0.2">
      <c r="A13" s="250" t="s">
        <v>171</v>
      </c>
      <c r="B13" s="250" t="s">
        <v>170</v>
      </c>
      <c r="C13" s="250">
        <f t="shared" si="15"/>
        <v>24.664000000000001</v>
      </c>
      <c r="D13" s="250">
        <f t="shared" si="2"/>
        <v>11.016</v>
      </c>
      <c r="E13" s="250">
        <f t="shared" si="9"/>
        <v>2.1179999999999999</v>
      </c>
      <c r="F13" s="250">
        <f t="shared" si="10"/>
        <v>1.35</v>
      </c>
      <c r="G13" s="250">
        <f t="shared" si="11"/>
        <v>33.295999999999999</v>
      </c>
      <c r="H13" s="250">
        <f t="shared" si="12"/>
        <v>2.69</v>
      </c>
      <c r="I13" s="250">
        <f t="shared" si="13"/>
        <v>0.79</v>
      </c>
      <c r="J13" s="250">
        <f t="shared" si="14"/>
        <v>2.3730000000000002</v>
      </c>
      <c r="L13" s="251">
        <f t="shared" si="3"/>
        <v>15.7204910292729</v>
      </c>
      <c r="M13" s="251">
        <f t="shared" si="4"/>
        <v>3.0225127087872186</v>
      </c>
      <c r="N13" s="252">
        <f t="shared" si="5"/>
        <v>7.1713870733478582E-2</v>
      </c>
      <c r="O13" s="251">
        <f t="shared" si="6"/>
        <v>0.58518518518518514</v>
      </c>
      <c r="P13" s="251">
        <f t="shared" si="7"/>
        <v>0.78736059479553899</v>
      </c>
      <c r="Q13" s="252">
        <f t="shared" si="8"/>
        <v>2.3726573762614129E-2</v>
      </c>
      <c r="T13" s="250" t="s">
        <v>171</v>
      </c>
      <c r="U13" s="250">
        <v>24.664000000000001</v>
      </c>
      <c r="V13" s="250">
        <v>11.016</v>
      </c>
      <c r="W13" s="250">
        <v>2.1179999999999999</v>
      </c>
      <c r="X13" s="250">
        <v>1.35</v>
      </c>
      <c r="Y13" s="250">
        <v>33.295999999999999</v>
      </c>
      <c r="Z13" s="250">
        <v>2.69</v>
      </c>
      <c r="AA13" s="250">
        <v>0.79</v>
      </c>
      <c r="AB13" s="263">
        <v>2.3730000000000002</v>
      </c>
    </row>
    <row r="14" spans="1:28" s="250" customFormat="1" x14ac:dyDescent="0.2">
      <c r="A14" s="250" t="s">
        <v>173</v>
      </c>
      <c r="B14" s="250" t="s">
        <v>172</v>
      </c>
      <c r="C14" s="250">
        <f t="shared" si="15"/>
        <v>24.204999999999998</v>
      </c>
      <c r="D14" s="250">
        <f t="shared" si="2"/>
        <v>15.914</v>
      </c>
      <c r="E14" s="250">
        <f t="shared" si="9"/>
        <v>2.5539999999999998</v>
      </c>
      <c r="F14" s="250">
        <f t="shared" si="10"/>
        <v>1.51</v>
      </c>
      <c r="G14" s="250">
        <f t="shared" si="11"/>
        <v>36.549999999999997</v>
      </c>
      <c r="H14" s="250">
        <f t="shared" si="12"/>
        <v>4.4589999999999996</v>
      </c>
      <c r="I14" s="250">
        <f t="shared" si="13"/>
        <v>0.92700000000000005</v>
      </c>
      <c r="J14" s="250">
        <f t="shared" si="14"/>
        <v>2.536</v>
      </c>
      <c r="L14" s="251">
        <f t="shared" si="3"/>
        <v>14.310884886452623</v>
      </c>
      <c r="M14" s="251">
        <f t="shared" si="4"/>
        <v>2.296719869297474</v>
      </c>
      <c r="N14" s="252">
        <f t="shared" si="5"/>
        <v>5.8250596958652763E-2</v>
      </c>
      <c r="O14" s="251">
        <f t="shared" si="6"/>
        <v>0.61390728476821199</v>
      </c>
      <c r="P14" s="251">
        <f t="shared" si="7"/>
        <v>0.57277416461089936</v>
      </c>
      <c r="Q14" s="252">
        <f t="shared" si="8"/>
        <v>2.5362517099863206E-2</v>
      </c>
      <c r="T14" s="250" t="s">
        <v>173</v>
      </c>
      <c r="U14" s="250">
        <v>24.204999999999998</v>
      </c>
      <c r="V14" s="250">
        <v>15.914</v>
      </c>
      <c r="W14" s="250">
        <v>2.5539999999999998</v>
      </c>
      <c r="X14" s="250">
        <v>1.51</v>
      </c>
      <c r="Y14" s="250">
        <v>36.549999999999997</v>
      </c>
      <c r="Z14" s="250">
        <v>4.4589999999999996</v>
      </c>
      <c r="AA14" s="250">
        <v>0.92700000000000005</v>
      </c>
      <c r="AB14" s="263">
        <v>2.536</v>
      </c>
    </row>
    <row r="15" spans="1:28" s="250" customFormat="1" x14ac:dyDescent="0.2">
      <c r="A15" s="250" t="s">
        <v>175</v>
      </c>
      <c r="B15" s="250" t="s">
        <v>174</v>
      </c>
      <c r="C15" s="250">
        <v>22</v>
      </c>
      <c r="D15" s="250">
        <f t="shared" si="2"/>
        <v>36.744</v>
      </c>
      <c r="E15" s="250">
        <f t="shared" si="9"/>
        <v>6.6180000000000003</v>
      </c>
      <c r="F15" s="250">
        <f t="shared" si="10"/>
        <v>3.6</v>
      </c>
      <c r="G15" s="250">
        <f t="shared" si="11"/>
        <v>79.325000000000003</v>
      </c>
      <c r="H15" s="250">
        <f t="shared" si="12"/>
        <v>10.717000000000001</v>
      </c>
      <c r="I15" s="250">
        <f t="shared" si="13"/>
        <v>1.8</v>
      </c>
      <c r="J15" s="250">
        <f t="shared" si="14"/>
        <v>2.2690000000000001</v>
      </c>
      <c r="L15" s="251">
        <f t="shared" si="3"/>
        <v>11.986249622242369</v>
      </c>
      <c r="M15" s="251">
        <f t="shared" si="4"/>
        <v>2.1588558676246463</v>
      </c>
      <c r="N15" s="252">
        <f t="shared" si="5"/>
        <v>4.8987589810581322E-2</v>
      </c>
      <c r="O15" s="251">
        <f t="shared" si="6"/>
        <v>0.5</v>
      </c>
      <c r="P15" s="251">
        <f t="shared" si="7"/>
        <v>0.61752356069795655</v>
      </c>
      <c r="Q15" s="252">
        <f t="shared" si="8"/>
        <v>2.269145918688938E-2</v>
      </c>
      <c r="T15" s="250" t="s">
        <v>175</v>
      </c>
      <c r="U15" s="250">
        <v>22.035</v>
      </c>
      <c r="V15" s="250">
        <v>36.744</v>
      </c>
      <c r="W15" s="250">
        <v>6.6180000000000003</v>
      </c>
      <c r="X15" s="250">
        <v>3.6</v>
      </c>
      <c r="Y15" s="250">
        <v>79.325000000000003</v>
      </c>
      <c r="Z15" s="250">
        <v>10.717000000000001</v>
      </c>
      <c r="AA15" s="250">
        <v>1.8</v>
      </c>
      <c r="AB15" s="263">
        <v>2.2690000000000001</v>
      </c>
    </row>
    <row r="16" spans="1:28" s="250" customFormat="1" x14ac:dyDescent="0.2">
      <c r="A16" s="250" t="s">
        <v>260</v>
      </c>
      <c r="B16" s="250" t="s">
        <v>263</v>
      </c>
      <c r="C16" s="250">
        <v>27.3</v>
      </c>
      <c r="D16" s="250">
        <f t="shared" si="2"/>
        <v>48.792000000000002</v>
      </c>
      <c r="E16" s="250">
        <f t="shared" si="9"/>
        <v>4.4889999999999999</v>
      </c>
      <c r="F16" s="250">
        <f t="shared" si="10"/>
        <v>1.67</v>
      </c>
      <c r="G16" s="250">
        <f t="shared" si="11"/>
        <v>45.533999999999999</v>
      </c>
      <c r="H16" s="250">
        <f t="shared" si="12"/>
        <v>7.819</v>
      </c>
      <c r="I16" s="250">
        <f t="shared" si="13"/>
        <v>1.728</v>
      </c>
      <c r="J16" s="250">
        <f t="shared" si="14"/>
        <v>3.7949999999999999</v>
      </c>
      <c r="L16" s="251">
        <f t="shared" si="3"/>
        <v>10.143461795500112</v>
      </c>
      <c r="M16" s="251">
        <f t="shared" si="4"/>
        <v>0.93322675848499748</v>
      </c>
      <c r="N16" s="252">
        <f t="shared" si="5"/>
        <v>3.5415641908509592E-2</v>
      </c>
      <c r="O16" s="251">
        <f t="shared" si="6"/>
        <v>1.0347305389221557</v>
      </c>
      <c r="P16" s="251">
        <f t="shared" si="7"/>
        <v>0.57411433687172275</v>
      </c>
      <c r="Q16" s="252">
        <f t="shared" si="8"/>
        <v>3.7949663987350113E-2</v>
      </c>
      <c r="T16" s="250" t="s">
        <v>260</v>
      </c>
      <c r="U16" s="250">
        <v>27.265999999999998</v>
      </c>
      <c r="V16" s="250">
        <v>48.792000000000002</v>
      </c>
      <c r="W16" s="250">
        <v>4.4889999999999999</v>
      </c>
      <c r="X16" s="250">
        <v>1.67</v>
      </c>
      <c r="Y16" s="250">
        <v>45.533999999999999</v>
      </c>
      <c r="Z16" s="250">
        <v>7.819</v>
      </c>
      <c r="AA16" s="250">
        <v>1.728</v>
      </c>
      <c r="AB16" s="263">
        <v>3.7949999999999999</v>
      </c>
    </row>
    <row r="17" spans="1:28" s="250" customFormat="1" x14ac:dyDescent="0.2">
      <c r="A17" s="250" t="s">
        <v>4</v>
      </c>
      <c r="B17" s="250" t="s">
        <v>123</v>
      </c>
      <c r="C17" s="250">
        <v>23.4</v>
      </c>
      <c r="D17" s="250">
        <f t="shared" si="2"/>
        <v>26.411999999999999</v>
      </c>
      <c r="E17" s="250">
        <f t="shared" si="9"/>
        <v>4.8739999999999997</v>
      </c>
      <c r="F17" s="250">
        <f t="shared" si="10"/>
        <v>1.95</v>
      </c>
      <c r="G17" s="250">
        <f t="shared" si="11"/>
        <v>45.578000000000003</v>
      </c>
      <c r="H17" s="250">
        <f t="shared" si="12"/>
        <v>6.2960000000000003</v>
      </c>
      <c r="I17" s="250">
        <f t="shared" si="13"/>
        <v>1.43</v>
      </c>
      <c r="J17" s="250">
        <f t="shared" si="14"/>
        <v>3.137</v>
      </c>
      <c r="L17" s="251">
        <f t="shared" si="3"/>
        <v>9.351251538777186</v>
      </c>
      <c r="M17" s="251">
        <f t="shared" si="4"/>
        <v>1.7256550053006212</v>
      </c>
      <c r="N17" s="252">
        <f t="shared" si="5"/>
        <v>5.4142056640920797E-2</v>
      </c>
      <c r="O17" s="251">
        <f t="shared" si="6"/>
        <v>0.73333333333333328</v>
      </c>
      <c r="P17" s="251">
        <f t="shared" si="7"/>
        <v>0.77414231257941546</v>
      </c>
      <c r="Q17" s="252">
        <f t="shared" si="8"/>
        <v>3.137478608100399E-2</v>
      </c>
      <c r="T17" s="250" t="s">
        <v>4</v>
      </c>
      <c r="U17" s="250">
        <v>23.373000000000001</v>
      </c>
      <c r="V17" s="250">
        <v>26.411999999999999</v>
      </c>
      <c r="W17" s="250">
        <v>4.8739999999999997</v>
      </c>
      <c r="X17" s="250">
        <v>1.95</v>
      </c>
      <c r="Y17" s="250">
        <v>45.578000000000003</v>
      </c>
      <c r="Z17" s="250">
        <v>6.2960000000000003</v>
      </c>
      <c r="AA17" s="250">
        <v>1.43</v>
      </c>
      <c r="AB17" s="263">
        <v>3.137</v>
      </c>
    </row>
    <row r="18" spans="1:28" s="250" customFormat="1" x14ac:dyDescent="0.2">
      <c r="A18" s="250" t="s">
        <v>5</v>
      </c>
      <c r="B18" s="250" t="s">
        <v>124</v>
      </c>
      <c r="C18" s="250">
        <v>19.5</v>
      </c>
      <c r="D18" s="250">
        <f t="shared" si="2"/>
        <v>31.919</v>
      </c>
      <c r="E18" s="250">
        <f t="shared" si="9"/>
        <v>7.1539999999999999</v>
      </c>
      <c r="F18" s="250">
        <f t="shared" si="10"/>
        <v>3.38</v>
      </c>
      <c r="G18" s="250">
        <f t="shared" si="11"/>
        <v>65.835999999999999</v>
      </c>
      <c r="H18" s="250">
        <f t="shared" si="12"/>
        <v>6.0890000000000004</v>
      </c>
      <c r="I18" s="250">
        <f t="shared" si="13"/>
        <v>1.81</v>
      </c>
      <c r="J18" s="250">
        <f t="shared" si="14"/>
        <v>2.7490000000000001</v>
      </c>
      <c r="L18" s="251">
        <f t="shared" si="3"/>
        <v>9.202683813251328</v>
      </c>
      <c r="M18" s="251">
        <f t="shared" si="4"/>
        <v>2.0625959459882828</v>
      </c>
      <c r="N18" s="252">
        <f t="shared" si="5"/>
        <v>5.6706037156552522E-2</v>
      </c>
      <c r="O18" s="251">
        <f t="shared" si="6"/>
        <v>0.53550295857988173</v>
      </c>
      <c r="P18" s="251">
        <f t="shared" si="7"/>
        <v>1.1749055674166529</v>
      </c>
      <c r="Q18" s="252">
        <f t="shared" si="8"/>
        <v>2.7492557263503251E-2</v>
      </c>
      <c r="T18" s="250" t="s">
        <v>5</v>
      </c>
      <c r="U18" s="250">
        <v>19.478000000000002</v>
      </c>
      <c r="V18" s="250">
        <v>31.919</v>
      </c>
      <c r="W18" s="250">
        <v>7.1539999999999999</v>
      </c>
      <c r="X18" s="250">
        <v>3.38</v>
      </c>
      <c r="Y18" s="250">
        <v>65.835999999999999</v>
      </c>
      <c r="Z18" s="250">
        <v>6.0890000000000004</v>
      </c>
      <c r="AA18" s="250">
        <v>1.81</v>
      </c>
      <c r="AB18" s="263">
        <v>2.7490000000000001</v>
      </c>
    </row>
    <row r="19" spans="1:28" s="250" customFormat="1" x14ac:dyDescent="0.2">
      <c r="A19" s="250" t="s">
        <v>177</v>
      </c>
      <c r="B19" s="250" t="s">
        <v>176</v>
      </c>
      <c r="C19" s="250">
        <v>26.9</v>
      </c>
      <c r="D19" s="250">
        <f t="shared" si="2"/>
        <v>14.444000000000001</v>
      </c>
      <c r="E19" s="250">
        <f t="shared" si="9"/>
        <v>2.9990000000000001</v>
      </c>
      <c r="F19" s="250">
        <f t="shared" si="10"/>
        <v>1.4</v>
      </c>
      <c r="G19" s="250">
        <f t="shared" si="11"/>
        <v>37.654000000000003</v>
      </c>
      <c r="H19" s="250">
        <f t="shared" si="12"/>
        <v>5.399</v>
      </c>
      <c r="I19" s="250">
        <f t="shared" si="13"/>
        <v>0.72</v>
      </c>
      <c r="J19" s="250">
        <f t="shared" si="14"/>
        <v>1.9119999999999999</v>
      </c>
      <c r="L19" s="251">
        <f t="shared" si="3"/>
        <v>12.555518506168724</v>
      </c>
      <c r="M19" s="251">
        <f t="shared" si="4"/>
        <v>2.6068955967875937</v>
      </c>
      <c r="N19" s="252">
        <f t="shared" si="5"/>
        <v>4.9847687621157571E-2</v>
      </c>
      <c r="O19" s="251">
        <f t="shared" si="6"/>
        <v>0.51428571428571435</v>
      </c>
      <c r="P19" s="251">
        <f t="shared" si="7"/>
        <v>0.55547323578440455</v>
      </c>
      <c r="Q19" s="252">
        <f t="shared" si="8"/>
        <v>1.9121474478143091E-2</v>
      </c>
      <c r="T19" s="250" t="s">
        <v>177</v>
      </c>
      <c r="U19" s="250">
        <v>26.896000000000001</v>
      </c>
      <c r="V19" s="250">
        <v>14.444000000000001</v>
      </c>
      <c r="W19" s="250">
        <v>2.9990000000000001</v>
      </c>
      <c r="X19" s="250">
        <v>1.4</v>
      </c>
      <c r="Y19" s="250">
        <v>37.654000000000003</v>
      </c>
      <c r="Z19" s="250">
        <v>5.399</v>
      </c>
      <c r="AA19" s="250">
        <v>0.72</v>
      </c>
      <c r="AB19" s="263">
        <v>1.9119999999999999</v>
      </c>
    </row>
    <row r="20" spans="1:28" s="250" customFormat="1" x14ac:dyDescent="0.2">
      <c r="A20" s="250" t="s">
        <v>6</v>
      </c>
      <c r="B20" s="250" t="s">
        <v>125</v>
      </c>
      <c r="C20" s="250">
        <v>17.899999999999999</v>
      </c>
      <c r="D20" s="250">
        <f t="shared" si="2"/>
        <v>10.875999999999999</v>
      </c>
      <c r="E20" s="250">
        <f t="shared" si="9"/>
        <v>4.0339999999999998</v>
      </c>
      <c r="F20" s="250">
        <f t="shared" si="10"/>
        <v>1.57</v>
      </c>
      <c r="G20" s="250">
        <f t="shared" si="11"/>
        <v>28.114999999999998</v>
      </c>
      <c r="H20" s="250">
        <f t="shared" si="12"/>
        <v>3.3079999999999998</v>
      </c>
      <c r="I20" s="250">
        <f t="shared" si="13"/>
        <v>1.3480000000000001</v>
      </c>
      <c r="J20" s="250">
        <f t="shared" si="14"/>
        <v>4.7949999999999999</v>
      </c>
      <c r="L20" s="251">
        <f t="shared" si="3"/>
        <v>6.9695091720376796</v>
      </c>
      <c r="M20" s="251">
        <f t="shared" si="4"/>
        <v>2.5850496506068406</v>
      </c>
      <c r="N20" s="252">
        <f t="shared" si="5"/>
        <v>0.12394262596542847</v>
      </c>
      <c r="O20" s="251">
        <f t="shared" si="6"/>
        <v>0.85859872611464971</v>
      </c>
      <c r="P20" s="251">
        <f t="shared" si="7"/>
        <v>1.2194679564691657</v>
      </c>
      <c r="Q20" s="252">
        <f t="shared" si="8"/>
        <v>4.7945936332918375E-2</v>
      </c>
      <c r="T20" s="250" t="s">
        <v>6</v>
      </c>
      <c r="U20" s="250">
        <v>17.908000000000001</v>
      </c>
      <c r="V20" s="250">
        <v>10.875999999999999</v>
      </c>
      <c r="W20" s="250">
        <v>4.0339999999999998</v>
      </c>
      <c r="X20" s="250">
        <v>1.57</v>
      </c>
      <c r="Y20" s="250">
        <v>28.114999999999998</v>
      </c>
      <c r="Z20" s="250">
        <v>3.3079999999999998</v>
      </c>
      <c r="AA20" s="250">
        <v>1.3480000000000001</v>
      </c>
      <c r="AB20" s="263">
        <v>4.7949999999999999</v>
      </c>
    </row>
    <row r="21" spans="1:28" s="250" customFormat="1" x14ac:dyDescent="0.2">
      <c r="A21" s="250" t="s">
        <v>178</v>
      </c>
      <c r="B21" s="250" t="s">
        <v>215</v>
      </c>
      <c r="C21" s="250">
        <v>27.8</v>
      </c>
      <c r="D21" s="250">
        <f t="shared" si="2"/>
        <v>29.753</v>
      </c>
      <c r="E21" s="250">
        <f t="shared" si="9"/>
        <v>5.4169999999999998</v>
      </c>
      <c r="F21" s="250">
        <f t="shared" si="10"/>
        <v>2.68</v>
      </c>
      <c r="G21" s="250">
        <f t="shared" si="11"/>
        <v>74.62</v>
      </c>
      <c r="H21" s="250">
        <f t="shared" si="12"/>
        <v>10.727</v>
      </c>
      <c r="I21" s="250">
        <f t="shared" si="13"/>
        <v>1.26</v>
      </c>
      <c r="J21" s="250">
        <f t="shared" si="14"/>
        <v>1.6890000000000001</v>
      </c>
      <c r="L21" s="251">
        <f t="shared" si="3"/>
        <v>13.775152298320105</v>
      </c>
      <c r="M21" s="251">
        <f t="shared" si="4"/>
        <v>2.5079823883305887</v>
      </c>
      <c r="N21" s="252">
        <f t="shared" si="5"/>
        <v>4.2348670722280109E-2</v>
      </c>
      <c r="O21" s="251">
        <f t="shared" si="6"/>
        <v>0.47014925373134325</v>
      </c>
      <c r="P21" s="251">
        <f t="shared" si="7"/>
        <v>0.50498741493427801</v>
      </c>
      <c r="Q21" s="252">
        <f t="shared" si="8"/>
        <v>1.6885553470919322E-2</v>
      </c>
      <c r="T21" s="264" t="s">
        <v>178</v>
      </c>
      <c r="U21" s="265">
        <v>27.843</v>
      </c>
      <c r="V21" s="265">
        <v>29.753</v>
      </c>
      <c r="W21" s="264">
        <v>5.4169999999999998</v>
      </c>
      <c r="X21" s="264">
        <v>2.68</v>
      </c>
      <c r="Y21" s="264">
        <v>74.62</v>
      </c>
      <c r="Z21" s="264">
        <v>10.727</v>
      </c>
      <c r="AA21" s="264">
        <v>1.26</v>
      </c>
      <c r="AB21" s="263">
        <v>1.6890000000000001</v>
      </c>
    </row>
    <row r="22" spans="1:28" s="250" customFormat="1" ht="10.8" thickBot="1" x14ac:dyDescent="0.25">
      <c r="A22" s="250" t="s">
        <v>9</v>
      </c>
      <c r="B22" s="250" t="s">
        <v>126</v>
      </c>
      <c r="C22" s="250">
        <v>21.3</v>
      </c>
      <c r="D22" s="250">
        <f t="shared" si="2"/>
        <v>15.768000000000001</v>
      </c>
      <c r="E22" s="250">
        <f t="shared" si="9"/>
        <v>5.2869999999999999</v>
      </c>
      <c r="F22" s="250">
        <f t="shared" si="10"/>
        <v>2.17</v>
      </c>
      <c r="G22" s="250">
        <f t="shared" si="11"/>
        <v>46.255000000000003</v>
      </c>
      <c r="H22" s="250">
        <f t="shared" si="12"/>
        <v>5.9119999999999999</v>
      </c>
      <c r="I22" s="250">
        <f t="shared" si="13"/>
        <v>1.33</v>
      </c>
      <c r="J22" s="250">
        <f t="shared" si="14"/>
        <v>2.875</v>
      </c>
      <c r="L22" s="251">
        <f t="shared" si="3"/>
        <v>8.7488178551163234</v>
      </c>
      <c r="M22" s="251">
        <f t="shared" si="4"/>
        <v>2.9334728564180619</v>
      </c>
      <c r="N22" s="252">
        <f t="shared" si="5"/>
        <v>8.4348046676813795E-2</v>
      </c>
      <c r="O22" s="251">
        <f t="shared" si="6"/>
        <v>0.61290322580645162</v>
      </c>
      <c r="P22" s="251">
        <f t="shared" si="7"/>
        <v>0.89428281461434367</v>
      </c>
      <c r="Q22" s="252">
        <f t="shared" si="8"/>
        <v>2.8753648254242783E-2</v>
      </c>
      <c r="T22" s="250" t="s">
        <v>9</v>
      </c>
      <c r="U22" s="250">
        <v>21.315999999999999</v>
      </c>
      <c r="V22" s="250">
        <v>15.768000000000001</v>
      </c>
      <c r="W22" s="250">
        <v>5.2869999999999999</v>
      </c>
      <c r="X22" s="250">
        <v>2.17</v>
      </c>
      <c r="Y22" s="250">
        <v>46.255000000000003</v>
      </c>
      <c r="Z22" s="250">
        <v>5.9119999999999999</v>
      </c>
      <c r="AA22" s="250">
        <v>1.33</v>
      </c>
      <c r="AB22" s="262">
        <v>2.875</v>
      </c>
    </row>
    <row r="23" spans="1:28" s="250" customFormat="1" ht="10.8" thickBot="1" x14ac:dyDescent="0.25">
      <c r="A23" s="250" t="s">
        <v>180</v>
      </c>
      <c r="B23" s="250" t="s">
        <v>179</v>
      </c>
      <c r="C23" s="250">
        <f t="shared" si="15"/>
        <v>26.527999999999999</v>
      </c>
      <c r="D23" s="250">
        <f t="shared" si="2"/>
        <v>24.337</v>
      </c>
      <c r="E23" s="250">
        <f t="shared" si="9"/>
        <v>3.3919999999999999</v>
      </c>
      <c r="F23" s="250">
        <f t="shared" si="10"/>
        <v>2.13</v>
      </c>
      <c r="G23" s="250">
        <f t="shared" si="11"/>
        <v>56.503999999999998</v>
      </c>
      <c r="H23" s="250">
        <f t="shared" si="12"/>
        <v>4.3949999999999996</v>
      </c>
      <c r="I23" s="250">
        <f t="shared" si="13"/>
        <v>1.18</v>
      </c>
      <c r="J23" s="250">
        <f t="shared" si="14"/>
        <v>2.0880000000000001</v>
      </c>
      <c r="L23" s="251">
        <f t="shared" si="3"/>
        <v>16.658018867924529</v>
      </c>
      <c r="M23" s="251">
        <f t="shared" si="4"/>
        <v>2.3217323417019351</v>
      </c>
      <c r="N23" s="252">
        <f t="shared" si="5"/>
        <v>4.8485844598759091E-2</v>
      </c>
      <c r="O23" s="251">
        <f t="shared" si="6"/>
        <v>0.5539906103286385</v>
      </c>
      <c r="P23" s="251">
        <f t="shared" si="7"/>
        <v>0.77178612059158136</v>
      </c>
      <c r="Q23" s="252">
        <f t="shared" si="8"/>
        <v>2.0883477275945066E-2</v>
      </c>
      <c r="T23" s="258" t="s">
        <v>180</v>
      </c>
      <c r="U23" s="259">
        <v>26.527999999999999</v>
      </c>
      <c r="V23" s="259">
        <v>24.337</v>
      </c>
      <c r="W23" s="266">
        <v>3.3919999999999999</v>
      </c>
      <c r="X23" s="259">
        <v>2.13</v>
      </c>
      <c r="Y23" s="259">
        <v>56.503999999999998</v>
      </c>
      <c r="Z23" s="266">
        <v>4.3949999999999996</v>
      </c>
      <c r="AA23" s="259">
        <v>1.18</v>
      </c>
      <c r="AB23" s="260">
        <v>2.0880000000000001</v>
      </c>
    </row>
    <row r="24" spans="1:28" s="250" customFormat="1" ht="10.8" thickBot="1" x14ac:dyDescent="0.25">
      <c r="A24" s="250" t="s">
        <v>10</v>
      </c>
      <c r="B24" s="250" t="s">
        <v>127</v>
      </c>
      <c r="C24" s="250">
        <v>19.8</v>
      </c>
      <c r="D24" s="250">
        <f t="shared" si="2"/>
        <v>49.734999999999999</v>
      </c>
      <c r="E24" s="250">
        <f t="shared" si="9"/>
        <v>8.41</v>
      </c>
      <c r="F24" s="250">
        <f t="shared" si="10"/>
        <v>4.0999999999999996</v>
      </c>
      <c r="G24" s="250">
        <f t="shared" si="11"/>
        <v>81.073999999999998</v>
      </c>
      <c r="H24" s="250">
        <f t="shared" si="12"/>
        <v>11.106</v>
      </c>
      <c r="I24" s="250">
        <f t="shared" si="13"/>
        <v>2.76</v>
      </c>
      <c r="J24" s="250">
        <f t="shared" si="14"/>
        <v>3.4039999999999999</v>
      </c>
      <c r="L24" s="251">
        <f t="shared" si="3"/>
        <v>9.6401902497027336</v>
      </c>
      <c r="M24" s="251">
        <f t="shared" si="4"/>
        <v>1.6301196340605209</v>
      </c>
      <c r="N24" s="252">
        <f t="shared" si="5"/>
        <v>5.5494118829797927E-2</v>
      </c>
      <c r="O24" s="251">
        <f t="shared" si="6"/>
        <v>0.67317073170731712</v>
      </c>
      <c r="P24" s="251">
        <f t="shared" si="7"/>
        <v>0.7572483342337476</v>
      </c>
      <c r="Q24" s="252">
        <f t="shared" si="8"/>
        <v>3.4042973086316201E-2</v>
      </c>
      <c r="T24" s="250" t="s">
        <v>10</v>
      </c>
      <c r="U24" s="250">
        <v>19.774000000000001</v>
      </c>
      <c r="V24" s="250">
        <v>49.734999999999999</v>
      </c>
      <c r="W24" s="250">
        <v>8.41</v>
      </c>
      <c r="X24" s="250">
        <v>4.0999999999999996</v>
      </c>
      <c r="Y24" s="250">
        <v>81.073999999999998</v>
      </c>
      <c r="Z24" s="250">
        <v>11.106</v>
      </c>
      <c r="AA24" s="250">
        <v>2.76</v>
      </c>
      <c r="AB24" s="267">
        <v>3.4039999999999999</v>
      </c>
    </row>
    <row r="25" spans="1:28" s="250" customFormat="1" ht="10.8" thickBot="1" x14ac:dyDescent="0.25">
      <c r="A25" s="250" t="s">
        <v>182</v>
      </c>
      <c r="B25" s="250" t="s">
        <v>181</v>
      </c>
      <c r="C25" s="250">
        <f t="shared" si="15"/>
        <v>29.004999999999999</v>
      </c>
      <c r="D25" s="250">
        <f t="shared" si="2"/>
        <v>9.9139999999999997</v>
      </c>
      <c r="E25" s="250">
        <f t="shared" si="9"/>
        <v>1.117</v>
      </c>
      <c r="F25" s="250">
        <f t="shared" si="10"/>
        <v>0.41</v>
      </c>
      <c r="G25" s="250">
        <f t="shared" si="11"/>
        <v>11.891999999999999</v>
      </c>
      <c r="H25" s="250">
        <f t="shared" si="12"/>
        <v>0.307</v>
      </c>
      <c r="I25" s="250">
        <f t="shared" si="13"/>
        <v>0.31</v>
      </c>
      <c r="J25" s="250">
        <f t="shared" si="14"/>
        <v>2.6070000000000002</v>
      </c>
      <c r="L25" s="251">
        <f t="shared" si="3"/>
        <v>10.646374216651745</v>
      </c>
      <c r="M25" s="251">
        <f t="shared" si="4"/>
        <v>1.1995158361912446</v>
      </c>
      <c r="N25" s="252">
        <f t="shared" si="5"/>
        <v>3.1268912648779505E-2</v>
      </c>
      <c r="O25" s="251">
        <f t="shared" si="6"/>
        <v>0.75609756097560976</v>
      </c>
      <c r="P25" s="251">
        <f t="shared" si="7"/>
        <v>3.6384364820846904</v>
      </c>
      <c r="Q25" s="252">
        <f t="shared" si="8"/>
        <v>2.6067944836865121E-2</v>
      </c>
      <c r="T25" s="258" t="s">
        <v>182</v>
      </c>
      <c r="U25" s="259">
        <v>29.004999999999999</v>
      </c>
      <c r="V25" s="259">
        <v>9.9139999999999997</v>
      </c>
      <c r="W25" s="266">
        <v>1.117</v>
      </c>
      <c r="X25" s="259">
        <v>0.41</v>
      </c>
      <c r="Y25" s="259">
        <v>11.891999999999999</v>
      </c>
      <c r="Z25" s="259">
        <v>0.307</v>
      </c>
      <c r="AA25" s="259">
        <v>0.31</v>
      </c>
      <c r="AB25" s="260">
        <v>2.6070000000000002</v>
      </c>
    </row>
    <row r="26" spans="1:28" s="250" customFormat="1" x14ac:dyDescent="0.2">
      <c r="A26" s="250" t="s">
        <v>184</v>
      </c>
      <c r="B26" s="250" t="s">
        <v>183</v>
      </c>
      <c r="C26" s="250" t="e">
        <f t="shared" si="15"/>
        <v>#N/A</v>
      </c>
      <c r="D26" s="250" t="e">
        <f t="shared" si="2"/>
        <v>#N/A</v>
      </c>
      <c r="E26" s="250" t="e">
        <f t="shared" si="9"/>
        <v>#N/A</v>
      </c>
      <c r="F26" s="250" t="e">
        <f t="shared" si="10"/>
        <v>#N/A</v>
      </c>
      <c r="G26" s="250" t="e">
        <f t="shared" si="11"/>
        <v>#N/A</v>
      </c>
      <c r="H26" s="250" t="e">
        <f t="shared" si="12"/>
        <v>#N/A</v>
      </c>
      <c r="I26" s="250" t="e">
        <f t="shared" si="13"/>
        <v>#N/A</v>
      </c>
      <c r="J26" s="250" t="e">
        <f t="shared" si="14"/>
        <v>#N/A</v>
      </c>
      <c r="L26" s="251" t="str">
        <f t="shared" si="3"/>
        <v/>
      </c>
      <c r="M26" s="251" t="str">
        <f t="shared" si="4"/>
        <v/>
      </c>
      <c r="N26" s="252" t="str">
        <f t="shared" si="5"/>
        <v/>
      </c>
      <c r="O26" s="251" t="str">
        <f t="shared" si="6"/>
        <v/>
      </c>
      <c r="P26" s="251" t="str">
        <f t="shared" si="7"/>
        <v/>
      </c>
      <c r="Q26" s="252" t="str">
        <f t="shared" si="8"/>
        <v/>
      </c>
      <c r="T26" s="250" t="s">
        <v>11</v>
      </c>
      <c r="U26" s="250">
        <v>22.172999999999998</v>
      </c>
      <c r="V26" s="250">
        <v>26.593</v>
      </c>
      <c r="W26" s="250">
        <v>6.8970000000000002</v>
      </c>
      <c r="X26" s="250">
        <v>3.53</v>
      </c>
      <c r="Y26" s="250">
        <v>78.269000000000005</v>
      </c>
      <c r="Z26" s="250">
        <v>8.5389999999999997</v>
      </c>
      <c r="AA26" s="250">
        <v>3.0350000000000001</v>
      </c>
      <c r="AB26" s="261">
        <v>3.8780000000000001</v>
      </c>
    </row>
    <row r="27" spans="1:28" s="250" customFormat="1" x14ac:dyDescent="0.2">
      <c r="A27" s="250" t="s">
        <v>11</v>
      </c>
      <c r="B27" s="250" t="s">
        <v>346</v>
      </c>
      <c r="C27" s="250">
        <v>22.2</v>
      </c>
      <c r="D27" s="250">
        <f t="shared" si="2"/>
        <v>26.593</v>
      </c>
      <c r="E27" s="250">
        <f t="shared" si="9"/>
        <v>6.8970000000000002</v>
      </c>
      <c r="F27" s="250">
        <f t="shared" si="10"/>
        <v>3.53</v>
      </c>
      <c r="G27" s="250">
        <f t="shared" si="11"/>
        <v>78.269000000000005</v>
      </c>
      <c r="H27" s="250">
        <f t="shared" si="12"/>
        <v>8.5389999999999997</v>
      </c>
      <c r="I27" s="250">
        <f t="shared" si="13"/>
        <v>3.0350000000000001</v>
      </c>
      <c r="J27" s="250">
        <f t="shared" si="14"/>
        <v>3.8780000000000001</v>
      </c>
      <c r="L27" s="251">
        <f t="shared" si="3"/>
        <v>11.34826736262143</v>
      </c>
      <c r="M27" s="251">
        <f t="shared" si="4"/>
        <v>2.9432181401120596</v>
      </c>
      <c r="N27" s="252">
        <f t="shared" si="5"/>
        <v>0.11412777798668823</v>
      </c>
      <c r="O27" s="251">
        <f t="shared" si="6"/>
        <v>0.859773371104816</v>
      </c>
      <c r="P27" s="251">
        <f t="shared" si="7"/>
        <v>0.80770582035367144</v>
      </c>
      <c r="Q27" s="252">
        <f t="shared" si="8"/>
        <v>3.8776527105239621E-2</v>
      </c>
      <c r="T27" s="250" t="s">
        <v>12</v>
      </c>
      <c r="U27" s="250">
        <v>18.593</v>
      </c>
      <c r="V27" s="250">
        <v>53.024999999999999</v>
      </c>
      <c r="W27" s="250">
        <v>11.773</v>
      </c>
      <c r="X27" s="250">
        <v>5.73</v>
      </c>
      <c r="Y27" s="250">
        <v>106.53700000000001</v>
      </c>
      <c r="Z27" s="250">
        <v>12.542999999999999</v>
      </c>
      <c r="AA27" s="250">
        <v>3.36</v>
      </c>
      <c r="AB27" s="263">
        <v>3.1539999999999999</v>
      </c>
    </row>
    <row r="28" spans="1:28" s="250" customFormat="1" x14ac:dyDescent="0.2">
      <c r="A28" s="250" t="s">
        <v>12</v>
      </c>
      <c r="B28" s="250" t="s">
        <v>129</v>
      </c>
      <c r="C28" s="250">
        <v>18.600000000000001</v>
      </c>
      <c r="D28" s="250">
        <f t="shared" si="2"/>
        <v>53.024999999999999</v>
      </c>
      <c r="E28" s="250">
        <f t="shared" si="9"/>
        <v>11.773</v>
      </c>
      <c r="F28" s="250">
        <f t="shared" si="10"/>
        <v>5.73</v>
      </c>
      <c r="G28" s="250">
        <f t="shared" si="11"/>
        <v>106.53700000000001</v>
      </c>
      <c r="H28" s="250">
        <f t="shared" si="12"/>
        <v>12.542999999999999</v>
      </c>
      <c r="I28" s="250">
        <f t="shared" si="13"/>
        <v>3.36</v>
      </c>
      <c r="J28" s="250">
        <f t="shared" si="14"/>
        <v>3.1539999999999999</v>
      </c>
      <c r="L28" s="251">
        <f t="shared" si="3"/>
        <v>9.0492652679860708</v>
      </c>
      <c r="M28" s="251">
        <f t="shared" si="4"/>
        <v>2.0091843470061295</v>
      </c>
      <c r="N28" s="252">
        <f t="shared" si="5"/>
        <v>6.3366336633663367E-2</v>
      </c>
      <c r="O28" s="251">
        <f t="shared" si="6"/>
        <v>0.58638743455497377</v>
      </c>
      <c r="P28" s="251">
        <f t="shared" si="7"/>
        <v>0.93861117754923062</v>
      </c>
      <c r="Q28" s="252">
        <f t="shared" si="8"/>
        <v>3.1538338793095352E-2</v>
      </c>
      <c r="T28" s="250" t="s">
        <v>13</v>
      </c>
      <c r="U28" s="250">
        <v>19.925999999999998</v>
      </c>
      <c r="V28" s="250">
        <v>59.627000000000002</v>
      </c>
      <c r="W28" s="250">
        <v>10.013</v>
      </c>
      <c r="X28" s="250">
        <v>4.22</v>
      </c>
      <c r="Y28" s="250">
        <v>84.087000000000003</v>
      </c>
      <c r="Z28" s="250">
        <v>11.503</v>
      </c>
      <c r="AA28" s="250">
        <v>3.49</v>
      </c>
      <c r="AB28" s="263">
        <v>4.1500000000000004</v>
      </c>
    </row>
    <row r="29" spans="1:28" s="250" customFormat="1" x14ac:dyDescent="0.2">
      <c r="A29" s="250" t="s">
        <v>13</v>
      </c>
      <c r="B29" s="250" t="s">
        <v>130</v>
      </c>
      <c r="C29" s="250">
        <v>19.899999999999999</v>
      </c>
      <c r="D29" s="250">
        <f t="shared" si="2"/>
        <v>59.627000000000002</v>
      </c>
      <c r="E29" s="250">
        <f t="shared" si="9"/>
        <v>10.013</v>
      </c>
      <c r="F29" s="250">
        <f t="shared" si="10"/>
        <v>4.22</v>
      </c>
      <c r="G29" s="250">
        <f t="shared" si="11"/>
        <v>84.087000000000003</v>
      </c>
      <c r="H29" s="250">
        <f t="shared" si="12"/>
        <v>11.503</v>
      </c>
      <c r="I29" s="250">
        <f t="shared" si="13"/>
        <v>3.49</v>
      </c>
      <c r="J29" s="250">
        <f t="shared" si="14"/>
        <v>4.1500000000000004</v>
      </c>
      <c r="L29" s="251">
        <f t="shared" si="3"/>
        <v>8.3977828822530718</v>
      </c>
      <c r="M29" s="251">
        <f t="shared" si="4"/>
        <v>1.4102168480721822</v>
      </c>
      <c r="N29" s="252">
        <f t="shared" si="5"/>
        <v>5.8530531470642494E-2</v>
      </c>
      <c r="O29" s="251">
        <f t="shared" si="6"/>
        <v>0.82701421800947872</v>
      </c>
      <c r="P29" s="251">
        <f t="shared" si="7"/>
        <v>0.87046857341563066</v>
      </c>
      <c r="Q29" s="252">
        <f t="shared" si="8"/>
        <v>4.1504632107222279E-2</v>
      </c>
      <c r="T29" s="250" t="s">
        <v>14</v>
      </c>
      <c r="U29" s="250">
        <v>17.234000000000002</v>
      </c>
      <c r="V29" s="250">
        <v>35.820999999999998</v>
      </c>
      <c r="W29" s="250">
        <v>11.031000000000001</v>
      </c>
      <c r="X29" s="250">
        <v>4.51</v>
      </c>
      <c r="Y29" s="250">
        <v>77.727000000000004</v>
      </c>
      <c r="Z29" s="250">
        <v>11.749000000000001</v>
      </c>
      <c r="AA29" s="250">
        <v>2.2330000000000001</v>
      </c>
      <c r="AB29" s="263">
        <v>2.8730000000000002</v>
      </c>
    </row>
    <row r="30" spans="1:28" s="250" customFormat="1" x14ac:dyDescent="0.2">
      <c r="A30" s="250" t="s">
        <v>14</v>
      </c>
      <c r="B30" s="250" t="s">
        <v>131</v>
      </c>
      <c r="C30" s="250">
        <v>17.2</v>
      </c>
      <c r="D30" s="250">
        <f t="shared" si="2"/>
        <v>35.820999999999998</v>
      </c>
      <c r="E30" s="250">
        <f t="shared" si="9"/>
        <v>11.031000000000001</v>
      </c>
      <c r="F30" s="250">
        <f t="shared" si="10"/>
        <v>4.51</v>
      </c>
      <c r="G30" s="250">
        <f t="shared" si="11"/>
        <v>77.727000000000004</v>
      </c>
      <c r="H30" s="250">
        <f t="shared" si="12"/>
        <v>11.749000000000001</v>
      </c>
      <c r="I30" s="250">
        <f t="shared" si="13"/>
        <v>2.2330000000000001</v>
      </c>
      <c r="J30" s="250">
        <f t="shared" si="14"/>
        <v>2.8730000000000002</v>
      </c>
      <c r="L30" s="251">
        <f t="shared" si="3"/>
        <v>7.0462333423986943</v>
      </c>
      <c r="M30" s="251">
        <f t="shared" si="4"/>
        <v>2.1698724212054383</v>
      </c>
      <c r="N30" s="252">
        <f t="shared" si="5"/>
        <v>6.2337734848273367E-2</v>
      </c>
      <c r="O30" s="251">
        <f t="shared" si="6"/>
        <v>0.49512195121951225</v>
      </c>
      <c r="P30" s="251">
        <f t="shared" si="7"/>
        <v>0.93888841603540729</v>
      </c>
      <c r="Q30" s="252">
        <f t="shared" si="8"/>
        <v>2.8728755773412069E-2</v>
      </c>
      <c r="T30" s="250" t="s">
        <v>15</v>
      </c>
      <c r="U30" s="250">
        <v>21.783000000000001</v>
      </c>
      <c r="V30" s="250">
        <v>28.143000000000001</v>
      </c>
      <c r="W30" s="250">
        <v>6.173</v>
      </c>
      <c r="X30" s="250">
        <v>2.42</v>
      </c>
      <c r="Y30" s="250">
        <v>52.715000000000003</v>
      </c>
      <c r="Z30" s="250">
        <v>5.9089999999999998</v>
      </c>
      <c r="AA30" s="250">
        <v>1.3149999999999999</v>
      </c>
      <c r="AB30" s="263">
        <v>2.4950000000000001</v>
      </c>
    </row>
    <row r="31" spans="1:28" s="250" customFormat="1" x14ac:dyDescent="0.2">
      <c r="A31" s="250" t="s">
        <v>15</v>
      </c>
      <c r="B31" s="250" t="s">
        <v>132</v>
      </c>
      <c r="C31" s="250">
        <f t="shared" si="15"/>
        <v>21.783000000000001</v>
      </c>
      <c r="D31" s="250">
        <f t="shared" si="2"/>
        <v>28.143000000000001</v>
      </c>
      <c r="E31" s="250">
        <f t="shared" si="9"/>
        <v>6.173</v>
      </c>
      <c r="F31" s="250">
        <f t="shared" si="10"/>
        <v>2.42</v>
      </c>
      <c r="G31" s="250">
        <f t="shared" si="11"/>
        <v>52.715000000000003</v>
      </c>
      <c r="H31" s="250">
        <f t="shared" si="12"/>
        <v>5.9089999999999998</v>
      </c>
      <c r="I31" s="250">
        <f t="shared" si="13"/>
        <v>1.3149999999999999</v>
      </c>
      <c r="J31" s="250">
        <f t="shared" si="14"/>
        <v>2.4950000000000001</v>
      </c>
      <c r="L31" s="251">
        <f t="shared" si="3"/>
        <v>8.5396079701927761</v>
      </c>
      <c r="M31" s="251">
        <f t="shared" si="4"/>
        <v>1.873112319226806</v>
      </c>
      <c r="N31" s="252">
        <f t="shared" si="5"/>
        <v>4.67256511388267E-2</v>
      </c>
      <c r="O31" s="251">
        <f t="shared" si="6"/>
        <v>0.54338842975206614</v>
      </c>
      <c r="P31" s="251">
        <f t="shared" si="7"/>
        <v>1.0446776104247759</v>
      </c>
      <c r="Q31" s="252">
        <f t="shared" si="8"/>
        <v>2.4945461443611872E-2</v>
      </c>
      <c r="T31" s="250" t="s">
        <v>17</v>
      </c>
      <c r="U31" s="250">
        <v>15.009</v>
      </c>
      <c r="V31" s="250">
        <v>44.276000000000003</v>
      </c>
      <c r="W31" s="250">
        <v>16.704999999999998</v>
      </c>
      <c r="X31" s="250">
        <v>5.19</v>
      </c>
      <c r="Y31" s="250">
        <v>77.897999999999996</v>
      </c>
      <c r="Z31" s="250">
        <v>22.074999999999999</v>
      </c>
      <c r="AA31" s="250">
        <v>3.5</v>
      </c>
      <c r="AB31" s="263">
        <v>4.4930000000000003</v>
      </c>
    </row>
    <row r="32" spans="1:28" s="250" customFormat="1" x14ac:dyDescent="0.2">
      <c r="A32" s="250" t="s">
        <v>17</v>
      </c>
      <c r="B32" s="250" t="s">
        <v>134</v>
      </c>
      <c r="C32" s="250">
        <v>15</v>
      </c>
      <c r="D32" s="250">
        <f t="shared" si="2"/>
        <v>44.276000000000003</v>
      </c>
      <c r="E32" s="250">
        <f t="shared" si="9"/>
        <v>16.704999999999998</v>
      </c>
      <c r="F32" s="250">
        <f t="shared" si="10"/>
        <v>5.19</v>
      </c>
      <c r="G32" s="250">
        <f t="shared" si="11"/>
        <v>77.897999999999996</v>
      </c>
      <c r="H32" s="250">
        <f t="shared" si="12"/>
        <v>22.074999999999999</v>
      </c>
      <c r="I32" s="250">
        <f t="shared" si="13"/>
        <v>3.5</v>
      </c>
      <c r="J32" s="250">
        <f t="shared" si="14"/>
        <v>4.4930000000000003</v>
      </c>
      <c r="L32" s="251">
        <f t="shared" si="3"/>
        <v>4.6631547440885965</v>
      </c>
      <c r="M32" s="251">
        <f t="shared" si="4"/>
        <v>1.7593730237600504</v>
      </c>
      <c r="N32" s="252">
        <f t="shared" si="5"/>
        <v>7.904959797633028E-2</v>
      </c>
      <c r="O32" s="251">
        <f t="shared" si="6"/>
        <v>0.67437379576107892</v>
      </c>
      <c r="P32" s="251">
        <f t="shared" si="7"/>
        <v>0.75673839184597957</v>
      </c>
      <c r="Q32" s="252">
        <f t="shared" si="8"/>
        <v>4.4930550206680533E-2</v>
      </c>
      <c r="T32" s="250" t="s">
        <v>211</v>
      </c>
      <c r="U32" s="250">
        <v>19.465</v>
      </c>
      <c r="V32" s="250">
        <v>34.984999999999999</v>
      </c>
      <c r="W32" s="250">
        <v>5.8440000000000003</v>
      </c>
      <c r="X32" s="250">
        <v>3.11</v>
      </c>
      <c r="Y32" s="250">
        <v>60.536999999999999</v>
      </c>
      <c r="Z32" s="250">
        <v>7.41</v>
      </c>
      <c r="AA32" s="250">
        <v>1.9</v>
      </c>
      <c r="AB32" s="263">
        <v>3.1389999999999998</v>
      </c>
    </row>
    <row r="33" spans="1:28" s="250" customFormat="1" x14ac:dyDescent="0.2">
      <c r="A33" s="250" t="s">
        <v>211</v>
      </c>
      <c r="B33" s="250" t="s">
        <v>210</v>
      </c>
      <c r="C33" s="250">
        <v>19.5</v>
      </c>
      <c r="D33" s="250">
        <f t="shared" si="2"/>
        <v>34.984999999999999</v>
      </c>
      <c r="E33" s="250">
        <f t="shared" si="9"/>
        <v>5.8440000000000003</v>
      </c>
      <c r="F33" s="250">
        <f t="shared" si="10"/>
        <v>3.11</v>
      </c>
      <c r="G33" s="250">
        <f t="shared" si="11"/>
        <v>60.536999999999999</v>
      </c>
      <c r="H33" s="250">
        <f t="shared" si="12"/>
        <v>7.41</v>
      </c>
      <c r="I33" s="250">
        <f t="shared" si="13"/>
        <v>1.9</v>
      </c>
      <c r="J33" s="250">
        <f t="shared" si="14"/>
        <v>3.1389999999999998</v>
      </c>
      <c r="L33" s="251">
        <f t="shared" si="3"/>
        <v>10.358829568788501</v>
      </c>
      <c r="M33" s="251">
        <f t="shared" si="4"/>
        <v>1.7303701586394169</v>
      </c>
      <c r="N33" s="252">
        <f t="shared" si="5"/>
        <v>5.4308989566957268E-2</v>
      </c>
      <c r="O33" s="251">
        <f t="shared" si="6"/>
        <v>0.61093247588424437</v>
      </c>
      <c r="P33" s="251">
        <f t="shared" si="7"/>
        <v>0.78866396761133606</v>
      </c>
      <c r="Q33" s="252">
        <f t="shared" si="8"/>
        <v>3.1385764078167074E-2</v>
      </c>
      <c r="T33" s="250" t="s">
        <v>18</v>
      </c>
      <c r="U33" s="250">
        <v>13.41</v>
      </c>
      <c r="V33" s="250">
        <v>30.992999999999999</v>
      </c>
      <c r="W33" s="250">
        <v>8.3699999999999992</v>
      </c>
      <c r="X33" s="250">
        <v>2.78</v>
      </c>
      <c r="Y33" s="250">
        <v>37.280999999999999</v>
      </c>
      <c r="Z33" s="250">
        <v>7.8730000000000002</v>
      </c>
      <c r="AA33" s="250">
        <v>1.31</v>
      </c>
      <c r="AB33" s="263">
        <v>3.5139999999999998</v>
      </c>
    </row>
    <row r="34" spans="1:28" s="250" customFormat="1" x14ac:dyDescent="0.2">
      <c r="A34" s="250" t="s">
        <v>18</v>
      </c>
      <c r="B34" s="250" t="s">
        <v>135</v>
      </c>
      <c r="C34" s="250">
        <v>13.4</v>
      </c>
      <c r="D34" s="250">
        <f t="shared" si="2"/>
        <v>30.992999999999999</v>
      </c>
      <c r="E34" s="250">
        <f t="shared" si="9"/>
        <v>8.3699999999999992</v>
      </c>
      <c r="F34" s="250">
        <f t="shared" si="10"/>
        <v>2.78</v>
      </c>
      <c r="G34" s="250">
        <f t="shared" si="11"/>
        <v>37.280999999999999</v>
      </c>
      <c r="H34" s="250">
        <f t="shared" si="12"/>
        <v>7.8730000000000002</v>
      </c>
      <c r="I34" s="250">
        <f t="shared" si="13"/>
        <v>1.31</v>
      </c>
      <c r="J34" s="250">
        <f t="shared" si="14"/>
        <v>3.5139999999999998</v>
      </c>
      <c r="L34" s="251">
        <f t="shared" si="3"/>
        <v>4.4541218637992834</v>
      </c>
      <c r="M34" s="251">
        <f t="shared" si="4"/>
        <v>1.2028845223114897</v>
      </c>
      <c r="N34" s="252">
        <f t="shared" si="5"/>
        <v>4.2267608814893692E-2</v>
      </c>
      <c r="O34" s="251">
        <f t="shared" si="6"/>
        <v>0.47122302158273388</v>
      </c>
      <c r="P34" s="251">
        <f t="shared" si="7"/>
        <v>1.0631271434014986</v>
      </c>
      <c r="Q34" s="252">
        <f t="shared" si="8"/>
        <v>3.5138542421072401E-2</v>
      </c>
      <c r="T34" s="250" t="s">
        <v>19</v>
      </c>
      <c r="U34" s="250">
        <v>11.409000000000001</v>
      </c>
      <c r="V34" s="250">
        <v>8.8140000000000001</v>
      </c>
      <c r="W34" s="250">
        <v>6.5410000000000004</v>
      </c>
      <c r="X34" s="250">
        <v>2.73</v>
      </c>
      <c r="Y34" s="250">
        <v>31.146000000000001</v>
      </c>
      <c r="Z34" s="250">
        <v>6.3789999999999996</v>
      </c>
      <c r="AA34" s="250">
        <v>1.44</v>
      </c>
      <c r="AB34" s="263">
        <v>4.6230000000000002</v>
      </c>
    </row>
    <row r="35" spans="1:28" s="250" customFormat="1" x14ac:dyDescent="0.2">
      <c r="A35" s="250" t="s">
        <v>19</v>
      </c>
      <c r="B35" s="250" t="s">
        <v>136</v>
      </c>
      <c r="C35" s="250">
        <v>11.4</v>
      </c>
      <c r="D35" s="250">
        <f t="shared" si="2"/>
        <v>8.8140000000000001</v>
      </c>
      <c r="E35" s="250">
        <f t="shared" si="9"/>
        <v>6.5410000000000004</v>
      </c>
      <c r="F35" s="250">
        <f t="shared" si="10"/>
        <v>2.73</v>
      </c>
      <c r="G35" s="250">
        <f t="shared" si="11"/>
        <v>31.146000000000001</v>
      </c>
      <c r="H35" s="250">
        <f t="shared" si="12"/>
        <v>6.3789999999999996</v>
      </c>
      <c r="I35" s="250">
        <f t="shared" si="13"/>
        <v>1.44</v>
      </c>
      <c r="J35" s="250">
        <f t="shared" si="14"/>
        <v>4.6230000000000002</v>
      </c>
      <c r="L35" s="251">
        <f t="shared" si="3"/>
        <v>4.7616572389542879</v>
      </c>
      <c r="M35" s="251">
        <f t="shared" si="4"/>
        <v>3.5336963921034719</v>
      </c>
      <c r="N35" s="252">
        <f t="shared" si="5"/>
        <v>0.16337644656228725</v>
      </c>
      <c r="O35" s="251">
        <f t="shared" si="6"/>
        <v>0.52747252747252749</v>
      </c>
      <c r="P35" s="251">
        <f t="shared" si="7"/>
        <v>1.0253958300674089</v>
      </c>
      <c r="Q35" s="252">
        <f t="shared" si="8"/>
        <v>4.6233866307069924E-2</v>
      </c>
      <c r="T35" s="250" t="s">
        <v>266</v>
      </c>
      <c r="U35" s="250">
        <v>16.809999999999999</v>
      </c>
      <c r="V35" s="250">
        <v>31.774000000000001</v>
      </c>
      <c r="W35" s="250">
        <v>5.4329999999999998</v>
      </c>
      <c r="X35" s="250">
        <v>2.66</v>
      </c>
      <c r="Y35" s="250">
        <v>44.715000000000003</v>
      </c>
      <c r="Z35" s="250">
        <v>7.181</v>
      </c>
      <c r="AA35" s="250">
        <v>1.65</v>
      </c>
      <c r="AB35" s="263">
        <v>3.69</v>
      </c>
    </row>
    <row r="36" spans="1:28" s="250" customFormat="1" x14ac:dyDescent="0.2">
      <c r="A36" s="250" t="s">
        <v>266</v>
      </c>
      <c r="B36" s="250" t="s">
        <v>265</v>
      </c>
      <c r="C36" s="250">
        <v>16.8</v>
      </c>
      <c r="D36" s="250">
        <f t="shared" si="2"/>
        <v>31.774000000000001</v>
      </c>
      <c r="E36" s="250">
        <f t="shared" si="9"/>
        <v>5.4329999999999998</v>
      </c>
      <c r="F36" s="250">
        <f t="shared" si="10"/>
        <v>2.66</v>
      </c>
      <c r="G36" s="250">
        <f t="shared" si="11"/>
        <v>44.715000000000003</v>
      </c>
      <c r="H36" s="250">
        <f t="shared" si="12"/>
        <v>7.181</v>
      </c>
      <c r="I36" s="250">
        <f t="shared" si="13"/>
        <v>1.65</v>
      </c>
      <c r="J36" s="250">
        <f t="shared" si="14"/>
        <v>3.69</v>
      </c>
      <c r="L36" s="251">
        <f t="shared" si="3"/>
        <v>8.2302595251242412</v>
      </c>
      <c r="M36" s="251">
        <f t="shared" si="4"/>
        <v>1.4072826839554353</v>
      </c>
      <c r="N36" s="252">
        <f t="shared" si="5"/>
        <v>5.1929250330458865E-2</v>
      </c>
      <c r="O36" s="251">
        <f t="shared" si="6"/>
        <v>0.62030075187969913</v>
      </c>
      <c r="P36" s="251">
        <f t="shared" si="7"/>
        <v>0.75657986352875639</v>
      </c>
      <c r="Q36" s="252">
        <f t="shared" si="8"/>
        <v>3.690036900369003E-2</v>
      </c>
      <c r="T36" s="250" t="s">
        <v>21</v>
      </c>
      <c r="U36" s="250">
        <v>20.693000000000001</v>
      </c>
      <c r="V36" s="250">
        <v>19.28</v>
      </c>
      <c r="W36" s="250">
        <v>3.6829999999999998</v>
      </c>
      <c r="X36" s="250">
        <v>1.64</v>
      </c>
      <c r="Y36" s="250">
        <v>33.936999999999998</v>
      </c>
      <c r="Z36" s="250">
        <v>4.5519999999999996</v>
      </c>
      <c r="AA36" s="250">
        <v>1.24</v>
      </c>
      <c r="AB36" s="263">
        <v>3.6539999999999999</v>
      </c>
    </row>
    <row r="37" spans="1:28" s="250" customFormat="1" x14ac:dyDescent="0.2">
      <c r="A37" s="250" t="s">
        <v>186</v>
      </c>
      <c r="B37" s="250" t="s">
        <v>185</v>
      </c>
      <c r="C37" s="250" t="e">
        <f t="shared" si="15"/>
        <v>#N/A</v>
      </c>
      <c r="D37" s="250" t="e">
        <f t="shared" si="2"/>
        <v>#N/A</v>
      </c>
      <c r="E37" s="250" t="e">
        <f t="shared" si="9"/>
        <v>#N/A</v>
      </c>
      <c r="F37" s="250" t="e">
        <f t="shared" si="10"/>
        <v>#N/A</v>
      </c>
      <c r="G37" s="250" t="e">
        <f t="shared" si="11"/>
        <v>#N/A</v>
      </c>
      <c r="H37" s="250" t="e">
        <f t="shared" si="12"/>
        <v>#N/A</v>
      </c>
      <c r="I37" s="250" t="e">
        <f t="shared" si="13"/>
        <v>#N/A</v>
      </c>
      <c r="J37" s="250" t="e">
        <f t="shared" si="14"/>
        <v>#N/A</v>
      </c>
      <c r="L37" s="251" t="str">
        <f t="shared" si="3"/>
        <v/>
      </c>
      <c r="M37" s="251" t="str">
        <f t="shared" si="4"/>
        <v/>
      </c>
      <c r="N37" s="252" t="str">
        <f t="shared" si="5"/>
        <v/>
      </c>
      <c r="O37" s="251" t="str">
        <f t="shared" si="6"/>
        <v/>
      </c>
      <c r="P37" s="251" t="str">
        <f t="shared" si="7"/>
        <v/>
      </c>
      <c r="Q37" s="252" t="str">
        <f t="shared" si="8"/>
        <v/>
      </c>
      <c r="T37" s="264" t="s">
        <v>22</v>
      </c>
      <c r="U37" s="264">
        <v>20.600999999999999</v>
      </c>
      <c r="V37" s="264">
        <v>44.652999999999999</v>
      </c>
      <c r="W37" s="264">
        <v>7.5039999999999996</v>
      </c>
      <c r="X37" s="264">
        <v>4.21</v>
      </c>
      <c r="Y37" s="264">
        <v>86.728999999999999</v>
      </c>
      <c r="Z37" s="264">
        <v>5.6619999999999999</v>
      </c>
      <c r="AA37" s="264">
        <v>2.2400000000000002</v>
      </c>
      <c r="AB37" s="263">
        <v>2.5830000000000002</v>
      </c>
    </row>
    <row r="38" spans="1:28" s="250" customFormat="1" ht="10.8" thickBot="1" x14ac:dyDescent="0.25">
      <c r="A38" s="250" t="s">
        <v>20</v>
      </c>
      <c r="B38" s="250" t="s">
        <v>137</v>
      </c>
      <c r="C38" s="250" t="str">
        <f t="shared" si="15"/>
        <v>NMF</v>
      </c>
      <c r="D38" s="250">
        <f t="shared" si="2"/>
        <v>23.02</v>
      </c>
      <c r="E38" s="250">
        <f t="shared" si="9"/>
        <v>2.1</v>
      </c>
      <c r="F38" s="250">
        <f t="shared" si="10"/>
        <v>-0.06</v>
      </c>
      <c r="G38" s="250">
        <f t="shared" si="11"/>
        <v>30.700000000000003</v>
      </c>
      <c r="H38" s="250">
        <f t="shared" si="12"/>
        <v>2.69</v>
      </c>
      <c r="I38" s="250">
        <f t="shared" si="13"/>
        <v>1.1000000000000001</v>
      </c>
      <c r="J38" s="250">
        <f t="shared" si="14"/>
        <v>3.6</v>
      </c>
      <c r="L38" s="251">
        <f t="shared" si="3"/>
        <v>14.61904761904762</v>
      </c>
      <c r="M38" s="251">
        <f t="shared" si="4"/>
        <v>1.3336229365768899</v>
      </c>
      <c r="N38" s="252">
        <f t="shared" si="5"/>
        <v>4.7784535186794097E-2</v>
      </c>
      <c r="O38" s="251">
        <f t="shared" si="6"/>
        <v>-18.333333333333336</v>
      </c>
      <c r="P38" s="251">
        <f t="shared" si="7"/>
        <v>0.78066914498141271</v>
      </c>
      <c r="Q38" s="252">
        <f t="shared" si="8"/>
        <v>3.5830618892508145E-2</v>
      </c>
      <c r="T38" s="264" t="s">
        <v>25</v>
      </c>
      <c r="U38" s="268">
        <v>29.356999999999999</v>
      </c>
      <c r="V38" s="264">
        <v>22.446999999999999</v>
      </c>
      <c r="W38" s="264">
        <v>3.726</v>
      </c>
      <c r="X38" s="264">
        <v>2.2000000000000002</v>
      </c>
      <c r="Y38" s="264">
        <v>64.585999999999999</v>
      </c>
      <c r="Z38" s="264">
        <v>3.1190000000000002</v>
      </c>
      <c r="AA38" s="264">
        <v>1.26</v>
      </c>
      <c r="AB38" s="262">
        <v>1.9510000000000001</v>
      </c>
    </row>
    <row r="39" spans="1:28" s="250" customFormat="1" ht="10.8" thickBot="1" x14ac:dyDescent="0.25">
      <c r="A39" s="250" t="s">
        <v>21</v>
      </c>
      <c r="B39" s="250" t="s">
        <v>138</v>
      </c>
      <c r="C39" s="250">
        <v>20.7</v>
      </c>
      <c r="D39" s="250">
        <f t="shared" si="2"/>
        <v>19.28</v>
      </c>
      <c r="E39" s="250">
        <f t="shared" si="9"/>
        <v>3.6829999999999998</v>
      </c>
      <c r="F39" s="250">
        <f t="shared" si="10"/>
        <v>1.64</v>
      </c>
      <c r="G39" s="250">
        <f t="shared" si="11"/>
        <v>33.936999999999998</v>
      </c>
      <c r="H39" s="250">
        <f t="shared" si="12"/>
        <v>4.5519999999999996</v>
      </c>
      <c r="I39" s="250">
        <f t="shared" si="13"/>
        <v>1.24</v>
      </c>
      <c r="J39" s="250">
        <f t="shared" si="14"/>
        <v>3.6539999999999999</v>
      </c>
      <c r="L39" s="251">
        <f t="shared" si="3"/>
        <v>9.2144990496877544</v>
      </c>
      <c r="M39" s="251">
        <f t="shared" si="4"/>
        <v>1.7602178423236512</v>
      </c>
      <c r="N39" s="252">
        <f t="shared" si="5"/>
        <v>6.4315352697095429E-2</v>
      </c>
      <c r="O39" s="251">
        <f t="shared" si="6"/>
        <v>0.75609756097560976</v>
      </c>
      <c r="P39" s="251">
        <f t="shared" si="7"/>
        <v>0.80909490333919165</v>
      </c>
      <c r="Q39" s="252">
        <f t="shared" si="8"/>
        <v>3.6538291540206859E-2</v>
      </c>
      <c r="T39" s="258" t="s">
        <v>188</v>
      </c>
      <c r="U39" s="259">
        <v>28.385999999999999</v>
      </c>
      <c r="V39" s="259">
        <v>14.015000000000001</v>
      </c>
      <c r="W39" s="259">
        <v>2.2370000000000001</v>
      </c>
      <c r="X39" s="259">
        <v>1.38</v>
      </c>
      <c r="Y39" s="259">
        <v>39.173000000000002</v>
      </c>
      <c r="Z39" s="266">
        <v>3.0760000000000001</v>
      </c>
      <c r="AA39" s="259">
        <v>0.85799999999999998</v>
      </c>
      <c r="AB39" s="260">
        <v>2.19</v>
      </c>
    </row>
    <row r="40" spans="1:28" s="250" customFormat="1" x14ac:dyDescent="0.2">
      <c r="A40" s="250" t="s">
        <v>22</v>
      </c>
      <c r="B40" s="250" t="s">
        <v>216</v>
      </c>
      <c r="C40" s="250">
        <v>20.6</v>
      </c>
      <c r="D40" s="250">
        <f t="shared" si="2"/>
        <v>44.652999999999999</v>
      </c>
      <c r="E40" s="250">
        <f t="shared" si="9"/>
        <v>7.5039999999999996</v>
      </c>
      <c r="F40" s="250">
        <f t="shared" si="10"/>
        <v>4.21</v>
      </c>
      <c r="G40" s="250">
        <f t="shared" si="11"/>
        <v>86.728999999999999</v>
      </c>
      <c r="H40" s="250">
        <f t="shared" si="12"/>
        <v>5.6619999999999999</v>
      </c>
      <c r="I40" s="250">
        <f t="shared" si="13"/>
        <v>2.2400000000000002</v>
      </c>
      <c r="J40" s="250">
        <f t="shared" si="14"/>
        <v>2.5830000000000002</v>
      </c>
      <c r="L40" s="251">
        <f t="shared" si="3"/>
        <v>11.557702558635395</v>
      </c>
      <c r="M40" s="251">
        <f t="shared" si="4"/>
        <v>1.9422883120954919</v>
      </c>
      <c r="N40" s="252">
        <f t="shared" si="5"/>
        <v>5.0164602602288763E-2</v>
      </c>
      <c r="O40" s="251">
        <f t="shared" si="6"/>
        <v>0.5320665083135393</v>
      </c>
      <c r="P40" s="251">
        <f t="shared" si="7"/>
        <v>1.3253267396679618</v>
      </c>
      <c r="Q40" s="252">
        <f t="shared" si="8"/>
        <v>2.5827577857464059E-2</v>
      </c>
      <c r="T40" s="264" t="s">
        <v>190</v>
      </c>
      <c r="U40" s="264">
        <v>22.376999999999999</v>
      </c>
      <c r="V40" s="264">
        <v>14.326000000000001</v>
      </c>
      <c r="W40" s="264">
        <v>2.6789999999999998</v>
      </c>
      <c r="X40" s="264">
        <v>1.73</v>
      </c>
      <c r="Y40" s="264">
        <v>38.712000000000003</v>
      </c>
      <c r="Z40" s="264">
        <v>3.8010000000000002</v>
      </c>
      <c r="AA40" s="264">
        <v>1.04</v>
      </c>
      <c r="AB40" s="264">
        <v>2.6869999999999998</v>
      </c>
    </row>
    <row r="41" spans="1:28" s="250" customFormat="1" ht="10.8" thickBot="1" x14ac:dyDescent="0.25">
      <c r="A41" s="250" t="s">
        <v>25</v>
      </c>
      <c r="B41" s="250" t="s">
        <v>139</v>
      </c>
      <c r="C41" s="250">
        <v>29.4</v>
      </c>
      <c r="D41" s="250">
        <f t="shared" si="2"/>
        <v>22.446999999999999</v>
      </c>
      <c r="E41" s="250">
        <f t="shared" si="9"/>
        <v>3.726</v>
      </c>
      <c r="F41" s="250">
        <f t="shared" si="10"/>
        <v>2.2000000000000002</v>
      </c>
      <c r="G41" s="250">
        <f t="shared" si="11"/>
        <v>64.585999999999999</v>
      </c>
      <c r="H41" s="250">
        <f t="shared" si="12"/>
        <v>3.1190000000000002</v>
      </c>
      <c r="I41" s="250">
        <f t="shared" si="13"/>
        <v>1.26</v>
      </c>
      <c r="J41" s="250">
        <f t="shared" si="14"/>
        <v>1.9510000000000001</v>
      </c>
      <c r="L41" s="251">
        <f t="shared" si="3"/>
        <v>17.333870101986044</v>
      </c>
      <c r="M41" s="251">
        <f t="shared" si="4"/>
        <v>2.8772664498596696</v>
      </c>
      <c r="N41" s="252">
        <f t="shared" si="5"/>
        <v>5.6132222568717423E-2</v>
      </c>
      <c r="O41" s="251">
        <f t="shared" si="6"/>
        <v>0.57272727272727264</v>
      </c>
      <c r="P41" s="251">
        <f t="shared" si="7"/>
        <v>1.1946136582237896</v>
      </c>
      <c r="Q41" s="252">
        <f t="shared" si="8"/>
        <v>1.9508871891741244E-2</v>
      </c>
      <c r="T41" s="264" t="s">
        <v>141</v>
      </c>
      <c r="U41" s="264">
        <v>21.649000000000001</v>
      </c>
      <c r="V41" s="264">
        <v>59.89</v>
      </c>
      <c r="W41" s="264">
        <v>12.108000000000001</v>
      </c>
      <c r="X41" s="264">
        <v>6.5</v>
      </c>
      <c r="Y41" s="264">
        <v>140.71899999999999</v>
      </c>
      <c r="Z41" s="264">
        <v>22.803000000000001</v>
      </c>
      <c r="AA41" s="264">
        <v>3.93</v>
      </c>
      <c r="AB41" s="264">
        <v>2.7930000000000001</v>
      </c>
    </row>
    <row r="42" spans="1:28" s="250" customFormat="1" ht="10.8" thickBot="1" x14ac:dyDescent="0.25">
      <c r="A42" s="250" t="s">
        <v>188</v>
      </c>
      <c r="B42" s="250" t="s">
        <v>187</v>
      </c>
      <c r="C42" s="250">
        <v>28.4</v>
      </c>
      <c r="D42" s="250">
        <f t="shared" si="2"/>
        <v>14.015000000000001</v>
      </c>
      <c r="E42" s="250">
        <f t="shared" si="9"/>
        <v>2.2370000000000001</v>
      </c>
      <c r="F42" s="250">
        <f t="shared" si="10"/>
        <v>1.38</v>
      </c>
      <c r="G42" s="250">
        <f t="shared" si="11"/>
        <v>39.173000000000002</v>
      </c>
      <c r="H42" s="250">
        <f t="shared" si="12"/>
        <v>3.0760000000000001</v>
      </c>
      <c r="I42" s="250">
        <f t="shared" si="13"/>
        <v>0.85799999999999998</v>
      </c>
      <c r="J42" s="250">
        <f t="shared" si="14"/>
        <v>2.19</v>
      </c>
      <c r="L42" s="251">
        <f t="shared" si="3"/>
        <v>17.511399195350915</v>
      </c>
      <c r="M42" s="251">
        <f t="shared" si="4"/>
        <v>2.7950767035319299</v>
      </c>
      <c r="N42" s="252">
        <f t="shared" si="5"/>
        <v>6.1220121298608633E-2</v>
      </c>
      <c r="O42" s="251">
        <f t="shared" si="6"/>
        <v>0.62173913043478268</v>
      </c>
      <c r="P42" s="251">
        <f t="shared" si="7"/>
        <v>0.72724317295188556</v>
      </c>
      <c r="Q42" s="252">
        <f t="shared" si="8"/>
        <v>2.1902841242692671E-2</v>
      </c>
      <c r="T42" s="258" t="s">
        <v>26</v>
      </c>
      <c r="U42" s="259" t="s">
        <v>105</v>
      </c>
      <c r="V42" s="259">
        <v>12.819000000000001</v>
      </c>
      <c r="W42" s="259">
        <v>2.0739999999999998</v>
      </c>
      <c r="X42" s="259">
        <v>0.39</v>
      </c>
      <c r="Y42" s="259">
        <v>25.116</v>
      </c>
      <c r="Z42" s="266">
        <v>5.032</v>
      </c>
      <c r="AA42" s="259">
        <v>0.7</v>
      </c>
      <c r="AB42" s="260">
        <v>2.7869999999999999</v>
      </c>
    </row>
    <row r="43" spans="1:28" s="250" customFormat="1" x14ac:dyDescent="0.2">
      <c r="A43" s="250" t="s">
        <v>190</v>
      </c>
      <c r="B43" s="250" t="s">
        <v>189</v>
      </c>
      <c r="C43" s="250">
        <v>22.4</v>
      </c>
      <c r="D43" s="250">
        <f t="shared" si="2"/>
        <v>14.326000000000001</v>
      </c>
      <c r="E43" s="250">
        <f t="shared" si="9"/>
        <v>2.6789999999999998</v>
      </c>
      <c r="F43" s="250">
        <f t="shared" si="10"/>
        <v>1.73</v>
      </c>
      <c r="G43" s="250">
        <f t="shared" si="11"/>
        <v>38.712000000000003</v>
      </c>
      <c r="H43" s="250">
        <f t="shared" si="12"/>
        <v>3.8010000000000002</v>
      </c>
      <c r="I43" s="250">
        <f t="shared" si="13"/>
        <v>1.04</v>
      </c>
      <c r="J43" s="250">
        <f t="shared" si="14"/>
        <v>2.6869999999999998</v>
      </c>
      <c r="L43" s="251">
        <f t="shared" si="3"/>
        <v>14.450167973124302</v>
      </c>
      <c r="M43" s="251">
        <f t="shared" si="4"/>
        <v>2.702219740332263</v>
      </c>
      <c r="N43" s="252">
        <f t="shared" si="5"/>
        <v>7.2595281306715068E-2</v>
      </c>
      <c r="O43" s="251">
        <f t="shared" si="6"/>
        <v>0.60115606936416188</v>
      </c>
      <c r="P43" s="251">
        <f t="shared" si="7"/>
        <v>0.70481452249408039</v>
      </c>
      <c r="Q43" s="252">
        <f t="shared" si="8"/>
        <v>2.6865054763380861E-2</v>
      </c>
      <c r="T43" s="264" t="s">
        <v>192</v>
      </c>
      <c r="U43" s="264" t="s">
        <v>105</v>
      </c>
      <c r="V43" s="268">
        <v>25.847999999999999</v>
      </c>
      <c r="W43" s="264">
        <v>1.042</v>
      </c>
      <c r="X43" s="264">
        <v>-1.94</v>
      </c>
      <c r="Y43" s="264">
        <v>62.228000000000002</v>
      </c>
      <c r="Z43" s="264">
        <v>7.4329999999999998</v>
      </c>
      <c r="AA43" s="264">
        <v>1.88</v>
      </c>
      <c r="AB43" s="264">
        <v>3.0209999999999999</v>
      </c>
    </row>
    <row r="44" spans="1:28" s="250" customFormat="1" x14ac:dyDescent="0.2">
      <c r="A44" s="250" t="s">
        <v>141</v>
      </c>
      <c r="B44" s="250" t="s">
        <v>140</v>
      </c>
      <c r="C44" s="250">
        <v>21.6</v>
      </c>
      <c r="D44" s="250">
        <f t="shared" si="2"/>
        <v>59.89</v>
      </c>
      <c r="E44" s="250">
        <f t="shared" si="9"/>
        <v>12.108000000000001</v>
      </c>
      <c r="F44" s="250">
        <f t="shared" si="10"/>
        <v>6.5</v>
      </c>
      <c r="G44" s="250">
        <f t="shared" si="11"/>
        <v>140.71899999999999</v>
      </c>
      <c r="H44" s="250">
        <f t="shared" si="12"/>
        <v>22.803000000000001</v>
      </c>
      <c r="I44" s="250">
        <f t="shared" si="13"/>
        <v>3.93</v>
      </c>
      <c r="J44" s="250">
        <f t="shared" si="14"/>
        <v>2.7930000000000001</v>
      </c>
      <c r="L44" s="251">
        <f t="shared" si="3"/>
        <v>11.621985464155928</v>
      </c>
      <c r="M44" s="251">
        <f t="shared" si="4"/>
        <v>2.3496243112372683</v>
      </c>
      <c r="N44" s="252">
        <f t="shared" si="5"/>
        <v>6.5620303890465859E-2</v>
      </c>
      <c r="O44" s="251">
        <f t="shared" si="6"/>
        <v>0.60461538461538467</v>
      </c>
      <c r="P44" s="251">
        <f t="shared" si="7"/>
        <v>0.53098276542560185</v>
      </c>
      <c r="Q44" s="252">
        <f t="shared" si="8"/>
        <v>2.7927998351324274E-2</v>
      </c>
      <c r="T44" s="264" t="s">
        <v>144</v>
      </c>
      <c r="U44" s="264">
        <v>17.844999999999999</v>
      </c>
      <c r="V44" s="264">
        <v>36.436</v>
      </c>
      <c r="W44" s="264">
        <v>6.7569999999999997</v>
      </c>
      <c r="X44" s="264">
        <v>3.34</v>
      </c>
      <c r="Y44" s="264">
        <v>59.603000000000002</v>
      </c>
      <c r="Z44" s="264">
        <v>5.5990000000000002</v>
      </c>
      <c r="AA44" s="264">
        <v>2.1</v>
      </c>
      <c r="AB44" s="264">
        <v>3.5230000000000001</v>
      </c>
    </row>
    <row r="45" spans="1:28" s="250" customFormat="1" x14ac:dyDescent="0.2">
      <c r="A45" s="250" t="s">
        <v>26</v>
      </c>
      <c r="B45" s="250" t="s">
        <v>142</v>
      </c>
      <c r="C45" s="250">
        <v>64.400000000000006</v>
      </c>
      <c r="D45" s="250">
        <f t="shared" si="2"/>
        <v>12.819000000000001</v>
      </c>
      <c r="E45" s="250">
        <f t="shared" si="9"/>
        <v>2.0739999999999998</v>
      </c>
      <c r="F45" s="250">
        <f t="shared" si="10"/>
        <v>0.39</v>
      </c>
      <c r="G45" s="250">
        <f t="shared" si="11"/>
        <v>25.116</v>
      </c>
      <c r="H45" s="250">
        <f t="shared" si="12"/>
        <v>5.032</v>
      </c>
      <c r="I45" s="250">
        <f t="shared" si="13"/>
        <v>0.7</v>
      </c>
      <c r="J45" s="250">
        <f t="shared" si="14"/>
        <v>2.7869999999999999</v>
      </c>
      <c r="L45" s="251">
        <f t="shared" si="3"/>
        <v>12.109932497589201</v>
      </c>
      <c r="M45" s="251">
        <f t="shared" si="4"/>
        <v>1.9592791949450035</v>
      </c>
      <c r="N45" s="252">
        <f t="shared" si="5"/>
        <v>5.4606443560340112E-2</v>
      </c>
      <c r="O45" s="251">
        <f t="shared" si="6"/>
        <v>1.7948717948717947</v>
      </c>
      <c r="P45" s="251">
        <f t="shared" si="7"/>
        <v>0.41216216216216212</v>
      </c>
      <c r="Q45" s="252">
        <f t="shared" si="8"/>
        <v>2.7870680044593088E-2</v>
      </c>
      <c r="T45" s="264" t="s">
        <v>27</v>
      </c>
      <c r="U45" s="264">
        <v>18.323</v>
      </c>
      <c r="V45" s="264">
        <v>19.283999999999999</v>
      </c>
      <c r="W45" s="264">
        <v>3.3439999999999999</v>
      </c>
      <c r="X45" s="264">
        <v>1.92</v>
      </c>
      <c r="Y45" s="264">
        <v>35.18</v>
      </c>
      <c r="Z45" s="264">
        <v>4.1269999999999998</v>
      </c>
      <c r="AA45" s="264">
        <v>1.27</v>
      </c>
      <c r="AB45" s="264">
        <v>3.61</v>
      </c>
    </row>
    <row r="46" spans="1:28" s="250" customFormat="1" x14ac:dyDescent="0.2">
      <c r="A46" s="250" t="s">
        <v>192</v>
      </c>
      <c r="B46" s="250" t="s">
        <v>191</v>
      </c>
      <c r="C46" s="250" t="str">
        <f t="shared" si="15"/>
        <v>NMF</v>
      </c>
      <c r="D46" s="250">
        <f t="shared" si="2"/>
        <v>25.847999999999999</v>
      </c>
      <c r="E46" s="250">
        <f t="shared" si="9"/>
        <v>1.042</v>
      </c>
      <c r="F46" s="250">
        <f t="shared" si="10"/>
        <v>-1.94</v>
      </c>
      <c r="G46" s="250">
        <f t="shared" si="11"/>
        <v>62.228000000000002</v>
      </c>
      <c r="H46" s="250">
        <f t="shared" si="12"/>
        <v>7.4329999999999998</v>
      </c>
      <c r="I46" s="250">
        <f t="shared" si="13"/>
        <v>1.88</v>
      </c>
      <c r="J46" s="250">
        <f t="shared" si="14"/>
        <v>3.0209999999999999</v>
      </c>
      <c r="L46" s="251">
        <f t="shared" si="3"/>
        <v>59.719769673704413</v>
      </c>
      <c r="M46" s="251">
        <f t="shared" si="4"/>
        <v>2.4074589910244506</v>
      </c>
      <c r="N46" s="252">
        <f t="shared" si="5"/>
        <v>7.2732900030950162E-2</v>
      </c>
      <c r="O46" s="251">
        <f t="shared" si="6"/>
        <v>-0.96907216494845361</v>
      </c>
      <c r="P46" s="251">
        <f t="shared" si="7"/>
        <v>0.14018565854971077</v>
      </c>
      <c r="Q46" s="252">
        <f t="shared" si="8"/>
        <v>3.0211480362537763E-2</v>
      </c>
      <c r="T46" s="264" t="s">
        <v>345</v>
      </c>
      <c r="U46" s="264">
        <v>23.465</v>
      </c>
      <c r="V46" s="268">
        <v>37.470999999999997</v>
      </c>
      <c r="W46" s="264">
        <v>5.96</v>
      </c>
      <c r="X46" s="264">
        <v>3.02</v>
      </c>
      <c r="Y46" s="264">
        <v>70.864999999999995</v>
      </c>
      <c r="Z46" s="264">
        <v>6.8120000000000003</v>
      </c>
      <c r="AA46" s="264">
        <v>1.68</v>
      </c>
      <c r="AB46" s="264">
        <v>2.371</v>
      </c>
    </row>
    <row r="47" spans="1:28" s="250" customFormat="1" x14ac:dyDescent="0.2">
      <c r="A47" s="250" t="s">
        <v>144</v>
      </c>
      <c r="B47" s="250" t="s">
        <v>143</v>
      </c>
      <c r="C47" s="250">
        <v>17.8</v>
      </c>
      <c r="D47" s="250">
        <f t="shared" si="2"/>
        <v>36.436</v>
      </c>
      <c r="E47" s="250">
        <f t="shared" si="9"/>
        <v>6.7569999999999997</v>
      </c>
      <c r="F47" s="250">
        <f t="shared" si="10"/>
        <v>3.34</v>
      </c>
      <c r="G47" s="250">
        <f t="shared" si="11"/>
        <v>59.603000000000002</v>
      </c>
      <c r="H47" s="250">
        <f t="shared" si="12"/>
        <v>5.5990000000000002</v>
      </c>
      <c r="I47" s="250">
        <f t="shared" si="13"/>
        <v>2.1</v>
      </c>
      <c r="J47" s="250">
        <f t="shared" si="14"/>
        <v>3.5230000000000001</v>
      </c>
      <c r="L47" s="251">
        <f t="shared" si="3"/>
        <v>8.8209264466479205</v>
      </c>
      <c r="M47" s="251">
        <f t="shared" si="4"/>
        <v>1.63582720386431</v>
      </c>
      <c r="N47" s="252">
        <f t="shared" si="5"/>
        <v>5.7635305741574272E-2</v>
      </c>
      <c r="O47" s="251">
        <f t="shared" si="6"/>
        <v>0.62874251497005995</v>
      </c>
      <c r="P47" s="251">
        <f t="shared" si="7"/>
        <v>1.2068226469012322</v>
      </c>
      <c r="Q47" s="252">
        <f t="shared" si="8"/>
        <v>3.5233125849370002E-2</v>
      </c>
      <c r="T47" s="264" t="s">
        <v>28</v>
      </c>
      <c r="U47" s="264">
        <v>22.062999999999999</v>
      </c>
      <c r="V47" s="264">
        <v>17.617000000000001</v>
      </c>
      <c r="W47" s="264">
        <v>3.7010000000000001</v>
      </c>
      <c r="X47" s="264">
        <v>1.86</v>
      </c>
      <c r="Y47" s="264">
        <v>41.036999999999999</v>
      </c>
      <c r="Z47" s="264">
        <v>3.36</v>
      </c>
      <c r="AA47" s="264">
        <v>1.28</v>
      </c>
      <c r="AB47" s="264">
        <v>3.1190000000000002</v>
      </c>
    </row>
    <row r="48" spans="1:28" s="250" customFormat="1" x14ac:dyDescent="0.2">
      <c r="A48" s="250" t="s">
        <v>27</v>
      </c>
      <c r="B48" s="250" t="s">
        <v>145</v>
      </c>
      <c r="C48" s="250">
        <v>18.3</v>
      </c>
      <c r="D48" s="250">
        <f t="shared" si="2"/>
        <v>19.283999999999999</v>
      </c>
      <c r="E48" s="250">
        <f t="shared" si="9"/>
        <v>3.3439999999999999</v>
      </c>
      <c r="F48" s="250">
        <f t="shared" si="10"/>
        <v>1.92</v>
      </c>
      <c r="G48" s="250">
        <f t="shared" si="11"/>
        <v>35.18</v>
      </c>
      <c r="H48" s="250">
        <f t="shared" si="12"/>
        <v>4.1269999999999998</v>
      </c>
      <c r="I48" s="250">
        <f t="shared" si="13"/>
        <v>1.27</v>
      </c>
      <c r="J48" s="250">
        <f t="shared" si="14"/>
        <v>3.61</v>
      </c>
      <c r="L48" s="251">
        <f t="shared" si="3"/>
        <v>10.520334928229666</v>
      </c>
      <c r="M48" s="251">
        <f t="shared" si="4"/>
        <v>1.8243103090645094</v>
      </c>
      <c r="N48" s="252">
        <f t="shared" si="5"/>
        <v>6.5857705870151426E-2</v>
      </c>
      <c r="O48" s="251">
        <f t="shared" si="6"/>
        <v>0.66145833333333337</v>
      </c>
      <c r="P48" s="251">
        <f t="shared" si="7"/>
        <v>0.81027380663920523</v>
      </c>
      <c r="Q48" s="252">
        <f t="shared" si="8"/>
        <v>3.6100056850483231E-2</v>
      </c>
      <c r="T48" s="250" t="s">
        <v>30</v>
      </c>
      <c r="U48" s="250">
        <v>18.277000000000001</v>
      </c>
      <c r="V48" s="250">
        <v>37.338000000000001</v>
      </c>
      <c r="W48" s="250">
        <v>9.0280000000000005</v>
      </c>
      <c r="X48" s="250">
        <v>3.5</v>
      </c>
      <c r="Y48" s="250">
        <v>63.969000000000001</v>
      </c>
      <c r="Z48" s="250">
        <v>10.959</v>
      </c>
      <c r="AA48" s="250">
        <v>1.55</v>
      </c>
      <c r="AB48" s="250">
        <v>2.423</v>
      </c>
    </row>
    <row r="49" spans="1:28" s="250" customFormat="1" x14ac:dyDescent="0.2">
      <c r="A49" s="250" t="s">
        <v>345</v>
      </c>
      <c r="B49" s="250" t="s">
        <v>348</v>
      </c>
      <c r="C49" s="250">
        <v>23.5</v>
      </c>
      <c r="D49" s="250">
        <f t="shared" si="2"/>
        <v>37.470999999999997</v>
      </c>
      <c r="E49" s="250">
        <f t="shared" si="9"/>
        <v>5.96</v>
      </c>
      <c r="F49" s="250">
        <f t="shared" si="10"/>
        <v>3.02</v>
      </c>
      <c r="G49" s="250">
        <f t="shared" si="11"/>
        <v>70.864999999999995</v>
      </c>
      <c r="H49" s="250">
        <f t="shared" si="12"/>
        <v>6.8120000000000003</v>
      </c>
      <c r="I49" s="250">
        <f t="shared" si="13"/>
        <v>1.68</v>
      </c>
      <c r="J49" s="250">
        <f t="shared" si="14"/>
        <v>2.371</v>
      </c>
      <c r="L49" s="251">
        <f t="shared" si="3"/>
        <v>11.890100671140939</v>
      </c>
      <c r="M49" s="251">
        <f t="shared" si="4"/>
        <v>1.8911958581302875</v>
      </c>
      <c r="N49" s="252">
        <f t="shared" si="5"/>
        <v>4.4834672146459933E-2</v>
      </c>
      <c r="O49" s="251">
        <f t="shared" si="6"/>
        <v>0.55629139072847678</v>
      </c>
      <c r="P49" s="251">
        <f t="shared" si="7"/>
        <v>0.87492660011743972</v>
      </c>
      <c r="Q49" s="252">
        <f t="shared" si="8"/>
        <v>2.3707048613560999E-2</v>
      </c>
      <c r="T49" s="250" t="s">
        <v>31</v>
      </c>
      <c r="U49" s="250">
        <v>19.280999999999999</v>
      </c>
      <c r="V49" s="250">
        <v>44.802</v>
      </c>
      <c r="W49" s="250">
        <v>9.7859999999999996</v>
      </c>
      <c r="X49" s="250">
        <v>4.43</v>
      </c>
      <c r="Y49" s="250">
        <v>85.414000000000001</v>
      </c>
      <c r="Z49" s="250">
        <v>12.804</v>
      </c>
      <c r="AA49" s="250">
        <v>2.7</v>
      </c>
      <c r="AB49" s="250">
        <v>3.161</v>
      </c>
    </row>
    <row r="50" spans="1:28" s="250" customFormat="1" x14ac:dyDescent="0.2">
      <c r="A50" s="250" t="s">
        <v>28</v>
      </c>
      <c r="B50" s="250" t="s">
        <v>146</v>
      </c>
      <c r="C50" s="250">
        <v>22.1</v>
      </c>
      <c r="D50" s="250">
        <f t="shared" si="2"/>
        <v>17.617000000000001</v>
      </c>
      <c r="E50" s="250">
        <f t="shared" si="9"/>
        <v>3.7010000000000001</v>
      </c>
      <c r="F50" s="250">
        <f t="shared" si="10"/>
        <v>1.86</v>
      </c>
      <c r="G50" s="250">
        <f t="shared" si="11"/>
        <v>41.036999999999999</v>
      </c>
      <c r="H50" s="250">
        <f t="shared" si="12"/>
        <v>3.36</v>
      </c>
      <c r="I50" s="250">
        <f t="shared" si="13"/>
        <v>1.28</v>
      </c>
      <c r="J50" s="250">
        <f t="shared" si="14"/>
        <v>3.1190000000000002</v>
      </c>
      <c r="L50" s="251">
        <f t="shared" si="3"/>
        <v>11.088084301540125</v>
      </c>
      <c r="M50" s="251">
        <f t="shared" si="4"/>
        <v>2.3293977408185276</v>
      </c>
      <c r="N50" s="252">
        <f t="shared" si="5"/>
        <v>7.2657092581029689E-2</v>
      </c>
      <c r="O50" s="251">
        <f t="shared" si="6"/>
        <v>0.68817204301075263</v>
      </c>
      <c r="P50" s="251">
        <f t="shared" si="7"/>
        <v>1.1014880952380952</v>
      </c>
      <c r="Q50" s="252">
        <f t="shared" si="8"/>
        <v>3.1191363891122648E-2</v>
      </c>
      <c r="T50" s="250" t="s">
        <v>32</v>
      </c>
      <c r="U50" s="250">
        <v>20.425999999999998</v>
      </c>
      <c r="V50" s="250">
        <v>21.283000000000001</v>
      </c>
      <c r="W50" s="250">
        <v>5.2990000000000004</v>
      </c>
      <c r="X50" s="250">
        <v>1.92</v>
      </c>
      <c r="Y50" s="250">
        <v>39.216999999999999</v>
      </c>
      <c r="Z50" s="250">
        <v>6.2830000000000004</v>
      </c>
      <c r="AA50" s="250">
        <v>0.99299999999999999</v>
      </c>
      <c r="AB50" s="250">
        <v>2.532</v>
      </c>
    </row>
    <row r="51" spans="1:28" s="250" customFormat="1" x14ac:dyDescent="0.2">
      <c r="A51" s="250" t="s">
        <v>30</v>
      </c>
      <c r="B51" s="250" t="s">
        <v>147</v>
      </c>
      <c r="C51" s="250">
        <f t="shared" si="15"/>
        <v>18.277000000000001</v>
      </c>
      <c r="D51" s="250">
        <f t="shared" si="2"/>
        <v>37.338000000000001</v>
      </c>
      <c r="E51" s="250">
        <f t="shared" si="9"/>
        <v>9.0280000000000005</v>
      </c>
      <c r="F51" s="250">
        <f t="shared" si="10"/>
        <v>3.5</v>
      </c>
      <c r="G51" s="250">
        <f t="shared" si="11"/>
        <v>63.969000000000001</v>
      </c>
      <c r="H51" s="250">
        <f t="shared" si="12"/>
        <v>10.959</v>
      </c>
      <c r="I51" s="250">
        <f t="shared" si="13"/>
        <v>1.55</v>
      </c>
      <c r="J51" s="250">
        <f t="shared" si="14"/>
        <v>2.423</v>
      </c>
      <c r="L51" s="251">
        <f t="shared" si="3"/>
        <v>7.085622507753655</v>
      </c>
      <c r="M51" s="251">
        <f t="shared" si="4"/>
        <v>1.713241201992608</v>
      </c>
      <c r="N51" s="252">
        <f t="shared" si="5"/>
        <v>4.1512668059349722E-2</v>
      </c>
      <c r="O51" s="251">
        <f t="shared" si="6"/>
        <v>0.44285714285714289</v>
      </c>
      <c r="P51" s="251">
        <f t="shared" si="7"/>
        <v>0.82379779176932211</v>
      </c>
      <c r="Q51" s="252">
        <f t="shared" si="8"/>
        <v>2.4230486641967204E-2</v>
      </c>
      <c r="T51" s="250" t="s">
        <v>33</v>
      </c>
      <c r="U51" s="250">
        <v>20.030999999999999</v>
      </c>
      <c r="V51" s="250">
        <v>27.111000000000001</v>
      </c>
      <c r="W51" s="250">
        <v>6.1609999999999996</v>
      </c>
      <c r="X51" s="250">
        <v>2.29</v>
      </c>
      <c r="Y51" s="250">
        <v>45.872</v>
      </c>
      <c r="Z51" s="250">
        <v>5.7679999999999998</v>
      </c>
      <c r="AA51" s="250">
        <v>1.34</v>
      </c>
      <c r="AB51" s="250">
        <v>2.9209999999999998</v>
      </c>
    </row>
    <row r="52" spans="1:28" s="250" customFormat="1" x14ac:dyDescent="0.2">
      <c r="A52" s="250" t="s">
        <v>31</v>
      </c>
      <c r="B52" s="250" t="s">
        <v>148</v>
      </c>
      <c r="C52" s="250">
        <v>19.3</v>
      </c>
      <c r="D52" s="250">
        <f t="shared" si="2"/>
        <v>44.802</v>
      </c>
      <c r="E52" s="250">
        <f t="shared" si="9"/>
        <v>9.7859999999999996</v>
      </c>
      <c r="F52" s="250">
        <f t="shared" si="10"/>
        <v>4.43</v>
      </c>
      <c r="G52" s="250">
        <f t="shared" si="11"/>
        <v>85.414000000000001</v>
      </c>
      <c r="H52" s="250">
        <f t="shared" si="12"/>
        <v>12.804</v>
      </c>
      <c r="I52" s="250">
        <f t="shared" si="13"/>
        <v>2.7</v>
      </c>
      <c r="J52" s="250">
        <f t="shared" si="14"/>
        <v>3.161</v>
      </c>
      <c r="L52" s="251">
        <f t="shared" si="3"/>
        <v>8.7281831187410592</v>
      </c>
      <c r="M52" s="251">
        <f t="shared" si="4"/>
        <v>1.9064773894022589</v>
      </c>
      <c r="N52" s="252">
        <f t="shared" si="5"/>
        <v>6.0265166733627966E-2</v>
      </c>
      <c r="O52" s="251">
        <f t="shared" si="6"/>
        <v>0.60948081264108356</v>
      </c>
      <c r="P52" s="251">
        <f t="shared" si="7"/>
        <v>0.76429240862230552</v>
      </c>
      <c r="Q52" s="252">
        <f t="shared" si="8"/>
        <v>3.1610742969536615E-2</v>
      </c>
      <c r="T52" s="250" t="s">
        <v>34</v>
      </c>
      <c r="U52" s="250">
        <v>17.649999999999999</v>
      </c>
      <c r="V52" s="250">
        <v>15.519</v>
      </c>
      <c r="W52" s="250">
        <v>3.6829999999999998</v>
      </c>
      <c r="X52" s="250">
        <v>2.11</v>
      </c>
      <c r="Y52" s="250">
        <v>37.241</v>
      </c>
      <c r="Z52" s="250">
        <v>4.5179999999999998</v>
      </c>
      <c r="AA52" s="250">
        <v>1.58</v>
      </c>
      <c r="AB52" s="250">
        <v>4.2430000000000003</v>
      </c>
    </row>
    <row r="53" spans="1:28" s="250" customFormat="1" x14ac:dyDescent="0.2">
      <c r="A53" s="250" t="s">
        <v>32</v>
      </c>
      <c r="B53" s="250" t="s">
        <v>149</v>
      </c>
      <c r="C53" s="250">
        <v>20.399999999999999</v>
      </c>
      <c r="D53" s="250">
        <f t="shared" si="2"/>
        <v>21.283000000000001</v>
      </c>
      <c r="E53" s="250">
        <f t="shared" si="9"/>
        <v>5.2990000000000004</v>
      </c>
      <c r="F53" s="250">
        <f t="shared" si="10"/>
        <v>1.92</v>
      </c>
      <c r="G53" s="250">
        <f t="shared" si="11"/>
        <v>39.216999999999999</v>
      </c>
      <c r="H53" s="250">
        <f t="shared" si="12"/>
        <v>6.2830000000000004</v>
      </c>
      <c r="I53" s="250">
        <f t="shared" si="13"/>
        <v>0.99299999999999999</v>
      </c>
      <c r="J53" s="250">
        <f t="shared" si="14"/>
        <v>2.532</v>
      </c>
      <c r="L53" s="251">
        <f t="shared" si="3"/>
        <v>7.4008303453481785</v>
      </c>
      <c r="M53" s="251">
        <f t="shared" si="4"/>
        <v>1.8426443640464218</v>
      </c>
      <c r="N53" s="252">
        <f t="shared" si="5"/>
        <v>4.6656956256166893E-2</v>
      </c>
      <c r="O53" s="251">
        <f t="shared" si="6"/>
        <v>0.51718750000000002</v>
      </c>
      <c r="P53" s="251">
        <f t="shared" si="7"/>
        <v>0.84338691707782909</v>
      </c>
      <c r="Q53" s="252">
        <f t="shared" si="8"/>
        <v>2.5320651758166102E-2</v>
      </c>
      <c r="T53" s="250" t="s">
        <v>35</v>
      </c>
      <c r="U53" s="250">
        <v>16.305</v>
      </c>
      <c r="V53" s="250">
        <v>27.42</v>
      </c>
      <c r="W53" s="250">
        <v>5.3029999999999999</v>
      </c>
      <c r="X53" s="250">
        <v>2.82</v>
      </c>
      <c r="Y53" s="250">
        <v>45.978999999999999</v>
      </c>
      <c r="Z53" s="250">
        <v>8.2970000000000006</v>
      </c>
      <c r="AA53" s="250">
        <v>1.72</v>
      </c>
      <c r="AB53" s="250">
        <v>3.7410000000000001</v>
      </c>
    </row>
    <row r="54" spans="1:28" s="250" customFormat="1" x14ac:dyDescent="0.2">
      <c r="A54" s="250" t="s">
        <v>33</v>
      </c>
      <c r="B54" s="250" t="s">
        <v>150</v>
      </c>
      <c r="C54" s="250">
        <v>20</v>
      </c>
      <c r="D54" s="250">
        <f t="shared" si="2"/>
        <v>27.111000000000001</v>
      </c>
      <c r="E54" s="250">
        <f t="shared" si="9"/>
        <v>6.1609999999999996</v>
      </c>
      <c r="F54" s="250">
        <f t="shared" si="10"/>
        <v>2.29</v>
      </c>
      <c r="G54" s="250">
        <f t="shared" si="11"/>
        <v>45.872</v>
      </c>
      <c r="H54" s="250">
        <f t="shared" si="12"/>
        <v>5.7679999999999998</v>
      </c>
      <c r="I54" s="250">
        <f t="shared" si="13"/>
        <v>1.34</v>
      </c>
      <c r="J54" s="250">
        <f t="shared" si="14"/>
        <v>2.9209999999999998</v>
      </c>
      <c r="L54" s="251">
        <f t="shared" si="3"/>
        <v>7.4455445544554459</v>
      </c>
      <c r="M54" s="251">
        <f t="shared" si="4"/>
        <v>1.6920069344546493</v>
      </c>
      <c r="N54" s="252">
        <f t="shared" si="5"/>
        <v>4.9426432075541295E-2</v>
      </c>
      <c r="O54" s="251">
        <f t="shared" si="6"/>
        <v>0.58515283842794763</v>
      </c>
      <c r="P54" s="251">
        <f t="shared" si="7"/>
        <v>1.0681345353675451</v>
      </c>
      <c r="Q54" s="252">
        <f t="shared" si="8"/>
        <v>2.9211719567492155E-2</v>
      </c>
      <c r="T54" s="250" t="s">
        <v>194</v>
      </c>
      <c r="U54" s="250">
        <v>25.132999999999999</v>
      </c>
      <c r="V54" s="250">
        <v>8.2919999999999998</v>
      </c>
      <c r="W54" s="250">
        <v>1.7250000000000001</v>
      </c>
      <c r="X54" s="250">
        <v>0.86</v>
      </c>
      <c r="Y54" s="250">
        <v>21.614000000000001</v>
      </c>
      <c r="Z54" s="250">
        <v>2.8660000000000001</v>
      </c>
      <c r="AA54" s="250">
        <v>0.57999999999999996</v>
      </c>
      <c r="AB54" s="250">
        <v>2.6829999999999998</v>
      </c>
    </row>
    <row r="55" spans="1:28" s="250" customFormat="1" x14ac:dyDescent="0.2">
      <c r="A55" s="250" t="s">
        <v>34</v>
      </c>
      <c r="B55" s="250" t="s">
        <v>151</v>
      </c>
      <c r="C55" s="250">
        <v>17.600000000000001</v>
      </c>
      <c r="D55" s="250">
        <f t="shared" si="2"/>
        <v>15.519</v>
      </c>
      <c r="E55" s="250">
        <f t="shared" si="9"/>
        <v>3.6829999999999998</v>
      </c>
      <c r="F55" s="250">
        <f t="shared" si="10"/>
        <v>2.11</v>
      </c>
      <c r="G55" s="250">
        <f t="shared" si="11"/>
        <v>37.241</v>
      </c>
      <c r="H55" s="250">
        <f t="shared" si="12"/>
        <v>4.5179999999999998</v>
      </c>
      <c r="I55" s="250">
        <f t="shared" si="13"/>
        <v>1.58</v>
      </c>
      <c r="J55" s="250">
        <f t="shared" si="14"/>
        <v>4.2430000000000003</v>
      </c>
      <c r="L55" s="251">
        <f t="shared" si="3"/>
        <v>10.111593809394515</v>
      </c>
      <c r="M55" s="251">
        <f t="shared" si="4"/>
        <v>2.3997035891487855</v>
      </c>
      <c r="N55" s="252">
        <f t="shared" si="5"/>
        <v>0.10181068367807204</v>
      </c>
      <c r="O55" s="251">
        <f t="shared" si="6"/>
        <v>0.74881516587677732</v>
      </c>
      <c r="P55" s="251">
        <f t="shared" si="7"/>
        <v>0.81518370960602038</v>
      </c>
      <c r="Q55" s="252">
        <f t="shared" si="8"/>
        <v>4.2426358046239364E-2</v>
      </c>
      <c r="T55" s="250" t="s">
        <v>36</v>
      </c>
      <c r="U55" s="250">
        <v>14.46</v>
      </c>
      <c r="V55" s="250">
        <v>36.747999999999998</v>
      </c>
      <c r="W55" s="250">
        <v>7.35</v>
      </c>
      <c r="X55" s="250">
        <v>4.2</v>
      </c>
      <c r="Y55" s="250">
        <v>60.73</v>
      </c>
      <c r="Z55" s="250">
        <v>8.5660000000000007</v>
      </c>
      <c r="AA55" s="250">
        <v>2.4500000000000002</v>
      </c>
      <c r="AB55" s="250">
        <v>4.0339999999999998</v>
      </c>
    </row>
    <row r="56" spans="1:28" s="250" customFormat="1" x14ac:dyDescent="0.2">
      <c r="A56" s="250" t="s">
        <v>35</v>
      </c>
      <c r="B56" s="250" t="s">
        <v>152</v>
      </c>
      <c r="C56" s="250">
        <v>16.3</v>
      </c>
      <c r="D56" s="250">
        <f t="shared" si="2"/>
        <v>27.42</v>
      </c>
      <c r="E56" s="250">
        <f t="shared" si="9"/>
        <v>5.3029999999999999</v>
      </c>
      <c r="F56" s="250">
        <f t="shared" si="10"/>
        <v>2.82</v>
      </c>
      <c r="G56" s="250">
        <f t="shared" si="11"/>
        <v>45.978999999999999</v>
      </c>
      <c r="H56" s="250">
        <f t="shared" si="12"/>
        <v>8.2970000000000006</v>
      </c>
      <c r="I56" s="250">
        <f t="shared" si="13"/>
        <v>1.72</v>
      </c>
      <c r="J56" s="250">
        <f t="shared" si="14"/>
        <v>3.7410000000000001</v>
      </c>
      <c r="L56" s="251">
        <f t="shared" si="3"/>
        <v>8.6703752592871961</v>
      </c>
      <c r="M56" s="251">
        <f t="shared" si="4"/>
        <v>1.6768417213712616</v>
      </c>
      <c r="N56" s="252">
        <f t="shared" si="5"/>
        <v>6.2727935813274974E-2</v>
      </c>
      <c r="O56" s="251">
        <f t="shared" si="6"/>
        <v>0.60992907801418439</v>
      </c>
      <c r="P56" s="251">
        <f t="shared" si="7"/>
        <v>0.63914667952271897</v>
      </c>
      <c r="Q56" s="252">
        <f t="shared" si="8"/>
        <v>3.7408382087474719E-2</v>
      </c>
      <c r="T56" s="250" t="s">
        <v>37</v>
      </c>
      <c r="U56" s="250">
        <v>24.332999999999998</v>
      </c>
      <c r="V56" s="250">
        <v>50.405999999999999</v>
      </c>
      <c r="W56" s="250">
        <v>10.574999999999999</v>
      </c>
      <c r="X56" s="250">
        <v>4.63</v>
      </c>
      <c r="Y56" s="250">
        <v>112.661</v>
      </c>
      <c r="Z56" s="250">
        <v>15.711</v>
      </c>
      <c r="AA56" s="250">
        <v>3.29</v>
      </c>
      <c r="AB56" s="250">
        <v>2.92</v>
      </c>
    </row>
    <row r="57" spans="1:28" s="250" customFormat="1" x14ac:dyDescent="0.2">
      <c r="A57" s="250" t="s">
        <v>194</v>
      </c>
      <c r="B57" s="250" t="s">
        <v>193</v>
      </c>
      <c r="C57" s="250">
        <f t="shared" si="15"/>
        <v>25.132999999999999</v>
      </c>
      <c r="D57" s="250">
        <f t="shared" si="2"/>
        <v>8.2919999999999998</v>
      </c>
      <c r="E57" s="250">
        <f t="shared" si="9"/>
        <v>1.7250000000000001</v>
      </c>
      <c r="F57" s="250">
        <f t="shared" si="10"/>
        <v>0.86</v>
      </c>
      <c r="G57" s="250">
        <f t="shared" si="11"/>
        <v>21.614000000000001</v>
      </c>
      <c r="H57" s="250">
        <f t="shared" si="12"/>
        <v>2.8660000000000001</v>
      </c>
      <c r="I57" s="250">
        <f t="shared" si="13"/>
        <v>0.57999999999999996</v>
      </c>
      <c r="J57" s="250">
        <f t="shared" si="14"/>
        <v>2.6829999999999998</v>
      </c>
      <c r="L57" s="251">
        <f t="shared" si="3"/>
        <v>12.529855072463768</v>
      </c>
      <c r="M57" s="251">
        <f t="shared" si="4"/>
        <v>2.6066087795465509</v>
      </c>
      <c r="N57" s="252">
        <f t="shared" si="5"/>
        <v>6.9946936806560542E-2</v>
      </c>
      <c r="O57" s="251">
        <f t="shared" si="6"/>
        <v>0.67441860465116277</v>
      </c>
      <c r="P57" s="251">
        <f t="shared" si="7"/>
        <v>0.60188415910676907</v>
      </c>
      <c r="Q57" s="252">
        <f t="shared" si="8"/>
        <v>2.683445914684926E-2</v>
      </c>
      <c r="T57" s="250" t="s">
        <v>196</v>
      </c>
      <c r="U57" s="250">
        <v>18.841000000000001</v>
      </c>
      <c r="V57" s="250">
        <v>22.571999999999999</v>
      </c>
      <c r="W57" s="250">
        <v>5.2380000000000004</v>
      </c>
      <c r="X57" s="250">
        <v>2.86</v>
      </c>
      <c r="Y57" s="250">
        <v>53.884999999999998</v>
      </c>
      <c r="Z57" s="250">
        <v>7.2640000000000002</v>
      </c>
      <c r="AA57" s="250">
        <v>1.04</v>
      </c>
      <c r="AB57" s="250">
        <v>1.93</v>
      </c>
    </row>
    <row r="58" spans="1:28" s="250" customFormat="1" x14ac:dyDescent="0.2">
      <c r="A58" s="250" t="s">
        <v>36</v>
      </c>
      <c r="B58" s="250" t="s">
        <v>153</v>
      </c>
      <c r="C58" s="250">
        <f t="shared" si="15"/>
        <v>14.46</v>
      </c>
      <c r="D58" s="250">
        <f t="shared" si="2"/>
        <v>36.747999999999998</v>
      </c>
      <c r="E58" s="250">
        <f t="shared" si="9"/>
        <v>7.35</v>
      </c>
      <c r="F58" s="250">
        <f t="shared" si="10"/>
        <v>4.2</v>
      </c>
      <c r="G58" s="250">
        <f t="shared" si="11"/>
        <v>60.73</v>
      </c>
      <c r="H58" s="250">
        <f t="shared" si="12"/>
        <v>8.5660000000000007</v>
      </c>
      <c r="I58" s="250">
        <f t="shared" si="13"/>
        <v>2.4500000000000002</v>
      </c>
      <c r="J58" s="250">
        <f t="shared" si="14"/>
        <v>4.0339999999999998</v>
      </c>
      <c r="L58" s="251">
        <f t="shared" si="3"/>
        <v>8.2625850340136058</v>
      </c>
      <c r="M58" s="251">
        <f t="shared" si="4"/>
        <v>1.6526069445956242</v>
      </c>
      <c r="N58" s="252">
        <f t="shared" si="5"/>
        <v>6.6670294982039843E-2</v>
      </c>
      <c r="O58" s="251">
        <f t="shared" si="6"/>
        <v>0.58333333333333337</v>
      </c>
      <c r="P58" s="251">
        <f t="shared" si="7"/>
        <v>0.8580434275040858</v>
      </c>
      <c r="Q58" s="252">
        <f t="shared" si="8"/>
        <v>4.0342499588341844E-2</v>
      </c>
      <c r="T58" s="264" t="s">
        <v>198</v>
      </c>
      <c r="U58" s="264">
        <v>27.92</v>
      </c>
      <c r="V58" s="268">
        <v>14.99</v>
      </c>
      <c r="W58" s="264">
        <v>2.7850000000000001</v>
      </c>
      <c r="X58" s="264">
        <v>1.23</v>
      </c>
      <c r="Y58" s="264">
        <v>34.341999999999999</v>
      </c>
      <c r="Z58" s="264">
        <v>3.431</v>
      </c>
      <c r="AA58" s="264">
        <v>1.1000000000000001</v>
      </c>
      <c r="AB58" s="264">
        <v>3.2029999999999998</v>
      </c>
    </row>
    <row r="59" spans="1:28" s="250" customFormat="1" x14ac:dyDescent="0.2">
      <c r="A59" s="250" t="s">
        <v>37</v>
      </c>
      <c r="B59" s="250" t="s">
        <v>154</v>
      </c>
      <c r="C59" s="250">
        <v>24.3</v>
      </c>
      <c r="D59" s="250">
        <f t="shared" si="2"/>
        <v>50.405999999999999</v>
      </c>
      <c r="E59" s="250">
        <f t="shared" si="9"/>
        <v>10.574999999999999</v>
      </c>
      <c r="F59" s="250">
        <f t="shared" si="10"/>
        <v>4.63</v>
      </c>
      <c r="G59" s="250">
        <f t="shared" si="11"/>
        <v>112.661</v>
      </c>
      <c r="H59" s="250">
        <f t="shared" si="12"/>
        <v>15.711</v>
      </c>
      <c r="I59" s="250">
        <f t="shared" si="13"/>
        <v>3.29</v>
      </c>
      <c r="J59" s="250">
        <f t="shared" si="14"/>
        <v>2.92</v>
      </c>
      <c r="L59" s="251">
        <f t="shared" si="3"/>
        <v>10.653522458628842</v>
      </c>
      <c r="M59" s="251">
        <f t="shared" si="4"/>
        <v>2.2350712216799589</v>
      </c>
      <c r="N59" s="252">
        <f t="shared" si="5"/>
        <v>6.5270007538785063E-2</v>
      </c>
      <c r="O59" s="251">
        <f t="shared" si="6"/>
        <v>0.71058315334773225</v>
      </c>
      <c r="P59" s="251">
        <f t="shared" si="7"/>
        <v>0.6730952835592896</v>
      </c>
      <c r="Q59" s="252">
        <f t="shared" si="8"/>
        <v>2.9202652204400811E-2</v>
      </c>
      <c r="T59" s="264" t="s">
        <v>38</v>
      </c>
      <c r="U59" s="264">
        <v>15.484</v>
      </c>
      <c r="V59" s="264">
        <v>23.984999999999999</v>
      </c>
      <c r="W59" s="264">
        <v>6.6379999999999999</v>
      </c>
      <c r="X59" s="264">
        <v>3.21</v>
      </c>
      <c r="Y59" s="264">
        <v>49.704000000000001</v>
      </c>
      <c r="Z59" s="264">
        <v>7.367</v>
      </c>
      <c r="AA59" s="264">
        <v>2.2999999999999998</v>
      </c>
      <c r="AB59" s="264">
        <v>4.6269999999999998</v>
      </c>
    </row>
    <row r="60" spans="1:28" s="250" customFormat="1" x14ac:dyDescent="0.2">
      <c r="A60" s="250" t="s">
        <v>196</v>
      </c>
      <c r="B60" s="250" t="s">
        <v>195</v>
      </c>
      <c r="C60" s="250">
        <v>18.8</v>
      </c>
      <c r="D60" s="250">
        <f t="shared" si="2"/>
        <v>22.571999999999999</v>
      </c>
      <c r="E60" s="250">
        <f t="shared" si="9"/>
        <v>5.2380000000000004</v>
      </c>
      <c r="F60" s="250">
        <f t="shared" si="10"/>
        <v>2.86</v>
      </c>
      <c r="G60" s="250">
        <f t="shared" si="11"/>
        <v>53.884999999999998</v>
      </c>
      <c r="H60" s="250">
        <f t="shared" si="12"/>
        <v>7.2640000000000002</v>
      </c>
      <c r="I60" s="250">
        <f t="shared" si="13"/>
        <v>1.04</v>
      </c>
      <c r="J60" s="250">
        <f t="shared" si="14"/>
        <v>1.93</v>
      </c>
      <c r="L60" s="251">
        <f t="shared" si="3"/>
        <v>10.287323405880105</v>
      </c>
      <c r="M60" s="251">
        <f t="shared" si="4"/>
        <v>2.3872496898812687</v>
      </c>
      <c r="N60" s="252">
        <f t="shared" si="5"/>
        <v>4.6074782916888185E-2</v>
      </c>
      <c r="O60" s="251">
        <f t="shared" si="6"/>
        <v>0.36363636363636365</v>
      </c>
      <c r="P60" s="251">
        <f t="shared" si="7"/>
        <v>0.72109030837004406</v>
      </c>
      <c r="Q60" s="252">
        <f t="shared" si="8"/>
        <v>1.9300361881785286E-2</v>
      </c>
      <c r="T60" s="264" t="s">
        <v>200</v>
      </c>
      <c r="U60" s="264">
        <v>22.213999999999999</v>
      </c>
      <c r="V60" s="264">
        <v>37.737000000000002</v>
      </c>
      <c r="W60" s="264">
        <v>8.8330000000000002</v>
      </c>
      <c r="X60" s="264">
        <v>3.62</v>
      </c>
      <c r="Y60" s="264">
        <v>80.414000000000001</v>
      </c>
      <c r="Z60" s="264">
        <v>12.968</v>
      </c>
      <c r="AA60" s="264">
        <v>1.98</v>
      </c>
      <c r="AB60" s="264">
        <v>2.4620000000000002</v>
      </c>
    </row>
    <row r="61" spans="1:28" s="250" customFormat="1" x14ac:dyDescent="0.2">
      <c r="A61" s="250" t="s">
        <v>198</v>
      </c>
      <c r="B61" s="250" t="s">
        <v>197</v>
      </c>
      <c r="C61" s="250">
        <f t="shared" si="15"/>
        <v>27.92</v>
      </c>
      <c r="D61" s="250">
        <f t="shared" si="2"/>
        <v>14.99</v>
      </c>
      <c r="E61" s="250">
        <f t="shared" si="9"/>
        <v>2.7850000000000001</v>
      </c>
      <c r="F61" s="250">
        <f t="shared" si="10"/>
        <v>1.23</v>
      </c>
      <c r="G61" s="250">
        <f t="shared" si="11"/>
        <v>34.341999999999999</v>
      </c>
      <c r="H61" s="250">
        <f t="shared" si="12"/>
        <v>3.431</v>
      </c>
      <c r="I61" s="250">
        <f t="shared" si="13"/>
        <v>1.1000000000000001</v>
      </c>
      <c r="J61" s="250">
        <f t="shared" si="14"/>
        <v>3.2029999999999998</v>
      </c>
      <c r="L61" s="251">
        <f t="shared" si="3"/>
        <v>12.331059245960502</v>
      </c>
      <c r="M61" s="251">
        <f t="shared" si="4"/>
        <v>2.2909939959973316</v>
      </c>
      <c r="N61" s="252">
        <f t="shared" si="5"/>
        <v>7.3382254836557706E-2</v>
      </c>
      <c r="O61" s="251">
        <f t="shared" si="6"/>
        <v>0.89430894308943099</v>
      </c>
      <c r="P61" s="251">
        <f t="shared" si="7"/>
        <v>0.8117167006703585</v>
      </c>
      <c r="Q61" s="252">
        <f t="shared" si="8"/>
        <v>3.2030749519538763E-2</v>
      </c>
      <c r="T61" s="264" t="s">
        <v>244</v>
      </c>
      <c r="U61" s="264">
        <v>19.82</v>
      </c>
      <c r="V61" s="264">
        <v>41.259</v>
      </c>
      <c r="W61" s="264">
        <v>6.5410000000000004</v>
      </c>
      <c r="X61" s="264">
        <v>3.43</v>
      </c>
      <c r="Y61" s="264">
        <v>67.980999999999995</v>
      </c>
      <c r="Z61" s="264">
        <v>9.077</v>
      </c>
      <c r="AA61" s="264">
        <v>2.1</v>
      </c>
      <c r="AB61" s="264">
        <v>3.089</v>
      </c>
    </row>
    <row r="62" spans="1:28" s="250" customFormat="1" x14ac:dyDescent="0.2">
      <c r="A62" s="250" t="s">
        <v>38</v>
      </c>
      <c r="B62" s="250" t="s">
        <v>155</v>
      </c>
      <c r="C62" s="250">
        <v>15.5</v>
      </c>
      <c r="D62" s="250">
        <f t="shared" si="2"/>
        <v>23.984999999999999</v>
      </c>
      <c r="E62" s="250">
        <f t="shared" si="9"/>
        <v>6.6379999999999999</v>
      </c>
      <c r="F62" s="250">
        <f t="shared" si="10"/>
        <v>3.21</v>
      </c>
      <c r="G62" s="250">
        <f t="shared" si="11"/>
        <v>49.704000000000001</v>
      </c>
      <c r="H62" s="250">
        <f t="shared" si="12"/>
        <v>7.367</v>
      </c>
      <c r="I62" s="250">
        <f t="shared" si="13"/>
        <v>2.2999999999999998</v>
      </c>
      <c r="J62" s="250">
        <f t="shared" si="14"/>
        <v>4.6269999999999998</v>
      </c>
      <c r="L62" s="251">
        <f t="shared" si="3"/>
        <v>7.4877975293763184</v>
      </c>
      <c r="M62" s="251">
        <f t="shared" si="4"/>
        <v>2.0722951844903066</v>
      </c>
      <c r="N62" s="252">
        <f t="shared" si="5"/>
        <v>9.5893266624973938E-2</v>
      </c>
      <c r="O62" s="251">
        <f t="shared" si="6"/>
        <v>0.71651090342679125</v>
      </c>
      <c r="P62" s="251">
        <f t="shared" si="7"/>
        <v>0.90104520157458934</v>
      </c>
      <c r="Q62" s="252">
        <f t="shared" si="8"/>
        <v>4.6273941735071621E-2</v>
      </c>
      <c r="T62" s="250" t="s">
        <v>202</v>
      </c>
      <c r="U62" s="250">
        <v>22.053999999999998</v>
      </c>
      <c r="V62" s="250">
        <v>5.4450000000000003</v>
      </c>
      <c r="W62" s="250">
        <v>0.97499999999999998</v>
      </c>
      <c r="X62" s="250">
        <v>0.46</v>
      </c>
      <c r="Y62" s="250">
        <v>10.145</v>
      </c>
      <c r="Z62" s="250">
        <v>0.216</v>
      </c>
      <c r="AA62" s="250">
        <v>0.42499999999999999</v>
      </c>
      <c r="AB62" s="250">
        <v>4.1890000000000001</v>
      </c>
    </row>
    <row r="63" spans="1:28" s="250" customFormat="1" x14ac:dyDescent="0.2">
      <c r="A63" s="250" t="s">
        <v>200</v>
      </c>
      <c r="B63" s="250" t="s">
        <v>199</v>
      </c>
      <c r="C63" s="250">
        <v>22.2</v>
      </c>
      <c r="D63" s="250">
        <f t="shared" si="2"/>
        <v>37.737000000000002</v>
      </c>
      <c r="E63" s="250">
        <f t="shared" si="9"/>
        <v>8.8330000000000002</v>
      </c>
      <c r="F63" s="250">
        <f t="shared" si="10"/>
        <v>3.62</v>
      </c>
      <c r="G63" s="250">
        <f t="shared" si="11"/>
        <v>80.414000000000001</v>
      </c>
      <c r="H63" s="250">
        <f t="shared" si="12"/>
        <v>12.968</v>
      </c>
      <c r="I63" s="250">
        <f t="shared" si="13"/>
        <v>1.98</v>
      </c>
      <c r="J63" s="250">
        <f t="shared" si="14"/>
        <v>2.4620000000000002</v>
      </c>
      <c r="L63" s="251">
        <f t="shared" si="3"/>
        <v>9.1038152383108795</v>
      </c>
      <c r="M63" s="251">
        <f t="shared" si="4"/>
        <v>2.1309060073667752</v>
      </c>
      <c r="N63" s="252">
        <f t="shared" si="5"/>
        <v>5.2468399713808726E-2</v>
      </c>
      <c r="O63" s="251">
        <f t="shared" si="6"/>
        <v>0.54696132596685076</v>
      </c>
      <c r="P63" s="251">
        <f t="shared" si="7"/>
        <v>0.6811381863047502</v>
      </c>
      <c r="Q63" s="252">
        <f t="shared" si="8"/>
        <v>2.4622578158032184E-2</v>
      </c>
      <c r="T63" s="250" t="s">
        <v>204</v>
      </c>
      <c r="U63" s="250">
        <v>20.84</v>
      </c>
      <c r="V63" s="250">
        <v>18.181000000000001</v>
      </c>
      <c r="W63" s="250">
        <v>4.7290000000000001</v>
      </c>
      <c r="X63" s="250">
        <v>2.29</v>
      </c>
      <c r="Y63" s="250">
        <v>47.722999999999999</v>
      </c>
      <c r="Z63" s="250">
        <v>3.6720000000000002</v>
      </c>
      <c r="AA63" s="250">
        <v>0.96</v>
      </c>
      <c r="AB63" s="250">
        <v>2.012</v>
      </c>
    </row>
    <row r="64" spans="1:28" s="250" customFormat="1" x14ac:dyDescent="0.2">
      <c r="A64" s="250" t="s">
        <v>244</v>
      </c>
      <c r="B64" s="250" t="s">
        <v>243</v>
      </c>
      <c r="C64" s="250">
        <v>19.8</v>
      </c>
      <c r="D64" s="250">
        <f t="shared" si="2"/>
        <v>41.259</v>
      </c>
      <c r="E64" s="250">
        <f t="shared" si="9"/>
        <v>6.5410000000000004</v>
      </c>
      <c r="F64" s="250">
        <f t="shared" si="10"/>
        <v>3.43</v>
      </c>
      <c r="G64" s="250">
        <f t="shared" si="11"/>
        <v>67.980999999999995</v>
      </c>
      <c r="H64" s="250">
        <f t="shared" si="12"/>
        <v>9.077</v>
      </c>
      <c r="I64" s="250">
        <f t="shared" si="13"/>
        <v>2.1</v>
      </c>
      <c r="J64" s="250">
        <f t="shared" si="14"/>
        <v>3.089</v>
      </c>
      <c r="L64" s="251">
        <f t="shared" si="3"/>
        <v>10.393059165265248</v>
      </c>
      <c r="M64" s="251">
        <f t="shared" si="4"/>
        <v>1.6476647519329115</v>
      </c>
      <c r="N64" s="252">
        <f t="shared" si="5"/>
        <v>5.0897985893986766E-2</v>
      </c>
      <c r="O64" s="251">
        <f t="shared" si="6"/>
        <v>0.61224489795918369</v>
      </c>
      <c r="P64" s="251">
        <f t="shared" si="7"/>
        <v>0.72061253718188834</v>
      </c>
      <c r="Q64" s="252">
        <f t="shared" si="8"/>
        <v>3.0890984245598038E-2</v>
      </c>
      <c r="T64" s="250" t="s">
        <v>83</v>
      </c>
      <c r="U64" s="250">
        <v>23.34</v>
      </c>
      <c r="V64" s="250">
        <v>22.719000000000001</v>
      </c>
      <c r="W64" s="250">
        <v>5.1230000000000002</v>
      </c>
      <c r="X64" s="250">
        <v>2.06</v>
      </c>
      <c r="Y64" s="250">
        <v>48.08</v>
      </c>
      <c r="Z64" s="250">
        <v>8.0519999999999996</v>
      </c>
      <c r="AA64" s="250">
        <v>1.44</v>
      </c>
      <c r="AB64" s="250">
        <v>2.9950000000000001</v>
      </c>
    </row>
    <row r="65" spans="1:28" s="250" customFormat="1" x14ac:dyDescent="0.2">
      <c r="A65" s="250" t="s">
        <v>202</v>
      </c>
      <c r="B65" s="250" t="s">
        <v>201</v>
      </c>
      <c r="C65" s="250">
        <f t="shared" si="15"/>
        <v>22.053999999999998</v>
      </c>
      <c r="D65" s="250">
        <f t="shared" si="2"/>
        <v>5.4450000000000003</v>
      </c>
      <c r="E65" s="250">
        <f t="shared" si="9"/>
        <v>0.97499999999999998</v>
      </c>
      <c r="F65" s="250">
        <f t="shared" si="10"/>
        <v>0.46</v>
      </c>
      <c r="G65" s="250">
        <f t="shared" si="11"/>
        <v>10.145</v>
      </c>
      <c r="H65" s="250">
        <f t="shared" si="12"/>
        <v>0.216</v>
      </c>
      <c r="I65" s="250">
        <f t="shared" si="13"/>
        <v>0.42499999999999999</v>
      </c>
      <c r="J65" s="250">
        <f t="shared" si="14"/>
        <v>4.1890000000000001</v>
      </c>
      <c r="L65" s="251">
        <f t="shared" si="3"/>
        <v>10.405128205128205</v>
      </c>
      <c r="M65" s="251">
        <f t="shared" si="4"/>
        <v>1.8631772268135902</v>
      </c>
      <c r="N65" s="252">
        <f t="shared" si="5"/>
        <v>7.8053259871441683E-2</v>
      </c>
      <c r="O65" s="251">
        <f t="shared" si="6"/>
        <v>0.92391304347826075</v>
      </c>
      <c r="P65" s="251">
        <f t="shared" si="7"/>
        <v>4.5138888888888884</v>
      </c>
      <c r="Q65" s="252">
        <f t="shared" si="8"/>
        <v>4.1892557910300644E-2</v>
      </c>
      <c r="T65" s="250" t="s">
        <v>42</v>
      </c>
      <c r="U65" s="250">
        <v>23.536000000000001</v>
      </c>
      <c r="V65" s="250">
        <v>22.280999999999999</v>
      </c>
      <c r="W65" s="250">
        <v>5.93</v>
      </c>
      <c r="X65" s="250">
        <v>2.6</v>
      </c>
      <c r="Y65" s="250">
        <v>61.194000000000003</v>
      </c>
      <c r="Z65" s="250">
        <v>7.26</v>
      </c>
      <c r="AA65" s="250">
        <v>1.71</v>
      </c>
      <c r="AB65" s="250">
        <v>2.794</v>
      </c>
    </row>
    <row r="66" spans="1:28" s="250" customFormat="1" x14ac:dyDescent="0.2">
      <c r="A66" s="250" t="s">
        <v>204</v>
      </c>
      <c r="B66" s="250" t="s">
        <v>203</v>
      </c>
      <c r="C66" s="250">
        <v>20.8</v>
      </c>
      <c r="D66" s="250">
        <f t="shared" si="2"/>
        <v>18.181000000000001</v>
      </c>
      <c r="E66" s="250">
        <f t="shared" si="9"/>
        <v>4.7290000000000001</v>
      </c>
      <c r="F66" s="250">
        <f t="shared" si="10"/>
        <v>2.29</v>
      </c>
      <c r="G66" s="250">
        <f t="shared" si="11"/>
        <v>47.722999999999999</v>
      </c>
      <c r="H66" s="250">
        <f t="shared" si="12"/>
        <v>3.6720000000000002</v>
      </c>
      <c r="I66" s="250">
        <f t="shared" si="13"/>
        <v>0.96</v>
      </c>
      <c r="J66" s="250">
        <f t="shared" si="14"/>
        <v>2.012</v>
      </c>
      <c r="L66" s="251">
        <f t="shared" si="3"/>
        <v>10.091562698244871</v>
      </c>
      <c r="M66" s="251">
        <f t="shared" si="4"/>
        <v>2.6248831197403879</v>
      </c>
      <c r="N66" s="252">
        <f t="shared" si="5"/>
        <v>5.2802376106924807E-2</v>
      </c>
      <c r="O66" s="251">
        <f t="shared" si="6"/>
        <v>0.41921397379912662</v>
      </c>
      <c r="P66" s="251">
        <f t="shared" si="7"/>
        <v>1.2878540305010893</v>
      </c>
      <c r="Q66" s="252">
        <f t="shared" si="8"/>
        <v>2.0116086582989336E-2</v>
      </c>
      <c r="T66" s="250" t="s">
        <v>44</v>
      </c>
      <c r="U66" s="250">
        <v>20.012</v>
      </c>
      <c r="V66" s="250">
        <v>29.981000000000002</v>
      </c>
      <c r="W66" s="250">
        <v>5.69</v>
      </c>
      <c r="X66" s="250">
        <v>3.14</v>
      </c>
      <c r="Y66" s="250">
        <v>62.838999999999999</v>
      </c>
      <c r="Z66" s="250">
        <v>6.2089999999999996</v>
      </c>
      <c r="AA66" s="250">
        <v>2.08</v>
      </c>
      <c r="AB66" s="250">
        <v>3.31</v>
      </c>
    </row>
    <row r="67" spans="1:28" s="250" customFormat="1" x14ac:dyDescent="0.2">
      <c r="A67" s="250" t="s">
        <v>83</v>
      </c>
      <c r="B67" s="250" t="s">
        <v>159</v>
      </c>
      <c r="C67" s="250">
        <f t="shared" ref="C67:J73" si="16">VLOOKUP($A67,$T$5:$AB$71,U$3,0)</f>
        <v>23.34</v>
      </c>
      <c r="D67" s="250">
        <f t="shared" si="16"/>
        <v>22.719000000000001</v>
      </c>
      <c r="E67" s="250">
        <f t="shared" si="16"/>
        <v>5.1230000000000002</v>
      </c>
      <c r="F67" s="250">
        <f t="shared" si="16"/>
        <v>2.06</v>
      </c>
      <c r="G67" s="250">
        <f t="shared" si="16"/>
        <v>48.08</v>
      </c>
      <c r="H67" s="250">
        <f t="shared" si="16"/>
        <v>8.0519999999999996</v>
      </c>
      <c r="I67" s="250">
        <f t="shared" si="16"/>
        <v>1.44</v>
      </c>
      <c r="J67" s="250">
        <f t="shared" si="16"/>
        <v>2.9950000000000001</v>
      </c>
      <c r="L67" s="251">
        <f t="shared" ref="L67:L73" si="17">IFERROR(G67/E67,"")</f>
        <v>9.3851259027913319</v>
      </c>
      <c r="M67" s="251">
        <f t="shared" ref="M67:M73" si="18">IFERROR(G67/D67,"")</f>
        <v>2.1162903296800035</v>
      </c>
      <c r="N67" s="252">
        <f t="shared" ref="N67:N73" si="19">IFERROR(I67/D67,"")</f>
        <v>6.3383071438003424E-2</v>
      </c>
      <c r="O67" s="251">
        <f t="shared" ref="O67:O73" si="20">IFERROR(I67/F67,"")</f>
        <v>0.69902912621359214</v>
      </c>
      <c r="P67" s="251">
        <f t="shared" ref="P67:P73" si="21">IFERROR(E67/H67,"")</f>
        <v>0.63623944361649287</v>
      </c>
      <c r="Q67" s="252">
        <f t="shared" ref="Q67:Q73" si="22">IFERROR(I67/G67,"")</f>
        <v>2.9950083194675542E-2</v>
      </c>
      <c r="T67" s="250" t="s">
        <v>20</v>
      </c>
      <c r="U67" s="250" t="s">
        <v>105</v>
      </c>
      <c r="V67" s="250">
        <v>23.02</v>
      </c>
      <c r="W67" s="250">
        <v>2.1</v>
      </c>
      <c r="X67" s="250">
        <v>-0.06</v>
      </c>
      <c r="Y67" s="250">
        <f>(34.7+26.7)/2</f>
        <v>30.700000000000003</v>
      </c>
      <c r="Z67" s="250">
        <v>2.69</v>
      </c>
      <c r="AA67" s="250">
        <v>1.1000000000000001</v>
      </c>
      <c r="AB67" s="250">
        <v>3.6</v>
      </c>
    </row>
    <row r="68" spans="1:28" s="250" customFormat="1" x14ac:dyDescent="0.2">
      <c r="A68" s="250" t="s">
        <v>42</v>
      </c>
      <c r="B68" s="250" t="s">
        <v>156</v>
      </c>
      <c r="C68" s="250">
        <f t="shared" si="16"/>
        <v>23.536000000000001</v>
      </c>
      <c r="D68" s="250">
        <f t="shared" si="16"/>
        <v>22.280999999999999</v>
      </c>
      <c r="E68" s="250">
        <f t="shared" si="16"/>
        <v>5.93</v>
      </c>
      <c r="F68" s="250">
        <f t="shared" si="16"/>
        <v>2.6</v>
      </c>
      <c r="G68" s="250">
        <f t="shared" si="16"/>
        <v>61.194000000000003</v>
      </c>
      <c r="H68" s="250">
        <f t="shared" si="16"/>
        <v>7.26</v>
      </c>
      <c r="I68" s="250">
        <f t="shared" si="16"/>
        <v>1.71</v>
      </c>
      <c r="J68" s="250">
        <f t="shared" si="16"/>
        <v>2.794</v>
      </c>
      <c r="L68" s="251">
        <f t="shared" si="17"/>
        <v>10.31939291736931</v>
      </c>
      <c r="M68" s="251">
        <f t="shared" si="18"/>
        <v>2.746465598491989</v>
      </c>
      <c r="N68" s="252">
        <f t="shared" si="19"/>
        <v>7.6747004173959882E-2</v>
      </c>
      <c r="O68" s="251">
        <f t="shared" si="20"/>
        <v>0.65769230769230769</v>
      </c>
      <c r="P68" s="251">
        <f t="shared" si="21"/>
        <v>0.8168044077134986</v>
      </c>
      <c r="Q68" s="252">
        <f t="shared" si="22"/>
        <v>2.7943916070202961E-2</v>
      </c>
      <c r="T68" s="250" t="s">
        <v>43</v>
      </c>
      <c r="U68" s="250">
        <v>23.4</v>
      </c>
      <c r="V68" s="250">
        <v>27.5</v>
      </c>
      <c r="W68" s="250">
        <v>4.9000000000000004</v>
      </c>
      <c r="X68" s="250">
        <v>2.27</v>
      </c>
      <c r="Y68" s="250">
        <f>(57.3+49.2)/2</f>
        <v>53.25</v>
      </c>
      <c r="Z68" s="250">
        <v>5.38</v>
      </c>
      <c r="AA68" s="250">
        <v>1.6</v>
      </c>
      <c r="AB68" s="250">
        <v>3</v>
      </c>
    </row>
    <row r="69" spans="1:28" s="250" customFormat="1" x14ac:dyDescent="0.2">
      <c r="A69" s="250" t="s">
        <v>44</v>
      </c>
      <c r="B69" s="250" t="s">
        <v>217</v>
      </c>
      <c r="C69" s="250">
        <v>20</v>
      </c>
      <c r="D69" s="250">
        <f t="shared" si="16"/>
        <v>29.981000000000002</v>
      </c>
      <c r="E69" s="250">
        <f t="shared" si="16"/>
        <v>5.69</v>
      </c>
      <c r="F69" s="250">
        <f t="shared" si="16"/>
        <v>3.14</v>
      </c>
      <c r="G69" s="250">
        <f t="shared" si="16"/>
        <v>62.838999999999999</v>
      </c>
      <c r="H69" s="250">
        <f t="shared" si="16"/>
        <v>6.2089999999999996</v>
      </c>
      <c r="I69" s="250">
        <f t="shared" si="16"/>
        <v>2.08</v>
      </c>
      <c r="J69" s="250">
        <f t="shared" si="16"/>
        <v>3.31</v>
      </c>
      <c r="L69" s="251">
        <f t="shared" si="17"/>
        <v>11.043760984182775</v>
      </c>
      <c r="M69" s="251">
        <f t="shared" si="18"/>
        <v>2.0959607751575997</v>
      </c>
      <c r="N69" s="252">
        <f t="shared" si="19"/>
        <v>6.9377272272439214E-2</v>
      </c>
      <c r="O69" s="251">
        <f t="shared" si="20"/>
        <v>0.66242038216560506</v>
      </c>
      <c r="P69" s="251">
        <f t="shared" si="21"/>
        <v>0.91641166049283307</v>
      </c>
      <c r="Q69" s="252">
        <f t="shared" si="22"/>
        <v>3.3100463088209554E-2</v>
      </c>
      <c r="T69" s="250" t="s">
        <v>206</v>
      </c>
      <c r="U69" s="250">
        <v>25.396000000000001</v>
      </c>
      <c r="V69" s="250">
        <v>29.347000000000001</v>
      </c>
      <c r="W69" s="250">
        <v>6.1139999999999999</v>
      </c>
      <c r="X69" s="250">
        <v>3.11</v>
      </c>
      <c r="Y69" s="250">
        <v>78.983000000000004</v>
      </c>
      <c r="Z69" s="250">
        <v>10.087999999999999</v>
      </c>
      <c r="AA69" s="250">
        <v>2.02</v>
      </c>
      <c r="AB69" s="250">
        <v>2.5579999999999998</v>
      </c>
    </row>
    <row r="70" spans="1:28" s="250" customFormat="1" x14ac:dyDescent="0.2">
      <c r="A70" s="250" t="s">
        <v>43</v>
      </c>
      <c r="B70" s="250" t="s">
        <v>157</v>
      </c>
      <c r="C70" s="250">
        <f t="shared" si="16"/>
        <v>23.4</v>
      </c>
      <c r="D70" s="250">
        <f t="shared" si="16"/>
        <v>27.5</v>
      </c>
      <c r="E70" s="250">
        <f t="shared" si="16"/>
        <v>4.9000000000000004</v>
      </c>
      <c r="F70" s="250">
        <f t="shared" si="16"/>
        <v>2.27</v>
      </c>
      <c r="G70" s="250">
        <f t="shared" si="16"/>
        <v>53.25</v>
      </c>
      <c r="H70" s="250">
        <f t="shared" si="16"/>
        <v>5.38</v>
      </c>
      <c r="I70" s="250">
        <f t="shared" si="16"/>
        <v>1.6</v>
      </c>
      <c r="J70" s="250">
        <f t="shared" si="16"/>
        <v>3</v>
      </c>
      <c r="L70" s="251">
        <f t="shared" si="17"/>
        <v>10.86734693877551</v>
      </c>
      <c r="M70" s="251">
        <f t="shared" si="18"/>
        <v>1.9363636363636363</v>
      </c>
      <c r="N70" s="252">
        <f t="shared" si="19"/>
        <v>5.8181818181818182E-2</v>
      </c>
      <c r="O70" s="251">
        <f t="shared" si="20"/>
        <v>0.70484581497797361</v>
      </c>
      <c r="P70" s="251">
        <f t="shared" si="21"/>
        <v>0.91078066914498146</v>
      </c>
      <c r="Q70" s="252">
        <f t="shared" si="22"/>
        <v>3.0046948356807514E-2</v>
      </c>
      <c r="T70" s="250" t="s">
        <v>45</v>
      </c>
      <c r="U70" s="250">
        <v>20.196999999999999</v>
      </c>
      <c r="V70" s="250">
        <v>22.56</v>
      </c>
      <c r="W70" s="250">
        <v>5.4649999999999999</v>
      </c>
      <c r="X70" s="250">
        <v>2.2999999999999998</v>
      </c>
      <c r="Y70" s="250">
        <v>46.453000000000003</v>
      </c>
      <c r="Z70" s="250">
        <v>6.5369999999999999</v>
      </c>
      <c r="AA70" s="250">
        <v>1.44</v>
      </c>
      <c r="AB70" s="250">
        <v>3.1</v>
      </c>
    </row>
    <row r="71" spans="1:28" s="250" customFormat="1" x14ac:dyDescent="0.2">
      <c r="A71" s="250" t="s">
        <v>206</v>
      </c>
      <c r="B71" s="250" t="s">
        <v>205</v>
      </c>
      <c r="C71" s="250">
        <f t="shared" si="16"/>
        <v>25.396000000000001</v>
      </c>
      <c r="D71" s="250">
        <f t="shared" si="16"/>
        <v>29.347000000000001</v>
      </c>
      <c r="E71" s="250">
        <f t="shared" si="16"/>
        <v>6.1139999999999999</v>
      </c>
      <c r="F71" s="250">
        <f t="shared" si="16"/>
        <v>3.11</v>
      </c>
      <c r="G71" s="250">
        <f t="shared" si="16"/>
        <v>78.983000000000004</v>
      </c>
      <c r="H71" s="250">
        <f t="shared" si="16"/>
        <v>10.087999999999999</v>
      </c>
      <c r="I71" s="250">
        <f t="shared" si="16"/>
        <v>2.02</v>
      </c>
      <c r="J71" s="250">
        <f t="shared" si="16"/>
        <v>2.5579999999999998</v>
      </c>
      <c r="L71" s="251">
        <f t="shared" si="17"/>
        <v>12.918384036637226</v>
      </c>
      <c r="M71" s="251">
        <f t="shared" si="18"/>
        <v>2.6913483490646404</v>
      </c>
      <c r="N71" s="252">
        <f t="shared" si="19"/>
        <v>6.8831567110777925E-2</v>
      </c>
      <c r="O71" s="251">
        <f t="shared" si="20"/>
        <v>0.64951768488745987</v>
      </c>
      <c r="P71" s="251">
        <f t="shared" si="21"/>
        <v>0.60606661379857263</v>
      </c>
      <c r="Q71" s="252">
        <f t="shared" si="22"/>
        <v>2.5575123760809285E-2</v>
      </c>
      <c r="T71" s="250" t="s">
        <v>208</v>
      </c>
      <c r="U71" s="250">
        <v>34.625</v>
      </c>
      <c r="V71" s="250">
        <v>9.2759999999999998</v>
      </c>
      <c r="W71" s="250">
        <v>1.534</v>
      </c>
      <c r="X71" s="250">
        <v>1.01</v>
      </c>
      <c r="Y71" s="250">
        <v>34.970999999999997</v>
      </c>
      <c r="Z71" s="250">
        <v>1.948</v>
      </c>
      <c r="AA71" s="250">
        <v>0.65</v>
      </c>
      <c r="AB71" s="250">
        <v>1.859</v>
      </c>
    </row>
    <row r="72" spans="1:28" s="250" customFormat="1" x14ac:dyDescent="0.2">
      <c r="A72" s="250" t="s">
        <v>45</v>
      </c>
      <c r="B72" s="250" t="s">
        <v>158</v>
      </c>
      <c r="C72" s="250">
        <v>20.2</v>
      </c>
      <c r="D72" s="250">
        <f t="shared" si="16"/>
        <v>22.56</v>
      </c>
      <c r="E72" s="250">
        <f t="shared" si="16"/>
        <v>5.4649999999999999</v>
      </c>
      <c r="F72" s="250">
        <f t="shared" si="16"/>
        <v>2.2999999999999998</v>
      </c>
      <c r="G72" s="250">
        <f t="shared" si="16"/>
        <v>46.453000000000003</v>
      </c>
      <c r="H72" s="250">
        <f t="shared" si="16"/>
        <v>6.5369999999999999</v>
      </c>
      <c r="I72" s="250">
        <f t="shared" si="16"/>
        <v>1.44</v>
      </c>
      <c r="J72" s="250">
        <f t="shared" si="16"/>
        <v>3.1</v>
      </c>
      <c r="L72" s="251">
        <f t="shared" si="17"/>
        <v>8.5000914913083268</v>
      </c>
      <c r="M72" s="251">
        <f t="shared" si="18"/>
        <v>2.0590868794326243</v>
      </c>
      <c r="N72" s="252">
        <f t="shared" si="19"/>
        <v>6.3829787234042548E-2</v>
      </c>
      <c r="O72" s="251">
        <f t="shared" si="20"/>
        <v>0.62608695652173918</v>
      </c>
      <c r="P72" s="251">
        <f t="shared" si="21"/>
        <v>0.83601040232522561</v>
      </c>
      <c r="Q72" s="252">
        <f t="shared" si="22"/>
        <v>3.0999074333196992E-2</v>
      </c>
    </row>
    <row r="73" spans="1:28" s="250" customFormat="1" x14ac:dyDescent="0.2">
      <c r="A73" s="250" t="s">
        <v>208</v>
      </c>
      <c r="B73" s="250" t="s">
        <v>207</v>
      </c>
      <c r="C73" s="250">
        <f t="shared" si="16"/>
        <v>34.625</v>
      </c>
      <c r="D73" s="250">
        <f t="shared" si="16"/>
        <v>9.2759999999999998</v>
      </c>
      <c r="E73" s="250">
        <f t="shared" si="16"/>
        <v>1.534</v>
      </c>
      <c r="F73" s="250">
        <f t="shared" si="16"/>
        <v>1.01</v>
      </c>
      <c r="G73" s="250">
        <f t="shared" si="16"/>
        <v>34.970999999999997</v>
      </c>
      <c r="H73" s="250">
        <f t="shared" si="16"/>
        <v>1.948</v>
      </c>
      <c r="I73" s="250">
        <f t="shared" si="16"/>
        <v>0.65</v>
      </c>
      <c r="J73" s="250">
        <f t="shared" si="16"/>
        <v>1.859</v>
      </c>
      <c r="L73" s="251">
        <f t="shared" si="17"/>
        <v>22.797262059973921</v>
      </c>
      <c r="M73" s="251">
        <f t="shared" si="18"/>
        <v>3.7700517464424319</v>
      </c>
      <c r="N73" s="252">
        <f t="shared" si="19"/>
        <v>7.0073307460112116E-2</v>
      </c>
      <c r="O73" s="251">
        <f t="shared" si="20"/>
        <v>0.64356435643564358</v>
      </c>
      <c r="P73" s="251">
        <f t="shared" si="21"/>
        <v>0.78747433264887068</v>
      </c>
      <c r="Q73" s="252">
        <f t="shared" si="22"/>
        <v>1.8586829086957767E-2</v>
      </c>
    </row>
  </sheetData>
  <autoFilter ref="A4:AB75"/>
  <pageMargins left="0.7" right="0.7" top="0.75" bottom="0.75" header="0.3" footer="0.3"/>
  <pageSetup scale="51" fitToHeight="0" orientation="landscape" r:id="rId1"/>
  <headerFooter>
    <oddHeader>&amp;R&amp;A
&amp;P/&amp;N</oddHeader>
    <oddFooter>&amp;R&amp;A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S73"/>
  <sheetViews>
    <sheetView workbookViewId="0">
      <selection activeCell="R4" sqref="R4"/>
    </sheetView>
  </sheetViews>
  <sheetFormatPr defaultColWidth="8.69921875" defaultRowHeight="10.199999999999999" x14ac:dyDescent="0.2"/>
  <cols>
    <col min="1" max="1" width="8.69921875" style="59"/>
    <col min="2" max="2" width="17.3984375" style="59" bestFit="1" customWidth="1"/>
    <col min="3" max="3" width="6.8984375" style="59" customWidth="1"/>
    <col min="4" max="4" width="7.8984375" style="59" customWidth="1"/>
    <col min="5" max="7" width="6.8984375" style="59" customWidth="1"/>
    <col min="8" max="8" width="7.59765625" style="59" customWidth="1"/>
    <col min="9" max="10" width="6.8984375" style="59" customWidth="1"/>
    <col min="11" max="11" width="2.3984375" style="59" bestFit="1" customWidth="1"/>
    <col min="12" max="12" width="4.69921875" style="59" bestFit="1" customWidth="1"/>
    <col min="13" max="13" width="4.8984375" style="59" bestFit="1" customWidth="1"/>
    <col min="14" max="14" width="5.8984375" style="59" customWidth="1"/>
    <col min="15" max="15" width="6.19921875" style="59" bestFit="1" customWidth="1"/>
    <col min="16" max="16" width="5.19921875" style="59" bestFit="1" customWidth="1"/>
    <col min="17" max="16384" width="8.69921875" style="59"/>
  </cols>
  <sheetData>
    <row r="1" spans="1:19" x14ac:dyDescent="0.2">
      <c r="A1" s="70">
        <v>42907</v>
      </c>
      <c r="B1" s="59" t="s">
        <v>316</v>
      </c>
    </row>
    <row r="2" spans="1:19" ht="40.799999999999997" x14ac:dyDescent="0.2">
      <c r="A2" s="81">
        <f>COUNTA(A5:A300)</f>
        <v>69</v>
      </c>
      <c r="C2" s="71" t="s">
        <v>331</v>
      </c>
      <c r="D2" s="71" t="s">
        <v>333</v>
      </c>
      <c r="E2" s="71" t="s">
        <v>335</v>
      </c>
      <c r="F2" s="71" t="s">
        <v>337</v>
      </c>
      <c r="G2" s="71" t="s">
        <v>332</v>
      </c>
      <c r="H2" s="71" t="s">
        <v>334</v>
      </c>
      <c r="I2" s="71" t="s">
        <v>336</v>
      </c>
      <c r="J2" s="71" t="s">
        <v>338</v>
      </c>
      <c r="K2" s="58"/>
      <c r="L2" s="58"/>
      <c r="M2" s="58"/>
      <c r="N2" s="58"/>
      <c r="O2" s="58"/>
      <c r="P2" s="58"/>
    </row>
    <row r="3" spans="1:19" x14ac:dyDescent="0.2">
      <c r="A3" s="81">
        <v>1</v>
      </c>
      <c r="B3" s="59">
        <v>2</v>
      </c>
      <c r="C3" s="71">
        <v>3</v>
      </c>
      <c r="D3" s="81">
        <v>4</v>
      </c>
      <c r="E3" s="59">
        <v>5</v>
      </c>
      <c r="F3" s="71">
        <v>6</v>
      </c>
      <c r="G3" s="81">
        <v>7</v>
      </c>
      <c r="H3" s="59">
        <v>8</v>
      </c>
      <c r="I3" s="71">
        <v>9</v>
      </c>
      <c r="J3" s="81">
        <v>10</v>
      </c>
      <c r="K3" s="59">
        <v>11</v>
      </c>
      <c r="L3" s="71">
        <v>12</v>
      </c>
      <c r="M3" s="81">
        <v>13</v>
      </c>
      <c r="N3" s="59">
        <v>14</v>
      </c>
      <c r="O3" s="71">
        <v>15</v>
      </c>
      <c r="P3" s="81">
        <v>16</v>
      </c>
      <c r="Q3" s="59">
        <v>17</v>
      </c>
    </row>
    <row r="4" spans="1:19" ht="30.6" x14ac:dyDescent="0.2">
      <c r="A4" s="78" t="s">
        <v>118</v>
      </c>
      <c r="B4" s="78" t="s">
        <v>117</v>
      </c>
      <c r="C4" s="78" t="s">
        <v>307</v>
      </c>
      <c r="D4" s="78" t="s">
        <v>308</v>
      </c>
      <c r="E4" s="78" t="s">
        <v>309</v>
      </c>
      <c r="F4" s="78" t="s">
        <v>310</v>
      </c>
      <c r="G4" s="78" t="s">
        <v>311</v>
      </c>
      <c r="H4" s="78" t="s">
        <v>312</v>
      </c>
      <c r="I4" s="78" t="s">
        <v>313</v>
      </c>
      <c r="J4" s="78" t="s">
        <v>330</v>
      </c>
      <c r="L4" s="85" t="s">
        <v>114</v>
      </c>
      <c r="M4" s="85" t="s">
        <v>245</v>
      </c>
      <c r="N4" s="85" t="s">
        <v>350</v>
      </c>
      <c r="O4" s="85" t="s">
        <v>324</v>
      </c>
      <c r="P4" s="85" t="s">
        <v>325</v>
      </c>
      <c r="Q4" s="85" t="s">
        <v>361</v>
      </c>
    </row>
    <row r="5" spans="1:19" s="250" customFormat="1" x14ac:dyDescent="0.2">
      <c r="A5" s="250" t="s">
        <v>163</v>
      </c>
      <c r="B5" s="250" t="s">
        <v>162</v>
      </c>
      <c r="C5" s="250">
        <v>61.71</v>
      </c>
      <c r="D5" s="250">
        <v>35.872999999999998</v>
      </c>
      <c r="E5" s="250">
        <v>5.0510000000000002</v>
      </c>
      <c r="F5" s="250">
        <v>0.6</v>
      </c>
      <c r="G5" s="250">
        <v>37.026000000000003</v>
      </c>
      <c r="H5" s="250">
        <v>2.0110000000000001</v>
      </c>
      <c r="I5" s="250">
        <v>0.88</v>
      </c>
      <c r="J5" s="250">
        <v>2.3769999999999998</v>
      </c>
      <c r="S5" s="250" t="b">
        <f>F5=EPS!G4</f>
        <v>1</v>
      </c>
    </row>
    <row r="6" spans="1:19" s="250" customFormat="1" x14ac:dyDescent="0.2">
      <c r="A6" s="250" t="s">
        <v>0</v>
      </c>
      <c r="B6" s="250" t="s">
        <v>119</v>
      </c>
      <c r="C6" s="250">
        <v>18.600000000000001</v>
      </c>
      <c r="D6" s="250">
        <v>38.164999999999999</v>
      </c>
      <c r="E6" s="250">
        <v>7.0789999999999997</v>
      </c>
      <c r="F6" s="250">
        <v>3.14</v>
      </c>
      <c r="G6" s="250">
        <v>58.503999999999998</v>
      </c>
      <c r="H6" s="250">
        <v>5.3550000000000004</v>
      </c>
      <c r="I6" s="250">
        <v>2.08</v>
      </c>
      <c r="J6" s="250">
        <v>3.5550000000000002</v>
      </c>
      <c r="L6" s="251">
        <f>IFERROR(G6/E6,"")</f>
        <v>8.2644441305269112</v>
      </c>
      <c r="M6" s="251">
        <f>IFERROR(G6/D6,"")</f>
        <v>1.5329228350582995</v>
      </c>
      <c r="N6" s="252">
        <f>IFERROR(I6/D6,"")</f>
        <v>5.4500196515131667E-2</v>
      </c>
      <c r="O6" s="251">
        <f>IFERROR(I6/F6,"")</f>
        <v>0.66242038216560506</v>
      </c>
      <c r="P6" s="251">
        <f>IFERROR(E6/H6,"")</f>
        <v>1.321942110177404</v>
      </c>
      <c r="Q6" s="252">
        <f>IFERROR(I6/G6,"")</f>
        <v>3.5553124572678792E-2</v>
      </c>
      <c r="S6" s="250" t="b">
        <f>F6=EPS!G5</f>
        <v>1</v>
      </c>
    </row>
    <row r="7" spans="1:19" s="250" customFormat="1" x14ac:dyDescent="0.2">
      <c r="A7" s="250" t="s">
        <v>1</v>
      </c>
      <c r="B7" s="250" t="s">
        <v>120</v>
      </c>
      <c r="C7" s="250">
        <v>22.3</v>
      </c>
      <c r="D7" s="250">
        <v>16.963000000000001</v>
      </c>
      <c r="E7" s="250">
        <v>3.45</v>
      </c>
      <c r="F7" s="250">
        <v>1.65</v>
      </c>
      <c r="G7" s="250">
        <v>36.801000000000002</v>
      </c>
      <c r="I7" s="250">
        <v>1.18</v>
      </c>
      <c r="J7" s="250">
        <v>3.206</v>
      </c>
      <c r="L7" s="251">
        <f t="shared" ref="L7:L70" si="0">IFERROR(G7/E7,"")</f>
        <v>10.666956521739131</v>
      </c>
      <c r="M7" s="251">
        <f t="shared" ref="M7:M70" si="1">IFERROR(G7/D7,"")</f>
        <v>2.1694865295053942</v>
      </c>
      <c r="N7" s="252">
        <f t="shared" ref="N7:N70" si="2">IFERROR(I7/D7,"")</f>
        <v>6.9563166892648701E-2</v>
      </c>
      <c r="O7" s="251">
        <f t="shared" ref="O7:O70" si="3">IFERROR(I7/F7,"")</f>
        <v>0.7151515151515152</v>
      </c>
      <c r="P7" s="251" t="str">
        <f t="shared" ref="P7:P70" si="4">IFERROR(E7/H7,"")</f>
        <v/>
      </c>
      <c r="Q7" s="252">
        <f t="shared" ref="Q7:Q70" si="5">IFERROR(I7/G7,"")</f>
        <v>3.2064346077552236E-2</v>
      </c>
      <c r="S7" s="250" t="b">
        <f>F7=EPS!G6</f>
        <v>1</v>
      </c>
    </row>
    <row r="8" spans="1:19" s="250" customFormat="1" x14ac:dyDescent="0.2">
      <c r="A8" s="250" t="s">
        <v>2</v>
      </c>
      <c r="B8" s="250" t="s">
        <v>121</v>
      </c>
      <c r="C8" s="250">
        <v>15.2</v>
      </c>
      <c r="D8" s="250">
        <v>35.380000000000003</v>
      </c>
      <c r="E8" s="250">
        <v>8.4689999999999994</v>
      </c>
      <c r="F8" s="250">
        <v>4.2300000000000004</v>
      </c>
      <c r="G8" s="250">
        <v>64.116</v>
      </c>
      <c r="H8" s="250">
        <v>9.9849999999999994</v>
      </c>
      <c r="I8" s="250">
        <v>2.27</v>
      </c>
      <c r="J8" s="250">
        <v>3.54</v>
      </c>
      <c r="L8" s="251">
        <f t="shared" si="0"/>
        <v>7.5706695005313502</v>
      </c>
      <c r="M8" s="251">
        <f t="shared" si="1"/>
        <v>1.8122102882984736</v>
      </c>
      <c r="N8" s="252">
        <f t="shared" si="2"/>
        <v>6.4160542679479932E-2</v>
      </c>
      <c r="O8" s="251">
        <f t="shared" si="3"/>
        <v>0.53664302600472813</v>
      </c>
      <c r="P8" s="251">
        <f t="shared" si="4"/>
        <v>0.84817225838758137</v>
      </c>
      <c r="Q8" s="252">
        <f t="shared" si="5"/>
        <v>3.540457920019964E-2</v>
      </c>
      <c r="S8" s="250" t="b">
        <f>F8=EPS!G7</f>
        <v>1</v>
      </c>
    </row>
    <row r="9" spans="1:19" s="250" customFormat="1" x14ac:dyDescent="0.2">
      <c r="A9" s="250" t="s">
        <v>165</v>
      </c>
      <c r="B9" s="250" t="s">
        <v>164</v>
      </c>
      <c r="C9" s="250">
        <v>25.6</v>
      </c>
      <c r="D9" s="250">
        <v>13.516</v>
      </c>
      <c r="E9" s="250">
        <v>2.7029999999999998</v>
      </c>
      <c r="F9" s="250">
        <v>1.62</v>
      </c>
      <c r="G9" s="250">
        <v>41.460999999999999</v>
      </c>
      <c r="H9" s="250">
        <v>3.5510000000000002</v>
      </c>
      <c r="I9" s="250">
        <v>0.91400000000000003</v>
      </c>
      <c r="J9" s="250">
        <v>2.2040000000000002</v>
      </c>
      <c r="L9" s="251">
        <f t="shared" si="0"/>
        <v>15.338882722900481</v>
      </c>
      <c r="M9" s="251">
        <f t="shared" si="1"/>
        <v>3.067549570878958</v>
      </c>
      <c r="N9" s="252">
        <f t="shared" si="2"/>
        <v>6.7623557265463152E-2</v>
      </c>
      <c r="O9" s="251">
        <f t="shared" si="3"/>
        <v>0.56419753086419755</v>
      </c>
      <c r="P9" s="251">
        <f t="shared" si="4"/>
        <v>0.76119402985074625</v>
      </c>
      <c r="Q9" s="252">
        <f t="shared" si="5"/>
        <v>2.204481319794506E-2</v>
      </c>
      <c r="S9" s="250" t="b">
        <f>F9=EPS!G8</f>
        <v>1</v>
      </c>
    </row>
    <row r="10" spans="1:19" s="250" customFormat="1" x14ac:dyDescent="0.2">
      <c r="A10" s="250" t="s">
        <v>167</v>
      </c>
      <c r="B10" s="250" t="s">
        <v>166</v>
      </c>
      <c r="C10" s="250">
        <v>27.7</v>
      </c>
      <c r="D10" s="250">
        <v>29.242999999999999</v>
      </c>
      <c r="E10" s="250">
        <v>5.2610000000000001</v>
      </c>
      <c r="F10" s="250">
        <v>2.62</v>
      </c>
      <c r="G10" s="250">
        <v>72.603999999999999</v>
      </c>
      <c r="H10" s="250">
        <v>7.3609999999999998</v>
      </c>
      <c r="I10" s="250">
        <v>1.47</v>
      </c>
      <c r="J10" s="250">
        <v>2.0249999999999999</v>
      </c>
      <c r="L10" s="251">
        <f t="shared" si="0"/>
        <v>13.800418171450294</v>
      </c>
      <c r="M10" s="251">
        <f t="shared" si="1"/>
        <v>2.4827822042882057</v>
      </c>
      <c r="N10" s="252">
        <f t="shared" si="2"/>
        <v>5.0268440310501657E-2</v>
      </c>
      <c r="O10" s="251">
        <f t="shared" si="3"/>
        <v>0.56106870229007633</v>
      </c>
      <c r="P10" s="251">
        <f t="shared" si="4"/>
        <v>0.71471267490830059</v>
      </c>
      <c r="Q10" s="252">
        <f t="shared" si="5"/>
        <v>2.0246818357115309E-2</v>
      </c>
      <c r="S10" s="250" t="b">
        <f>F10=EPS!G9</f>
        <v>1</v>
      </c>
    </row>
    <row r="11" spans="1:19" s="250" customFormat="1" x14ac:dyDescent="0.2">
      <c r="A11" s="250" t="s">
        <v>3</v>
      </c>
      <c r="B11" s="250" t="s">
        <v>122</v>
      </c>
      <c r="C11" s="250">
        <v>18.3</v>
      </c>
      <c r="D11" s="250">
        <v>29.274000000000001</v>
      </c>
      <c r="E11" s="250">
        <v>6.5860000000000003</v>
      </c>
      <c r="F11" s="250">
        <v>2.68</v>
      </c>
      <c r="G11" s="250">
        <v>49.027999999999999</v>
      </c>
      <c r="H11" s="250">
        <v>8.7829999999999995</v>
      </c>
      <c r="I11" s="250">
        <v>1.7150000000000001</v>
      </c>
      <c r="J11" s="250">
        <v>3.4980000000000002</v>
      </c>
      <c r="L11" s="251">
        <f t="shared" si="0"/>
        <v>7.4442757364105674</v>
      </c>
      <c r="M11" s="251">
        <f t="shared" si="1"/>
        <v>1.6747967479674797</v>
      </c>
      <c r="N11" s="252">
        <f t="shared" si="2"/>
        <v>5.8584409373505501E-2</v>
      </c>
      <c r="O11" s="251">
        <f t="shared" si="3"/>
        <v>0.6399253731343284</v>
      </c>
      <c r="P11" s="251">
        <f t="shared" si="4"/>
        <v>0.74985767960833438</v>
      </c>
      <c r="Q11" s="252">
        <f t="shared" si="5"/>
        <v>3.498001142204455E-2</v>
      </c>
      <c r="S11" s="250" t="b">
        <f>F11=EPS!G10</f>
        <v>1</v>
      </c>
    </row>
    <row r="12" spans="1:19" s="250" customFormat="1" x14ac:dyDescent="0.2">
      <c r="A12" s="250" t="s">
        <v>169</v>
      </c>
      <c r="B12" s="250" t="s">
        <v>168</v>
      </c>
      <c r="C12" s="250">
        <v>23.855</v>
      </c>
      <c r="D12" s="250">
        <v>10.592000000000001</v>
      </c>
      <c r="E12" s="250">
        <v>4.2720000000000002</v>
      </c>
      <c r="F12" s="250">
        <v>1.77</v>
      </c>
      <c r="G12" s="250">
        <v>42.222999999999999</v>
      </c>
      <c r="H12" s="250">
        <v>1.0940000000000001</v>
      </c>
      <c r="I12" s="250">
        <v>3.72</v>
      </c>
      <c r="J12" s="250">
        <v>8.81</v>
      </c>
      <c r="L12" s="251">
        <f t="shared" si="0"/>
        <v>9.8836610486891381</v>
      </c>
      <c r="M12" s="251">
        <f t="shared" si="1"/>
        <v>3.9863104229607247</v>
      </c>
      <c r="N12" s="252">
        <f t="shared" si="2"/>
        <v>0.3512084592145015</v>
      </c>
      <c r="O12" s="251">
        <f t="shared" si="3"/>
        <v>2.1016949152542375</v>
      </c>
      <c r="P12" s="251">
        <f t="shared" si="4"/>
        <v>3.9049360146252283</v>
      </c>
      <c r="Q12" s="252">
        <f t="shared" si="5"/>
        <v>8.810364019610166E-2</v>
      </c>
      <c r="S12" s="250" t="b">
        <f>F12=EPS!G11</f>
        <v>1</v>
      </c>
    </row>
    <row r="13" spans="1:19" s="250" customFormat="1" x14ac:dyDescent="0.2">
      <c r="A13" s="250" t="s">
        <v>171</v>
      </c>
      <c r="B13" s="250" t="s">
        <v>170</v>
      </c>
      <c r="C13" s="250">
        <v>23.863</v>
      </c>
      <c r="D13" s="250">
        <v>10.429</v>
      </c>
      <c r="E13" s="250">
        <v>2.0699999999999998</v>
      </c>
      <c r="F13" s="250">
        <v>1.32</v>
      </c>
      <c r="G13" s="250">
        <v>31.498999999999999</v>
      </c>
      <c r="H13" s="250">
        <v>2.1589999999999998</v>
      </c>
      <c r="I13" s="250">
        <v>0.74</v>
      </c>
      <c r="J13" s="250">
        <v>2.3490000000000002</v>
      </c>
      <c r="L13" s="251">
        <f t="shared" si="0"/>
        <v>15.216908212560387</v>
      </c>
      <c r="M13" s="251">
        <f t="shared" si="1"/>
        <v>3.0203279317288327</v>
      </c>
      <c r="N13" s="252">
        <f t="shared" si="2"/>
        <v>7.0955988110077667E-2</v>
      </c>
      <c r="O13" s="251">
        <f t="shared" si="3"/>
        <v>0.56060606060606055</v>
      </c>
      <c r="P13" s="251">
        <f t="shared" si="4"/>
        <v>0.95877721167207042</v>
      </c>
      <c r="Q13" s="252">
        <f t="shared" si="5"/>
        <v>2.3492809295533192E-2</v>
      </c>
      <c r="S13" s="250" t="b">
        <f>F13=EPS!G12</f>
        <v>1</v>
      </c>
    </row>
    <row r="14" spans="1:19" s="250" customFormat="1" x14ac:dyDescent="0.2">
      <c r="A14" s="250" t="s">
        <v>173</v>
      </c>
      <c r="B14" s="250" t="s">
        <v>172</v>
      </c>
      <c r="C14" s="250">
        <v>20.856000000000002</v>
      </c>
      <c r="D14" s="250">
        <v>15.231999999999999</v>
      </c>
      <c r="E14" s="250">
        <v>2.4260000000000002</v>
      </c>
      <c r="F14" s="250">
        <v>1.41</v>
      </c>
      <c r="G14" s="250">
        <v>29.407</v>
      </c>
      <c r="H14" s="250">
        <v>3.0950000000000002</v>
      </c>
      <c r="I14" s="250">
        <v>0.9</v>
      </c>
      <c r="J14" s="250">
        <v>3.06</v>
      </c>
      <c r="L14" s="251">
        <f t="shared" si="0"/>
        <v>12.121599340478152</v>
      </c>
      <c r="M14" s="251">
        <f t="shared" si="1"/>
        <v>1.9306066176470589</v>
      </c>
      <c r="N14" s="252">
        <f t="shared" si="2"/>
        <v>5.9086134453781518E-2</v>
      </c>
      <c r="O14" s="251">
        <f t="shared" si="3"/>
        <v>0.63829787234042556</v>
      </c>
      <c r="P14" s="251">
        <f t="shared" si="4"/>
        <v>0.78384491114701127</v>
      </c>
      <c r="Q14" s="252">
        <f t="shared" si="5"/>
        <v>3.0604958003196518E-2</v>
      </c>
      <c r="S14" s="250" t="b">
        <f>F14=EPS!G13</f>
        <v>1</v>
      </c>
    </row>
    <row r="15" spans="1:19" s="250" customFormat="1" x14ac:dyDescent="0.2">
      <c r="A15" s="250" t="s">
        <v>175</v>
      </c>
      <c r="B15" s="250" t="s">
        <v>174</v>
      </c>
      <c r="C15" s="250">
        <v>20.8</v>
      </c>
      <c r="D15" s="250">
        <v>33.320999999999998</v>
      </c>
      <c r="E15" s="250">
        <v>6.1890000000000001</v>
      </c>
      <c r="F15" s="250">
        <v>3.38</v>
      </c>
      <c r="G15" s="250">
        <v>70.305000000000007</v>
      </c>
      <c r="H15" s="250">
        <v>10.458</v>
      </c>
      <c r="I15" s="250">
        <v>1.68</v>
      </c>
      <c r="J15" s="250">
        <v>2.39</v>
      </c>
      <c r="L15" s="251">
        <f t="shared" si="0"/>
        <v>11.359670382937471</v>
      </c>
      <c r="M15" s="251">
        <f t="shared" si="1"/>
        <v>2.1099306743495099</v>
      </c>
      <c r="N15" s="252">
        <f t="shared" si="2"/>
        <v>5.0418654902313856E-2</v>
      </c>
      <c r="O15" s="251">
        <f t="shared" si="3"/>
        <v>0.49704142011834318</v>
      </c>
      <c r="P15" s="251">
        <f t="shared" si="4"/>
        <v>0.5917957544463569</v>
      </c>
      <c r="Q15" s="252">
        <f t="shared" si="5"/>
        <v>2.389588222743759E-2</v>
      </c>
      <c r="S15" s="250" t="b">
        <f>F15=EPS!G14</f>
        <v>1</v>
      </c>
    </row>
    <row r="16" spans="1:19" s="250" customFormat="1" x14ac:dyDescent="0.2">
      <c r="A16" s="250" t="s">
        <v>260</v>
      </c>
      <c r="B16" s="250" t="s">
        <v>263</v>
      </c>
      <c r="C16" s="250">
        <v>20.5</v>
      </c>
      <c r="D16" s="250">
        <v>48.898000000000003</v>
      </c>
      <c r="E16" s="250">
        <v>4.7380000000000004</v>
      </c>
      <c r="F16" s="250">
        <v>1.98</v>
      </c>
      <c r="G16" s="250">
        <v>40.575000000000003</v>
      </c>
      <c r="H16" s="250">
        <v>5.524</v>
      </c>
      <c r="I16" s="250">
        <v>1.728</v>
      </c>
      <c r="J16" s="250">
        <v>4.2590000000000003</v>
      </c>
      <c r="L16" s="251">
        <f t="shared" si="0"/>
        <v>8.563739974672858</v>
      </c>
      <c r="M16" s="251">
        <f t="shared" si="1"/>
        <v>0.82978853940856478</v>
      </c>
      <c r="N16" s="252">
        <f t="shared" si="2"/>
        <v>3.5338868665385083E-2</v>
      </c>
      <c r="O16" s="251">
        <f t="shared" si="3"/>
        <v>0.87272727272727268</v>
      </c>
      <c r="P16" s="251">
        <f t="shared" si="4"/>
        <v>0.85771180304127448</v>
      </c>
      <c r="Q16" s="252">
        <f t="shared" si="5"/>
        <v>4.2587800369685763E-2</v>
      </c>
      <c r="S16" s="250" t="b">
        <f>F16=EPS!G15</f>
        <v>1</v>
      </c>
    </row>
    <row r="17" spans="1:19" s="250" customFormat="1" x14ac:dyDescent="0.2">
      <c r="A17" s="250" t="s">
        <v>4</v>
      </c>
      <c r="B17" s="250" t="s">
        <v>123</v>
      </c>
      <c r="C17" s="250">
        <v>18.8</v>
      </c>
      <c r="D17" s="250">
        <v>25.686</v>
      </c>
      <c r="E17" s="250">
        <v>5.2949999999999999</v>
      </c>
      <c r="F17" s="250">
        <v>2.15</v>
      </c>
      <c r="G17" s="250">
        <v>40.408999999999999</v>
      </c>
      <c r="H17" s="250">
        <v>6.3410000000000002</v>
      </c>
      <c r="I17" s="250">
        <v>1.37</v>
      </c>
      <c r="J17" s="250">
        <v>3.39</v>
      </c>
      <c r="L17" s="251">
        <f t="shared" si="0"/>
        <v>7.6315391879131251</v>
      </c>
      <c r="M17" s="251">
        <f t="shared" si="1"/>
        <v>1.5731916218951958</v>
      </c>
      <c r="N17" s="252">
        <f t="shared" si="2"/>
        <v>5.3336447870435261E-2</v>
      </c>
      <c r="O17" s="251">
        <f t="shared" si="3"/>
        <v>0.63720930232558148</v>
      </c>
      <c r="P17" s="251">
        <f t="shared" si="4"/>
        <v>0.83504179151553382</v>
      </c>
      <c r="Q17" s="252">
        <f t="shared" si="5"/>
        <v>3.3903338365215675E-2</v>
      </c>
      <c r="S17" s="250" t="b">
        <f>F17=EPS!G16</f>
        <v>1</v>
      </c>
    </row>
    <row r="18" spans="1:19" s="250" customFormat="1" x14ac:dyDescent="0.2">
      <c r="A18" s="250" t="s">
        <v>5</v>
      </c>
      <c r="B18" s="250" t="s">
        <v>124</v>
      </c>
      <c r="C18" s="250">
        <v>22.3</v>
      </c>
      <c r="D18" s="250">
        <v>30.247</v>
      </c>
      <c r="E18" s="250">
        <v>6.2850000000000001</v>
      </c>
      <c r="F18" s="250">
        <v>2.63</v>
      </c>
      <c r="G18" s="250">
        <v>58.619</v>
      </c>
      <c r="H18" s="250">
        <v>8.8940000000000001</v>
      </c>
      <c r="I18" s="250">
        <v>1.68</v>
      </c>
      <c r="J18" s="250">
        <v>2.8660000000000001</v>
      </c>
      <c r="L18" s="251">
        <f t="shared" si="0"/>
        <v>9.3268098647573581</v>
      </c>
      <c r="M18" s="251">
        <f t="shared" si="1"/>
        <v>1.9380103811948293</v>
      </c>
      <c r="N18" s="252">
        <f t="shared" si="2"/>
        <v>5.5542698449432999E-2</v>
      </c>
      <c r="O18" s="251">
        <f t="shared" si="3"/>
        <v>0.63878326996197721</v>
      </c>
      <c r="P18" s="251">
        <f t="shared" si="4"/>
        <v>0.70665617270069714</v>
      </c>
      <c r="Q18" s="252">
        <f t="shared" si="5"/>
        <v>2.8659649601664988E-2</v>
      </c>
      <c r="S18" s="250" t="b">
        <f>F18=EPS!G17</f>
        <v>1</v>
      </c>
    </row>
    <row r="19" spans="1:19" s="250" customFormat="1" x14ac:dyDescent="0.2">
      <c r="A19" s="250" t="s">
        <v>177</v>
      </c>
      <c r="B19" s="250" t="s">
        <v>176</v>
      </c>
      <c r="C19" s="250">
        <v>29.6</v>
      </c>
      <c r="D19" s="250">
        <v>13.749000000000001</v>
      </c>
      <c r="E19" s="250">
        <v>2.3410000000000002</v>
      </c>
      <c r="F19" s="250">
        <v>1.01</v>
      </c>
      <c r="G19" s="250">
        <v>29.946000000000002</v>
      </c>
      <c r="H19" s="250">
        <v>4.7729999999999997</v>
      </c>
      <c r="I19" s="250">
        <v>0.69</v>
      </c>
      <c r="J19" s="250">
        <v>2.3039999999999998</v>
      </c>
      <c r="L19" s="251">
        <f t="shared" si="0"/>
        <v>12.791969243912858</v>
      </c>
      <c r="M19" s="251">
        <f t="shared" si="1"/>
        <v>2.1780493126772855</v>
      </c>
      <c r="N19" s="252">
        <f t="shared" si="2"/>
        <v>5.0185468034038831E-2</v>
      </c>
      <c r="O19" s="251">
        <f t="shared" si="3"/>
        <v>0.68316831683168311</v>
      </c>
      <c r="P19" s="251">
        <f t="shared" si="4"/>
        <v>0.49046721139744404</v>
      </c>
      <c r="Q19" s="252">
        <f t="shared" si="5"/>
        <v>2.3041474654377878E-2</v>
      </c>
      <c r="S19" s="250" t="b">
        <f>F19=EPS!G18</f>
        <v>1</v>
      </c>
    </row>
    <row r="20" spans="1:19" s="250" customFormat="1" x14ac:dyDescent="0.2">
      <c r="A20" s="250" t="s">
        <v>6</v>
      </c>
      <c r="B20" s="250" t="s">
        <v>125</v>
      </c>
      <c r="C20" s="250">
        <v>21.9</v>
      </c>
      <c r="D20" s="250">
        <v>8.0340000000000007</v>
      </c>
      <c r="E20" s="250">
        <v>3.6779999999999999</v>
      </c>
      <c r="F20" s="250">
        <v>1</v>
      </c>
      <c r="G20" s="250">
        <v>21.91</v>
      </c>
      <c r="H20" s="250">
        <v>3.2829999999999999</v>
      </c>
      <c r="I20" s="250">
        <v>1.03</v>
      </c>
      <c r="J20" s="250">
        <v>4.7009999999999996</v>
      </c>
      <c r="L20" s="251">
        <f t="shared" si="0"/>
        <v>5.957041870581838</v>
      </c>
      <c r="M20" s="251">
        <f t="shared" si="1"/>
        <v>2.7271595718197656</v>
      </c>
      <c r="N20" s="252">
        <f t="shared" si="2"/>
        <v>0.12820512820512819</v>
      </c>
      <c r="O20" s="251">
        <f t="shared" si="3"/>
        <v>1.03</v>
      </c>
      <c r="P20" s="251">
        <f t="shared" si="4"/>
        <v>1.1203167834297898</v>
      </c>
      <c r="Q20" s="252">
        <f t="shared" si="5"/>
        <v>4.701049748973072E-2</v>
      </c>
      <c r="S20" s="250" t="b">
        <f>F20=EPS!G19</f>
        <v>1</v>
      </c>
    </row>
    <row r="21" spans="1:19" s="250" customFormat="1" x14ac:dyDescent="0.2">
      <c r="A21" s="250" t="s">
        <v>178</v>
      </c>
      <c r="B21" s="250" t="s">
        <v>215</v>
      </c>
      <c r="C21" s="250">
        <v>22.3</v>
      </c>
      <c r="D21" s="250">
        <v>27.361000000000001</v>
      </c>
      <c r="E21" s="250">
        <v>5.1630000000000003</v>
      </c>
      <c r="F21" s="250">
        <v>2.86</v>
      </c>
      <c r="G21" s="250">
        <v>62.274999999999999</v>
      </c>
      <c r="H21" s="250">
        <v>10.419</v>
      </c>
      <c r="I21" s="250">
        <v>1.19</v>
      </c>
      <c r="J21" s="250">
        <v>1.911</v>
      </c>
      <c r="L21" s="251">
        <f t="shared" si="0"/>
        <v>12.061785783459229</v>
      </c>
      <c r="M21" s="251">
        <f t="shared" si="1"/>
        <v>2.2760498519790944</v>
      </c>
      <c r="N21" s="252">
        <f t="shared" si="2"/>
        <v>4.3492562406344797E-2</v>
      </c>
      <c r="O21" s="251">
        <f t="shared" si="3"/>
        <v>0.41608391608391609</v>
      </c>
      <c r="P21" s="251">
        <f t="shared" si="4"/>
        <v>0.4955369997120645</v>
      </c>
      <c r="Q21" s="252">
        <f t="shared" si="5"/>
        <v>1.9108791649939783E-2</v>
      </c>
      <c r="S21" s="250" t="b">
        <f>F21=EPS!G20</f>
        <v>1</v>
      </c>
    </row>
    <row r="22" spans="1:19" s="250" customFormat="1" x14ac:dyDescent="0.2">
      <c r="A22" s="250" t="s">
        <v>9</v>
      </c>
      <c r="B22" s="250" t="s">
        <v>126</v>
      </c>
      <c r="C22" s="250">
        <v>20.9</v>
      </c>
      <c r="D22" s="250">
        <v>15.231999999999999</v>
      </c>
      <c r="E22" s="250">
        <v>4.8780000000000001</v>
      </c>
      <c r="F22" s="250">
        <v>1.98</v>
      </c>
      <c r="G22" s="250">
        <v>41.466999999999999</v>
      </c>
      <c r="H22" s="250">
        <v>5.9880000000000004</v>
      </c>
      <c r="I22" s="250">
        <v>1.24</v>
      </c>
      <c r="J22" s="250">
        <v>2.99</v>
      </c>
      <c r="L22" s="251">
        <f t="shared" si="0"/>
        <v>8.5008200082000815</v>
      </c>
      <c r="M22" s="251">
        <f t="shared" si="1"/>
        <v>2.7223608193277311</v>
      </c>
      <c r="N22" s="252">
        <f t="shared" si="2"/>
        <v>8.1407563025210086E-2</v>
      </c>
      <c r="O22" s="251">
        <f t="shared" si="3"/>
        <v>0.6262626262626263</v>
      </c>
      <c r="P22" s="251">
        <f t="shared" si="4"/>
        <v>0.81462925851703405</v>
      </c>
      <c r="Q22" s="252">
        <f t="shared" si="5"/>
        <v>2.9903296597294234E-2</v>
      </c>
      <c r="S22" s="250" t="b">
        <f>F22=EPS!G21</f>
        <v>1</v>
      </c>
    </row>
    <row r="23" spans="1:19" s="250" customFormat="1" x14ac:dyDescent="0.2">
      <c r="A23" s="250" t="s">
        <v>180</v>
      </c>
      <c r="B23" s="250" t="s">
        <v>179</v>
      </c>
      <c r="C23" s="250">
        <v>23.285</v>
      </c>
      <c r="D23" s="250">
        <v>20.983000000000001</v>
      </c>
      <c r="E23" s="250">
        <v>3.3119999999999998</v>
      </c>
      <c r="F23" s="250">
        <v>2.08</v>
      </c>
      <c r="G23" s="250">
        <v>48.433</v>
      </c>
      <c r="H23" s="250">
        <v>5.9290000000000003</v>
      </c>
      <c r="I23" s="250">
        <v>1.1200000000000001</v>
      </c>
      <c r="J23" s="250">
        <v>2.3119999999999998</v>
      </c>
      <c r="L23" s="251">
        <f t="shared" si="0"/>
        <v>14.623490338164252</v>
      </c>
      <c r="M23" s="251">
        <f t="shared" si="1"/>
        <v>2.3082018777105273</v>
      </c>
      <c r="N23" s="252">
        <f t="shared" si="2"/>
        <v>5.3376542915693659E-2</v>
      </c>
      <c r="O23" s="251">
        <f t="shared" si="3"/>
        <v>0.53846153846153855</v>
      </c>
      <c r="P23" s="251">
        <f t="shared" si="4"/>
        <v>0.55861022094788326</v>
      </c>
      <c r="Q23" s="252">
        <f t="shared" si="5"/>
        <v>2.312472900708195E-2</v>
      </c>
      <c r="S23" s="250" t="b">
        <f>F23=EPS!G22</f>
        <v>1</v>
      </c>
    </row>
    <row r="24" spans="1:19" s="250" customFormat="1" x14ac:dyDescent="0.2">
      <c r="A24" s="250" t="s">
        <v>10</v>
      </c>
      <c r="B24" s="250" t="s">
        <v>127</v>
      </c>
      <c r="C24" s="250">
        <v>18.8</v>
      </c>
      <c r="D24" s="250">
        <v>46.878999999999998</v>
      </c>
      <c r="E24" s="250">
        <v>7.8849999999999998</v>
      </c>
      <c r="F24" s="250">
        <v>3.94</v>
      </c>
      <c r="G24" s="250">
        <v>74.078999999999994</v>
      </c>
      <c r="H24" s="250">
        <v>12.066000000000001</v>
      </c>
      <c r="I24" s="250">
        <v>2.68</v>
      </c>
      <c r="J24" s="250">
        <v>3.6179999999999999</v>
      </c>
      <c r="L24" s="251">
        <f t="shared" si="0"/>
        <v>9.3949270767279636</v>
      </c>
      <c r="M24" s="251">
        <f t="shared" si="1"/>
        <v>1.5802171548027901</v>
      </c>
      <c r="N24" s="252">
        <f t="shared" si="2"/>
        <v>5.7168454958510216E-2</v>
      </c>
      <c r="O24" s="251">
        <f t="shared" si="3"/>
        <v>0.68020304568527923</v>
      </c>
      <c r="P24" s="251">
        <f t="shared" si="4"/>
        <v>0.65348914304657713</v>
      </c>
      <c r="Q24" s="252">
        <f t="shared" si="5"/>
        <v>3.6177594189986374E-2</v>
      </c>
      <c r="S24" s="250" t="b">
        <f>F24=EPS!G23</f>
        <v>1</v>
      </c>
    </row>
    <row r="25" spans="1:19" s="250" customFormat="1" x14ac:dyDescent="0.2">
      <c r="A25" s="250" t="s">
        <v>182</v>
      </c>
      <c r="B25" s="250" t="s">
        <v>181</v>
      </c>
      <c r="C25" s="250">
        <v>44.807000000000002</v>
      </c>
      <c r="D25" s="250">
        <v>9.7889999999999997</v>
      </c>
      <c r="E25" s="250">
        <v>0.95399999999999996</v>
      </c>
      <c r="F25" s="250">
        <v>0.27</v>
      </c>
      <c r="G25" s="250">
        <v>12.098000000000001</v>
      </c>
      <c r="H25" s="250">
        <v>0.23300000000000001</v>
      </c>
      <c r="I25" s="250">
        <v>0.3</v>
      </c>
      <c r="J25" s="250">
        <v>2.48</v>
      </c>
      <c r="L25" s="251">
        <f t="shared" si="0"/>
        <v>12.681341719077569</v>
      </c>
      <c r="M25" s="251">
        <f t="shared" si="1"/>
        <v>1.2358770048013077</v>
      </c>
      <c r="N25" s="252">
        <f t="shared" si="2"/>
        <v>3.0646644192460926E-2</v>
      </c>
      <c r="O25" s="251">
        <f t="shared" si="3"/>
        <v>1.1111111111111109</v>
      </c>
      <c r="P25" s="251">
        <f t="shared" si="4"/>
        <v>4.0944206008583688</v>
      </c>
      <c r="Q25" s="252">
        <f t="shared" si="5"/>
        <v>2.4797487187964949E-2</v>
      </c>
      <c r="S25" s="250" t="b">
        <f>F25=EPS!G24</f>
        <v>1</v>
      </c>
    </row>
    <row r="26" spans="1:19" s="250" customFormat="1" x14ac:dyDescent="0.2">
      <c r="A26" s="250" t="s">
        <v>184</v>
      </c>
      <c r="B26" s="250" t="s">
        <v>183</v>
      </c>
      <c r="C26" s="250">
        <v>28.154</v>
      </c>
      <c r="D26" s="250">
        <v>10.965999999999999</v>
      </c>
      <c r="E26" s="250">
        <v>1.718</v>
      </c>
      <c r="F26" s="250">
        <v>0.78</v>
      </c>
      <c r="G26" s="250">
        <v>21.96</v>
      </c>
      <c r="H26" s="250">
        <v>0.88900000000000001</v>
      </c>
      <c r="I26" s="250">
        <v>0.82</v>
      </c>
      <c r="J26" s="250">
        <v>3.734</v>
      </c>
      <c r="L26" s="251">
        <f t="shared" si="0"/>
        <v>12.782305005820723</v>
      </c>
      <c r="M26" s="251">
        <f t="shared" si="1"/>
        <v>2.0025533467080066</v>
      </c>
      <c r="N26" s="252">
        <f t="shared" si="2"/>
        <v>7.4776582163049429E-2</v>
      </c>
      <c r="O26" s="251">
        <f t="shared" si="3"/>
        <v>1.0512820512820511</v>
      </c>
      <c r="P26" s="251">
        <f t="shared" si="4"/>
        <v>1.9325084364454443</v>
      </c>
      <c r="Q26" s="252">
        <f t="shared" si="5"/>
        <v>3.7340619307832418E-2</v>
      </c>
      <c r="S26" s="250" t="b">
        <f>F26=EPS!G25</f>
        <v>1</v>
      </c>
    </row>
    <row r="27" spans="1:19" s="250" customFormat="1" x14ac:dyDescent="0.2">
      <c r="A27" s="250" t="s">
        <v>11</v>
      </c>
      <c r="B27" s="250" t="s">
        <v>346</v>
      </c>
      <c r="C27" s="250">
        <v>21.3</v>
      </c>
      <c r="D27" s="250">
        <v>23.263999999999999</v>
      </c>
      <c r="E27" s="250">
        <v>6.327</v>
      </c>
      <c r="F27" s="250">
        <v>3.44</v>
      </c>
      <c r="G27" s="250">
        <v>73.358000000000004</v>
      </c>
      <c r="H27" s="250">
        <v>9.6929999999999996</v>
      </c>
      <c r="I27" s="250">
        <v>2.8</v>
      </c>
      <c r="J27" s="250">
        <v>3.8170000000000002</v>
      </c>
      <c r="L27" s="251">
        <f t="shared" si="0"/>
        <v>11.594436541804964</v>
      </c>
      <c r="M27" s="251">
        <f t="shared" si="1"/>
        <v>3.1532840440165066</v>
      </c>
      <c r="N27" s="252">
        <f t="shared" si="2"/>
        <v>0.12035763411279229</v>
      </c>
      <c r="O27" s="251">
        <f t="shared" si="3"/>
        <v>0.81395348837209303</v>
      </c>
      <c r="P27" s="251">
        <f t="shared" si="4"/>
        <v>0.65273909006499542</v>
      </c>
      <c r="Q27" s="252">
        <f t="shared" si="5"/>
        <v>3.8168979525068834E-2</v>
      </c>
      <c r="S27" s="250" t="b">
        <f>F27=EPS!G26</f>
        <v>1</v>
      </c>
    </row>
    <row r="28" spans="1:19" s="250" customFormat="1" x14ac:dyDescent="0.2">
      <c r="A28" s="250" t="s">
        <v>12</v>
      </c>
      <c r="B28" s="250" t="s">
        <v>129</v>
      </c>
      <c r="C28" s="250">
        <v>19</v>
      </c>
      <c r="D28" s="250">
        <v>50.219000000000001</v>
      </c>
      <c r="E28" s="250">
        <v>10.6</v>
      </c>
      <c r="F28" s="250">
        <v>4.83</v>
      </c>
      <c r="G28" s="250">
        <v>91.605999999999995</v>
      </c>
      <c r="H28" s="250">
        <v>11.397</v>
      </c>
      <c r="I28" s="250">
        <v>3.06</v>
      </c>
      <c r="J28" s="250">
        <v>3.34</v>
      </c>
      <c r="L28" s="251">
        <f t="shared" si="0"/>
        <v>8.6420754716981136</v>
      </c>
      <c r="M28" s="251">
        <f t="shared" si="1"/>
        <v>1.8241303092455046</v>
      </c>
      <c r="N28" s="252">
        <f t="shared" si="2"/>
        <v>6.0933112965212366E-2</v>
      </c>
      <c r="O28" s="251">
        <f t="shared" si="3"/>
        <v>0.63354037267080743</v>
      </c>
      <c r="P28" s="251">
        <f t="shared" si="4"/>
        <v>0.93006931648679469</v>
      </c>
      <c r="Q28" s="252">
        <f t="shared" si="5"/>
        <v>3.3403925507062858E-2</v>
      </c>
      <c r="S28" s="250" t="b">
        <f>F28=EPS!G27</f>
        <v>1</v>
      </c>
    </row>
    <row r="29" spans="1:19" s="250" customFormat="1" x14ac:dyDescent="0.2">
      <c r="A29" s="250" t="s">
        <v>13</v>
      </c>
      <c r="B29" s="250" t="s">
        <v>130</v>
      </c>
      <c r="C29" s="250">
        <v>21.3</v>
      </c>
      <c r="D29" s="250">
        <v>58.619</v>
      </c>
      <c r="E29" s="250">
        <v>9.1999999999999993</v>
      </c>
      <c r="F29" s="250">
        <v>3.71</v>
      </c>
      <c r="G29" s="250">
        <v>78.843000000000004</v>
      </c>
      <c r="H29" s="250">
        <v>11.287000000000001</v>
      </c>
      <c r="I29" s="250">
        <v>3.36</v>
      </c>
      <c r="J29" s="250">
        <v>4.2619999999999996</v>
      </c>
      <c r="L29" s="251">
        <f t="shared" si="0"/>
        <v>8.5698913043478271</v>
      </c>
      <c r="M29" s="251">
        <f t="shared" si="1"/>
        <v>1.3450075913952815</v>
      </c>
      <c r="N29" s="252">
        <f t="shared" si="2"/>
        <v>5.7319299203329975E-2</v>
      </c>
      <c r="O29" s="251">
        <f t="shared" si="3"/>
        <v>0.90566037735849059</v>
      </c>
      <c r="P29" s="251">
        <f t="shared" si="4"/>
        <v>0.81509701426419767</v>
      </c>
      <c r="Q29" s="252">
        <f t="shared" si="5"/>
        <v>4.2616338799893454E-2</v>
      </c>
      <c r="S29" s="250" t="b">
        <f>F29=EPS!G28</f>
        <v>1</v>
      </c>
    </row>
    <row r="30" spans="1:19" s="250" customFormat="1" x14ac:dyDescent="0.2">
      <c r="A30" s="250" t="s">
        <v>14</v>
      </c>
      <c r="B30" s="250" t="s">
        <v>131</v>
      </c>
      <c r="C30" s="250">
        <v>17.899999999999999</v>
      </c>
      <c r="D30" s="250">
        <v>36.819000000000003</v>
      </c>
      <c r="E30" s="250">
        <v>10.426</v>
      </c>
      <c r="F30" s="250">
        <v>3.94</v>
      </c>
      <c r="G30" s="250">
        <v>70.603999999999999</v>
      </c>
      <c r="H30" s="250">
        <v>11.461</v>
      </c>
      <c r="I30" s="250">
        <v>1.9830000000000001</v>
      </c>
      <c r="J30" s="250">
        <v>2.8090000000000002</v>
      </c>
      <c r="L30" s="251">
        <f t="shared" si="0"/>
        <v>6.7719163629388071</v>
      </c>
      <c r="M30" s="251">
        <f t="shared" si="1"/>
        <v>1.9175968929085525</v>
      </c>
      <c r="N30" s="252">
        <f t="shared" si="2"/>
        <v>5.3858062413427846E-2</v>
      </c>
      <c r="O30" s="251">
        <f t="shared" si="3"/>
        <v>0.50329949238578686</v>
      </c>
      <c r="P30" s="251">
        <f t="shared" si="4"/>
        <v>0.90969374400139602</v>
      </c>
      <c r="Q30" s="252">
        <f t="shared" si="5"/>
        <v>2.8086227409211944E-2</v>
      </c>
      <c r="S30" s="250" t="b">
        <f>F30=EPS!G29</f>
        <v>1</v>
      </c>
    </row>
    <row r="31" spans="1:19" s="250" customFormat="1" x14ac:dyDescent="0.2">
      <c r="A31" s="250" t="s">
        <v>15</v>
      </c>
      <c r="B31" s="250" t="s">
        <v>132</v>
      </c>
      <c r="C31" s="250">
        <v>18.657</v>
      </c>
      <c r="D31" s="250">
        <v>26.516999999999999</v>
      </c>
      <c r="E31" s="250">
        <v>5.976</v>
      </c>
      <c r="F31" s="250">
        <v>2.39</v>
      </c>
      <c r="G31" s="250">
        <v>44.59</v>
      </c>
      <c r="H31" s="250">
        <v>7.0279999999999996</v>
      </c>
      <c r="I31" s="250">
        <v>1.2250000000000001</v>
      </c>
      <c r="J31" s="250">
        <v>2.7469999999999999</v>
      </c>
      <c r="L31" s="251">
        <f t="shared" si="0"/>
        <v>7.4615127175368148</v>
      </c>
      <c r="M31" s="251">
        <f t="shared" si="1"/>
        <v>1.6815627710525325</v>
      </c>
      <c r="N31" s="252">
        <f t="shared" si="2"/>
        <v>4.6196779424520121E-2</v>
      </c>
      <c r="O31" s="251">
        <f t="shared" si="3"/>
        <v>0.5125523012552301</v>
      </c>
      <c r="P31" s="251">
        <f t="shared" si="4"/>
        <v>0.8503130335799659</v>
      </c>
      <c r="Q31" s="252">
        <f t="shared" si="5"/>
        <v>2.7472527472527472E-2</v>
      </c>
      <c r="S31" s="250" t="b">
        <f>F31=EPS!G30</f>
        <v>1</v>
      </c>
    </row>
    <row r="32" spans="1:19" s="250" customFormat="1" x14ac:dyDescent="0.2">
      <c r="A32" s="250" t="s">
        <v>17</v>
      </c>
      <c r="B32" s="250" t="s">
        <v>134</v>
      </c>
      <c r="C32" s="250">
        <v>10.9</v>
      </c>
      <c r="D32" s="250">
        <v>45.116999999999997</v>
      </c>
      <c r="E32" s="250">
        <v>18.724</v>
      </c>
      <c r="F32" s="250">
        <v>6.88</v>
      </c>
      <c r="G32" s="250">
        <v>75.143000000000001</v>
      </c>
      <c r="H32" s="250">
        <v>17.277999999999999</v>
      </c>
      <c r="I32" s="250">
        <v>3.42</v>
      </c>
      <c r="J32" s="250">
        <v>4.5510000000000002</v>
      </c>
      <c r="L32" s="251">
        <f t="shared" si="0"/>
        <v>4.0131916257209994</v>
      </c>
      <c r="M32" s="251">
        <f t="shared" si="1"/>
        <v>1.6655141077642575</v>
      </c>
      <c r="N32" s="252">
        <f t="shared" si="2"/>
        <v>7.580291242768801E-2</v>
      </c>
      <c r="O32" s="251">
        <f t="shared" si="3"/>
        <v>0.49709302325581395</v>
      </c>
      <c r="P32" s="251">
        <f t="shared" si="4"/>
        <v>1.0836902419261489</v>
      </c>
      <c r="Q32" s="252">
        <f t="shared" si="5"/>
        <v>4.5513221457753883E-2</v>
      </c>
      <c r="S32" s="250" t="b">
        <f>F32=EPS!G31</f>
        <v>1</v>
      </c>
    </row>
    <row r="33" spans="1:19" s="250" customFormat="1" x14ac:dyDescent="0.2">
      <c r="A33" s="250" t="s">
        <v>211</v>
      </c>
      <c r="B33" s="250" t="s">
        <v>210</v>
      </c>
      <c r="C33" s="250">
        <v>18.7</v>
      </c>
      <c r="D33" s="250">
        <v>33.802999999999997</v>
      </c>
      <c r="E33" s="250">
        <v>5.4580000000000002</v>
      </c>
      <c r="F33" s="250">
        <v>2.96</v>
      </c>
      <c r="G33" s="250">
        <v>55.326999999999998</v>
      </c>
      <c r="H33" s="250">
        <v>6.2380000000000004</v>
      </c>
      <c r="I33" s="250">
        <v>1.78</v>
      </c>
      <c r="J33" s="250">
        <v>3.2170000000000001</v>
      </c>
      <c r="L33" s="251">
        <f t="shared" si="0"/>
        <v>10.136863319897397</v>
      </c>
      <c r="M33" s="251">
        <f t="shared" si="1"/>
        <v>1.6367482176138213</v>
      </c>
      <c r="N33" s="252">
        <f t="shared" si="2"/>
        <v>5.2658048102239452E-2</v>
      </c>
      <c r="O33" s="251">
        <f t="shared" si="3"/>
        <v>0.60135135135135132</v>
      </c>
      <c r="P33" s="251">
        <f t="shared" si="4"/>
        <v>0.87495992305226034</v>
      </c>
      <c r="Q33" s="252">
        <f t="shared" si="5"/>
        <v>3.2172357077014838E-2</v>
      </c>
      <c r="S33" s="250" t="b">
        <f>F33=EPS!G32</f>
        <v>1</v>
      </c>
    </row>
    <row r="34" spans="1:19" s="250" customFormat="1" x14ac:dyDescent="0.2">
      <c r="A34" s="250" t="s">
        <v>18</v>
      </c>
      <c r="B34" s="250" t="s">
        <v>135</v>
      </c>
      <c r="C34" s="250">
        <v>12.5</v>
      </c>
      <c r="D34" s="250">
        <v>27.960999999999999</v>
      </c>
      <c r="E34" s="250">
        <v>7.0049999999999999</v>
      </c>
      <c r="F34" s="250">
        <v>1.8</v>
      </c>
      <c r="G34" s="250">
        <v>33.625999999999998</v>
      </c>
      <c r="H34" s="250">
        <v>9.2560000000000002</v>
      </c>
      <c r="I34" s="250">
        <v>1.26</v>
      </c>
      <c r="J34" s="250">
        <v>3.7469999999999999</v>
      </c>
      <c r="L34" s="251">
        <f t="shared" si="0"/>
        <v>4.8002855103497497</v>
      </c>
      <c r="M34" s="251">
        <f t="shared" si="1"/>
        <v>1.2026036264797395</v>
      </c>
      <c r="N34" s="252">
        <f t="shared" si="2"/>
        <v>4.5062765995493727E-2</v>
      </c>
      <c r="O34" s="251">
        <f t="shared" si="3"/>
        <v>0.7</v>
      </c>
      <c r="P34" s="251">
        <f t="shared" si="4"/>
        <v>0.75680639585133969</v>
      </c>
      <c r="Q34" s="252">
        <f t="shared" si="5"/>
        <v>3.7471004579789455E-2</v>
      </c>
      <c r="S34" s="250" t="b">
        <f>F34=EPS!G33</f>
        <v>1</v>
      </c>
    </row>
    <row r="35" spans="1:19" s="250" customFormat="1" x14ac:dyDescent="0.2">
      <c r="A35" s="250" t="s">
        <v>19</v>
      </c>
      <c r="B35" s="250" t="s">
        <v>136</v>
      </c>
      <c r="C35" s="250">
        <v>12.7</v>
      </c>
      <c r="D35" s="250">
        <v>14.109</v>
      </c>
      <c r="E35" s="250">
        <v>6.5309999999999997</v>
      </c>
      <c r="F35" s="250">
        <v>2.1</v>
      </c>
      <c r="G35" s="250">
        <v>33.418999999999997</v>
      </c>
      <c r="H35" s="250">
        <v>6.9340000000000002</v>
      </c>
      <c r="I35" s="250">
        <v>1.44</v>
      </c>
      <c r="J35" s="250">
        <v>4.3090000000000002</v>
      </c>
      <c r="L35" s="251">
        <f t="shared" si="0"/>
        <v>5.1169805542795892</v>
      </c>
      <c r="M35" s="251">
        <f t="shared" si="1"/>
        <v>2.3686299525125802</v>
      </c>
      <c r="N35" s="252">
        <f t="shared" si="2"/>
        <v>0.10206251328938974</v>
      </c>
      <c r="O35" s="251">
        <f t="shared" si="3"/>
        <v>0.68571428571428561</v>
      </c>
      <c r="P35" s="251">
        <f t="shared" si="4"/>
        <v>0.94188058840496103</v>
      </c>
      <c r="Q35" s="252">
        <f t="shared" si="5"/>
        <v>4.3089260600257341E-2</v>
      </c>
      <c r="S35" s="250" t="b">
        <f>F35=EPS!G34</f>
        <v>1</v>
      </c>
    </row>
    <row r="36" spans="1:19" s="250" customFormat="1" x14ac:dyDescent="0.2">
      <c r="A36" s="250" t="s">
        <v>266</v>
      </c>
      <c r="B36" s="250" t="s">
        <v>265</v>
      </c>
      <c r="C36" s="250">
        <v>21.6</v>
      </c>
      <c r="D36" s="250">
        <v>32.314999999999998</v>
      </c>
      <c r="E36" s="250">
        <v>3.9049999999999998</v>
      </c>
      <c r="F36" s="250">
        <v>1.89</v>
      </c>
      <c r="G36" s="250">
        <v>40.829000000000001</v>
      </c>
      <c r="H36" s="250">
        <v>5.133</v>
      </c>
      <c r="I36" s="250">
        <v>1.55</v>
      </c>
      <c r="J36" s="250">
        <v>3.7959999999999998</v>
      </c>
      <c r="L36" s="251">
        <f t="shared" si="0"/>
        <v>10.455569782330347</v>
      </c>
      <c r="M36" s="251">
        <f t="shared" si="1"/>
        <v>1.2634689772551448</v>
      </c>
      <c r="N36" s="252">
        <f t="shared" si="2"/>
        <v>4.796534117282996E-2</v>
      </c>
      <c r="O36" s="251">
        <f t="shared" si="3"/>
        <v>0.82010582010582023</v>
      </c>
      <c r="P36" s="251">
        <f t="shared" si="4"/>
        <v>0.76076368595363331</v>
      </c>
      <c r="Q36" s="252">
        <f t="shared" si="5"/>
        <v>3.7963212422542802E-2</v>
      </c>
      <c r="S36" s="250" t="b">
        <f>F36=EPS!G35</f>
        <v>1</v>
      </c>
    </row>
    <row r="37" spans="1:19" s="250" customFormat="1" x14ac:dyDescent="0.2">
      <c r="A37" s="250" t="s">
        <v>186</v>
      </c>
      <c r="B37" s="250" t="s">
        <v>185</v>
      </c>
      <c r="D37" s="250">
        <v>8.8360000000000003</v>
      </c>
      <c r="E37" s="250">
        <v>0.81399999999999995</v>
      </c>
      <c r="F37" s="250">
        <v>5.0999999999999997E-2</v>
      </c>
      <c r="G37" s="250">
        <v>8.6920000000000002</v>
      </c>
      <c r="H37" s="250">
        <v>0.71499999999999997</v>
      </c>
      <c r="I37" s="250">
        <v>0.3</v>
      </c>
      <c r="J37" s="250">
        <v>3.4510000000000001</v>
      </c>
      <c r="L37" s="251">
        <f t="shared" si="0"/>
        <v>10.678132678132679</v>
      </c>
      <c r="M37" s="251">
        <f t="shared" si="1"/>
        <v>0.98370303304662743</v>
      </c>
      <c r="N37" s="252">
        <f t="shared" si="2"/>
        <v>3.3952014486192846E-2</v>
      </c>
      <c r="O37" s="251">
        <f t="shared" si="3"/>
        <v>5.882352941176471</v>
      </c>
      <c r="P37" s="251">
        <f t="shared" si="4"/>
        <v>1.1384615384615384</v>
      </c>
      <c r="Q37" s="252">
        <f t="shared" si="5"/>
        <v>3.4514496088357105E-2</v>
      </c>
      <c r="S37" s="250" t="b">
        <f>F37=EPS!G36</f>
        <v>1</v>
      </c>
    </row>
    <row r="38" spans="1:19" s="250" customFormat="1" x14ac:dyDescent="0.2">
      <c r="A38" s="250" t="s">
        <v>20</v>
      </c>
      <c r="B38" s="250" t="s">
        <v>137</v>
      </c>
      <c r="C38" s="250">
        <v>17.981000000000002</v>
      </c>
      <c r="D38" s="250">
        <v>24.731000000000002</v>
      </c>
      <c r="E38" s="250">
        <v>3.355</v>
      </c>
      <c r="F38" s="250">
        <v>1.61</v>
      </c>
      <c r="G38" s="250">
        <v>28.949000000000002</v>
      </c>
      <c r="H38" s="250">
        <v>2.8610000000000002</v>
      </c>
      <c r="I38" s="250">
        <v>1.0549999999999999</v>
      </c>
      <c r="J38" s="250">
        <v>3.6440000000000001</v>
      </c>
      <c r="L38" s="251">
        <f t="shared" si="0"/>
        <v>8.628614008941879</v>
      </c>
      <c r="M38" s="251">
        <f t="shared" si="1"/>
        <v>1.170555173668675</v>
      </c>
      <c r="N38" s="252">
        <f t="shared" si="2"/>
        <v>4.2659010957907077E-2</v>
      </c>
      <c r="O38" s="251">
        <f t="shared" si="3"/>
        <v>0.65527950310559002</v>
      </c>
      <c r="P38" s="251">
        <f t="shared" si="4"/>
        <v>1.1726668996854246</v>
      </c>
      <c r="Q38" s="252">
        <f t="shared" si="5"/>
        <v>3.6443400462882997E-2</v>
      </c>
      <c r="S38" s="250" t="b">
        <f>F38=EPS!G37</f>
        <v>1</v>
      </c>
    </row>
    <row r="39" spans="1:19" s="250" customFormat="1" x14ac:dyDescent="0.2">
      <c r="A39" s="250" t="s">
        <v>21</v>
      </c>
      <c r="B39" s="250" t="s">
        <v>138</v>
      </c>
      <c r="C39" s="250">
        <v>13.6</v>
      </c>
      <c r="D39" s="250">
        <v>19.033999999999999</v>
      </c>
      <c r="E39" s="250">
        <v>4.1719999999999997</v>
      </c>
      <c r="F39" s="250">
        <v>2.29</v>
      </c>
      <c r="G39" s="250">
        <v>31.044</v>
      </c>
      <c r="H39" s="250">
        <v>3.04</v>
      </c>
      <c r="I39" s="250">
        <v>1.24</v>
      </c>
      <c r="J39" s="250">
        <v>3.9940000000000002</v>
      </c>
      <c r="L39" s="251">
        <f t="shared" si="0"/>
        <v>7.441035474592522</v>
      </c>
      <c r="M39" s="251">
        <f t="shared" si="1"/>
        <v>1.6309761479457814</v>
      </c>
      <c r="N39" s="252">
        <f t="shared" si="2"/>
        <v>6.5146579804560262E-2</v>
      </c>
      <c r="O39" s="251">
        <f t="shared" si="3"/>
        <v>0.54148471615720528</v>
      </c>
      <c r="P39" s="251">
        <f t="shared" si="4"/>
        <v>1.3723684210526315</v>
      </c>
      <c r="Q39" s="252">
        <f t="shared" si="5"/>
        <v>3.9943306274964563E-2</v>
      </c>
      <c r="S39" s="250" t="b">
        <f>F39=EPS!G38</f>
        <v>1</v>
      </c>
    </row>
    <row r="40" spans="1:19" s="250" customFormat="1" x14ac:dyDescent="0.2">
      <c r="A40" s="250" t="s">
        <v>22</v>
      </c>
      <c r="B40" s="250" t="s">
        <v>216</v>
      </c>
      <c r="C40" s="250">
        <v>19.100000000000001</v>
      </c>
      <c r="D40" s="250">
        <v>42.738999999999997</v>
      </c>
      <c r="E40" s="250">
        <v>6.8570000000000002</v>
      </c>
      <c r="F40" s="250">
        <v>3.94</v>
      </c>
      <c r="G40" s="250">
        <v>75.097999999999999</v>
      </c>
      <c r="H40" s="250">
        <v>5.8920000000000003</v>
      </c>
      <c r="I40" s="250">
        <v>2.08</v>
      </c>
      <c r="J40" s="250">
        <v>2.77</v>
      </c>
      <c r="L40" s="251">
        <f t="shared" si="0"/>
        <v>10.952019833746537</v>
      </c>
      <c r="M40" s="251">
        <f t="shared" si="1"/>
        <v>1.7571304897166524</v>
      </c>
      <c r="N40" s="252">
        <f t="shared" si="2"/>
        <v>4.8667493390112081E-2</v>
      </c>
      <c r="O40" s="251">
        <f t="shared" si="3"/>
        <v>0.52791878172588835</v>
      </c>
      <c r="P40" s="251">
        <f t="shared" si="4"/>
        <v>1.1637813985064493</v>
      </c>
      <c r="Q40" s="252">
        <f t="shared" si="5"/>
        <v>2.7697142400596553E-2</v>
      </c>
      <c r="S40" s="250" t="b">
        <f>F40=EPS!G39</f>
        <v>1</v>
      </c>
    </row>
    <row r="41" spans="1:19" s="250" customFormat="1" x14ac:dyDescent="0.2">
      <c r="A41" s="250" t="s">
        <v>25</v>
      </c>
      <c r="B41" s="250" t="s">
        <v>139</v>
      </c>
      <c r="C41" s="250">
        <v>24.9</v>
      </c>
      <c r="D41" s="250">
        <v>20.885999999999999</v>
      </c>
      <c r="E41" s="250">
        <v>3.4670000000000001</v>
      </c>
      <c r="F41" s="250">
        <v>2.1800000000000002</v>
      </c>
      <c r="G41" s="250">
        <v>54.29</v>
      </c>
      <c r="H41" s="250">
        <v>2.4129999999999998</v>
      </c>
      <c r="I41" s="250">
        <v>1.21</v>
      </c>
      <c r="J41" s="250">
        <v>2.2290000000000001</v>
      </c>
      <c r="L41" s="251">
        <f t="shared" si="0"/>
        <v>15.659071243149697</v>
      </c>
      <c r="M41" s="251">
        <f t="shared" si="1"/>
        <v>2.5993488461170164</v>
      </c>
      <c r="N41" s="252">
        <f t="shared" si="2"/>
        <v>5.7933544000766064E-2</v>
      </c>
      <c r="O41" s="251">
        <f t="shared" si="3"/>
        <v>0.55504587155963292</v>
      </c>
      <c r="P41" s="251">
        <f t="shared" si="4"/>
        <v>1.4368006630750105</v>
      </c>
      <c r="Q41" s="252">
        <f t="shared" si="5"/>
        <v>2.2287714127832012E-2</v>
      </c>
      <c r="S41" s="250" t="b">
        <f>F41=EPS!G40</f>
        <v>1</v>
      </c>
    </row>
    <row r="42" spans="1:19" s="250" customFormat="1" x14ac:dyDescent="0.2">
      <c r="A42" s="250" t="s">
        <v>188</v>
      </c>
      <c r="B42" s="250" t="s">
        <v>187</v>
      </c>
      <c r="C42" s="250">
        <v>25.6</v>
      </c>
      <c r="D42" s="250">
        <v>13.404</v>
      </c>
      <c r="E42" s="250">
        <v>2.1720000000000002</v>
      </c>
      <c r="F42" s="250">
        <v>1.38</v>
      </c>
      <c r="G42" s="250">
        <v>35.39</v>
      </c>
      <c r="H42" s="250">
        <v>2.907</v>
      </c>
      <c r="I42" s="250">
        <v>0.80800000000000005</v>
      </c>
      <c r="J42" s="250">
        <v>2.2829999999999999</v>
      </c>
      <c r="L42" s="251">
        <f t="shared" si="0"/>
        <v>16.293738489871085</v>
      </c>
      <c r="M42" s="251">
        <f t="shared" si="1"/>
        <v>2.6402566398090124</v>
      </c>
      <c r="N42" s="252">
        <f t="shared" si="2"/>
        <v>6.0280513279618031E-2</v>
      </c>
      <c r="O42" s="251">
        <f t="shared" si="3"/>
        <v>0.58550724637681173</v>
      </c>
      <c r="P42" s="251">
        <f t="shared" si="4"/>
        <v>0.74716202270381837</v>
      </c>
      <c r="Q42" s="252">
        <f t="shared" si="5"/>
        <v>2.283130827917491E-2</v>
      </c>
      <c r="S42" s="250" t="b">
        <f>F42=EPS!G41</f>
        <v>1</v>
      </c>
    </row>
    <row r="43" spans="1:19" s="250" customFormat="1" x14ac:dyDescent="0.2">
      <c r="A43" s="250" t="s">
        <v>190</v>
      </c>
      <c r="B43" s="250" t="s">
        <v>189</v>
      </c>
      <c r="C43" s="250">
        <v>21.3</v>
      </c>
      <c r="D43" s="250">
        <v>13.583</v>
      </c>
      <c r="E43" s="250">
        <v>2.4550000000000001</v>
      </c>
      <c r="F43" s="250">
        <v>1.61</v>
      </c>
      <c r="G43" s="250">
        <v>34.213000000000001</v>
      </c>
      <c r="H43" s="250">
        <v>4.1459999999999999</v>
      </c>
      <c r="I43" s="250">
        <v>0.98</v>
      </c>
      <c r="J43" s="250">
        <v>2.8639999999999999</v>
      </c>
      <c r="L43" s="251">
        <f t="shared" si="0"/>
        <v>13.936048879837067</v>
      </c>
      <c r="M43" s="251">
        <f t="shared" si="1"/>
        <v>2.5188102775528236</v>
      </c>
      <c r="N43" s="252">
        <f t="shared" si="2"/>
        <v>7.2149009791651328E-2</v>
      </c>
      <c r="O43" s="251">
        <f t="shared" si="3"/>
        <v>0.60869565217391297</v>
      </c>
      <c r="P43" s="251">
        <f t="shared" si="4"/>
        <v>0.59213699951760734</v>
      </c>
      <c r="Q43" s="252">
        <f t="shared" si="5"/>
        <v>2.8644082658638527E-2</v>
      </c>
      <c r="S43" s="250" t="b">
        <f>F43=EPS!G42</f>
        <v>1</v>
      </c>
    </row>
    <row r="44" spans="1:19" s="250" customFormat="1" x14ac:dyDescent="0.2">
      <c r="A44" s="250" t="s">
        <v>141</v>
      </c>
      <c r="B44" s="250" t="s">
        <v>140</v>
      </c>
      <c r="C44" s="250">
        <v>20.7</v>
      </c>
      <c r="D44" s="250">
        <v>52.011000000000003</v>
      </c>
      <c r="E44" s="250">
        <v>12.97</v>
      </c>
      <c r="F44" s="250">
        <v>5.78</v>
      </c>
      <c r="G44" s="250">
        <v>119.712</v>
      </c>
      <c r="H44" s="250">
        <v>20.59</v>
      </c>
      <c r="I44" s="250">
        <v>3.48</v>
      </c>
      <c r="J44" s="250">
        <v>2.907</v>
      </c>
      <c r="L44" s="251">
        <f t="shared" si="0"/>
        <v>9.229915188897456</v>
      </c>
      <c r="M44" s="251">
        <f t="shared" si="1"/>
        <v>2.3016669550671973</v>
      </c>
      <c r="N44" s="252">
        <f t="shared" si="2"/>
        <v>6.6908923112418528E-2</v>
      </c>
      <c r="O44" s="251">
        <f t="shared" si="3"/>
        <v>0.60207612456747406</v>
      </c>
      <c r="P44" s="251">
        <f t="shared" si="4"/>
        <v>0.62991743564837299</v>
      </c>
      <c r="Q44" s="252">
        <f t="shared" si="5"/>
        <v>2.9069767441860465E-2</v>
      </c>
      <c r="S44" s="250" t="b">
        <f>F44=EPS!G43</f>
        <v>0</v>
      </c>
    </row>
    <row r="45" spans="1:19" s="250" customFormat="1" x14ac:dyDescent="0.2">
      <c r="A45" s="250" t="s">
        <v>26</v>
      </c>
      <c r="B45" s="250" t="s">
        <v>142</v>
      </c>
      <c r="C45" s="250">
        <v>23.2</v>
      </c>
      <c r="D45" s="250">
        <v>12.598000000000001</v>
      </c>
      <c r="E45" s="250">
        <v>2.7080000000000002</v>
      </c>
      <c r="F45" s="250">
        <v>1</v>
      </c>
      <c r="G45" s="250">
        <v>23.183</v>
      </c>
      <c r="H45" s="250">
        <v>4.5650000000000004</v>
      </c>
      <c r="I45" s="250">
        <v>0.64</v>
      </c>
      <c r="J45" s="250">
        <v>2.7610000000000001</v>
      </c>
      <c r="L45" s="251">
        <f t="shared" si="0"/>
        <v>8.5609305760709002</v>
      </c>
      <c r="M45" s="251">
        <f t="shared" si="1"/>
        <v>1.840212732179711</v>
      </c>
      <c r="N45" s="252">
        <f t="shared" si="2"/>
        <v>5.0801714557866327E-2</v>
      </c>
      <c r="O45" s="251">
        <f t="shared" si="3"/>
        <v>0.64</v>
      </c>
      <c r="P45" s="251">
        <f t="shared" si="4"/>
        <v>0.59320920043811609</v>
      </c>
      <c r="Q45" s="252">
        <f t="shared" si="5"/>
        <v>2.7606435750334297E-2</v>
      </c>
      <c r="S45" s="250" t="b">
        <f>F45=EPS!G44</f>
        <v>1</v>
      </c>
    </row>
    <row r="46" spans="1:19" s="250" customFormat="1" x14ac:dyDescent="0.2">
      <c r="A46" s="250" t="s">
        <v>192</v>
      </c>
      <c r="B46" s="250" t="s">
        <v>191</v>
      </c>
      <c r="C46" s="250">
        <v>26.9</v>
      </c>
      <c r="D46" s="250">
        <v>29.706</v>
      </c>
      <c r="E46" s="250">
        <v>4.931</v>
      </c>
      <c r="F46" s="250">
        <v>2.12</v>
      </c>
      <c r="G46" s="250">
        <v>57.076000000000001</v>
      </c>
      <c r="H46" s="250">
        <v>4.8730000000000002</v>
      </c>
      <c r="I46" s="250">
        <v>1.87</v>
      </c>
      <c r="J46" s="250">
        <v>3.2759999999999998</v>
      </c>
      <c r="L46" s="251">
        <f t="shared" si="0"/>
        <v>11.574934090448185</v>
      </c>
      <c r="M46" s="251">
        <f t="shared" si="1"/>
        <v>1.921362687672524</v>
      </c>
      <c r="N46" s="252">
        <f t="shared" si="2"/>
        <v>6.2950245741601032E-2</v>
      </c>
      <c r="O46" s="251">
        <f t="shared" si="3"/>
        <v>0.88207547169811318</v>
      </c>
      <c r="P46" s="251">
        <f t="shared" si="4"/>
        <v>1.0119023189000615</v>
      </c>
      <c r="Q46" s="252">
        <f t="shared" si="5"/>
        <v>3.2763333099726684E-2</v>
      </c>
      <c r="S46" s="250" t="b">
        <f>F46=EPS!G45</f>
        <v>1</v>
      </c>
    </row>
    <row r="47" spans="1:19" s="250" customFormat="1" x14ac:dyDescent="0.2">
      <c r="A47" s="250" t="s">
        <v>144</v>
      </c>
      <c r="B47" s="250" t="s">
        <v>143</v>
      </c>
      <c r="C47" s="250">
        <v>17.2</v>
      </c>
      <c r="D47" s="250">
        <v>34.682000000000002</v>
      </c>
      <c r="E47" s="250">
        <v>6.7370000000000001</v>
      </c>
      <c r="F47" s="250">
        <v>3.39</v>
      </c>
      <c r="G47" s="250">
        <v>58.261000000000003</v>
      </c>
      <c r="H47" s="250">
        <v>5.9569999999999999</v>
      </c>
      <c r="I47" s="250">
        <v>2</v>
      </c>
      <c r="J47" s="250">
        <v>3.4329999999999998</v>
      </c>
      <c r="L47" s="251">
        <f t="shared" si="0"/>
        <v>8.647914502003859</v>
      </c>
      <c r="M47" s="251">
        <f t="shared" si="1"/>
        <v>1.6798627530130903</v>
      </c>
      <c r="N47" s="252">
        <f t="shared" si="2"/>
        <v>5.7666801222536181E-2</v>
      </c>
      <c r="O47" s="251">
        <f t="shared" si="3"/>
        <v>0.58997050147492625</v>
      </c>
      <c r="P47" s="251">
        <f t="shared" si="4"/>
        <v>1.130938391807957</v>
      </c>
      <c r="Q47" s="252">
        <f t="shared" si="5"/>
        <v>3.4328281354593981E-2</v>
      </c>
      <c r="S47" s="250" t="b">
        <f>F47=EPS!G46</f>
        <v>1</v>
      </c>
    </row>
    <row r="48" spans="1:19" s="250" customFormat="1" x14ac:dyDescent="0.2">
      <c r="A48" s="250" t="s">
        <v>27</v>
      </c>
      <c r="B48" s="250" t="s">
        <v>145</v>
      </c>
      <c r="C48" s="250">
        <v>17.7</v>
      </c>
      <c r="D48" s="250">
        <v>17.245000000000001</v>
      </c>
      <c r="E48" s="250">
        <v>3.3090000000000002</v>
      </c>
      <c r="F48" s="250">
        <v>1.69</v>
      </c>
      <c r="G48" s="250">
        <v>29.88</v>
      </c>
      <c r="H48" s="250">
        <v>3.3050000000000002</v>
      </c>
      <c r="I48" s="250">
        <v>1.155</v>
      </c>
      <c r="J48" s="250">
        <v>3.8650000000000002</v>
      </c>
      <c r="L48" s="251">
        <f t="shared" si="0"/>
        <v>9.0299184043517666</v>
      </c>
      <c r="M48" s="251">
        <f t="shared" si="1"/>
        <v>1.7326761380110176</v>
      </c>
      <c r="N48" s="252">
        <f t="shared" si="2"/>
        <v>6.6975935053638733E-2</v>
      </c>
      <c r="O48" s="251">
        <f t="shared" si="3"/>
        <v>0.68343195266272194</v>
      </c>
      <c r="P48" s="251">
        <f t="shared" si="4"/>
        <v>1.0012102874432678</v>
      </c>
      <c r="Q48" s="252">
        <f t="shared" si="5"/>
        <v>3.8654618473895584E-2</v>
      </c>
      <c r="S48" s="250" t="b">
        <f>F48=EPS!G47</f>
        <v>1</v>
      </c>
    </row>
    <row r="49" spans="1:19" s="250" customFormat="1" x14ac:dyDescent="0.2">
      <c r="A49" s="250" t="s">
        <v>345</v>
      </c>
      <c r="B49" s="250" t="s">
        <v>348</v>
      </c>
      <c r="C49" s="250">
        <v>22.7</v>
      </c>
      <c r="D49" s="250">
        <v>36.116999999999997</v>
      </c>
      <c r="E49" s="250">
        <v>5.431</v>
      </c>
      <c r="F49" s="250">
        <v>2.65</v>
      </c>
      <c r="G49" s="250">
        <v>60.256999999999998</v>
      </c>
      <c r="H49" s="250">
        <v>5.9119999999999999</v>
      </c>
      <c r="I49" s="250">
        <v>1.4</v>
      </c>
      <c r="J49" s="250">
        <v>2.323</v>
      </c>
      <c r="L49" s="251">
        <f t="shared" si="0"/>
        <v>11.095010127048425</v>
      </c>
      <c r="M49" s="251">
        <f t="shared" si="1"/>
        <v>1.6683833097987097</v>
      </c>
      <c r="N49" s="252">
        <f t="shared" si="2"/>
        <v>3.8762909433230887E-2</v>
      </c>
      <c r="O49" s="251">
        <f t="shared" si="3"/>
        <v>0.52830188679245282</v>
      </c>
      <c r="P49" s="251">
        <f t="shared" si="4"/>
        <v>0.91864005412719896</v>
      </c>
      <c r="Q49" s="252">
        <f t="shared" si="5"/>
        <v>2.3233815158404832E-2</v>
      </c>
      <c r="S49" s="250" t="b">
        <f>F49=EPS!G48</f>
        <v>1</v>
      </c>
    </row>
    <row r="50" spans="1:19" s="250" customFormat="1" x14ac:dyDescent="0.2">
      <c r="A50" s="250" t="s">
        <v>28</v>
      </c>
      <c r="B50" s="250" t="s">
        <v>146</v>
      </c>
      <c r="C50" s="250">
        <v>20.2</v>
      </c>
      <c r="D50" s="250">
        <v>17.03</v>
      </c>
      <c r="E50" s="250">
        <v>3.4430000000000001</v>
      </c>
      <c r="F50" s="250">
        <v>1.6</v>
      </c>
      <c r="G50" s="250">
        <v>32.308999999999997</v>
      </c>
      <c r="H50" s="250">
        <v>4.0979999999999999</v>
      </c>
      <c r="I50" s="250">
        <v>1.25</v>
      </c>
      <c r="J50" s="250">
        <v>3.8690000000000002</v>
      </c>
      <c r="L50" s="251">
        <f t="shared" si="0"/>
        <v>9.3839674702294502</v>
      </c>
      <c r="M50" s="251">
        <f t="shared" si="1"/>
        <v>1.8971814445096886</v>
      </c>
      <c r="N50" s="252">
        <f t="shared" si="2"/>
        <v>7.3399882560187896E-2</v>
      </c>
      <c r="O50" s="251">
        <f t="shared" si="3"/>
        <v>0.78125</v>
      </c>
      <c r="P50" s="251">
        <f t="shared" si="4"/>
        <v>0.84016593460224509</v>
      </c>
      <c r="Q50" s="252">
        <f t="shared" si="5"/>
        <v>3.8688910210777187E-2</v>
      </c>
      <c r="S50" s="250" t="b">
        <f>F50=EPS!G49</f>
        <v>1</v>
      </c>
    </row>
    <row r="51" spans="1:19" s="250" customFormat="1" x14ac:dyDescent="0.2">
      <c r="A51" s="250" t="s">
        <v>30</v>
      </c>
      <c r="B51" s="250" t="s">
        <v>147</v>
      </c>
      <c r="C51" s="250">
        <v>21.126999999999999</v>
      </c>
      <c r="D51" s="250">
        <v>35.392000000000003</v>
      </c>
      <c r="E51" s="250">
        <v>8.2309999999999999</v>
      </c>
      <c r="F51" s="250">
        <v>2.83</v>
      </c>
      <c r="G51" s="250">
        <v>59.787999999999997</v>
      </c>
      <c r="H51" s="250">
        <v>11.263</v>
      </c>
      <c r="I51" s="250">
        <v>1.925</v>
      </c>
      <c r="J51" s="250">
        <v>3.22</v>
      </c>
      <c r="L51" s="251">
        <f t="shared" si="0"/>
        <v>7.2637589600291577</v>
      </c>
      <c r="M51" s="251">
        <f t="shared" si="1"/>
        <v>1.6893083182640143</v>
      </c>
      <c r="N51" s="252">
        <f t="shared" si="2"/>
        <v>5.4390822784810125E-2</v>
      </c>
      <c r="O51" s="251">
        <f t="shared" si="3"/>
        <v>0.68021201413427557</v>
      </c>
      <c r="P51" s="251">
        <f t="shared" si="4"/>
        <v>0.73079996448548346</v>
      </c>
      <c r="Q51" s="252">
        <f t="shared" si="5"/>
        <v>3.2197096407305816E-2</v>
      </c>
      <c r="S51" s="250" t="b">
        <f>F51=EPS!G50</f>
        <v>1</v>
      </c>
    </row>
    <row r="52" spans="1:19" s="250" customFormat="1" x14ac:dyDescent="0.2">
      <c r="A52" s="250" t="s">
        <v>31</v>
      </c>
      <c r="B52" s="250" t="s">
        <v>148</v>
      </c>
      <c r="C52" s="250">
        <v>18.7</v>
      </c>
      <c r="D52" s="250">
        <v>43.145000000000003</v>
      </c>
      <c r="E52" s="250">
        <v>9.3879999999999999</v>
      </c>
      <c r="F52" s="250">
        <v>3.95</v>
      </c>
      <c r="G52" s="250">
        <v>74.034999999999997</v>
      </c>
      <c r="H52" s="250">
        <v>11.635</v>
      </c>
      <c r="I52" s="250">
        <v>2.56</v>
      </c>
      <c r="J52" s="250">
        <v>3.4580000000000002</v>
      </c>
      <c r="L52" s="251">
        <f t="shared" si="0"/>
        <v>7.8861312313591814</v>
      </c>
      <c r="M52" s="251">
        <f t="shared" si="1"/>
        <v>1.7159578166647349</v>
      </c>
      <c r="N52" s="252">
        <f t="shared" si="2"/>
        <v>5.9334801251593461E-2</v>
      </c>
      <c r="O52" s="251">
        <f t="shared" si="3"/>
        <v>0.64810126582278482</v>
      </c>
      <c r="P52" s="251">
        <f t="shared" si="4"/>
        <v>0.80687580575848727</v>
      </c>
      <c r="Q52" s="252">
        <f t="shared" si="5"/>
        <v>3.4578240021611403E-2</v>
      </c>
      <c r="S52" s="250" t="b">
        <f>F52=EPS!G51</f>
        <v>1</v>
      </c>
    </row>
    <row r="53" spans="1:19" s="250" customFormat="1" x14ac:dyDescent="0.2">
      <c r="A53" s="250" t="s">
        <v>32</v>
      </c>
      <c r="B53" s="250" t="s">
        <v>149</v>
      </c>
      <c r="C53" s="250">
        <v>22.4</v>
      </c>
      <c r="D53" s="250">
        <v>21.04</v>
      </c>
      <c r="E53" s="250">
        <v>4.2809999999999997</v>
      </c>
      <c r="F53" s="250">
        <v>1.65</v>
      </c>
      <c r="G53" s="250">
        <v>32.722000000000001</v>
      </c>
      <c r="H53" s="250">
        <v>7.5339999999999998</v>
      </c>
      <c r="I53" s="250">
        <v>0.88</v>
      </c>
      <c r="J53" s="250">
        <v>2.6890000000000001</v>
      </c>
      <c r="L53" s="251">
        <f t="shared" si="0"/>
        <v>7.6435412286848878</v>
      </c>
      <c r="M53" s="251">
        <f t="shared" si="1"/>
        <v>1.5552281368821295</v>
      </c>
      <c r="N53" s="252">
        <f t="shared" si="2"/>
        <v>4.1825095057034224E-2</v>
      </c>
      <c r="O53" s="251">
        <f t="shared" si="3"/>
        <v>0.53333333333333333</v>
      </c>
      <c r="P53" s="251">
        <f t="shared" si="4"/>
        <v>0.5682240509689408</v>
      </c>
      <c r="Q53" s="252">
        <f t="shared" si="5"/>
        <v>2.6893221685716031E-2</v>
      </c>
      <c r="S53" s="250" t="b">
        <f>F53=EPS!G52</f>
        <v>1</v>
      </c>
    </row>
    <row r="54" spans="1:19" s="250" customFormat="1" x14ac:dyDescent="0.2">
      <c r="A54" s="250" t="s">
        <v>33</v>
      </c>
      <c r="B54" s="250" t="s">
        <v>150</v>
      </c>
      <c r="C54" s="250">
        <v>19.100000000000001</v>
      </c>
      <c r="D54" s="250">
        <v>26.353000000000002</v>
      </c>
      <c r="E54" s="250">
        <v>5.7789999999999999</v>
      </c>
      <c r="F54" s="250">
        <v>2.16</v>
      </c>
      <c r="G54" s="250">
        <v>41.164999999999999</v>
      </c>
      <c r="H54" s="250">
        <v>6.5659999999999998</v>
      </c>
      <c r="I54" s="250">
        <v>1.26</v>
      </c>
      <c r="J54" s="250">
        <v>3.0609999999999999</v>
      </c>
      <c r="L54" s="251">
        <f t="shared" si="0"/>
        <v>7.1232047066966606</v>
      </c>
      <c r="M54" s="251">
        <f t="shared" si="1"/>
        <v>1.5620612453990057</v>
      </c>
      <c r="N54" s="252">
        <f t="shared" si="2"/>
        <v>4.7812393275907861E-2</v>
      </c>
      <c r="O54" s="251">
        <f t="shared" si="3"/>
        <v>0.58333333333333326</v>
      </c>
      <c r="P54" s="251">
        <f t="shared" si="4"/>
        <v>0.88014011574779172</v>
      </c>
      <c r="Q54" s="252">
        <f t="shared" si="5"/>
        <v>3.0608526660998423E-2</v>
      </c>
      <c r="S54" s="250" t="b">
        <f>F54=EPS!G53</f>
        <v>1</v>
      </c>
    </row>
    <row r="55" spans="1:19" s="250" customFormat="1" x14ac:dyDescent="0.2">
      <c r="A55" s="250" t="s">
        <v>34</v>
      </c>
      <c r="B55" s="250" t="s">
        <v>151</v>
      </c>
      <c r="C55" s="250">
        <v>12.8</v>
      </c>
      <c r="D55" s="250">
        <v>14.563000000000001</v>
      </c>
      <c r="E55" s="250">
        <v>4.2779999999999996</v>
      </c>
      <c r="F55" s="250">
        <v>2.79</v>
      </c>
      <c r="G55" s="250">
        <v>35.793999999999997</v>
      </c>
      <c r="H55" s="250">
        <v>4.2960000000000003</v>
      </c>
      <c r="I55" s="250">
        <v>1.52</v>
      </c>
      <c r="J55" s="250">
        <v>4.2469999999999999</v>
      </c>
      <c r="L55" s="251">
        <f t="shared" si="0"/>
        <v>8.3669939223936414</v>
      </c>
      <c r="M55" s="251">
        <f t="shared" si="1"/>
        <v>2.457872691066401</v>
      </c>
      <c r="N55" s="252">
        <f t="shared" si="2"/>
        <v>0.10437409874339078</v>
      </c>
      <c r="O55" s="251">
        <f t="shared" si="3"/>
        <v>0.54480286738351258</v>
      </c>
      <c r="P55" s="251">
        <f t="shared" si="4"/>
        <v>0.99581005586592164</v>
      </c>
      <c r="Q55" s="252">
        <f t="shared" si="5"/>
        <v>4.2465217634240382E-2</v>
      </c>
      <c r="S55" s="250" t="b">
        <f>F55=EPS!G54</f>
        <v>1</v>
      </c>
    </row>
    <row r="56" spans="1:19" s="250" customFormat="1" x14ac:dyDescent="0.2">
      <c r="A56" s="250" t="s">
        <v>35</v>
      </c>
      <c r="B56" s="250" t="s">
        <v>152</v>
      </c>
      <c r="C56" s="250">
        <v>15.3</v>
      </c>
      <c r="D56" s="250">
        <v>26.007000000000001</v>
      </c>
      <c r="E56" s="250">
        <v>5.0709999999999997</v>
      </c>
      <c r="F56" s="250">
        <v>2.83</v>
      </c>
      <c r="G56" s="250">
        <v>43.433</v>
      </c>
      <c r="H56" s="250">
        <v>8.3170000000000002</v>
      </c>
      <c r="I56" s="250">
        <v>1.64</v>
      </c>
      <c r="J56" s="250">
        <v>3.7759999999999998</v>
      </c>
      <c r="L56" s="251">
        <f t="shared" si="0"/>
        <v>8.5649773220272145</v>
      </c>
      <c r="M56" s="251">
        <f t="shared" si="1"/>
        <v>1.6700503710539469</v>
      </c>
      <c r="N56" s="252">
        <f t="shared" si="2"/>
        <v>6.3059945399315559E-2</v>
      </c>
      <c r="O56" s="251">
        <f t="shared" si="3"/>
        <v>0.57950530035335679</v>
      </c>
      <c r="P56" s="251">
        <f t="shared" si="4"/>
        <v>0.60971504148130329</v>
      </c>
      <c r="Q56" s="252">
        <f t="shared" si="5"/>
        <v>3.7759307439044043E-2</v>
      </c>
      <c r="S56" s="250" t="b">
        <f>F56=EPS!G55</f>
        <v>1</v>
      </c>
    </row>
    <row r="57" spans="1:19" s="250" customFormat="1" x14ac:dyDescent="0.2">
      <c r="A57" s="250" t="s">
        <v>194</v>
      </c>
      <c r="B57" s="250" t="s">
        <v>193</v>
      </c>
      <c r="C57" s="250">
        <v>18.413</v>
      </c>
      <c r="D57" s="250">
        <v>7.7510000000000003</v>
      </c>
      <c r="E57" s="250">
        <v>1.6040000000000001</v>
      </c>
      <c r="F57" s="250">
        <v>0.81299999999999994</v>
      </c>
      <c r="G57" s="250">
        <v>14.97</v>
      </c>
      <c r="H57" s="250">
        <v>2.4990000000000001</v>
      </c>
      <c r="I57" s="250">
        <v>0.54</v>
      </c>
      <c r="J57" s="250">
        <v>3.6070000000000002</v>
      </c>
      <c r="L57" s="251">
        <f t="shared" si="0"/>
        <v>9.3329177057356603</v>
      </c>
      <c r="M57" s="251">
        <f t="shared" si="1"/>
        <v>1.9313636950070958</v>
      </c>
      <c r="N57" s="252">
        <f t="shared" si="2"/>
        <v>6.9668429880015481E-2</v>
      </c>
      <c r="O57" s="251">
        <f t="shared" si="3"/>
        <v>0.66420664206642077</v>
      </c>
      <c r="P57" s="251">
        <f t="shared" si="4"/>
        <v>0.64185674269707882</v>
      </c>
      <c r="Q57" s="252">
        <f t="shared" si="5"/>
        <v>3.6072144288577156E-2</v>
      </c>
      <c r="S57" s="250" t="b">
        <f>F57=EPS!G56</f>
        <v>1</v>
      </c>
    </row>
    <row r="58" spans="1:19" s="250" customFormat="1" x14ac:dyDescent="0.2">
      <c r="A58" s="250" t="s">
        <v>36</v>
      </c>
      <c r="B58" s="250" t="s">
        <v>153</v>
      </c>
      <c r="C58" s="250">
        <v>16.795999999999999</v>
      </c>
      <c r="D58" s="250">
        <v>40.063000000000002</v>
      </c>
      <c r="E58" s="250">
        <v>7.2850000000000001</v>
      </c>
      <c r="F58" s="250">
        <v>4.16</v>
      </c>
      <c r="G58" s="250">
        <v>69.870999999999995</v>
      </c>
      <c r="H58" s="250">
        <v>11.05</v>
      </c>
      <c r="I58" s="250">
        <v>2.2999999999999998</v>
      </c>
      <c r="J58" s="250">
        <v>3.2919999999999998</v>
      </c>
      <c r="L58" s="251">
        <f t="shared" si="0"/>
        <v>9.5910775566231976</v>
      </c>
      <c r="M58" s="251">
        <f t="shared" si="1"/>
        <v>1.7440281556548434</v>
      </c>
      <c r="N58" s="252">
        <f t="shared" si="2"/>
        <v>5.7409579911639162E-2</v>
      </c>
      <c r="O58" s="251">
        <f t="shared" si="3"/>
        <v>0.55288461538461531</v>
      </c>
      <c r="P58" s="251">
        <f t="shared" si="4"/>
        <v>0.6592760180995475</v>
      </c>
      <c r="Q58" s="252">
        <f t="shared" si="5"/>
        <v>3.2917805670449829E-2</v>
      </c>
      <c r="S58" s="250" t="b">
        <f>F58=EPS!G57</f>
        <v>1</v>
      </c>
    </row>
    <row r="59" spans="1:19" s="250" customFormat="1" x14ac:dyDescent="0.2">
      <c r="A59" s="250" t="s">
        <v>37</v>
      </c>
      <c r="B59" s="250" t="s">
        <v>154</v>
      </c>
      <c r="C59" s="250">
        <v>24.4</v>
      </c>
      <c r="D59" s="250">
        <v>51.771999999999998</v>
      </c>
      <c r="E59" s="250">
        <v>9.4979999999999993</v>
      </c>
      <c r="F59" s="250">
        <v>4.24</v>
      </c>
      <c r="G59" s="250">
        <v>103.34</v>
      </c>
      <c r="H59" s="250">
        <v>16.846</v>
      </c>
      <c r="I59" s="250">
        <v>3.02</v>
      </c>
      <c r="J59" s="250">
        <v>2.9220000000000002</v>
      </c>
      <c r="L59" s="251">
        <f t="shared" si="0"/>
        <v>10.880185302168879</v>
      </c>
      <c r="M59" s="251">
        <f t="shared" si="1"/>
        <v>1.9960596461407711</v>
      </c>
      <c r="N59" s="252">
        <f t="shared" si="2"/>
        <v>5.8332689484663525E-2</v>
      </c>
      <c r="O59" s="251">
        <f t="shared" si="3"/>
        <v>0.71226415094339623</v>
      </c>
      <c r="P59" s="251">
        <f t="shared" si="4"/>
        <v>0.56381336815861327</v>
      </c>
      <c r="Q59" s="252">
        <f t="shared" si="5"/>
        <v>2.9223921037352427E-2</v>
      </c>
      <c r="S59" s="250" t="b">
        <f>F59=EPS!G58</f>
        <v>1</v>
      </c>
    </row>
    <row r="60" spans="1:19" s="250" customFormat="1" x14ac:dyDescent="0.2">
      <c r="A60" s="250" t="s">
        <v>196</v>
      </c>
      <c r="B60" s="250" t="s">
        <v>195</v>
      </c>
      <c r="C60" s="250">
        <v>15.7</v>
      </c>
      <c r="D60" s="250">
        <v>20.611999999999998</v>
      </c>
      <c r="E60" s="250">
        <v>4.7649999999999997</v>
      </c>
      <c r="F60" s="250">
        <v>2.57</v>
      </c>
      <c r="G60" s="250">
        <v>40.286999999999999</v>
      </c>
      <c r="H60" s="250">
        <v>6.952</v>
      </c>
      <c r="I60" s="250">
        <v>0.81</v>
      </c>
      <c r="J60" s="250">
        <v>2.0110000000000001</v>
      </c>
      <c r="L60" s="251">
        <f t="shared" si="0"/>
        <v>8.4547743966421827</v>
      </c>
      <c r="M60" s="251">
        <f t="shared" si="1"/>
        <v>1.9545410440520086</v>
      </c>
      <c r="N60" s="252">
        <f t="shared" si="2"/>
        <v>3.9297496603920054E-2</v>
      </c>
      <c r="O60" s="251">
        <f t="shared" si="3"/>
        <v>0.31517509727626464</v>
      </c>
      <c r="P60" s="251">
        <f t="shared" si="4"/>
        <v>0.68541426927502869</v>
      </c>
      <c r="Q60" s="252">
        <f t="shared" si="5"/>
        <v>2.0105741306128529E-2</v>
      </c>
      <c r="S60" s="250" t="b">
        <f>F60=EPS!G59</f>
        <v>1</v>
      </c>
    </row>
    <row r="61" spans="1:19" s="250" customFormat="1" x14ac:dyDescent="0.2">
      <c r="A61" s="250" t="s">
        <v>198</v>
      </c>
      <c r="B61" s="250" t="s">
        <v>197</v>
      </c>
      <c r="C61" s="250">
        <v>21.7</v>
      </c>
      <c r="D61" s="250">
        <v>16.221</v>
      </c>
      <c r="E61" s="250">
        <v>2.6749999999999998</v>
      </c>
      <c r="F61" s="250">
        <v>1.34</v>
      </c>
      <c r="G61" s="250">
        <v>29.097000000000001</v>
      </c>
      <c r="H61" s="250">
        <v>3.4980000000000002</v>
      </c>
      <c r="I61" s="250">
        <v>1.06</v>
      </c>
      <c r="J61" s="250">
        <v>3.6429999999999998</v>
      </c>
      <c r="L61" s="251">
        <f t="shared" si="0"/>
        <v>10.877383177570096</v>
      </c>
      <c r="M61" s="251">
        <f t="shared" si="1"/>
        <v>1.7937858331792123</v>
      </c>
      <c r="N61" s="252">
        <f t="shared" si="2"/>
        <v>6.534738918685655E-2</v>
      </c>
      <c r="O61" s="251">
        <f t="shared" si="3"/>
        <v>0.79104477611940294</v>
      </c>
      <c r="P61" s="251">
        <f t="shared" si="4"/>
        <v>0.76472269868496279</v>
      </c>
      <c r="Q61" s="252">
        <f t="shared" si="5"/>
        <v>3.6429872495446269E-2</v>
      </c>
      <c r="S61" s="250" t="b">
        <f>F61=EPS!G60</f>
        <v>1</v>
      </c>
    </row>
    <row r="62" spans="1:19" s="250" customFormat="1" x14ac:dyDescent="0.2">
      <c r="A62" s="250" t="s">
        <v>38</v>
      </c>
      <c r="B62" s="250" t="s">
        <v>155</v>
      </c>
      <c r="C62" s="250">
        <v>17.8</v>
      </c>
      <c r="D62" s="250">
        <v>24.998000000000001</v>
      </c>
      <c r="E62" s="250">
        <v>5.69</v>
      </c>
      <c r="F62" s="250">
        <v>2.83</v>
      </c>
      <c r="G62" s="250">
        <v>50.256</v>
      </c>
      <c r="H62" s="250">
        <v>7.3810000000000002</v>
      </c>
      <c r="I62" s="250">
        <v>2.2229999999999999</v>
      </c>
      <c r="J62" s="250">
        <v>4.423</v>
      </c>
      <c r="L62" s="251">
        <f t="shared" si="0"/>
        <v>8.832337434094903</v>
      </c>
      <c r="M62" s="251">
        <f t="shared" si="1"/>
        <v>2.0104008320665652</v>
      </c>
      <c r="N62" s="252">
        <f t="shared" si="2"/>
        <v>8.8927114169133528E-2</v>
      </c>
      <c r="O62" s="251">
        <f t="shared" si="3"/>
        <v>0.78551236749116604</v>
      </c>
      <c r="P62" s="251">
        <f t="shared" si="4"/>
        <v>0.77089825226934028</v>
      </c>
      <c r="Q62" s="252">
        <f t="shared" si="5"/>
        <v>4.4233524355300854E-2</v>
      </c>
      <c r="S62" s="250" t="b">
        <f>F62=EPS!G61</f>
        <v>1</v>
      </c>
    </row>
    <row r="63" spans="1:19" s="250" customFormat="1" x14ac:dyDescent="0.2">
      <c r="A63" s="250" t="s">
        <v>200</v>
      </c>
      <c r="B63" s="250" t="s">
        <v>199</v>
      </c>
      <c r="C63" s="250">
        <v>21.6</v>
      </c>
      <c r="D63" s="250">
        <v>35.033999999999999</v>
      </c>
      <c r="E63" s="250">
        <v>9.2910000000000004</v>
      </c>
      <c r="F63" s="250">
        <v>3.18</v>
      </c>
      <c r="G63" s="250">
        <v>68.823999999999998</v>
      </c>
      <c r="H63" s="250">
        <v>11.151999999999999</v>
      </c>
      <c r="I63" s="250">
        <v>1.8</v>
      </c>
      <c r="J63" s="250">
        <v>2.6150000000000002</v>
      </c>
      <c r="L63" s="251">
        <f t="shared" si="0"/>
        <v>7.4075987514799264</v>
      </c>
      <c r="M63" s="251">
        <f t="shared" si="1"/>
        <v>1.9644916366957812</v>
      </c>
      <c r="N63" s="252">
        <f t="shared" si="2"/>
        <v>5.1378660729576982E-2</v>
      </c>
      <c r="O63" s="251">
        <f t="shared" si="3"/>
        <v>0.56603773584905659</v>
      </c>
      <c r="P63" s="251">
        <f t="shared" si="4"/>
        <v>0.83312410329985664</v>
      </c>
      <c r="Q63" s="252">
        <f t="shared" si="5"/>
        <v>2.6153667325351623E-2</v>
      </c>
      <c r="S63" s="250" t="b">
        <f>F63=EPS!G62</f>
        <v>1</v>
      </c>
    </row>
    <row r="64" spans="1:19" s="250" customFormat="1" x14ac:dyDescent="0.2">
      <c r="A64" s="250" t="s">
        <v>244</v>
      </c>
      <c r="B64" s="250" t="s">
        <v>243</v>
      </c>
      <c r="C64" s="250">
        <v>19.600000000000001</v>
      </c>
      <c r="D64" s="250">
        <v>38.732999999999997</v>
      </c>
      <c r="E64" s="250">
        <v>6.1580000000000004</v>
      </c>
      <c r="F64" s="250">
        <v>3.24</v>
      </c>
      <c r="G64" s="250">
        <v>63.55</v>
      </c>
      <c r="H64" s="250">
        <v>6.4249999999999998</v>
      </c>
      <c r="I64" s="250">
        <v>1.96</v>
      </c>
      <c r="J64" s="250">
        <v>3.0840000000000001</v>
      </c>
      <c r="L64" s="251">
        <f t="shared" si="0"/>
        <v>10.319909061383566</v>
      </c>
      <c r="M64" s="251">
        <f t="shared" si="1"/>
        <v>1.6407197996540419</v>
      </c>
      <c r="N64" s="252">
        <f t="shared" si="2"/>
        <v>5.0602845119149052E-2</v>
      </c>
      <c r="O64" s="251">
        <f t="shared" si="3"/>
        <v>0.60493827160493818</v>
      </c>
      <c r="P64" s="251">
        <f t="shared" si="4"/>
        <v>0.95844357976653705</v>
      </c>
      <c r="Q64" s="252">
        <f t="shared" si="5"/>
        <v>3.0841856805664831E-2</v>
      </c>
      <c r="S64" s="250" t="b">
        <f>F64=EPS!G63</f>
        <v>1</v>
      </c>
    </row>
    <row r="65" spans="1:19" s="250" customFormat="1" x14ac:dyDescent="0.2">
      <c r="A65" s="250" t="s">
        <v>202</v>
      </c>
      <c r="B65" s="250" t="s">
        <v>201</v>
      </c>
      <c r="C65" s="250">
        <v>11.840999999999999</v>
      </c>
      <c r="D65" s="250">
        <v>5.3630000000000004</v>
      </c>
      <c r="E65" s="250">
        <v>1.2709999999999999</v>
      </c>
      <c r="F65" s="250">
        <v>0.7</v>
      </c>
      <c r="G65" s="250">
        <v>8.2889999999999997</v>
      </c>
      <c r="H65" s="250">
        <v>0.18</v>
      </c>
      <c r="I65" s="250">
        <v>0.39500000000000002</v>
      </c>
      <c r="J65" s="250">
        <v>4.7649999999999997</v>
      </c>
      <c r="L65" s="251">
        <f t="shared" si="0"/>
        <v>6.5216365066876474</v>
      </c>
      <c r="M65" s="251">
        <f t="shared" si="1"/>
        <v>1.5455901547641244</v>
      </c>
      <c r="N65" s="252">
        <f t="shared" si="2"/>
        <v>7.3652806265150098E-2</v>
      </c>
      <c r="O65" s="251">
        <f t="shared" si="3"/>
        <v>0.56428571428571439</v>
      </c>
      <c r="P65" s="251">
        <f t="shared" si="4"/>
        <v>7.0611111111111109</v>
      </c>
      <c r="Q65" s="252">
        <f t="shared" si="5"/>
        <v>4.7653516708891307E-2</v>
      </c>
      <c r="S65" s="250" t="b">
        <f>F65=EPS!G64</f>
        <v>1</v>
      </c>
    </row>
    <row r="66" spans="1:19" s="250" customFormat="1" x14ac:dyDescent="0.2">
      <c r="A66" s="250" t="s">
        <v>204</v>
      </c>
      <c r="B66" s="250" t="s">
        <v>203</v>
      </c>
      <c r="C66" s="250">
        <v>19.3</v>
      </c>
      <c r="D66" s="250">
        <v>16.465</v>
      </c>
      <c r="E66" s="250">
        <v>4.3940000000000001</v>
      </c>
      <c r="F66" s="250">
        <v>2.0499999999999998</v>
      </c>
      <c r="G66" s="250">
        <v>39.622999999999998</v>
      </c>
      <c r="H66" s="250">
        <v>3.2559999999999998</v>
      </c>
      <c r="I66" s="250">
        <v>0.93</v>
      </c>
      <c r="J66" s="250">
        <v>2.347</v>
      </c>
      <c r="L66" s="251">
        <f t="shared" si="0"/>
        <v>9.0175238962221211</v>
      </c>
      <c r="M66" s="251">
        <f t="shared" si="1"/>
        <v>2.4064986334649254</v>
      </c>
      <c r="N66" s="252">
        <f t="shared" si="2"/>
        <v>5.6483449741876711E-2</v>
      </c>
      <c r="O66" s="251">
        <f t="shared" si="3"/>
        <v>0.45365853658536592</v>
      </c>
      <c r="P66" s="251">
        <f t="shared" si="4"/>
        <v>1.3495085995085996</v>
      </c>
      <c r="Q66" s="252">
        <f t="shared" si="5"/>
        <v>2.3471216212805696E-2</v>
      </c>
      <c r="S66" s="250" t="b">
        <f>F66=EPS!G65</f>
        <v>1</v>
      </c>
    </row>
    <row r="67" spans="1:19" s="250" customFormat="1" x14ac:dyDescent="0.2">
      <c r="A67" s="250" t="s">
        <v>83</v>
      </c>
      <c r="B67" s="250" t="s">
        <v>159</v>
      </c>
      <c r="C67" s="250">
        <v>20.963999999999999</v>
      </c>
      <c r="D67" s="250">
        <v>20.824999999999999</v>
      </c>
      <c r="E67" s="250">
        <v>5.24</v>
      </c>
      <c r="F67" s="250">
        <v>1.94</v>
      </c>
      <c r="G67" s="250">
        <v>40.67</v>
      </c>
      <c r="H67" s="250">
        <v>6.9749999999999996</v>
      </c>
      <c r="I67" s="250">
        <v>1.42</v>
      </c>
      <c r="J67" s="250">
        <v>3.492</v>
      </c>
      <c r="L67" s="251">
        <f t="shared" si="0"/>
        <v>7.7614503816793894</v>
      </c>
      <c r="M67" s="251">
        <f t="shared" si="1"/>
        <v>1.9529411764705884</v>
      </c>
      <c r="N67" s="252">
        <f t="shared" si="2"/>
        <v>6.8187274909963985E-2</v>
      </c>
      <c r="O67" s="251">
        <f t="shared" si="3"/>
        <v>0.73195876288659789</v>
      </c>
      <c r="P67" s="251">
        <f t="shared" si="4"/>
        <v>0.75125448028673847</v>
      </c>
      <c r="Q67" s="252">
        <f t="shared" si="5"/>
        <v>3.4915170887632158E-2</v>
      </c>
      <c r="S67" s="250" t="b">
        <f>F67=EPS!G66</f>
        <v>1</v>
      </c>
    </row>
    <row r="68" spans="1:19" s="250" customFormat="1" x14ac:dyDescent="0.2">
      <c r="A68" s="250" t="s">
        <v>42</v>
      </c>
      <c r="B68" s="250" t="s">
        <v>156</v>
      </c>
      <c r="C68" s="250">
        <v>19.178000000000001</v>
      </c>
      <c r="D68" s="250">
        <v>21.327999999999999</v>
      </c>
      <c r="E68" s="250">
        <v>5.6890000000000001</v>
      </c>
      <c r="F68" s="250">
        <v>2.5499999999999998</v>
      </c>
      <c r="G68" s="250">
        <v>48.904000000000003</v>
      </c>
      <c r="H68" s="250">
        <v>6.5380000000000003</v>
      </c>
      <c r="I68" s="250">
        <v>1.62</v>
      </c>
      <c r="J68" s="250">
        <v>3.3130000000000002</v>
      </c>
      <c r="L68" s="251">
        <f t="shared" si="0"/>
        <v>8.5962383547196346</v>
      </c>
      <c r="M68" s="251">
        <f t="shared" si="1"/>
        <v>2.2929482370592651</v>
      </c>
      <c r="N68" s="252">
        <f t="shared" si="2"/>
        <v>7.5956489122280577E-2</v>
      </c>
      <c r="O68" s="251">
        <f t="shared" si="3"/>
        <v>0.6352941176470589</v>
      </c>
      <c r="P68" s="251">
        <f t="shared" si="4"/>
        <v>0.87014377485469563</v>
      </c>
      <c r="Q68" s="252">
        <f t="shared" si="5"/>
        <v>3.3126124652380171E-2</v>
      </c>
      <c r="S68" s="250" t="b">
        <f>F68=EPS!G67</f>
        <v>1</v>
      </c>
    </row>
    <row r="69" spans="1:19" s="250" customFormat="1" x14ac:dyDescent="0.2">
      <c r="A69" s="250" t="s">
        <v>44</v>
      </c>
      <c r="B69" s="250" t="s">
        <v>217</v>
      </c>
      <c r="C69" s="250">
        <v>19.899999999999999</v>
      </c>
      <c r="D69" s="250">
        <v>28.292999999999999</v>
      </c>
      <c r="E69" s="250">
        <v>5.391</v>
      </c>
      <c r="F69" s="250">
        <v>2.96</v>
      </c>
      <c r="G69" s="250">
        <v>59.042000000000002</v>
      </c>
      <c r="H69" s="250">
        <v>4.5110000000000001</v>
      </c>
      <c r="I69" s="250">
        <v>1.98</v>
      </c>
      <c r="J69" s="250">
        <v>3.3540000000000001</v>
      </c>
      <c r="L69" s="251">
        <f t="shared" si="0"/>
        <v>10.951956965312558</v>
      </c>
      <c r="M69" s="251">
        <f t="shared" si="1"/>
        <v>2.0868059237267169</v>
      </c>
      <c r="N69" s="252">
        <f t="shared" si="2"/>
        <v>6.9981974339942743E-2</v>
      </c>
      <c r="O69" s="251">
        <f t="shared" si="3"/>
        <v>0.66891891891891897</v>
      </c>
      <c r="P69" s="251">
        <f t="shared" si="4"/>
        <v>1.1950786965196187</v>
      </c>
      <c r="Q69" s="252">
        <f t="shared" si="5"/>
        <v>3.3535449341146981E-2</v>
      </c>
      <c r="S69" s="250" t="b">
        <f>F69=EPS!G68</f>
        <v>1</v>
      </c>
    </row>
    <row r="70" spans="1:19" s="250" customFormat="1" x14ac:dyDescent="0.2">
      <c r="A70" s="250" t="s">
        <v>43</v>
      </c>
      <c r="B70" s="250" t="s">
        <v>157</v>
      </c>
      <c r="C70" s="250">
        <v>21.585999999999999</v>
      </c>
      <c r="D70" s="250">
        <v>26.841000000000001</v>
      </c>
      <c r="E70" s="250">
        <v>4.8319999999999999</v>
      </c>
      <c r="F70" s="250">
        <v>2.4300000000000002</v>
      </c>
      <c r="G70" s="250">
        <v>52.454000000000001</v>
      </c>
      <c r="H70" s="250">
        <v>7.6660000000000004</v>
      </c>
      <c r="I70" s="250">
        <v>1.52</v>
      </c>
      <c r="J70" s="250">
        <v>2.8980000000000001</v>
      </c>
      <c r="L70" s="251">
        <f t="shared" si="0"/>
        <v>10.855546357615895</v>
      </c>
      <c r="M70" s="251">
        <f t="shared" si="1"/>
        <v>1.9542490965314256</v>
      </c>
      <c r="N70" s="252">
        <f t="shared" si="2"/>
        <v>5.662978279497783E-2</v>
      </c>
      <c r="O70" s="251">
        <f t="shared" si="3"/>
        <v>0.625514403292181</v>
      </c>
      <c r="P70" s="251">
        <f t="shared" si="4"/>
        <v>0.63031567962431512</v>
      </c>
      <c r="Q70" s="252">
        <f t="shared" si="5"/>
        <v>2.8977770999351813E-2</v>
      </c>
      <c r="S70" s="250" t="b">
        <f>F70=EPS!G69</f>
        <v>1</v>
      </c>
    </row>
    <row r="71" spans="1:19" s="250" customFormat="1" x14ac:dyDescent="0.2">
      <c r="A71" s="250" t="s">
        <v>206</v>
      </c>
      <c r="B71" s="250" t="s">
        <v>205</v>
      </c>
      <c r="C71" s="250">
        <v>20.047999999999998</v>
      </c>
      <c r="D71" s="250">
        <v>26.777999999999999</v>
      </c>
      <c r="E71" s="250">
        <v>5.7690000000000001</v>
      </c>
      <c r="F71" s="250">
        <v>3.27</v>
      </c>
      <c r="G71" s="250">
        <v>65.558000000000007</v>
      </c>
      <c r="H71" s="250">
        <v>10.324999999999999</v>
      </c>
      <c r="I71" s="250">
        <v>1.93</v>
      </c>
      <c r="J71" s="250">
        <v>2.944</v>
      </c>
      <c r="L71" s="251">
        <f>IFERROR(G71/E71,"")</f>
        <v>11.36384122031548</v>
      </c>
      <c r="M71" s="251">
        <f>IFERROR(G71/D71,"")</f>
        <v>2.448203749346479</v>
      </c>
      <c r="N71" s="252">
        <f>IFERROR(I71/D71,"")</f>
        <v>7.2074090671446711E-2</v>
      </c>
      <c r="O71" s="251">
        <f>IFERROR(I71/F71,"")</f>
        <v>0.5902140672782874</v>
      </c>
      <c r="P71" s="251">
        <f>IFERROR(E71/H71,"")</f>
        <v>0.55874092009685239</v>
      </c>
      <c r="Q71" s="252">
        <f>IFERROR(I71/G71,"")</f>
        <v>2.9439580219042676E-2</v>
      </c>
      <c r="S71" s="250" t="b">
        <f>F71=EPS!G70</f>
        <v>1</v>
      </c>
    </row>
    <row r="72" spans="1:19" s="250" customFormat="1" x14ac:dyDescent="0.2">
      <c r="A72" s="250" t="s">
        <v>45</v>
      </c>
      <c r="B72" s="250" t="s">
        <v>158</v>
      </c>
      <c r="C72" s="250">
        <v>18.5</v>
      </c>
      <c r="D72" s="250">
        <v>21.728000000000002</v>
      </c>
      <c r="E72" s="250">
        <v>5.0430000000000001</v>
      </c>
      <c r="F72" s="250">
        <v>2.21</v>
      </c>
      <c r="G72" s="250">
        <v>40.829000000000001</v>
      </c>
      <c r="H72" s="250">
        <v>6.4180000000000001</v>
      </c>
      <c r="I72" s="250">
        <v>1.36</v>
      </c>
      <c r="J72" s="250">
        <v>3.331</v>
      </c>
      <c r="L72" s="251">
        <f>IFERROR(G72/E72,"")</f>
        <v>8.0961729129486422</v>
      </c>
      <c r="M72" s="251">
        <f>IFERROR(G72/D72,"")</f>
        <v>1.8790960972017672</v>
      </c>
      <c r="N72" s="252">
        <f>IFERROR(I72/D72,"")</f>
        <v>6.2592047128129602E-2</v>
      </c>
      <c r="O72" s="251">
        <f>IFERROR(I72/F72,"")</f>
        <v>0.61538461538461542</v>
      </c>
      <c r="P72" s="251">
        <f>IFERROR(E72/H72,"")</f>
        <v>0.78575880336553439</v>
      </c>
      <c r="Q72" s="252">
        <f>IFERROR(I72/G72,"")</f>
        <v>3.3309657351392394E-2</v>
      </c>
      <c r="S72" s="250" t="b">
        <f>F72=EPS!G71</f>
        <v>1</v>
      </c>
    </row>
    <row r="73" spans="1:19" s="250" customFormat="1" x14ac:dyDescent="0.2">
      <c r="A73" s="250" t="s">
        <v>208</v>
      </c>
      <c r="B73" s="250" t="s">
        <v>207</v>
      </c>
      <c r="C73" s="250">
        <v>32.770000000000003</v>
      </c>
      <c r="D73" s="250">
        <v>8.875</v>
      </c>
      <c r="E73" s="250">
        <v>1.421</v>
      </c>
      <c r="F73" s="250">
        <v>0.92</v>
      </c>
      <c r="G73" s="250">
        <v>30.148</v>
      </c>
      <c r="H73" s="250">
        <v>1.028</v>
      </c>
      <c r="I73" s="250">
        <v>0.63</v>
      </c>
      <c r="J73" s="250">
        <v>2.09</v>
      </c>
      <c r="L73" s="251">
        <f>IFERROR(G73/E73,"")</f>
        <v>21.216045038705136</v>
      </c>
      <c r="M73" s="251">
        <f>IFERROR(G73/D73,"")</f>
        <v>3.3969577464788734</v>
      </c>
      <c r="N73" s="252">
        <f>IFERROR(I73/D73,"")</f>
        <v>7.0985915492957741E-2</v>
      </c>
      <c r="O73" s="251">
        <f>IFERROR(I73/F73,"")</f>
        <v>0.68478260869565211</v>
      </c>
      <c r="P73" s="251">
        <f>IFERROR(E73/H73,"")</f>
        <v>1.382295719844358</v>
      </c>
      <c r="Q73" s="252">
        <f>IFERROR(I73/G73,"")</f>
        <v>2.0896908584317368E-2</v>
      </c>
      <c r="S73" s="250" t="b">
        <f>F73=EPS!G72</f>
        <v>1</v>
      </c>
    </row>
  </sheetData>
  <autoFilter ref="A4:Q73"/>
  <pageMargins left="0.7" right="0.7" top="0.75" bottom="0.75" header="0.3" footer="0.3"/>
  <pageSetup scale="81" fitToHeight="0" orientation="landscape" r:id="rId1"/>
  <headerFooter>
    <oddHeader>&amp;R&amp;A
&amp;P/&amp;N</oddHeader>
    <oddFooter>&amp;R&amp;A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69"/>
  <sheetViews>
    <sheetView workbookViewId="0">
      <selection activeCell="Q36" sqref="Q36"/>
    </sheetView>
  </sheetViews>
  <sheetFormatPr defaultRowHeight="13.8" x14ac:dyDescent="0.25"/>
  <cols>
    <col min="2" max="2" width="17.8984375" bestFit="1" customWidth="1"/>
    <col min="3" max="3" width="16.3984375" bestFit="1" customWidth="1"/>
    <col min="4" max="4" width="18.09765625" bestFit="1" customWidth="1"/>
    <col min="5" max="5" width="6.5" customWidth="1"/>
    <col min="6" max="6" width="14.69921875" bestFit="1" customWidth="1"/>
    <col min="7" max="7" width="19.59765625" bestFit="1" customWidth="1"/>
    <col min="8" max="8" width="16.09765625" bestFit="1" customWidth="1"/>
    <col min="9" max="9" width="19" bestFit="1" customWidth="1"/>
  </cols>
  <sheetData>
    <row r="1" spans="1:9" x14ac:dyDescent="0.25">
      <c r="A1" s="29">
        <v>43272</v>
      </c>
      <c r="B1">
        <v>2017</v>
      </c>
      <c r="C1">
        <v>2017</v>
      </c>
      <c r="D1">
        <v>2017</v>
      </c>
      <c r="E1">
        <v>2017</v>
      </c>
      <c r="F1">
        <v>2017</v>
      </c>
      <c r="G1">
        <v>2017</v>
      </c>
      <c r="H1">
        <v>2017</v>
      </c>
      <c r="I1">
        <v>2017</v>
      </c>
    </row>
    <row r="2" spans="1:9" x14ac:dyDescent="0.25">
      <c r="B2" t="s">
        <v>331</v>
      </c>
      <c r="C2" t="s">
        <v>333</v>
      </c>
      <c r="D2" t="s">
        <v>335</v>
      </c>
      <c r="E2" t="s">
        <v>337</v>
      </c>
      <c r="F2" t="s">
        <v>332</v>
      </c>
      <c r="G2" t="s">
        <v>334</v>
      </c>
      <c r="H2" t="s">
        <v>336</v>
      </c>
      <c r="I2" t="s">
        <v>338</v>
      </c>
    </row>
    <row r="5" spans="1:9" x14ac:dyDescent="0.25">
      <c r="A5" t="s">
        <v>163</v>
      </c>
      <c r="C5">
        <v>34.878999999999998</v>
      </c>
      <c r="D5">
        <v>3.11</v>
      </c>
      <c r="E5">
        <v>-0.11</v>
      </c>
      <c r="F5">
        <v>40.198999999999998</v>
      </c>
      <c r="G5">
        <v>0.627</v>
      </c>
      <c r="H5">
        <v>0.88</v>
      </c>
      <c r="I5">
        <v>2.1890000000000001</v>
      </c>
    </row>
    <row r="6" spans="1:9" x14ac:dyDescent="0.25">
      <c r="A6" t="s">
        <v>0</v>
      </c>
      <c r="B6">
        <v>23.045999999999999</v>
      </c>
      <c r="C6">
        <v>40.473999999999997</v>
      </c>
      <c r="D6">
        <v>6.5890000000000004</v>
      </c>
      <c r="E6">
        <v>3.13</v>
      </c>
      <c r="F6">
        <v>72.134</v>
      </c>
      <c r="G6">
        <v>4.08</v>
      </c>
      <c r="H6">
        <v>2.14</v>
      </c>
      <c r="I6">
        <v>2.9670000000000001</v>
      </c>
    </row>
    <row r="7" spans="1:9" x14ac:dyDescent="0.25">
      <c r="A7" t="s">
        <v>1</v>
      </c>
      <c r="B7">
        <v>20.596</v>
      </c>
      <c r="C7">
        <v>17.213000000000001</v>
      </c>
      <c r="D7">
        <v>3.1019999999999999</v>
      </c>
      <c r="E7">
        <v>1.99</v>
      </c>
      <c r="F7">
        <v>40.985999999999997</v>
      </c>
      <c r="H7">
        <v>1.26</v>
      </c>
      <c r="I7">
        <v>3.0739999999999998</v>
      </c>
    </row>
    <row r="8" spans="1:9" x14ac:dyDescent="0.25">
      <c r="A8" t="s">
        <v>2</v>
      </c>
      <c r="B8">
        <v>19.329000000000001</v>
      </c>
      <c r="C8">
        <v>37.167999999999999</v>
      </c>
      <c r="D8">
        <v>7.9459999999999997</v>
      </c>
      <c r="E8">
        <v>3.62</v>
      </c>
      <c r="F8">
        <v>69.971000000000004</v>
      </c>
      <c r="G8">
        <v>11.787000000000001</v>
      </c>
      <c r="H8">
        <v>2.39</v>
      </c>
      <c r="I8">
        <v>3.4159999999999999</v>
      </c>
    </row>
    <row r="9" spans="1:9" x14ac:dyDescent="0.25">
      <c r="A9" t="s">
        <v>165</v>
      </c>
      <c r="B9">
        <v>25.713999999999999</v>
      </c>
      <c r="C9">
        <v>14.446999999999999</v>
      </c>
      <c r="D9">
        <v>2.9550000000000001</v>
      </c>
      <c r="E9">
        <v>1.88</v>
      </c>
      <c r="F9">
        <v>48.341999999999999</v>
      </c>
      <c r="G9">
        <v>3.0840000000000001</v>
      </c>
      <c r="H9">
        <v>0.99</v>
      </c>
      <c r="I9">
        <v>2.048</v>
      </c>
    </row>
    <row r="10" spans="1:9" x14ac:dyDescent="0.25">
      <c r="A10" t="s">
        <v>167</v>
      </c>
      <c r="B10">
        <v>33.786999999999999</v>
      </c>
      <c r="C10">
        <v>30.132999999999999</v>
      </c>
      <c r="D10">
        <v>5.14</v>
      </c>
      <c r="E10">
        <v>2.38</v>
      </c>
      <c r="F10">
        <v>80.414000000000001</v>
      </c>
      <c r="G10">
        <v>8.0359999999999996</v>
      </c>
      <c r="H10">
        <v>1.62</v>
      </c>
      <c r="I10">
        <v>2.0150000000000001</v>
      </c>
    </row>
    <row r="11" spans="1:9" x14ac:dyDescent="0.25">
      <c r="A11" t="s">
        <v>3</v>
      </c>
      <c r="B11">
        <v>20.596</v>
      </c>
      <c r="C11">
        <v>29.608000000000001</v>
      </c>
      <c r="D11">
        <v>6.8040000000000003</v>
      </c>
      <c r="E11">
        <v>2.77</v>
      </c>
      <c r="F11">
        <v>57.05</v>
      </c>
      <c r="G11">
        <v>9.0470000000000006</v>
      </c>
      <c r="H11">
        <v>1.778</v>
      </c>
      <c r="I11">
        <v>3.117</v>
      </c>
    </row>
    <row r="12" spans="1:9" x14ac:dyDescent="0.25">
      <c r="A12" t="s">
        <v>169</v>
      </c>
      <c r="B12">
        <v>36.398000000000003</v>
      </c>
      <c r="C12">
        <v>8.0459999999999994</v>
      </c>
      <c r="D12">
        <v>3.7930000000000001</v>
      </c>
      <c r="E12">
        <v>1.25</v>
      </c>
      <c r="F12">
        <v>45.497</v>
      </c>
      <c r="G12">
        <v>1.056</v>
      </c>
      <c r="H12">
        <v>3.78</v>
      </c>
      <c r="I12">
        <v>8.3079999999999998</v>
      </c>
    </row>
    <row r="13" spans="1:9" x14ac:dyDescent="0.25">
      <c r="A13" t="s">
        <v>171</v>
      </c>
      <c r="B13">
        <v>24.664000000000001</v>
      </c>
      <c r="C13">
        <v>11.016</v>
      </c>
      <c r="D13">
        <v>2.1179999999999999</v>
      </c>
      <c r="E13">
        <v>1.35</v>
      </c>
      <c r="F13">
        <v>33.295999999999999</v>
      </c>
      <c r="G13">
        <v>2.69</v>
      </c>
      <c r="H13">
        <v>0.79</v>
      </c>
      <c r="I13">
        <v>2.3730000000000002</v>
      </c>
    </row>
    <row r="14" spans="1:9" x14ac:dyDescent="0.25">
      <c r="A14" t="s">
        <v>173</v>
      </c>
      <c r="B14">
        <v>24.204999999999998</v>
      </c>
      <c r="C14">
        <v>15.914</v>
      </c>
      <c r="D14">
        <v>2.5539999999999998</v>
      </c>
      <c r="E14">
        <v>1.51</v>
      </c>
      <c r="F14">
        <v>36.549999999999997</v>
      </c>
      <c r="G14">
        <v>4.4589999999999996</v>
      </c>
      <c r="H14">
        <v>0.92700000000000005</v>
      </c>
      <c r="I14">
        <v>2.536</v>
      </c>
    </row>
    <row r="15" spans="1:9" x14ac:dyDescent="0.25">
      <c r="A15" t="s">
        <v>175</v>
      </c>
      <c r="B15">
        <v>22.035</v>
      </c>
      <c r="C15">
        <v>36.744</v>
      </c>
      <c r="D15">
        <v>6.6180000000000003</v>
      </c>
      <c r="E15">
        <v>3.6</v>
      </c>
      <c r="F15">
        <v>79.325000000000003</v>
      </c>
      <c r="G15">
        <v>10.717000000000001</v>
      </c>
      <c r="H15">
        <v>1.8</v>
      </c>
      <c r="I15">
        <v>2.2690000000000001</v>
      </c>
    </row>
    <row r="16" spans="1:9" x14ac:dyDescent="0.25">
      <c r="A16" t="s">
        <v>260</v>
      </c>
      <c r="B16">
        <v>27.265999999999998</v>
      </c>
      <c r="C16">
        <v>48.792000000000002</v>
      </c>
      <c r="D16">
        <v>4.4889999999999999</v>
      </c>
      <c r="E16">
        <v>1.67</v>
      </c>
      <c r="F16">
        <v>45.533999999999999</v>
      </c>
      <c r="G16">
        <v>7.819</v>
      </c>
      <c r="H16">
        <v>1.728</v>
      </c>
      <c r="I16">
        <v>3.7949999999999999</v>
      </c>
    </row>
    <row r="17" spans="1:9" x14ac:dyDescent="0.25">
      <c r="A17" t="s">
        <v>4</v>
      </c>
      <c r="B17">
        <v>23.373000000000001</v>
      </c>
      <c r="C17">
        <v>26.411999999999999</v>
      </c>
      <c r="D17">
        <v>4.8739999999999997</v>
      </c>
      <c r="E17">
        <v>1.95</v>
      </c>
      <c r="F17">
        <v>45.578000000000003</v>
      </c>
      <c r="G17">
        <v>6.2960000000000003</v>
      </c>
      <c r="H17">
        <v>1.43</v>
      </c>
      <c r="I17">
        <v>3.137</v>
      </c>
    </row>
    <row r="18" spans="1:9" x14ac:dyDescent="0.25">
      <c r="A18" t="s">
        <v>5</v>
      </c>
      <c r="B18">
        <v>19.478000000000002</v>
      </c>
      <c r="C18">
        <v>31.919</v>
      </c>
      <c r="D18">
        <v>7.1539999999999999</v>
      </c>
      <c r="E18">
        <v>3.38</v>
      </c>
      <c r="F18">
        <v>65.835999999999999</v>
      </c>
      <c r="G18">
        <v>6.0890000000000004</v>
      </c>
      <c r="H18">
        <v>1.81</v>
      </c>
      <c r="I18">
        <v>2.7490000000000001</v>
      </c>
    </row>
    <row r="19" spans="1:9" x14ac:dyDescent="0.25">
      <c r="A19" t="s">
        <v>177</v>
      </c>
      <c r="B19">
        <v>26.896000000000001</v>
      </c>
      <c r="C19">
        <v>14.444000000000001</v>
      </c>
      <c r="D19">
        <v>2.9990000000000001</v>
      </c>
      <c r="E19">
        <v>1.4</v>
      </c>
      <c r="F19">
        <v>37.654000000000003</v>
      </c>
      <c r="G19">
        <v>5.399</v>
      </c>
      <c r="H19">
        <v>0.72</v>
      </c>
      <c r="I19">
        <v>1.9119999999999999</v>
      </c>
    </row>
    <row r="20" spans="1:9" x14ac:dyDescent="0.25">
      <c r="A20" t="s">
        <v>6</v>
      </c>
      <c r="B20">
        <v>17.908000000000001</v>
      </c>
      <c r="C20">
        <v>10.875999999999999</v>
      </c>
      <c r="D20">
        <v>4.0339999999999998</v>
      </c>
      <c r="E20">
        <v>1.57</v>
      </c>
      <c r="F20">
        <v>28.114999999999998</v>
      </c>
      <c r="G20">
        <v>3.3079999999999998</v>
      </c>
      <c r="H20">
        <v>1.3480000000000001</v>
      </c>
      <c r="I20">
        <v>4.7949999999999999</v>
      </c>
    </row>
    <row r="21" spans="1:9" x14ac:dyDescent="0.25">
      <c r="A21" t="s">
        <v>178</v>
      </c>
      <c r="B21">
        <v>27.843</v>
      </c>
      <c r="C21">
        <v>29.753</v>
      </c>
      <c r="D21">
        <v>5.4169999999999998</v>
      </c>
      <c r="E21">
        <v>2.68</v>
      </c>
      <c r="F21">
        <v>74.62</v>
      </c>
      <c r="G21">
        <v>10.727</v>
      </c>
      <c r="H21">
        <v>1.26</v>
      </c>
      <c r="I21">
        <v>1.6890000000000001</v>
      </c>
    </row>
    <row r="22" spans="1:9" x14ac:dyDescent="0.25">
      <c r="A22" t="s">
        <v>9</v>
      </c>
      <c r="B22">
        <v>21.315999999999999</v>
      </c>
      <c r="C22">
        <v>15.768000000000001</v>
      </c>
      <c r="D22">
        <v>5.2869999999999999</v>
      </c>
      <c r="E22">
        <v>2.17</v>
      </c>
      <c r="F22">
        <v>46.255000000000003</v>
      </c>
      <c r="G22">
        <v>5.9119999999999999</v>
      </c>
      <c r="H22">
        <v>1.33</v>
      </c>
      <c r="I22">
        <v>2.875</v>
      </c>
    </row>
    <row r="23" spans="1:9" x14ac:dyDescent="0.25">
      <c r="A23" t="s">
        <v>180</v>
      </c>
      <c r="B23">
        <v>26.527999999999999</v>
      </c>
      <c r="C23">
        <v>24.337</v>
      </c>
      <c r="D23">
        <v>3.3919999999999999</v>
      </c>
      <c r="E23">
        <v>2.13</v>
      </c>
      <c r="F23">
        <v>56.503999999999998</v>
      </c>
      <c r="G23">
        <v>4.3949999999999996</v>
      </c>
      <c r="H23">
        <v>1.18</v>
      </c>
      <c r="I23">
        <v>2.0880000000000001</v>
      </c>
    </row>
    <row r="24" spans="1:9" x14ac:dyDescent="0.25">
      <c r="A24" t="s">
        <v>10</v>
      </c>
      <c r="B24">
        <v>19.774000000000001</v>
      </c>
      <c r="C24">
        <v>49.734999999999999</v>
      </c>
      <c r="D24">
        <v>8.41</v>
      </c>
      <c r="E24">
        <v>4.0999999999999996</v>
      </c>
      <c r="F24">
        <v>81.073999999999998</v>
      </c>
      <c r="G24">
        <v>11.106</v>
      </c>
      <c r="H24">
        <v>2.76</v>
      </c>
      <c r="I24">
        <v>3.4039999999999999</v>
      </c>
    </row>
    <row r="25" spans="1:9" x14ac:dyDescent="0.25">
      <c r="A25" t="s">
        <v>182</v>
      </c>
      <c r="B25">
        <v>29.004999999999999</v>
      </c>
      <c r="C25">
        <v>9.9139999999999997</v>
      </c>
      <c r="D25">
        <v>1.117</v>
      </c>
      <c r="E25">
        <v>0.41</v>
      </c>
      <c r="F25">
        <v>11.891999999999999</v>
      </c>
      <c r="G25">
        <v>0.307</v>
      </c>
      <c r="H25">
        <v>0.31</v>
      </c>
      <c r="I25">
        <v>2.6070000000000002</v>
      </c>
    </row>
    <row r="26" spans="1:9" x14ac:dyDescent="0.25">
      <c r="A26" t="s">
        <v>11</v>
      </c>
      <c r="B26">
        <v>22.172999999999998</v>
      </c>
      <c r="C26">
        <v>26.593</v>
      </c>
      <c r="D26">
        <v>6.8970000000000002</v>
      </c>
      <c r="E26">
        <v>3.53</v>
      </c>
      <c r="F26">
        <v>78.269000000000005</v>
      </c>
      <c r="G26">
        <v>8.5389999999999997</v>
      </c>
      <c r="H26">
        <v>3.0350000000000001</v>
      </c>
      <c r="I26">
        <v>3.8780000000000001</v>
      </c>
    </row>
    <row r="27" spans="1:9" x14ac:dyDescent="0.25">
      <c r="A27" t="s">
        <v>12</v>
      </c>
      <c r="B27">
        <v>18.593</v>
      </c>
      <c r="C27">
        <v>53.024999999999999</v>
      </c>
      <c r="D27">
        <v>11.773</v>
      </c>
      <c r="E27">
        <v>5.73</v>
      </c>
      <c r="F27">
        <v>106.53700000000001</v>
      </c>
      <c r="G27">
        <v>12.542999999999999</v>
      </c>
      <c r="H27">
        <v>3.36</v>
      </c>
      <c r="I27">
        <v>3.1539999999999999</v>
      </c>
    </row>
    <row r="28" spans="1:9" x14ac:dyDescent="0.25">
      <c r="A28" t="s">
        <v>13</v>
      </c>
      <c r="B28">
        <v>19.925999999999998</v>
      </c>
      <c r="C28">
        <v>59.627000000000002</v>
      </c>
      <c r="D28">
        <v>10.013</v>
      </c>
      <c r="E28">
        <v>4.22</v>
      </c>
      <c r="F28">
        <v>84.087000000000003</v>
      </c>
      <c r="G28">
        <v>11.503</v>
      </c>
      <c r="H28">
        <v>3.49</v>
      </c>
      <c r="I28">
        <v>4.1500000000000004</v>
      </c>
    </row>
    <row r="29" spans="1:9" x14ac:dyDescent="0.25">
      <c r="A29" t="s">
        <v>14</v>
      </c>
      <c r="B29">
        <v>17.234000000000002</v>
      </c>
      <c r="C29">
        <v>35.820999999999998</v>
      </c>
      <c r="D29">
        <v>11.031000000000001</v>
      </c>
      <c r="E29">
        <v>4.51</v>
      </c>
      <c r="F29">
        <v>77.727000000000004</v>
      </c>
      <c r="G29">
        <v>11.749000000000001</v>
      </c>
      <c r="H29">
        <v>2.2330000000000001</v>
      </c>
      <c r="I29">
        <v>2.8730000000000002</v>
      </c>
    </row>
    <row r="30" spans="1:9" x14ac:dyDescent="0.25">
      <c r="A30" t="s">
        <v>15</v>
      </c>
      <c r="B30">
        <v>21.783000000000001</v>
      </c>
      <c r="C30">
        <v>28.143000000000001</v>
      </c>
      <c r="D30">
        <v>6.173</v>
      </c>
      <c r="E30">
        <v>2.42</v>
      </c>
      <c r="F30">
        <v>52.715000000000003</v>
      </c>
      <c r="G30">
        <v>5.9089999999999998</v>
      </c>
      <c r="H30">
        <v>1.3149999999999999</v>
      </c>
      <c r="I30">
        <v>2.4950000000000001</v>
      </c>
    </row>
    <row r="31" spans="1:9" x14ac:dyDescent="0.25">
      <c r="A31" t="s">
        <v>17</v>
      </c>
      <c r="B31">
        <v>15.009</v>
      </c>
      <c r="C31">
        <v>44.276000000000003</v>
      </c>
      <c r="D31">
        <v>16.704999999999998</v>
      </c>
      <c r="E31">
        <v>5.19</v>
      </c>
      <c r="F31">
        <v>77.897999999999996</v>
      </c>
      <c r="G31">
        <v>22.074999999999999</v>
      </c>
      <c r="H31">
        <v>3.5</v>
      </c>
      <c r="I31">
        <v>4.4930000000000003</v>
      </c>
    </row>
    <row r="32" spans="1:9" x14ac:dyDescent="0.25">
      <c r="A32" t="s">
        <v>211</v>
      </c>
      <c r="B32">
        <v>19.465</v>
      </c>
      <c r="C32">
        <v>34.984999999999999</v>
      </c>
      <c r="D32">
        <v>5.8440000000000003</v>
      </c>
      <c r="E32">
        <v>3.11</v>
      </c>
      <c r="F32">
        <v>60.536999999999999</v>
      </c>
      <c r="G32">
        <v>7.41</v>
      </c>
      <c r="H32">
        <v>1.9</v>
      </c>
      <c r="I32">
        <v>3.1389999999999998</v>
      </c>
    </row>
    <row r="33" spans="1:9" x14ac:dyDescent="0.25">
      <c r="A33" t="s">
        <v>18</v>
      </c>
      <c r="B33">
        <v>13.41</v>
      </c>
      <c r="C33">
        <v>30.992999999999999</v>
      </c>
      <c r="D33">
        <v>8.3699999999999992</v>
      </c>
      <c r="E33">
        <v>2.78</v>
      </c>
      <c r="F33">
        <v>37.280999999999999</v>
      </c>
      <c r="G33">
        <v>7.8730000000000002</v>
      </c>
      <c r="H33">
        <v>1.31</v>
      </c>
      <c r="I33">
        <v>3.5139999999999998</v>
      </c>
    </row>
    <row r="34" spans="1:9" x14ac:dyDescent="0.25">
      <c r="A34" t="s">
        <v>19</v>
      </c>
      <c r="B34">
        <v>11.409000000000001</v>
      </c>
      <c r="C34">
        <v>8.8140000000000001</v>
      </c>
      <c r="D34">
        <v>6.5410000000000004</v>
      </c>
      <c r="E34">
        <v>2.73</v>
      </c>
      <c r="F34">
        <v>31.146000000000001</v>
      </c>
      <c r="G34">
        <v>6.3789999999999996</v>
      </c>
      <c r="H34">
        <v>1.44</v>
      </c>
      <c r="I34">
        <v>4.6230000000000002</v>
      </c>
    </row>
    <row r="35" spans="1:9" x14ac:dyDescent="0.25">
      <c r="A35" t="s">
        <v>266</v>
      </c>
      <c r="B35">
        <v>16.809999999999999</v>
      </c>
      <c r="C35">
        <v>31.774000000000001</v>
      </c>
      <c r="D35">
        <v>5.4329999999999998</v>
      </c>
      <c r="E35">
        <v>2.66</v>
      </c>
      <c r="F35">
        <v>44.715000000000003</v>
      </c>
      <c r="G35">
        <v>7.181</v>
      </c>
      <c r="H35">
        <v>1.65</v>
      </c>
      <c r="I35">
        <v>3.69</v>
      </c>
    </row>
    <row r="36" spans="1:9" x14ac:dyDescent="0.25">
      <c r="A36" t="s">
        <v>21</v>
      </c>
      <c r="B36">
        <v>20.693000000000001</v>
      </c>
      <c r="C36">
        <v>19.28</v>
      </c>
      <c r="D36">
        <v>3.6829999999999998</v>
      </c>
      <c r="E36">
        <v>1.64</v>
      </c>
      <c r="F36">
        <v>33.936999999999998</v>
      </c>
      <c r="G36">
        <v>4.5519999999999996</v>
      </c>
      <c r="H36">
        <v>1.24</v>
      </c>
      <c r="I36">
        <v>3.6539999999999999</v>
      </c>
    </row>
    <row r="37" spans="1:9" x14ac:dyDescent="0.25">
      <c r="A37" t="s">
        <v>22</v>
      </c>
      <c r="B37">
        <v>20.600999999999999</v>
      </c>
      <c r="C37">
        <v>44.652999999999999</v>
      </c>
      <c r="D37">
        <v>7.5039999999999996</v>
      </c>
      <c r="E37">
        <v>4.21</v>
      </c>
      <c r="F37">
        <v>86.728999999999999</v>
      </c>
      <c r="G37">
        <v>5.6619999999999999</v>
      </c>
      <c r="H37">
        <v>2.2400000000000002</v>
      </c>
      <c r="I37">
        <v>2.5830000000000002</v>
      </c>
    </row>
    <row r="38" spans="1:9" x14ac:dyDescent="0.25">
      <c r="A38" t="s">
        <v>25</v>
      </c>
      <c r="B38">
        <v>29.356999999999999</v>
      </c>
      <c r="C38">
        <v>22.446999999999999</v>
      </c>
      <c r="D38">
        <v>3.726</v>
      </c>
      <c r="E38">
        <v>2.2000000000000002</v>
      </c>
      <c r="F38">
        <v>64.585999999999999</v>
      </c>
      <c r="G38">
        <v>3.1190000000000002</v>
      </c>
      <c r="H38">
        <v>1.26</v>
      </c>
      <c r="I38">
        <v>1.9510000000000001</v>
      </c>
    </row>
    <row r="39" spans="1:9" x14ac:dyDescent="0.25">
      <c r="A39" t="s">
        <v>188</v>
      </c>
      <c r="B39">
        <v>28.385999999999999</v>
      </c>
      <c r="C39">
        <v>14.015000000000001</v>
      </c>
      <c r="D39">
        <v>2.2370000000000001</v>
      </c>
      <c r="E39">
        <v>1.38</v>
      </c>
      <c r="F39">
        <v>39.173000000000002</v>
      </c>
      <c r="G39">
        <v>3.0760000000000001</v>
      </c>
      <c r="H39">
        <v>0.85799999999999998</v>
      </c>
      <c r="I39">
        <v>2.19</v>
      </c>
    </row>
    <row r="40" spans="1:9" x14ac:dyDescent="0.25">
      <c r="A40" t="s">
        <v>190</v>
      </c>
      <c r="B40">
        <v>22.376999999999999</v>
      </c>
      <c r="C40">
        <v>14.326000000000001</v>
      </c>
      <c r="D40">
        <v>2.6789999999999998</v>
      </c>
      <c r="E40">
        <v>1.73</v>
      </c>
      <c r="F40">
        <v>38.712000000000003</v>
      </c>
      <c r="G40">
        <v>3.8010000000000002</v>
      </c>
      <c r="H40">
        <v>1.04</v>
      </c>
      <c r="I40">
        <v>2.6869999999999998</v>
      </c>
    </row>
    <row r="41" spans="1:9" x14ac:dyDescent="0.25">
      <c r="A41" t="s">
        <v>141</v>
      </c>
      <c r="B41">
        <v>21.649000000000001</v>
      </c>
      <c r="C41">
        <v>59.89</v>
      </c>
      <c r="D41">
        <v>12.108000000000001</v>
      </c>
      <c r="E41">
        <v>6.5</v>
      </c>
      <c r="F41">
        <v>140.71899999999999</v>
      </c>
      <c r="G41">
        <v>22.803000000000001</v>
      </c>
      <c r="H41">
        <v>3.93</v>
      </c>
      <c r="I41">
        <v>2.7930000000000001</v>
      </c>
    </row>
    <row r="42" spans="1:9" x14ac:dyDescent="0.25">
      <c r="A42" t="s">
        <v>26</v>
      </c>
      <c r="B42">
        <v>64.400000000000006</v>
      </c>
      <c r="C42">
        <v>12.819000000000001</v>
      </c>
      <c r="D42">
        <v>2.0739999999999998</v>
      </c>
      <c r="E42">
        <v>0.39</v>
      </c>
      <c r="F42">
        <v>25.116</v>
      </c>
      <c r="G42">
        <v>5.032</v>
      </c>
      <c r="H42">
        <v>0.7</v>
      </c>
      <c r="I42">
        <v>2.7869999999999999</v>
      </c>
    </row>
    <row r="43" spans="1:9" x14ac:dyDescent="0.25">
      <c r="A43" t="s">
        <v>192</v>
      </c>
      <c r="C43">
        <v>25.847999999999999</v>
      </c>
      <c r="D43">
        <v>1.042</v>
      </c>
      <c r="E43">
        <v>-1.94</v>
      </c>
      <c r="F43">
        <v>62.228000000000002</v>
      </c>
      <c r="G43">
        <v>7.4329999999999998</v>
      </c>
      <c r="H43">
        <v>1.88</v>
      </c>
      <c r="I43">
        <v>3.0209999999999999</v>
      </c>
    </row>
    <row r="44" spans="1:9" x14ac:dyDescent="0.25">
      <c r="A44" t="s">
        <v>144</v>
      </c>
      <c r="B44">
        <v>17.844999999999999</v>
      </c>
      <c r="C44">
        <v>36.436</v>
      </c>
      <c r="D44">
        <v>6.7569999999999997</v>
      </c>
      <c r="E44">
        <v>3.34</v>
      </c>
      <c r="F44">
        <v>59.603000000000002</v>
      </c>
      <c r="G44">
        <v>5.5990000000000002</v>
      </c>
      <c r="H44">
        <v>2.1</v>
      </c>
      <c r="I44">
        <v>3.5230000000000001</v>
      </c>
    </row>
    <row r="45" spans="1:9" x14ac:dyDescent="0.25">
      <c r="A45" t="s">
        <v>27</v>
      </c>
      <c r="B45">
        <v>18.323</v>
      </c>
      <c r="C45">
        <v>19.283999999999999</v>
      </c>
      <c r="D45">
        <v>3.3439999999999999</v>
      </c>
      <c r="E45">
        <v>1.92</v>
      </c>
      <c r="F45">
        <v>35.18</v>
      </c>
      <c r="G45">
        <v>4.1269999999999998</v>
      </c>
      <c r="H45">
        <v>1.27</v>
      </c>
      <c r="I45">
        <v>3.61</v>
      </c>
    </row>
    <row r="46" spans="1:9" x14ac:dyDescent="0.25">
      <c r="A46" t="s">
        <v>345</v>
      </c>
      <c r="B46">
        <v>23.465</v>
      </c>
      <c r="C46">
        <v>37.470999999999997</v>
      </c>
      <c r="D46">
        <v>5.96</v>
      </c>
      <c r="E46">
        <v>3.02</v>
      </c>
      <c r="F46">
        <v>70.864999999999995</v>
      </c>
      <c r="G46">
        <v>6.8120000000000003</v>
      </c>
      <c r="H46">
        <v>1.68</v>
      </c>
      <c r="I46">
        <v>2.371</v>
      </c>
    </row>
    <row r="47" spans="1:9" x14ac:dyDescent="0.25">
      <c r="A47" t="s">
        <v>28</v>
      </c>
      <c r="B47">
        <v>22.062999999999999</v>
      </c>
      <c r="C47">
        <v>17.617000000000001</v>
      </c>
      <c r="D47">
        <v>3.7010000000000001</v>
      </c>
      <c r="E47">
        <v>1.86</v>
      </c>
      <c r="F47">
        <v>41.036999999999999</v>
      </c>
      <c r="G47">
        <v>3.36</v>
      </c>
      <c r="H47">
        <v>1.28</v>
      </c>
      <c r="I47">
        <v>3.1190000000000002</v>
      </c>
    </row>
    <row r="48" spans="1:9" x14ac:dyDescent="0.25">
      <c r="A48" t="s">
        <v>30</v>
      </c>
      <c r="B48">
        <v>18.277000000000001</v>
      </c>
      <c r="C48">
        <v>37.338000000000001</v>
      </c>
      <c r="D48">
        <v>9.0280000000000005</v>
      </c>
      <c r="E48">
        <v>3.5</v>
      </c>
      <c r="F48">
        <v>63.969000000000001</v>
      </c>
      <c r="G48">
        <v>10.959</v>
      </c>
      <c r="H48">
        <v>1.55</v>
      </c>
      <c r="I48">
        <v>2.423</v>
      </c>
    </row>
    <row r="49" spans="1:9" x14ac:dyDescent="0.25">
      <c r="A49" t="s">
        <v>31</v>
      </c>
      <c r="B49">
        <v>19.280999999999999</v>
      </c>
      <c r="C49">
        <v>44.802</v>
      </c>
      <c r="D49">
        <v>9.7859999999999996</v>
      </c>
      <c r="E49">
        <v>4.43</v>
      </c>
      <c r="F49">
        <v>85.414000000000001</v>
      </c>
      <c r="G49">
        <v>12.804</v>
      </c>
      <c r="H49">
        <v>2.7</v>
      </c>
      <c r="I49">
        <v>3.161</v>
      </c>
    </row>
    <row r="50" spans="1:9" x14ac:dyDescent="0.25">
      <c r="A50" t="s">
        <v>32</v>
      </c>
      <c r="B50">
        <v>20.425999999999998</v>
      </c>
      <c r="C50">
        <v>21.283000000000001</v>
      </c>
      <c r="D50">
        <v>5.2990000000000004</v>
      </c>
      <c r="E50">
        <v>1.92</v>
      </c>
      <c r="F50">
        <v>39.216999999999999</v>
      </c>
      <c r="G50">
        <v>6.2830000000000004</v>
      </c>
      <c r="H50">
        <v>0.99299999999999999</v>
      </c>
      <c r="I50">
        <v>2.532</v>
      </c>
    </row>
    <row r="51" spans="1:9" x14ac:dyDescent="0.25">
      <c r="A51" t="s">
        <v>33</v>
      </c>
      <c r="B51">
        <v>20.030999999999999</v>
      </c>
      <c r="C51">
        <v>27.111000000000001</v>
      </c>
      <c r="D51">
        <v>6.1609999999999996</v>
      </c>
      <c r="E51">
        <v>2.29</v>
      </c>
      <c r="F51">
        <v>45.872</v>
      </c>
      <c r="G51">
        <v>5.7679999999999998</v>
      </c>
      <c r="H51">
        <v>1.34</v>
      </c>
      <c r="I51">
        <v>2.9209999999999998</v>
      </c>
    </row>
    <row r="52" spans="1:9" x14ac:dyDescent="0.25">
      <c r="A52" t="s">
        <v>34</v>
      </c>
      <c r="B52">
        <v>17.649999999999999</v>
      </c>
      <c r="C52">
        <v>15.519</v>
      </c>
      <c r="D52">
        <v>3.6829999999999998</v>
      </c>
      <c r="E52">
        <v>2.11</v>
      </c>
      <c r="F52">
        <v>37.241</v>
      </c>
      <c r="G52">
        <v>4.5179999999999998</v>
      </c>
      <c r="H52">
        <v>1.58</v>
      </c>
      <c r="I52">
        <v>4.2430000000000003</v>
      </c>
    </row>
    <row r="53" spans="1:9" x14ac:dyDescent="0.25">
      <c r="A53" t="s">
        <v>35</v>
      </c>
      <c r="B53">
        <v>16.305</v>
      </c>
      <c r="C53">
        <v>27.42</v>
      </c>
      <c r="D53">
        <v>5.3029999999999999</v>
      </c>
      <c r="E53">
        <v>2.82</v>
      </c>
      <c r="F53">
        <v>45.978999999999999</v>
      </c>
      <c r="G53">
        <v>8.2970000000000006</v>
      </c>
      <c r="H53">
        <v>1.72</v>
      </c>
      <c r="I53">
        <v>3.7410000000000001</v>
      </c>
    </row>
    <row r="54" spans="1:9" x14ac:dyDescent="0.25">
      <c r="A54" t="s">
        <v>194</v>
      </c>
      <c r="B54">
        <v>25.132999999999999</v>
      </c>
      <c r="C54">
        <v>8.2919999999999998</v>
      </c>
      <c r="D54">
        <v>1.7250000000000001</v>
      </c>
      <c r="E54">
        <v>0.86</v>
      </c>
      <c r="F54">
        <v>21.614000000000001</v>
      </c>
      <c r="G54">
        <v>2.8660000000000001</v>
      </c>
      <c r="H54">
        <v>0.57999999999999996</v>
      </c>
      <c r="I54">
        <v>2.6829999999999998</v>
      </c>
    </row>
    <row r="55" spans="1:9" x14ac:dyDescent="0.25">
      <c r="A55" t="s">
        <v>36</v>
      </c>
      <c r="B55">
        <v>14.46</v>
      </c>
      <c r="C55">
        <v>36.747999999999998</v>
      </c>
      <c r="D55">
        <v>7.35</v>
      </c>
      <c r="E55">
        <v>4.2</v>
      </c>
      <c r="F55">
        <v>60.73</v>
      </c>
      <c r="G55">
        <v>8.5660000000000007</v>
      </c>
      <c r="H55">
        <v>2.4500000000000002</v>
      </c>
      <c r="I55">
        <v>4.0339999999999998</v>
      </c>
    </row>
    <row r="56" spans="1:9" x14ac:dyDescent="0.25">
      <c r="A56" t="s">
        <v>37</v>
      </c>
      <c r="B56">
        <v>24.332999999999998</v>
      </c>
      <c r="C56">
        <v>50.405999999999999</v>
      </c>
      <c r="D56">
        <v>10.574999999999999</v>
      </c>
      <c r="E56">
        <v>4.63</v>
      </c>
      <c r="F56">
        <v>112.661</v>
      </c>
      <c r="G56">
        <v>15.711</v>
      </c>
      <c r="H56">
        <v>3.29</v>
      </c>
      <c r="I56">
        <v>2.92</v>
      </c>
    </row>
    <row r="57" spans="1:9" x14ac:dyDescent="0.25">
      <c r="A57" t="s">
        <v>196</v>
      </c>
      <c r="B57">
        <v>18.841000000000001</v>
      </c>
      <c r="C57">
        <v>22.571999999999999</v>
      </c>
      <c r="D57">
        <v>5.2380000000000004</v>
      </c>
      <c r="E57">
        <v>2.86</v>
      </c>
      <c r="F57">
        <v>53.884999999999998</v>
      </c>
      <c r="G57">
        <v>7.2640000000000002</v>
      </c>
      <c r="H57">
        <v>1.04</v>
      </c>
      <c r="I57">
        <v>1.93</v>
      </c>
    </row>
    <row r="58" spans="1:9" x14ac:dyDescent="0.25">
      <c r="A58" t="s">
        <v>198</v>
      </c>
      <c r="B58">
        <v>27.92</v>
      </c>
      <c r="C58">
        <v>14.99</v>
      </c>
      <c r="D58">
        <v>2.7850000000000001</v>
      </c>
      <c r="E58">
        <v>1.23</v>
      </c>
      <c r="F58">
        <v>34.341999999999999</v>
      </c>
      <c r="G58">
        <v>3.431</v>
      </c>
      <c r="H58">
        <v>1.1000000000000001</v>
      </c>
      <c r="I58">
        <v>3.2029999999999998</v>
      </c>
    </row>
    <row r="59" spans="1:9" x14ac:dyDescent="0.25">
      <c r="A59" t="s">
        <v>38</v>
      </c>
      <c r="B59">
        <v>15.484</v>
      </c>
      <c r="C59">
        <v>23.984999999999999</v>
      </c>
      <c r="D59">
        <v>6.6379999999999999</v>
      </c>
      <c r="E59">
        <v>3.21</v>
      </c>
      <c r="F59">
        <v>49.704000000000001</v>
      </c>
      <c r="G59">
        <v>7.367</v>
      </c>
      <c r="H59">
        <v>2.2999999999999998</v>
      </c>
      <c r="I59">
        <v>4.6269999999999998</v>
      </c>
    </row>
    <row r="60" spans="1:9" x14ac:dyDescent="0.25">
      <c r="A60" t="s">
        <v>200</v>
      </c>
      <c r="B60">
        <v>22.213999999999999</v>
      </c>
      <c r="C60">
        <v>37.737000000000002</v>
      </c>
      <c r="D60">
        <v>8.8330000000000002</v>
      </c>
      <c r="E60">
        <v>3.62</v>
      </c>
      <c r="F60">
        <v>80.414000000000001</v>
      </c>
      <c r="G60">
        <v>12.968</v>
      </c>
      <c r="H60">
        <v>1.98</v>
      </c>
      <c r="I60">
        <v>2.4620000000000002</v>
      </c>
    </row>
    <row r="61" spans="1:9" x14ac:dyDescent="0.25">
      <c r="A61" t="s">
        <v>244</v>
      </c>
      <c r="B61">
        <v>19.82</v>
      </c>
      <c r="C61">
        <v>41.259</v>
      </c>
      <c r="D61">
        <v>6.5410000000000004</v>
      </c>
      <c r="E61">
        <v>3.43</v>
      </c>
      <c r="F61">
        <v>67.980999999999995</v>
      </c>
      <c r="G61">
        <v>9.077</v>
      </c>
      <c r="H61">
        <v>2.1</v>
      </c>
      <c r="I61">
        <v>3.089</v>
      </c>
    </row>
    <row r="62" spans="1:9" x14ac:dyDescent="0.25">
      <c r="A62" t="s">
        <v>202</v>
      </c>
      <c r="B62">
        <v>22.053999999999998</v>
      </c>
      <c r="C62">
        <v>5.4450000000000003</v>
      </c>
      <c r="D62">
        <v>0.97499999999999998</v>
      </c>
      <c r="E62">
        <v>0.46</v>
      </c>
      <c r="F62">
        <v>10.145</v>
      </c>
      <c r="G62">
        <v>0.216</v>
      </c>
      <c r="H62">
        <v>0.42499999999999999</v>
      </c>
      <c r="I62">
        <v>4.1890000000000001</v>
      </c>
    </row>
    <row r="63" spans="1:9" x14ac:dyDescent="0.25">
      <c r="A63" t="s">
        <v>204</v>
      </c>
      <c r="B63">
        <v>20.84</v>
      </c>
      <c r="C63">
        <v>18.181000000000001</v>
      </c>
      <c r="D63">
        <v>4.7290000000000001</v>
      </c>
      <c r="E63">
        <v>2.29</v>
      </c>
      <c r="F63">
        <v>47.722999999999999</v>
      </c>
      <c r="G63">
        <v>3.6720000000000002</v>
      </c>
      <c r="H63">
        <v>0.96</v>
      </c>
      <c r="I63">
        <v>2.012</v>
      </c>
    </row>
    <row r="64" spans="1:9" x14ac:dyDescent="0.25">
      <c r="A64" t="s">
        <v>83</v>
      </c>
      <c r="B64">
        <v>23.34</v>
      </c>
      <c r="C64">
        <v>22.719000000000001</v>
      </c>
      <c r="D64">
        <v>5.1230000000000002</v>
      </c>
      <c r="E64">
        <v>2.06</v>
      </c>
      <c r="F64">
        <v>48.08</v>
      </c>
      <c r="G64">
        <v>8.0519999999999996</v>
      </c>
      <c r="H64">
        <v>1.44</v>
      </c>
      <c r="I64">
        <v>2.9950000000000001</v>
      </c>
    </row>
    <row r="65" spans="1:9" x14ac:dyDescent="0.25">
      <c r="A65" t="s">
        <v>42</v>
      </c>
      <c r="B65">
        <v>23.536000000000001</v>
      </c>
      <c r="C65">
        <v>22.280999999999999</v>
      </c>
      <c r="D65">
        <v>5.93</v>
      </c>
      <c r="E65">
        <v>2.6</v>
      </c>
      <c r="F65">
        <v>61.194000000000003</v>
      </c>
      <c r="G65">
        <v>7.26</v>
      </c>
      <c r="H65">
        <v>1.71</v>
      </c>
      <c r="I65">
        <v>2.794</v>
      </c>
    </row>
    <row r="66" spans="1:9" x14ac:dyDescent="0.25">
      <c r="A66" t="s">
        <v>44</v>
      </c>
      <c r="B66">
        <v>20.012</v>
      </c>
      <c r="C66">
        <v>29.981000000000002</v>
      </c>
      <c r="D66">
        <v>5.69</v>
      </c>
      <c r="E66">
        <v>3.14</v>
      </c>
      <c r="F66">
        <v>62.838999999999999</v>
      </c>
      <c r="G66">
        <v>6.2089999999999996</v>
      </c>
      <c r="H66">
        <v>2.08</v>
      </c>
      <c r="I66">
        <v>3.31</v>
      </c>
    </row>
    <row r="67" spans="1:9" x14ac:dyDescent="0.25">
      <c r="A67" t="s">
        <v>206</v>
      </c>
      <c r="B67">
        <v>25.396000000000001</v>
      </c>
      <c r="C67">
        <v>29.347000000000001</v>
      </c>
      <c r="D67">
        <v>6.1139999999999999</v>
      </c>
      <c r="E67">
        <v>3.11</v>
      </c>
      <c r="F67">
        <v>78.983000000000004</v>
      </c>
      <c r="G67">
        <v>10.087999999999999</v>
      </c>
      <c r="H67">
        <v>2.02</v>
      </c>
      <c r="I67">
        <v>2.5579999999999998</v>
      </c>
    </row>
    <row r="68" spans="1:9" x14ac:dyDescent="0.25">
      <c r="A68" t="s">
        <v>45</v>
      </c>
      <c r="B68">
        <v>20.196999999999999</v>
      </c>
      <c r="C68">
        <v>22.56</v>
      </c>
      <c r="D68">
        <v>5.4649999999999999</v>
      </c>
      <c r="E68">
        <v>2.2999999999999998</v>
      </c>
      <c r="F68">
        <v>46.453000000000003</v>
      </c>
      <c r="G68">
        <v>6.5369999999999999</v>
      </c>
      <c r="H68">
        <v>1.44</v>
      </c>
      <c r="I68">
        <v>3.1</v>
      </c>
    </row>
    <row r="69" spans="1:9" x14ac:dyDescent="0.25">
      <c r="A69" t="s">
        <v>208</v>
      </c>
      <c r="B69">
        <v>34.625</v>
      </c>
      <c r="C69">
        <v>9.2759999999999998</v>
      </c>
      <c r="D69">
        <v>1.534</v>
      </c>
      <c r="E69">
        <v>1.01</v>
      </c>
      <c r="F69">
        <v>34.970999999999997</v>
      </c>
      <c r="G69">
        <v>1.948</v>
      </c>
      <c r="H69">
        <v>0.65</v>
      </c>
      <c r="I69">
        <v>1.859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80"/>
  <sheetViews>
    <sheetView topLeftCell="A25" zoomScale="70" zoomScaleNormal="70" workbookViewId="0">
      <selection activeCell="E26" sqref="E26"/>
    </sheetView>
  </sheetViews>
  <sheetFormatPr defaultRowHeight="13.8" x14ac:dyDescent="0.25"/>
  <cols>
    <col min="1" max="1" width="17.5" bestFit="1" customWidth="1"/>
    <col min="2" max="2" width="7.09765625" customWidth="1"/>
    <col min="3" max="3" width="18.69921875" customWidth="1"/>
    <col min="4" max="4" width="4.59765625" customWidth="1"/>
    <col min="5" max="6" width="12.8984375" customWidth="1"/>
    <col min="7" max="8" width="12.5" customWidth="1"/>
    <col min="9" max="9" width="11.8984375" customWidth="1"/>
    <col min="10" max="13" width="11.8984375" bestFit="1" customWidth="1"/>
    <col min="14" max="14" width="11.5" bestFit="1" customWidth="1"/>
    <col min="15" max="15" width="11.8984375" bestFit="1" customWidth="1"/>
    <col min="16" max="19" width="12.19921875" bestFit="1" customWidth="1"/>
    <col min="20" max="69" width="8.69921875" customWidth="1"/>
  </cols>
  <sheetData>
    <row r="1" spans="1:23" x14ac:dyDescent="0.25">
      <c r="A1" t="s">
        <v>218</v>
      </c>
    </row>
    <row r="2" spans="1:23" x14ac:dyDescent="0.25">
      <c r="A2" t="s">
        <v>220</v>
      </c>
      <c r="C2" s="68" t="s">
        <v>314</v>
      </c>
      <c r="I2" s="29">
        <v>42850</v>
      </c>
      <c r="J2" s="29">
        <v>42718</v>
      </c>
      <c r="K2" s="29">
        <v>42718</v>
      </c>
      <c r="L2" s="29">
        <v>42718</v>
      </c>
      <c r="M2" s="29">
        <v>42718</v>
      </c>
      <c r="N2" s="29">
        <v>42718</v>
      </c>
      <c r="O2" s="29">
        <v>42718</v>
      </c>
      <c r="P2" s="29">
        <v>42718</v>
      </c>
      <c r="Q2" s="29">
        <v>42718</v>
      </c>
      <c r="R2" s="29">
        <v>42718</v>
      </c>
      <c r="S2" s="29">
        <v>42718</v>
      </c>
    </row>
    <row r="3" spans="1:23" x14ac:dyDescent="0.25"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</row>
    <row r="4" spans="1:23" ht="14.4" thickBot="1" x14ac:dyDescent="0.3">
      <c r="E4" s="48">
        <v>2020</v>
      </c>
      <c r="F4" s="48">
        <v>2019</v>
      </c>
      <c r="G4" s="48">
        <v>2018</v>
      </c>
      <c r="H4" s="48">
        <v>2017</v>
      </c>
      <c r="I4" s="48">
        <v>2016</v>
      </c>
      <c r="J4" s="46">
        <v>2015</v>
      </c>
      <c r="K4" s="46">
        <v>2014</v>
      </c>
      <c r="L4" s="46">
        <v>2013</v>
      </c>
      <c r="M4" s="46">
        <v>2012</v>
      </c>
      <c r="N4" s="46">
        <v>2011</v>
      </c>
      <c r="O4" s="46">
        <v>2010</v>
      </c>
      <c r="P4" s="46">
        <v>2009</v>
      </c>
      <c r="Q4" s="46">
        <v>2008</v>
      </c>
      <c r="R4" s="46">
        <v>2007</v>
      </c>
      <c r="S4" s="46">
        <v>2006</v>
      </c>
      <c r="T4" s="46">
        <v>2005</v>
      </c>
      <c r="U4" s="46">
        <v>2004</v>
      </c>
      <c r="V4" s="46">
        <v>2003</v>
      </c>
      <c r="W4" s="46">
        <v>2002</v>
      </c>
    </row>
    <row r="5" spans="1:23" s="31" customFormat="1" x14ac:dyDescent="0.25">
      <c r="A5" s="31" t="str">
        <f>IFERROR(INDEX('2019 Data (WP)'!$C$9:$C$73,MATCH($B5,'2019 Data (WP)'!$D$9:$D$73,0)),"")</f>
        <v>Electric Util. (Central)</v>
      </c>
      <c r="B5" s="31" t="s">
        <v>0</v>
      </c>
      <c r="C5" s="31" t="s">
        <v>91</v>
      </c>
      <c r="D5" s="253"/>
      <c r="E5" s="254">
        <f>IF(IFERROR(INDEX('2020'!$C$5:$C$73,MATCH('P-E Ratio (WP)'!B5,'2020'!$A$5:$A$73,0)),0)=0,"N/A",INDEX('2020'!$C$5:$C$73,MATCH('P-E Ratio (WP)'!B5,'2020'!$A$5:$A$73,0)))</f>
        <v>18.3</v>
      </c>
      <c r="F5" s="254">
        <f>IF(IFERROR(INDEX('2019'!$C$5:$C$73,MATCH('P-E Ratio (WP)'!B5,'2019'!$A$5:$A$73,0)),0)=0,"N/A",INDEX('2019'!$C$5:$C$73,MATCH('P-E Ratio (WP)'!B5,'2019'!$A$5:$A$73,0)))</f>
        <v>24.7</v>
      </c>
      <c r="G5" s="254">
        <f>IF(IFERROR(INDEX('2018'!$C$5:$C$73,MATCH('P-E Ratio (WP)'!B5,'2018'!$A$5:$A$73,0)),0)=0,"N/A",INDEX('2018'!$C$5:$C$73,MATCH('P-E Ratio (WP)'!B5,'2018'!$A$5:$A$73,0)))</f>
        <v>22.2</v>
      </c>
      <c r="H5" s="254">
        <f>IF(IFERROR(INDEX('2017'!$C$5:$C$73,MATCH('P-E Ratio (WP)'!B5,'2017'!$A$5:$A$73,0)),0)=0,"N/A",INDEX('2017'!$C$5:$C$73,MATCH('P-E Ratio (WP)'!B5,'2017'!$A$5:$A$73,0)))</f>
        <v>23</v>
      </c>
      <c r="I5" s="254">
        <f>IF(IFERROR(INDEX('2016'!$C$5:$C$73,MATCH('P-E Ratio (WP)'!B5,'2016'!$A$5:$A$73,0)),0)=0,"N/A",INDEX('2016'!$C$5:$C$73,MATCH('P-E Ratio (WP)'!B5,'2016'!$A$5:$A$73,0)))</f>
        <v>18.600000000000001</v>
      </c>
      <c r="J5" s="255">
        <v>15.1</v>
      </c>
      <c r="K5" s="255">
        <v>17.2</v>
      </c>
      <c r="L5" s="255">
        <v>18.600000000000001</v>
      </c>
      <c r="M5" s="255">
        <v>15.9</v>
      </c>
      <c r="N5" s="255">
        <v>14.7</v>
      </c>
      <c r="O5" s="255">
        <v>16</v>
      </c>
      <c r="P5" s="255">
        <v>16.100000000000001</v>
      </c>
      <c r="Q5" s="255">
        <v>13.9</v>
      </c>
      <c r="R5" s="255">
        <v>14.8</v>
      </c>
      <c r="S5" s="255">
        <v>16.545000000000002</v>
      </c>
      <c r="T5" s="255">
        <v>17.905999999999999</v>
      </c>
      <c r="U5" s="255">
        <v>25.213000000000001</v>
      </c>
      <c r="V5" s="255" t="s">
        <v>106</v>
      </c>
      <c r="W5" s="255" t="s">
        <v>106</v>
      </c>
    </row>
    <row r="6" spans="1:23" s="31" customFormat="1" x14ac:dyDescent="0.25">
      <c r="A6" s="31" t="str">
        <f>IFERROR(INDEX('2019 Data (WP)'!$C$9:$C$73,MATCH($B6,'2019 Data (WP)'!$D$9:$D$73,0)),"")</f>
        <v>Electric Util. (Central)</v>
      </c>
      <c r="B6" s="31" t="s">
        <v>1</v>
      </c>
      <c r="C6" s="31" t="s">
        <v>84</v>
      </c>
      <c r="D6" s="253"/>
      <c r="E6" s="254">
        <f>IF(IFERROR(INDEX('2020'!$C$5:$C$73,MATCH('P-E Ratio (WP)'!B6,'2020'!$A$5:$A$73,0)),0)=0,"N/A",INDEX('2020'!$C$5:$C$73,MATCH('P-E Ratio (WP)'!B6,'2020'!$A$5:$A$73,0)))</f>
        <v>21.2</v>
      </c>
      <c r="F6" s="254">
        <f>IF(IFERROR(INDEX('2019'!$C$5:$C$73,MATCH('P-E Ratio (WP)'!B6,'2019'!$A$5:$A$73,0)),0)=0,"N/A",INDEX('2019'!$C$5:$C$73,MATCH('P-E Ratio (WP)'!B6,'2019'!$A$5:$A$73,0)))</f>
        <v>21.2</v>
      </c>
      <c r="G6" s="254">
        <f>IF(IFERROR(INDEX('2018'!$C$5:$C$73,MATCH('P-E Ratio (WP)'!B6,'2018'!$A$5:$A$73,0)),0)=0,"N/A",INDEX('2018'!$C$5:$C$73,MATCH('P-E Ratio (WP)'!B6,'2018'!$A$5:$A$73,0)))</f>
        <v>19.100000000000001</v>
      </c>
      <c r="H6" s="254">
        <f>IF(IFERROR(INDEX('2017'!$C$5:$C$73,MATCH('P-E Ratio (WP)'!B6,'2017'!$A$5:$A$73,0)),0)=0,"N/A",INDEX('2017'!$C$5:$C$73,MATCH('P-E Ratio (WP)'!B6,'2017'!$A$5:$A$73,0)))</f>
        <v>20.6</v>
      </c>
      <c r="I6" s="254">
        <f>IF(IFERROR(INDEX('2016'!$C$5:$C$73,MATCH('P-E Ratio (WP)'!B6,'2016'!$A$5:$A$73,0)),0)=0,"N/A",INDEX('2016'!$C$5:$C$73,MATCH('P-E Ratio (WP)'!B6,'2016'!$A$5:$A$73,0)))</f>
        <v>22.3</v>
      </c>
      <c r="J6" s="255">
        <v>18.100000000000001</v>
      </c>
      <c r="K6" s="255">
        <v>16.600000000000001</v>
      </c>
      <c r="L6" s="255">
        <v>15.3</v>
      </c>
      <c r="M6" s="255">
        <v>14.5</v>
      </c>
      <c r="N6" s="255">
        <v>14.5</v>
      </c>
      <c r="O6" s="255">
        <v>12.5</v>
      </c>
      <c r="P6" s="255">
        <v>13.9</v>
      </c>
      <c r="Q6" s="255">
        <v>13.4</v>
      </c>
      <c r="R6" s="255">
        <v>15.1</v>
      </c>
      <c r="S6" s="255">
        <v>16.82</v>
      </c>
      <c r="T6" s="255">
        <v>12.587999999999999</v>
      </c>
      <c r="U6" s="255">
        <v>14.002000000000001</v>
      </c>
      <c r="V6" s="255">
        <v>12.692</v>
      </c>
      <c r="W6" s="255">
        <v>19.934000000000001</v>
      </c>
    </row>
    <row r="7" spans="1:23" s="31" customFormat="1" x14ac:dyDescent="0.25">
      <c r="A7" s="31" t="str">
        <f>IFERROR(INDEX('2019 Data (WP)'!$C$9:$C$73,MATCH($B7,'2019 Data (WP)'!$D$9:$D$73,0)),"")</f>
        <v>Water Utility</v>
      </c>
      <c r="B7" s="31" t="s">
        <v>165</v>
      </c>
      <c r="C7" s="31" t="s">
        <v>164</v>
      </c>
      <c r="D7" s="253"/>
      <c r="E7" s="254">
        <f>IF(IFERROR(INDEX('2020'!$C$5:$C$73,MATCH('P-E Ratio (WP)'!B7,'2020'!$A$5:$A$73,0)),0)=0,"N/A",INDEX('2020'!$C$5:$C$73,MATCH('P-E Ratio (WP)'!B7,'2020'!$A$5:$A$73,0)))</f>
        <v>34.299999999999997</v>
      </c>
      <c r="F7" s="254">
        <f>IF(IFERROR(INDEX('2019'!$C$5:$C$73,MATCH('P-E Ratio (WP)'!B7,'2019'!$A$5:$A$73,0)),0)=0,"N/A",INDEX('2019'!$C$5:$C$73,MATCH('P-E Ratio (WP)'!B7,'2019'!$A$5:$A$73,0)))</f>
        <v>34.4</v>
      </c>
      <c r="G7" s="254">
        <f>IF(IFERROR(INDEX('2018'!$C$5:$C$73,MATCH('P-E Ratio (WP)'!B7,'2018'!$A$5:$A$73,0)),0)=0,"N/A",INDEX('2018'!$C$5:$C$73,MATCH('P-E Ratio (WP)'!B7,'2018'!$A$5:$A$73,0)))</f>
        <v>34</v>
      </c>
      <c r="H7" s="254">
        <f>IF(IFERROR(INDEX('2017'!$C$5:$C$73,MATCH('P-E Ratio (WP)'!B7,'2017'!$A$5:$A$73,0)),0)=0,"N/A",INDEX('2017'!$C$5:$C$73,MATCH('P-E Ratio (WP)'!B7,'2017'!$A$5:$A$73,0)))</f>
        <v>25.7</v>
      </c>
      <c r="I7" s="254">
        <f>IF(IFERROR(INDEX('2016'!$C$5:$C$73,MATCH('P-E Ratio (WP)'!B7,'2016'!$A$5:$A$73,0)),0)=0,"N/A",INDEX('2016'!$C$5:$C$73,MATCH('P-E Ratio (WP)'!B7,'2016'!$A$5:$A$73,0)))</f>
        <v>25.6</v>
      </c>
      <c r="J7" s="257">
        <v>24.6</v>
      </c>
      <c r="K7" s="255">
        <v>20.100000000000001</v>
      </c>
      <c r="L7" s="255">
        <v>17.2</v>
      </c>
      <c r="M7" s="255">
        <v>14.3</v>
      </c>
      <c r="N7" s="255">
        <v>15.4</v>
      </c>
      <c r="O7" s="255">
        <v>15.7</v>
      </c>
      <c r="P7" s="255">
        <v>21.2</v>
      </c>
      <c r="Q7" s="255">
        <v>22.6</v>
      </c>
      <c r="R7" s="255">
        <v>24</v>
      </c>
      <c r="S7" s="255">
        <v>27.728999999999999</v>
      </c>
    </row>
    <row r="8" spans="1:23" s="31" customFormat="1" x14ac:dyDescent="0.25">
      <c r="A8" s="31" t="str">
        <f>IFERROR(INDEX('2019 Data (WP)'!$C$9:$C$73,MATCH($B8,'2019 Data (WP)'!$D$9:$D$73,0)),"")</f>
        <v>Water Utility</v>
      </c>
      <c r="B8" s="31" t="s">
        <v>167</v>
      </c>
      <c r="C8" s="31" t="s">
        <v>166</v>
      </c>
      <c r="D8" s="253"/>
      <c r="E8" s="254">
        <f>IF(IFERROR(INDEX('2020'!$C$5:$C$73,MATCH('P-E Ratio (WP)'!B8,'2020'!$A$5:$A$73,0)),0)=0,"N/A",INDEX('2020'!$C$5:$C$73,MATCH('P-E Ratio (WP)'!B8,'2020'!$A$5:$A$73,0)))</f>
        <v>35.299999999999997</v>
      </c>
      <c r="F8" s="254">
        <f>IF(IFERROR(INDEX('2019'!$C$5:$C$73,MATCH('P-E Ratio (WP)'!B8,'2019'!$A$5:$A$73,0)),0)=0,"N/A",INDEX('2019'!$C$5:$C$73,MATCH('P-E Ratio (WP)'!B8,'2019'!$A$5:$A$73,0)))</f>
        <v>32.9</v>
      </c>
      <c r="G8" s="254">
        <f>IF(IFERROR(INDEX('2018'!$C$5:$C$73,MATCH('P-E Ratio (WP)'!B8,'2018'!$A$5:$A$73,0)),0)=0,"N/A",INDEX('2018'!$C$5:$C$73,MATCH('P-E Ratio (WP)'!B8,'2018'!$A$5:$A$73,0)))</f>
        <v>27.3</v>
      </c>
      <c r="H8" s="254">
        <f>IF(IFERROR(INDEX('2017'!$C$5:$C$73,MATCH('P-E Ratio (WP)'!B8,'2017'!$A$5:$A$73,0)),0)=0,"N/A",INDEX('2017'!$C$5:$C$73,MATCH('P-E Ratio (WP)'!B8,'2017'!$A$5:$A$73,0)))</f>
        <v>33.799999999999997</v>
      </c>
      <c r="I8" s="254">
        <f>IF(IFERROR(INDEX('2016'!$C$5:$C$73,MATCH('P-E Ratio (WP)'!B8,'2016'!$A$5:$A$73,0)),0)=0,"N/A",INDEX('2016'!$C$5:$C$73,MATCH('P-E Ratio (WP)'!B8,'2016'!$A$5:$A$73,0)))</f>
        <v>27.7</v>
      </c>
      <c r="J8" s="255">
        <v>20.5</v>
      </c>
      <c r="K8" s="255">
        <v>20</v>
      </c>
      <c r="L8" s="255">
        <v>19.899999999999999</v>
      </c>
      <c r="M8" s="255">
        <v>16.7</v>
      </c>
      <c r="N8" s="255">
        <v>16.8</v>
      </c>
      <c r="O8" s="255">
        <v>14.6</v>
      </c>
      <c r="P8" s="255">
        <v>15.6</v>
      </c>
      <c r="Q8" s="255">
        <v>18.899999999999999</v>
      </c>
      <c r="R8" s="255" t="s">
        <v>106</v>
      </c>
      <c r="S8" s="255" t="s">
        <v>106</v>
      </c>
    </row>
    <row r="9" spans="1:23" s="31" customFormat="1" x14ac:dyDescent="0.25">
      <c r="A9" s="31" t="str">
        <f>IFERROR(INDEX('2019 Data (WP)'!$C$9:$C$73,MATCH($B9,'2019 Data (WP)'!$D$9:$D$73,0)),"")</f>
        <v>Electric Util. (Central)</v>
      </c>
      <c r="B9" s="31" t="s">
        <v>3</v>
      </c>
      <c r="C9" s="31" t="s">
        <v>80</v>
      </c>
      <c r="D9" s="253"/>
      <c r="E9" s="254">
        <f>IF(IFERROR(INDEX('2020'!$C$5:$C$73,MATCH('P-E Ratio (WP)'!B9,'2020'!$A$5:$A$73,0)),0)=0,"N/A",INDEX('2020'!$C$5:$C$73,MATCH('P-E Ratio (WP)'!B9,'2020'!$A$5:$A$73,0)))</f>
        <v>22.2</v>
      </c>
      <c r="F9" s="254">
        <f>IF(IFERROR(INDEX('2019'!$C$5:$C$73,MATCH('P-E Ratio (WP)'!B9,'2019'!$A$5:$A$73,0)),0)=0,"N/A",INDEX('2019'!$C$5:$C$73,MATCH('P-E Ratio (WP)'!B9,'2019'!$A$5:$A$73,0)))</f>
        <v>22.1</v>
      </c>
      <c r="G9" s="254">
        <f>IF(IFERROR(INDEX('2018'!$C$5:$C$73,MATCH('P-E Ratio (WP)'!B9,'2018'!$A$5:$A$73,0)),0)=0,"N/A",INDEX('2018'!$C$5:$C$73,MATCH('P-E Ratio (WP)'!B9,'2018'!$A$5:$A$73,0)))</f>
        <v>18.3</v>
      </c>
      <c r="H9" s="254">
        <f>IF(IFERROR(INDEX('2017'!$C$5:$C$73,MATCH('P-E Ratio (WP)'!B9,'2017'!$A$5:$A$73,0)),0)=0,"N/A",INDEX('2017'!$C$5:$C$73,MATCH('P-E Ratio (WP)'!B9,'2017'!$A$5:$A$73,0)))</f>
        <v>20.6</v>
      </c>
      <c r="I9" s="254">
        <f>IF(IFERROR(INDEX('2016'!$C$5:$C$73,MATCH('P-E Ratio (WP)'!B9,'2016'!$A$5:$A$73,0)),0)=0,"N/A",INDEX('2016'!$C$5:$C$73,MATCH('P-E Ratio (WP)'!B9,'2016'!$A$5:$A$73,0)))</f>
        <v>18.3</v>
      </c>
      <c r="J9" s="255">
        <v>17.5</v>
      </c>
      <c r="K9" s="255">
        <v>16.7</v>
      </c>
      <c r="L9" s="255">
        <v>16.5</v>
      </c>
      <c r="M9" s="255">
        <v>13.4</v>
      </c>
      <c r="N9" s="255">
        <v>11.9</v>
      </c>
      <c r="O9" s="255">
        <v>9.6999999999999993</v>
      </c>
      <c r="P9" s="255">
        <v>9.3000000000000007</v>
      </c>
      <c r="Q9" s="255">
        <v>14.2</v>
      </c>
      <c r="R9" s="255">
        <v>17.399999999999999</v>
      </c>
      <c r="S9" s="255">
        <v>19.385000000000002</v>
      </c>
      <c r="T9" s="255">
        <v>16.716000000000001</v>
      </c>
      <c r="U9" s="255">
        <v>16.276</v>
      </c>
      <c r="V9" s="255">
        <v>13.505000000000001</v>
      </c>
      <c r="W9" s="255">
        <v>15.779</v>
      </c>
    </row>
    <row r="10" spans="1:23" s="31" customFormat="1" x14ac:dyDescent="0.25">
      <c r="A10" s="31" t="str">
        <f>IFERROR(INDEX('2019 Data (WP)'!$C$9:$C$73,MATCH($B10,'2019 Data (WP)'!$D$9:$D$73,0)),"")</f>
        <v>Electric Util. (Central)</v>
      </c>
      <c r="B10" s="31" t="s">
        <v>2</v>
      </c>
      <c r="C10" s="31" t="s">
        <v>103</v>
      </c>
      <c r="D10" s="253"/>
      <c r="E10" s="254">
        <f>IF(IFERROR(INDEX('2020'!$C$5:$C$73,MATCH('P-E Ratio (WP)'!B10,'2020'!$A$5:$A$73,0)),0)=0,"N/A",INDEX('2020'!$C$5:$C$73,MATCH('P-E Ratio (WP)'!B10,'2020'!$A$5:$A$73,0)))</f>
        <v>19.600000000000001</v>
      </c>
      <c r="F10" s="254">
        <f>IF(IFERROR(INDEX('2019'!$C$5:$C$73,MATCH('P-E Ratio (WP)'!B10,'2019'!$A$5:$A$73,0)),0)=0,"N/A",INDEX('2019'!$C$5:$C$73,MATCH('P-E Ratio (WP)'!B10,'2019'!$A$5:$A$73,0)))</f>
        <v>21.4</v>
      </c>
      <c r="G10" s="254">
        <f>IF(IFERROR(INDEX('2018'!$C$5:$C$73,MATCH('P-E Ratio (WP)'!B10,'2018'!$A$5:$A$73,0)),0)=0,"N/A",INDEX('2018'!$C$5:$C$73,MATCH('P-E Ratio (WP)'!B10,'2018'!$A$5:$A$73,0)))</f>
        <v>18</v>
      </c>
      <c r="H10" s="254">
        <f>IF(IFERROR(INDEX('2017'!$C$5:$C$73,MATCH('P-E Ratio (WP)'!B10,'2017'!$A$5:$A$73,0)),0)=0,"N/A",INDEX('2017'!$C$5:$C$73,MATCH('P-E Ratio (WP)'!B10,'2017'!$A$5:$A$73,0)))</f>
        <v>19.3</v>
      </c>
      <c r="I10" s="254">
        <f>IF(IFERROR(INDEX('2016'!$C$5:$C$73,MATCH('P-E Ratio (WP)'!B10,'2016'!$A$5:$A$73,0)),0)=0,"N/A",INDEX('2016'!$C$5:$C$73,MATCH('P-E Ratio (WP)'!B10,'2016'!$A$5:$A$73,0)))</f>
        <v>15.2</v>
      </c>
      <c r="J10" s="255">
        <v>15.8</v>
      </c>
      <c r="K10" s="255">
        <v>15.9</v>
      </c>
      <c r="L10" s="255">
        <v>14.5</v>
      </c>
      <c r="M10" s="255">
        <v>13.8</v>
      </c>
      <c r="N10" s="255">
        <v>11.9</v>
      </c>
      <c r="O10" s="255">
        <v>13.4</v>
      </c>
      <c r="P10" s="255">
        <v>10</v>
      </c>
      <c r="Q10" s="255">
        <v>13.1</v>
      </c>
      <c r="R10" s="255">
        <v>16.3</v>
      </c>
      <c r="S10" s="255">
        <v>12.906000000000001</v>
      </c>
      <c r="T10" s="255">
        <v>13.695</v>
      </c>
      <c r="U10" s="255">
        <v>12.420999999999999</v>
      </c>
      <c r="V10" s="255">
        <v>10.662000000000001</v>
      </c>
      <c r="W10" s="255">
        <v>12.676</v>
      </c>
    </row>
    <row r="11" spans="1:23" s="31" customFormat="1" x14ac:dyDescent="0.25">
      <c r="A11" s="31" t="str">
        <f>IFERROR(INDEX('2019 Data (WP)'!$C$9:$C$73,MATCH($B11,'2019 Data (WP)'!$D$9:$D$73,0)),"")</f>
        <v>Water Utility</v>
      </c>
      <c r="B11" s="31" t="s">
        <v>171</v>
      </c>
      <c r="C11" s="31" t="s">
        <v>170</v>
      </c>
      <c r="D11" s="253"/>
      <c r="E11" s="254" t="str">
        <f>IF(IFERROR(INDEX('2020'!$C$5:$C$73,MATCH('P-E Ratio (WP)'!B11,'2020'!$A$5:$A$73,0)),0)=0,"N/A",INDEX('2020'!$C$5:$C$73,MATCH('P-E Ratio (WP)'!B11,'2020'!$A$5:$A$73,0)))</f>
        <v>N/A</v>
      </c>
      <c r="F11" s="254" t="str">
        <f>IF(IFERROR(INDEX('2019'!$C$5:$C$73,MATCH('P-E Ratio (WP)'!B11,'2019'!$A$5:$A$73,0)),0)=0,"N/A",INDEX('2019'!$C$5:$C$73,MATCH('P-E Ratio (WP)'!B11,'2019'!$A$5:$A$73,0)))</f>
        <v>N/A</v>
      </c>
      <c r="G11" s="254">
        <f>IF(IFERROR(INDEX('2018'!$C$5:$C$73,MATCH('P-E Ratio (WP)'!B11,'2018'!$A$5:$A$73,0)),0)=0,"N/A",INDEX('2018'!$C$5:$C$73,MATCH('P-E Ratio (WP)'!B11,'2018'!$A$5:$A$73,0)))</f>
        <v>32.569000000000003</v>
      </c>
      <c r="H11" s="254">
        <f>IF(IFERROR(INDEX('2017'!$C$5:$C$73,MATCH('P-E Ratio (WP)'!B11,'2017'!$A$5:$A$73,0)),0)=0,"N/A",INDEX('2017'!$C$5:$C$73,MATCH('P-E Ratio (WP)'!B11,'2017'!$A$5:$A$73,0)))</f>
        <v>24.664000000000001</v>
      </c>
      <c r="I11" s="254">
        <f>IF(IFERROR(INDEX('2016'!$C$5:$C$73,MATCH('P-E Ratio (WP)'!B11,'2016'!$A$5:$A$73,0)),0)=0,"N/A",INDEX('2016'!$C$5:$C$73,MATCH('P-E Ratio (WP)'!B11,'2016'!$A$5:$A$73,0)))</f>
        <v>23.863</v>
      </c>
      <c r="J11" s="255">
        <v>23.509</v>
      </c>
      <c r="K11" s="255">
        <v>20.760999999999999</v>
      </c>
      <c r="L11" s="255">
        <v>21.18</v>
      </c>
      <c r="M11" s="255">
        <v>21.937000000000001</v>
      </c>
      <c r="N11" s="255">
        <v>21.257000000000001</v>
      </c>
      <c r="O11" s="255">
        <v>21.077999999999999</v>
      </c>
      <c r="P11" s="255">
        <v>23.094000000000001</v>
      </c>
      <c r="Q11" s="255">
        <v>24.928000000000001</v>
      </c>
      <c r="R11" s="255">
        <v>31.968</v>
      </c>
      <c r="S11" s="255">
        <v>34.704000000000001</v>
      </c>
    </row>
    <row r="12" spans="1:23" s="31" customFormat="1" x14ac:dyDescent="0.25">
      <c r="A12" s="31" t="str">
        <f>IFERROR(INDEX('2019 Data (WP)'!$C$9:$C$73,MATCH($B12,'2019 Data (WP)'!$D$9:$D$73,0)),"")</f>
        <v>Natural Gas Utility</v>
      </c>
      <c r="B12" s="31" t="s">
        <v>175</v>
      </c>
      <c r="C12" s="31" t="s">
        <v>174</v>
      </c>
      <c r="D12" s="253"/>
      <c r="E12" s="254">
        <f>IF(IFERROR(INDEX('2020'!$C$5:$C$73,MATCH('P-E Ratio (WP)'!B12,'2020'!$A$5:$A$73,0)),0)=0,"N/A",INDEX('2020'!$C$5:$C$73,MATCH('P-E Ratio (WP)'!B12,'2020'!$A$5:$A$73,0)))</f>
        <v>22.3</v>
      </c>
      <c r="F12" s="254">
        <f>IF(IFERROR(INDEX('2019'!$C$5:$C$73,MATCH('P-E Ratio (WP)'!B12,'2019'!$A$5:$A$73,0)),0)=0,"N/A",INDEX('2019'!$C$5:$C$73,MATCH('P-E Ratio (WP)'!B12,'2019'!$A$5:$A$73,0)))</f>
        <v>23.2</v>
      </c>
      <c r="G12" s="254">
        <f>IF(IFERROR(INDEX('2018'!$C$5:$C$73,MATCH('P-E Ratio (WP)'!B12,'2018'!$A$5:$A$73,0)),0)=0,"N/A",INDEX('2018'!$C$5:$C$73,MATCH('P-E Ratio (WP)'!B12,'2018'!$A$5:$A$73,0)))</f>
        <v>21.7</v>
      </c>
      <c r="H12" s="254">
        <f>IF(IFERROR(INDEX('2017'!$C$5:$C$73,MATCH('P-E Ratio (WP)'!B12,'2017'!$A$5:$A$73,0)),0)=0,"N/A",INDEX('2017'!$C$5:$C$73,MATCH('P-E Ratio (WP)'!B12,'2017'!$A$5:$A$73,0)))</f>
        <v>22</v>
      </c>
      <c r="I12" s="254">
        <f>IF(IFERROR(INDEX('2016'!$C$5:$C$73,MATCH('P-E Ratio (WP)'!B12,'2016'!$A$5:$A$73,0)),0)=0,"N/A",INDEX('2016'!$C$5:$C$73,MATCH('P-E Ratio (WP)'!B12,'2016'!$A$5:$A$73,0)))</f>
        <v>20.8</v>
      </c>
      <c r="J12" s="255">
        <v>17.5</v>
      </c>
      <c r="K12" s="255">
        <v>16.100000000000001</v>
      </c>
      <c r="L12" s="255">
        <v>15.9</v>
      </c>
      <c r="M12" s="255">
        <v>15.9</v>
      </c>
      <c r="N12" s="255">
        <v>14.4</v>
      </c>
      <c r="O12" s="255">
        <v>13.2</v>
      </c>
      <c r="P12" s="255">
        <v>12.5</v>
      </c>
      <c r="Q12" s="255">
        <v>13.6</v>
      </c>
      <c r="R12" s="255">
        <v>15.9</v>
      </c>
      <c r="S12" s="255">
        <v>13.523999999999999</v>
      </c>
    </row>
    <row r="13" spans="1:23" s="31" customFormat="1" x14ac:dyDescent="0.25">
      <c r="A13" s="31" t="str">
        <f>IFERROR(INDEX('2019 Data (WP)'!$C$9:$C$73,MATCH($B13,'2019 Data (WP)'!$D$9:$D$73,0)),"")</f>
        <v>Electric Utility (East)</v>
      </c>
      <c r="B13" s="31" t="s">
        <v>260</v>
      </c>
      <c r="C13" s="31" t="s">
        <v>261</v>
      </c>
      <c r="D13" s="253"/>
      <c r="E13" s="254">
        <f>IF(IFERROR(INDEX('2020'!$C$5:$C$73,MATCH('P-E Ratio (WP)'!B13,'2020'!$A$5:$A$73,0)),0)=0,"N/A",INDEX('2020'!$C$5:$C$73,MATCH('P-E Ratio (WP)'!B13,'2020'!$A$5:$A$73,0)))</f>
        <v>23.6</v>
      </c>
      <c r="F13" s="254">
        <f>IF(IFERROR(INDEX('2019'!$C$5:$C$73,MATCH('P-E Ratio (WP)'!B13,'2019'!$A$5:$A$73,0)),0)=0,"N/A",INDEX('2019'!$C$5:$C$73,MATCH('P-E Ratio (WP)'!B13,'2019'!$A$5:$A$73,0)))</f>
        <v>23.1</v>
      </c>
      <c r="G13" s="254">
        <f>IF(IFERROR(INDEX('2018'!$C$5:$C$73,MATCH('P-E Ratio (WP)'!B13,'2018'!$A$5:$A$73,0)),0)=0,"N/A",INDEX('2018'!$C$5:$C$73,MATCH('P-E Ratio (WP)'!B13,'2018'!$A$5:$A$73,0)))</f>
        <v>26.1</v>
      </c>
      <c r="H13" s="254">
        <f>IF(IFERROR(INDEX('2017'!$C$5:$C$73,MATCH('P-E Ratio (WP)'!B13,'2017'!$A$5:$A$73,0)),0)=0,"N/A",INDEX('2017'!$C$5:$C$73,MATCH('P-E Ratio (WP)'!B13,'2017'!$A$5:$A$73,0)))</f>
        <v>27.3</v>
      </c>
      <c r="I13" s="254">
        <f>IF(IFERROR(INDEX('2016'!$C$5:$C$73,MATCH('P-E Ratio (WP)'!B13,'2016'!$A$5:$A$73,0)),0)=0,"N/A",INDEX('2016'!$C$5:$C$73,MATCH('P-E Ratio (WP)'!B13,'2016'!$A$5:$A$73,0)))</f>
        <v>20.5</v>
      </c>
      <c r="J13" s="255">
        <v>33.5</v>
      </c>
      <c r="K13" s="255" t="s">
        <v>106</v>
      </c>
      <c r="L13" s="255" t="s">
        <v>106</v>
      </c>
      <c r="M13" s="255" t="s">
        <v>106</v>
      </c>
      <c r="N13" s="255" t="s">
        <v>106</v>
      </c>
      <c r="O13" s="255" t="s">
        <v>106</v>
      </c>
      <c r="P13" s="255" t="s">
        <v>106</v>
      </c>
      <c r="Q13" s="255" t="s">
        <v>106</v>
      </c>
      <c r="R13" s="255" t="s">
        <v>106</v>
      </c>
      <c r="S13" s="255" t="s">
        <v>106</v>
      </c>
      <c r="T13" s="255" t="s">
        <v>106</v>
      </c>
      <c r="U13" s="255" t="s">
        <v>106</v>
      </c>
      <c r="V13" s="255" t="s">
        <v>106</v>
      </c>
      <c r="W13" s="255" t="s">
        <v>106</v>
      </c>
    </row>
    <row r="14" spans="1:23" s="31" customFormat="1" x14ac:dyDescent="0.25">
      <c r="A14" s="31" t="str">
        <f>IFERROR(INDEX('2019 Data (WP)'!$C$9:$C$73,MATCH($B14,'2019 Data (WP)'!$D$9:$D$73,0)),"")</f>
        <v>Electric Utility (West)</v>
      </c>
      <c r="B14" s="31" t="s">
        <v>4</v>
      </c>
      <c r="C14" s="31" t="s">
        <v>86</v>
      </c>
      <c r="D14" s="253"/>
      <c r="E14" s="254">
        <f>IF(IFERROR(INDEX('2020'!$C$5:$C$73,MATCH('P-E Ratio (WP)'!B14,'2020'!$A$5:$A$73,0)),0)=0,"N/A",INDEX('2020'!$C$5:$C$73,MATCH('P-E Ratio (WP)'!B14,'2020'!$A$5:$A$73,0)))</f>
        <v>21.2</v>
      </c>
      <c r="F14" s="254">
        <f>IF(IFERROR(INDEX('2019'!$C$5:$C$73,MATCH('P-E Ratio (WP)'!B14,'2019'!$A$5:$A$73,0)),0)=0,"N/A",INDEX('2019'!$C$5:$C$73,MATCH('P-E Ratio (WP)'!B14,'2019'!$A$5:$A$73,0)))</f>
        <v>15</v>
      </c>
      <c r="G14" s="254">
        <f>IF(IFERROR(INDEX('2018'!$C$5:$C$73,MATCH('P-E Ratio (WP)'!B14,'2018'!$A$5:$A$73,0)),0)=0,"N/A",INDEX('2018'!$C$5:$C$73,MATCH('P-E Ratio (WP)'!B14,'2018'!$A$5:$A$73,0)))</f>
        <v>24.5</v>
      </c>
      <c r="H14" s="254">
        <f>IF(IFERROR(INDEX('2017'!$C$5:$C$73,MATCH('P-E Ratio (WP)'!B14,'2017'!$A$5:$A$73,0)),0)=0,"N/A",INDEX('2017'!$C$5:$C$73,MATCH('P-E Ratio (WP)'!B14,'2017'!$A$5:$A$73,0)))</f>
        <v>23.4</v>
      </c>
      <c r="I14" s="254">
        <f>IF(IFERROR(INDEX('2016'!$C$5:$C$73,MATCH('P-E Ratio (WP)'!B14,'2016'!$A$5:$A$73,0)),0)=0,"N/A",INDEX('2016'!$C$5:$C$73,MATCH('P-E Ratio (WP)'!B14,'2016'!$A$5:$A$73,0)))</f>
        <v>18.8</v>
      </c>
      <c r="J14" s="255">
        <v>17.600000000000001</v>
      </c>
      <c r="K14" s="255">
        <v>17.3</v>
      </c>
      <c r="L14" s="255">
        <v>14.6</v>
      </c>
      <c r="M14" s="255">
        <v>19.3</v>
      </c>
      <c r="N14" s="255">
        <v>14.1</v>
      </c>
      <c r="O14" s="255">
        <v>12.7</v>
      </c>
      <c r="P14" s="255">
        <v>11.4</v>
      </c>
      <c r="Q14" s="255">
        <v>15</v>
      </c>
      <c r="R14" s="255">
        <v>30.9</v>
      </c>
      <c r="S14" s="255">
        <v>15.39</v>
      </c>
      <c r="T14" s="255">
        <v>19.446999999999999</v>
      </c>
      <c r="U14" s="255">
        <v>24.431999999999999</v>
      </c>
      <c r="V14" s="255">
        <v>13.842000000000001</v>
      </c>
      <c r="W14" s="255">
        <v>19.27</v>
      </c>
    </row>
    <row r="15" spans="1:23" s="31" customFormat="1" x14ac:dyDescent="0.25">
      <c r="A15" s="31" t="str">
        <f>IFERROR(INDEX('2019 Data (WP)'!$C$9:$C$73,MATCH($B15,'2019 Data (WP)'!$D$9:$D$73,0)),"")</f>
        <v>Electric Utility (West)</v>
      </c>
      <c r="B15" s="31" t="s">
        <v>5</v>
      </c>
      <c r="C15" s="31" t="s">
        <v>46</v>
      </c>
      <c r="D15" s="253"/>
      <c r="E15" s="254">
        <f>IF(IFERROR(INDEX('2020'!$C$5:$C$73,MATCH('P-E Ratio (WP)'!B15,'2020'!$A$5:$A$73,0)),0)=0,"N/A",INDEX('2020'!$C$5:$C$73,MATCH('P-E Ratio (WP)'!B15,'2020'!$A$5:$A$73,0)))</f>
        <v>17</v>
      </c>
      <c r="F15" s="254">
        <f>IF(IFERROR(INDEX('2019'!$C$5:$C$73,MATCH('P-E Ratio (WP)'!B15,'2019'!$A$5:$A$73,0)),0)=0,"N/A",INDEX('2019'!$C$5:$C$73,MATCH('P-E Ratio (WP)'!B15,'2019'!$A$5:$A$73,0)))</f>
        <v>21.2</v>
      </c>
      <c r="G15" s="254">
        <f>IF(IFERROR(INDEX('2018'!$C$5:$C$73,MATCH('P-E Ratio (WP)'!B15,'2018'!$A$5:$A$73,0)),0)=0,"N/A",INDEX('2018'!$C$5:$C$73,MATCH('P-E Ratio (WP)'!B15,'2018'!$A$5:$A$73,0)))</f>
        <v>16.8</v>
      </c>
      <c r="H15" s="254">
        <f>IF(IFERROR(INDEX('2017'!$C$5:$C$73,MATCH('P-E Ratio (WP)'!B15,'2017'!$A$5:$A$73,0)),0)=0,"N/A",INDEX('2017'!$C$5:$C$73,MATCH('P-E Ratio (WP)'!B15,'2017'!$A$5:$A$73,0)))</f>
        <v>19.5</v>
      </c>
      <c r="I15" s="254">
        <f>IF(IFERROR(INDEX('2016'!$C$5:$C$73,MATCH('P-E Ratio (WP)'!B15,'2016'!$A$5:$A$73,0)),0)=0,"N/A",INDEX('2016'!$C$5:$C$73,MATCH('P-E Ratio (WP)'!B15,'2016'!$A$5:$A$73,0)))</f>
        <v>22.3</v>
      </c>
      <c r="J15" s="255">
        <v>16.100000000000001</v>
      </c>
      <c r="K15" s="255">
        <v>19</v>
      </c>
      <c r="L15" s="255">
        <v>18.2</v>
      </c>
      <c r="M15" s="255">
        <v>17.100000000000001</v>
      </c>
      <c r="N15" s="255">
        <v>31.1</v>
      </c>
      <c r="O15" s="255">
        <v>18.100000000000001</v>
      </c>
      <c r="P15" s="255">
        <v>9.9</v>
      </c>
      <c r="Q15" s="255" t="s">
        <v>105</v>
      </c>
      <c r="R15" s="255">
        <v>15</v>
      </c>
      <c r="S15" s="255">
        <v>15.766999999999999</v>
      </c>
      <c r="T15" s="255">
        <v>17.265000000000001</v>
      </c>
      <c r="U15" s="255">
        <v>17.129000000000001</v>
      </c>
      <c r="V15" s="255">
        <v>15.949</v>
      </c>
      <c r="W15" s="255">
        <v>12.515000000000001</v>
      </c>
    </row>
    <row r="16" spans="1:23" s="31" customFormat="1" x14ac:dyDescent="0.25">
      <c r="A16" s="31" t="str">
        <f>IFERROR(INDEX('2019 Data (WP)'!$C$9:$C$73,MATCH($B16,'2019 Data (WP)'!$D$9:$D$73,0)),"")</f>
        <v>Water Utility</v>
      </c>
      <c r="B16" s="31" t="s">
        <v>177</v>
      </c>
      <c r="C16" s="31" t="s">
        <v>176</v>
      </c>
      <c r="D16" s="253"/>
      <c r="E16" s="254">
        <f>IF(IFERROR(INDEX('2020'!$C$5:$C$73,MATCH('P-E Ratio (WP)'!B16,'2020'!$A$5:$A$73,0)),0)=0,"N/A",INDEX('2020'!$C$5:$C$73,MATCH('P-E Ratio (WP)'!B16,'2020'!$A$5:$A$73,0)))</f>
        <v>24.9</v>
      </c>
      <c r="F16" s="254">
        <f>IF(IFERROR(INDEX('2019'!$C$5:$C$73,MATCH('P-E Ratio (WP)'!B16,'2019'!$A$5:$A$73,0)),0)=0,"N/A",INDEX('2019'!$C$5:$C$73,MATCH('P-E Ratio (WP)'!B16,'2019'!$A$5:$A$73,0)))</f>
        <v>39.299999999999997</v>
      </c>
      <c r="G16" s="254">
        <f>IF(IFERROR(INDEX('2018'!$C$5:$C$73,MATCH('P-E Ratio (WP)'!B16,'2018'!$A$5:$A$73,0)),0)=0,"N/A",INDEX('2018'!$C$5:$C$73,MATCH('P-E Ratio (WP)'!B16,'2018'!$A$5:$A$73,0)))</f>
        <v>30.3</v>
      </c>
      <c r="H16" s="254">
        <f>IF(IFERROR(INDEX('2017'!$C$5:$C$73,MATCH('P-E Ratio (WP)'!B16,'2017'!$A$5:$A$73,0)),0)=0,"N/A",INDEX('2017'!$C$5:$C$73,MATCH('P-E Ratio (WP)'!B16,'2017'!$A$5:$A$73,0)))</f>
        <v>26.9</v>
      </c>
      <c r="I16" s="254">
        <f>IF(IFERROR(INDEX('2016'!$C$5:$C$73,MATCH('P-E Ratio (WP)'!B16,'2016'!$A$5:$A$73,0)),0)=0,"N/A",INDEX('2016'!$C$5:$C$73,MATCH('P-E Ratio (WP)'!B16,'2016'!$A$5:$A$73,0)))</f>
        <v>29.6</v>
      </c>
      <c r="J16" s="255">
        <v>24.8</v>
      </c>
      <c r="K16" s="255">
        <v>19.7</v>
      </c>
      <c r="L16" s="255">
        <v>20.100000000000001</v>
      </c>
      <c r="M16" s="255">
        <v>17.899999999999999</v>
      </c>
      <c r="N16" s="255">
        <v>21.3</v>
      </c>
      <c r="O16" s="255">
        <v>20.3</v>
      </c>
      <c r="P16" s="255">
        <v>19.7</v>
      </c>
      <c r="Q16" s="255">
        <v>19.8</v>
      </c>
      <c r="R16" s="255">
        <v>26.1</v>
      </c>
      <c r="S16" s="255">
        <v>29.239000000000001</v>
      </c>
    </row>
    <row r="17" spans="1:23" s="31" customFormat="1" x14ac:dyDescent="0.25">
      <c r="A17" s="31" t="str">
        <f>IFERROR(INDEX('2019 Data (WP)'!$C$9:$C$73,MATCH($B17,'2019 Data (WP)'!$D$9:$D$73,0)),"")</f>
        <v>Electric Util. (Central)</v>
      </c>
      <c r="B17" s="31" t="s">
        <v>6</v>
      </c>
      <c r="C17" s="31" t="s">
        <v>90</v>
      </c>
      <c r="D17" s="253"/>
      <c r="E17" s="254">
        <f>IF(IFERROR(INDEX('2020'!$C$5:$C$73,MATCH('P-E Ratio (WP)'!B17,'2020'!$A$5:$A$73,0)),0)=0,"N/A",INDEX('2020'!$C$5:$C$73,MATCH('P-E Ratio (WP)'!B17,'2020'!$A$5:$A$73,0)))</f>
        <v>15.9</v>
      </c>
      <c r="F17" s="254">
        <f>IF(IFERROR(INDEX('2019'!$C$5:$C$73,MATCH('P-E Ratio (WP)'!B17,'2019'!$A$5:$A$73,0)),0)=0,"N/A",INDEX('2019'!$C$5:$C$73,MATCH('P-E Ratio (WP)'!B17,'2019'!$A$5:$A$73,0)))</f>
        <v>19.5</v>
      </c>
      <c r="G17" s="254">
        <f>IF(IFERROR(INDEX('2018'!$C$5:$C$73,MATCH('P-E Ratio (WP)'!B17,'2018'!$A$5:$A$73,0)),0)=0,"N/A",INDEX('2018'!$C$5:$C$73,MATCH('P-E Ratio (WP)'!B17,'2018'!$A$5:$A$73,0)))</f>
        <v>37</v>
      </c>
      <c r="H17" s="254">
        <f>IF(IFERROR(INDEX('2017'!$C$5:$C$73,MATCH('P-E Ratio (WP)'!B17,'2017'!$A$5:$A$73,0)),0)=0,"N/A",INDEX('2017'!$C$5:$C$73,MATCH('P-E Ratio (WP)'!B17,'2017'!$A$5:$A$73,0)))</f>
        <v>17.899999999999999</v>
      </c>
      <c r="I17" s="254">
        <f>IF(IFERROR(INDEX('2016'!$C$5:$C$73,MATCH('P-E Ratio (WP)'!B17,'2016'!$A$5:$A$73,0)),0)=0,"N/A",INDEX('2016'!$C$5:$C$73,MATCH('P-E Ratio (WP)'!B17,'2016'!$A$5:$A$73,0)))</f>
        <v>21.9</v>
      </c>
      <c r="J17" s="255">
        <v>18.100000000000001</v>
      </c>
      <c r="K17" s="255">
        <v>17</v>
      </c>
      <c r="L17" s="255">
        <v>18.7</v>
      </c>
      <c r="M17" s="255">
        <v>14.8</v>
      </c>
      <c r="N17" s="255">
        <v>14.6</v>
      </c>
      <c r="O17" s="255">
        <v>13.8</v>
      </c>
      <c r="P17" s="255">
        <v>11.8</v>
      </c>
      <c r="Q17" s="255">
        <v>11.3</v>
      </c>
      <c r="R17" s="255">
        <v>15</v>
      </c>
      <c r="S17" s="255">
        <v>10.265000000000001</v>
      </c>
      <c r="T17" s="255">
        <v>19.055</v>
      </c>
      <c r="U17" s="255">
        <v>17.841000000000001</v>
      </c>
      <c r="V17" s="255">
        <v>6.0469999999999997</v>
      </c>
      <c r="W17" s="255">
        <v>5.59</v>
      </c>
    </row>
    <row r="18" spans="1:23" s="31" customFormat="1" x14ac:dyDescent="0.25">
      <c r="A18" s="31" t="str">
        <f>IFERROR(INDEX('2019 Data (WP)'!$C$9:$C$73,MATCH($B18,'2019 Data (WP)'!$D$9:$D$73,0)),"")</f>
        <v/>
      </c>
      <c r="B18" s="31" t="s">
        <v>7</v>
      </c>
      <c r="C18" s="31" t="s">
        <v>48</v>
      </c>
      <c r="D18" s="253"/>
      <c r="E18" s="254" t="str">
        <f>IF(IFERROR(INDEX('2020'!$C$5:$C$73,MATCH('P-E Ratio (WP)'!B18,'2020'!$A$5:$A$73,0)),0)=0,"N/A",INDEX('2020'!$C$5:$C$73,MATCH('P-E Ratio (WP)'!B18,'2020'!$A$5:$A$73,0)))</f>
        <v>N/A</v>
      </c>
      <c r="F18" s="254" t="str">
        <f>IF(IFERROR(INDEX('2019'!$C$5:$C$73,MATCH('P-E Ratio (WP)'!B18,'2019'!$A$5:$A$73,0)),0)=0,"N/A",INDEX('2019'!$C$5:$C$73,MATCH('P-E Ratio (WP)'!B18,'2019'!$A$5:$A$73,0)))</f>
        <v>N/A</v>
      </c>
      <c r="G18" s="254" t="str">
        <f>IF(IFERROR(INDEX('2018'!$C$5:$C$73,MATCH('P-E Ratio (WP)'!B18,'2018'!$A$5:$A$73,0)),0)=0,"N/A",INDEX('2018'!$C$5:$C$73,MATCH('P-E Ratio (WP)'!B18,'2018'!$A$5:$A$73,0)))</f>
        <v>N/A</v>
      </c>
      <c r="H18" s="254" t="str">
        <f>IF(IFERROR(INDEX('2017'!$C$5:$C$73,MATCH('P-E Ratio (WP)'!B18,'2017'!$A$5:$A$73,0)),0)=0,"N/A",INDEX('2017'!$C$5:$C$73,MATCH('P-E Ratio (WP)'!B18,'2017'!$A$5:$A$73,0)))</f>
        <v>N/A</v>
      </c>
      <c r="I18" s="254" t="str">
        <f>IF(IFERROR(INDEX('2016'!$C$5:$C$73,MATCH('P-E Ratio (WP)'!B18,'2016'!$A$5:$A$73,0)),0)=0,"N/A",INDEX('2016'!$C$5:$C$73,MATCH('P-E Ratio (WP)'!B18,'2016'!$A$5:$A$73,0)))</f>
        <v>N/A</v>
      </c>
      <c r="J18" s="254" t="str">
        <f>IF(IFERROR(INDEX('2017'!$C$5:$C$72,MATCH('P-E Ratio (WP)'!C18,'2017'!$A$5:$A$72,0)),0)=0,"N/A",INDEX('2017'!$C$5:$C$72,MATCH('P-E Ratio (WP)'!C18,'2017'!$A$5:$A$72,0)))</f>
        <v>N/A</v>
      </c>
      <c r="K18" s="254" t="str">
        <f>IF(IFERROR(INDEX('2017'!$C$5:$C$72,MATCH('P-E Ratio (WP)'!D18,'2017'!$A$5:$A$72,0)),0)=0,"N/A",INDEX('2017'!$C$5:$C$72,MATCH('P-E Ratio (WP)'!D18,'2017'!$A$5:$A$72,0)))</f>
        <v>N/A</v>
      </c>
      <c r="L18" s="254" t="str">
        <f>IF(IFERROR(INDEX('2017'!$C$5:$C$72,MATCH('P-E Ratio (WP)'!I18,'2017'!$A$5:$A$72,0)),0)=0,"N/A",INDEX('2017'!$C$5:$C$72,MATCH('P-E Ratio (WP)'!I18,'2017'!$A$5:$A$72,0)))</f>
        <v>N/A</v>
      </c>
      <c r="M18" s="254" t="str">
        <f>IF(IFERROR(INDEX('2017'!$C$5:$C$72,MATCH('P-E Ratio (WP)'!J18,'2017'!$A$5:$A$72,0)),0)=0,"N/A",INDEX('2017'!$C$5:$C$72,MATCH('P-E Ratio (WP)'!J18,'2017'!$A$5:$A$72,0)))</f>
        <v>N/A</v>
      </c>
      <c r="N18" s="254" t="str">
        <f>IF(IFERROR(INDEX('2017'!$C$5:$C$72,MATCH('P-E Ratio (WP)'!K18,'2017'!$A$5:$A$72,0)),0)=0,"N/A",INDEX('2017'!$C$5:$C$72,MATCH('P-E Ratio (WP)'!K18,'2017'!$A$5:$A$72,0)))</f>
        <v>N/A</v>
      </c>
      <c r="O18" s="254" t="str">
        <f>IF(IFERROR(INDEX('2017'!$C$5:$C$72,MATCH('P-E Ratio (WP)'!L18,'2017'!$A$5:$A$72,0)),0)=0,"N/A",INDEX('2017'!$C$5:$C$72,MATCH('P-E Ratio (WP)'!L18,'2017'!$A$5:$A$72,0)))</f>
        <v>N/A</v>
      </c>
      <c r="P18" s="254" t="str">
        <f>IF(IFERROR(INDEX('2017'!$C$5:$C$72,MATCH('P-E Ratio (WP)'!M18,'2017'!$A$5:$A$72,0)),0)=0,"N/A",INDEX('2017'!$C$5:$C$72,MATCH('P-E Ratio (WP)'!M18,'2017'!$A$5:$A$72,0)))</f>
        <v>N/A</v>
      </c>
      <c r="Q18" s="254" t="str">
        <f>IF(IFERROR(INDEX('2017'!$C$5:$C$72,MATCH('P-E Ratio (WP)'!N18,'2017'!$A$5:$A$72,0)),0)=0,"N/A",INDEX('2017'!$C$5:$C$72,MATCH('P-E Ratio (WP)'!N18,'2017'!$A$5:$A$72,0)))</f>
        <v>N/A</v>
      </c>
      <c r="R18" s="254" t="str">
        <f>IF(IFERROR(INDEX('2017'!$C$5:$C$72,MATCH('P-E Ratio (WP)'!O18,'2017'!$A$5:$A$72,0)),0)=0,"N/A",INDEX('2017'!$C$5:$C$72,MATCH('P-E Ratio (WP)'!O18,'2017'!$A$5:$A$72,0)))</f>
        <v>N/A</v>
      </c>
      <c r="S18" s="254" t="str">
        <f>IF(IFERROR(INDEX('2017'!$C$5:$C$72,MATCH('P-E Ratio (WP)'!P18,'2017'!$A$5:$A$72,0)),0)=0,"N/A",INDEX('2017'!$C$5:$C$72,MATCH('P-E Ratio (WP)'!P18,'2017'!$A$5:$A$72,0)))</f>
        <v>N/A</v>
      </c>
      <c r="T18" s="255" t="s">
        <v>106</v>
      </c>
      <c r="U18" s="255">
        <v>17.190000000000001</v>
      </c>
      <c r="V18" s="255">
        <v>15.709</v>
      </c>
      <c r="W18" s="255">
        <v>22.559000000000001</v>
      </c>
    </row>
    <row r="19" spans="1:23" s="31" customFormat="1" x14ac:dyDescent="0.25">
      <c r="A19" s="31" t="str">
        <f>IFERROR(INDEX('2019 Data (WP)'!$C$9:$C$73,MATCH($B19,'2019 Data (WP)'!$D$9:$D$73,0)),"")</f>
        <v>Natural Gas Utility</v>
      </c>
      <c r="B19" s="31" t="s">
        <v>178</v>
      </c>
      <c r="C19" s="31" t="s">
        <v>215</v>
      </c>
      <c r="D19" s="253"/>
      <c r="E19" s="254">
        <f>IF(IFERROR(INDEX('2020'!$C$5:$C$73,MATCH('P-E Ratio (WP)'!B19,'2020'!$A$5:$A$73,0)),0)=0,"N/A",INDEX('2020'!$C$5:$C$73,MATCH('P-E Ratio (WP)'!B19,'2020'!$A$5:$A$73,0)))</f>
        <v>21.6</v>
      </c>
      <c r="F19" s="254">
        <f>IF(IFERROR(INDEX('2019'!$C$5:$C$73,MATCH('P-E Ratio (WP)'!B19,'2019'!$A$5:$A$73,0)),0)=0,"N/A",INDEX('2019'!$C$5:$C$73,MATCH('P-E Ratio (WP)'!B19,'2019'!$A$5:$A$73,0)))</f>
        <v>24.7</v>
      </c>
      <c r="G19" s="254">
        <f>IF(IFERROR(INDEX('2018'!$C$5:$C$73,MATCH('P-E Ratio (WP)'!B19,'2018'!$A$5:$A$73,0)),0)=0,"N/A",INDEX('2018'!$C$5:$C$73,MATCH('P-E Ratio (WP)'!B19,'2018'!$A$5:$A$73,0)))</f>
        <v>22.9</v>
      </c>
      <c r="H19" s="254">
        <f>IF(IFERROR(INDEX('2017'!$C$5:$C$73,MATCH('P-E Ratio (WP)'!B19,'2017'!$A$5:$A$73,0)),0)=0,"N/A",INDEX('2017'!$C$5:$C$73,MATCH('P-E Ratio (WP)'!B19,'2017'!$A$5:$A$73,0)))</f>
        <v>27.8</v>
      </c>
      <c r="I19" s="254">
        <f>IF(IFERROR(INDEX('2016'!$C$5:$C$73,MATCH('P-E Ratio (WP)'!B19,'2016'!$A$5:$A$73,0)),0)=0,"N/A",INDEX('2016'!$C$5:$C$73,MATCH('P-E Ratio (WP)'!B19,'2016'!$A$5:$A$73,0)))</f>
        <v>22.3</v>
      </c>
      <c r="J19" s="255">
        <v>19.100000000000001</v>
      </c>
      <c r="K19" s="255">
        <v>17.7</v>
      </c>
      <c r="L19" s="255">
        <v>15.6</v>
      </c>
      <c r="M19" s="255">
        <v>14.8</v>
      </c>
      <c r="N19" s="255">
        <v>14.2</v>
      </c>
      <c r="O19" s="255">
        <v>12.2</v>
      </c>
      <c r="P19" s="255">
        <v>14.2</v>
      </c>
      <c r="Q19" s="255">
        <v>14.2</v>
      </c>
      <c r="R19" s="255">
        <v>16.7</v>
      </c>
      <c r="S19" s="255">
        <v>17.853999999999999</v>
      </c>
    </row>
    <row r="20" spans="1:23" s="31" customFormat="1" x14ac:dyDescent="0.25">
      <c r="A20" s="31" t="str">
        <f>IFERROR(INDEX('2019 Data (WP)'!$C$9:$C$73,MATCH($B20,'2019 Data (WP)'!$D$9:$D$73,0)),"")</f>
        <v/>
      </c>
      <c r="B20" s="31" t="s">
        <v>8</v>
      </c>
      <c r="C20" s="31" t="s">
        <v>49</v>
      </c>
      <c r="D20" s="253"/>
      <c r="E20" s="254" t="str">
        <f>IF(IFERROR(INDEX('2020'!$C$5:$C$73,MATCH('P-E Ratio (WP)'!B20,'2020'!$A$5:$A$73,0)),0)=0,"N/A",INDEX('2020'!$C$5:$C$73,MATCH('P-E Ratio (WP)'!B20,'2020'!$A$5:$A$73,0)))</f>
        <v>N/A</v>
      </c>
      <c r="F20" s="254" t="str">
        <f>IF(IFERROR(INDEX('2019'!$C$5:$C$73,MATCH('P-E Ratio (WP)'!B20,'2019'!$A$5:$A$73,0)),0)=0,"N/A",INDEX('2019'!$C$5:$C$73,MATCH('P-E Ratio (WP)'!B20,'2019'!$A$5:$A$73,0)))</f>
        <v>N/A</v>
      </c>
      <c r="G20" s="254" t="str">
        <f>IF(IFERROR(INDEX('2018'!$C$5:$C$73,MATCH('P-E Ratio (WP)'!B20,'2018'!$A$5:$A$73,0)),0)=0,"N/A",INDEX('2018'!$C$5:$C$73,MATCH('P-E Ratio (WP)'!B20,'2018'!$A$5:$A$73,0)))</f>
        <v>N/A</v>
      </c>
      <c r="H20" s="254" t="str">
        <f>IF(IFERROR(INDEX('2017'!$C$5:$C$73,MATCH('P-E Ratio (WP)'!B20,'2017'!$A$5:$A$73,0)),0)=0,"N/A",INDEX('2017'!$C$5:$C$73,MATCH('P-E Ratio (WP)'!B20,'2017'!$A$5:$A$73,0)))</f>
        <v>N/A</v>
      </c>
      <c r="I20" s="254" t="str">
        <f>IF(IFERROR(INDEX('2016'!$C$5:$C$73,MATCH('P-E Ratio (WP)'!B20,'2016'!$A$5:$A$73,0)),0)=0,"N/A",INDEX('2016'!$C$5:$C$73,MATCH('P-E Ratio (WP)'!B20,'2016'!$A$5:$A$73,0)))</f>
        <v>N/A</v>
      </c>
      <c r="J20" s="254" t="str">
        <f>IF(IFERROR(INDEX('2017'!$C$5:$C$72,MATCH('P-E Ratio (WP)'!C20,'2017'!$A$5:$A$72,0)),0)=0,"N/A",INDEX('2017'!$C$5:$C$72,MATCH('P-E Ratio (WP)'!C20,'2017'!$A$5:$A$72,0)))</f>
        <v>N/A</v>
      </c>
      <c r="K20" s="254" t="str">
        <f>IF(IFERROR(INDEX('2017'!$C$5:$C$72,MATCH('P-E Ratio (WP)'!D20,'2017'!$A$5:$A$72,0)),0)=0,"N/A",INDEX('2017'!$C$5:$C$72,MATCH('P-E Ratio (WP)'!D20,'2017'!$A$5:$A$72,0)))</f>
        <v>N/A</v>
      </c>
      <c r="L20" s="254" t="str">
        <f>IF(IFERROR(INDEX('2017'!$C$5:$C$72,MATCH('P-E Ratio (WP)'!I20,'2017'!$A$5:$A$72,0)),0)=0,"N/A",INDEX('2017'!$C$5:$C$72,MATCH('P-E Ratio (WP)'!I20,'2017'!$A$5:$A$72,0)))</f>
        <v>N/A</v>
      </c>
      <c r="M20" s="254" t="str">
        <f>IF(IFERROR(INDEX('2017'!$C$5:$C$72,MATCH('P-E Ratio (WP)'!J20,'2017'!$A$5:$A$72,0)),0)=0,"N/A",INDEX('2017'!$C$5:$C$72,MATCH('P-E Ratio (WP)'!J20,'2017'!$A$5:$A$72,0)))</f>
        <v>N/A</v>
      </c>
      <c r="N20" s="254" t="str">
        <f>IF(IFERROR(INDEX('2017'!$C$5:$C$72,MATCH('P-E Ratio (WP)'!K20,'2017'!$A$5:$A$72,0)),0)=0,"N/A",INDEX('2017'!$C$5:$C$72,MATCH('P-E Ratio (WP)'!K20,'2017'!$A$5:$A$72,0)))</f>
        <v>N/A</v>
      </c>
      <c r="O20" s="254" t="str">
        <f>IF(IFERROR(INDEX('2017'!$C$5:$C$72,MATCH('P-E Ratio (WP)'!L20,'2017'!$A$5:$A$72,0)),0)=0,"N/A",INDEX('2017'!$C$5:$C$72,MATCH('P-E Ratio (WP)'!L20,'2017'!$A$5:$A$72,0)))</f>
        <v>N/A</v>
      </c>
      <c r="P20" s="254" t="str">
        <f>IF(IFERROR(INDEX('2017'!$C$5:$C$72,MATCH('P-E Ratio (WP)'!M20,'2017'!$A$5:$A$72,0)),0)=0,"N/A",INDEX('2017'!$C$5:$C$72,MATCH('P-E Ratio (WP)'!M20,'2017'!$A$5:$A$72,0)))</f>
        <v>N/A</v>
      </c>
      <c r="Q20" s="254" t="str">
        <f>IF(IFERROR(INDEX('2017'!$C$5:$C$72,MATCH('P-E Ratio (WP)'!N20,'2017'!$A$5:$A$72,0)),0)=0,"N/A",INDEX('2017'!$C$5:$C$72,MATCH('P-E Ratio (WP)'!N20,'2017'!$A$5:$A$72,0)))</f>
        <v>N/A</v>
      </c>
      <c r="R20" s="254" t="str">
        <f>IF(IFERROR(INDEX('2017'!$C$5:$C$72,MATCH('P-E Ratio (WP)'!O20,'2017'!$A$5:$A$72,0)),0)=0,"N/A",INDEX('2017'!$C$5:$C$72,MATCH('P-E Ratio (WP)'!O20,'2017'!$A$5:$A$72,0)))</f>
        <v>N/A</v>
      </c>
      <c r="S20" s="254" t="str">
        <f>IF(IFERROR(INDEX('2017'!$C$5:$C$72,MATCH('P-E Ratio (WP)'!P20,'2017'!$A$5:$A$72,0)),0)=0,"N/A",INDEX('2017'!$C$5:$C$72,MATCH('P-E Ratio (WP)'!P20,'2017'!$A$5:$A$72,0)))</f>
        <v>N/A</v>
      </c>
      <c r="T20" s="255" t="s">
        <v>106</v>
      </c>
      <c r="U20" s="255">
        <v>13.757999999999999</v>
      </c>
      <c r="V20" s="255">
        <v>12.385999999999999</v>
      </c>
      <c r="W20" s="255">
        <v>12.244999999999999</v>
      </c>
    </row>
    <row r="21" spans="1:23" s="31" customFormat="1" x14ac:dyDescent="0.25">
      <c r="A21" s="31" t="str">
        <f>IFERROR(INDEX('2019 Data (WP)'!$C$9:$C$73,MATCH($B21,'2019 Data (WP)'!$D$9:$D$73,0)),"")</f>
        <v>Electric Util. (Central)</v>
      </c>
      <c r="B21" s="31" t="s">
        <v>9</v>
      </c>
      <c r="C21" s="31" t="s">
        <v>47</v>
      </c>
      <c r="D21" s="253"/>
      <c r="E21" s="254">
        <f>IF(IFERROR(INDEX('2020'!$C$5:$C$73,MATCH('P-E Ratio (WP)'!B21,'2020'!$A$5:$A$73,0)),0)=0,"N/A",INDEX('2020'!$C$5:$C$73,MATCH('P-E Ratio (WP)'!B21,'2020'!$A$5:$A$73,0)))</f>
        <v>23.3</v>
      </c>
      <c r="F21" s="254">
        <f>IF(IFERROR(INDEX('2019'!$C$5:$C$73,MATCH('P-E Ratio (WP)'!B21,'2019'!$A$5:$A$73,0)),0)=0,"N/A",INDEX('2019'!$C$5:$C$73,MATCH('P-E Ratio (WP)'!B21,'2019'!$A$5:$A$73,0)))</f>
        <v>24.3</v>
      </c>
      <c r="G21" s="254">
        <f>IF(IFERROR(INDEX('2018'!$C$5:$C$73,MATCH('P-E Ratio (WP)'!B21,'2018'!$A$5:$A$73,0)),0)=0,"N/A",INDEX('2018'!$C$5:$C$73,MATCH('P-E Ratio (WP)'!B21,'2018'!$A$5:$A$73,0)))</f>
        <v>20.3</v>
      </c>
      <c r="H21" s="254">
        <f>IF(IFERROR(INDEX('2017'!$C$5:$C$73,MATCH('P-E Ratio (WP)'!B21,'2017'!$A$5:$A$73,0)),0)=0,"N/A",INDEX('2017'!$C$5:$C$73,MATCH('P-E Ratio (WP)'!B21,'2017'!$A$5:$A$73,0)))</f>
        <v>21.3</v>
      </c>
      <c r="I21" s="254">
        <f>IF(IFERROR(INDEX('2016'!$C$5:$C$73,MATCH('P-E Ratio (WP)'!B21,'2016'!$A$5:$A$73,0)),0)=0,"N/A",INDEX('2016'!$C$5:$C$73,MATCH('P-E Ratio (WP)'!B21,'2016'!$A$5:$A$73,0)))</f>
        <v>20.9</v>
      </c>
      <c r="J21" s="255">
        <v>18.3</v>
      </c>
      <c r="K21" s="255">
        <v>17.3</v>
      </c>
      <c r="L21" s="255">
        <v>16.3</v>
      </c>
      <c r="M21" s="255">
        <v>15.1</v>
      </c>
      <c r="N21" s="255">
        <v>13.6</v>
      </c>
      <c r="O21" s="255">
        <v>12.5</v>
      </c>
      <c r="P21" s="255">
        <v>13.6</v>
      </c>
      <c r="Q21" s="255">
        <v>10.9</v>
      </c>
      <c r="R21" s="255">
        <v>26.8</v>
      </c>
      <c r="S21" s="255">
        <v>22.181000000000001</v>
      </c>
      <c r="T21" s="255">
        <v>12.601000000000001</v>
      </c>
      <c r="U21" s="255">
        <v>12.385</v>
      </c>
      <c r="V21" s="255" t="s">
        <v>106</v>
      </c>
      <c r="W21" s="255" t="s">
        <v>106</v>
      </c>
    </row>
    <row r="22" spans="1:23" s="31" customFormat="1" x14ac:dyDescent="0.25">
      <c r="A22" s="31" t="str">
        <f>IFERROR(INDEX('2019 Data (WP)'!$C$9:$C$73,MATCH($B22,'2019 Data (WP)'!$D$9:$D$73,0)),"")</f>
        <v>Water Utility</v>
      </c>
      <c r="B22" s="31" t="s">
        <v>180</v>
      </c>
      <c r="C22" s="31" t="s">
        <v>179</v>
      </c>
      <c r="D22" s="253"/>
      <c r="E22" s="254" t="str">
        <f>IF(IFERROR(INDEX('2020'!$C$5:$C$73,MATCH('P-E Ratio (WP)'!B22,'2020'!$A$5:$A$73,0)),0)=0,"N/A",INDEX('2020'!$C$5:$C$73,MATCH('P-E Ratio (WP)'!B22,'2020'!$A$5:$A$73,0)))</f>
        <v>N/A</v>
      </c>
      <c r="F22" s="254" t="str">
        <f>IF(IFERROR(INDEX('2019'!$C$5:$C$73,MATCH('P-E Ratio (WP)'!B22,'2019'!$A$5:$A$73,0)),0)=0,"N/A",INDEX('2019'!$C$5:$C$73,MATCH('P-E Ratio (WP)'!B22,'2019'!$A$5:$A$73,0)))</f>
        <v>N/A</v>
      </c>
      <c r="G22" s="254">
        <f>IF(IFERROR(INDEX('2018'!$C$5:$C$73,MATCH('P-E Ratio (WP)'!B22,'2018'!$A$5:$A$73,0)),0)=0,"N/A",INDEX('2018'!$C$5:$C$73,MATCH('P-E Ratio (WP)'!B22,'2018'!$A$5:$A$73,0)))</f>
        <v>46.325000000000003</v>
      </c>
      <c r="H22" s="254">
        <f>IF(IFERROR(INDEX('2017'!$C$5:$C$73,MATCH('P-E Ratio (WP)'!B22,'2017'!$A$5:$A$73,0)),0)=0,"N/A",INDEX('2017'!$C$5:$C$73,MATCH('P-E Ratio (WP)'!B22,'2017'!$A$5:$A$73,0)))</f>
        <v>26.527999999999999</v>
      </c>
      <c r="I22" s="254">
        <f>IF(IFERROR(INDEX('2016'!$C$5:$C$73,MATCH('P-E Ratio (WP)'!B22,'2016'!$A$5:$A$73,0)),0)=0,"N/A",INDEX('2016'!$C$5:$C$73,MATCH('P-E Ratio (WP)'!B22,'2016'!$A$5:$A$73,0)))</f>
        <v>23.285</v>
      </c>
      <c r="J22" s="255">
        <v>17.577000000000002</v>
      </c>
      <c r="K22" s="255">
        <v>17.521000000000001</v>
      </c>
      <c r="L22" s="255">
        <v>18.367000000000001</v>
      </c>
      <c r="M22" s="255">
        <v>19.385000000000002</v>
      </c>
      <c r="N22" s="255">
        <v>23.036000000000001</v>
      </c>
      <c r="O22" s="255">
        <v>20.669</v>
      </c>
      <c r="P22" s="255">
        <v>18.405000000000001</v>
      </c>
      <c r="Q22" s="255">
        <v>22.167999999999999</v>
      </c>
      <c r="R22" s="255">
        <v>23.001000000000001</v>
      </c>
      <c r="S22" s="255">
        <v>28.977</v>
      </c>
    </row>
    <row r="23" spans="1:23" s="31" customFormat="1" x14ac:dyDescent="0.25">
      <c r="A23" s="31" t="str">
        <f>IFERROR(INDEX('2019 Data (WP)'!$C$9:$C$73,MATCH($B23,'2019 Data (WP)'!$D$9:$D$73,0)),"")</f>
        <v>Electric Utility (East)</v>
      </c>
      <c r="B23" s="31" t="s">
        <v>10</v>
      </c>
      <c r="C23" s="31" t="s">
        <v>50</v>
      </c>
      <c r="D23" s="253"/>
      <c r="E23" s="254">
        <f>IF(IFERROR(INDEX('2020'!$C$5:$C$73,MATCH('P-E Ratio (WP)'!B23,'2020'!$A$5:$A$73,0)),0)=0,"N/A",INDEX('2020'!$C$5:$C$73,MATCH('P-E Ratio (WP)'!B23,'2020'!$A$5:$A$73,0)))</f>
        <v>19</v>
      </c>
      <c r="F23" s="254">
        <f>IF(IFERROR(INDEX('2019'!$C$5:$C$73,MATCH('P-E Ratio (WP)'!B23,'2019'!$A$5:$A$73,0)),0)=0,"N/A",INDEX('2019'!$C$5:$C$73,MATCH('P-E Ratio (WP)'!B23,'2019'!$A$5:$A$73,0)))</f>
        <v>19.7</v>
      </c>
      <c r="G23" s="254">
        <f>IF(IFERROR(INDEX('2018'!$C$5:$C$73,MATCH('P-E Ratio (WP)'!B23,'2018'!$A$5:$A$73,0)),0)=0,"N/A",INDEX('2018'!$C$5:$C$73,MATCH('P-E Ratio (WP)'!B23,'2018'!$A$5:$A$73,0)))</f>
        <v>17.100000000000001</v>
      </c>
      <c r="H23" s="254">
        <f>IF(IFERROR(INDEX('2017'!$C$5:$C$73,MATCH('P-E Ratio (WP)'!B23,'2017'!$A$5:$A$73,0)),0)=0,"N/A",INDEX('2017'!$C$5:$C$73,MATCH('P-E Ratio (WP)'!B23,'2017'!$A$5:$A$73,0)))</f>
        <v>19.8</v>
      </c>
      <c r="I23" s="254">
        <f>IF(IFERROR(INDEX('2016'!$C$5:$C$73,MATCH('P-E Ratio (WP)'!B23,'2016'!$A$5:$A$73,0)),0)=0,"N/A",INDEX('2016'!$C$5:$C$73,MATCH('P-E Ratio (WP)'!B23,'2016'!$A$5:$A$73,0)))</f>
        <v>18.8</v>
      </c>
      <c r="J23" s="255">
        <v>15.6</v>
      </c>
      <c r="K23" s="255">
        <v>15.9</v>
      </c>
      <c r="L23" s="255">
        <v>14.7</v>
      </c>
      <c r="M23" s="255">
        <v>15.4</v>
      </c>
      <c r="N23" s="255">
        <v>15.1</v>
      </c>
      <c r="O23" s="255">
        <v>13.3</v>
      </c>
      <c r="P23" s="255">
        <v>12.5</v>
      </c>
      <c r="Q23" s="255">
        <v>12.3</v>
      </c>
      <c r="R23" s="255">
        <v>13.8</v>
      </c>
      <c r="S23" s="255">
        <v>15.484999999999999</v>
      </c>
      <c r="T23" s="255">
        <v>15.129</v>
      </c>
      <c r="U23" s="255">
        <v>18.209</v>
      </c>
      <c r="V23" s="255">
        <v>14.3</v>
      </c>
      <c r="W23" s="255">
        <v>13.278</v>
      </c>
    </row>
    <row r="24" spans="1:23" s="31" customFormat="1" x14ac:dyDescent="0.25">
      <c r="A24" s="31" t="str">
        <f>IFERROR(INDEX('2019 Data (WP)'!$C$9:$C$73,MATCH($B24,'2019 Data (WP)'!$D$9:$D$73,0)),"")</f>
        <v>Water Utility</v>
      </c>
      <c r="B24" s="31" t="s">
        <v>182</v>
      </c>
      <c r="C24" s="31" t="s">
        <v>181</v>
      </c>
      <c r="D24" s="253"/>
      <c r="E24" s="254">
        <f>IF(IFERROR(INDEX('2020'!$C$5:$C$73,MATCH('P-E Ratio (WP)'!B24,'2020'!$A$5:$A$73,0)),0)=0,"N/A",INDEX('2020'!$C$5:$C$73,MATCH('P-E Ratio (WP)'!B24,'2020'!$A$5:$A$73,0)))</f>
        <v>24.538</v>
      </c>
      <c r="F24" s="254">
        <f>IF(IFERROR(INDEX('2019'!$C$5:$C$73,MATCH('P-E Ratio (WP)'!B24,'2019'!$A$5:$A$73,0)),0)=0,"N/A",INDEX('2019'!$C$5:$C$73,MATCH('P-E Ratio (WP)'!B24,'2019'!$A$5:$A$73,0)))</f>
        <v>25.661000000000001</v>
      </c>
      <c r="G24" s="254">
        <f>IF(IFERROR(INDEX('2018'!$C$5:$C$73,MATCH('P-E Ratio (WP)'!B24,'2018'!$A$5:$A$73,0)),0)=0,"N/A",INDEX('2018'!$C$5:$C$73,MATCH('P-E Ratio (WP)'!B24,'2018'!$A$5:$A$73,0)))</f>
        <v>19.413</v>
      </c>
      <c r="H24" s="254">
        <f>IF(IFERROR(INDEX('2017'!$C$5:$C$73,MATCH('P-E Ratio (WP)'!B24,'2017'!$A$5:$A$73,0)),0)=0,"N/A",INDEX('2017'!$C$5:$C$73,MATCH('P-E Ratio (WP)'!B24,'2017'!$A$5:$A$73,0)))</f>
        <v>29.004999999999999</v>
      </c>
      <c r="I24" s="254">
        <f>IF(IFERROR(INDEX('2016'!$C$5:$C$73,MATCH('P-E Ratio (WP)'!B24,'2016'!$A$5:$A$73,0)),0)=0,"N/A",INDEX('2016'!$C$5:$C$73,MATCH('P-E Ratio (WP)'!B24,'2016'!$A$5:$A$73,0)))</f>
        <v>44.807000000000002</v>
      </c>
      <c r="J24" s="255">
        <v>22.692</v>
      </c>
      <c r="K24" s="255">
        <v>28.288</v>
      </c>
      <c r="L24" s="255">
        <v>20.021999999999998</v>
      </c>
      <c r="M24" s="255">
        <v>12.414</v>
      </c>
      <c r="N24" s="255">
        <v>22.393000000000001</v>
      </c>
      <c r="O24" s="255">
        <v>26.867000000000001</v>
      </c>
      <c r="P24" s="255">
        <v>19.030999999999999</v>
      </c>
      <c r="Q24" s="255">
        <v>37.79</v>
      </c>
      <c r="R24" s="255">
        <v>35.39</v>
      </c>
      <c r="S24" s="255">
        <v>43.048999999999999</v>
      </c>
    </row>
    <row r="25" spans="1:23" s="31" customFormat="1" x14ac:dyDescent="0.25">
      <c r="A25" s="31" t="str">
        <f>IFERROR(INDEX('2019 Data (WP)'!$C$9:$C$73,MATCH($B25,'2019 Data (WP)'!$D$9:$D$73,0)),"")</f>
        <v>Electric Utility (East)</v>
      </c>
      <c r="B25" s="31" t="s">
        <v>11</v>
      </c>
      <c r="C25" s="31" t="s">
        <v>52</v>
      </c>
      <c r="D25" s="253"/>
      <c r="E25" s="254">
        <f>IF(IFERROR(INDEX('2020'!$C$5:$C$73,MATCH('P-E Ratio (WP)'!B25,'2020'!$A$5:$A$73,0)),0)=0,"N/A",INDEX('2020'!$C$5:$C$73,MATCH('P-E Ratio (WP)'!B25,'2020'!$A$5:$A$73,0)))</f>
        <v>22.6</v>
      </c>
      <c r="F25" s="254">
        <f>IF(IFERROR(INDEX('2019'!$C$5:$C$73,MATCH('P-E Ratio (WP)'!B25,'2019'!$A$5:$A$73,0)),0)=0,"N/A",INDEX('2019'!$C$5:$C$73,MATCH('P-E Ratio (WP)'!B25,'2019'!$A$5:$A$73,0)))</f>
        <v>18.2</v>
      </c>
      <c r="G25" s="254">
        <f>IF(IFERROR(INDEX('2018'!$C$5:$C$73,MATCH('P-E Ratio (WP)'!B25,'2018'!$A$5:$A$73,0)),0)=0,"N/A",INDEX('2018'!$C$5:$C$73,MATCH('P-E Ratio (WP)'!B25,'2018'!$A$5:$A$73,0)))</f>
        <v>17.5</v>
      </c>
      <c r="H25" s="254">
        <f>IF(IFERROR(INDEX('2017'!$C$5:$C$73,MATCH('P-E Ratio (WP)'!B25,'2017'!$A$5:$A$73,0)),0)=0,"N/A",INDEX('2017'!$C$5:$C$73,MATCH('P-E Ratio (WP)'!B25,'2017'!$A$5:$A$73,0)))</f>
        <v>22.2</v>
      </c>
      <c r="I25" s="254">
        <f>IF(IFERROR(INDEX('2016'!$C$5:$C$73,MATCH('P-E Ratio (WP)'!B25,'2016'!$A$5:$A$73,0)),0)=0,"N/A",INDEX('2016'!$C$5:$C$73,MATCH('P-E Ratio (WP)'!B25,'2016'!$A$5:$A$73,0)))</f>
        <v>21.3</v>
      </c>
      <c r="J25" s="255">
        <v>22.1</v>
      </c>
      <c r="K25" s="255">
        <v>23</v>
      </c>
      <c r="L25" s="255">
        <v>19.2</v>
      </c>
      <c r="M25" s="255">
        <v>18.899999999999999</v>
      </c>
      <c r="N25" s="255">
        <v>17.3</v>
      </c>
      <c r="O25" s="255">
        <v>14.3</v>
      </c>
      <c r="P25" s="255">
        <v>12.7</v>
      </c>
      <c r="Q25" s="255">
        <v>13.8</v>
      </c>
      <c r="R25" s="255">
        <v>20.6</v>
      </c>
      <c r="S25" s="255">
        <v>15.976000000000001</v>
      </c>
      <c r="T25" s="255">
        <v>24.893999999999998</v>
      </c>
      <c r="U25" s="255">
        <v>15.071999999999999</v>
      </c>
      <c r="V25" s="255">
        <v>15.241</v>
      </c>
      <c r="W25" s="255">
        <v>12.045</v>
      </c>
    </row>
    <row r="26" spans="1:23" s="31" customFormat="1" x14ac:dyDescent="0.25">
      <c r="A26" s="31" t="str">
        <f>IFERROR(INDEX('2019 Data (WP)'!$C$9:$C$73,MATCH($B26,'2019 Data (WP)'!$D$9:$D$73,0)),"")</f>
        <v>Electric Util. (Central)</v>
      </c>
      <c r="B26" s="31" t="s">
        <v>12</v>
      </c>
      <c r="C26" s="31" t="s">
        <v>51</v>
      </c>
      <c r="D26" s="253"/>
      <c r="E26" s="254">
        <f>IF(IFERROR(INDEX('2020'!$C$5:$C$73,MATCH('P-E Ratio (WP)'!B26,'2020'!$A$5:$A$73,0)),0)=0,"N/A",INDEX('2020'!$C$5:$C$73,MATCH('P-E Ratio (WP)'!B26,'2020'!$A$5:$A$73,0)))</f>
        <v>16.3</v>
      </c>
      <c r="F26" s="254">
        <f>IF(IFERROR(INDEX('2019'!$C$5:$C$73,MATCH('P-E Ratio (WP)'!B26,'2019'!$A$5:$A$73,0)),0)=0,"N/A",INDEX('2019'!$C$5:$C$73,MATCH('P-E Ratio (WP)'!B26,'2019'!$A$5:$A$73,0)))</f>
        <v>19.899999999999999</v>
      </c>
      <c r="G26" s="254">
        <f>IF(IFERROR(INDEX('2018'!$C$5:$C$73,MATCH('P-E Ratio (WP)'!B26,'2018'!$A$5:$A$73,0)),0)=0,"N/A",INDEX('2018'!$C$5:$C$73,MATCH('P-E Ratio (WP)'!B26,'2018'!$A$5:$A$73,0)))</f>
        <v>17.399999999999999</v>
      </c>
      <c r="H26" s="254">
        <f>IF(IFERROR(INDEX('2017'!$C$5:$C$73,MATCH('P-E Ratio (WP)'!B26,'2017'!$A$5:$A$73,0)),0)=0,"N/A",INDEX('2017'!$C$5:$C$73,MATCH('P-E Ratio (WP)'!B26,'2017'!$A$5:$A$73,0)))</f>
        <v>18.600000000000001</v>
      </c>
      <c r="I26" s="254">
        <f>IF(IFERROR(INDEX('2016'!$C$5:$C$73,MATCH('P-E Ratio (WP)'!B26,'2016'!$A$5:$A$73,0)),0)=0,"N/A",INDEX('2016'!$C$5:$C$73,MATCH('P-E Ratio (WP)'!B26,'2016'!$A$5:$A$73,0)))</f>
        <v>19</v>
      </c>
      <c r="J26" s="255">
        <v>18.100000000000001</v>
      </c>
      <c r="K26" s="255">
        <v>14.9</v>
      </c>
      <c r="L26" s="255">
        <v>17.899999999999999</v>
      </c>
      <c r="M26" s="255">
        <v>14.9</v>
      </c>
      <c r="N26" s="255">
        <v>13.5</v>
      </c>
      <c r="O26" s="255">
        <v>12.3</v>
      </c>
      <c r="P26" s="255">
        <v>10.4</v>
      </c>
      <c r="Q26" s="255">
        <v>14.8</v>
      </c>
      <c r="R26" s="255">
        <v>18.3</v>
      </c>
      <c r="S26" s="255">
        <v>17.431000000000001</v>
      </c>
      <c r="T26" s="255">
        <v>13.797000000000001</v>
      </c>
      <c r="U26" s="255">
        <v>16.042999999999999</v>
      </c>
      <c r="V26" s="255">
        <v>13.689</v>
      </c>
      <c r="W26" s="255">
        <v>11.279</v>
      </c>
    </row>
    <row r="27" spans="1:23" s="31" customFormat="1" x14ac:dyDescent="0.25">
      <c r="A27" s="31" t="str">
        <f>IFERROR(INDEX('2019 Data (WP)'!$C$9:$C$73,MATCH($B27,'2019 Data (WP)'!$D$9:$D$73,0)),"")</f>
        <v>Electric Utility (East)</v>
      </c>
      <c r="B27" s="31" t="s">
        <v>13</v>
      </c>
      <c r="C27" s="31" t="s">
        <v>93</v>
      </c>
      <c r="D27" s="253"/>
      <c r="E27" s="254">
        <f>IF(IFERROR(INDEX('2020'!$C$5:$C$73,MATCH('P-E Ratio (WP)'!B27,'2020'!$A$5:$A$73,0)),0)=0,"N/A",INDEX('2020'!$C$5:$C$73,MATCH('P-E Ratio (WP)'!B27,'2020'!$A$5:$A$73,0)))</f>
        <v>17.100000000000001</v>
      </c>
      <c r="F27" s="254">
        <f>IF(IFERROR(INDEX('2019'!$C$5:$C$73,MATCH('P-E Ratio (WP)'!B27,'2019'!$A$5:$A$73,0)),0)=0,"N/A",INDEX('2019'!$C$5:$C$73,MATCH('P-E Ratio (WP)'!B27,'2019'!$A$5:$A$73,0)))</f>
        <v>17.7</v>
      </c>
      <c r="G27" s="254">
        <f>IF(IFERROR(INDEX('2018'!$C$5:$C$73,MATCH('P-E Ratio (WP)'!B27,'2018'!$A$5:$A$73,0)),0)=0,"N/A",INDEX('2018'!$C$5:$C$73,MATCH('P-E Ratio (WP)'!B27,'2018'!$A$5:$A$73,0)))</f>
        <v>17</v>
      </c>
      <c r="H27" s="254">
        <f>IF(IFERROR(INDEX('2017'!$C$5:$C$73,MATCH('P-E Ratio (WP)'!B27,'2017'!$A$5:$A$73,0)),0)=0,"N/A",INDEX('2017'!$C$5:$C$73,MATCH('P-E Ratio (WP)'!B27,'2017'!$A$5:$A$73,0)))</f>
        <v>19.899999999999999</v>
      </c>
      <c r="I27" s="254">
        <f>IF(IFERROR(INDEX('2016'!$C$5:$C$73,MATCH('P-E Ratio (WP)'!B27,'2016'!$A$5:$A$73,0)),0)=0,"N/A",INDEX('2016'!$C$5:$C$73,MATCH('P-E Ratio (WP)'!B27,'2016'!$A$5:$A$73,0)))</f>
        <v>21.3</v>
      </c>
      <c r="J27" s="255">
        <v>18.2</v>
      </c>
      <c r="K27" s="255">
        <v>17.899999999999999</v>
      </c>
      <c r="L27" s="255">
        <v>17.399999999999999</v>
      </c>
      <c r="M27" s="255">
        <v>17.5</v>
      </c>
      <c r="N27" s="255">
        <v>13.8</v>
      </c>
      <c r="O27" s="255">
        <v>12.7</v>
      </c>
      <c r="P27" s="255">
        <v>13.3</v>
      </c>
      <c r="Q27" s="255">
        <v>17.3</v>
      </c>
      <c r="R27" s="255">
        <v>16.100000000000001</v>
      </c>
      <c r="S27" s="255" t="s">
        <v>106</v>
      </c>
      <c r="T27" s="255" t="s">
        <v>106</v>
      </c>
      <c r="U27" s="255" t="s">
        <v>106</v>
      </c>
      <c r="V27" s="255" t="s">
        <v>106</v>
      </c>
      <c r="W27" s="255" t="s">
        <v>106</v>
      </c>
    </row>
    <row r="28" spans="1:23" s="31" customFormat="1" x14ac:dyDescent="0.25">
      <c r="A28" s="31" t="str">
        <f>IFERROR(INDEX('2019 Data (WP)'!$C$9:$C$73,MATCH($B28,'2019 Data (WP)'!$D$9:$D$73,0)),"")</f>
        <v>Electric Utility (West)</v>
      </c>
      <c r="B28" s="31" t="s">
        <v>14</v>
      </c>
      <c r="C28" s="31" t="s">
        <v>53</v>
      </c>
      <c r="D28" s="253"/>
      <c r="E28" s="254">
        <f>IF(IFERROR(INDEX('2020'!$C$5:$C$73,MATCH('P-E Ratio (WP)'!B28,'2020'!$A$5:$A$73,0)),0)=0,"N/A",INDEX('2020'!$C$5:$C$73,MATCH('P-E Ratio (WP)'!B28,'2020'!$A$5:$A$73,0)))</f>
        <v>34.9</v>
      </c>
      <c r="F28" s="254">
        <f>IF(IFERROR(INDEX('2019'!$C$5:$C$73,MATCH('P-E Ratio (WP)'!B28,'2019'!$A$5:$A$73,0)),0)=0,"N/A",INDEX('2019'!$C$5:$C$73,MATCH('P-E Ratio (WP)'!B28,'2019'!$A$5:$A$73,0)))</f>
        <v>16.7</v>
      </c>
      <c r="G28" s="254" t="str">
        <f>IF(IFERROR(INDEX('2018'!$C$5:$C$73,MATCH('P-E Ratio (WP)'!B28,'2018'!$A$5:$A$73,0)),0)=0,"N/A",INDEX('2018'!$C$5:$C$73,MATCH('P-E Ratio (WP)'!B28,'2018'!$A$5:$A$73,0)))</f>
        <v>N/A</v>
      </c>
      <c r="H28" s="254">
        <f>IF(IFERROR(INDEX('2017'!$C$5:$C$73,MATCH('P-E Ratio (WP)'!B28,'2017'!$A$5:$A$73,0)),0)=0,"N/A",INDEX('2017'!$C$5:$C$73,MATCH('P-E Ratio (WP)'!B28,'2017'!$A$5:$A$73,0)))</f>
        <v>17.2</v>
      </c>
      <c r="I28" s="254">
        <f>IF(IFERROR(INDEX('2016'!$C$5:$C$73,MATCH('P-E Ratio (WP)'!B28,'2016'!$A$5:$A$73,0)),0)=0,"N/A",INDEX('2016'!$C$5:$C$73,MATCH('P-E Ratio (WP)'!B28,'2016'!$A$5:$A$73,0)))</f>
        <v>17.899999999999999</v>
      </c>
      <c r="J28" s="255">
        <v>14.8</v>
      </c>
      <c r="K28" s="255">
        <v>13</v>
      </c>
      <c r="L28" s="255">
        <v>12.7</v>
      </c>
      <c r="M28" s="255">
        <v>9.6999999999999993</v>
      </c>
      <c r="N28" s="255">
        <v>11.8</v>
      </c>
      <c r="O28" s="255">
        <v>10.3</v>
      </c>
      <c r="P28" s="255">
        <v>9.6999999999999993</v>
      </c>
      <c r="Q28" s="255">
        <v>12.4</v>
      </c>
      <c r="R28" s="255">
        <v>16</v>
      </c>
      <c r="S28" s="255">
        <v>12.988</v>
      </c>
      <c r="T28" s="255">
        <v>11.74</v>
      </c>
      <c r="U28" s="255">
        <v>37.591000000000001</v>
      </c>
      <c r="V28" s="255">
        <v>6.968</v>
      </c>
      <c r="W28" s="255">
        <v>7.7839999999999998</v>
      </c>
    </row>
    <row r="29" spans="1:23" s="31" customFormat="1" x14ac:dyDescent="0.25">
      <c r="A29" s="31" t="str">
        <f>IFERROR(INDEX('2019 Data (WP)'!$C$9:$C$73,MATCH($B29,'2019 Data (WP)'!$D$9:$D$73,0)),"")</f>
        <v>Electric Utility (West)</v>
      </c>
      <c r="B29" s="31" t="s">
        <v>15</v>
      </c>
      <c r="C29" s="31" t="s">
        <v>88</v>
      </c>
      <c r="D29" s="253"/>
      <c r="E29" s="254" t="str">
        <f>IF(IFERROR(INDEX('2020'!$C$5:$C$73,MATCH('P-E Ratio (WP)'!B29,'2020'!$A$5:$A$73,0)),0)=0,"N/A",INDEX('2020'!$C$5:$C$73,MATCH('P-E Ratio (WP)'!B29,'2020'!$A$5:$A$73,0)))</f>
        <v>N/A</v>
      </c>
      <c r="F29" s="254" t="str">
        <f>IF(IFERROR(INDEX('2019'!$C$5:$C$73,MATCH('P-E Ratio (WP)'!B29,'2019'!$A$5:$A$73,0)),0)=0,"N/A",INDEX('2019'!$C$5:$C$73,MATCH('P-E Ratio (WP)'!B29,'2019'!$A$5:$A$73,0)))</f>
        <v>N/A</v>
      </c>
      <c r="G29" s="254">
        <f>IF(IFERROR(INDEX('2018'!$C$5:$C$73,MATCH('P-E Ratio (WP)'!B29,'2018'!$A$5:$A$73,0)),0)=0,"N/A",INDEX('2018'!$C$5:$C$73,MATCH('P-E Ratio (WP)'!B29,'2018'!$A$5:$A$73,0)))</f>
        <v>26.849</v>
      </c>
      <c r="H29" s="254">
        <f>IF(IFERROR(INDEX('2017'!$C$5:$C$73,MATCH('P-E Ratio (WP)'!B29,'2017'!$A$5:$A$73,0)),0)=0,"N/A",INDEX('2017'!$C$5:$C$73,MATCH('P-E Ratio (WP)'!B29,'2017'!$A$5:$A$73,0)))</f>
        <v>21.783000000000001</v>
      </c>
      <c r="I29" s="254">
        <f>IF(IFERROR(INDEX('2016'!$C$5:$C$73,MATCH('P-E Ratio (WP)'!B29,'2016'!$A$5:$A$73,0)),0)=0,"N/A",INDEX('2016'!$C$5:$C$73,MATCH('P-E Ratio (WP)'!B29,'2016'!$A$5:$A$73,0)))</f>
        <v>18.657</v>
      </c>
      <c r="J29" s="255">
        <v>18.329000000000001</v>
      </c>
      <c r="K29" s="255">
        <v>16.382999999999999</v>
      </c>
      <c r="L29" s="255">
        <v>15.879</v>
      </c>
      <c r="M29" s="255">
        <v>14.473000000000001</v>
      </c>
      <c r="N29" s="255">
        <v>12.595000000000001</v>
      </c>
      <c r="O29" s="255">
        <v>10.72</v>
      </c>
      <c r="P29" s="255">
        <v>10.792999999999999</v>
      </c>
      <c r="Q29" s="255">
        <v>11.894</v>
      </c>
      <c r="R29" s="255">
        <v>15.26</v>
      </c>
      <c r="S29" s="255">
        <v>16.920000000000002</v>
      </c>
      <c r="T29" s="255">
        <v>26.724</v>
      </c>
      <c r="U29" s="255">
        <v>22.033000000000001</v>
      </c>
      <c r="V29" s="255">
        <v>18.263000000000002</v>
      </c>
      <c r="W29" s="255">
        <v>22.992999999999999</v>
      </c>
    </row>
    <row r="30" spans="1:23" s="31" customFormat="1" x14ac:dyDescent="0.25">
      <c r="A30" s="31" t="str">
        <f>IFERROR(INDEX('2019 Data (WP)'!$C$9:$C$73,MATCH($B30,'2019 Data (WP)'!$D$9:$D$73,0)),"")</f>
        <v/>
      </c>
      <c r="B30" s="31" t="s">
        <v>16</v>
      </c>
      <c r="C30" s="31" t="s">
        <v>102</v>
      </c>
      <c r="D30" s="253"/>
      <c r="E30" s="254" t="str">
        <f>IF(IFERROR(INDEX('2020'!$C$5:$C$73,MATCH('P-E Ratio (WP)'!B30,'2020'!$A$5:$A$73,0)),0)=0,"N/A",INDEX('2020'!$C$5:$C$73,MATCH('P-E Ratio (WP)'!B30,'2020'!$A$5:$A$73,0)))</f>
        <v>N/A</v>
      </c>
      <c r="F30" s="254" t="str">
        <f>IF(IFERROR(INDEX('2019'!$C$5:$C$73,MATCH('P-E Ratio (WP)'!B30,'2019'!$A$5:$A$73,0)),0)=0,"N/A",INDEX('2019'!$C$5:$C$73,MATCH('P-E Ratio (WP)'!B30,'2019'!$A$5:$A$73,0)))</f>
        <v>N/A</v>
      </c>
      <c r="G30" s="254" t="str">
        <f>IF(IFERROR(INDEX('2018'!$C$5:$C$73,MATCH('P-E Ratio (WP)'!B30,'2018'!$A$5:$A$73,0)),0)=0,"N/A",INDEX('2018'!$C$5:$C$73,MATCH('P-E Ratio (WP)'!B30,'2018'!$A$5:$A$73,0)))</f>
        <v>N/A</v>
      </c>
      <c r="H30" s="254" t="str">
        <f>IF(IFERROR(INDEX('2017'!$C$5:$C$73,MATCH('P-E Ratio (WP)'!B30,'2017'!$A$5:$A$73,0)),0)=0,"N/A",INDEX('2017'!$C$5:$C$73,MATCH('P-E Ratio (WP)'!B30,'2017'!$A$5:$A$73,0)))</f>
        <v>N/A</v>
      </c>
      <c r="I30" s="254" t="str">
        <f>IF(IFERROR(INDEX('2016'!$C$5:$C$73,MATCH('P-E Ratio (WP)'!B30,'2016'!$A$5:$A$73,0)),0)=0,"N/A",INDEX('2016'!$C$5:$C$73,MATCH('P-E Ratio (WP)'!B30,'2016'!$A$5:$A$73,0)))</f>
        <v>N/A</v>
      </c>
      <c r="J30" s="255">
        <v>18.71</v>
      </c>
      <c r="K30" s="255">
        <v>16.212</v>
      </c>
      <c r="L30" s="255">
        <v>14.997</v>
      </c>
      <c r="M30" s="255">
        <v>15.757999999999999</v>
      </c>
      <c r="N30" s="255">
        <v>15.763</v>
      </c>
      <c r="O30" s="255">
        <v>16.751999999999999</v>
      </c>
      <c r="P30" s="255">
        <v>14.337999999999999</v>
      </c>
      <c r="Q30" s="255">
        <v>17.254999999999999</v>
      </c>
      <c r="R30" s="255">
        <v>21.702000000000002</v>
      </c>
      <c r="S30" s="255">
        <v>15.916</v>
      </c>
      <c r="T30" s="255">
        <v>24.498000000000001</v>
      </c>
      <c r="U30" s="255">
        <v>24.806999999999999</v>
      </c>
      <c r="V30" s="255">
        <v>15.827</v>
      </c>
      <c r="W30" s="255">
        <v>16.18</v>
      </c>
    </row>
    <row r="31" spans="1:23" s="31" customFormat="1" x14ac:dyDescent="0.25">
      <c r="A31" s="31" t="str">
        <f>IFERROR(INDEX('2019 Data (WP)'!$C$9:$C$73,MATCH($B31,'2019 Data (WP)'!$D$9:$D$73,0)),"")</f>
        <v>Electric Util. (Central)</v>
      </c>
      <c r="B31" s="31" t="s">
        <v>17</v>
      </c>
      <c r="C31" s="31" t="s">
        <v>55</v>
      </c>
      <c r="D31" s="253"/>
      <c r="E31" s="254">
        <f>IF(IFERROR(INDEX('2020'!$C$5:$C$73,MATCH('P-E Ratio (WP)'!B31,'2020'!$A$5:$A$73,0)),0)=0,"N/A",INDEX('2020'!$C$5:$C$73,MATCH('P-E Ratio (WP)'!B31,'2020'!$A$5:$A$73,0)))</f>
        <v>15.3</v>
      </c>
      <c r="F31" s="254">
        <f>IF(IFERROR(INDEX('2019'!$C$5:$C$73,MATCH('P-E Ratio (WP)'!B31,'2019'!$A$5:$A$73,0)),0)=0,"N/A",INDEX('2019'!$C$5:$C$73,MATCH('P-E Ratio (WP)'!B31,'2019'!$A$5:$A$73,0)))</f>
        <v>16.5</v>
      </c>
      <c r="G31" s="254">
        <f>IF(IFERROR(INDEX('2018'!$C$5:$C$73,MATCH('P-E Ratio (WP)'!B31,'2018'!$A$5:$A$73,0)),0)=0,"N/A",INDEX('2018'!$C$5:$C$73,MATCH('P-E Ratio (WP)'!B31,'2018'!$A$5:$A$73,0)))</f>
        <v>13.8</v>
      </c>
      <c r="H31" s="254">
        <f>IF(IFERROR(INDEX('2017'!$C$5:$C$73,MATCH('P-E Ratio (WP)'!B31,'2017'!$A$5:$A$73,0)),0)=0,"N/A",INDEX('2017'!$C$5:$C$73,MATCH('P-E Ratio (WP)'!B31,'2017'!$A$5:$A$73,0)))</f>
        <v>15</v>
      </c>
      <c r="I31" s="254">
        <f>IF(IFERROR(INDEX('2016'!$C$5:$C$73,MATCH('P-E Ratio (WP)'!B31,'2016'!$A$5:$A$73,0)),0)=0,"N/A",INDEX('2016'!$C$5:$C$73,MATCH('P-E Ratio (WP)'!B31,'2016'!$A$5:$A$73,0)))</f>
        <v>10.9</v>
      </c>
      <c r="J31" s="255">
        <v>12.5</v>
      </c>
      <c r="K31" s="255">
        <v>12.9</v>
      </c>
      <c r="L31" s="255">
        <v>13.2</v>
      </c>
      <c r="M31" s="255">
        <v>11.2</v>
      </c>
      <c r="N31" s="255">
        <v>9.1</v>
      </c>
      <c r="O31" s="255">
        <v>11.6</v>
      </c>
      <c r="P31" s="255">
        <v>12</v>
      </c>
      <c r="Q31" s="255">
        <v>16.600000000000001</v>
      </c>
      <c r="R31" s="255">
        <v>19.3</v>
      </c>
      <c r="S31" s="255">
        <v>14.276</v>
      </c>
      <c r="T31" s="255">
        <v>16.282</v>
      </c>
      <c r="U31" s="255">
        <v>15.087</v>
      </c>
      <c r="V31" s="255">
        <v>13.771000000000001</v>
      </c>
      <c r="W31" s="255">
        <v>11.525</v>
      </c>
    </row>
    <row r="32" spans="1:23" s="31" customFormat="1" x14ac:dyDescent="0.25">
      <c r="A32" s="31" t="str">
        <f>IFERROR(INDEX('2019 Data (WP)'!$C$9:$C$73,MATCH($B32,'2019 Data (WP)'!$D$9:$D$73,0)),"")</f>
        <v>Electric Utility (East)</v>
      </c>
      <c r="B32" s="31" t="s">
        <v>211</v>
      </c>
      <c r="C32" s="31" t="s">
        <v>212</v>
      </c>
      <c r="D32" s="253"/>
      <c r="E32" s="254">
        <f>IF(IFERROR(INDEX('2020'!$C$5:$C$73,MATCH('P-E Ratio (WP)'!B32,'2020'!$A$5:$A$73,0)),0)=0,"N/A",INDEX('2020'!$C$5:$C$73,MATCH('P-E Ratio (WP)'!B32,'2020'!$A$5:$A$73,0)))</f>
        <v>23.7</v>
      </c>
      <c r="F32" s="254">
        <f>IF(IFERROR(INDEX('2019'!$C$5:$C$73,MATCH('P-E Ratio (WP)'!B32,'2019'!$A$5:$A$73,0)),0)=0,"N/A",INDEX('2019'!$C$5:$C$73,MATCH('P-E Ratio (WP)'!B32,'2019'!$A$5:$A$73,0)))</f>
        <v>22.1</v>
      </c>
      <c r="G32" s="254">
        <f>IF(IFERROR(INDEX('2018'!$C$5:$C$73,MATCH('P-E Ratio (WP)'!B32,'2018'!$A$5:$A$73,0)),0)=0,"N/A",INDEX('2018'!$C$5:$C$73,MATCH('P-E Ratio (WP)'!B32,'2018'!$A$5:$A$73,0)))</f>
        <v>18.7</v>
      </c>
      <c r="H32" s="254">
        <f>IF(IFERROR(INDEX('2017'!$C$5:$C$73,MATCH('P-E Ratio (WP)'!B32,'2017'!$A$5:$A$73,0)),0)=0,"N/A",INDEX('2017'!$C$5:$C$73,MATCH('P-E Ratio (WP)'!B32,'2017'!$A$5:$A$73,0)))</f>
        <v>19.5</v>
      </c>
      <c r="I32" s="254">
        <f>IF(IFERROR(INDEX('2016'!$C$5:$C$73,MATCH('P-E Ratio (WP)'!B32,'2016'!$A$5:$A$73,0)),0)=0,"N/A",INDEX('2016'!$C$5:$C$73,MATCH('P-E Ratio (WP)'!B32,'2016'!$A$5:$A$73,0)))</f>
        <v>18.7</v>
      </c>
      <c r="J32" s="255">
        <v>18.100000000000001</v>
      </c>
      <c r="K32" s="255">
        <v>17.899999999999999</v>
      </c>
      <c r="L32" s="255">
        <v>16.899999999999999</v>
      </c>
      <c r="M32" s="255">
        <v>19.899999999999999</v>
      </c>
      <c r="N32" s="255">
        <v>15.4</v>
      </c>
      <c r="O32" s="255">
        <v>13.4</v>
      </c>
      <c r="P32" s="255">
        <v>12</v>
      </c>
      <c r="Q32" s="255">
        <v>13.7</v>
      </c>
      <c r="R32" s="255">
        <v>18.7</v>
      </c>
      <c r="S32" s="255">
        <v>27.065000000000001</v>
      </c>
      <c r="T32" s="255">
        <v>19.757000000000001</v>
      </c>
      <c r="U32" s="255">
        <v>20.768000000000001</v>
      </c>
      <c r="V32" s="255">
        <v>13.353999999999999</v>
      </c>
      <c r="W32" s="255">
        <v>16.065999999999999</v>
      </c>
    </row>
    <row r="33" spans="1:23" s="31" customFormat="1" x14ac:dyDescent="0.25">
      <c r="A33" s="31" t="str">
        <f>IFERROR(INDEX('2019 Data (WP)'!$C$9:$C$73,MATCH($B33,'2019 Data (WP)'!$D$9:$D$73,0)),"")</f>
        <v>Electric Util. (Central)</v>
      </c>
      <c r="B33" s="31" t="s">
        <v>447</v>
      </c>
      <c r="C33" s="31" t="s">
        <v>449</v>
      </c>
      <c r="D33" s="253"/>
      <c r="E33" s="254">
        <f>IF(IFERROR(INDEX('2020'!$C$5:$C$73,MATCH('P-E Ratio (WP)'!B33,'2020'!$A$5:$A$73,0)),0)=0,"N/A",INDEX('2020'!$C$5:$C$73,MATCH('P-E Ratio (WP)'!B33,'2020'!$A$5:$A$73,0)))</f>
        <v>21.7</v>
      </c>
      <c r="F33" s="254">
        <f>IF(IFERROR(INDEX('2019'!$C$5:$C$73,MATCH('P-E Ratio (WP)'!B33,'2019'!$A$5:$A$73,0)),0)=0,"N/A",INDEX('2019'!$C$5:$C$73,MATCH('P-E Ratio (WP)'!B33,'2019'!$A$5:$A$73,0)))</f>
        <v>21.8</v>
      </c>
      <c r="G33" s="254">
        <f>IF(IFERROR(INDEX('2018'!$C$5:$C$73,MATCH('P-E Ratio (WP)'!B33,'2018'!$A$5:$A$73,0)),0)=0,"N/A",INDEX('2018'!$C$5:$C$73,MATCH('P-E Ratio (WP)'!B33,'2018'!$A$5:$A$73,0)))</f>
        <v>22.7</v>
      </c>
      <c r="H33" s="254" t="str">
        <f>IF(IFERROR(INDEX('2017'!$C$5:$C$73,MATCH('P-E Ratio (WP)'!B33,'2017'!$A$5:$A$73,0)),0)=0,"N/A",INDEX('2017'!$C$5:$C$73,MATCH('P-E Ratio (WP)'!B33,'2017'!$A$5:$A$73,0)))</f>
        <v>N/A</v>
      </c>
      <c r="I33" s="254" t="str">
        <f>IF(IFERROR(INDEX('2016'!$C$5:$C$73,MATCH('P-E Ratio (WP)'!B33,'2016'!$A$5:$A$73,0)),0)=0,"N/A",INDEX('2016'!$C$5:$C$73,MATCH('P-E Ratio (WP)'!B33,'2016'!$A$5:$A$73,0)))</f>
        <v>N/A</v>
      </c>
      <c r="J33" s="255" t="s">
        <v>106</v>
      </c>
      <c r="K33" s="254" t="s">
        <v>106</v>
      </c>
      <c r="L33" s="255" t="s">
        <v>106</v>
      </c>
      <c r="M33" s="254" t="s">
        <v>106</v>
      </c>
      <c r="N33" s="255" t="s">
        <v>106</v>
      </c>
      <c r="O33" s="254" t="s">
        <v>106</v>
      </c>
      <c r="P33" s="255" t="s">
        <v>106</v>
      </c>
      <c r="Q33" s="254" t="s">
        <v>106</v>
      </c>
      <c r="R33" s="255" t="s">
        <v>106</v>
      </c>
      <c r="S33" s="254" t="s">
        <v>106</v>
      </c>
      <c r="T33" s="255" t="s">
        <v>106</v>
      </c>
      <c r="U33" s="254" t="s">
        <v>106</v>
      </c>
      <c r="V33" s="255" t="s">
        <v>106</v>
      </c>
      <c r="W33" s="254" t="s">
        <v>106</v>
      </c>
    </row>
    <row r="34" spans="1:23" s="31" customFormat="1" x14ac:dyDescent="0.25">
      <c r="A34" s="31" t="str">
        <f>IFERROR(INDEX('2019 Data (WP)'!$C$9:$C$73,MATCH($B34,'2019 Data (WP)'!$D$9:$D$73,0)),"")</f>
        <v>Electric Utility (East)</v>
      </c>
      <c r="B34" s="31" t="s">
        <v>18</v>
      </c>
      <c r="C34" s="31" t="s">
        <v>69</v>
      </c>
      <c r="D34" s="253"/>
      <c r="E34" s="254">
        <f>IF(IFERROR(INDEX('2020'!$C$5:$C$73,MATCH('P-E Ratio (WP)'!B34,'2020'!$A$5:$A$73,0)),0)=0,"N/A",INDEX('2020'!$C$5:$C$73,MATCH('P-E Ratio (WP)'!B34,'2020'!$A$5:$A$73,0)))</f>
        <v>12.4</v>
      </c>
      <c r="F34" s="254">
        <f>IF(IFERROR(INDEX('2019'!$C$5:$C$73,MATCH('P-E Ratio (WP)'!B34,'2019'!$A$5:$A$73,0)),0)=0,"N/A",INDEX('2019'!$C$5:$C$73,MATCH('P-E Ratio (WP)'!B34,'2019'!$A$5:$A$73,0)))</f>
        <v>14.7</v>
      </c>
      <c r="G34" s="254">
        <f>IF(IFERROR(INDEX('2018'!$C$5:$C$73,MATCH('P-E Ratio (WP)'!B34,'2018'!$A$5:$A$73,0)),0)=0,"N/A",INDEX('2018'!$C$5:$C$73,MATCH('P-E Ratio (WP)'!B34,'2018'!$A$5:$A$73,0)))</f>
        <v>13.3</v>
      </c>
      <c r="H34" s="254">
        <f>IF(IFERROR(INDEX('2017'!$C$5:$C$73,MATCH('P-E Ratio (WP)'!B34,'2017'!$A$5:$A$73,0)),0)=0,"N/A",INDEX('2017'!$C$5:$C$73,MATCH('P-E Ratio (WP)'!B34,'2017'!$A$5:$A$73,0)))</f>
        <v>13.4</v>
      </c>
      <c r="I34" s="254">
        <f>IF(IFERROR(INDEX('2016'!$C$5:$C$73,MATCH('P-E Ratio (WP)'!B34,'2016'!$A$5:$A$73,0)),0)=0,"N/A",INDEX('2016'!$C$5:$C$73,MATCH('P-E Ratio (WP)'!B34,'2016'!$A$5:$A$73,0)))</f>
        <v>12.5</v>
      </c>
      <c r="J34" s="255">
        <v>12.6</v>
      </c>
      <c r="K34" s="255">
        <v>16</v>
      </c>
      <c r="L34" s="255">
        <v>13.4</v>
      </c>
      <c r="M34" s="255">
        <v>19.100000000000001</v>
      </c>
      <c r="N34" s="255">
        <v>11.3</v>
      </c>
      <c r="O34" s="255">
        <v>11</v>
      </c>
      <c r="P34" s="255">
        <v>11.5</v>
      </c>
      <c r="Q34" s="255">
        <v>18</v>
      </c>
      <c r="R34" s="255">
        <v>18.2</v>
      </c>
      <c r="S34" s="255">
        <v>16.529</v>
      </c>
      <c r="T34" s="255">
        <v>15.371</v>
      </c>
      <c r="U34" s="255">
        <v>12.99</v>
      </c>
      <c r="V34" s="255">
        <v>11.765000000000001</v>
      </c>
      <c r="W34" s="255">
        <v>10.457000000000001</v>
      </c>
    </row>
    <row r="35" spans="1:23" s="31" customFormat="1" x14ac:dyDescent="0.25">
      <c r="A35" s="31" t="str">
        <f>IFERROR(INDEX('2019 Data (WP)'!$C$9:$C$73,MATCH($B35,'2019 Data (WP)'!$D$9:$D$73,0)),"")</f>
        <v>Electric Utility (East)</v>
      </c>
      <c r="B35" s="31" t="s">
        <v>19</v>
      </c>
      <c r="C35" s="31" t="s">
        <v>66</v>
      </c>
      <c r="D35" s="253"/>
      <c r="E35" s="254">
        <f>IF(IFERROR(INDEX('2020'!$C$5:$C$73,MATCH('P-E Ratio (WP)'!B35,'2020'!$A$5:$A$73,0)),0)=0,"N/A",INDEX('2020'!$C$5:$C$73,MATCH('P-E Ratio (WP)'!B35,'2020'!$A$5:$A$73,0)))</f>
        <v>15.7</v>
      </c>
      <c r="F35" s="254">
        <f>IF(IFERROR(INDEX('2019'!$C$5:$C$73,MATCH('P-E Ratio (WP)'!B35,'2019'!$A$5:$A$73,0)),0)=0,"N/A",INDEX('2019'!$C$5:$C$73,MATCH('P-E Ratio (WP)'!B35,'2019'!$A$5:$A$73,0)))</f>
        <v>17.100000000000001</v>
      </c>
      <c r="G35" s="254">
        <f>IF(IFERROR(INDEX('2018'!$C$5:$C$73,MATCH('P-E Ratio (WP)'!B35,'2018'!$A$5:$A$73,0)),0)=0,"N/A",INDEX('2018'!$C$5:$C$73,MATCH('P-E Ratio (WP)'!B35,'2018'!$A$5:$A$73,0)))</f>
        <v>13.6</v>
      </c>
      <c r="H35" s="254">
        <f>IF(IFERROR(INDEX('2017'!$C$5:$C$73,MATCH('P-E Ratio (WP)'!B35,'2017'!$A$5:$A$73,0)),0)=0,"N/A",INDEX('2017'!$C$5:$C$73,MATCH('P-E Ratio (WP)'!B35,'2017'!$A$5:$A$73,0)))</f>
        <v>11.4</v>
      </c>
      <c r="I35" s="254">
        <f>IF(IFERROR(INDEX('2016'!$C$5:$C$73,MATCH('P-E Ratio (WP)'!B35,'2016'!$A$5:$A$73,0)),0)=0,"N/A",INDEX('2016'!$C$5:$C$73,MATCH('P-E Ratio (WP)'!B35,'2016'!$A$5:$A$73,0)))</f>
        <v>12.7</v>
      </c>
      <c r="J35" s="255">
        <v>12.6</v>
      </c>
      <c r="K35" s="255">
        <v>13.2</v>
      </c>
      <c r="L35" s="255">
        <v>13.1</v>
      </c>
      <c r="M35" s="255">
        <v>21.1</v>
      </c>
      <c r="N35" s="255">
        <v>22.4</v>
      </c>
      <c r="O35" s="255">
        <v>11.7</v>
      </c>
      <c r="P35" s="255">
        <v>13</v>
      </c>
      <c r="Q35" s="255">
        <v>15.6</v>
      </c>
      <c r="R35" s="255">
        <v>15.6</v>
      </c>
      <c r="S35" s="255">
        <v>14.228999999999999</v>
      </c>
      <c r="T35" s="255">
        <v>16.065000000000001</v>
      </c>
      <c r="U35" s="255">
        <v>14.127000000000001</v>
      </c>
      <c r="V35" s="255">
        <v>22.47</v>
      </c>
      <c r="W35" s="255">
        <v>12.954000000000001</v>
      </c>
    </row>
    <row r="36" spans="1:23" s="31" customFormat="1" x14ac:dyDescent="0.25">
      <c r="A36" s="31" t="str">
        <f>IFERROR(INDEX('2019 Data (WP)'!$C$9:$C$73,MATCH($B36,'2019 Data (WP)'!$D$9:$D$73,0)),"")</f>
        <v>Electric Util. (Central)</v>
      </c>
      <c r="B36" s="31" t="s">
        <v>266</v>
      </c>
      <c r="C36" s="31" t="s">
        <v>265</v>
      </c>
      <c r="D36" s="253"/>
      <c r="E36" s="254">
        <f>IF(IFERROR(INDEX('2020'!$C$5:$C$73,MATCH('P-E Ratio (WP)'!B36,'2020'!$A$5:$A$73,0)),0)=0,"N/A",INDEX('2020'!$C$5:$C$73,MATCH('P-E Ratio (WP)'!B36,'2020'!$A$5:$A$73,0)))</f>
        <v>20.6</v>
      </c>
      <c r="F36" s="254">
        <f>IF(IFERROR(INDEX('2019'!$C$5:$C$73,MATCH('P-E Ratio (WP)'!B36,'2019'!$A$5:$A$73,0)),0)=0,"N/A",INDEX('2019'!$C$5:$C$73,MATCH('P-E Ratio (WP)'!B36,'2019'!$A$5:$A$73,0)))</f>
        <v>19.2</v>
      </c>
      <c r="G36" s="254">
        <f>IF(IFERROR(INDEX('2018'!$C$5:$C$73,MATCH('P-E Ratio (WP)'!B36,'2018'!$A$5:$A$73,0)),0)=0,"N/A",INDEX('2018'!$C$5:$C$73,MATCH('P-E Ratio (WP)'!B36,'2018'!$A$5:$A$73,0)))</f>
        <v>17.100000000000001</v>
      </c>
      <c r="H36" s="254">
        <f>IF(IFERROR(INDEX('2017'!$C$5:$C$73,MATCH('P-E Ratio (WP)'!B36,'2017'!$A$5:$A$73,0)),0)=0,"N/A",INDEX('2017'!$C$5:$C$73,MATCH('P-E Ratio (WP)'!B36,'2017'!$A$5:$A$73,0)))</f>
        <v>16.8</v>
      </c>
      <c r="I36" s="254">
        <f>IF(IFERROR(INDEX('2016'!$C$5:$C$73,MATCH('P-E Ratio (WP)'!B36,'2016'!$A$5:$A$73,0)),0)=0,"N/A",INDEX('2016'!$C$5:$C$73,MATCH('P-E Ratio (WP)'!B36,'2016'!$A$5:$A$73,0)))</f>
        <v>21.6</v>
      </c>
      <c r="J36" s="255">
        <v>18</v>
      </c>
      <c r="K36" s="255">
        <v>24.3</v>
      </c>
      <c r="L36" s="255">
        <v>20</v>
      </c>
      <c r="M36" s="255">
        <v>20.100000000000001</v>
      </c>
      <c r="N36" s="255">
        <v>18.8</v>
      </c>
      <c r="O36" s="255">
        <v>18.2</v>
      </c>
      <c r="P36" s="255">
        <v>16.399999999999999</v>
      </c>
      <c r="Q36" s="255">
        <v>17.5</v>
      </c>
      <c r="R36" s="255">
        <v>21.1</v>
      </c>
      <c r="S36" s="255">
        <v>17.684000000000001</v>
      </c>
      <c r="T36" s="255" t="s">
        <v>106</v>
      </c>
      <c r="U36" s="255" t="s">
        <v>106</v>
      </c>
      <c r="V36" s="255" t="s">
        <v>106</v>
      </c>
      <c r="W36" s="255" t="s">
        <v>106</v>
      </c>
    </row>
    <row r="37" spans="1:23" s="31" customFormat="1" x14ac:dyDescent="0.25">
      <c r="A37" s="31" t="str">
        <f>IFERROR(INDEX('2019 Data (WP)'!$C$9:$C$73,MATCH($B37,'2019 Data (WP)'!$D$9:$D$73,0)),"")</f>
        <v/>
      </c>
      <c r="B37" s="31" t="s">
        <v>57</v>
      </c>
      <c r="C37" s="31" t="s">
        <v>56</v>
      </c>
      <c r="D37" s="253"/>
      <c r="E37" s="254" t="str">
        <f>IF(IFERROR(INDEX('2020'!$C$5:$C$73,MATCH('P-E Ratio (WP)'!B37,'2020'!$A$5:$A$73,0)),0)=0,"N/A",INDEX('2020'!$C$5:$C$73,MATCH('P-E Ratio (WP)'!B37,'2020'!$A$5:$A$73,0)))</f>
        <v>N/A</v>
      </c>
      <c r="F37" s="254" t="str">
        <f>IF(IFERROR(INDEX('2019'!$C$5:$C$73,MATCH('P-E Ratio (WP)'!B37,'2019'!$A$5:$A$73,0)),0)=0,"N/A",INDEX('2019'!$C$5:$C$73,MATCH('P-E Ratio (WP)'!B37,'2019'!$A$5:$A$73,0)))</f>
        <v>N/A</v>
      </c>
      <c r="G37" s="254" t="str">
        <f>IF(IFERROR(INDEX('2018'!$C$5:$C$73,MATCH('P-E Ratio (WP)'!B37,'2018'!$A$5:$A$73,0)),0)=0,"N/A",INDEX('2018'!$C$5:$C$73,MATCH('P-E Ratio (WP)'!B37,'2018'!$A$5:$A$73,0)))</f>
        <v>N/A</v>
      </c>
      <c r="H37" s="254" t="str">
        <f>IF(IFERROR(INDEX('2017'!$C$5:$C$73,MATCH('P-E Ratio (WP)'!B37,'2017'!$A$5:$A$73,0)),0)=0,"N/A",INDEX('2017'!$C$5:$C$73,MATCH('P-E Ratio (WP)'!B37,'2017'!$A$5:$A$73,0)))</f>
        <v>N/A</v>
      </c>
      <c r="I37" s="254" t="str">
        <f>IF(IFERROR(INDEX('2016'!$C$5:$C$73,MATCH('P-E Ratio (WP)'!B37,'2016'!$A$5:$A$73,0)),0)=0,"N/A",INDEX('2016'!$C$5:$C$73,MATCH('P-E Ratio (WP)'!B37,'2016'!$A$5:$A$73,0)))</f>
        <v>N/A</v>
      </c>
      <c r="J37" s="254" t="str">
        <f>IF(IFERROR(INDEX('2017'!$C$5:$C$72,MATCH('P-E Ratio (WP)'!C37,'2017'!$A$5:$A$72,0)),0)=0,"N/A",INDEX('2017'!$C$5:$C$72,MATCH('P-E Ratio (WP)'!C37,'2017'!$A$5:$A$72,0)))</f>
        <v>N/A</v>
      </c>
      <c r="K37" s="254" t="str">
        <f>IF(IFERROR(INDEX('2017'!$C$5:$C$72,MATCH('P-E Ratio (WP)'!D37,'2017'!$A$5:$A$72,0)),0)=0,"N/A",INDEX('2017'!$C$5:$C$72,MATCH('P-E Ratio (WP)'!D37,'2017'!$A$5:$A$72,0)))</f>
        <v>N/A</v>
      </c>
      <c r="L37" s="254" t="str">
        <f>IF(IFERROR(INDEX('2017'!$C$5:$C$72,MATCH('P-E Ratio (WP)'!I37,'2017'!$A$5:$A$72,0)),0)=0,"N/A",INDEX('2017'!$C$5:$C$72,MATCH('P-E Ratio (WP)'!I37,'2017'!$A$5:$A$72,0)))</f>
        <v>N/A</v>
      </c>
      <c r="M37" s="254" t="str">
        <f>IF(IFERROR(INDEX('2017'!$C$5:$C$72,MATCH('P-E Ratio (WP)'!J37,'2017'!$A$5:$A$72,0)),0)=0,"N/A",INDEX('2017'!$C$5:$C$72,MATCH('P-E Ratio (WP)'!J37,'2017'!$A$5:$A$72,0)))</f>
        <v>N/A</v>
      </c>
      <c r="N37" s="254" t="str">
        <f>IF(IFERROR(INDEX('2017'!$C$5:$C$72,MATCH('P-E Ratio (WP)'!K37,'2017'!$A$5:$A$72,0)),0)=0,"N/A",INDEX('2017'!$C$5:$C$72,MATCH('P-E Ratio (WP)'!K37,'2017'!$A$5:$A$72,0)))</f>
        <v>N/A</v>
      </c>
      <c r="O37" s="254" t="str">
        <f>IF(IFERROR(INDEX('2017'!$C$5:$C$72,MATCH('P-E Ratio (WP)'!L37,'2017'!$A$5:$A$72,0)),0)=0,"N/A",INDEX('2017'!$C$5:$C$72,MATCH('P-E Ratio (WP)'!L37,'2017'!$A$5:$A$72,0)))</f>
        <v>N/A</v>
      </c>
      <c r="P37" s="254" t="str">
        <f>IF(IFERROR(INDEX('2017'!$C$5:$C$72,MATCH('P-E Ratio (WP)'!M37,'2017'!$A$5:$A$72,0)),0)=0,"N/A",INDEX('2017'!$C$5:$C$72,MATCH('P-E Ratio (WP)'!M37,'2017'!$A$5:$A$72,0)))</f>
        <v>N/A</v>
      </c>
      <c r="Q37" s="254" t="str">
        <f>IF(IFERROR(INDEX('2017'!$C$5:$C$72,MATCH('P-E Ratio (WP)'!N37,'2017'!$A$5:$A$72,0)),0)=0,"N/A",INDEX('2017'!$C$5:$C$72,MATCH('P-E Ratio (WP)'!N37,'2017'!$A$5:$A$72,0)))</f>
        <v>N/A</v>
      </c>
      <c r="R37" s="254" t="str">
        <f>IF(IFERROR(INDEX('2017'!$C$5:$C$72,MATCH('P-E Ratio (WP)'!O37,'2017'!$A$5:$A$72,0)),0)=0,"N/A",INDEX('2017'!$C$5:$C$72,MATCH('P-E Ratio (WP)'!O37,'2017'!$A$5:$A$72,0)))</f>
        <v>N/A</v>
      </c>
      <c r="S37" s="254" t="str">
        <f>IF(IFERROR(INDEX('2017'!$C$5:$C$72,MATCH('P-E Ratio (WP)'!P37,'2017'!$A$5:$A$72,0)),0)=0,"N/A",INDEX('2017'!$C$5:$C$72,MATCH('P-E Ratio (WP)'!P37,'2017'!$A$5:$A$72,0)))</f>
        <v>N/A</v>
      </c>
      <c r="T37" s="255" t="s">
        <v>106</v>
      </c>
      <c r="U37" s="255">
        <v>13.602</v>
      </c>
      <c r="V37" s="255">
        <v>12.646000000000001</v>
      </c>
      <c r="W37" s="255">
        <v>14.225</v>
      </c>
    </row>
    <row r="38" spans="1:23" s="31" customFormat="1" x14ac:dyDescent="0.25">
      <c r="A38" s="31" t="str">
        <f>IFERROR(INDEX('2019 Data (WP)'!$C$9:$C$73,MATCH($B38,'2019 Data (WP)'!$D$9:$D$73,0)),"")</f>
        <v>Electric Util. (Central)</v>
      </c>
      <c r="B38" s="31" t="s">
        <v>20</v>
      </c>
      <c r="C38" s="31" t="s">
        <v>104</v>
      </c>
      <c r="D38" s="253"/>
      <c r="E38" s="254" t="str">
        <f>IF(IFERROR(INDEX('2020'!$C$5:$C$73,MATCH('P-E Ratio (WP)'!B38,'2020'!$A$5:$A$73,0)),0)=0,"N/A",INDEX('2020'!$C$5:$C$73,MATCH('P-E Ratio (WP)'!B38,'2020'!$A$5:$A$73,0)))</f>
        <v>N/A</v>
      </c>
      <c r="F38" s="254" t="str">
        <f>IF(IFERROR(INDEX('2019'!$C$5:$C$73,MATCH('P-E Ratio (WP)'!B38,'2019'!$A$5:$A$73,0)),0)=0,"N/A",INDEX('2019'!$C$5:$C$73,MATCH('P-E Ratio (WP)'!B38,'2019'!$A$5:$A$73,0)))</f>
        <v>N/A</v>
      </c>
      <c r="G38" s="254" t="str">
        <f>IF(IFERROR(INDEX('2018'!$C$5:$C$73,MATCH('P-E Ratio (WP)'!B38,'2018'!$A$5:$A$73,0)),0)=0,"N/A",INDEX('2018'!$C$5:$C$73,MATCH('P-E Ratio (WP)'!B38,'2018'!$A$5:$A$73,0)))</f>
        <v>N/A</v>
      </c>
      <c r="H38" s="254" t="str">
        <f>IF(IFERROR(INDEX('2017'!$C$5:$C$73,MATCH('P-E Ratio (WP)'!B38,'2017'!$A$5:$A$73,0)),0)=0,"N/A",INDEX('2017'!$C$5:$C$73,MATCH('P-E Ratio (WP)'!B38,'2017'!$A$5:$A$73,0)))</f>
        <v>NMF</v>
      </c>
      <c r="I38" s="254">
        <f>IF(IFERROR(INDEX('2016'!$C$5:$C$73,MATCH('P-E Ratio (WP)'!B38,'2016'!$A$5:$A$73,0)),0)=0,"N/A",INDEX('2016'!$C$5:$C$73,MATCH('P-E Ratio (WP)'!B38,'2016'!$A$5:$A$73,0)))</f>
        <v>17.981000000000002</v>
      </c>
      <c r="J38" s="255">
        <v>19.366</v>
      </c>
      <c r="K38" s="255">
        <v>16.47</v>
      </c>
      <c r="L38" s="255">
        <v>14.186</v>
      </c>
      <c r="M38" s="255">
        <v>15.534000000000001</v>
      </c>
      <c r="N38" s="255">
        <v>16.105</v>
      </c>
      <c r="O38" s="255">
        <v>12.095000000000001</v>
      </c>
      <c r="P38" s="255">
        <v>16.033000000000001</v>
      </c>
      <c r="Q38" s="255">
        <v>20.547000000000001</v>
      </c>
      <c r="R38" s="255">
        <v>16.347999999999999</v>
      </c>
      <c r="S38" s="255">
        <v>18.298999999999999</v>
      </c>
      <c r="T38" s="255">
        <v>13.962</v>
      </c>
      <c r="U38" s="255">
        <v>12.593</v>
      </c>
      <c r="V38" s="255">
        <v>12.228999999999999</v>
      </c>
      <c r="W38" s="255">
        <v>11.09</v>
      </c>
    </row>
    <row r="39" spans="1:23" s="31" customFormat="1" x14ac:dyDescent="0.25">
      <c r="A39" s="31" t="str">
        <f>IFERROR(INDEX('2019 Data (WP)'!$C$9:$C$73,MATCH($B39,'2019 Data (WP)'!$D$9:$D$73,0)),"")</f>
        <v>Electric Utility (West)</v>
      </c>
      <c r="B39" s="31" t="s">
        <v>21</v>
      </c>
      <c r="C39" s="31" t="s">
        <v>58</v>
      </c>
      <c r="D39" s="253"/>
      <c r="E39" s="254">
        <f>IF(IFERROR(INDEX('2020'!$C$5:$C$73,MATCH('P-E Ratio (WP)'!B39,'2020'!$A$5:$A$73,0)),0)=0,"N/A",INDEX('2020'!$C$5:$C$73,MATCH('P-E Ratio (WP)'!B39,'2020'!$A$5:$A$73,0)))</f>
        <v>21.5</v>
      </c>
      <c r="F39" s="254">
        <f>IF(IFERROR(INDEX('2019'!$C$5:$C$73,MATCH('P-E Ratio (WP)'!B39,'2019'!$A$5:$A$73,0)),0)=0,"N/A",INDEX('2019'!$C$5:$C$73,MATCH('P-E Ratio (WP)'!B39,'2019'!$A$5:$A$73,0)))</f>
        <v>21.3</v>
      </c>
      <c r="G39" s="254">
        <f>IF(IFERROR(INDEX('2018'!$C$5:$C$73,MATCH('P-E Ratio (WP)'!B39,'2018'!$A$5:$A$73,0)),0)=0,"N/A",INDEX('2018'!$C$5:$C$73,MATCH('P-E Ratio (WP)'!B39,'2018'!$A$5:$A$73,0)))</f>
        <v>18.899999999999999</v>
      </c>
      <c r="H39" s="254">
        <f>IF(IFERROR(INDEX('2017'!$C$5:$C$73,MATCH('P-E Ratio (WP)'!B39,'2017'!$A$5:$A$73,0)),0)=0,"N/A",INDEX('2017'!$C$5:$C$73,MATCH('P-E Ratio (WP)'!B39,'2017'!$A$5:$A$73,0)))</f>
        <v>20.7</v>
      </c>
      <c r="I39" s="254">
        <f>IF(IFERROR(INDEX('2016'!$C$5:$C$73,MATCH('P-E Ratio (WP)'!B39,'2016'!$A$5:$A$73,0)),0)=0,"N/A",INDEX('2016'!$C$5:$C$73,MATCH('P-E Ratio (WP)'!B39,'2016'!$A$5:$A$73,0)))</f>
        <v>13.6</v>
      </c>
      <c r="J39" s="255">
        <v>20.399999999999999</v>
      </c>
      <c r="K39" s="255">
        <v>15.9</v>
      </c>
      <c r="L39" s="255">
        <v>16.2</v>
      </c>
      <c r="M39" s="255">
        <v>15.8</v>
      </c>
      <c r="N39" s="255">
        <v>17.100000000000001</v>
      </c>
      <c r="O39" s="255">
        <v>18.600000000000001</v>
      </c>
      <c r="P39" s="255">
        <v>19.8</v>
      </c>
      <c r="Q39" s="255">
        <v>23.2</v>
      </c>
      <c r="R39" s="255" t="s">
        <v>570</v>
      </c>
      <c r="S39" s="255">
        <v>20.329000000000001</v>
      </c>
      <c r="T39" s="255">
        <v>18.273</v>
      </c>
      <c r="U39" s="255">
        <v>19.181000000000001</v>
      </c>
      <c r="V39" s="255">
        <v>13.759</v>
      </c>
      <c r="W39" s="255">
        <v>13.474</v>
      </c>
    </row>
    <row r="40" spans="1:23" s="31" customFormat="1" x14ac:dyDescent="0.25">
      <c r="A40" s="31" t="str">
        <f>IFERROR(INDEX('2019 Data (WP)'!$C$9:$C$73,MATCH($B40,'2019 Data (WP)'!$D$9:$D$73,0)),"")</f>
        <v>Electric Utility (West)</v>
      </c>
      <c r="B40" s="31" t="s">
        <v>22</v>
      </c>
      <c r="C40" s="31" t="s">
        <v>59</v>
      </c>
      <c r="D40" s="253"/>
      <c r="E40" s="254">
        <f>IF(IFERROR(INDEX('2020'!$C$5:$C$73,MATCH('P-E Ratio (WP)'!B40,'2020'!$A$5:$A$73,0)),0)=0,"N/A",INDEX('2020'!$C$5:$C$73,MATCH('P-E Ratio (WP)'!B40,'2020'!$A$5:$A$73,0)))</f>
        <v>19.899999999999999</v>
      </c>
      <c r="F40" s="254">
        <f>IF(IFERROR(INDEX('2019'!$C$5:$C$73,MATCH('P-E Ratio (WP)'!B40,'2019'!$A$5:$A$73,0)),0)=0,"N/A",INDEX('2019'!$C$5:$C$73,MATCH('P-E Ratio (WP)'!B40,'2019'!$A$5:$A$73,0)))</f>
        <v>22.3</v>
      </c>
      <c r="G40" s="254">
        <f>IF(IFERROR(INDEX('2018'!$C$5:$C$73,MATCH('P-E Ratio (WP)'!B40,'2018'!$A$5:$A$73,0)),0)=0,"N/A",INDEX('2018'!$C$5:$C$73,MATCH('P-E Ratio (WP)'!B40,'2018'!$A$5:$A$73,0)))</f>
        <v>20.5</v>
      </c>
      <c r="H40" s="254">
        <f>IF(IFERROR(INDEX('2017'!$C$5:$C$73,MATCH('P-E Ratio (WP)'!B40,'2017'!$A$5:$A$73,0)),0)=0,"N/A",INDEX('2017'!$C$5:$C$73,MATCH('P-E Ratio (WP)'!B40,'2017'!$A$5:$A$73,0)))</f>
        <v>20.6</v>
      </c>
      <c r="I40" s="254">
        <f>IF(IFERROR(INDEX('2016'!$C$5:$C$73,MATCH('P-E Ratio (WP)'!B40,'2016'!$A$5:$A$73,0)),0)=0,"N/A",INDEX('2016'!$C$5:$C$73,MATCH('P-E Ratio (WP)'!B40,'2016'!$A$5:$A$73,0)))</f>
        <v>19.100000000000001</v>
      </c>
      <c r="J40" s="255">
        <v>16.2</v>
      </c>
      <c r="K40" s="255">
        <v>14.7</v>
      </c>
      <c r="L40" s="255">
        <v>13.4</v>
      </c>
      <c r="M40" s="255">
        <v>12.4</v>
      </c>
      <c r="N40" s="255">
        <v>11.5</v>
      </c>
      <c r="O40" s="255">
        <v>11.8</v>
      </c>
      <c r="P40" s="255">
        <v>10.199999999999999</v>
      </c>
      <c r="Q40" s="255">
        <v>13.9</v>
      </c>
      <c r="R40" s="255">
        <v>18.2</v>
      </c>
      <c r="S40" s="255">
        <v>15.07</v>
      </c>
      <c r="T40" s="255">
        <v>16.699000000000002</v>
      </c>
      <c r="U40" s="255">
        <v>15.488</v>
      </c>
      <c r="V40" s="255">
        <v>26.510999999999999</v>
      </c>
      <c r="W40" s="255">
        <v>18.875</v>
      </c>
    </row>
    <row r="41" spans="1:23" s="31" customFormat="1" x14ac:dyDescent="0.25">
      <c r="A41" s="31" t="str">
        <f>IFERROR(INDEX('2019 Data (WP)'!$C$9:$C$73,MATCH($B41,'2019 Data (WP)'!$D$9:$D$73,0)),"")</f>
        <v/>
      </c>
      <c r="B41" s="31" t="s">
        <v>23</v>
      </c>
      <c r="C41" s="31" t="s">
        <v>85</v>
      </c>
      <c r="D41" s="253"/>
      <c r="E41" s="254" t="str">
        <f>IF(IFERROR(INDEX('2020'!$C$5:$C$73,MATCH('P-E Ratio (WP)'!B41,'2020'!$A$5:$A$73,0)),0)=0,"N/A",INDEX('2020'!$C$5:$C$73,MATCH('P-E Ratio (WP)'!B41,'2020'!$A$5:$A$73,0)))</f>
        <v>N/A</v>
      </c>
      <c r="F41" s="254" t="str">
        <f>IF(IFERROR(INDEX('2019'!$C$5:$C$73,MATCH('P-E Ratio (WP)'!B41,'2019'!$A$5:$A$73,0)),0)=0,"N/A",INDEX('2019'!$C$5:$C$73,MATCH('P-E Ratio (WP)'!B41,'2019'!$A$5:$A$73,0)))</f>
        <v>N/A</v>
      </c>
      <c r="G41" s="254" t="str">
        <f>IF(IFERROR(INDEX('2018'!$C$5:$C$73,MATCH('P-E Ratio (WP)'!B41,'2018'!$A$5:$A$73,0)),0)=0,"N/A",INDEX('2018'!$C$5:$C$73,MATCH('P-E Ratio (WP)'!B41,'2018'!$A$5:$A$73,0)))</f>
        <v>N/A</v>
      </c>
      <c r="H41" s="254" t="str">
        <f>IF(IFERROR(INDEX('2017'!$C$5:$C$73,MATCH('P-E Ratio (WP)'!B41,'2017'!$A$5:$A$73,0)),0)=0,"N/A",INDEX('2017'!$C$5:$C$73,MATCH('P-E Ratio (WP)'!B41,'2017'!$A$5:$A$73,0)))</f>
        <v>N/A</v>
      </c>
      <c r="I41" s="254" t="str">
        <f>IF(IFERROR(INDEX('2016'!$C$5:$C$73,MATCH('P-E Ratio (WP)'!B41,'2016'!$A$5:$A$73,0)),0)=0,"N/A",INDEX('2016'!$C$5:$C$73,MATCH('P-E Ratio (WP)'!B41,'2016'!$A$5:$A$73,0)))</f>
        <v>N/A</v>
      </c>
      <c r="J41" s="254" t="str">
        <f>IF(IFERROR(INDEX('2017'!$C$5:$C$72,MATCH('P-E Ratio (WP)'!C41,'2017'!$A$5:$A$72,0)),0)=0,"N/A",INDEX('2017'!$C$5:$C$72,MATCH('P-E Ratio (WP)'!C41,'2017'!$A$5:$A$72,0)))</f>
        <v>N/A</v>
      </c>
      <c r="K41" s="254" t="str">
        <f>IF(IFERROR(INDEX('2017'!$C$5:$C$72,MATCH('P-E Ratio (WP)'!D41,'2017'!$A$5:$A$72,0)),0)=0,"N/A",INDEX('2017'!$C$5:$C$72,MATCH('P-E Ratio (WP)'!D41,'2017'!$A$5:$A$72,0)))</f>
        <v>N/A</v>
      </c>
      <c r="L41" s="254" t="str">
        <f>IF(IFERROR(INDEX('2017'!$C$5:$C$72,MATCH('P-E Ratio (WP)'!I41,'2017'!$A$5:$A$72,0)),0)=0,"N/A",INDEX('2017'!$C$5:$C$72,MATCH('P-E Ratio (WP)'!I41,'2017'!$A$5:$A$72,0)))</f>
        <v>N/A</v>
      </c>
      <c r="M41" s="254" t="str">
        <f>IF(IFERROR(INDEX('2017'!$C$5:$C$72,MATCH('P-E Ratio (WP)'!J41,'2017'!$A$5:$A$72,0)),0)=0,"N/A",INDEX('2017'!$C$5:$C$72,MATCH('P-E Ratio (WP)'!J41,'2017'!$A$5:$A$72,0)))</f>
        <v>N/A</v>
      </c>
      <c r="N41" s="254" t="str">
        <f>IF(IFERROR(INDEX('2017'!$C$5:$C$72,MATCH('P-E Ratio (WP)'!K41,'2017'!$A$5:$A$72,0)),0)=0,"N/A",INDEX('2017'!$C$5:$C$72,MATCH('P-E Ratio (WP)'!K41,'2017'!$A$5:$A$72,0)))</f>
        <v>N/A</v>
      </c>
      <c r="O41" s="254" t="str">
        <f>IF(IFERROR(INDEX('2017'!$C$5:$C$72,MATCH('P-E Ratio (WP)'!L41,'2017'!$A$5:$A$72,0)),0)=0,"N/A",INDEX('2017'!$C$5:$C$72,MATCH('P-E Ratio (WP)'!L41,'2017'!$A$5:$A$72,0)))</f>
        <v>N/A</v>
      </c>
      <c r="P41" s="254" t="str">
        <f>IF(IFERROR(INDEX('2017'!$C$5:$C$72,MATCH('P-E Ratio (WP)'!M41,'2017'!$A$5:$A$72,0)),0)=0,"N/A",INDEX('2017'!$C$5:$C$72,MATCH('P-E Ratio (WP)'!M41,'2017'!$A$5:$A$72,0)))</f>
        <v>N/A</v>
      </c>
      <c r="Q41" s="254" t="str">
        <f>IF(IFERROR(INDEX('2017'!$C$5:$C$72,MATCH('P-E Ratio (WP)'!N41,'2017'!$A$5:$A$72,0)),0)=0,"N/A",INDEX('2017'!$C$5:$C$72,MATCH('P-E Ratio (WP)'!N41,'2017'!$A$5:$A$72,0)))</f>
        <v>N/A</v>
      </c>
      <c r="R41" s="254" t="str">
        <f>IF(IFERROR(INDEX('2017'!$C$5:$C$72,MATCH('P-E Ratio (WP)'!O41,'2017'!$A$5:$A$72,0)),0)=0,"N/A",INDEX('2017'!$C$5:$C$72,MATCH('P-E Ratio (WP)'!O41,'2017'!$A$5:$A$72,0)))</f>
        <v>N/A</v>
      </c>
      <c r="S41" s="254" t="str">
        <f>IF(IFERROR(INDEX('2017'!$C$5:$C$72,MATCH('P-E Ratio (WP)'!P41,'2017'!$A$5:$A$72,0)),0)=0,"N/A",INDEX('2017'!$C$5:$C$72,MATCH('P-E Ratio (WP)'!P41,'2017'!$A$5:$A$72,0)))</f>
        <v>N/A</v>
      </c>
      <c r="T41" s="255" t="s">
        <v>106</v>
      </c>
      <c r="U41" s="255">
        <v>11.55</v>
      </c>
      <c r="V41" s="255">
        <v>14.875</v>
      </c>
      <c r="W41" s="255">
        <v>13.955</v>
      </c>
    </row>
    <row r="42" spans="1:23" s="31" customFormat="1" x14ac:dyDescent="0.25">
      <c r="A42" s="31" t="str">
        <f>IFERROR(INDEX('2019 Data (WP)'!$C$9:$C$73,MATCH($B42,'2019 Data (WP)'!$D$9:$D$73,0)),"")</f>
        <v/>
      </c>
      <c r="B42" s="31" t="s">
        <v>161</v>
      </c>
      <c r="C42" s="31" t="s">
        <v>160</v>
      </c>
      <c r="D42" s="253"/>
      <c r="E42" s="254" t="str">
        <f>IF(IFERROR(INDEX('2020'!$C$5:$C$73,MATCH('P-E Ratio (WP)'!B42,'2020'!$A$5:$A$73,0)),0)=0,"N/A",INDEX('2020'!$C$5:$C$73,MATCH('P-E Ratio (WP)'!B42,'2020'!$A$5:$A$73,0)))</f>
        <v>N/A</v>
      </c>
      <c r="F42" s="254" t="str">
        <f>IF(IFERROR(INDEX('2019'!$C$5:$C$73,MATCH('P-E Ratio (WP)'!B42,'2019'!$A$5:$A$73,0)),0)=0,"N/A",INDEX('2019'!$C$5:$C$73,MATCH('P-E Ratio (WP)'!B42,'2019'!$A$5:$A$73,0)))</f>
        <v>N/A</v>
      </c>
      <c r="G42" s="254" t="str">
        <f>IF(IFERROR(INDEX('2018'!$C$5:$C$73,MATCH('P-E Ratio (WP)'!B42,'2018'!$A$5:$A$73,0)),0)=0,"N/A",INDEX('2018'!$C$5:$C$73,MATCH('P-E Ratio (WP)'!B42,'2018'!$A$5:$A$73,0)))</f>
        <v>N/A</v>
      </c>
      <c r="H42" s="254" t="str">
        <f>IF(IFERROR(INDEX('2017'!$C$5:$C$73,MATCH('P-E Ratio (WP)'!B42,'2017'!$A$5:$A$73,0)),0)=0,"N/A",INDEX('2017'!$C$5:$C$73,MATCH('P-E Ratio (WP)'!B42,'2017'!$A$5:$A$73,0)))</f>
        <v>N/A</v>
      </c>
      <c r="I42" s="254" t="str">
        <f>IF(IFERROR(INDEX('2016'!$C$5:$C$73,MATCH('P-E Ratio (WP)'!B42,'2016'!$A$5:$A$73,0)),0)=0,"N/A",INDEX('2016'!$C$5:$C$73,MATCH('P-E Ratio (WP)'!B42,'2016'!$A$5:$A$73,0)))</f>
        <v>N/A</v>
      </c>
      <c r="J42" s="254" t="str">
        <f>IF(IFERROR(INDEX('2017'!$C$5:$C$72,MATCH('P-E Ratio (WP)'!C42,'2017'!$A$5:$A$72,0)),0)=0,"N/A",INDEX('2017'!$C$5:$C$72,MATCH('P-E Ratio (WP)'!C42,'2017'!$A$5:$A$72,0)))</f>
        <v>N/A</v>
      </c>
      <c r="K42" s="254" t="str">
        <f>IF(IFERROR(INDEX('2017'!$C$5:$C$72,MATCH('P-E Ratio (WP)'!D42,'2017'!$A$5:$A$72,0)),0)=0,"N/A",INDEX('2017'!$C$5:$C$72,MATCH('P-E Ratio (WP)'!D42,'2017'!$A$5:$A$72,0)))</f>
        <v>N/A</v>
      </c>
      <c r="L42" s="254" t="str">
        <f>IF(IFERROR(INDEX('2017'!$C$5:$C$72,MATCH('P-E Ratio (WP)'!I42,'2017'!$A$5:$A$72,0)),0)=0,"N/A",INDEX('2017'!$C$5:$C$72,MATCH('P-E Ratio (WP)'!I42,'2017'!$A$5:$A$72,0)))</f>
        <v>N/A</v>
      </c>
      <c r="M42" s="254" t="str">
        <f>IF(IFERROR(INDEX('2017'!$C$5:$C$72,MATCH('P-E Ratio (WP)'!J42,'2017'!$A$5:$A$72,0)),0)=0,"N/A",INDEX('2017'!$C$5:$C$72,MATCH('P-E Ratio (WP)'!J42,'2017'!$A$5:$A$72,0)))</f>
        <v>N/A</v>
      </c>
      <c r="N42" s="254" t="str">
        <f>IF(IFERROR(INDEX('2017'!$C$5:$C$72,MATCH('P-E Ratio (WP)'!K42,'2017'!$A$5:$A$72,0)),0)=0,"N/A",INDEX('2017'!$C$5:$C$72,MATCH('P-E Ratio (WP)'!K42,'2017'!$A$5:$A$72,0)))</f>
        <v>N/A</v>
      </c>
      <c r="O42" s="254" t="str">
        <f>IF(IFERROR(INDEX('2017'!$C$5:$C$72,MATCH('P-E Ratio (WP)'!L42,'2017'!$A$5:$A$72,0)),0)=0,"N/A",INDEX('2017'!$C$5:$C$72,MATCH('P-E Ratio (WP)'!L42,'2017'!$A$5:$A$72,0)))</f>
        <v>N/A</v>
      </c>
      <c r="P42" s="254" t="str">
        <f>IF(IFERROR(INDEX('2017'!$C$5:$C$72,MATCH('P-E Ratio (WP)'!M42,'2017'!$A$5:$A$72,0)),0)=0,"N/A",INDEX('2017'!$C$5:$C$72,MATCH('P-E Ratio (WP)'!M42,'2017'!$A$5:$A$72,0)))</f>
        <v>N/A</v>
      </c>
      <c r="Q42" s="254" t="str">
        <f>IF(IFERROR(INDEX('2017'!$C$5:$C$72,MATCH('P-E Ratio (WP)'!N42,'2017'!$A$5:$A$72,0)),0)=0,"N/A",INDEX('2017'!$C$5:$C$72,MATCH('P-E Ratio (WP)'!N42,'2017'!$A$5:$A$72,0)))</f>
        <v>N/A</v>
      </c>
      <c r="R42" s="254" t="str">
        <f>IF(IFERROR(INDEX('2017'!$C$5:$C$72,MATCH('P-E Ratio (WP)'!O42,'2017'!$A$5:$A$72,0)),0)=0,"N/A",INDEX('2017'!$C$5:$C$72,MATCH('P-E Ratio (WP)'!O42,'2017'!$A$5:$A$72,0)))</f>
        <v>N/A</v>
      </c>
      <c r="S42" s="254" t="str">
        <f>IF(IFERROR(INDEX('2017'!$C$5:$C$72,MATCH('P-E Ratio (WP)'!P42,'2017'!$A$5:$A$72,0)),0)=0,"N/A",INDEX('2017'!$C$5:$C$72,MATCH('P-E Ratio (WP)'!P42,'2017'!$A$5:$A$72,0)))</f>
        <v>N/A</v>
      </c>
      <c r="T42" s="255">
        <v>26.367999999999999</v>
      </c>
      <c r="U42" s="255" t="s">
        <v>106</v>
      </c>
      <c r="V42" s="255" t="s">
        <v>106</v>
      </c>
      <c r="W42" s="255" t="s">
        <v>106</v>
      </c>
    </row>
    <row r="43" spans="1:23" s="31" customFormat="1" x14ac:dyDescent="0.25">
      <c r="A43" s="31" t="str">
        <f>IFERROR(INDEX('2019 Data (WP)'!$C$9:$C$73,MATCH($B43,'2019 Data (WP)'!$D$9:$D$73,0)),"")</f>
        <v/>
      </c>
      <c r="B43" s="31" t="s">
        <v>24</v>
      </c>
      <c r="C43" s="31" t="s">
        <v>60</v>
      </c>
      <c r="D43" s="253"/>
      <c r="E43" s="254" t="str">
        <f>IF(IFERROR(INDEX('2020'!$C$5:$C$73,MATCH('P-E Ratio (WP)'!B43,'2020'!$A$5:$A$73,0)),0)=0,"N/A",INDEX('2020'!$C$5:$C$73,MATCH('P-E Ratio (WP)'!B43,'2020'!$A$5:$A$73,0)))</f>
        <v>N/A</v>
      </c>
      <c r="F43" s="254" t="str">
        <f>IF(IFERROR(INDEX('2019'!$C$5:$C$73,MATCH('P-E Ratio (WP)'!B43,'2019'!$A$5:$A$73,0)),0)=0,"N/A",INDEX('2019'!$C$5:$C$73,MATCH('P-E Ratio (WP)'!B43,'2019'!$A$5:$A$73,0)))</f>
        <v>N/A</v>
      </c>
      <c r="G43" s="254" t="str">
        <f>IF(IFERROR(INDEX('2018'!$C$5:$C$73,MATCH('P-E Ratio (WP)'!B43,'2018'!$A$5:$A$73,0)),0)=0,"N/A",INDEX('2018'!$C$5:$C$73,MATCH('P-E Ratio (WP)'!B43,'2018'!$A$5:$A$73,0)))</f>
        <v>N/A</v>
      </c>
      <c r="H43" s="254" t="str">
        <f>IF(IFERROR(INDEX('2017'!$C$5:$C$73,MATCH('P-E Ratio (WP)'!B43,'2017'!$A$5:$A$73,0)),0)=0,"N/A",INDEX('2017'!$C$5:$C$73,MATCH('P-E Ratio (WP)'!B43,'2017'!$A$5:$A$73,0)))</f>
        <v>N/A</v>
      </c>
      <c r="I43" s="254" t="str">
        <f>IF(IFERROR(INDEX('2016'!$C$5:$C$73,MATCH('P-E Ratio (WP)'!B43,'2016'!$A$5:$A$73,0)),0)=0,"N/A",INDEX('2016'!$C$5:$C$73,MATCH('P-E Ratio (WP)'!B43,'2016'!$A$5:$A$73,0)))</f>
        <v>N/A</v>
      </c>
      <c r="J43" s="254" t="str">
        <f>IF(IFERROR(INDEX('2017'!$C$5:$C$72,MATCH('P-E Ratio (WP)'!C43,'2017'!$A$5:$A$72,0)),0)=0,"N/A",INDEX('2017'!$C$5:$C$72,MATCH('P-E Ratio (WP)'!C43,'2017'!$A$5:$A$72,0)))</f>
        <v>N/A</v>
      </c>
      <c r="K43" s="254" t="str">
        <f>IF(IFERROR(INDEX('2017'!$C$5:$C$72,MATCH('P-E Ratio (WP)'!D43,'2017'!$A$5:$A$72,0)),0)=0,"N/A",INDEX('2017'!$C$5:$C$72,MATCH('P-E Ratio (WP)'!D43,'2017'!$A$5:$A$72,0)))</f>
        <v>N/A</v>
      </c>
      <c r="L43" s="254" t="str">
        <f>IF(IFERROR(INDEX('2017'!$C$5:$C$72,MATCH('P-E Ratio (WP)'!I43,'2017'!$A$5:$A$72,0)),0)=0,"N/A",INDEX('2017'!$C$5:$C$72,MATCH('P-E Ratio (WP)'!I43,'2017'!$A$5:$A$72,0)))</f>
        <v>N/A</v>
      </c>
      <c r="M43" s="254" t="str">
        <f>IF(IFERROR(INDEX('2017'!$C$5:$C$72,MATCH('P-E Ratio (WP)'!J43,'2017'!$A$5:$A$72,0)),0)=0,"N/A",INDEX('2017'!$C$5:$C$72,MATCH('P-E Ratio (WP)'!J43,'2017'!$A$5:$A$72,0)))</f>
        <v>N/A</v>
      </c>
      <c r="N43" s="254" t="str">
        <f>IF(IFERROR(INDEX('2017'!$C$5:$C$72,MATCH('P-E Ratio (WP)'!K43,'2017'!$A$5:$A$72,0)),0)=0,"N/A",INDEX('2017'!$C$5:$C$72,MATCH('P-E Ratio (WP)'!K43,'2017'!$A$5:$A$72,0)))</f>
        <v>N/A</v>
      </c>
      <c r="O43" s="254" t="str">
        <f>IF(IFERROR(INDEX('2017'!$C$5:$C$72,MATCH('P-E Ratio (WP)'!L43,'2017'!$A$5:$A$72,0)),0)=0,"N/A",INDEX('2017'!$C$5:$C$72,MATCH('P-E Ratio (WP)'!L43,'2017'!$A$5:$A$72,0)))</f>
        <v>N/A</v>
      </c>
      <c r="P43" s="254" t="str">
        <f>IF(IFERROR(INDEX('2017'!$C$5:$C$72,MATCH('P-E Ratio (WP)'!M43,'2017'!$A$5:$A$72,0)),0)=0,"N/A",INDEX('2017'!$C$5:$C$72,MATCH('P-E Ratio (WP)'!M43,'2017'!$A$5:$A$72,0)))</f>
        <v>N/A</v>
      </c>
      <c r="Q43" s="254" t="str">
        <f>IF(IFERROR(INDEX('2017'!$C$5:$C$72,MATCH('P-E Ratio (WP)'!N43,'2017'!$A$5:$A$72,0)),0)=0,"N/A",INDEX('2017'!$C$5:$C$72,MATCH('P-E Ratio (WP)'!N43,'2017'!$A$5:$A$72,0)))</f>
        <v>N/A</v>
      </c>
      <c r="R43" s="254" t="str">
        <f>IF(IFERROR(INDEX('2017'!$C$5:$C$72,MATCH('P-E Ratio (WP)'!O43,'2017'!$A$5:$A$72,0)),0)=0,"N/A",INDEX('2017'!$C$5:$C$72,MATCH('P-E Ratio (WP)'!O43,'2017'!$A$5:$A$72,0)))</f>
        <v>N/A</v>
      </c>
      <c r="S43" s="254" t="str">
        <f>IF(IFERROR(INDEX('2017'!$C$5:$C$72,MATCH('P-E Ratio (WP)'!P43,'2017'!$A$5:$A$72,0)),0)=0,"N/A",INDEX('2017'!$C$5:$C$72,MATCH('P-E Ratio (WP)'!P43,'2017'!$A$5:$A$72,0)))</f>
        <v>N/A</v>
      </c>
      <c r="T43" s="255">
        <v>13.023999999999999</v>
      </c>
      <c r="U43" s="255">
        <v>13.635999999999999</v>
      </c>
      <c r="V43" s="255">
        <v>12.965999999999999</v>
      </c>
      <c r="W43" s="255">
        <v>14.363</v>
      </c>
    </row>
    <row r="44" spans="1:23" s="31" customFormat="1" x14ac:dyDescent="0.25">
      <c r="A44" s="31" t="str">
        <f>IFERROR(INDEX('2019 Data (WP)'!$C$9:$C$73,MATCH($B44,'2019 Data (WP)'!$D$9:$D$73,0)),"")</f>
        <v>Electric Util. (Central)</v>
      </c>
      <c r="B44" s="31" t="s">
        <v>25</v>
      </c>
      <c r="C44" s="31" t="s">
        <v>61</v>
      </c>
      <c r="D44" s="253"/>
      <c r="E44" s="254">
        <f>IF(IFERROR(INDEX('2020'!$C$5:$C$73,MATCH('P-E Ratio (WP)'!B44,'2020'!$A$5:$A$73,0)),0)=0,"N/A",INDEX('2020'!$C$5:$C$73,MATCH('P-E Ratio (WP)'!B44,'2020'!$A$5:$A$73,0)))</f>
        <v>26.4</v>
      </c>
      <c r="F44" s="254">
        <f>IF(IFERROR(INDEX('2019'!$C$5:$C$73,MATCH('P-E Ratio (WP)'!B44,'2019'!$A$5:$A$73,0)),0)=0,"N/A",INDEX('2019'!$C$5:$C$73,MATCH('P-E Ratio (WP)'!B44,'2019'!$A$5:$A$73,0)))</f>
        <v>28.4</v>
      </c>
      <c r="G44" s="254">
        <f>IF(IFERROR(INDEX('2018'!$C$5:$C$73,MATCH('P-E Ratio (WP)'!B44,'2018'!$A$5:$A$73,0)),0)=0,"N/A",INDEX('2018'!$C$5:$C$73,MATCH('P-E Ratio (WP)'!B44,'2018'!$A$5:$A$73,0)))</f>
        <v>25.1</v>
      </c>
      <c r="H44" s="254">
        <f>IF(IFERROR(INDEX('2017'!$C$5:$C$73,MATCH('P-E Ratio (WP)'!B44,'2017'!$A$5:$A$73,0)),0)=0,"N/A",INDEX('2017'!$C$5:$C$73,MATCH('P-E Ratio (WP)'!B44,'2017'!$A$5:$A$73,0)))</f>
        <v>29.4</v>
      </c>
      <c r="I44" s="254">
        <f>IF(IFERROR(INDEX('2016'!$C$5:$C$73,MATCH('P-E Ratio (WP)'!B44,'2016'!$A$5:$A$73,0)),0)=0,"N/A",INDEX('2016'!$C$5:$C$73,MATCH('P-E Ratio (WP)'!B44,'2016'!$A$5:$A$73,0)))</f>
        <v>24.9</v>
      </c>
      <c r="J44" s="255">
        <v>20.3</v>
      </c>
      <c r="K44" s="255">
        <v>17.2</v>
      </c>
      <c r="L44" s="255">
        <v>17</v>
      </c>
      <c r="M44" s="255">
        <v>17.2</v>
      </c>
      <c r="N44" s="255">
        <v>15.8</v>
      </c>
      <c r="O44" s="255">
        <v>15</v>
      </c>
      <c r="P44" s="255">
        <v>15.1</v>
      </c>
      <c r="Q44" s="255">
        <v>14.2</v>
      </c>
      <c r="R44" s="255">
        <v>15</v>
      </c>
      <c r="S44" s="255">
        <v>15.879</v>
      </c>
      <c r="T44" s="255">
        <v>22.401</v>
      </c>
      <c r="U44" s="255">
        <v>17.983000000000001</v>
      </c>
      <c r="V44" s="255">
        <v>17.55</v>
      </c>
      <c r="W44" s="255">
        <v>15.957000000000001</v>
      </c>
    </row>
    <row r="45" spans="1:23" s="31" customFormat="1" x14ac:dyDescent="0.25">
      <c r="A45" s="31" t="str">
        <f>IFERROR(INDEX('2019 Data (WP)'!$C$9:$C$73,MATCH($B45,'2019 Data (WP)'!$D$9:$D$73,0)),"")</f>
        <v>Water Utility</v>
      </c>
      <c r="B45" s="31" t="s">
        <v>188</v>
      </c>
      <c r="C45" s="31" t="s">
        <v>187</v>
      </c>
      <c r="D45" s="253"/>
      <c r="E45" s="254">
        <f>IF(IFERROR(INDEX('2020'!$C$5:$C$73,MATCH('P-E Ratio (WP)'!B45,'2020'!$A$5:$A$73,0)),0)=0,"N/A",INDEX('2020'!$C$5:$C$73,MATCH('P-E Ratio (WP)'!B45,'2020'!$A$5:$A$73,0)))</f>
        <v>30.1</v>
      </c>
      <c r="F45" s="254">
        <f>IF(IFERROR(INDEX('2019'!$C$5:$C$73,MATCH('P-E Ratio (WP)'!B45,'2019'!$A$5:$A$73,0)),0)=0,"N/A",INDEX('2019'!$C$5:$C$73,MATCH('P-E Ratio (WP)'!B45,'2019'!$A$5:$A$73,0)))</f>
        <v>29.7</v>
      </c>
      <c r="G45" s="254">
        <f>IF(IFERROR(INDEX('2018'!$C$5:$C$73,MATCH('P-E Ratio (WP)'!B45,'2018'!$A$5:$A$73,0)),0)=0,"N/A",INDEX('2018'!$C$5:$C$73,MATCH('P-E Ratio (WP)'!B45,'2018'!$A$5:$A$73,0)))</f>
        <v>22.2</v>
      </c>
      <c r="H45" s="254">
        <f>IF(IFERROR(INDEX('2017'!$C$5:$C$73,MATCH('P-E Ratio (WP)'!B45,'2017'!$A$5:$A$73,0)),0)=0,"N/A",INDEX('2017'!$C$5:$C$73,MATCH('P-E Ratio (WP)'!B45,'2017'!$A$5:$A$73,0)))</f>
        <v>28.4</v>
      </c>
      <c r="I45" s="254">
        <f>IF(IFERROR(INDEX('2016'!$C$5:$C$73,MATCH('P-E Ratio (WP)'!B45,'2016'!$A$5:$A$73,0)),0)=0,"N/A",INDEX('2016'!$C$5:$C$73,MATCH('P-E Ratio (WP)'!B45,'2016'!$A$5:$A$73,0)))</f>
        <v>25.6</v>
      </c>
      <c r="J45" s="255">
        <v>19.100000000000001</v>
      </c>
      <c r="K45" s="255">
        <v>18.5</v>
      </c>
      <c r="L45" s="255">
        <v>19.7</v>
      </c>
      <c r="M45" s="255">
        <v>20.8</v>
      </c>
      <c r="N45" s="255">
        <v>21.7</v>
      </c>
      <c r="O45" s="255">
        <v>17.8</v>
      </c>
      <c r="P45" s="255">
        <v>21</v>
      </c>
      <c r="Q45" s="255">
        <v>19.8</v>
      </c>
      <c r="R45" s="255">
        <v>21.6</v>
      </c>
      <c r="S45" s="255">
        <v>22.718</v>
      </c>
    </row>
    <row r="46" spans="1:23" s="31" customFormat="1" x14ac:dyDescent="0.25">
      <c r="A46" s="31" t="str">
        <f>IFERROR(INDEX('2019 Data (WP)'!$C$9:$C$73,MATCH($B46,'2019 Data (WP)'!$D$9:$D$73,0)),"")</f>
        <v>Natural Gas Utility</v>
      </c>
      <c r="B46" s="31" t="s">
        <v>190</v>
      </c>
      <c r="C46" s="31" t="s">
        <v>189</v>
      </c>
      <c r="D46" s="253"/>
      <c r="E46" s="254">
        <f>IF(IFERROR(INDEX('2020'!$C$5:$C$73,MATCH('P-E Ratio (WP)'!B46,'2020'!$A$5:$A$73,0)),0)=0,"N/A",INDEX('2020'!$C$5:$C$73,MATCH('P-E Ratio (WP)'!B46,'2020'!$A$5:$A$73,0)))</f>
        <v>17.7</v>
      </c>
      <c r="F46" s="254">
        <f>IF(IFERROR(INDEX('2019'!$C$5:$C$73,MATCH('P-E Ratio (WP)'!B46,'2019'!$A$5:$A$73,0)),0)=0,"N/A",INDEX('2019'!$C$5:$C$73,MATCH('P-E Ratio (WP)'!B46,'2019'!$A$5:$A$73,0)))</f>
        <v>24.3</v>
      </c>
      <c r="G46" s="254">
        <f>IF(IFERROR(INDEX('2018'!$C$5:$C$73,MATCH('P-E Ratio (WP)'!B46,'2018'!$A$5:$A$73,0)),0)=0,"N/A",INDEX('2018'!$C$5:$C$73,MATCH('P-E Ratio (WP)'!B46,'2018'!$A$5:$A$73,0)))</f>
        <v>15.6</v>
      </c>
      <c r="H46" s="254">
        <f>IF(IFERROR(INDEX('2017'!$C$5:$C$73,MATCH('P-E Ratio (WP)'!B46,'2017'!$A$5:$A$73,0)),0)=0,"N/A",INDEX('2017'!$C$5:$C$73,MATCH('P-E Ratio (WP)'!B46,'2017'!$A$5:$A$73,0)))</f>
        <v>22.4</v>
      </c>
      <c r="I46" s="254">
        <f>IF(IFERROR(INDEX('2016'!$C$5:$C$73,MATCH('P-E Ratio (WP)'!B46,'2016'!$A$5:$A$73,0)),0)=0,"N/A",INDEX('2016'!$C$5:$C$73,MATCH('P-E Ratio (WP)'!B46,'2016'!$A$5:$A$73,0)))</f>
        <v>21.3</v>
      </c>
      <c r="J46" s="255">
        <v>16.600000000000001</v>
      </c>
      <c r="K46" s="255">
        <v>11.7</v>
      </c>
      <c r="L46" s="255">
        <v>16</v>
      </c>
      <c r="M46" s="255">
        <v>16.8</v>
      </c>
      <c r="N46" s="255">
        <v>16.8</v>
      </c>
      <c r="O46" s="255">
        <v>15</v>
      </c>
      <c r="P46" s="255">
        <v>14.9</v>
      </c>
      <c r="Q46" s="255">
        <v>12.3</v>
      </c>
      <c r="R46" s="255">
        <v>21.6</v>
      </c>
      <c r="S46" s="255">
        <v>16.125</v>
      </c>
    </row>
    <row r="47" spans="1:23" s="31" customFormat="1" x14ac:dyDescent="0.25">
      <c r="A47" s="31" t="str">
        <f>IFERROR(INDEX('2019 Data (WP)'!$C$9:$C$73,MATCH($B47,'2019 Data (WP)'!$D$9:$D$73,0)),"")</f>
        <v>Electric Utility (East)</v>
      </c>
      <c r="B47" s="31" t="s">
        <v>141</v>
      </c>
      <c r="C47" s="31" t="s">
        <v>209</v>
      </c>
      <c r="D47" s="253"/>
      <c r="E47" s="254">
        <f>IF(IFERROR(INDEX('2020'!$C$5:$C$73,MATCH('P-E Ratio (WP)'!B47,'2020'!$A$5:$A$73,0)),0)=0,"N/A",INDEX('2020'!$C$5:$C$73,MATCH('P-E Ratio (WP)'!B47,'2020'!$A$5:$A$73,0)))</f>
        <v>28.9</v>
      </c>
      <c r="F47" s="254">
        <f>IF(IFERROR(INDEX('2019'!$C$5:$C$73,MATCH('P-E Ratio (WP)'!B47,'2019'!$A$5:$A$73,0)),0)=0,"N/A",INDEX('2019'!$C$5:$C$73,MATCH('P-E Ratio (WP)'!B47,'2019'!$A$5:$A$73,0)))</f>
        <v>26.8</v>
      </c>
      <c r="G47" s="254">
        <f>IF(IFERROR(INDEX('2018'!$C$5:$C$73,MATCH('P-E Ratio (WP)'!B47,'2018'!$A$5:$A$73,0)),0)=0,"N/A",INDEX('2018'!$C$5:$C$73,MATCH('P-E Ratio (WP)'!B47,'2018'!$A$5:$A$73,0)))</f>
        <v>24.8</v>
      </c>
      <c r="H47" s="254">
        <f>IF(IFERROR(INDEX('2017'!$C$5:$C$73,MATCH('P-E Ratio (WP)'!B47,'2017'!$A$5:$A$73,0)),0)=0,"N/A",INDEX('2017'!$C$5:$C$73,MATCH('P-E Ratio (WP)'!B47,'2017'!$A$5:$A$73,0)))</f>
        <v>21.6</v>
      </c>
      <c r="I47" s="254">
        <f>IF(IFERROR(INDEX('2016'!$C$5:$C$73,MATCH('P-E Ratio (WP)'!B47,'2016'!$A$5:$A$73,0)),0)=0,"N/A",INDEX('2016'!$C$5:$C$73,MATCH('P-E Ratio (WP)'!B47,'2016'!$A$5:$A$73,0)))</f>
        <v>20.7</v>
      </c>
      <c r="J47" s="255">
        <v>16.899999999999999</v>
      </c>
      <c r="K47" s="255">
        <v>17.3</v>
      </c>
      <c r="L47" s="255">
        <v>16.600000000000001</v>
      </c>
      <c r="M47" s="255">
        <v>14.4</v>
      </c>
      <c r="N47" s="255">
        <v>11.5</v>
      </c>
      <c r="O47" s="255">
        <v>10.8</v>
      </c>
      <c r="P47" s="255">
        <v>13.4</v>
      </c>
      <c r="Q47" s="255">
        <v>14.5</v>
      </c>
      <c r="R47" s="255">
        <v>18.899999999999999</v>
      </c>
      <c r="S47" s="255">
        <v>13.651999999999999</v>
      </c>
      <c r="T47" s="255">
        <v>17.884</v>
      </c>
      <c r="U47" s="255">
        <v>13.651999999999999</v>
      </c>
      <c r="V47" s="255">
        <v>17.884</v>
      </c>
      <c r="W47" s="255">
        <v>13.602</v>
      </c>
    </row>
    <row r="48" spans="1:23" s="31" customFormat="1" x14ac:dyDescent="0.25">
      <c r="A48" s="31" t="str">
        <f>IFERROR(INDEX('2019 Data (WP)'!$C$9:$C$73,MATCH($B48,'2019 Data (WP)'!$D$9:$D$73,0)),"")</f>
        <v>Natural Gas Utility</v>
      </c>
      <c r="B48" s="31" t="s">
        <v>26</v>
      </c>
      <c r="C48" s="31" t="s">
        <v>62</v>
      </c>
      <c r="D48" s="253"/>
      <c r="E48" s="254">
        <f>IF(IFERROR(INDEX('2020'!$C$5:$C$73,MATCH('P-E Ratio (WP)'!B48,'2020'!$A$5:$A$73,0)),0)=0,"N/A",INDEX('2020'!$C$5:$C$73,MATCH('P-E Ratio (WP)'!B48,'2020'!$A$5:$A$73,0)))</f>
        <v>18.7</v>
      </c>
      <c r="F48" s="254">
        <f>IF(IFERROR(INDEX('2019'!$C$5:$C$73,MATCH('P-E Ratio (WP)'!B48,'2019'!$A$5:$A$73,0)),0)=0,"N/A",INDEX('2019'!$C$5:$C$73,MATCH('P-E Ratio (WP)'!B48,'2019'!$A$5:$A$73,0)))</f>
        <v>21.3</v>
      </c>
      <c r="G48" s="254">
        <f>IF(IFERROR(INDEX('2018'!$C$5:$C$73,MATCH('P-E Ratio (WP)'!B48,'2018'!$A$5:$A$73,0)),0)=0,"N/A",INDEX('2018'!$C$5:$C$73,MATCH('P-E Ratio (WP)'!B48,'2018'!$A$5:$A$73,0)))</f>
        <v>19.3</v>
      </c>
      <c r="H48" s="254">
        <f>IF(IFERROR(INDEX('2017'!$C$5:$C$73,MATCH('P-E Ratio (WP)'!B48,'2017'!$A$5:$A$73,0)),0)=0,"N/A",INDEX('2017'!$C$5:$C$73,MATCH('P-E Ratio (WP)'!B48,'2017'!$A$5:$A$73,0)))</f>
        <v>64.400000000000006</v>
      </c>
      <c r="I48" s="254">
        <f>IF(IFERROR(INDEX('2016'!$C$5:$C$73,MATCH('P-E Ratio (WP)'!B48,'2016'!$A$5:$A$73,0)),0)=0,"N/A",INDEX('2016'!$C$5:$C$73,MATCH('P-E Ratio (WP)'!B48,'2016'!$A$5:$A$73,0)))</f>
        <v>23.2</v>
      </c>
      <c r="J48" s="255">
        <v>37.299999999999997</v>
      </c>
      <c r="K48" s="255">
        <v>22.7</v>
      </c>
      <c r="L48" s="255">
        <v>18.899999999999999</v>
      </c>
      <c r="M48" s="255">
        <v>17.899999999999999</v>
      </c>
      <c r="N48" s="255">
        <v>19.399999999999999</v>
      </c>
      <c r="O48" s="255">
        <v>15.3</v>
      </c>
      <c r="P48" s="255">
        <v>14.3</v>
      </c>
      <c r="Q48" s="255">
        <v>12.1</v>
      </c>
      <c r="R48" s="255">
        <v>18.8</v>
      </c>
      <c r="S48" s="255">
        <v>19.16</v>
      </c>
      <c r="T48" s="255">
        <v>21.427</v>
      </c>
      <c r="U48" s="255">
        <v>13.035</v>
      </c>
      <c r="V48" s="255">
        <v>12.23</v>
      </c>
      <c r="W48" s="255">
        <v>10.752000000000001</v>
      </c>
    </row>
    <row r="49" spans="1:23" s="31" customFormat="1" x14ac:dyDescent="0.25">
      <c r="A49" s="31" t="str">
        <f>IFERROR(INDEX('2019 Data (WP)'!$C$9:$C$73,MATCH($B49,'2019 Data (WP)'!$D$9:$D$73,0)),"")</f>
        <v>Natural Gas Utility</v>
      </c>
      <c r="B49" s="31" t="s">
        <v>192</v>
      </c>
      <c r="C49" s="31" t="s">
        <v>191</v>
      </c>
      <c r="D49" s="253"/>
      <c r="E49" s="254">
        <f>IF(IFERROR(INDEX('2020'!$C$5:$C$73,MATCH('P-E Ratio (WP)'!B49,'2020'!$A$5:$A$73,0)),0)=0,"N/A",INDEX('2020'!$C$5:$C$73,MATCH('P-E Ratio (WP)'!B49,'2020'!$A$5:$A$73,0)))</f>
        <v>25</v>
      </c>
      <c r="F49" s="254">
        <f>IF(IFERROR(INDEX('2019'!$C$5:$C$73,MATCH('P-E Ratio (WP)'!B49,'2019'!$A$5:$A$73,0)),0)=0,"N/A",INDEX('2019'!$C$5:$C$73,MATCH('P-E Ratio (WP)'!B49,'2019'!$A$5:$A$73,0)))</f>
        <v>30.9</v>
      </c>
      <c r="G49" s="254">
        <f>IF(IFERROR(INDEX('2018'!$C$5:$C$73,MATCH('P-E Ratio (WP)'!B49,'2018'!$A$5:$A$73,0)),0)=0,"N/A",INDEX('2018'!$C$5:$C$73,MATCH('P-E Ratio (WP)'!B49,'2018'!$A$5:$A$73,0)))</f>
        <v>26.6</v>
      </c>
      <c r="H49" s="254" t="str">
        <f>IF(IFERROR(INDEX('2017'!$C$5:$C$73,MATCH('P-E Ratio (WP)'!B49,'2017'!$A$5:$A$73,0)),0)=0,"N/A",INDEX('2017'!$C$5:$C$73,MATCH('P-E Ratio (WP)'!B49,'2017'!$A$5:$A$73,0)))</f>
        <v>NMF</v>
      </c>
      <c r="I49" s="254">
        <f>IF(IFERROR(INDEX('2016'!$C$5:$C$73,MATCH('P-E Ratio (WP)'!B49,'2016'!$A$5:$A$73,0)),0)=0,"N/A",INDEX('2016'!$C$5:$C$73,MATCH('P-E Ratio (WP)'!B49,'2016'!$A$5:$A$73,0)))</f>
        <v>26.9</v>
      </c>
      <c r="J49" s="255">
        <v>23.7</v>
      </c>
      <c r="K49" s="255">
        <v>20.7</v>
      </c>
      <c r="L49" s="255">
        <v>19.399999999999999</v>
      </c>
      <c r="M49" s="255">
        <v>21.1</v>
      </c>
      <c r="N49" s="255">
        <v>19</v>
      </c>
      <c r="O49" s="255">
        <v>17</v>
      </c>
      <c r="P49" s="255">
        <v>15.2</v>
      </c>
      <c r="Q49" s="255">
        <v>18.100000000000001</v>
      </c>
      <c r="R49" s="255">
        <v>16.7</v>
      </c>
      <c r="S49" s="255">
        <v>15.85</v>
      </c>
    </row>
    <row r="50" spans="1:23" s="31" customFormat="1" x14ac:dyDescent="0.25">
      <c r="A50" s="31" t="str">
        <f>IFERROR(INDEX('2019 Data (WP)'!$C$9:$C$73,MATCH($B50,'2019 Data (WP)'!$D$9:$D$73,0)),"")</f>
        <v>Electric Utility (West)</v>
      </c>
      <c r="B50" s="31" t="str">
        <f>"NWE"</f>
        <v>NWE</v>
      </c>
      <c r="C50" s="31" t="s">
        <v>94</v>
      </c>
      <c r="D50" s="253"/>
      <c r="E50" s="254">
        <f>IF(IFERROR(INDEX('2020'!$C$5:$C$73,MATCH('P-E Ratio (WP)'!B50,'2020'!$A$5:$A$73,0)),0)=0,"N/A",INDEX('2020'!$C$5:$C$73,MATCH('P-E Ratio (WP)'!B50,'2020'!$A$5:$A$73,0)))</f>
        <v>18.600000000000001</v>
      </c>
      <c r="F50" s="254">
        <f>IF(IFERROR(INDEX('2019'!$C$5:$C$73,MATCH('P-E Ratio (WP)'!B50,'2019'!$A$5:$A$73,0)),0)=0,"N/A",INDEX('2019'!$C$5:$C$73,MATCH('P-E Ratio (WP)'!B50,'2019'!$A$5:$A$73,0)))</f>
        <v>19.899999999999999</v>
      </c>
      <c r="G50" s="254">
        <f>IF(IFERROR(INDEX('2018'!$C$5:$C$73,MATCH('P-E Ratio (WP)'!B50,'2018'!$A$5:$A$73,0)),0)=0,"N/A",INDEX('2018'!$C$5:$C$73,MATCH('P-E Ratio (WP)'!B50,'2018'!$A$5:$A$73,0)))</f>
        <v>16.8</v>
      </c>
      <c r="H50" s="254">
        <f>IF(IFERROR(INDEX('2017'!$C$5:$C$73,MATCH('P-E Ratio (WP)'!B50,'2017'!$A$5:$A$73,0)),0)=0,"N/A",INDEX('2017'!$C$5:$C$73,MATCH('P-E Ratio (WP)'!B50,'2017'!$A$5:$A$73,0)))</f>
        <v>17.8</v>
      </c>
      <c r="I50" s="254">
        <f>IF(IFERROR(INDEX('2016'!$C$5:$C$73,MATCH('P-E Ratio (WP)'!B50,'2016'!$A$5:$A$73,0)),0)=0,"N/A",INDEX('2016'!$C$5:$C$73,MATCH('P-E Ratio (WP)'!B50,'2016'!$A$5:$A$73,0)))</f>
        <v>17.2</v>
      </c>
      <c r="J50" s="255">
        <v>18.399999999999999</v>
      </c>
      <c r="K50" s="255">
        <v>16.2</v>
      </c>
      <c r="L50" s="255">
        <v>16.899999999999999</v>
      </c>
      <c r="M50" s="255">
        <v>15.7</v>
      </c>
      <c r="N50" s="255">
        <v>12.6</v>
      </c>
      <c r="O50" s="255">
        <v>12.9</v>
      </c>
      <c r="P50" s="255">
        <v>11.5</v>
      </c>
      <c r="Q50" s="255">
        <v>13.9</v>
      </c>
      <c r="R50" s="255">
        <v>21.7</v>
      </c>
      <c r="S50" s="255">
        <v>25.952999999999999</v>
      </c>
      <c r="T50" s="255">
        <v>17.091000000000001</v>
      </c>
      <c r="U50" s="255" t="s">
        <v>106</v>
      </c>
      <c r="V50" s="255" t="s">
        <v>106</v>
      </c>
      <c r="W50" s="255" t="s">
        <v>106</v>
      </c>
    </row>
    <row r="51" spans="1:23" s="31" customFormat="1" x14ac:dyDescent="0.25">
      <c r="A51" s="31" t="str">
        <f>IFERROR(INDEX('2019 Data (WP)'!$C$9:$C$73,MATCH($B51,'2019 Data (WP)'!$D$9:$D$73,0)),"")</f>
        <v>Electric Util. (Central)</v>
      </c>
      <c r="B51" s="31" t="s">
        <v>27</v>
      </c>
      <c r="C51" s="31" t="s">
        <v>67</v>
      </c>
      <c r="D51" s="253"/>
      <c r="E51" s="254">
        <f>IF(IFERROR(INDEX('2020'!$C$5:$C$73,MATCH('P-E Ratio (WP)'!B51,'2020'!$A$5:$A$73,0)),0)=0,"N/A",INDEX('2020'!$C$5:$C$73,MATCH('P-E Ratio (WP)'!B51,'2020'!$A$5:$A$73,0)))</f>
        <v>16.2</v>
      </c>
      <c r="F51" s="254">
        <f>IF(IFERROR(INDEX('2019'!$C$5:$C$73,MATCH('P-E Ratio (WP)'!B51,'2019'!$A$5:$A$73,0)),0)=0,"N/A",INDEX('2019'!$C$5:$C$73,MATCH('P-E Ratio (WP)'!B51,'2019'!$A$5:$A$73,0)))</f>
        <v>19</v>
      </c>
      <c r="G51" s="254">
        <f>IF(IFERROR(INDEX('2018'!$C$5:$C$73,MATCH('P-E Ratio (WP)'!B51,'2018'!$A$5:$A$73,0)),0)=0,"N/A",INDEX('2018'!$C$5:$C$73,MATCH('P-E Ratio (WP)'!B51,'2018'!$A$5:$A$73,0)))</f>
        <v>16.5</v>
      </c>
      <c r="H51" s="254">
        <f>IF(IFERROR(INDEX('2017'!$C$5:$C$73,MATCH('P-E Ratio (WP)'!B51,'2017'!$A$5:$A$73,0)),0)=0,"N/A",INDEX('2017'!$C$5:$C$73,MATCH('P-E Ratio (WP)'!B51,'2017'!$A$5:$A$73,0)))</f>
        <v>18.3</v>
      </c>
      <c r="I51" s="254">
        <f>IF(IFERROR(INDEX('2016'!$C$5:$C$73,MATCH('P-E Ratio (WP)'!B51,'2016'!$A$5:$A$73,0)),0)=0,"N/A",INDEX('2016'!$C$5:$C$73,MATCH('P-E Ratio (WP)'!B51,'2016'!$A$5:$A$73,0)))</f>
        <v>17.7</v>
      </c>
      <c r="J51" s="255">
        <v>17.7</v>
      </c>
      <c r="K51" s="255">
        <v>18.3</v>
      </c>
      <c r="L51" s="255">
        <v>17.7</v>
      </c>
      <c r="M51" s="255">
        <v>15.2</v>
      </c>
      <c r="N51" s="255">
        <v>14.4</v>
      </c>
      <c r="O51" s="255">
        <v>13.3</v>
      </c>
      <c r="P51" s="255">
        <v>10.8</v>
      </c>
      <c r="Q51" s="255">
        <v>12.4</v>
      </c>
      <c r="R51" s="255">
        <v>13.8</v>
      </c>
      <c r="S51" s="255">
        <v>13.675000000000001</v>
      </c>
      <c r="T51" s="255">
        <v>14.95</v>
      </c>
      <c r="U51" s="255">
        <v>14.131</v>
      </c>
      <c r="V51" s="255">
        <v>11.837999999999999</v>
      </c>
      <c r="W51" s="255">
        <v>14.122999999999999</v>
      </c>
    </row>
    <row r="52" spans="1:23" s="31" customFormat="1" x14ac:dyDescent="0.25">
      <c r="B52" s="31" t="s">
        <v>345</v>
      </c>
      <c r="C52" s="31" t="s">
        <v>348</v>
      </c>
      <c r="D52" s="253"/>
      <c r="E52" s="254">
        <f>IF(IFERROR(INDEX('2020'!$C$5:$C$73,MATCH('P-E Ratio (WP)'!B52,'2020'!$A$5:$A$73,0)),0)=0,"N/A",INDEX('2020'!$C$5:$C$73,MATCH('P-E Ratio (WP)'!B52,'2020'!$A$5:$A$73,0)))</f>
        <v>21.7</v>
      </c>
      <c r="F52" s="254">
        <f>IF(IFERROR(INDEX('2019'!$C$5:$C$73,MATCH('P-E Ratio (WP)'!B52,'2019'!$A$5:$A$73,0)),0)=0,"N/A",INDEX('2019'!$C$5:$C$73,MATCH('P-E Ratio (WP)'!B52,'2019'!$A$5:$A$73,0)))</f>
        <v>25.3</v>
      </c>
      <c r="G52" s="254">
        <f>IF(IFERROR(INDEX('2018'!$C$5:$C$73,MATCH('P-E Ratio (WP)'!B52,'2018'!$A$5:$A$73,0)),0)=0,"N/A",INDEX('2018'!$C$5:$C$73,MATCH('P-E Ratio (WP)'!B52,'2018'!$A$5:$A$73,0)))</f>
        <v>23.1</v>
      </c>
      <c r="H52" s="254">
        <f>IF(IFERROR(INDEX('2017'!$C$5:$C$73,MATCH('P-E Ratio (WP)'!B52,'2017'!$A$5:$A$73,0)),0)=0,"N/A",INDEX('2017'!$C$5:$C$73,MATCH('P-E Ratio (WP)'!B52,'2017'!$A$5:$A$73,0)))</f>
        <v>23.5</v>
      </c>
      <c r="I52" s="254">
        <f>IF(IFERROR(INDEX('2016'!$C$5:$C$73,MATCH('P-E Ratio (WP)'!B52,'2016'!$A$5:$A$73,0)),0)=0,"N/A",INDEX('2016'!$C$5:$C$73,MATCH('P-E Ratio (WP)'!B52,'2016'!$A$5:$A$73,0)))</f>
        <v>22.7</v>
      </c>
      <c r="J52" s="255">
        <v>19.8</v>
      </c>
      <c r="K52" s="255">
        <v>17.8</v>
      </c>
      <c r="L52" s="255" t="s">
        <v>106</v>
      </c>
      <c r="M52" s="255" t="s">
        <v>106</v>
      </c>
      <c r="N52" s="255" t="s">
        <v>106</v>
      </c>
      <c r="O52" s="255" t="s">
        <v>106</v>
      </c>
      <c r="P52" s="255" t="s">
        <v>106</v>
      </c>
      <c r="Q52" s="255" t="s">
        <v>106</v>
      </c>
      <c r="R52" s="255" t="s">
        <v>106</v>
      </c>
      <c r="S52" s="255" t="s">
        <v>106</v>
      </c>
      <c r="T52" s="255"/>
      <c r="U52" s="255"/>
      <c r="V52" s="255"/>
      <c r="W52" s="255"/>
    </row>
    <row r="53" spans="1:23" s="31" customFormat="1" x14ac:dyDescent="0.25">
      <c r="A53" s="31" t="str">
        <f>IFERROR(INDEX('2019 Data (WP)'!$C$9:$C$73,MATCH($B53,'2019 Data (WP)'!$D$9:$D$73,0)),"")</f>
        <v>Electric Util. (Central)</v>
      </c>
      <c r="B53" s="31" t="s">
        <v>28</v>
      </c>
      <c r="C53" s="31" t="s">
        <v>68</v>
      </c>
      <c r="D53" s="253"/>
      <c r="E53" s="254">
        <f>IF(IFERROR(INDEX('2020'!$C$5:$C$73,MATCH('P-E Ratio (WP)'!B53,'2020'!$A$5:$A$73,0)),0)=0,"N/A",INDEX('2020'!$C$5:$C$73,MATCH('P-E Ratio (WP)'!B53,'2020'!$A$5:$A$73,0)))</f>
        <v>18.3</v>
      </c>
      <c r="F53" s="254">
        <f>IF(IFERROR(INDEX('2019'!$C$5:$C$73,MATCH('P-E Ratio (WP)'!B53,'2019'!$A$5:$A$73,0)),0)=0,"N/A",INDEX('2019'!$C$5:$C$73,MATCH('P-E Ratio (WP)'!B53,'2019'!$A$5:$A$73,0)))</f>
        <v>23.5</v>
      </c>
      <c r="G53" s="254">
        <f>IF(IFERROR(INDEX('2018'!$C$5:$C$73,MATCH('P-E Ratio (WP)'!B53,'2018'!$A$5:$A$73,0)),0)=0,"N/A",INDEX('2018'!$C$5:$C$73,MATCH('P-E Ratio (WP)'!B53,'2018'!$A$5:$A$73,0)))</f>
        <v>22.2</v>
      </c>
      <c r="H53" s="254">
        <f>IF(IFERROR(INDEX('2017'!$C$5:$C$73,MATCH('P-E Ratio (WP)'!B53,'2017'!$A$5:$A$73,0)),0)=0,"N/A",INDEX('2017'!$C$5:$C$73,MATCH('P-E Ratio (WP)'!B53,'2017'!$A$5:$A$73,0)))</f>
        <v>22.1</v>
      </c>
      <c r="I53" s="254">
        <f>IF(IFERROR(INDEX('2016'!$C$5:$C$73,MATCH('P-E Ratio (WP)'!B53,'2016'!$A$5:$A$73,0)),0)=0,"N/A",INDEX('2016'!$C$5:$C$73,MATCH('P-E Ratio (WP)'!B53,'2016'!$A$5:$A$73,0)))</f>
        <v>20.2</v>
      </c>
      <c r="J53" s="255">
        <v>18.2</v>
      </c>
      <c r="K53" s="255">
        <v>18.8</v>
      </c>
      <c r="L53" s="255">
        <v>21.1</v>
      </c>
      <c r="M53" s="255">
        <v>21.7</v>
      </c>
      <c r="N53" s="255">
        <v>47.5</v>
      </c>
      <c r="O53" s="255" t="s">
        <v>105</v>
      </c>
      <c r="P53" s="255">
        <v>31.2</v>
      </c>
      <c r="Q53" s="255">
        <v>30.1</v>
      </c>
      <c r="R53" s="255">
        <v>19</v>
      </c>
      <c r="S53" s="255">
        <v>17.349</v>
      </c>
      <c r="T53" s="255">
        <v>15.4</v>
      </c>
      <c r="U53" s="255">
        <v>17.335000000000001</v>
      </c>
      <c r="V53" s="255">
        <v>17.766999999999999</v>
      </c>
      <c r="W53" s="255">
        <v>16.010999999999999</v>
      </c>
    </row>
    <row r="54" spans="1:23" s="31" customFormat="1" x14ac:dyDescent="0.25">
      <c r="A54" s="31" t="str">
        <f>IFERROR(INDEX('2019 Data (WP)'!$C$9:$C$73,MATCH($B54,'2019 Data (WP)'!$D$9:$D$73,0)),"")</f>
        <v/>
      </c>
      <c r="B54" s="31" t="s">
        <v>29</v>
      </c>
      <c r="C54" s="31" t="s">
        <v>73</v>
      </c>
      <c r="D54" s="253"/>
      <c r="E54" s="254" t="str">
        <f>IF(IFERROR(INDEX('2020'!$C$5:$C$73,MATCH('P-E Ratio (WP)'!B54,'2020'!$A$5:$A$73,0)),0)=0,"N/A",INDEX('2020'!$C$5:$C$73,MATCH('P-E Ratio (WP)'!B54,'2020'!$A$5:$A$73,0)))</f>
        <v>N/A</v>
      </c>
      <c r="F54" s="254" t="str">
        <f>IF(IFERROR(INDEX('2019'!$C$5:$C$73,MATCH('P-E Ratio (WP)'!B54,'2019'!$A$5:$A$73,0)),0)=0,"N/A",INDEX('2019'!$C$5:$C$73,MATCH('P-E Ratio (WP)'!B54,'2019'!$A$5:$A$73,0)))</f>
        <v>N/A</v>
      </c>
      <c r="G54" s="254" t="str">
        <f>IF(IFERROR(INDEX('2018'!$C$5:$C$73,MATCH('P-E Ratio (WP)'!B54,'2018'!$A$5:$A$73,0)),0)=0,"N/A",INDEX('2018'!$C$5:$C$73,MATCH('P-E Ratio (WP)'!B54,'2018'!$A$5:$A$73,0)))</f>
        <v>N/A</v>
      </c>
      <c r="H54" s="254" t="str">
        <f>IF(IFERROR(INDEX('2017'!$C$5:$C$73,MATCH('P-E Ratio (WP)'!B54,'2017'!$A$5:$A$73,0)),0)=0,"N/A",INDEX('2017'!$C$5:$C$73,MATCH('P-E Ratio (WP)'!B54,'2017'!$A$5:$A$73,0)))</f>
        <v>N/A</v>
      </c>
      <c r="I54" s="254" t="str">
        <f>IF(IFERROR(INDEX('2016'!$C$5:$C$73,MATCH('P-E Ratio (WP)'!B54,'2016'!$A$5:$A$73,0)),0)=0,"N/A",INDEX('2016'!$C$5:$C$73,MATCH('P-E Ratio (WP)'!B54,'2016'!$A$5:$A$73,0)))</f>
        <v>N/A</v>
      </c>
      <c r="J54" s="254" t="str">
        <f>IF(IFERROR(INDEX('2017'!$C$5:$C$72,MATCH('P-E Ratio (WP)'!C54,'2017'!$A$5:$A$72,0)),0)=0,"N/A",INDEX('2017'!$C$5:$C$72,MATCH('P-E Ratio (WP)'!C54,'2017'!$A$5:$A$72,0)))</f>
        <v>N/A</v>
      </c>
      <c r="K54" s="254" t="str">
        <f>IF(IFERROR(INDEX('2017'!$C$5:$C$72,MATCH('P-E Ratio (WP)'!D54,'2017'!$A$5:$A$72,0)),0)=0,"N/A",INDEX('2017'!$C$5:$C$72,MATCH('P-E Ratio (WP)'!D54,'2017'!$A$5:$A$72,0)))</f>
        <v>N/A</v>
      </c>
      <c r="L54" s="254" t="str">
        <f>IF(IFERROR(INDEX('2017'!$C$5:$C$72,MATCH('P-E Ratio (WP)'!I54,'2017'!$A$5:$A$72,0)),0)=0,"N/A",INDEX('2017'!$C$5:$C$72,MATCH('P-E Ratio (WP)'!I54,'2017'!$A$5:$A$72,0)))</f>
        <v>N/A</v>
      </c>
      <c r="M54" s="254" t="str">
        <f>IF(IFERROR(INDEX('2017'!$C$5:$C$72,MATCH('P-E Ratio (WP)'!J54,'2017'!$A$5:$A$72,0)),0)=0,"N/A",INDEX('2017'!$C$5:$C$72,MATCH('P-E Ratio (WP)'!J54,'2017'!$A$5:$A$72,0)))</f>
        <v>N/A</v>
      </c>
      <c r="N54" s="254" t="str">
        <f>IF(IFERROR(INDEX('2017'!$C$5:$C$72,MATCH('P-E Ratio (WP)'!K54,'2017'!$A$5:$A$72,0)),0)=0,"N/A",INDEX('2017'!$C$5:$C$72,MATCH('P-E Ratio (WP)'!K54,'2017'!$A$5:$A$72,0)))</f>
        <v>N/A</v>
      </c>
      <c r="O54" s="254" t="str">
        <f>IF(IFERROR(INDEX('2017'!$C$5:$C$72,MATCH('P-E Ratio (WP)'!L54,'2017'!$A$5:$A$72,0)),0)=0,"N/A",INDEX('2017'!$C$5:$C$72,MATCH('P-E Ratio (WP)'!L54,'2017'!$A$5:$A$72,0)))</f>
        <v>N/A</v>
      </c>
      <c r="P54" s="254" t="str">
        <f>IF(IFERROR(INDEX('2017'!$C$5:$C$72,MATCH('P-E Ratio (WP)'!M54,'2017'!$A$5:$A$72,0)),0)=0,"N/A",INDEX('2017'!$C$5:$C$72,MATCH('P-E Ratio (WP)'!M54,'2017'!$A$5:$A$72,0)))</f>
        <v>N/A</v>
      </c>
      <c r="Q54" s="254" t="str">
        <f>IF(IFERROR(INDEX('2017'!$C$5:$C$72,MATCH('P-E Ratio (WP)'!N54,'2017'!$A$5:$A$72,0)),0)=0,"N/A",INDEX('2017'!$C$5:$C$72,MATCH('P-E Ratio (WP)'!N54,'2017'!$A$5:$A$72,0)))</f>
        <v>N/A</v>
      </c>
      <c r="R54" s="254" t="str">
        <f>IF(IFERROR(INDEX('2017'!$C$5:$C$72,MATCH('P-E Ratio (WP)'!O54,'2017'!$A$5:$A$72,0)),0)=0,"N/A",INDEX('2017'!$C$5:$C$72,MATCH('P-E Ratio (WP)'!O54,'2017'!$A$5:$A$72,0)))</f>
        <v>N/A</v>
      </c>
      <c r="S54" s="254" t="str">
        <f>IF(IFERROR(INDEX('2017'!$C$5:$C$72,MATCH('P-E Ratio (WP)'!P54,'2017'!$A$5:$A$72,0)),0)=0,"N/A",INDEX('2017'!$C$5:$C$72,MATCH('P-E Ratio (WP)'!P54,'2017'!$A$5:$A$72,0)))</f>
        <v>N/A</v>
      </c>
      <c r="T54" s="255" t="s">
        <v>106</v>
      </c>
      <c r="U54" s="255">
        <v>13.571999999999999</v>
      </c>
      <c r="V54" s="255">
        <v>13.358000000000001</v>
      </c>
      <c r="W54" s="255">
        <v>11.256</v>
      </c>
    </row>
    <row r="55" spans="1:23" s="31" customFormat="1" x14ac:dyDescent="0.25">
      <c r="A55" s="31" t="str">
        <f>IFERROR(INDEX('2019 Data (WP)'!$C$9:$C$73,MATCH($B55,'2019 Data (WP)'!$D$9:$D$73,0)),"")</f>
        <v>Electric Utility (West)</v>
      </c>
      <c r="B55" s="31" t="s">
        <v>30</v>
      </c>
      <c r="C55" s="31" t="s">
        <v>71</v>
      </c>
      <c r="D55" s="253"/>
      <c r="E55" s="254" t="str">
        <f>IF(IFERROR(INDEX('2020'!$C$5:$C$73,MATCH('P-E Ratio (WP)'!B55,'2020'!$A$5:$A$73,0)),0)=0,"N/A",INDEX('2020'!$C$5:$C$73,MATCH('P-E Ratio (WP)'!B55,'2020'!$A$5:$A$73,0)))</f>
        <v>N/A</v>
      </c>
      <c r="F55" s="254" t="str">
        <f>IF(IFERROR(INDEX('2019'!$C$5:$C$73,MATCH('P-E Ratio (WP)'!B55,'2019'!$A$5:$A$73,0)),0)=0,"N/A",INDEX('2019'!$C$5:$C$73,MATCH('P-E Ratio (WP)'!B55,'2019'!$A$5:$A$73,0)))</f>
        <v>N/A</v>
      </c>
      <c r="G55" s="254" t="str">
        <f>IF(IFERROR(INDEX('2018'!$C$5:$C$73,MATCH('P-E Ratio (WP)'!B55,'2018'!$A$5:$A$73,0)),0)=0,"N/A",INDEX('2018'!$C$5:$C$73,MATCH('P-E Ratio (WP)'!B55,'2018'!$A$5:$A$73,0)))</f>
        <v>N/A</v>
      </c>
      <c r="H55" s="254">
        <f>IF(IFERROR(INDEX('2017'!$C$5:$C$73,MATCH('P-E Ratio (WP)'!B55,'2017'!$A$5:$A$73,0)),0)=0,"N/A",INDEX('2017'!$C$5:$C$73,MATCH('P-E Ratio (WP)'!B55,'2017'!$A$5:$A$73,0)))</f>
        <v>18.277000000000001</v>
      </c>
      <c r="I55" s="254">
        <f>IF(IFERROR(INDEX('2016'!$C$5:$C$73,MATCH('P-E Ratio (WP)'!B55,'2016'!$A$5:$A$73,0)),0)=0,"N/A",INDEX('2016'!$C$5:$C$73,MATCH('P-E Ratio (WP)'!B55,'2016'!$A$5:$A$73,0)))</f>
        <v>21.126999999999999</v>
      </c>
      <c r="J55" s="255">
        <v>26.399000000000001</v>
      </c>
      <c r="K55" s="255">
        <v>15.003</v>
      </c>
      <c r="L55" s="255">
        <v>23.666</v>
      </c>
      <c r="M55" s="255">
        <v>20.702000000000002</v>
      </c>
      <c r="N55" s="255">
        <v>15.458</v>
      </c>
      <c r="O55" s="255">
        <v>15.803000000000001</v>
      </c>
      <c r="P55" s="255">
        <v>13.01</v>
      </c>
      <c r="Q55" s="255">
        <v>12.084</v>
      </c>
      <c r="R55" s="255">
        <v>16.847000000000001</v>
      </c>
      <c r="S55" s="255">
        <v>14.842000000000001</v>
      </c>
      <c r="T55" s="255">
        <v>15.366</v>
      </c>
      <c r="U55" s="255">
        <v>13.808</v>
      </c>
      <c r="V55" s="255">
        <v>9.4990000000000006</v>
      </c>
      <c r="W55" s="255" t="s">
        <v>106</v>
      </c>
    </row>
    <row r="56" spans="1:23" s="31" customFormat="1" x14ac:dyDescent="0.25">
      <c r="A56" s="31" t="str">
        <f>IFERROR(INDEX('2019 Data (WP)'!$C$9:$C$73,MATCH($B56,'2019 Data (WP)'!$D$9:$D$73,0)),"")</f>
        <v>Electric Utility (West)</v>
      </c>
      <c r="B56" s="31" t="s">
        <v>31</v>
      </c>
      <c r="C56" s="31" t="s">
        <v>72</v>
      </c>
      <c r="D56" s="253"/>
      <c r="E56" s="254">
        <f>IF(IFERROR(INDEX('2020'!$C$5:$C$73,MATCH('P-E Ratio (WP)'!B56,'2020'!$A$5:$A$73,0)),0)=0,"N/A",INDEX('2020'!$C$5:$C$73,MATCH('P-E Ratio (WP)'!B56,'2020'!$A$5:$A$73,0)))</f>
        <v>16.7</v>
      </c>
      <c r="F56" s="254">
        <f>IF(IFERROR(INDEX('2019'!$C$5:$C$73,MATCH('P-E Ratio (WP)'!B56,'2019'!$A$5:$A$73,0)),0)=0,"N/A",INDEX('2019'!$C$5:$C$73,MATCH('P-E Ratio (WP)'!B56,'2019'!$A$5:$A$73,0)))</f>
        <v>19.399999999999999</v>
      </c>
      <c r="G56" s="254">
        <f>IF(IFERROR(INDEX('2018'!$C$5:$C$73,MATCH('P-E Ratio (WP)'!B56,'2018'!$A$5:$A$73,0)),0)=0,"N/A",INDEX('2018'!$C$5:$C$73,MATCH('P-E Ratio (WP)'!B56,'2018'!$A$5:$A$73,0)))</f>
        <v>17.8</v>
      </c>
      <c r="H56" s="254">
        <f>IF(IFERROR(INDEX('2017'!$C$5:$C$73,MATCH('P-E Ratio (WP)'!B56,'2017'!$A$5:$A$73,0)),0)=0,"N/A",INDEX('2017'!$C$5:$C$73,MATCH('P-E Ratio (WP)'!B56,'2017'!$A$5:$A$73,0)))</f>
        <v>19.3</v>
      </c>
      <c r="I56" s="254">
        <f>IF(IFERROR(INDEX('2016'!$C$5:$C$73,MATCH('P-E Ratio (WP)'!B56,'2016'!$A$5:$A$73,0)),0)=0,"N/A",INDEX('2016'!$C$5:$C$73,MATCH('P-E Ratio (WP)'!B56,'2016'!$A$5:$A$73,0)))</f>
        <v>18.7</v>
      </c>
      <c r="J56" s="255">
        <v>16</v>
      </c>
      <c r="K56" s="255">
        <v>15.9</v>
      </c>
      <c r="L56" s="255">
        <v>15.3</v>
      </c>
      <c r="M56" s="255">
        <v>14.3</v>
      </c>
      <c r="N56" s="255">
        <v>14.6</v>
      </c>
      <c r="O56" s="255">
        <v>12.6</v>
      </c>
      <c r="P56" s="255">
        <v>13.7</v>
      </c>
      <c r="Q56" s="255">
        <v>16.100000000000001</v>
      </c>
      <c r="R56" s="255">
        <v>14.9</v>
      </c>
      <c r="S56" s="255">
        <v>13.691000000000001</v>
      </c>
      <c r="T56" s="255">
        <v>19.236000000000001</v>
      </c>
      <c r="U56" s="255">
        <v>15.798999999999999</v>
      </c>
      <c r="V56" s="255">
        <v>13.961</v>
      </c>
      <c r="W56" s="255">
        <v>14.430999999999999</v>
      </c>
    </row>
    <row r="57" spans="1:23" s="31" customFormat="1" x14ac:dyDescent="0.25">
      <c r="A57" s="31" t="str">
        <f>IFERROR(INDEX('2019 Data (WP)'!$C$9:$C$73,MATCH($B57,'2019 Data (WP)'!$D$9:$D$73,0)),"")</f>
        <v>Electric Utility (West)</v>
      </c>
      <c r="B57" s="31" t="s">
        <v>32</v>
      </c>
      <c r="C57" s="31" t="s">
        <v>74</v>
      </c>
      <c r="D57" s="253"/>
      <c r="E57" s="254">
        <f>IF(IFERROR(INDEX('2020'!$C$5:$C$73,MATCH('P-E Ratio (WP)'!B57,'2020'!$A$5:$A$73,0)),0)=0,"N/A",INDEX('2020'!$C$5:$C$73,MATCH('P-E Ratio (WP)'!B57,'2020'!$A$5:$A$73,0)))</f>
        <v>19.600000000000001</v>
      </c>
      <c r="F57" s="254">
        <f>IF(IFERROR(INDEX('2019'!$C$5:$C$73,MATCH('P-E Ratio (WP)'!B57,'2019'!$A$5:$A$73,0)),0)=0,"N/A",INDEX('2019'!$C$5:$C$73,MATCH('P-E Ratio (WP)'!B57,'2019'!$A$5:$A$73,0)))</f>
        <v>22.2</v>
      </c>
      <c r="G57" s="254">
        <f>IF(IFERROR(INDEX('2018'!$C$5:$C$73,MATCH('P-E Ratio (WP)'!B57,'2018'!$A$5:$A$73,0)),0)=0,"N/A",INDEX('2018'!$C$5:$C$73,MATCH('P-E Ratio (WP)'!B57,'2018'!$A$5:$A$73,0)))</f>
        <v>19.399999999999999</v>
      </c>
      <c r="H57" s="254">
        <f>IF(IFERROR(INDEX('2017'!$C$5:$C$73,MATCH('P-E Ratio (WP)'!B57,'2017'!$A$5:$A$73,0)),0)=0,"N/A",INDEX('2017'!$C$5:$C$73,MATCH('P-E Ratio (WP)'!B57,'2017'!$A$5:$A$73,0)))</f>
        <v>20.399999999999999</v>
      </c>
      <c r="I57" s="254">
        <f>IF(IFERROR(INDEX('2016'!$C$5:$C$73,MATCH('P-E Ratio (WP)'!B57,'2016'!$A$5:$A$73,0)),0)=0,"N/A",INDEX('2016'!$C$5:$C$73,MATCH('P-E Ratio (WP)'!B57,'2016'!$A$5:$A$73,0)))</f>
        <v>22.4</v>
      </c>
      <c r="J57" s="255">
        <v>18.7</v>
      </c>
      <c r="K57" s="255">
        <v>18.7</v>
      </c>
      <c r="L57" s="255">
        <v>16.100000000000001</v>
      </c>
      <c r="M57" s="255">
        <v>15</v>
      </c>
      <c r="N57" s="255">
        <v>14.5</v>
      </c>
      <c r="O57" s="255">
        <v>14</v>
      </c>
      <c r="P57" s="255">
        <v>18.100000000000001</v>
      </c>
      <c r="Q57" s="255" t="s">
        <v>106</v>
      </c>
      <c r="R57" s="255">
        <v>35.6</v>
      </c>
      <c r="S57" s="255">
        <v>15.573</v>
      </c>
      <c r="T57" s="255">
        <v>17.379000000000001</v>
      </c>
      <c r="U57" s="255">
        <v>15.021000000000001</v>
      </c>
      <c r="V57" s="255">
        <v>14.73</v>
      </c>
      <c r="W57" s="255">
        <v>15.079000000000001</v>
      </c>
    </row>
    <row r="58" spans="1:23" s="31" customFormat="1" x14ac:dyDescent="0.25">
      <c r="A58" s="31" t="str">
        <f>IFERROR(INDEX('2019 Data (WP)'!$C$9:$C$73,MATCH($B58,'2019 Data (WP)'!$D$9:$D$73,0)),"")</f>
        <v>Electric Utility (West)</v>
      </c>
      <c r="B58" s="31" t="s">
        <v>33</v>
      </c>
      <c r="C58" s="31" t="s">
        <v>92</v>
      </c>
      <c r="D58" s="253"/>
      <c r="E58" s="254">
        <f>IF(IFERROR(INDEX('2020'!$C$5:$C$73,MATCH('P-E Ratio (WP)'!B58,'2020'!$A$5:$A$73,0)),0)=0,"N/A",INDEX('2020'!$C$5:$C$73,MATCH('P-E Ratio (WP)'!B58,'2020'!$A$5:$A$73,0)))</f>
        <v>16.600000000000001</v>
      </c>
      <c r="F58" s="254">
        <f>IF(IFERROR(INDEX('2019'!$C$5:$C$73,MATCH('P-E Ratio (WP)'!B58,'2019'!$A$5:$A$73,0)),0)=0,"N/A",INDEX('2019'!$C$5:$C$73,MATCH('P-E Ratio (WP)'!B58,'2019'!$A$5:$A$73,0)))</f>
        <v>22.3</v>
      </c>
      <c r="G58" s="254">
        <f>IF(IFERROR(INDEX('2018'!$C$5:$C$73,MATCH('P-E Ratio (WP)'!B58,'2018'!$A$5:$A$73,0)),0)=0,"N/A",INDEX('2018'!$C$5:$C$73,MATCH('P-E Ratio (WP)'!B58,'2018'!$A$5:$A$73,0)))</f>
        <v>18.399999999999999</v>
      </c>
      <c r="H58" s="254">
        <f>IF(IFERROR(INDEX('2017'!$C$5:$C$73,MATCH('P-E Ratio (WP)'!B58,'2017'!$A$5:$A$73,0)),0)=0,"N/A",INDEX('2017'!$C$5:$C$73,MATCH('P-E Ratio (WP)'!B58,'2017'!$A$5:$A$73,0)))</f>
        <v>20</v>
      </c>
      <c r="I58" s="254">
        <f>IF(IFERROR(INDEX('2016'!$C$5:$C$73,MATCH('P-E Ratio (WP)'!B58,'2016'!$A$5:$A$73,0)),0)=0,"N/A",INDEX('2016'!$C$5:$C$73,MATCH('P-E Ratio (WP)'!B58,'2016'!$A$5:$A$73,0)))</f>
        <v>19.100000000000001</v>
      </c>
      <c r="J58" s="255">
        <v>17.7</v>
      </c>
      <c r="K58" s="255">
        <v>15.3</v>
      </c>
      <c r="L58" s="255">
        <v>16.899999999999999</v>
      </c>
      <c r="M58" s="255">
        <v>14</v>
      </c>
      <c r="N58" s="255">
        <v>12.4</v>
      </c>
      <c r="O58" s="255">
        <v>12</v>
      </c>
      <c r="P58" s="255">
        <v>14.4</v>
      </c>
      <c r="Q58" s="255">
        <v>16.3</v>
      </c>
      <c r="R58" s="255">
        <v>11.9</v>
      </c>
      <c r="S58" s="255">
        <v>23.35</v>
      </c>
      <c r="T58" s="255" t="s">
        <v>106</v>
      </c>
      <c r="U58" s="255" t="s">
        <v>106</v>
      </c>
      <c r="V58" s="255" t="s">
        <v>106</v>
      </c>
      <c r="W58" s="255" t="s">
        <v>106</v>
      </c>
    </row>
    <row r="59" spans="1:23" s="31" customFormat="1" x14ac:dyDescent="0.25">
      <c r="A59" s="31" t="str">
        <f>IFERROR(INDEX('2019 Data (WP)'!$C$9:$C$73,MATCH($B59,'2019 Data (WP)'!$D$9:$D$73,0)),"")</f>
        <v>Electric Utility (East)</v>
      </c>
      <c r="B59" s="31" t="s">
        <v>34</v>
      </c>
      <c r="C59" s="31" t="s">
        <v>70</v>
      </c>
      <c r="D59" s="253"/>
      <c r="E59" s="254">
        <f>IF(IFERROR(INDEX('2020'!$C$5:$C$73,MATCH('P-E Ratio (WP)'!B59,'2020'!$A$5:$A$73,0)),0)=0,"N/A",INDEX('2020'!$C$5:$C$73,MATCH('P-E Ratio (WP)'!B59,'2020'!$A$5:$A$73,0)))</f>
        <v>13.9</v>
      </c>
      <c r="F59" s="254">
        <f>IF(IFERROR(INDEX('2019'!$C$5:$C$73,MATCH('P-E Ratio (WP)'!B59,'2019'!$A$5:$A$73,0)),0)=0,"N/A",INDEX('2019'!$C$5:$C$73,MATCH('P-E Ratio (WP)'!B59,'2019'!$A$5:$A$73,0)))</f>
        <v>13.3</v>
      </c>
      <c r="G59" s="254">
        <f>IF(IFERROR(INDEX('2018'!$C$5:$C$73,MATCH('P-E Ratio (WP)'!B59,'2018'!$A$5:$A$73,0)),0)=0,"N/A",INDEX('2018'!$C$5:$C$73,MATCH('P-E Ratio (WP)'!B59,'2018'!$A$5:$A$73,0)))</f>
        <v>11.3</v>
      </c>
      <c r="H59" s="254">
        <f>IF(IFERROR(INDEX('2017'!$C$5:$C$73,MATCH('P-E Ratio (WP)'!B59,'2017'!$A$5:$A$73,0)),0)=0,"N/A",INDEX('2017'!$C$5:$C$73,MATCH('P-E Ratio (WP)'!B59,'2017'!$A$5:$A$73,0)))</f>
        <v>17.600000000000001</v>
      </c>
      <c r="I59" s="254">
        <f>IF(IFERROR(INDEX('2016'!$C$5:$C$73,MATCH('P-E Ratio (WP)'!B59,'2016'!$A$5:$A$73,0)),0)=0,"N/A",INDEX('2016'!$C$5:$C$73,MATCH('P-E Ratio (WP)'!B59,'2016'!$A$5:$A$73,0)))</f>
        <v>12.8</v>
      </c>
      <c r="J59" s="255">
        <v>13.9</v>
      </c>
      <c r="K59" s="255">
        <v>14.1</v>
      </c>
      <c r="L59" s="255">
        <v>12.8</v>
      </c>
      <c r="M59" s="255">
        <v>10.9</v>
      </c>
      <c r="N59" s="255">
        <v>10.5</v>
      </c>
      <c r="O59" s="255">
        <v>11.9</v>
      </c>
      <c r="P59" s="255">
        <v>25.7</v>
      </c>
      <c r="Q59" s="255">
        <v>17.600000000000001</v>
      </c>
      <c r="R59" s="255">
        <v>17.3</v>
      </c>
      <c r="S59" s="255">
        <v>14.1</v>
      </c>
      <c r="T59" s="255">
        <v>15.116</v>
      </c>
      <c r="U59" s="255">
        <v>12.513</v>
      </c>
      <c r="V59" s="255">
        <v>10.587999999999999</v>
      </c>
      <c r="W59" s="255">
        <v>11.064</v>
      </c>
    </row>
    <row r="60" spans="1:23" s="31" customFormat="1" x14ac:dyDescent="0.25">
      <c r="A60" s="31" t="str">
        <f>IFERROR(INDEX('2019 Data (WP)'!$C$9:$C$73,MATCH($B60,'2019 Data (WP)'!$D$9:$D$73,0)),"")</f>
        <v>Electric Utility (East)</v>
      </c>
      <c r="B60" s="31" t="s">
        <v>35</v>
      </c>
      <c r="C60" s="31" t="s">
        <v>75</v>
      </c>
      <c r="D60" s="253"/>
      <c r="E60" s="254">
        <f>IF(IFERROR(INDEX('2020'!$C$5:$C$73,MATCH('P-E Ratio (WP)'!B60,'2020'!$A$5:$A$73,0)),0)=0,"N/A",INDEX('2020'!$C$5:$C$73,MATCH('P-E Ratio (WP)'!B60,'2020'!$A$5:$A$73,0)))</f>
        <v>15.7</v>
      </c>
      <c r="F60" s="254">
        <f>IF(IFERROR(INDEX('2019'!$C$5:$C$73,MATCH('P-E Ratio (WP)'!B60,'2019'!$A$5:$A$73,0)),0)=0,"N/A",INDEX('2019'!$C$5:$C$73,MATCH('P-E Ratio (WP)'!B60,'2019'!$A$5:$A$73,0)))</f>
        <v>18</v>
      </c>
      <c r="G60" s="254">
        <f>IF(IFERROR(INDEX('2018'!$C$5:$C$73,MATCH('P-E Ratio (WP)'!B60,'2018'!$A$5:$A$73,0)),0)=0,"N/A",INDEX('2018'!$C$5:$C$73,MATCH('P-E Ratio (WP)'!B60,'2018'!$A$5:$A$73,0)))</f>
        <v>16.600000000000001</v>
      </c>
      <c r="H60" s="254">
        <f>IF(IFERROR(INDEX('2017'!$C$5:$C$73,MATCH('P-E Ratio (WP)'!B60,'2017'!$A$5:$A$73,0)),0)=0,"N/A",INDEX('2017'!$C$5:$C$73,MATCH('P-E Ratio (WP)'!B60,'2017'!$A$5:$A$73,0)))</f>
        <v>16.3</v>
      </c>
      <c r="I60" s="254">
        <f>IF(IFERROR(INDEX('2016'!$C$5:$C$73,MATCH('P-E Ratio (WP)'!B60,'2016'!$A$5:$A$73,0)),0)=0,"N/A",INDEX('2016'!$C$5:$C$73,MATCH('P-E Ratio (WP)'!B60,'2016'!$A$5:$A$73,0)))</f>
        <v>15.3</v>
      </c>
      <c r="J60" s="255">
        <v>14.1</v>
      </c>
      <c r="K60" s="255">
        <v>12.6</v>
      </c>
      <c r="L60" s="255">
        <v>13.5</v>
      </c>
      <c r="M60" s="255">
        <v>12.8</v>
      </c>
      <c r="N60" s="255">
        <v>10.4</v>
      </c>
      <c r="O60" s="255">
        <v>10.4</v>
      </c>
      <c r="P60" s="255">
        <v>10</v>
      </c>
      <c r="Q60" s="255">
        <v>13.6</v>
      </c>
      <c r="R60" s="255">
        <v>16.5</v>
      </c>
      <c r="S60" s="255">
        <v>17.808</v>
      </c>
      <c r="T60" s="255">
        <v>16.738</v>
      </c>
      <c r="U60" s="255">
        <v>14.255000000000001</v>
      </c>
      <c r="V60" s="255">
        <v>10.576000000000001</v>
      </c>
      <c r="W60" s="255">
        <v>9.9949999999999992</v>
      </c>
    </row>
    <row r="61" spans="1:23" s="31" customFormat="1" x14ac:dyDescent="0.25">
      <c r="A61" s="31" t="str">
        <f>IFERROR(INDEX('2019 Data (WP)'!$C$9:$C$73,MATCH($B61,'2019 Data (WP)'!$D$9:$D$73,0)),"")</f>
        <v>Electric Utility (East)</v>
      </c>
      <c r="B61" s="31" t="s">
        <v>36</v>
      </c>
      <c r="C61" s="31" t="s">
        <v>76</v>
      </c>
      <c r="D61" s="253"/>
      <c r="E61" s="254" t="str">
        <f>IF(IFERROR(INDEX('2020'!$C$5:$C$73,MATCH('P-E Ratio (WP)'!B61,'2020'!$A$5:$A$73,0)),0)=0,"N/A",INDEX('2020'!$C$5:$C$73,MATCH('P-E Ratio (WP)'!B61,'2020'!$A$5:$A$73,0)))</f>
        <v>N/A</v>
      </c>
      <c r="F61" s="254" t="str">
        <f>IF(IFERROR(INDEX('2019'!$C$5:$C$73,MATCH('P-E Ratio (WP)'!B61,'2019'!$A$5:$A$73,0)),0)=0,"N/A",INDEX('2019'!$C$5:$C$73,MATCH('P-E Ratio (WP)'!B61,'2019'!$A$5:$A$73,0)))</f>
        <v>N/A</v>
      </c>
      <c r="G61" s="254" t="str">
        <f>IF(IFERROR(INDEX('2018'!$C$5:$C$73,MATCH('P-E Ratio (WP)'!B61,'2018'!$A$5:$A$73,0)),0)=0,"N/A",INDEX('2018'!$C$5:$C$73,MATCH('P-E Ratio (WP)'!B61,'2018'!$A$5:$A$73,0)))</f>
        <v>N/A</v>
      </c>
      <c r="H61" s="254">
        <f>IF(IFERROR(INDEX('2017'!$C$5:$C$73,MATCH('P-E Ratio (WP)'!B61,'2017'!$A$5:$A$73,0)),0)=0,"N/A",INDEX('2017'!$C$5:$C$73,MATCH('P-E Ratio (WP)'!B61,'2017'!$A$5:$A$73,0)))</f>
        <v>14.46</v>
      </c>
      <c r="I61" s="254">
        <f>IF(IFERROR(INDEX('2016'!$C$5:$C$73,MATCH('P-E Ratio (WP)'!B61,'2016'!$A$5:$A$73,0)),0)=0,"N/A",INDEX('2016'!$C$5:$C$73,MATCH('P-E Ratio (WP)'!B61,'2016'!$A$5:$A$73,0)))</f>
        <v>16.795999999999999</v>
      </c>
      <c r="J61" s="255">
        <v>14.664999999999999</v>
      </c>
      <c r="K61" s="255">
        <v>13.677</v>
      </c>
      <c r="L61" s="255">
        <v>14.427</v>
      </c>
      <c r="M61" s="255">
        <v>14.798999999999999</v>
      </c>
      <c r="N61" s="255">
        <v>13.670999999999999</v>
      </c>
      <c r="O61" s="255">
        <v>12.933999999999999</v>
      </c>
      <c r="P61" s="255">
        <v>11.625999999999999</v>
      </c>
      <c r="Q61" s="255">
        <v>12.667</v>
      </c>
      <c r="R61" s="255">
        <v>14.957000000000001</v>
      </c>
      <c r="S61" s="255">
        <v>15.42</v>
      </c>
      <c r="T61" s="255">
        <v>14.444000000000001</v>
      </c>
      <c r="U61" s="255">
        <v>13.568</v>
      </c>
      <c r="V61" s="255">
        <v>13.045</v>
      </c>
      <c r="W61" s="255">
        <v>12.167</v>
      </c>
    </row>
    <row r="62" spans="1:23" s="31" customFormat="1" x14ac:dyDescent="0.25">
      <c r="A62" s="31" t="str">
        <f>IFERROR(INDEX('2019 Data (WP)'!$C$9:$C$73,MATCH($B62,'2019 Data (WP)'!$D$9:$D$73,0)),"")</f>
        <v>Electric Utility (West)</v>
      </c>
      <c r="B62" s="31" t="s">
        <v>37</v>
      </c>
      <c r="C62" s="31" t="s">
        <v>54</v>
      </c>
      <c r="D62" s="253"/>
      <c r="E62" s="254">
        <f>IF(IFERROR(INDEX('2020'!$C$5:$C$73,MATCH('P-E Ratio (WP)'!B62,'2020'!$A$5:$A$73,0)),0)=0,"N/A",INDEX('2020'!$C$5:$C$73,MATCH('P-E Ratio (WP)'!B62,'2020'!$A$5:$A$73,0)))</f>
        <v>17.5</v>
      </c>
      <c r="F62" s="254">
        <f>IF(IFERROR(INDEX('2019'!$C$5:$C$73,MATCH('P-E Ratio (WP)'!B62,'2019'!$A$5:$A$73,0)),0)=0,"N/A",INDEX('2019'!$C$5:$C$73,MATCH('P-E Ratio (WP)'!B62,'2019'!$A$5:$A$73,0)))</f>
        <v>22.5</v>
      </c>
      <c r="G62" s="254">
        <f>IF(IFERROR(INDEX('2018'!$C$5:$C$73,MATCH('P-E Ratio (WP)'!B62,'2018'!$A$5:$A$73,0)),0)=0,"N/A",INDEX('2018'!$C$5:$C$73,MATCH('P-E Ratio (WP)'!B62,'2018'!$A$5:$A$73,0)))</f>
        <v>20.399999999999999</v>
      </c>
      <c r="H62" s="254">
        <f>IF(IFERROR(INDEX('2017'!$C$5:$C$73,MATCH('P-E Ratio (WP)'!B62,'2017'!$A$5:$A$73,0)),0)=0,"N/A",INDEX('2017'!$C$5:$C$73,MATCH('P-E Ratio (WP)'!B62,'2017'!$A$5:$A$73,0)))</f>
        <v>24.3</v>
      </c>
      <c r="I62" s="254">
        <f>IF(IFERROR(INDEX('2016'!$C$5:$C$73,MATCH('P-E Ratio (WP)'!B62,'2016'!$A$5:$A$73,0)),0)=0,"N/A",INDEX('2016'!$C$5:$C$73,MATCH('P-E Ratio (WP)'!B62,'2016'!$A$5:$A$73,0)))</f>
        <v>24.4</v>
      </c>
      <c r="J62" s="255">
        <v>19.7</v>
      </c>
      <c r="K62" s="255">
        <v>21.9</v>
      </c>
      <c r="L62" s="255">
        <v>19.7</v>
      </c>
      <c r="M62" s="255">
        <v>14.9</v>
      </c>
      <c r="N62" s="255">
        <v>11.8</v>
      </c>
      <c r="O62" s="255">
        <v>12.6</v>
      </c>
      <c r="P62" s="255">
        <v>10.1</v>
      </c>
      <c r="Q62" s="255">
        <v>11.8</v>
      </c>
      <c r="R62" s="255">
        <v>14</v>
      </c>
      <c r="S62" s="255">
        <v>11.500999999999999</v>
      </c>
      <c r="T62" s="255">
        <v>11.794</v>
      </c>
      <c r="U62" s="255">
        <v>8.6470000000000002</v>
      </c>
      <c r="V62" s="255">
        <v>8.9589999999999996</v>
      </c>
      <c r="W62" s="255">
        <v>8.19</v>
      </c>
    </row>
    <row r="63" spans="1:23" s="31" customFormat="1" x14ac:dyDescent="0.25">
      <c r="A63" s="31" t="str">
        <f>IFERROR(INDEX('2019 Data (WP)'!$C$9:$C$73,MATCH($B63,'2019 Data (WP)'!$D$9:$D$73,0)),"")</f>
        <v/>
      </c>
      <c r="B63" s="31" t="s">
        <v>64</v>
      </c>
      <c r="C63" s="31" t="s">
        <v>63</v>
      </c>
      <c r="D63" s="253"/>
      <c r="E63" s="254" t="str">
        <f>IF(IFERROR(INDEX('2020'!$C$5:$C$73,MATCH('P-E Ratio (WP)'!B63,'2020'!$A$5:$A$73,0)),0)=0,"N/A",INDEX('2020'!$C$5:$C$73,MATCH('P-E Ratio (WP)'!B63,'2020'!$A$5:$A$73,0)))</f>
        <v>N/A</v>
      </c>
      <c r="F63" s="254" t="str">
        <f>IF(IFERROR(INDEX('2019'!$C$5:$C$73,MATCH('P-E Ratio (WP)'!B63,'2019'!$A$5:$A$73,0)),0)=0,"N/A",INDEX('2019'!$C$5:$C$73,MATCH('P-E Ratio (WP)'!B63,'2019'!$A$5:$A$73,0)))</f>
        <v>N/A</v>
      </c>
      <c r="G63" s="254" t="str">
        <f>IF(IFERROR(INDEX('2018'!$C$5:$C$73,MATCH('P-E Ratio (WP)'!B63,'2018'!$A$5:$A$73,0)),0)=0,"N/A",INDEX('2018'!$C$5:$C$73,MATCH('P-E Ratio (WP)'!B63,'2018'!$A$5:$A$73,0)))</f>
        <v>N/A</v>
      </c>
      <c r="H63" s="254" t="str">
        <f>IF(IFERROR(INDEX('2017'!$C$5:$C$73,MATCH('P-E Ratio (WP)'!B63,'2017'!$A$5:$A$73,0)),0)=0,"N/A",INDEX('2017'!$C$5:$C$73,MATCH('P-E Ratio (WP)'!B63,'2017'!$A$5:$A$73,0)))</f>
        <v>N/A</v>
      </c>
      <c r="I63" s="254" t="str">
        <f>IF(IFERROR(INDEX('2016'!$C$5:$C$73,MATCH('P-E Ratio (WP)'!B63,'2016'!$A$5:$A$73,0)),0)=0,"N/A",INDEX('2016'!$C$5:$C$73,MATCH('P-E Ratio (WP)'!B63,'2016'!$A$5:$A$73,0)))</f>
        <v>N/A</v>
      </c>
      <c r="J63" s="254" t="str">
        <f>IF(IFERROR(INDEX('2017'!$C$5:$C$72,MATCH('P-E Ratio (WP)'!C63,'2017'!$A$5:$A$72,0)),0)=0,"N/A",INDEX('2017'!$C$5:$C$72,MATCH('P-E Ratio (WP)'!C63,'2017'!$A$5:$A$72,0)))</f>
        <v>N/A</v>
      </c>
      <c r="K63" s="254" t="str">
        <f>IF(IFERROR(INDEX('2017'!$C$5:$C$72,MATCH('P-E Ratio (WP)'!D63,'2017'!$A$5:$A$72,0)),0)=0,"N/A",INDEX('2017'!$C$5:$C$72,MATCH('P-E Ratio (WP)'!D63,'2017'!$A$5:$A$72,0)))</f>
        <v>N/A</v>
      </c>
      <c r="L63" s="254" t="str">
        <f>IF(IFERROR(INDEX('2017'!$C$5:$C$72,MATCH('P-E Ratio (WP)'!I63,'2017'!$A$5:$A$72,0)),0)=0,"N/A",INDEX('2017'!$C$5:$C$72,MATCH('P-E Ratio (WP)'!I63,'2017'!$A$5:$A$72,0)))</f>
        <v>N/A</v>
      </c>
      <c r="M63" s="254" t="str">
        <f>IF(IFERROR(INDEX('2017'!$C$5:$C$72,MATCH('P-E Ratio (WP)'!J63,'2017'!$A$5:$A$72,0)),0)=0,"N/A",INDEX('2017'!$C$5:$C$72,MATCH('P-E Ratio (WP)'!J63,'2017'!$A$5:$A$72,0)))</f>
        <v>N/A</v>
      </c>
      <c r="N63" s="254" t="str">
        <f>IF(IFERROR(INDEX('2017'!$C$5:$C$72,MATCH('P-E Ratio (WP)'!K63,'2017'!$A$5:$A$72,0)),0)=0,"N/A",INDEX('2017'!$C$5:$C$72,MATCH('P-E Ratio (WP)'!K63,'2017'!$A$5:$A$72,0)))</f>
        <v>N/A</v>
      </c>
      <c r="O63" s="254" t="str">
        <f>IF(IFERROR(INDEX('2017'!$C$5:$C$72,MATCH('P-E Ratio (WP)'!L63,'2017'!$A$5:$A$72,0)),0)=0,"N/A",INDEX('2017'!$C$5:$C$72,MATCH('P-E Ratio (WP)'!L63,'2017'!$A$5:$A$72,0)))</f>
        <v>N/A</v>
      </c>
      <c r="P63" s="254" t="str">
        <f>IF(IFERROR(INDEX('2017'!$C$5:$C$72,MATCH('P-E Ratio (WP)'!M63,'2017'!$A$5:$A$72,0)),0)=0,"N/A",INDEX('2017'!$C$5:$C$72,MATCH('P-E Ratio (WP)'!M63,'2017'!$A$5:$A$72,0)))</f>
        <v>N/A</v>
      </c>
      <c r="Q63" s="254" t="str">
        <f>IF(IFERROR(INDEX('2017'!$C$5:$C$72,MATCH('P-E Ratio (WP)'!N63,'2017'!$A$5:$A$72,0)),0)=0,"N/A",INDEX('2017'!$C$5:$C$72,MATCH('P-E Ratio (WP)'!N63,'2017'!$A$5:$A$72,0)))</f>
        <v>N/A</v>
      </c>
      <c r="R63" s="254" t="str">
        <f>IF(IFERROR(INDEX('2017'!$C$5:$C$72,MATCH('P-E Ratio (WP)'!O63,'2017'!$A$5:$A$72,0)),0)=0,"N/A",INDEX('2017'!$C$5:$C$72,MATCH('P-E Ratio (WP)'!O63,'2017'!$A$5:$A$72,0)))</f>
        <v>N/A</v>
      </c>
      <c r="S63" s="254" t="str">
        <f>IF(IFERROR(INDEX('2017'!$C$5:$C$72,MATCH('P-E Ratio (WP)'!P63,'2017'!$A$5:$A$72,0)),0)=0,"N/A",INDEX('2017'!$C$5:$C$72,MATCH('P-E Ratio (WP)'!P63,'2017'!$A$5:$A$72,0)))</f>
        <v>N/A</v>
      </c>
      <c r="T63" s="255" t="s">
        <v>106</v>
      </c>
      <c r="U63" s="255">
        <v>20.948</v>
      </c>
      <c r="V63" s="255" t="s">
        <v>106</v>
      </c>
      <c r="W63" s="255" t="s">
        <v>106</v>
      </c>
    </row>
    <row r="64" spans="1:23" s="31" customFormat="1" x14ac:dyDescent="0.25">
      <c r="A64" s="31" t="str">
        <f>IFERROR(INDEX('2019 Data (WP)'!$C$9:$C$73,MATCH($B64,'2019 Data (WP)'!$D$9:$D$73,0)),"")</f>
        <v>Water Utility</v>
      </c>
      <c r="B64" s="31" t="s">
        <v>196</v>
      </c>
      <c r="C64" s="31" t="s">
        <v>195</v>
      </c>
      <c r="D64" s="253"/>
      <c r="E64" s="254">
        <f>IF(IFERROR(INDEX('2020'!$C$5:$C$73,MATCH('P-E Ratio (WP)'!B64,'2020'!$A$5:$A$73,0)),0)=0,"N/A",INDEX('2020'!$C$5:$C$73,MATCH('P-E Ratio (WP)'!B64,'2020'!$A$5:$A$73,0)))</f>
        <v>30</v>
      </c>
      <c r="F64" s="254">
        <f>IF(IFERROR(INDEX('2019'!$C$5:$C$73,MATCH('P-E Ratio (WP)'!B64,'2019'!$A$5:$A$73,0)),0)=0,"N/A",INDEX('2019'!$C$5:$C$73,MATCH('P-E Ratio (WP)'!B64,'2019'!$A$5:$A$73,0)))</f>
        <v>78.8</v>
      </c>
      <c r="G64" s="254">
        <f>IF(IFERROR(INDEX('2018'!$C$5:$C$73,MATCH('P-E Ratio (WP)'!B64,'2018'!$A$5:$A$73,0)),0)=0,"N/A",INDEX('2018'!$C$5:$C$73,MATCH('P-E Ratio (WP)'!B64,'2018'!$A$5:$A$73,0)))</f>
        <v>32.700000000000003</v>
      </c>
      <c r="H64" s="254">
        <f>IF(IFERROR(INDEX('2017'!$C$5:$C$73,MATCH('P-E Ratio (WP)'!B64,'2017'!$A$5:$A$73,0)),0)=0,"N/A",INDEX('2017'!$C$5:$C$73,MATCH('P-E Ratio (WP)'!B64,'2017'!$A$5:$A$73,0)))</f>
        <v>18.8</v>
      </c>
      <c r="I64" s="254">
        <f>IF(IFERROR(INDEX('2016'!$C$5:$C$73,MATCH('P-E Ratio (WP)'!B64,'2016'!$A$5:$A$73,0)),0)=0,"N/A",INDEX('2016'!$C$5:$C$73,MATCH('P-E Ratio (WP)'!B64,'2016'!$A$5:$A$73,0)))</f>
        <v>15.7</v>
      </c>
      <c r="J64" s="255">
        <v>16.600000000000001</v>
      </c>
      <c r="K64" s="255">
        <v>11.2</v>
      </c>
      <c r="L64" s="255">
        <v>24.3</v>
      </c>
      <c r="M64" s="255">
        <v>20.399999999999999</v>
      </c>
      <c r="N64" s="255">
        <v>21.2</v>
      </c>
      <c r="O64" s="255">
        <v>29.1</v>
      </c>
      <c r="P64" s="255">
        <v>28.7</v>
      </c>
      <c r="Q64" s="255">
        <v>26.2</v>
      </c>
      <c r="R64" s="255">
        <v>33.4</v>
      </c>
      <c r="S64" s="255">
        <v>23.507999999999999</v>
      </c>
    </row>
    <row r="65" spans="1:23" s="31" customFormat="1" x14ac:dyDescent="0.25">
      <c r="A65" s="31" t="str">
        <f>IFERROR(INDEX('2019 Data (WP)'!$C$9:$C$73,MATCH($B65,'2019 Data (WP)'!$D$9:$D$73,0)),"")</f>
        <v>Natural Gas Utility</v>
      </c>
      <c r="B65" s="31" t="s">
        <v>198</v>
      </c>
      <c r="C65" s="31" t="s">
        <v>197</v>
      </c>
      <c r="D65" s="253"/>
      <c r="E65" s="254">
        <f>IF(IFERROR(INDEX('2020'!$C$5:$C$73,MATCH('P-E Ratio (WP)'!B65,'2020'!$A$5:$A$73,0)),0)=0,"N/A",INDEX('2020'!$C$5:$C$73,MATCH('P-E Ratio (WP)'!B65,'2020'!$A$5:$A$73,0)))</f>
        <v>14.89</v>
      </c>
      <c r="F65" s="254">
        <f>IF(IFERROR(INDEX('2019'!$C$5:$C$73,MATCH('P-E Ratio (WP)'!B65,'2019'!$A$5:$A$73,0)),0)=0,"N/A",INDEX('2019'!$C$5:$C$73,MATCH('P-E Ratio (WP)'!B65,'2019'!$A$5:$A$73,0)))</f>
        <v>28.282</v>
      </c>
      <c r="G65" s="254">
        <f>IF(IFERROR(INDEX('2018'!$C$5:$C$73,MATCH('P-E Ratio (WP)'!B65,'2018'!$A$5:$A$73,0)),0)=0,"N/A",INDEX('2018'!$C$5:$C$73,MATCH('P-E Ratio (WP)'!B65,'2018'!$A$5:$A$73,0)))</f>
        <v>22.638000000000002</v>
      </c>
      <c r="H65" s="254">
        <f>IF(IFERROR(INDEX('2017'!$C$5:$C$73,MATCH('P-E Ratio (WP)'!B65,'2017'!$A$5:$A$73,0)),0)=0,"N/A",INDEX('2017'!$C$5:$C$73,MATCH('P-E Ratio (WP)'!B65,'2017'!$A$5:$A$73,0)))</f>
        <v>27.92</v>
      </c>
      <c r="I65" s="254">
        <f>IF(IFERROR(INDEX('2016'!$C$5:$C$73,MATCH('P-E Ratio (WP)'!B65,'2016'!$A$5:$A$73,0)),0)=0,"N/A",INDEX('2016'!$C$5:$C$73,MATCH('P-E Ratio (WP)'!B65,'2016'!$A$5:$A$73,0)))</f>
        <v>21.7</v>
      </c>
      <c r="J65" s="255">
        <v>17.949000000000002</v>
      </c>
      <c r="K65" s="255">
        <v>18.033999999999999</v>
      </c>
      <c r="L65" s="255">
        <v>18.902999999999999</v>
      </c>
      <c r="M65" s="255">
        <v>16.934999999999999</v>
      </c>
      <c r="N65" s="255">
        <v>18.481999999999999</v>
      </c>
      <c r="O65" s="255">
        <v>16.806999999999999</v>
      </c>
      <c r="P65" s="255">
        <v>14.955</v>
      </c>
      <c r="Q65" s="255">
        <v>15.897</v>
      </c>
      <c r="R65" s="255">
        <v>17.181000000000001</v>
      </c>
      <c r="S65" s="255">
        <v>11.858000000000001</v>
      </c>
    </row>
    <row r="66" spans="1:23" s="31" customFormat="1" x14ac:dyDescent="0.25">
      <c r="A66" s="31" t="str">
        <f>IFERROR(INDEX('2019 Data (WP)'!$C$9:$C$73,MATCH($B66,'2019 Data (WP)'!$D$9:$D$73,0)),"")</f>
        <v>Electric Utility (East)</v>
      </c>
      <c r="B66" s="31" t="s">
        <v>38</v>
      </c>
      <c r="C66" s="31" t="s">
        <v>77</v>
      </c>
      <c r="D66" s="253"/>
      <c r="E66" s="254">
        <f>IF(IFERROR(INDEX('2020'!$C$5:$C$73,MATCH('P-E Ratio (WP)'!B66,'2020'!$A$5:$A$73,0)),0)=0,"N/A",INDEX('2020'!$C$5:$C$73,MATCH('P-E Ratio (WP)'!B66,'2020'!$A$5:$A$73,0)))</f>
        <v>17.899999999999999</v>
      </c>
      <c r="F66" s="254">
        <f>IF(IFERROR(INDEX('2019'!$C$5:$C$73,MATCH('P-E Ratio (WP)'!B66,'2019'!$A$5:$A$73,0)),0)=0,"N/A",INDEX('2019'!$C$5:$C$73,MATCH('P-E Ratio (WP)'!B66,'2019'!$A$5:$A$73,0)))</f>
        <v>17.600000000000001</v>
      </c>
      <c r="G66" s="254">
        <f>IF(IFERROR(INDEX('2018'!$C$5:$C$73,MATCH('P-E Ratio (WP)'!B66,'2018'!$A$5:$A$73,0)),0)=0,"N/A",INDEX('2018'!$C$5:$C$73,MATCH('P-E Ratio (WP)'!B66,'2018'!$A$5:$A$73,0)))</f>
        <v>15.1</v>
      </c>
      <c r="H66" s="254">
        <f>IF(IFERROR(INDEX('2017'!$C$5:$C$73,MATCH('P-E Ratio (WP)'!B66,'2017'!$A$5:$A$73,0)),0)=0,"N/A",INDEX('2017'!$C$5:$C$73,MATCH('P-E Ratio (WP)'!B66,'2017'!$A$5:$A$73,0)))</f>
        <v>15.5</v>
      </c>
      <c r="I66" s="254">
        <f>IF(IFERROR(INDEX('2016'!$C$5:$C$73,MATCH('P-E Ratio (WP)'!B66,'2016'!$A$5:$A$73,0)),0)=0,"N/A",INDEX('2016'!$C$5:$C$73,MATCH('P-E Ratio (WP)'!B66,'2016'!$A$5:$A$73,0)))</f>
        <v>17.8</v>
      </c>
      <c r="J66" s="255">
        <v>15.8</v>
      </c>
      <c r="K66" s="255">
        <v>16</v>
      </c>
      <c r="L66" s="255">
        <v>16.2</v>
      </c>
      <c r="M66" s="255">
        <v>17</v>
      </c>
      <c r="N66" s="255">
        <v>15.8</v>
      </c>
      <c r="O66" s="255">
        <v>14.9</v>
      </c>
      <c r="P66" s="255">
        <v>13.5</v>
      </c>
      <c r="Q66" s="255">
        <v>16.100000000000001</v>
      </c>
      <c r="R66" s="255">
        <v>16</v>
      </c>
      <c r="S66" s="255">
        <v>16.189</v>
      </c>
      <c r="T66" s="255">
        <v>15.917</v>
      </c>
      <c r="U66" s="255">
        <v>14.683999999999999</v>
      </c>
      <c r="V66" s="255">
        <v>14.831</v>
      </c>
      <c r="W66" s="255">
        <v>14.632</v>
      </c>
    </row>
    <row r="67" spans="1:23" s="31" customFormat="1" x14ac:dyDescent="0.25">
      <c r="A67" s="31" t="str">
        <f>IFERROR(INDEX('2019 Data (WP)'!$C$9:$C$73,MATCH($B67,'2019 Data (WP)'!$D$9:$D$73,0)),"")</f>
        <v>Natural Gas Utility</v>
      </c>
      <c r="B67" s="31" t="s">
        <v>200</v>
      </c>
      <c r="C67" s="31" t="s">
        <v>199</v>
      </c>
      <c r="D67" s="253"/>
      <c r="E67" s="254">
        <f>IF(IFERROR(INDEX('2020'!$C$5:$C$73,MATCH('P-E Ratio (WP)'!B67,'2020'!$A$5:$A$73,0)),0)=0,"N/A",INDEX('2020'!$C$5:$C$73,MATCH('P-E Ratio (WP)'!B67,'2020'!$A$5:$A$73,0)))</f>
        <v>16.8</v>
      </c>
      <c r="F67" s="254">
        <f>IF(IFERROR(INDEX('2019'!$C$5:$C$73,MATCH('P-E Ratio (WP)'!B67,'2019'!$A$5:$A$73,0)),0)=0,"N/A",INDEX('2019'!$C$5:$C$73,MATCH('P-E Ratio (WP)'!B67,'2019'!$A$5:$A$73,0)))</f>
        <v>21.3</v>
      </c>
      <c r="G67" s="254">
        <f>IF(IFERROR(INDEX('2018'!$C$5:$C$73,MATCH('P-E Ratio (WP)'!B67,'2018'!$A$5:$A$73,0)),0)=0,"N/A",INDEX('2018'!$C$5:$C$73,MATCH('P-E Ratio (WP)'!B67,'2018'!$A$5:$A$73,0)))</f>
        <v>20.6</v>
      </c>
      <c r="H67" s="254">
        <f>IF(IFERROR(INDEX('2017'!$C$5:$C$73,MATCH('P-E Ratio (WP)'!B67,'2017'!$A$5:$A$73,0)),0)=0,"N/A",INDEX('2017'!$C$5:$C$73,MATCH('P-E Ratio (WP)'!B67,'2017'!$A$5:$A$73,0)))</f>
        <v>22.2</v>
      </c>
      <c r="I67" s="254">
        <f>IF(IFERROR(INDEX('2016'!$C$5:$C$73,MATCH('P-E Ratio (WP)'!B67,'2016'!$A$5:$A$73,0)),0)=0,"N/A",INDEX('2016'!$C$5:$C$73,MATCH('P-E Ratio (WP)'!B67,'2016'!$A$5:$A$73,0)))</f>
        <v>21.6</v>
      </c>
      <c r="J67" s="255">
        <v>19.399999999999999</v>
      </c>
      <c r="K67" s="255">
        <v>17.899999999999999</v>
      </c>
      <c r="L67" s="255">
        <v>15.8</v>
      </c>
      <c r="M67" s="255">
        <v>15</v>
      </c>
      <c r="N67" s="255">
        <v>15.7</v>
      </c>
      <c r="O67" s="255">
        <v>14</v>
      </c>
      <c r="P67" s="255">
        <v>12.2</v>
      </c>
      <c r="Q67" s="255">
        <v>20.3</v>
      </c>
      <c r="R67" s="255">
        <v>17.3</v>
      </c>
      <c r="S67" s="255">
        <v>15.936999999999999</v>
      </c>
    </row>
    <row r="68" spans="1:23" s="31" customFormat="1" x14ac:dyDescent="0.25">
      <c r="A68" s="31" t="str">
        <f>IFERROR(INDEX('2019 Data (WP)'!$C$9:$C$73,MATCH($B68,'2019 Data (WP)'!$D$9:$D$73,0)),"")</f>
        <v>Natural Gas Utility</v>
      </c>
      <c r="B68" s="31" t="s">
        <v>244</v>
      </c>
      <c r="C68" s="31" t="s">
        <v>243</v>
      </c>
      <c r="D68" s="253"/>
      <c r="E68" s="254">
        <f>IF(IFERROR(INDEX('2020'!$C$5:$C$73,MATCH('P-E Ratio (WP)'!B68,'2020'!$A$5:$A$73,0)),0)=0,"N/A",INDEX('2020'!$C$5:$C$73,MATCH('P-E Ratio (WP)'!B68,'2020'!$A$5:$A$73,0)))</f>
        <v>51.1</v>
      </c>
      <c r="F68" s="254">
        <f>IF(IFERROR(INDEX('2019'!$C$5:$C$73,MATCH('P-E Ratio (WP)'!B68,'2019'!$A$5:$A$73,0)),0)=0,"N/A",INDEX('2019'!$C$5:$C$73,MATCH('P-E Ratio (WP)'!B68,'2019'!$A$5:$A$73,0)))</f>
        <v>22.8</v>
      </c>
      <c r="G68" s="254">
        <f>IF(IFERROR(INDEX('2018'!$C$5:$C$73,MATCH('P-E Ratio (WP)'!B68,'2018'!$A$5:$A$73,0)),0)=0,"N/A",INDEX('2018'!$C$5:$C$73,MATCH('P-E Ratio (WP)'!B68,'2018'!$A$5:$A$73,0)))</f>
        <v>16.7</v>
      </c>
      <c r="H68" s="254">
        <f>IF(IFERROR(INDEX('2017'!$C$5:$C$73,MATCH('P-E Ratio (WP)'!B68,'2017'!$A$5:$A$73,0)),0)=0,"N/A",INDEX('2017'!$C$5:$C$73,MATCH('P-E Ratio (WP)'!B68,'2017'!$A$5:$A$73,0)))</f>
        <v>19.8</v>
      </c>
      <c r="I68" s="254">
        <f>IF(IFERROR(INDEX('2016'!$C$5:$C$73,MATCH('P-E Ratio (WP)'!B68,'2016'!$A$5:$A$73,0)),0)=0,"N/A",INDEX('2016'!$C$5:$C$73,MATCH('P-E Ratio (WP)'!B68,'2016'!$A$5:$A$73,0)))</f>
        <v>19.600000000000001</v>
      </c>
      <c r="J68" s="255">
        <v>16.5</v>
      </c>
      <c r="K68" s="255">
        <v>19.8</v>
      </c>
      <c r="L68" s="255">
        <v>21.3</v>
      </c>
      <c r="M68" s="255">
        <v>14.5</v>
      </c>
      <c r="N68" s="255">
        <v>13</v>
      </c>
      <c r="O68" s="255">
        <v>13.7</v>
      </c>
      <c r="P68" s="255">
        <v>13.4</v>
      </c>
      <c r="Q68" s="255">
        <v>14.3</v>
      </c>
      <c r="R68" s="255">
        <v>14.2</v>
      </c>
      <c r="S68" s="255">
        <v>13.6</v>
      </c>
    </row>
    <row r="69" spans="1:23" s="31" customFormat="1" x14ac:dyDescent="0.25">
      <c r="A69" s="31" t="str">
        <f>IFERROR(INDEX('2019 Data (WP)'!$C$9:$C$73,MATCH($B69,'2019 Data (WP)'!$D$9:$D$73,0)),"")</f>
        <v/>
      </c>
      <c r="B69" s="31" t="s">
        <v>39</v>
      </c>
      <c r="C69" s="31" t="s">
        <v>78</v>
      </c>
      <c r="D69" s="253"/>
      <c r="E69" s="254" t="str">
        <f>IF(IFERROR(INDEX('2020'!$C$5:$C$73,MATCH('P-E Ratio (WP)'!B69,'2020'!$A$5:$A$73,0)),0)=0,"N/A",INDEX('2020'!$C$5:$C$73,MATCH('P-E Ratio (WP)'!B69,'2020'!$A$5:$A$73,0)))</f>
        <v>N/A</v>
      </c>
      <c r="F69" s="254" t="str">
        <f>IF(IFERROR(INDEX('2019'!$C$5:$C$73,MATCH('P-E Ratio (WP)'!B69,'2019'!$A$5:$A$73,0)),0)=0,"N/A",INDEX('2019'!$C$5:$C$73,MATCH('P-E Ratio (WP)'!B69,'2019'!$A$5:$A$73,0)))</f>
        <v>N/A</v>
      </c>
      <c r="G69" s="254" t="str">
        <f>IF(IFERROR(INDEX('2018'!$C$5:$C$73,MATCH('P-E Ratio (WP)'!B69,'2018'!$A$5:$A$73,0)),0)=0,"N/A",INDEX('2018'!$C$5:$C$73,MATCH('P-E Ratio (WP)'!B69,'2018'!$A$5:$A$73,0)))</f>
        <v>N/A</v>
      </c>
      <c r="H69" s="254" t="str">
        <f>IF(IFERROR(INDEX('2017'!$C$5:$C$73,MATCH('P-E Ratio (WP)'!B69,'2017'!$A$5:$A$73,0)),0)=0,"N/A",INDEX('2017'!$C$5:$C$73,MATCH('P-E Ratio (WP)'!B69,'2017'!$A$5:$A$73,0)))</f>
        <v>N/A</v>
      </c>
      <c r="I69" s="254" t="str">
        <f>IF(IFERROR(INDEX('2016'!$C$5:$C$73,MATCH('P-E Ratio (WP)'!B69,'2016'!$A$5:$A$73,0)),0)=0,"N/A",INDEX('2016'!$C$5:$C$73,MATCH('P-E Ratio (WP)'!B69,'2016'!$A$5:$A$73,0)))</f>
        <v>N/A</v>
      </c>
      <c r="J69" s="255" t="e">
        <v>#N/A</v>
      </c>
      <c r="K69" s="255" t="e">
        <v>#N/A</v>
      </c>
      <c r="L69" s="255" t="e">
        <v>#N/A</v>
      </c>
      <c r="M69" s="255" t="e">
        <v>#N/A</v>
      </c>
      <c r="N69" s="255" t="e">
        <v>#N/A</v>
      </c>
      <c r="O69" s="255" t="e">
        <v>#N/A</v>
      </c>
      <c r="P69" s="255" t="e">
        <v>#N/A</v>
      </c>
      <c r="Q69" s="255" t="e">
        <v>#N/A</v>
      </c>
      <c r="R69" s="255" t="e">
        <v>#N/A</v>
      </c>
      <c r="S69" s="255" t="e">
        <v>#N/A</v>
      </c>
      <c r="T69" s="255">
        <v>17.085000000000001</v>
      </c>
      <c r="U69" s="255">
        <v>19.3</v>
      </c>
      <c r="V69" s="255" t="s">
        <v>105</v>
      </c>
      <c r="W69" s="255">
        <v>10.968</v>
      </c>
    </row>
    <row r="70" spans="1:23" s="31" customFormat="1" x14ac:dyDescent="0.25">
      <c r="A70" s="31" t="str">
        <f>IFERROR(INDEX('2019 Data (WP)'!$C$9:$C$73,MATCH($B70,'2019 Data (WP)'!$D$9:$D$73,0)),"")</f>
        <v>Natural Gas Utility</v>
      </c>
      <c r="B70" s="31" t="s">
        <v>204</v>
      </c>
      <c r="C70" s="31" t="s">
        <v>203</v>
      </c>
      <c r="D70" s="253"/>
      <c r="E70" s="254">
        <f>IF(IFERROR(INDEX('2020'!$C$5:$C$73,MATCH('P-E Ratio (WP)'!B70,'2020'!$A$5:$A$73,0)),0)=0,"N/A",INDEX('2020'!$C$5:$C$73,MATCH('P-E Ratio (WP)'!B70,'2020'!$A$5:$A$73,0)))</f>
        <v>13.8</v>
      </c>
      <c r="F70" s="254">
        <f>IF(IFERROR(INDEX('2019'!$C$5:$C$73,MATCH('P-E Ratio (WP)'!B70,'2019'!$A$5:$A$73,0)),0)=0,"N/A",INDEX('2019'!$C$5:$C$73,MATCH('P-E Ratio (WP)'!B70,'2019'!$A$5:$A$73,0)))</f>
        <v>23.4</v>
      </c>
      <c r="G70" s="254">
        <f>IF(IFERROR(INDEX('2018'!$C$5:$C$73,MATCH('P-E Ratio (WP)'!B70,'2018'!$A$5:$A$73,0)),0)=0,"N/A",INDEX('2018'!$C$5:$C$73,MATCH('P-E Ratio (WP)'!B70,'2018'!$A$5:$A$73,0)))</f>
        <v>17.8</v>
      </c>
      <c r="H70" s="254">
        <f>IF(IFERROR(INDEX('2017'!$C$5:$C$73,MATCH('P-E Ratio (WP)'!B70,'2017'!$A$5:$A$73,0)),0)=0,"N/A",INDEX('2017'!$C$5:$C$73,MATCH('P-E Ratio (WP)'!B70,'2017'!$A$5:$A$73,0)))</f>
        <v>20.8</v>
      </c>
      <c r="I70" s="254">
        <f>IF(IFERROR(INDEX('2016'!$C$5:$C$73,MATCH('P-E Ratio (WP)'!B70,'2016'!$A$5:$A$73,0)),0)=0,"N/A",INDEX('2016'!$C$5:$C$73,MATCH('P-E Ratio (WP)'!B70,'2016'!$A$5:$A$73,0)))</f>
        <v>19.3</v>
      </c>
      <c r="J70" s="255">
        <v>17.7</v>
      </c>
      <c r="K70" s="255">
        <v>15.8</v>
      </c>
      <c r="L70" s="255">
        <v>15.4</v>
      </c>
      <c r="M70" s="255">
        <v>16.399999999999999</v>
      </c>
      <c r="N70" s="255">
        <v>15</v>
      </c>
      <c r="O70" s="255">
        <v>10.9</v>
      </c>
      <c r="P70" s="255">
        <v>10.3</v>
      </c>
      <c r="Q70" s="255">
        <v>13.3</v>
      </c>
      <c r="R70" s="255">
        <v>15.1</v>
      </c>
      <c r="S70" s="255">
        <v>13.965</v>
      </c>
    </row>
    <row r="71" spans="1:23" s="31" customFormat="1" x14ac:dyDescent="0.25">
      <c r="A71" s="31" t="str">
        <f>IFERROR(INDEX('2019 Data (WP)'!$C$9:$C$73,MATCH($B71,'2019 Data (WP)'!$D$9:$D$73,0)),"")</f>
        <v/>
      </c>
      <c r="B71" s="31" t="s">
        <v>40</v>
      </c>
      <c r="C71" s="31" t="s">
        <v>81</v>
      </c>
      <c r="D71" s="253"/>
      <c r="E71" s="254" t="str">
        <f>IF(IFERROR(INDEX('2020'!$C$5:$C$73,MATCH('P-E Ratio (WP)'!B71,'2020'!$A$5:$A$73,0)),0)=0,"N/A",INDEX('2020'!$C$5:$C$73,MATCH('P-E Ratio (WP)'!B71,'2020'!$A$5:$A$73,0)))</f>
        <v>N/A</v>
      </c>
      <c r="F71" s="254" t="str">
        <f>IF(IFERROR(INDEX('2019'!$C$5:$C$73,MATCH('P-E Ratio (WP)'!B71,'2019'!$A$5:$A$73,0)),0)=0,"N/A",INDEX('2019'!$C$5:$C$73,MATCH('P-E Ratio (WP)'!B71,'2019'!$A$5:$A$73,0)))</f>
        <v>N/A</v>
      </c>
      <c r="G71" s="254" t="str">
        <f>IF(IFERROR(INDEX('2018'!$C$5:$C$73,MATCH('P-E Ratio (WP)'!B71,'2018'!$A$5:$A$73,0)),0)=0,"N/A",INDEX('2018'!$C$5:$C$73,MATCH('P-E Ratio (WP)'!B71,'2018'!$A$5:$A$73,0)))</f>
        <v>N/A</v>
      </c>
      <c r="H71" s="254" t="str">
        <f>IF(IFERROR(INDEX('2017'!$C$5:$C$73,MATCH('P-E Ratio (WP)'!B71,'2017'!$A$5:$A$73,0)),0)=0,"N/A",INDEX('2017'!$C$5:$C$73,MATCH('P-E Ratio (WP)'!B71,'2017'!$A$5:$A$73,0)))</f>
        <v>N/A</v>
      </c>
      <c r="I71" s="254" t="str">
        <f>IF(IFERROR(INDEX('2016'!$C$5:$C$73,MATCH('P-E Ratio (WP)'!B71,'2016'!$A$5:$A$73,0)),0)=0,"N/A",INDEX('2016'!$C$5:$C$73,MATCH('P-E Ratio (WP)'!B71,'2016'!$A$5:$A$73,0)))</f>
        <v>N/A</v>
      </c>
      <c r="J71" s="254" t="str">
        <f>IF(IFERROR(INDEX('2017'!$C$5:$C$72,MATCH('P-E Ratio (WP)'!C71,'2017'!$A$5:$A$72,0)),0)=0,"N/A",INDEX('2017'!$C$5:$C$72,MATCH('P-E Ratio (WP)'!C71,'2017'!$A$5:$A$72,0)))</f>
        <v>N/A</v>
      </c>
      <c r="K71" s="254" t="str">
        <f>IF(IFERROR(INDEX('2017'!$C$5:$C$72,MATCH('P-E Ratio (WP)'!D71,'2017'!$A$5:$A$72,0)),0)=0,"N/A",INDEX('2017'!$C$5:$C$72,MATCH('P-E Ratio (WP)'!D71,'2017'!$A$5:$A$72,0)))</f>
        <v>N/A</v>
      </c>
      <c r="L71" s="254" t="str">
        <f>IF(IFERROR(INDEX('2017'!$C$5:$C$72,MATCH('P-E Ratio (WP)'!I71,'2017'!$A$5:$A$72,0)),0)=0,"N/A",INDEX('2017'!$C$5:$C$72,MATCH('P-E Ratio (WP)'!I71,'2017'!$A$5:$A$72,0)))</f>
        <v>N/A</v>
      </c>
      <c r="M71" s="254" t="str">
        <f>IF(IFERROR(INDEX('2017'!$C$5:$C$72,MATCH('P-E Ratio (WP)'!J71,'2017'!$A$5:$A$72,0)),0)=0,"N/A",INDEX('2017'!$C$5:$C$72,MATCH('P-E Ratio (WP)'!J71,'2017'!$A$5:$A$72,0)))</f>
        <v>N/A</v>
      </c>
      <c r="N71" s="254" t="str">
        <f>IF(IFERROR(INDEX('2017'!$C$5:$C$72,MATCH('P-E Ratio (WP)'!K71,'2017'!$A$5:$A$72,0)),0)=0,"N/A",INDEX('2017'!$C$5:$C$72,MATCH('P-E Ratio (WP)'!K71,'2017'!$A$5:$A$72,0)))</f>
        <v>N/A</v>
      </c>
      <c r="O71" s="254" t="str">
        <f>IF(IFERROR(INDEX('2017'!$C$5:$C$72,MATCH('P-E Ratio (WP)'!L71,'2017'!$A$5:$A$72,0)),0)=0,"N/A",INDEX('2017'!$C$5:$C$72,MATCH('P-E Ratio (WP)'!L71,'2017'!$A$5:$A$72,0)))</f>
        <v>N/A</v>
      </c>
      <c r="P71" s="254" t="str">
        <f>IF(IFERROR(INDEX('2017'!$C$5:$C$72,MATCH('P-E Ratio (WP)'!M71,'2017'!$A$5:$A$72,0)),0)=0,"N/A",INDEX('2017'!$C$5:$C$72,MATCH('P-E Ratio (WP)'!M71,'2017'!$A$5:$A$72,0)))</f>
        <v>N/A</v>
      </c>
      <c r="Q71" s="254" t="str">
        <f>IF(IFERROR(INDEX('2017'!$C$5:$C$72,MATCH('P-E Ratio (WP)'!N71,'2017'!$A$5:$A$72,0)),0)=0,"N/A",INDEX('2017'!$C$5:$C$72,MATCH('P-E Ratio (WP)'!N71,'2017'!$A$5:$A$72,0)))</f>
        <v>N/A</v>
      </c>
      <c r="R71" s="254" t="str">
        <f>IF(IFERROR(INDEX('2017'!$C$5:$C$72,MATCH('P-E Ratio (WP)'!O71,'2017'!$A$5:$A$72,0)),0)=0,"N/A",INDEX('2017'!$C$5:$C$72,MATCH('P-E Ratio (WP)'!O71,'2017'!$A$5:$A$72,0)))</f>
        <v>N/A</v>
      </c>
      <c r="S71" s="254" t="str">
        <f>IF(IFERROR(INDEX('2017'!$C$5:$C$72,MATCH('P-E Ratio (WP)'!P71,'2017'!$A$5:$A$72,0)),0)=0,"N/A",INDEX('2017'!$C$5:$C$72,MATCH('P-E Ratio (WP)'!P71,'2017'!$A$5:$A$72,0)))</f>
        <v>N/A</v>
      </c>
      <c r="T71" s="255" t="s">
        <v>106</v>
      </c>
      <c r="U71" s="255">
        <v>18.701000000000001</v>
      </c>
      <c r="V71" s="255">
        <v>18.036999999999999</v>
      </c>
      <c r="W71" s="255">
        <v>14.98</v>
      </c>
    </row>
    <row r="72" spans="1:23" s="31" customFormat="1" x14ac:dyDescent="0.25">
      <c r="A72" s="31" t="str">
        <f>IFERROR(INDEX('2019 Data (WP)'!$C$9:$C$73,MATCH($B72,'2019 Data (WP)'!$D$9:$D$73,0)),"")</f>
        <v/>
      </c>
      <c r="B72" s="31" t="s">
        <v>41</v>
      </c>
      <c r="C72" s="31" t="s">
        <v>79</v>
      </c>
      <c r="D72" s="253"/>
      <c r="E72" s="254" t="str">
        <f>IF(IFERROR(INDEX('2020'!$C$5:$C$73,MATCH('P-E Ratio (WP)'!B72,'2020'!$A$5:$A$73,0)),0)=0,"N/A",INDEX('2020'!$C$5:$C$73,MATCH('P-E Ratio (WP)'!B72,'2020'!$A$5:$A$73,0)))</f>
        <v>N/A</v>
      </c>
      <c r="F72" s="254" t="str">
        <f>IF(IFERROR(INDEX('2019'!$C$5:$C$73,MATCH('P-E Ratio (WP)'!B72,'2019'!$A$5:$A$73,0)),0)=0,"N/A",INDEX('2019'!$C$5:$C$73,MATCH('P-E Ratio (WP)'!B72,'2019'!$A$5:$A$73,0)))</f>
        <v>N/A</v>
      </c>
      <c r="G72" s="254" t="str">
        <f>IF(IFERROR(INDEX('2018'!$C$5:$C$73,MATCH('P-E Ratio (WP)'!B72,'2018'!$A$5:$A$73,0)),0)=0,"N/A",INDEX('2018'!$C$5:$C$73,MATCH('P-E Ratio (WP)'!B72,'2018'!$A$5:$A$73,0)))</f>
        <v>N/A</v>
      </c>
      <c r="H72" s="254" t="str">
        <f>IF(IFERROR(INDEX('2017'!$C$5:$C$73,MATCH('P-E Ratio (WP)'!B72,'2017'!$A$5:$A$73,0)),0)=0,"N/A",INDEX('2017'!$C$5:$C$73,MATCH('P-E Ratio (WP)'!B72,'2017'!$A$5:$A$73,0)))</f>
        <v>N/A</v>
      </c>
      <c r="I72" s="254" t="str">
        <f>IF(IFERROR(INDEX('2016'!$C$5:$C$73,MATCH('P-E Ratio (WP)'!B72,'2016'!$A$5:$A$73,0)),0)=0,"N/A",INDEX('2016'!$C$5:$C$73,MATCH('P-E Ratio (WP)'!B72,'2016'!$A$5:$A$73,0)))</f>
        <v>N/A</v>
      </c>
      <c r="J72" s="254" t="str">
        <f>IF(IFERROR(INDEX('2017'!$C$5:$C$72,MATCH('P-E Ratio (WP)'!C72,'2017'!$A$5:$A$72,0)),0)=0,"N/A",INDEX('2017'!$C$5:$C$72,MATCH('P-E Ratio (WP)'!C72,'2017'!$A$5:$A$72,0)))</f>
        <v>N/A</v>
      </c>
      <c r="K72" s="254" t="str">
        <f>IF(IFERROR(INDEX('2017'!$C$5:$C$72,MATCH('P-E Ratio (WP)'!D72,'2017'!$A$5:$A$72,0)),0)=0,"N/A",INDEX('2017'!$C$5:$C$72,MATCH('P-E Ratio (WP)'!D72,'2017'!$A$5:$A$72,0)))</f>
        <v>N/A</v>
      </c>
      <c r="L72" s="254" t="str">
        <f>IF(IFERROR(INDEX('2017'!$C$5:$C$72,MATCH('P-E Ratio (WP)'!I72,'2017'!$A$5:$A$72,0)),0)=0,"N/A",INDEX('2017'!$C$5:$C$72,MATCH('P-E Ratio (WP)'!I72,'2017'!$A$5:$A$72,0)))</f>
        <v>N/A</v>
      </c>
      <c r="M72" s="254" t="str">
        <f>IF(IFERROR(INDEX('2017'!$C$5:$C$72,MATCH('P-E Ratio (WP)'!J72,'2017'!$A$5:$A$72,0)),0)=0,"N/A",INDEX('2017'!$C$5:$C$72,MATCH('P-E Ratio (WP)'!J72,'2017'!$A$5:$A$72,0)))</f>
        <v>N/A</v>
      </c>
      <c r="N72" s="254" t="str">
        <f>IF(IFERROR(INDEX('2017'!$C$5:$C$72,MATCH('P-E Ratio (WP)'!K72,'2017'!$A$5:$A$72,0)),0)=0,"N/A",INDEX('2017'!$C$5:$C$72,MATCH('P-E Ratio (WP)'!K72,'2017'!$A$5:$A$72,0)))</f>
        <v>N/A</v>
      </c>
      <c r="O72" s="254" t="str">
        <f>IF(IFERROR(INDEX('2017'!$C$5:$C$72,MATCH('P-E Ratio (WP)'!L72,'2017'!$A$5:$A$72,0)),0)=0,"N/A",INDEX('2017'!$C$5:$C$72,MATCH('P-E Ratio (WP)'!L72,'2017'!$A$5:$A$72,0)))</f>
        <v>N/A</v>
      </c>
      <c r="P72" s="254" t="str">
        <f>IF(IFERROR(INDEX('2017'!$C$5:$C$72,MATCH('P-E Ratio (WP)'!M72,'2017'!$A$5:$A$72,0)),0)=0,"N/A",INDEX('2017'!$C$5:$C$72,MATCH('P-E Ratio (WP)'!M72,'2017'!$A$5:$A$72,0)))</f>
        <v>N/A</v>
      </c>
      <c r="Q72" s="254" t="str">
        <f>IF(IFERROR(INDEX('2017'!$C$5:$C$72,MATCH('P-E Ratio (WP)'!N72,'2017'!$A$5:$A$72,0)),0)=0,"N/A",INDEX('2017'!$C$5:$C$72,MATCH('P-E Ratio (WP)'!N72,'2017'!$A$5:$A$72,0)))</f>
        <v>N/A</v>
      </c>
      <c r="R72" s="254" t="str">
        <f>IF(IFERROR(INDEX('2017'!$C$5:$C$72,MATCH('P-E Ratio (WP)'!O72,'2017'!$A$5:$A$72,0)),0)=0,"N/A",INDEX('2017'!$C$5:$C$72,MATCH('P-E Ratio (WP)'!O72,'2017'!$A$5:$A$72,0)))</f>
        <v>N/A</v>
      </c>
      <c r="S72" s="254" t="str">
        <f>IF(IFERROR(INDEX('2017'!$C$5:$C$72,MATCH('P-E Ratio (WP)'!P72,'2017'!$A$5:$A$72,0)),0)=0,"N/A",INDEX('2017'!$C$5:$C$72,MATCH('P-E Ratio (WP)'!P72,'2017'!$A$5:$A$72,0)))</f>
        <v>N/A</v>
      </c>
      <c r="T72" s="255" t="s">
        <v>106</v>
      </c>
      <c r="U72" s="255">
        <v>18.716999999999999</v>
      </c>
      <c r="V72" s="255">
        <v>14.595000000000001</v>
      </c>
      <c r="W72" s="255">
        <v>18.231999999999999</v>
      </c>
    </row>
    <row r="73" spans="1:23" s="31" customFormat="1" x14ac:dyDescent="0.25">
      <c r="A73" s="31" t="str">
        <f>IFERROR(INDEX('2019 Data (WP)'!$C$9:$C$73,MATCH($B73,'2019 Data (WP)'!$D$9:$D$73,0)),"")</f>
        <v/>
      </c>
      <c r="B73" s="31" t="s">
        <v>83</v>
      </c>
      <c r="C73" s="31" t="s">
        <v>82</v>
      </c>
      <c r="D73" s="253"/>
      <c r="E73" s="254">
        <f>IF(IFERROR(INDEX('2020'!$C$5:$C$73,MATCH('P-E Ratio (WP)'!B73,'2020'!$A$5:$A$73,0)),0)=0,"N/A",INDEX('2020'!$C$5:$C$73,MATCH('P-E Ratio (WP)'!B73,'2020'!$A$5:$A$73,0)))</f>
        <v>22.106999999999999</v>
      </c>
      <c r="F73" s="254">
        <f>IF(IFERROR(INDEX('2019'!$C$5:$C$73,MATCH('P-E Ratio (WP)'!B73,'2019'!$A$5:$A$73,0)),0)=0,"N/A",INDEX('2019'!$C$5:$C$73,MATCH('P-E Ratio (WP)'!B73,'2019'!$A$5:$A$73,0)))</f>
        <v>19.445</v>
      </c>
      <c r="G73" s="254">
        <f>IF(IFERROR(INDEX('2018'!$C$5:$C$73,MATCH('P-E Ratio (WP)'!B73,'2018'!$A$5:$A$73,0)),0)=0,"N/A",INDEX('2018'!$C$5:$C$73,MATCH('P-E Ratio (WP)'!B73,'2018'!$A$5:$A$73,0)))</f>
        <v>21.628</v>
      </c>
      <c r="H73" s="254">
        <f>IF(IFERROR(INDEX('2017'!$C$5:$C$73,MATCH('P-E Ratio (WP)'!B73,'2017'!$A$5:$A$73,0)),0)=0,"N/A",INDEX('2017'!$C$5:$C$73,MATCH('P-E Ratio (WP)'!B73,'2017'!$A$5:$A$73,0)))</f>
        <v>23.34</v>
      </c>
      <c r="I73" s="254">
        <f>IF(IFERROR(INDEX('2016'!$C$5:$C$73,MATCH('P-E Ratio (WP)'!B73,'2016'!$A$5:$A$73,0)),0)=0,"N/A",INDEX('2016'!$C$5:$C$73,MATCH('P-E Ratio (WP)'!B73,'2016'!$A$5:$A$73,0)))</f>
        <v>20.963999999999999</v>
      </c>
      <c r="J73" s="255">
        <v>18.53</v>
      </c>
      <c r="K73" s="255">
        <v>18.391999999999999</v>
      </c>
      <c r="L73" s="255">
        <v>18.495000000000001</v>
      </c>
      <c r="M73" s="255">
        <v>18.684999999999999</v>
      </c>
      <c r="N73" s="255">
        <v>16.785</v>
      </c>
      <c r="O73" s="255">
        <v>25.105</v>
      </c>
      <c r="P73" s="255">
        <v>20.309999999999999</v>
      </c>
      <c r="Q73" s="255">
        <v>15.818</v>
      </c>
      <c r="R73" s="255">
        <v>18.376000000000001</v>
      </c>
      <c r="S73" s="255">
        <v>17.617999999999999</v>
      </c>
      <c r="T73" s="255">
        <v>17.774999999999999</v>
      </c>
      <c r="U73" s="255">
        <v>18.581</v>
      </c>
      <c r="V73" s="255">
        <v>15.772</v>
      </c>
      <c r="W73" s="255">
        <v>21.882000000000001</v>
      </c>
    </row>
    <row r="74" spans="1:23" s="31" customFormat="1" x14ac:dyDescent="0.25">
      <c r="A74" s="31" t="str">
        <f>IFERROR(INDEX('2019 Data (WP)'!$C$9:$C$73,MATCH($B74,'2019 Data (WP)'!$D$9:$D$73,0)),"")</f>
        <v>Electric Util. (Central)</v>
      </c>
      <c r="B74" s="31" t="s">
        <v>42</v>
      </c>
      <c r="C74" s="31" t="s">
        <v>89</v>
      </c>
      <c r="D74" s="253"/>
      <c r="E74" s="254" t="str">
        <f>IF(IFERROR(INDEX('2020'!$C$5:$C$73,MATCH('P-E Ratio (WP)'!B74,'2020'!$A$5:$A$73,0)),0)=0,"N/A",INDEX('2020'!$C$5:$C$73,MATCH('P-E Ratio (WP)'!B74,'2020'!$A$5:$A$73,0)))</f>
        <v>N/A</v>
      </c>
      <c r="F74" s="254" t="str">
        <f>IF(IFERROR(INDEX('2019'!$C$5:$C$73,MATCH('P-E Ratio (WP)'!B74,'2019'!$A$5:$A$73,0)),0)=0,"N/A",INDEX('2019'!$C$5:$C$73,MATCH('P-E Ratio (WP)'!B74,'2019'!$A$5:$A$73,0)))</f>
        <v>N/A</v>
      </c>
      <c r="G74" s="254" t="str">
        <f>IF(IFERROR(INDEX('2018'!$C$5:$C$73,MATCH('P-E Ratio (WP)'!B74,'2018'!$A$5:$A$73,0)),0)=0,"N/A",INDEX('2018'!$C$5:$C$73,MATCH('P-E Ratio (WP)'!B74,'2018'!$A$5:$A$73,0)))</f>
        <v>N/A</v>
      </c>
      <c r="H74" s="254">
        <f>IF(IFERROR(INDEX('2017'!$C$5:$C$73,MATCH('P-E Ratio (WP)'!B74,'2017'!$A$5:$A$73,0)),0)=0,"N/A",INDEX('2017'!$C$5:$C$73,MATCH('P-E Ratio (WP)'!B74,'2017'!$A$5:$A$73,0)))</f>
        <v>23.536000000000001</v>
      </c>
      <c r="I74" s="254">
        <f>IF(IFERROR(INDEX('2016'!$C$5:$C$73,MATCH('P-E Ratio (WP)'!B74,'2016'!$A$5:$A$73,0)),0)=0,"N/A",INDEX('2016'!$C$5:$C$73,MATCH('P-E Ratio (WP)'!B74,'2016'!$A$5:$A$73,0)))</f>
        <v>19.178000000000001</v>
      </c>
      <c r="J74" s="255">
        <v>17.922000000000001</v>
      </c>
      <c r="K74" s="255">
        <v>19.983000000000001</v>
      </c>
      <c r="L74" s="255">
        <v>20.664000000000001</v>
      </c>
      <c r="M74" s="255">
        <v>15.018000000000001</v>
      </c>
      <c r="N74" s="255">
        <v>15.826000000000001</v>
      </c>
      <c r="O74" s="255">
        <v>15.102</v>
      </c>
      <c r="P74" s="255">
        <v>12.891</v>
      </c>
      <c r="Q74" s="255">
        <v>16.788</v>
      </c>
      <c r="R74" s="255">
        <v>15.334</v>
      </c>
      <c r="S74" s="255">
        <v>18.917000000000002</v>
      </c>
      <c r="T74" s="255">
        <v>15.106</v>
      </c>
      <c r="U74" s="255">
        <v>17.57</v>
      </c>
      <c r="V74" s="255">
        <v>14.795999999999999</v>
      </c>
      <c r="W74" s="255">
        <v>14.157</v>
      </c>
    </row>
    <row r="75" spans="1:23" s="31" customFormat="1" x14ac:dyDescent="0.25">
      <c r="A75" s="31" t="str">
        <f>IFERROR(INDEX('2019 Data (WP)'!$C$9:$C$73,MATCH($B75,'2019 Data (WP)'!$D$9:$D$73,0)),"")</f>
        <v>Electric Util. (Central)</v>
      </c>
      <c r="B75" s="31" t="s">
        <v>44</v>
      </c>
      <c r="C75" s="31" t="s">
        <v>217</v>
      </c>
      <c r="D75" s="253"/>
      <c r="E75" s="254">
        <f>IF(IFERROR(INDEX('2020'!$C$5:$C$73,MATCH('P-E Ratio (WP)'!B75,'2020'!$A$5:$A$73,0)),0)=0,"N/A",INDEX('2020'!$C$5:$C$73,MATCH('P-E Ratio (WP)'!B75,'2020'!$A$5:$A$73,0)))</f>
        <v>24.9</v>
      </c>
      <c r="F75" s="254">
        <f>IF(IFERROR(INDEX('2019'!$C$5:$C$73,MATCH('P-E Ratio (WP)'!B75,'2019'!$A$5:$A$73,0)),0)=0,"N/A",INDEX('2019'!$C$5:$C$73,MATCH('P-E Ratio (WP)'!B75,'2019'!$A$5:$A$73,0)))</f>
        <v>23.5</v>
      </c>
      <c r="G75" s="254">
        <f>IF(IFERROR(INDEX('2018'!$C$5:$C$73,MATCH('P-E Ratio (WP)'!B75,'2018'!$A$5:$A$73,0)),0)=0,"N/A",INDEX('2018'!$C$5:$C$73,MATCH('P-E Ratio (WP)'!B75,'2018'!$A$5:$A$73,0)))</f>
        <v>19.600000000000001</v>
      </c>
      <c r="H75" s="254">
        <f>IF(IFERROR(INDEX('2017'!$C$5:$C$73,MATCH('P-E Ratio (WP)'!B75,'2017'!$A$5:$A$73,0)),0)=0,"N/A",INDEX('2017'!$C$5:$C$73,MATCH('P-E Ratio (WP)'!B75,'2017'!$A$5:$A$73,0)))</f>
        <v>20</v>
      </c>
      <c r="I75" s="254">
        <f>IF(IFERROR(INDEX('2016'!$C$5:$C$73,MATCH('P-E Ratio (WP)'!B75,'2016'!$A$5:$A$73,0)),0)=0,"N/A",INDEX('2016'!$C$5:$C$73,MATCH('P-E Ratio (WP)'!B75,'2016'!$A$5:$A$73,0)))</f>
        <v>19.899999999999999</v>
      </c>
      <c r="J75" s="255">
        <v>21.3</v>
      </c>
      <c r="K75" s="255">
        <v>17.7</v>
      </c>
      <c r="L75" s="255">
        <v>16.5</v>
      </c>
      <c r="M75" s="255">
        <v>15.8</v>
      </c>
      <c r="N75" s="255">
        <v>14.2</v>
      </c>
      <c r="O75" s="255">
        <v>14</v>
      </c>
      <c r="P75" s="255">
        <v>13.3</v>
      </c>
      <c r="Q75" s="255">
        <v>14.8</v>
      </c>
      <c r="R75" s="255">
        <v>16.5</v>
      </c>
      <c r="S75" s="255">
        <v>15.967000000000001</v>
      </c>
      <c r="T75" s="255">
        <v>14.462999999999999</v>
      </c>
      <c r="U75" s="255">
        <v>17.513999999999999</v>
      </c>
      <c r="V75" s="255">
        <v>12.427</v>
      </c>
      <c r="W75" s="255">
        <v>10.459</v>
      </c>
    </row>
    <row r="76" spans="1:23" s="31" customFormat="1" x14ac:dyDescent="0.25">
      <c r="A76" s="31" t="str">
        <f>IFERROR(INDEX('2019 Data (WP)'!$C$9:$C$73,MATCH($B76,'2019 Data (WP)'!$D$9:$D$73,0)),"")</f>
        <v>Electric Util. (Central)</v>
      </c>
      <c r="B76" s="31" t="s">
        <v>43</v>
      </c>
      <c r="C76" s="31" t="s">
        <v>87</v>
      </c>
      <c r="D76" s="253"/>
      <c r="E76" s="254" t="str">
        <f>IF(IFERROR(INDEX('2020'!$C$5:$C$73,MATCH('P-E Ratio (WP)'!B76,'2020'!$A$5:$A$73,0)),0)=0,"N/A",INDEX('2020'!$C$5:$C$73,MATCH('P-E Ratio (WP)'!B76,'2020'!$A$5:$A$73,0)))</f>
        <v>N/A</v>
      </c>
      <c r="F76" s="254" t="str">
        <f>IF(IFERROR(INDEX('2019'!$C$5:$C$73,MATCH('P-E Ratio (WP)'!B76,'2019'!$A$5:$A$73,0)),0)=0,"N/A",INDEX('2019'!$C$5:$C$73,MATCH('P-E Ratio (WP)'!B76,'2019'!$A$5:$A$73,0)))</f>
        <v>N/A</v>
      </c>
      <c r="G76" s="254" t="str">
        <f>IF(IFERROR(INDEX('2018'!$C$5:$C$73,MATCH('P-E Ratio (WP)'!B76,'2018'!$A$5:$A$73,0)),0)=0,"N/A",INDEX('2018'!$C$5:$C$73,MATCH('P-E Ratio (WP)'!B76,'2018'!$A$5:$A$73,0)))</f>
        <v>N/A</v>
      </c>
      <c r="H76" s="254">
        <f>IF(IFERROR(INDEX('2017'!$C$5:$C$73,MATCH('P-E Ratio (WP)'!B76,'2017'!$A$5:$A$73,0)),0)=0,"N/A",INDEX('2017'!$C$5:$C$73,MATCH('P-E Ratio (WP)'!B76,'2017'!$A$5:$A$73,0)))</f>
        <v>23.4</v>
      </c>
      <c r="I76" s="254">
        <f>IF(IFERROR(INDEX('2016'!$C$5:$C$73,MATCH('P-E Ratio (WP)'!B76,'2016'!$A$5:$A$73,0)),0)=0,"N/A",INDEX('2016'!$C$5:$C$73,MATCH('P-E Ratio (WP)'!B76,'2016'!$A$5:$A$73,0)))</f>
        <v>21.585999999999999</v>
      </c>
      <c r="J76" s="255">
        <v>18.454000000000001</v>
      </c>
      <c r="K76" s="255">
        <v>15.358000000000001</v>
      </c>
      <c r="L76" s="255">
        <v>14.037000000000001</v>
      </c>
      <c r="M76" s="255">
        <v>13.43</v>
      </c>
      <c r="N76" s="255">
        <v>14.778</v>
      </c>
      <c r="O76" s="255">
        <v>12.957000000000001</v>
      </c>
      <c r="P76" s="255">
        <v>14.946999999999999</v>
      </c>
      <c r="Q76" s="255">
        <v>16.963000000000001</v>
      </c>
      <c r="R76" s="255">
        <v>14.103</v>
      </c>
      <c r="S76" s="255">
        <v>12.177</v>
      </c>
      <c r="T76" s="255">
        <v>14.785</v>
      </c>
      <c r="U76" s="255">
        <v>17.436</v>
      </c>
      <c r="V76" s="255">
        <v>10.781000000000001</v>
      </c>
      <c r="W76" s="255">
        <v>14.023</v>
      </c>
    </row>
    <row r="77" spans="1:23" x14ac:dyDescent="0.25">
      <c r="A77" t="str">
        <f>IFERROR(INDEX('2019 Data (WP)'!$C$9:$C$73,MATCH($B77,'2019 Data (WP)'!$D$9:$D$73,0)),"")</f>
        <v>Natural Gas Utility</v>
      </c>
      <c r="B77" s="31" t="s">
        <v>206</v>
      </c>
      <c r="C77" s="31" t="s">
        <v>205</v>
      </c>
      <c r="D77" s="34"/>
      <c r="E77" s="66" t="str">
        <f>IF(IFERROR(INDEX('2020'!$C$5:$C$73,MATCH('P-E Ratio (WP)'!B77,'2020'!$A$5:$A$73,0)),0)=0,"N/A",INDEX('2020'!$C$5:$C$73,MATCH('P-E Ratio (WP)'!B77,'2020'!$A$5:$A$73,0)))</f>
        <v>N/A</v>
      </c>
      <c r="F77" s="66" t="str">
        <f>IF(IFERROR(INDEX('2019'!$C$5:$C$73,MATCH('P-E Ratio (WP)'!B77,'2019'!$A$5:$A$73,0)),0)=0,"N/A",INDEX('2019'!$C$5:$C$73,MATCH('P-E Ratio (WP)'!B77,'2019'!$A$5:$A$73,0)))</f>
        <v>N/A</v>
      </c>
      <c r="G77" s="66" t="str">
        <f>IF(IFERROR(INDEX('2018'!$C$5:$C$73,MATCH('P-E Ratio (WP)'!B77,'2018'!$A$5:$A$73,0)),0)=0,"N/A",INDEX('2018'!$C$5:$C$73,MATCH('P-E Ratio (WP)'!B77,'2018'!$A$5:$A$73,0)))</f>
        <v>N/A</v>
      </c>
      <c r="H77" s="66">
        <f>IF(IFERROR(INDEX('2017'!$C$5:$C$73,MATCH('P-E Ratio (WP)'!B77,'2017'!$A$5:$A$73,0)),0)=0,"N/A",INDEX('2017'!$C$5:$C$73,MATCH('P-E Ratio (WP)'!B77,'2017'!$A$5:$A$73,0)))</f>
        <v>25.396000000000001</v>
      </c>
      <c r="I77" s="66">
        <f>IF(IFERROR(INDEX('2016'!$C$5:$C$73,MATCH('P-E Ratio (WP)'!B77,'2016'!$A$5:$A$73,0)),0)=0,"N/A",INDEX('2016'!$C$5:$C$73,MATCH('P-E Ratio (WP)'!B77,'2016'!$A$5:$A$73,0)))</f>
        <v>20.047999999999998</v>
      </c>
      <c r="J77" s="28">
        <v>16.992999999999999</v>
      </c>
      <c r="K77" s="28">
        <v>15.151</v>
      </c>
      <c r="L77" s="28">
        <v>18.245000000000001</v>
      </c>
      <c r="M77" s="28">
        <v>15.268000000000001</v>
      </c>
      <c r="N77" s="28">
        <v>16.972000000000001</v>
      </c>
      <c r="O77" s="28">
        <v>15.111000000000001</v>
      </c>
      <c r="P77" s="28">
        <v>12.584</v>
      </c>
      <c r="Q77" s="28">
        <v>13.661</v>
      </c>
      <c r="R77" s="28">
        <v>15.603999999999999</v>
      </c>
      <c r="S77" s="28">
        <v>15.46</v>
      </c>
    </row>
    <row r="78" spans="1:23" s="31" customFormat="1" x14ac:dyDescent="0.25">
      <c r="A78" s="31" t="str">
        <f>IFERROR(INDEX('2019 Data (WP)'!$C$9:$C$73,MATCH($B78,'2019 Data (WP)'!$D$9:$D$73,0)),"")</f>
        <v>Electric Utility (West)</v>
      </c>
      <c r="B78" s="31" t="s">
        <v>45</v>
      </c>
      <c r="C78" s="31" t="s">
        <v>65</v>
      </c>
      <c r="D78" s="253"/>
      <c r="E78" s="254">
        <f>IF(IFERROR(INDEX('2020'!$C$5:$C$73,MATCH('P-E Ratio (WP)'!B78,'2020'!$A$5:$A$73,0)),0)=0,"N/A",INDEX('2020'!$C$5:$C$73,MATCH('P-E Ratio (WP)'!B78,'2020'!$A$5:$A$73,0)))</f>
        <v>23.9</v>
      </c>
      <c r="F78" s="254">
        <f>IF(IFERROR(INDEX('2019'!$C$5:$C$73,MATCH('P-E Ratio (WP)'!B78,'2019'!$A$5:$A$73,0)),0)=0,"N/A",INDEX('2019'!$C$5:$C$73,MATCH('P-E Ratio (WP)'!B78,'2019'!$A$5:$A$73,0)))</f>
        <v>22.3</v>
      </c>
      <c r="G78" s="254">
        <f>IF(IFERROR(INDEX('2018'!$C$5:$C$73,MATCH('P-E Ratio (WP)'!B78,'2018'!$A$5:$A$73,0)),0)=0,"N/A",INDEX('2018'!$C$5:$C$73,MATCH('P-E Ratio (WP)'!B78,'2018'!$A$5:$A$73,0)))</f>
        <v>18.899999999999999</v>
      </c>
      <c r="H78" s="254">
        <f>IF(IFERROR(INDEX('2017'!$C$5:$C$73,MATCH('P-E Ratio (WP)'!B78,'2017'!$A$5:$A$73,0)),0)=0,"N/A",INDEX('2017'!$C$5:$C$73,MATCH('P-E Ratio (WP)'!B78,'2017'!$A$5:$A$73,0)))</f>
        <v>20.2</v>
      </c>
      <c r="I78" s="254">
        <f>IF(IFERROR(INDEX('2016'!$C$5:$C$73,MATCH('P-E Ratio (WP)'!B78,'2016'!$A$5:$A$73,0)),0)=0,"N/A",INDEX('2016'!$C$5:$C$73,MATCH('P-E Ratio (WP)'!B78,'2016'!$A$5:$A$73,0)))</f>
        <v>18.5</v>
      </c>
      <c r="J78" s="255">
        <v>16.5</v>
      </c>
      <c r="K78" s="255">
        <v>15.4</v>
      </c>
      <c r="L78" s="255">
        <v>15</v>
      </c>
      <c r="M78" s="255">
        <v>14.8</v>
      </c>
      <c r="N78" s="255">
        <v>14.2</v>
      </c>
      <c r="O78" s="255">
        <v>14.1</v>
      </c>
      <c r="P78" s="255">
        <v>12.7</v>
      </c>
      <c r="Q78" s="255">
        <v>13.7</v>
      </c>
      <c r="R78" s="255">
        <v>16.7</v>
      </c>
      <c r="S78" s="255">
        <v>14.801</v>
      </c>
      <c r="T78" s="255">
        <v>15.362</v>
      </c>
      <c r="U78" s="255">
        <v>13.648</v>
      </c>
      <c r="V78" s="255">
        <v>11.616</v>
      </c>
      <c r="W78" s="255">
        <v>40.799999999999997</v>
      </c>
    </row>
    <row r="79" spans="1:23" x14ac:dyDescent="0.25">
      <c r="A79" t="str">
        <f>IFERROR(INDEX('2019 Data (WP)'!$C$9:$C$73,MATCH($B79,'2019 Data (WP)'!$D$9:$D$73,0)),"")</f>
        <v>Water Utility</v>
      </c>
      <c r="B79" s="31" t="s">
        <v>208</v>
      </c>
      <c r="C79" s="31" t="s">
        <v>207</v>
      </c>
      <c r="D79" s="34"/>
      <c r="E79" s="66">
        <f>IF(IFERROR(INDEX('2020'!$C$5:$C$73,MATCH('P-E Ratio (WP)'!B79,'2020'!$A$5:$A$73,0)),0)=0,"N/A",INDEX('2020'!$C$5:$C$73,MATCH('P-E Ratio (WP)'!B79,'2020'!$A$5:$A$73,0)))</f>
        <v>35.691000000000003</v>
      </c>
      <c r="F79" s="66">
        <f>IF(IFERROR(INDEX('2019'!$C$5:$C$73,MATCH('P-E Ratio (WP)'!B79,'2019'!$A$5:$A$73,0)),0)=0,"N/A",INDEX('2019'!$C$5:$C$73,MATCH('P-E Ratio (WP)'!B79,'2019'!$A$5:$A$73,0)))</f>
        <v>33.75</v>
      </c>
      <c r="G79" s="66">
        <f>IF(IFERROR(INDEX('2018'!$C$5:$C$73,MATCH('P-E Ratio (WP)'!B79,'2018'!$A$5:$A$73,0)),0)=0,"N/A",INDEX('2018'!$C$5:$C$73,MATCH('P-E Ratio (WP)'!B79,'2018'!$A$5:$A$73,0)))</f>
        <v>30.303999999999998</v>
      </c>
      <c r="H79" s="66">
        <f>IF(IFERROR(INDEX('2017'!$C$5:$C$73,MATCH('P-E Ratio (WP)'!B79,'2017'!$A$5:$A$73,0)),0)=0,"N/A",INDEX('2017'!$C$5:$C$73,MATCH('P-E Ratio (WP)'!B79,'2017'!$A$5:$A$73,0)))</f>
        <v>34.625</v>
      </c>
      <c r="I79" s="66">
        <f>IF(IFERROR(INDEX('2016'!$C$5:$C$73,MATCH('P-E Ratio (WP)'!B79,'2016'!$A$5:$A$73,0)),0)=0,"N/A",INDEX('2016'!$C$5:$C$73,MATCH('P-E Ratio (WP)'!B79,'2016'!$A$5:$A$73,0)))</f>
        <v>32.770000000000003</v>
      </c>
      <c r="J79" s="28">
        <v>23.523</v>
      </c>
      <c r="K79" s="28">
        <v>23.065999999999999</v>
      </c>
      <c r="L79" s="28">
        <v>26.263000000000002</v>
      </c>
      <c r="M79" s="28">
        <v>24.443999999999999</v>
      </c>
      <c r="N79" s="28">
        <v>23.905999999999999</v>
      </c>
      <c r="O79" s="28">
        <v>20.72</v>
      </c>
      <c r="P79" s="28">
        <v>21.867000000000001</v>
      </c>
      <c r="Q79" s="28">
        <v>24.574999999999999</v>
      </c>
      <c r="R79" s="28">
        <v>30.263000000000002</v>
      </c>
      <c r="S79" s="28">
        <v>31.248000000000001</v>
      </c>
    </row>
    <row r="80" spans="1:23" x14ac:dyDescent="0.25">
      <c r="B80" s="31"/>
      <c r="C80" s="31"/>
      <c r="D80" s="34"/>
      <c r="E80" s="34"/>
      <c r="F80" s="34"/>
      <c r="G80" s="34"/>
      <c r="H80" s="34"/>
      <c r="I80" s="66"/>
      <c r="J80" s="28"/>
      <c r="K80" s="28"/>
      <c r="L80" s="28"/>
      <c r="M80" s="28"/>
      <c r="N80" s="28"/>
      <c r="O80" s="28"/>
      <c r="P80" s="28"/>
      <c r="Q80" s="28"/>
      <c r="R80" s="28"/>
      <c r="S80" s="28"/>
    </row>
  </sheetData>
  <autoFilter ref="A4:W79"/>
  <sortState ref="B4:S77">
    <sortCondition ref="C4:C77"/>
  </sortState>
  <pageMargins left="0.7" right="0.7" top="0.75" bottom="0.75" header="0.3" footer="0.3"/>
  <pageSetup fitToHeight="0" orientation="landscape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K69"/>
  <sheetViews>
    <sheetView view="pageLayout" topLeftCell="C1" zoomScale="70" zoomScaleNormal="70" zoomScalePageLayoutView="70" workbookViewId="0">
      <selection activeCell="Y7" sqref="Y7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9765625" customWidth="1"/>
    <col min="6" max="6" width="9" customWidth="1"/>
    <col min="7" max="7" width="9.8984375" bestFit="1" customWidth="1"/>
    <col min="8" max="24" width="9" customWidth="1"/>
    <col min="25" max="25" width="9.19921875" bestFit="1" customWidth="1"/>
    <col min="26" max="28" width="9.19921875" customWidth="1"/>
    <col min="29" max="29" width="10.59765625" bestFit="1" customWidth="1"/>
    <col min="30" max="37" width="8.69921875" customWidth="1"/>
  </cols>
  <sheetData>
    <row r="1" spans="1:37" ht="28.2" x14ac:dyDescent="0.5">
      <c r="C1" s="277" t="str">
        <f>ElectricU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</row>
    <row r="2" spans="1:37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37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7" ht="21" x14ac:dyDescent="0.4">
      <c r="C4" s="278" t="s">
        <v>272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</row>
    <row r="5" spans="1:37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</row>
    <row r="6" spans="1:37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37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189"/>
      <c r="Y7" s="7"/>
      <c r="Z7" s="7"/>
      <c r="AA7" s="7"/>
      <c r="AB7" s="7"/>
      <c r="AC7" s="7"/>
    </row>
    <row r="8" spans="1:37" ht="16.2" x14ac:dyDescent="0.25">
      <c r="C8" s="6"/>
      <c r="D8" s="7"/>
      <c r="E8" s="7"/>
      <c r="F8" s="280" t="s">
        <v>444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174"/>
      <c r="AA8" s="174"/>
      <c r="AB8" s="174"/>
      <c r="AC8" s="174"/>
      <c r="AD8" s="174"/>
      <c r="AE8" s="8"/>
      <c r="AF8" s="8"/>
      <c r="AG8" s="8"/>
      <c r="AH8" s="8"/>
      <c r="AI8" s="8"/>
      <c r="AJ8" s="8"/>
      <c r="AK8" s="8"/>
    </row>
    <row r="9" spans="1:37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109">
        <v>2017</v>
      </c>
      <c r="L9" s="109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Z9" s="183"/>
      <c r="AA9" s="183"/>
      <c r="AB9" s="183"/>
      <c r="AC9" s="7"/>
      <c r="AD9" s="183"/>
      <c r="AE9" s="183"/>
      <c r="AF9" s="183"/>
      <c r="AG9" s="183"/>
      <c r="AH9" s="183"/>
      <c r="AI9" s="183"/>
      <c r="AJ9" s="183"/>
      <c r="AK9" s="183"/>
    </row>
    <row r="10" spans="1:37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241" t="s">
        <v>564</v>
      </c>
      <c r="H10" s="241">
        <v>2022</v>
      </c>
      <c r="I10" s="241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Z10" s="40"/>
      <c r="AA10" s="40"/>
      <c r="AB10" s="40"/>
      <c r="AC10" s="185"/>
      <c r="AD10" s="40"/>
      <c r="AE10" s="40"/>
      <c r="AF10" s="40"/>
      <c r="AG10" s="40"/>
      <c r="AH10" s="40"/>
      <c r="AI10" s="40"/>
      <c r="AJ10" s="40"/>
      <c r="AK10" s="40"/>
    </row>
    <row r="11" spans="1:37" x14ac:dyDescent="0.25">
      <c r="A11" s="41"/>
      <c r="B11" s="41"/>
      <c r="C11" s="9"/>
      <c r="D11" s="170"/>
      <c r="E11" s="17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V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>+V11-1</f>
        <v>-18</v>
      </c>
      <c r="X11" s="12">
        <f>+W11-1</f>
        <v>-19</v>
      </c>
      <c r="Z11" s="12"/>
      <c r="AA11" s="12"/>
      <c r="AB11" s="12"/>
      <c r="AC11" s="12"/>
    </row>
    <row r="12" spans="1:37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237"/>
      <c r="J12" s="126">
        <f t="shared" ref="J12:X12" ca="1" si="1">MATCH(J10,OFFSET(Dividends,-2,0,1,),0)</f>
        <v>2</v>
      </c>
      <c r="K12" s="126">
        <f t="shared" ca="1" si="1"/>
        <v>3</v>
      </c>
      <c r="L12" s="126">
        <f t="shared" ca="1" si="1"/>
        <v>4</v>
      </c>
      <c r="M12" s="126">
        <f t="shared" ca="1" si="1"/>
        <v>5</v>
      </c>
      <c r="N12" s="126">
        <f t="shared" ca="1" si="1"/>
        <v>6</v>
      </c>
      <c r="O12" s="126">
        <f t="shared" ca="1" si="1"/>
        <v>7</v>
      </c>
      <c r="P12" s="126">
        <f t="shared" ca="1" si="1"/>
        <v>8</v>
      </c>
      <c r="Q12" s="126">
        <f t="shared" ca="1" si="1"/>
        <v>9</v>
      </c>
      <c r="R12" s="126">
        <f t="shared" ca="1" si="1"/>
        <v>10</v>
      </c>
      <c r="S12" s="126">
        <f t="shared" ca="1" si="1"/>
        <v>11</v>
      </c>
      <c r="T12" s="126">
        <f t="shared" ca="1" si="1"/>
        <v>12</v>
      </c>
      <c r="U12" s="126">
        <f t="shared" ca="1" si="1"/>
        <v>13</v>
      </c>
      <c r="V12" s="126">
        <f t="shared" ca="1" si="1"/>
        <v>14</v>
      </c>
      <c r="W12" s="126">
        <f t="shared" ca="1" si="1"/>
        <v>15</v>
      </c>
      <c r="X12" s="126">
        <f t="shared" ca="1" si="1"/>
        <v>16</v>
      </c>
      <c r="Z12" s="16"/>
      <c r="AA12" s="16"/>
      <c r="AB12" s="16"/>
      <c r="AC12" s="16"/>
    </row>
    <row r="13" spans="1:37" x14ac:dyDescent="0.25">
      <c r="A13" s="44" t="s">
        <v>0</v>
      </c>
      <c r="B13" s="110">
        <f t="shared" ref="B13:B57" ca="1" si="2">IFERROR(MATCH(A13,OFFSET(Dividends,0,0,,1),0),"")</f>
        <v>3</v>
      </c>
      <c r="C13" s="1">
        <f>IF(ISERROR(D13),"",IF(D13="","",MAX($C$12:C12)+1))</f>
        <v>1</v>
      </c>
      <c r="D13" t="str">
        <f t="shared" ref="D13:D57" si="3">VLOOKUP(A13,LUCurYr,2,FALSE)</f>
        <v xml:space="preserve">ALLETE                        </v>
      </c>
      <c r="E13" s="15"/>
      <c r="F13" s="125">
        <f ca="1">IFERROR(AVERAGE(G13:X13),"N/A")</f>
        <v>3.007222222222222</v>
      </c>
      <c r="G13" s="125">
        <f t="shared" ref="G13:G53" si="4">IFERROR(IF(VLOOKUP($A13,Data2023,9,FALSE)=0,"",VLOOKUP($A13,Data2023,9,FALSE)),"N/A")</f>
        <v>4.3</v>
      </c>
      <c r="H13" s="125">
        <f t="shared" ref="H13:H57" si="5">IFERROR(IF(VLOOKUP($A13,Data2022,8,FALSE)=0,"",VLOOKUP($A13,Data2022,8,FALSE)),"N/A")</f>
        <v>3.38</v>
      </c>
      <c r="I13" s="125">
        <f t="shared" ref="I13:I57" si="6">IFERROR(IF(VLOOKUP(A13,lucyyr,8,FALSE)=0,"",VLOOKUP(A13,lucyyr,8,FALSE)),"N/A")</f>
        <v>3.23</v>
      </c>
      <c r="J13" s="125">
        <f t="shared" ref="J13:X28" ca="1" si="7">IFERROR(IF(INDEX(Earnings,$B13,J$12)=0,"N/A",INDEX(Earnings,$B13,J$12)),"N/A")</f>
        <v>3.35</v>
      </c>
      <c r="K13" s="125">
        <f t="shared" ca="1" si="7"/>
        <v>3.33</v>
      </c>
      <c r="L13" s="125">
        <f t="shared" ca="1" si="7"/>
        <v>3.38</v>
      </c>
      <c r="M13" s="125">
        <f t="shared" ca="1" si="7"/>
        <v>3.13</v>
      </c>
      <c r="N13" s="125">
        <f t="shared" ca="1" si="7"/>
        <v>3.14</v>
      </c>
      <c r="O13" s="125">
        <f t="shared" ca="1" si="7"/>
        <v>3.38</v>
      </c>
      <c r="P13" s="125">
        <f t="shared" ca="1" si="7"/>
        <v>2.9</v>
      </c>
      <c r="Q13" s="125">
        <f t="shared" ca="1" si="7"/>
        <v>2.63</v>
      </c>
      <c r="R13" s="125">
        <f t="shared" ca="1" si="7"/>
        <v>2.58</v>
      </c>
      <c r="S13" s="125">
        <f t="shared" ca="1" si="7"/>
        <v>2.65</v>
      </c>
      <c r="T13" s="125">
        <f t="shared" ca="1" si="7"/>
        <v>2.19</v>
      </c>
      <c r="U13" s="125">
        <f t="shared" ca="1" si="7"/>
        <v>1.89</v>
      </c>
      <c r="V13" s="125">
        <f t="shared" ca="1" si="7"/>
        <v>2.82</v>
      </c>
      <c r="W13" s="125">
        <f t="shared" ca="1" si="7"/>
        <v>3.08</v>
      </c>
      <c r="X13" s="125">
        <f t="shared" ca="1" si="7"/>
        <v>2.77</v>
      </c>
      <c r="Y13" s="2"/>
      <c r="Z13" s="77"/>
      <c r="AA13" s="184"/>
      <c r="AB13" s="181"/>
      <c r="AC13" s="190"/>
      <c r="AD13" s="186"/>
      <c r="AE13" s="187"/>
      <c r="AF13" s="187"/>
      <c r="AG13" s="188"/>
      <c r="AH13" s="188"/>
      <c r="AI13" s="188"/>
      <c r="AJ13" s="188"/>
      <c r="AK13" s="188"/>
    </row>
    <row r="14" spans="1:37" x14ac:dyDescent="0.25">
      <c r="A14" s="44" t="s">
        <v>1</v>
      </c>
      <c r="B14" s="110">
        <f t="shared" ca="1" si="2"/>
        <v>4</v>
      </c>
      <c r="C14" s="1">
        <f>IF(ISERROR(D14),"",IF(D14="","",MAX($C$12:C13)+1))</f>
        <v>2</v>
      </c>
      <c r="D14" t="str">
        <f t="shared" si="3"/>
        <v xml:space="preserve">Alliant Energy                </v>
      </c>
      <c r="E14" s="15"/>
      <c r="F14" s="125">
        <f t="shared" ref="F14:F57" ca="1" si="8">IFERROR(AVERAGE(G14:X14),"N/A")</f>
        <v>1.8172222222222219</v>
      </c>
      <c r="G14" s="125">
        <f t="shared" si="4"/>
        <v>2.78</v>
      </c>
      <c r="H14" s="125">
        <f t="shared" si="5"/>
        <v>2.73</v>
      </c>
      <c r="I14" s="125">
        <f t="shared" si="6"/>
        <v>2.63</v>
      </c>
      <c r="J14" s="125">
        <f t="shared" ca="1" si="7"/>
        <v>2.4700000000000002</v>
      </c>
      <c r="K14" s="125">
        <f t="shared" ca="1" si="7"/>
        <v>2.33</v>
      </c>
      <c r="L14" s="125">
        <f t="shared" ca="1" si="7"/>
        <v>2.19</v>
      </c>
      <c r="M14" s="125">
        <f t="shared" ca="1" si="7"/>
        <v>1.99</v>
      </c>
      <c r="N14" s="125">
        <f t="shared" ca="1" si="7"/>
        <v>1.65</v>
      </c>
      <c r="O14" s="125">
        <f t="shared" ca="1" si="7"/>
        <v>1.69</v>
      </c>
      <c r="P14" s="125">
        <f t="shared" ca="1" si="7"/>
        <v>1.74</v>
      </c>
      <c r="Q14" s="125">
        <f t="shared" ca="1" si="7"/>
        <v>1.645</v>
      </c>
      <c r="R14" s="125">
        <f t="shared" ca="1" si="7"/>
        <v>1.5249999999999999</v>
      </c>
      <c r="S14" s="125">
        <f t="shared" ca="1" si="7"/>
        <v>1.375</v>
      </c>
      <c r="T14" s="125">
        <f t="shared" ca="1" si="7"/>
        <v>1.375</v>
      </c>
      <c r="U14" s="125">
        <f t="shared" ca="1" si="7"/>
        <v>0.94499999999999995</v>
      </c>
      <c r="V14" s="125">
        <f t="shared" ca="1" si="7"/>
        <v>1.27</v>
      </c>
      <c r="W14" s="125">
        <f t="shared" ca="1" si="7"/>
        <v>1.345</v>
      </c>
      <c r="X14" s="125">
        <f t="shared" ca="1" si="7"/>
        <v>1.03</v>
      </c>
      <c r="Y14" s="2"/>
      <c r="Z14" s="77"/>
      <c r="AA14" s="184"/>
      <c r="AB14" s="181"/>
      <c r="AC14" s="190"/>
      <c r="AD14" s="186"/>
      <c r="AE14" s="187"/>
      <c r="AF14" s="187"/>
      <c r="AG14" s="188"/>
    </row>
    <row r="15" spans="1:37" x14ac:dyDescent="0.25">
      <c r="A15" s="44" t="s">
        <v>3</v>
      </c>
      <c r="B15" s="110">
        <f t="shared" ca="1" si="2"/>
        <v>8</v>
      </c>
      <c r="C15" s="1">
        <f>IF(ISERROR(D15),"",IF(D15="","",MAX($C$12:C14)+1))</f>
        <v>3</v>
      </c>
      <c r="D15" t="str">
        <f t="shared" si="3"/>
        <v xml:space="preserve">Ameren Corp.                  </v>
      </c>
      <c r="E15" s="15"/>
      <c r="F15" s="125">
        <f t="shared" ca="1" si="8"/>
        <v>2.9888888888888894</v>
      </c>
      <c r="G15" s="125">
        <f t="shared" si="4"/>
        <v>4.37</v>
      </c>
      <c r="H15" s="125">
        <f t="shared" si="5"/>
        <v>4.1399999999999997</v>
      </c>
      <c r="I15" s="125">
        <f t="shared" si="6"/>
        <v>3.84</v>
      </c>
      <c r="J15" s="125">
        <f t="shared" ca="1" si="7"/>
        <v>3.5</v>
      </c>
      <c r="K15" s="125">
        <f t="shared" ca="1" si="7"/>
        <v>3.35</v>
      </c>
      <c r="L15" s="125">
        <f t="shared" ca="1" si="7"/>
        <v>3.32</v>
      </c>
      <c r="M15" s="125">
        <f t="shared" ca="1" si="7"/>
        <v>2.77</v>
      </c>
      <c r="N15" s="125">
        <f t="shared" ca="1" si="7"/>
        <v>2.68</v>
      </c>
      <c r="O15" s="125">
        <f t="shared" ca="1" si="7"/>
        <v>2.38</v>
      </c>
      <c r="P15" s="125">
        <f t="shared" ca="1" si="7"/>
        <v>2.4</v>
      </c>
      <c r="Q15" s="125">
        <f t="shared" ca="1" si="7"/>
        <v>2.1</v>
      </c>
      <c r="R15" s="125">
        <f t="shared" ca="1" si="7"/>
        <v>2.41</v>
      </c>
      <c r="S15" s="125">
        <f t="shared" ca="1" si="7"/>
        <v>2.4700000000000002</v>
      </c>
      <c r="T15" s="125">
        <f t="shared" ca="1" si="7"/>
        <v>2.77</v>
      </c>
      <c r="U15" s="125">
        <f t="shared" ca="1" si="7"/>
        <v>2.78</v>
      </c>
      <c r="V15" s="125">
        <f t="shared" ca="1" si="7"/>
        <v>2.88</v>
      </c>
      <c r="W15" s="125">
        <f t="shared" ca="1" si="7"/>
        <v>2.98</v>
      </c>
      <c r="X15" s="125">
        <f t="shared" ca="1" si="7"/>
        <v>2.66</v>
      </c>
      <c r="Y15" s="2"/>
      <c r="Z15" s="77"/>
      <c r="AA15" s="184"/>
      <c r="AB15" s="181"/>
      <c r="AC15" s="190"/>
      <c r="AD15" s="186"/>
      <c r="AE15" s="187"/>
      <c r="AF15" s="187"/>
      <c r="AG15" s="188"/>
      <c r="AJ15" s="188"/>
    </row>
    <row r="16" spans="1:37" x14ac:dyDescent="0.25">
      <c r="A16" s="44" t="s">
        <v>2</v>
      </c>
      <c r="B16" s="110">
        <f t="shared" ca="1" si="2"/>
        <v>5</v>
      </c>
      <c r="C16" s="1">
        <f>IF(ISERROR(D16),"",IF(D16="","",MAX($C$12:C15)+1))</f>
        <v>4</v>
      </c>
      <c r="D16" t="str">
        <f t="shared" si="3"/>
        <v>American Electric Power</v>
      </c>
      <c r="E16" s="15"/>
      <c r="F16" s="125">
        <f t="shared" ca="1" si="8"/>
        <v>3.6688888888888891</v>
      </c>
      <c r="G16" s="125">
        <f t="shared" si="4"/>
        <v>5.24</v>
      </c>
      <c r="H16" s="125">
        <f t="shared" si="5"/>
        <v>5.09</v>
      </c>
      <c r="I16" s="125">
        <f t="shared" si="6"/>
        <v>4.96</v>
      </c>
      <c r="J16" s="125">
        <f t="shared" ca="1" si="7"/>
        <v>4.42</v>
      </c>
      <c r="K16" s="125">
        <f t="shared" ca="1" si="7"/>
        <v>4.08</v>
      </c>
      <c r="L16" s="125">
        <f t="shared" ca="1" si="7"/>
        <v>3.9</v>
      </c>
      <c r="M16" s="125">
        <f t="shared" ca="1" si="7"/>
        <v>3.62</v>
      </c>
      <c r="N16" s="125">
        <f t="shared" ca="1" si="7"/>
        <v>4.2300000000000004</v>
      </c>
      <c r="O16" s="125">
        <f t="shared" ca="1" si="7"/>
        <v>3.59</v>
      </c>
      <c r="P16" s="125">
        <f t="shared" ca="1" si="7"/>
        <v>3.34</v>
      </c>
      <c r="Q16" s="125">
        <f t="shared" ca="1" si="7"/>
        <v>3.18</v>
      </c>
      <c r="R16" s="125">
        <f t="shared" ca="1" si="7"/>
        <v>2.98</v>
      </c>
      <c r="S16" s="125">
        <f t="shared" ca="1" si="7"/>
        <v>3.13</v>
      </c>
      <c r="T16" s="125">
        <f t="shared" ca="1" si="7"/>
        <v>2.6</v>
      </c>
      <c r="U16" s="125">
        <f t="shared" ca="1" si="7"/>
        <v>2.97</v>
      </c>
      <c r="V16" s="125">
        <f t="shared" ca="1" si="7"/>
        <v>2.99</v>
      </c>
      <c r="W16" s="125">
        <f t="shared" ca="1" si="7"/>
        <v>2.86</v>
      </c>
      <c r="X16" s="125">
        <f t="shared" ca="1" si="7"/>
        <v>2.86</v>
      </c>
      <c r="Y16" s="2"/>
      <c r="Z16" s="77"/>
      <c r="AA16" s="184"/>
      <c r="AB16" s="181"/>
      <c r="AC16" s="190"/>
      <c r="AD16" s="186"/>
      <c r="AE16" s="187"/>
      <c r="AF16" s="187"/>
      <c r="AG16" s="188"/>
    </row>
    <row r="17" spans="1:33" x14ac:dyDescent="0.25">
      <c r="A17" s="44" t="s">
        <v>260</v>
      </c>
      <c r="B17" s="110">
        <f t="shared" ca="1" si="2"/>
        <v>13</v>
      </c>
      <c r="C17" s="1">
        <f>IF(ISERROR(D17),"",IF(D17="","",MAX($C$12:C16)+1))</f>
        <v>5</v>
      </c>
      <c r="D17" t="str">
        <f t="shared" si="3"/>
        <v>Avangrid, Inc.</v>
      </c>
      <c r="E17" s="15"/>
      <c r="F17" s="125">
        <f t="shared" ca="1" si="8"/>
        <v>1.8833333333333333</v>
      </c>
      <c r="G17" s="125">
        <f t="shared" si="4"/>
        <v>2.09</v>
      </c>
      <c r="H17" s="125">
        <f t="shared" si="5"/>
        <v>2.3199999999999998</v>
      </c>
      <c r="I17" s="125">
        <f t="shared" si="6"/>
        <v>1.97</v>
      </c>
      <c r="J17" s="125">
        <f t="shared" ca="1" si="7"/>
        <v>1.88</v>
      </c>
      <c r="K17" s="125">
        <f t="shared" ca="1" si="7"/>
        <v>2.2599999999999998</v>
      </c>
      <c r="L17" s="125">
        <f t="shared" ca="1" si="7"/>
        <v>1.92</v>
      </c>
      <c r="M17" s="125">
        <f t="shared" ca="1" si="7"/>
        <v>1.67</v>
      </c>
      <c r="N17" s="125">
        <f t="shared" ca="1" si="7"/>
        <v>1.98</v>
      </c>
      <c r="O17" s="125">
        <f t="shared" ca="1" si="7"/>
        <v>0.86</v>
      </c>
      <c r="P17" s="125" t="str">
        <f t="shared" ca="1" si="7"/>
        <v>N/A</v>
      </c>
      <c r="Q17" s="125" t="str">
        <f t="shared" ca="1" si="7"/>
        <v>N/A</v>
      </c>
      <c r="R17" s="125" t="str">
        <f t="shared" ca="1" si="7"/>
        <v>N/A</v>
      </c>
      <c r="S17" s="125" t="str">
        <f t="shared" ca="1" si="7"/>
        <v>N/A</v>
      </c>
      <c r="T17" s="125" t="str">
        <f t="shared" ca="1" si="7"/>
        <v>N/A</v>
      </c>
      <c r="U17" s="125" t="str">
        <f t="shared" ca="1" si="7"/>
        <v>N/A</v>
      </c>
      <c r="V17" s="125" t="str">
        <f t="shared" ca="1" si="7"/>
        <v>N/A</v>
      </c>
      <c r="W17" s="125" t="str">
        <f t="shared" ca="1" si="7"/>
        <v>N/A</v>
      </c>
      <c r="X17" s="125" t="str">
        <f t="shared" ca="1" si="7"/>
        <v>N/A</v>
      </c>
      <c r="Y17" s="2"/>
      <c r="Z17" s="77"/>
      <c r="AA17" s="184"/>
      <c r="AB17" s="181"/>
      <c r="AC17" s="190"/>
      <c r="AD17" s="186"/>
      <c r="AE17" s="187"/>
      <c r="AF17" s="187"/>
      <c r="AG17" s="188"/>
    </row>
    <row r="18" spans="1:33" x14ac:dyDescent="0.25">
      <c r="A18" s="44" t="s">
        <v>4</v>
      </c>
      <c r="B18" s="110">
        <f t="shared" ca="1" si="2"/>
        <v>14</v>
      </c>
      <c r="C18" s="1">
        <f>IF(ISERROR(D18),"",IF(D18="","",MAX($C$12:C17)+1))</f>
        <v>6</v>
      </c>
      <c r="D18" t="str">
        <f t="shared" si="3"/>
        <v xml:space="preserve">Avista Corp.                  </v>
      </c>
      <c r="E18" s="15"/>
      <c r="F18" s="125">
        <f t="shared" ca="1" si="8"/>
        <v>1.8277777777777777</v>
      </c>
      <c r="G18" s="125">
        <f t="shared" si="4"/>
        <v>2.2400000000000002</v>
      </c>
      <c r="H18" s="125">
        <f t="shared" si="5"/>
        <v>2.12</v>
      </c>
      <c r="I18" s="125">
        <f t="shared" si="6"/>
        <v>2.1</v>
      </c>
      <c r="J18" s="125">
        <f t="shared" ca="1" si="7"/>
        <v>1.9</v>
      </c>
      <c r="K18" s="125">
        <f t="shared" ca="1" si="7"/>
        <v>2.97</v>
      </c>
      <c r="L18" s="125">
        <f t="shared" ca="1" si="7"/>
        <v>2.0699999999999998</v>
      </c>
      <c r="M18" s="125">
        <f t="shared" ca="1" si="7"/>
        <v>1.95</v>
      </c>
      <c r="N18" s="125">
        <f t="shared" ca="1" si="7"/>
        <v>2.15</v>
      </c>
      <c r="O18" s="125">
        <f t="shared" ca="1" si="7"/>
        <v>1.89</v>
      </c>
      <c r="P18" s="125">
        <f t="shared" ca="1" si="7"/>
        <v>1.84</v>
      </c>
      <c r="Q18" s="125">
        <f t="shared" ca="1" si="7"/>
        <v>1.85</v>
      </c>
      <c r="R18" s="125">
        <f t="shared" ca="1" si="7"/>
        <v>1.32</v>
      </c>
      <c r="S18" s="125">
        <f t="shared" ca="1" si="7"/>
        <v>1.72</v>
      </c>
      <c r="T18" s="125">
        <f t="shared" ca="1" si="7"/>
        <v>1.65</v>
      </c>
      <c r="U18" s="125">
        <f t="shared" ca="1" si="7"/>
        <v>1.58</v>
      </c>
      <c r="V18" s="125">
        <f t="shared" ca="1" si="7"/>
        <v>1.36</v>
      </c>
      <c r="W18" s="125">
        <f t="shared" ca="1" si="7"/>
        <v>0.72</v>
      </c>
      <c r="X18" s="125">
        <f t="shared" ca="1" si="7"/>
        <v>1.47</v>
      </c>
      <c r="Y18" s="2"/>
      <c r="Z18" s="77"/>
      <c r="AA18" s="184"/>
      <c r="AB18" s="181"/>
      <c r="AC18" s="190"/>
      <c r="AD18" s="186"/>
      <c r="AE18" s="187"/>
      <c r="AF18" s="187"/>
      <c r="AG18" s="188"/>
    </row>
    <row r="19" spans="1:33" x14ac:dyDescent="0.25">
      <c r="A19" s="44" t="s">
        <v>5</v>
      </c>
      <c r="B19" s="110">
        <f t="shared" ca="1" si="2"/>
        <v>15</v>
      </c>
      <c r="C19" s="1">
        <f>IF(ISERROR(D19),"",IF(D19="","",MAX($C$12:C18)+1))</f>
        <v>7</v>
      </c>
      <c r="D19" t="str">
        <f t="shared" si="3"/>
        <v xml:space="preserve">Black Hills                   </v>
      </c>
      <c r="E19" s="15"/>
      <c r="F19" s="125">
        <f t="shared" ca="1" si="8"/>
        <v>2.7066666666666661</v>
      </c>
      <c r="G19" s="125">
        <f t="shared" si="4"/>
        <v>3.91</v>
      </c>
      <c r="H19" s="125">
        <f t="shared" si="5"/>
        <v>3.97</v>
      </c>
      <c r="I19" s="125">
        <f t="shared" si="6"/>
        <v>3.74</v>
      </c>
      <c r="J19" s="125">
        <f t="shared" ca="1" si="7"/>
        <v>3.73</v>
      </c>
      <c r="K19" s="125">
        <f t="shared" ca="1" si="7"/>
        <v>3.53</v>
      </c>
      <c r="L19" s="125">
        <f t="shared" ca="1" si="7"/>
        <v>3.47</v>
      </c>
      <c r="M19" s="125">
        <f t="shared" ca="1" si="7"/>
        <v>3.38</v>
      </c>
      <c r="N19" s="125">
        <f t="shared" ca="1" si="7"/>
        <v>2.63</v>
      </c>
      <c r="O19" s="125">
        <f t="shared" ca="1" si="7"/>
        <v>2.83</v>
      </c>
      <c r="P19" s="125">
        <f t="shared" ca="1" si="7"/>
        <v>2.89</v>
      </c>
      <c r="Q19" s="125">
        <f t="shared" ca="1" si="7"/>
        <v>2.61</v>
      </c>
      <c r="R19" s="125">
        <f t="shared" ca="1" si="7"/>
        <v>1.97</v>
      </c>
      <c r="S19" s="125">
        <f t="shared" ca="1" si="7"/>
        <v>1.01</v>
      </c>
      <c r="T19" s="125">
        <f t="shared" ca="1" si="7"/>
        <v>1.66</v>
      </c>
      <c r="U19" s="125">
        <f t="shared" ca="1" si="7"/>
        <v>2.3199999999999998</v>
      </c>
      <c r="V19" s="125">
        <f t="shared" ca="1" si="7"/>
        <v>0.18</v>
      </c>
      <c r="W19" s="125">
        <f t="shared" ca="1" si="7"/>
        <v>2.68</v>
      </c>
      <c r="X19" s="125">
        <f t="shared" ca="1" si="7"/>
        <v>2.21</v>
      </c>
      <c r="Y19" s="2"/>
      <c r="Z19" s="77"/>
      <c r="AA19" s="184"/>
      <c r="AB19" s="181"/>
      <c r="AC19" s="190"/>
      <c r="AD19" s="186"/>
      <c r="AE19" s="187"/>
      <c r="AF19" s="187"/>
      <c r="AG19" s="188"/>
    </row>
    <row r="20" spans="1:33" x14ac:dyDescent="0.25">
      <c r="A20" s="44" t="s">
        <v>6</v>
      </c>
      <c r="B20" s="110">
        <f t="shared" ca="1" si="2"/>
        <v>17</v>
      </c>
      <c r="C20" s="1">
        <f>IF(ISERROR(D20),"",IF(D20="","",MAX($C$12:C19)+1))</f>
        <v>8</v>
      </c>
      <c r="D20" t="str">
        <f t="shared" si="3"/>
        <v xml:space="preserve">CenterPoint Energy            </v>
      </c>
      <c r="E20" s="15"/>
      <c r="F20" s="125">
        <f t="shared" ca="1" si="8"/>
        <v>1.2350000000000003</v>
      </c>
      <c r="G20" s="125">
        <f t="shared" si="4"/>
        <v>1.37</v>
      </c>
      <c r="H20" s="125">
        <f t="shared" si="5"/>
        <v>1.59</v>
      </c>
      <c r="I20" s="125">
        <f t="shared" si="6"/>
        <v>0.94</v>
      </c>
      <c r="J20" s="125">
        <f t="shared" ca="1" si="7"/>
        <v>1.29</v>
      </c>
      <c r="K20" s="125">
        <f t="shared" ca="1" si="7"/>
        <v>1.49</v>
      </c>
      <c r="L20" s="125">
        <f t="shared" ca="1" si="7"/>
        <v>0.74</v>
      </c>
      <c r="M20" s="125">
        <f t="shared" ca="1" si="7"/>
        <v>1.57</v>
      </c>
      <c r="N20" s="125">
        <f t="shared" ca="1" si="7"/>
        <v>1</v>
      </c>
      <c r="O20" s="125">
        <f t="shared" ca="1" si="7"/>
        <v>1.08</v>
      </c>
      <c r="P20" s="125">
        <f t="shared" ca="1" si="7"/>
        <v>1.42</v>
      </c>
      <c r="Q20" s="125">
        <f t="shared" ca="1" si="7"/>
        <v>1.24</v>
      </c>
      <c r="R20" s="125">
        <f t="shared" ca="1" si="7"/>
        <v>1.35</v>
      </c>
      <c r="S20" s="125">
        <f t="shared" ca="1" si="7"/>
        <v>1.27</v>
      </c>
      <c r="T20" s="125">
        <f t="shared" ca="1" si="7"/>
        <v>1.07</v>
      </c>
      <c r="U20" s="125">
        <f t="shared" ca="1" si="7"/>
        <v>1.01</v>
      </c>
      <c r="V20" s="125">
        <f t="shared" ca="1" si="7"/>
        <v>1.3</v>
      </c>
      <c r="W20" s="125">
        <f t="shared" ca="1" si="7"/>
        <v>1.17</v>
      </c>
      <c r="X20" s="125">
        <f t="shared" ca="1" si="7"/>
        <v>1.33</v>
      </c>
      <c r="Y20" s="2"/>
      <c r="Z20" s="77"/>
      <c r="AA20" s="184"/>
      <c r="AB20" s="181"/>
      <c r="AC20" s="190"/>
      <c r="AD20" s="186"/>
      <c r="AE20" s="187"/>
      <c r="AF20" s="187"/>
      <c r="AG20" s="188"/>
    </row>
    <row r="21" spans="1:33" x14ac:dyDescent="0.25">
      <c r="A21" s="44" t="s">
        <v>9</v>
      </c>
      <c r="B21" s="110">
        <f t="shared" ca="1" si="2"/>
        <v>19</v>
      </c>
      <c r="C21" s="1">
        <f>IF(ISERROR(D21),"",IF(D21="","",MAX($C$12:C20)+1))</f>
        <v>9</v>
      </c>
      <c r="D21" t="str">
        <f t="shared" si="3"/>
        <v xml:space="preserve">CMS Energy Corp.              </v>
      </c>
      <c r="E21" s="15"/>
      <c r="F21" s="125">
        <f t="shared" ca="1" si="8"/>
        <v>1.8316666666666666</v>
      </c>
      <c r="G21" s="125">
        <f t="shared" si="4"/>
        <v>3.01</v>
      </c>
      <c r="H21" s="125">
        <f t="shared" si="5"/>
        <v>2.84</v>
      </c>
      <c r="I21" s="125">
        <f t="shared" si="6"/>
        <v>2.58</v>
      </c>
      <c r="J21" s="125">
        <f t="shared" ca="1" si="7"/>
        <v>2.64</v>
      </c>
      <c r="K21" s="125">
        <f t="shared" ca="1" si="7"/>
        <v>2.39</v>
      </c>
      <c r="L21" s="125">
        <f t="shared" ca="1" si="7"/>
        <v>2.3199999999999998</v>
      </c>
      <c r="M21" s="125">
        <f t="shared" ca="1" si="7"/>
        <v>2.17</v>
      </c>
      <c r="N21" s="125">
        <f t="shared" ca="1" si="7"/>
        <v>1.98</v>
      </c>
      <c r="O21" s="125">
        <f t="shared" ca="1" si="7"/>
        <v>1.89</v>
      </c>
      <c r="P21" s="125">
        <f t="shared" ca="1" si="7"/>
        <v>1.74</v>
      </c>
      <c r="Q21" s="125">
        <f t="shared" ca="1" si="7"/>
        <v>1.66</v>
      </c>
      <c r="R21" s="125">
        <f t="shared" ca="1" si="7"/>
        <v>1.53</v>
      </c>
      <c r="S21" s="125">
        <f t="shared" ca="1" si="7"/>
        <v>1.45</v>
      </c>
      <c r="T21" s="125">
        <f t="shared" ca="1" si="7"/>
        <v>1.33</v>
      </c>
      <c r="U21" s="125">
        <f t="shared" ca="1" si="7"/>
        <v>0.93</v>
      </c>
      <c r="V21" s="125">
        <f t="shared" ca="1" si="7"/>
        <v>1.23</v>
      </c>
      <c r="W21" s="125">
        <f t="shared" ca="1" si="7"/>
        <v>0.64</v>
      </c>
      <c r="X21" s="125">
        <f t="shared" ca="1" si="7"/>
        <v>0.64</v>
      </c>
      <c r="Y21" s="2"/>
      <c r="Z21" s="77"/>
      <c r="AA21" s="184"/>
      <c r="AB21" s="181"/>
      <c r="AC21" s="190"/>
      <c r="AD21" s="186"/>
      <c r="AE21" s="187"/>
      <c r="AF21" s="187"/>
      <c r="AG21" s="188"/>
    </row>
    <row r="22" spans="1:33" x14ac:dyDescent="0.25">
      <c r="A22" s="44" t="s">
        <v>10</v>
      </c>
      <c r="B22" s="110">
        <f t="shared" ca="1" si="2"/>
        <v>21</v>
      </c>
      <c r="C22" s="1">
        <f>IF(ISERROR(D22),"",IF(D22="","",MAX($C$12:C21)+1))</f>
        <v>10</v>
      </c>
      <c r="D22" t="str">
        <f t="shared" si="3"/>
        <v xml:space="preserve">Consol. Edison                </v>
      </c>
      <c r="E22" s="15"/>
      <c r="F22" s="125">
        <f t="shared" ca="1" si="8"/>
        <v>3.9094444444444441</v>
      </c>
      <c r="G22" s="125">
        <f t="shared" si="4"/>
        <v>5.04</v>
      </c>
      <c r="H22" s="125">
        <f t="shared" si="5"/>
        <v>4.55</v>
      </c>
      <c r="I22" s="125">
        <f t="shared" si="6"/>
        <v>4.74</v>
      </c>
      <c r="J22" s="125">
        <f t="shared" ca="1" si="7"/>
        <v>3.94</v>
      </c>
      <c r="K22" s="125">
        <f t="shared" ca="1" si="7"/>
        <v>4.08</v>
      </c>
      <c r="L22" s="125">
        <f t="shared" ca="1" si="7"/>
        <v>4.55</v>
      </c>
      <c r="M22" s="125">
        <f t="shared" ca="1" si="7"/>
        <v>4.0999999999999996</v>
      </c>
      <c r="N22" s="125">
        <f t="shared" ca="1" si="7"/>
        <v>3.94</v>
      </c>
      <c r="O22" s="125">
        <f t="shared" ca="1" si="7"/>
        <v>4.05</v>
      </c>
      <c r="P22" s="125">
        <f t="shared" ca="1" si="7"/>
        <v>3.62</v>
      </c>
      <c r="Q22" s="125">
        <f t="shared" ca="1" si="7"/>
        <v>3.93</v>
      </c>
      <c r="R22" s="125">
        <f t="shared" ca="1" si="7"/>
        <v>3.86</v>
      </c>
      <c r="S22" s="125">
        <f t="shared" ca="1" si="7"/>
        <v>3.57</v>
      </c>
      <c r="T22" s="125">
        <f t="shared" ca="1" si="7"/>
        <v>3.47</v>
      </c>
      <c r="U22" s="125">
        <f t="shared" ca="1" si="7"/>
        <v>3.14</v>
      </c>
      <c r="V22" s="125">
        <f t="shared" ca="1" si="7"/>
        <v>3.36</v>
      </c>
      <c r="W22" s="125">
        <f t="shared" ca="1" si="7"/>
        <v>3.48</v>
      </c>
      <c r="X22" s="125">
        <f t="shared" ca="1" si="7"/>
        <v>2.95</v>
      </c>
      <c r="Y22" s="2"/>
      <c r="Z22" s="77"/>
      <c r="AA22" s="184"/>
      <c r="AB22" s="181"/>
      <c r="AC22" s="190"/>
      <c r="AD22" s="186"/>
      <c r="AE22" s="187"/>
      <c r="AF22" s="187"/>
      <c r="AG22" s="188"/>
    </row>
    <row r="23" spans="1:33" x14ac:dyDescent="0.25">
      <c r="A23" s="44" t="s">
        <v>11</v>
      </c>
      <c r="B23" s="110">
        <f t="shared" ca="1" si="2"/>
        <v>24</v>
      </c>
      <c r="C23" s="1">
        <f>IF(ISERROR(D23),"",IF(D23="","",MAX($C$12:C22)+1))</f>
        <v>11</v>
      </c>
      <c r="D23" t="str">
        <f t="shared" si="3"/>
        <v xml:space="preserve">Dominion Resources            </v>
      </c>
      <c r="E23" s="15"/>
      <c r="F23" s="125">
        <f t="shared" ca="1" si="8"/>
        <v>2.8594444444444442</v>
      </c>
      <c r="G23" s="125">
        <f t="shared" si="4"/>
        <v>1.99</v>
      </c>
      <c r="H23" s="125">
        <f t="shared" si="5"/>
        <v>4.1100000000000003</v>
      </c>
      <c r="I23" s="125">
        <f t="shared" si="6"/>
        <v>3.19</v>
      </c>
      <c r="J23" s="125">
        <f t="shared" ca="1" si="7"/>
        <v>1.82</v>
      </c>
      <c r="K23" s="125">
        <f t="shared" ca="1" si="7"/>
        <v>2.19</v>
      </c>
      <c r="L23" s="125">
        <f t="shared" ca="1" si="7"/>
        <v>3.25</v>
      </c>
      <c r="M23" s="125">
        <f t="shared" ca="1" si="7"/>
        <v>3.53</v>
      </c>
      <c r="N23" s="125">
        <f t="shared" ref="N23:X33" ca="1" si="9">IFERROR(IF(INDEX(Earnings,$B23,N$12)=0,"N/A",INDEX(Earnings,$B23,N$12)),"N/A")</f>
        <v>3.44</v>
      </c>
      <c r="O23" s="125">
        <f t="shared" ca="1" si="9"/>
        <v>3.2</v>
      </c>
      <c r="P23" s="125">
        <f t="shared" ca="1" si="9"/>
        <v>3.05</v>
      </c>
      <c r="Q23" s="125">
        <f t="shared" ca="1" si="9"/>
        <v>3.09</v>
      </c>
      <c r="R23" s="125">
        <f t="shared" ca="1" si="9"/>
        <v>2.75</v>
      </c>
      <c r="S23" s="125">
        <f t="shared" ca="1" si="9"/>
        <v>2.76</v>
      </c>
      <c r="T23" s="125">
        <f t="shared" ca="1" si="9"/>
        <v>2.89</v>
      </c>
      <c r="U23" s="125">
        <f t="shared" ca="1" si="9"/>
        <v>2.64</v>
      </c>
      <c r="V23" s="125">
        <f t="shared" ca="1" si="9"/>
        <v>3.04</v>
      </c>
      <c r="W23" s="125">
        <f t="shared" ca="1" si="9"/>
        <v>2.13</v>
      </c>
      <c r="X23" s="125">
        <f t="shared" ca="1" si="9"/>
        <v>2.4</v>
      </c>
      <c r="Y23" s="2"/>
      <c r="Z23" s="77"/>
      <c r="AA23" s="184"/>
      <c r="AB23" s="181"/>
      <c r="AC23" s="190"/>
      <c r="AD23" s="186"/>
      <c r="AE23" s="187"/>
      <c r="AF23" s="187"/>
      <c r="AG23" s="188"/>
    </row>
    <row r="24" spans="1:33" x14ac:dyDescent="0.25">
      <c r="A24" s="44" t="s">
        <v>12</v>
      </c>
      <c r="B24" s="110">
        <f t="shared" ca="1" si="2"/>
        <v>25</v>
      </c>
      <c r="C24" s="1">
        <f>IF(ISERROR(D24),"",IF(D24="","",MAX($C$12:C23)+1))</f>
        <v>12</v>
      </c>
      <c r="D24" t="str">
        <f t="shared" si="3"/>
        <v xml:space="preserve">DTE Energy                    </v>
      </c>
      <c r="E24" s="15"/>
      <c r="F24" s="125">
        <f t="shared" ca="1" si="8"/>
        <v>4.5649999999999995</v>
      </c>
      <c r="G24" s="125">
        <f t="shared" si="4"/>
        <v>6.76</v>
      </c>
      <c r="H24" s="125">
        <f t="shared" si="5"/>
        <v>5.52</v>
      </c>
      <c r="I24" s="125">
        <f t="shared" si="6"/>
        <v>4.0999999999999996</v>
      </c>
      <c r="J24" s="125">
        <f t="shared" ca="1" si="7"/>
        <v>7.08</v>
      </c>
      <c r="K24" s="125">
        <f t="shared" ca="1" si="7"/>
        <v>6.31</v>
      </c>
      <c r="L24" s="125">
        <f t="shared" ca="1" si="7"/>
        <v>6.17</v>
      </c>
      <c r="M24" s="125">
        <f t="shared" ca="1" si="7"/>
        <v>5.73</v>
      </c>
      <c r="N24" s="125">
        <f t="shared" ca="1" si="9"/>
        <v>4.83</v>
      </c>
      <c r="O24" s="125">
        <f t="shared" ca="1" si="9"/>
        <v>4.4400000000000004</v>
      </c>
      <c r="P24" s="125">
        <f t="shared" ca="1" si="9"/>
        <v>5.0999999999999996</v>
      </c>
      <c r="Q24" s="125">
        <f t="shared" ca="1" si="9"/>
        <v>3.76</v>
      </c>
      <c r="R24" s="125">
        <f t="shared" ca="1" si="9"/>
        <v>3.88</v>
      </c>
      <c r="S24" s="125">
        <f t="shared" ca="1" si="9"/>
        <v>3.67</v>
      </c>
      <c r="T24" s="125">
        <f t="shared" ca="1" si="9"/>
        <v>3.74</v>
      </c>
      <c r="U24" s="125">
        <f t="shared" ca="1" si="9"/>
        <v>3.24</v>
      </c>
      <c r="V24" s="125">
        <f t="shared" ca="1" si="9"/>
        <v>2.73</v>
      </c>
      <c r="W24" s="125">
        <f t="shared" ca="1" si="9"/>
        <v>2.66</v>
      </c>
      <c r="X24" s="125">
        <f t="shared" ca="1" si="9"/>
        <v>2.4500000000000002</v>
      </c>
      <c r="Y24" s="2"/>
      <c r="Z24" s="77"/>
      <c r="AA24" s="184"/>
      <c r="AB24" s="181"/>
      <c r="AC24" s="190"/>
      <c r="AD24" s="186"/>
      <c r="AE24" s="187"/>
      <c r="AF24" s="187"/>
      <c r="AG24" s="188"/>
    </row>
    <row r="25" spans="1:33" x14ac:dyDescent="0.25">
      <c r="A25" s="44" t="s">
        <v>13</v>
      </c>
      <c r="B25" s="110">
        <f t="shared" ca="1" si="2"/>
        <v>26</v>
      </c>
      <c r="C25" s="1">
        <f>IF(ISERROR(D25),"",IF(D25="","",MAX($C$12:C24)+1))</f>
        <v>13</v>
      </c>
      <c r="D25" t="str">
        <f t="shared" si="3"/>
        <v xml:space="preserve">Duke Energy                   </v>
      </c>
      <c r="E25" s="15"/>
      <c r="F25" s="125">
        <f t="shared" ca="1" si="8"/>
        <v>4.0911111111111111</v>
      </c>
      <c r="G25" s="125">
        <f t="shared" si="4"/>
        <v>5.56</v>
      </c>
      <c r="H25" s="125">
        <f t="shared" si="5"/>
        <v>5.27</v>
      </c>
      <c r="I25" s="125">
        <f t="shared" si="6"/>
        <v>4.93</v>
      </c>
      <c r="J25" s="125">
        <f t="shared" ca="1" si="7"/>
        <v>3.92</v>
      </c>
      <c r="K25" s="125">
        <f t="shared" ca="1" si="7"/>
        <v>5.07</v>
      </c>
      <c r="L25" s="125">
        <f t="shared" ca="1" si="7"/>
        <v>4.13</v>
      </c>
      <c r="M25" s="125">
        <f t="shared" ca="1" si="7"/>
        <v>4.22</v>
      </c>
      <c r="N25" s="125">
        <f t="shared" ca="1" si="9"/>
        <v>3.71</v>
      </c>
      <c r="O25" s="125">
        <f t="shared" ca="1" si="9"/>
        <v>4.0999999999999996</v>
      </c>
      <c r="P25" s="125">
        <f t="shared" ca="1" si="9"/>
        <v>4.13</v>
      </c>
      <c r="Q25" s="125">
        <f t="shared" ca="1" si="9"/>
        <v>3.98</v>
      </c>
      <c r="R25" s="125">
        <f t="shared" ca="1" si="9"/>
        <v>3.71</v>
      </c>
      <c r="S25" s="125">
        <f t="shared" ca="1" si="9"/>
        <v>4.1399999999999997</v>
      </c>
      <c r="T25" s="125">
        <f t="shared" ca="1" si="9"/>
        <v>4.0199999999999996</v>
      </c>
      <c r="U25" s="125">
        <f t="shared" ca="1" si="9"/>
        <v>3.39</v>
      </c>
      <c r="V25" s="125">
        <f t="shared" ca="1" si="9"/>
        <v>3.03</v>
      </c>
      <c r="W25" s="125">
        <f t="shared" ca="1" si="9"/>
        <v>3.6</v>
      </c>
      <c r="X25" s="125">
        <f t="shared" ca="1" si="9"/>
        <v>2.73</v>
      </c>
      <c r="Y25" s="2"/>
      <c r="Z25" s="77"/>
      <c r="AA25" s="184"/>
      <c r="AB25" s="181"/>
      <c r="AC25" s="190"/>
      <c r="AD25" s="186"/>
      <c r="AE25" s="187"/>
      <c r="AF25" s="187"/>
      <c r="AG25" s="188"/>
    </row>
    <row r="26" spans="1:33" x14ac:dyDescent="0.25">
      <c r="A26" s="44" t="s">
        <v>14</v>
      </c>
      <c r="B26" s="110">
        <f t="shared" ca="1" si="2"/>
        <v>27</v>
      </c>
      <c r="C26" s="1">
        <f>IF(ISERROR(D26),"",IF(D26="","",MAX($C$12:C25)+1))</f>
        <v>14</v>
      </c>
      <c r="D26" t="str">
        <f t="shared" si="3"/>
        <v xml:space="preserve">Edison Int'l                  </v>
      </c>
      <c r="E26" s="15"/>
      <c r="F26" s="125">
        <f t="shared" ca="1" si="8"/>
        <v>3.2311111111111113</v>
      </c>
      <c r="G26" s="125">
        <f t="shared" si="4"/>
        <v>4.76</v>
      </c>
      <c r="H26" s="125">
        <f t="shared" si="5"/>
        <v>1.6</v>
      </c>
      <c r="I26" s="125">
        <f t="shared" si="6"/>
        <v>2</v>
      </c>
      <c r="J26" s="125">
        <f t="shared" ca="1" si="7"/>
        <v>1.72</v>
      </c>
      <c r="K26" s="125">
        <f t="shared" ca="1" si="7"/>
        <v>3.98</v>
      </c>
      <c r="L26" s="125">
        <f t="shared" ca="1" si="7"/>
        <v>-1.26</v>
      </c>
      <c r="M26" s="125">
        <f t="shared" ca="1" si="7"/>
        <v>4.51</v>
      </c>
      <c r="N26" s="125">
        <f t="shared" ca="1" si="9"/>
        <v>3.94</v>
      </c>
      <c r="O26" s="125">
        <f t="shared" ca="1" si="9"/>
        <v>4.1500000000000004</v>
      </c>
      <c r="P26" s="125">
        <f t="shared" ca="1" si="9"/>
        <v>4.33</v>
      </c>
      <c r="Q26" s="125">
        <f t="shared" ca="1" si="9"/>
        <v>3.78</v>
      </c>
      <c r="R26" s="125">
        <f t="shared" ca="1" si="9"/>
        <v>4.55</v>
      </c>
      <c r="S26" s="125">
        <f t="shared" ca="1" si="9"/>
        <v>3.23</v>
      </c>
      <c r="T26" s="125">
        <f t="shared" ca="1" si="9"/>
        <v>3.35</v>
      </c>
      <c r="U26" s="125">
        <f t="shared" ca="1" si="9"/>
        <v>3.24</v>
      </c>
      <c r="V26" s="125">
        <f t="shared" ca="1" si="9"/>
        <v>3.68</v>
      </c>
      <c r="W26" s="125">
        <f t="shared" ca="1" si="9"/>
        <v>3.32</v>
      </c>
      <c r="X26" s="125">
        <f t="shared" ca="1" si="9"/>
        <v>3.28</v>
      </c>
      <c r="Y26" s="2"/>
      <c r="Z26" s="77"/>
      <c r="AA26" s="184"/>
      <c r="AB26" s="181"/>
      <c r="AC26" s="190"/>
      <c r="AD26" s="186"/>
      <c r="AE26" s="187"/>
      <c r="AF26" s="187"/>
      <c r="AG26" s="188"/>
    </row>
    <row r="27" spans="1:33" x14ac:dyDescent="0.25">
      <c r="A27" s="44" t="s">
        <v>15</v>
      </c>
      <c r="B27" s="110">
        <f t="shared" ca="1" si="2"/>
        <v>28</v>
      </c>
      <c r="C27" s="1">
        <f>IF(ISERROR(D27),"",IF(D27="","",MAX($C$12:C26)+1))</f>
        <v>15</v>
      </c>
      <c r="D27" t="str">
        <f t="shared" si="3"/>
        <v xml:space="preserve">El Paso Electric              </v>
      </c>
      <c r="E27" s="15"/>
      <c r="F27" s="125">
        <f t="shared" ca="1" si="8"/>
        <v>2.0246153846153843</v>
      </c>
      <c r="G27" s="125" t="str">
        <f t="shared" si="4"/>
        <v>N/A</v>
      </c>
      <c r="H27" s="125" t="str">
        <f t="shared" si="5"/>
        <v>N/A</v>
      </c>
      <c r="I27" s="125" t="str">
        <f t="shared" si="6"/>
        <v>N/A</v>
      </c>
      <c r="J27" s="125" t="str">
        <f t="shared" ca="1" si="7"/>
        <v>N/A</v>
      </c>
      <c r="K27" s="125" t="str">
        <f t="shared" ca="1" si="7"/>
        <v>N/A</v>
      </c>
      <c r="L27" s="125">
        <f t="shared" ca="1" si="7"/>
        <v>2.0699999999999998</v>
      </c>
      <c r="M27" s="125">
        <f t="shared" ca="1" si="7"/>
        <v>2.42</v>
      </c>
      <c r="N27" s="125">
        <f t="shared" ca="1" si="9"/>
        <v>2.39</v>
      </c>
      <c r="O27" s="125">
        <f t="shared" ca="1" si="9"/>
        <v>2.0299999999999998</v>
      </c>
      <c r="P27" s="125">
        <f t="shared" ca="1" si="9"/>
        <v>2.27</v>
      </c>
      <c r="Q27" s="125">
        <f t="shared" ca="1" si="9"/>
        <v>2.2000000000000002</v>
      </c>
      <c r="R27" s="125">
        <f t="shared" ca="1" si="9"/>
        <v>2.2599999999999998</v>
      </c>
      <c r="S27" s="125">
        <f t="shared" ca="1" si="9"/>
        <v>2.48</v>
      </c>
      <c r="T27" s="125">
        <f t="shared" ca="1" si="9"/>
        <v>2.0699999999999998</v>
      </c>
      <c r="U27" s="125">
        <f t="shared" ca="1" si="9"/>
        <v>1.5</v>
      </c>
      <c r="V27" s="125">
        <f t="shared" ca="1" si="9"/>
        <v>1.73</v>
      </c>
      <c r="W27" s="125">
        <f t="shared" ca="1" si="9"/>
        <v>1.63</v>
      </c>
      <c r="X27" s="125">
        <f t="shared" ca="1" si="9"/>
        <v>1.27</v>
      </c>
      <c r="Y27" s="2"/>
      <c r="Z27" s="77"/>
      <c r="AA27" s="184"/>
      <c r="AB27" s="181"/>
      <c r="AC27" s="190"/>
      <c r="AD27" s="186"/>
      <c r="AE27" s="187"/>
      <c r="AF27" s="187"/>
      <c r="AG27" s="188"/>
    </row>
    <row r="28" spans="1:33" x14ac:dyDescent="0.25">
      <c r="A28" s="44" t="s">
        <v>17</v>
      </c>
      <c r="B28" s="110">
        <f t="shared" ca="1" si="2"/>
        <v>29</v>
      </c>
      <c r="C28" s="1">
        <f>IF(ISERROR(D28),"",IF(D28="","",MAX($C$12:C27)+1))</f>
        <v>16</v>
      </c>
      <c r="D28" t="str">
        <f t="shared" si="3"/>
        <v xml:space="preserve">Entergy Corp.                 </v>
      </c>
      <c r="E28" s="15"/>
      <c r="F28" s="125">
        <f t="shared" ca="1" si="8"/>
        <v>6.3733333333333322</v>
      </c>
      <c r="G28" s="125">
        <f t="shared" si="4"/>
        <v>11.1</v>
      </c>
      <c r="H28" s="125">
        <f t="shared" si="5"/>
        <v>5.37</v>
      </c>
      <c r="I28" s="125">
        <f t="shared" si="6"/>
        <v>6.87</v>
      </c>
      <c r="J28" s="125">
        <f t="shared" ca="1" si="7"/>
        <v>6.9</v>
      </c>
      <c r="K28" s="125">
        <f t="shared" ca="1" si="7"/>
        <v>6.3</v>
      </c>
      <c r="L28" s="125">
        <f t="shared" ca="1" si="7"/>
        <v>5.88</v>
      </c>
      <c r="M28" s="125">
        <f t="shared" ca="1" si="7"/>
        <v>5.19</v>
      </c>
      <c r="N28" s="125">
        <f t="shared" ca="1" si="9"/>
        <v>6.88</v>
      </c>
      <c r="O28" s="125">
        <f t="shared" ca="1" si="9"/>
        <v>5.81</v>
      </c>
      <c r="P28" s="125">
        <f t="shared" ca="1" si="9"/>
        <v>5.77</v>
      </c>
      <c r="Q28" s="125">
        <f t="shared" ca="1" si="9"/>
        <v>4.96</v>
      </c>
      <c r="R28" s="125">
        <f t="shared" ca="1" si="9"/>
        <v>6.02</v>
      </c>
      <c r="S28" s="125">
        <f t="shared" ca="1" si="9"/>
        <v>7.55</v>
      </c>
      <c r="T28" s="125">
        <f t="shared" ca="1" si="9"/>
        <v>6.66</v>
      </c>
      <c r="U28" s="125">
        <f t="shared" ca="1" si="9"/>
        <v>6.3</v>
      </c>
      <c r="V28" s="125">
        <f t="shared" ca="1" si="9"/>
        <v>6.2</v>
      </c>
      <c r="W28" s="125">
        <f t="shared" ca="1" si="9"/>
        <v>5.6</v>
      </c>
      <c r="X28" s="125">
        <f t="shared" ca="1" si="9"/>
        <v>5.36</v>
      </c>
      <c r="Y28" s="2"/>
      <c r="Z28" s="77"/>
      <c r="AA28" s="184"/>
      <c r="AB28" s="181"/>
      <c r="AC28" s="190"/>
      <c r="AD28" s="186"/>
      <c r="AE28" s="187"/>
      <c r="AF28" s="187"/>
      <c r="AG28" s="188"/>
    </row>
    <row r="29" spans="1:33" x14ac:dyDescent="0.25">
      <c r="A29" s="44" t="s">
        <v>211</v>
      </c>
      <c r="B29" s="110">
        <f t="shared" ca="1" si="2"/>
        <v>30</v>
      </c>
      <c r="C29" s="1">
        <f>IF(ISERROR(D29),"",IF(D29="","",MAX($C$12:C28)+1))</f>
        <v>17</v>
      </c>
      <c r="D29" t="str">
        <f t="shared" si="3"/>
        <v xml:space="preserve">Eversource Energy    </v>
      </c>
      <c r="E29" s="15"/>
      <c r="F29" s="125">
        <f t="shared" ca="1" si="8"/>
        <v>2.6949999999999998</v>
      </c>
      <c r="G29" s="125">
        <f t="shared" si="4"/>
        <v>4.34</v>
      </c>
      <c r="H29" s="125">
        <f t="shared" si="5"/>
        <v>4.09</v>
      </c>
      <c r="I29" s="125">
        <f t="shared" si="6"/>
        <v>3.54</v>
      </c>
      <c r="J29" s="125">
        <f t="shared" ref="J29:K57" ca="1" si="10">IFERROR(IF(INDEX(Earnings,$B29,J$12)=0,"N/A",INDEX(Earnings,$B29,J$12)),"N/A")</f>
        <v>3.55</v>
      </c>
      <c r="K29" s="125">
        <f t="shared" ca="1" si="10"/>
        <v>3.45</v>
      </c>
      <c r="L29" s="125">
        <f t="shared" ref="L29:L57" ca="1" si="11">IFERROR(IF(INDEX(Earnings,$B29,L$12)=0,"N/A",INDEX(Earnings,$B29,L$12)),"N/A")</f>
        <v>3.25</v>
      </c>
      <c r="M29" s="125">
        <f t="shared" ref="M29:M57" ca="1" si="12">IFERROR(IF(INDEX(Earnings,$B29,M$12)=0,"N/A",INDEX(Earnings,$B29,M$12)),"N/A")</f>
        <v>3.11</v>
      </c>
      <c r="N29" s="125">
        <f t="shared" ca="1" si="9"/>
        <v>2.96</v>
      </c>
      <c r="O29" s="125">
        <f t="shared" ca="1" si="9"/>
        <v>2.76</v>
      </c>
      <c r="P29" s="125">
        <f t="shared" ca="1" si="9"/>
        <v>2.58</v>
      </c>
      <c r="Q29" s="125">
        <f t="shared" ca="1" si="9"/>
        <v>2.4900000000000002</v>
      </c>
      <c r="R29" s="125">
        <f t="shared" ca="1" si="9"/>
        <v>1.89</v>
      </c>
      <c r="S29" s="125">
        <f t="shared" ca="1" si="9"/>
        <v>2.2200000000000002</v>
      </c>
      <c r="T29" s="125">
        <f t="shared" ca="1" si="9"/>
        <v>2.1</v>
      </c>
      <c r="U29" s="125">
        <f t="shared" ca="1" si="9"/>
        <v>1.91</v>
      </c>
      <c r="V29" s="125">
        <f t="shared" ca="1" si="9"/>
        <v>1.86</v>
      </c>
      <c r="W29" s="125">
        <f t="shared" ca="1" si="9"/>
        <v>1.59</v>
      </c>
      <c r="X29" s="125">
        <f t="shared" ca="1" si="9"/>
        <v>0.82</v>
      </c>
      <c r="Y29" s="2"/>
      <c r="Z29" s="77"/>
      <c r="AA29" s="184"/>
      <c r="AB29" s="181"/>
      <c r="AC29" s="190"/>
      <c r="AD29" s="186"/>
      <c r="AE29" s="187"/>
      <c r="AF29" s="187"/>
      <c r="AG29" s="188"/>
    </row>
    <row r="30" spans="1:33" x14ac:dyDescent="0.25">
      <c r="A30" s="44" t="s">
        <v>447</v>
      </c>
      <c r="B30" s="110" t="str">
        <f t="shared" ca="1" si="2"/>
        <v/>
      </c>
      <c r="C30" s="1">
        <f>IF(ISERROR(D30),"",IF(D30="","",MAX($C$12:C29)+1))</f>
        <v>18</v>
      </c>
      <c r="D30" t="str">
        <f t="shared" si="3"/>
        <v>Evergy, Inc.</v>
      </c>
      <c r="E30" s="15"/>
      <c r="F30" s="125">
        <f t="shared" ca="1" si="8"/>
        <v>3.563333333333333</v>
      </c>
      <c r="G30" s="125">
        <f t="shared" si="4"/>
        <v>3.6</v>
      </c>
      <c r="H30" s="125">
        <f t="shared" si="5"/>
        <v>3.26</v>
      </c>
      <c r="I30" s="125">
        <f t="shared" si="6"/>
        <v>3.83</v>
      </c>
      <c r="J30" s="125" t="str">
        <f t="shared" ca="1" si="10"/>
        <v>N/A</v>
      </c>
      <c r="K30" s="125" t="str">
        <f t="shared" ca="1" si="10"/>
        <v>N/A</v>
      </c>
      <c r="L30" s="125" t="str">
        <f t="shared" ca="1" si="11"/>
        <v>N/A</v>
      </c>
      <c r="M30" s="125" t="str">
        <f t="shared" ca="1" si="12"/>
        <v>N/A</v>
      </c>
      <c r="N30" s="125" t="str">
        <f t="shared" ca="1" si="9"/>
        <v>N/A</v>
      </c>
      <c r="O30" s="125" t="str">
        <f t="shared" ca="1" si="9"/>
        <v>N/A</v>
      </c>
      <c r="P30" s="125" t="str">
        <f t="shared" ca="1" si="9"/>
        <v>N/A</v>
      </c>
      <c r="Q30" s="125" t="str">
        <f t="shared" ca="1" si="9"/>
        <v>N/A</v>
      </c>
      <c r="R30" s="125" t="str">
        <f t="shared" ca="1" si="9"/>
        <v>N/A</v>
      </c>
      <c r="S30" s="125" t="str">
        <f t="shared" ca="1" si="9"/>
        <v>N/A</v>
      </c>
      <c r="T30" s="125" t="str">
        <f t="shared" ca="1" si="9"/>
        <v>N/A</v>
      </c>
      <c r="U30" s="125" t="str">
        <f t="shared" ca="1" si="9"/>
        <v>N/A</v>
      </c>
      <c r="V30" s="125" t="str">
        <f t="shared" ca="1" si="9"/>
        <v>N/A</v>
      </c>
      <c r="W30" s="125" t="str">
        <f t="shared" ca="1" si="9"/>
        <v>N/A</v>
      </c>
      <c r="X30" s="125" t="str">
        <f t="shared" ca="1" si="9"/>
        <v>N/A</v>
      </c>
      <c r="Y30" s="2"/>
      <c r="Z30" s="77"/>
      <c r="AA30" s="184"/>
      <c r="AB30" s="181"/>
      <c r="AC30" s="190"/>
      <c r="AD30" s="186"/>
      <c r="AE30" s="187"/>
      <c r="AF30" s="187"/>
      <c r="AG30" s="188"/>
    </row>
    <row r="31" spans="1:33" x14ac:dyDescent="0.25">
      <c r="A31" s="44" t="s">
        <v>18</v>
      </c>
      <c r="B31" s="110">
        <f t="shared" ca="1" si="2"/>
        <v>31</v>
      </c>
      <c r="C31" s="1">
        <f>IF(ISERROR(D31),"",IF(D31="","",MAX($C$12:C30)+1))</f>
        <v>19</v>
      </c>
      <c r="D31" t="str">
        <f t="shared" si="3"/>
        <v xml:space="preserve">Exelon Corp.                  </v>
      </c>
      <c r="E31" s="15"/>
      <c r="F31" s="125">
        <f t="shared" ca="1" si="8"/>
        <v>2.8361111111111108</v>
      </c>
      <c r="G31" s="125">
        <f t="shared" si="4"/>
        <v>2.38</v>
      </c>
      <c r="H31" s="125">
        <f t="shared" si="5"/>
        <v>2.2599999999999998</v>
      </c>
      <c r="I31" s="125">
        <f t="shared" si="6"/>
        <v>1.74</v>
      </c>
      <c r="J31" s="125">
        <f t="shared" ca="1" si="10"/>
        <v>2.6</v>
      </c>
      <c r="K31" s="125">
        <f t="shared" ca="1" si="10"/>
        <v>3.01</v>
      </c>
      <c r="L31" s="125">
        <f t="shared" ca="1" si="11"/>
        <v>2.0699999999999998</v>
      </c>
      <c r="M31" s="125">
        <f t="shared" ca="1" si="12"/>
        <v>2.78</v>
      </c>
      <c r="N31" s="125">
        <f t="shared" ca="1" si="9"/>
        <v>1.8</v>
      </c>
      <c r="O31" s="125">
        <f t="shared" ca="1" si="9"/>
        <v>2.54</v>
      </c>
      <c r="P31" s="125">
        <f t="shared" ca="1" si="9"/>
        <v>2.1</v>
      </c>
      <c r="Q31" s="125">
        <f t="shared" ca="1" si="9"/>
        <v>2.31</v>
      </c>
      <c r="R31" s="125">
        <f t="shared" ca="1" si="9"/>
        <v>1.92</v>
      </c>
      <c r="S31" s="125">
        <f t="shared" ca="1" si="9"/>
        <v>3.75</v>
      </c>
      <c r="T31" s="125">
        <f t="shared" ca="1" si="9"/>
        <v>3.87</v>
      </c>
      <c r="U31" s="125">
        <f t="shared" ca="1" si="9"/>
        <v>4.29</v>
      </c>
      <c r="V31" s="125">
        <f t="shared" ca="1" si="9"/>
        <v>4.0999999999999996</v>
      </c>
      <c r="W31" s="125">
        <f t="shared" ca="1" si="9"/>
        <v>4.03</v>
      </c>
      <c r="X31" s="125">
        <f t="shared" ca="1" si="9"/>
        <v>3.5</v>
      </c>
      <c r="Y31" s="2"/>
      <c r="Z31" s="77"/>
      <c r="AA31" s="184"/>
      <c r="AB31" s="181"/>
      <c r="AC31" s="190"/>
      <c r="AD31" s="186"/>
      <c r="AE31" s="187"/>
      <c r="AF31" s="187"/>
      <c r="AG31" s="188"/>
    </row>
    <row r="32" spans="1:33" x14ac:dyDescent="0.25">
      <c r="A32" s="44" t="s">
        <v>19</v>
      </c>
      <c r="B32" s="110">
        <f t="shared" ca="1" si="2"/>
        <v>32</v>
      </c>
      <c r="C32" s="1">
        <f>IF(ISERROR(D32),"",IF(D32="","",MAX($C$12:C31)+1))</f>
        <v>20</v>
      </c>
      <c r="D32" t="str">
        <f t="shared" si="3"/>
        <v xml:space="preserve">FirstEnergy Corp.             </v>
      </c>
      <c r="E32" s="15"/>
      <c r="F32" s="125">
        <f t="shared" ca="1" si="8"/>
        <v>2.5738888888888889</v>
      </c>
      <c r="G32" s="125">
        <f t="shared" si="4"/>
        <v>2.56</v>
      </c>
      <c r="H32" s="125">
        <f t="shared" si="5"/>
        <v>2.41</v>
      </c>
      <c r="I32" s="125">
        <f t="shared" si="6"/>
        <v>2.69</v>
      </c>
      <c r="J32" s="125">
        <f t="shared" ca="1" si="10"/>
        <v>1.85</v>
      </c>
      <c r="K32" s="125">
        <f t="shared" ca="1" si="10"/>
        <v>1.84</v>
      </c>
      <c r="L32" s="125">
        <f t="shared" ca="1" si="11"/>
        <v>1.33</v>
      </c>
      <c r="M32" s="125">
        <f t="shared" ca="1" si="12"/>
        <v>2.73</v>
      </c>
      <c r="N32" s="125">
        <f t="shared" ca="1" si="9"/>
        <v>2.1</v>
      </c>
      <c r="O32" s="125">
        <f t="shared" ca="1" si="9"/>
        <v>2</v>
      </c>
      <c r="P32" s="125">
        <f t="shared" ca="1" si="9"/>
        <v>0.85</v>
      </c>
      <c r="Q32" s="125">
        <f t="shared" ca="1" si="9"/>
        <v>2.97</v>
      </c>
      <c r="R32" s="125">
        <f t="shared" ca="1" si="9"/>
        <v>2.13</v>
      </c>
      <c r="S32" s="125">
        <f t="shared" ca="1" si="9"/>
        <v>1.88</v>
      </c>
      <c r="T32" s="125">
        <f t="shared" ca="1" si="9"/>
        <v>3.25</v>
      </c>
      <c r="U32" s="125">
        <f t="shared" ca="1" si="9"/>
        <v>3.32</v>
      </c>
      <c r="V32" s="125">
        <f t="shared" ca="1" si="9"/>
        <v>4.38</v>
      </c>
      <c r="W32" s="125">
        <f t="shared" ca="1" si="9"/>
        <v>4.22</v>
      </c>
      <c r="X32" s="125">
        <f t="shared" ca="1" si="9"/>
        <v>3.82</v>
      </c>
      <c r="Y32" s="2"/>
      <c r="Z32" s="77"/>
      <c r="AA32" s="184"/>
      <c r="AB32" s="181"/>
      <c r="AC32" s="190"/>
      <c r="AD32" s="186"/>
      <c r="AE32" s="187"/>
      <c r="AF32" s="187"/>
      <c r="AG32" s="188"/>
    </row>
    <row r="33" spans="1:33" x14ac:dyDescent="0.25">
      <c r="A33" s="44" t="s">
        <v>266</v>
      </c>
      <c r="B33" s="110">
        <f t="shared" ca="1" si="2"/>
        <v>33</v>
      </c>
      <c r="C33" s="1">
        <f>IF(ISERROR(D33),"",IF(D33="","",MAX($C$12:C32)+1))</f>
        <v>21</v>
      </c>
      <c r="D33" t="str">
        <f t="shared" si="3"/>
        <v>Fortis Inc.</v>
      </c>
      <c r="E33" s="15"/>
      <c r="F33" s="125">
        <f t="shared" ca="1" si="8"/>
        <v>2.0358888888888891</v>
      </c>
      <c r="G33" s="125">
        <f t="shared" si="4"/>
        <v>3.1</v>
      </c>
      <c r="H33" s="125">
        <f t="shared" si="5"/>
        <v>2.78</v>
      </c>
      <c r="I33" s="125">
        <f t="shared" si="6"/>
        <v>2.61</v>
      </c>
      <c r="J33" s="125">
        <f t="shared" ca="1" si="10"/>
        <v>2.6</v>
      </c>
      <c r="K33" s="125">
        <f t="shared" ca="1" si="10"/>
        <v>2.68</v>
      </c>
      <c r="L33" s="125">
        <f t="shared" ca="1" si="11"/>
        <v>2.52</v>
      </c>
      <c r="M33" s="125">
        <f t="shared" ca="1" si="12"/>
        <v>2.66</v>
      </c>
      <c r="N33" s="125">
        <f t="shared" ca="1" si="9"/>
        <v>1.89</v>
      </c>
      <c r="O33" s="125">
        <f t="shared" ca="1" si="9"/>
        <v>2.11</v>
      </c>
      <c r="P33" s="125">
        <f t="shared" ca="1" si="9"/>
        <v>1.38</v>
      </c>
      <c r="Q33" s="125">
        <f t="shared" ca="1" si="9"/>
        <v>1.63</v>
      </c>
      <c r="R33" s="125">
        <f t="shared" ca="1" si="9"/>
        <v>1.65</v>
      </c>
      <c r="S33" s="125">
        <f t="shared" ca="1" si="9"/>
        <v>1.74</v>
      </c>
      <c r="T33" s="125">
        <f t="shared" ca="1" si="9"/>
        <v>1.62</v>
      </c>
      <c r="U33" s="125">
        <f t="shared" ca="1" si="9"/>
        <v>1.51</v>
      </c>
      <c r="V33" s="125">
        <f t="shared" ca="1" si="9"/>
        <v>1.52</v>
      </c>
      <c r="W33" s="125">
        <f t="shared" ca="1" si="9"/>
        <v>1.2869999999999999</v>
      </c>
      <c r="X33" s="125">
        <f t="shared" ca="1" si="9"/>
        <v>1.359</v>
      </c>
      <c r="Y33" s="2"/>
      <c r="Z33" s="77"/>
      <c r="AA33" s="184"/>
      <c r="AB33" s="181"/>
      <c r="AC33" s="190"/>
      <c r="AD33" s="186"/>
      <c r="AE33" s="187"/>
      <c r="AF33" s="187"/>
      <c r="AG33" s="188"/>
    </row>
    <row r="34" spans="1:33" x14ac:dyDescent="0.25">
      <c r="A34" s="44" t="s">
        <v>20</v>
      </c>
      <c r="B34" s="110">
        <f t="shared" ca="1" si="2"/>
        <v>35</v>
      </c>
      <c r="C34" s="1">
        <f>IF(ISERROR(D34),"",IF(D34="","",MAX($C$12:C33)+1))</f>
        <v>22</v>
      </c>
      <c r="D34" t="str">
        <f t="shared" si="3"/>
        <v xml:space="preserve">Great Plains Energy             </v>
      </c>
      <c r="E34" s="15"/>
      <c r="F34" s="125">
        <f t="shared" ca="1" si="8"/>
        <v>1.325</v>
      </c>
      <c r="G34" s="125" t="str">
        <f t="shared" si="4"/>
        <v>N/A</v>
      </c>
      <c r="H34" s="125" t="str">
        <f t="shared" si="5"/>
        <v>N/A</v>
      </c>
      <c r="I34" s="125" t="str">
        <f t="shared" si="6"/>
        <v>N/A</v>
      </c>
      <c r="J34" s="125" t="str">
        <f t="shared" ca="1" si="10"/>
        <v>N/A</v>
      </c>
      <c r="K34" s="125" t="str">
        <f t="shared" ca="1" si="10"/>
        <v>N/A</v>
      </c>
      <c r="L34" s="125" t="str">
        <f t="shared" ca="1" si="11"/>
        <v>N/A</v>
      </c>
      <c r="M34" s="125">
        <f t="shared" ca="1" si="12"/>
        <v>-0.06</v>
      </c>
      <c r="N34" s="125">
        <f t="shared" ref="N34:X42" ca="1" si="13">IFERROR(IF(INDEX(Earnings,$B34,N$12)=0,"N/A",INDEX(Earnings,$B34,N$12)),"N/A")</f>
        <v>1.61</v>
      </c>
      <c r="O34" s="125">
        <f t="shared" ca="1" si="13"/>
        <v>1.37</v>
      </c>
      <c r="P34" s="125">
        <f t="shared" ca="1" si="13"/>
        <v>1.57</v>
      </c>
      <c r="Q34" s="125">
        <f t="shared" ca="1" si="13"/>
        <v>1.62</v>
      </c>
      <c r="R34" s="125">
        <f t="shared" ca="1" si="13"/>
        <v>1.35</v>
      </c>
      <c r="S34" s="125">
        <f t="shared" ca="1" si="13"/>
        <v>1.25</v>
      </c>
      <c r="T34" s="125">
        <f t="shared" ca="1" si="13"/>
        <v>1.53</v>
      </c>
      <c r="U34" s="125">
        <f t="shared" ca="1" si="13"/>
        <v>1.03</v>
      </c>
      <c r="V34" s="125">
        <f t="shared" ca="1" si="13"/>
        <v>1.1599999999999999</v>
      </c>
      <c r="W34" s="125">
        <f t="shared" ca="1" si="13"/>
        <v>1.85</v>
      </c>
      <c r="X34" s="125">
        <f t="shared" ca="1" si="13"/>
        <v>1.62</v>
      </c>
      <c r="Y34" s="2"/>
      <c r="Z34" s="77"/>
      <c r="AA34" s="184"/>
      <c r="AB34" s="181"/>
      <c r="AC34" s="190"/>
      <c r="AD34" s="186"/>
      <c r="AE34" s="187"/>
      <c r="AF34" s="187"/>
      <c r="AG34" s="188"/>
    </row>
    <row r="35" spans="1:33" x14ac:dyDescent="0.25">
      <c r="A35" s="44" t="s">
        <v>21</v>
      </c>
      <c r="B35" s="110">
        <f t="shared" ca="1" si="2"/>
        <v>36</v>
      </c>
      <c r="C35" s="1">
        <f>IF(ISERROR(D35),"",IF(D35="","",MAX($C$12:C34)+1))</f>
        <v>23</v>
      </c>
      <c r="D35" t="str">
        <f t="shared" si="3"/>
        <v xml:space="preserve">Hawaiian Elec.                </v>
      </c>
      <c r="E35" s="15"/>
      <c r="F35" s="125">
        <f t="shared" ca="1" si="8"/>
        <v>1.6300000000000001</v>
      </c>
      <c r="G35" s="125">
        <f t="shared" si="4"/>
        <v>1.81</v>
      </c>
      <c r="H35" s="125">
        <f t="shared" si="5"/>
        <v>2.2000000000000002</v>
      </c>
      <c r="I35" s="125">
        <f t="shared" si="6"/>
        <v>2.25</v>
      </c>
      <c r="J35" s="125">
        <f t="shared" ca="1" si="10"/>
        <v>1.81</v>
      </c>
      <c r="K35" s="125">
        <f t="shared" ca="1" si="10"/>
        <v>1.99</v>
      </c>
      <c r="L35" s="125">
        <f t="shared" ca="1" si="11"/>
        <v>1.85</v>
      </c>
      <c r="M35" s="125">
        <f t="shared" ca="1" si="12"/>
        <v>1.64</v>
      </c>
      <c r="N35" s="125">
        <f t="shared" ca="1" si="13"/>
        <v>2.29</v>
      </c>
      <c r="O35" s="125">
        <f t="shared" ca="1" si="13"/>
        <v>1.5</v>
      </c>
      <c r="P35" s="125">
        <f t="shared" ca="1" si="13"/>
        <v>1.64</v>
      </c>
      <c r="Q35" s="125">
        <f t="shared" ca="1" si="13"/>
        <v>1.62</v>
      </c>
      <c r="R35" s="125">
        <f t="shared" ca="1" si="13"/>
        <v>1.67</v>
      </c>
      <c r="S35" s="125">
        <f t="shared" ca="1" si="13"/>
        <v>1.44</v>
      </c>
      <c r="T35" s="125">
        <f t="shared" ca="1" si="13"/>
        <v>1.21</v>
      </c>
      <c r="U35" s="125">
        <f t="shared" ca="1" si="13"/>
        <v>0.91</v>
      </c>
      <c r="V35" s="125">
        <f t="shared" ca="1" si="13"/>
        <v>1.07</v>
      </c>
      <c r="W35" s="125">
        <f t="shared" ca="1" si="13"/>
        <v>1.1100000000000001</v>
      </c>
      <c r="X35" s="125">
        <f t="shared" ca="1" si="13"/>
        <v>1.33</v>
      </c>
      <c r="Y35" s="2"/>
      <c r="Z35" s="77"/>
      <c r="AA35" s="184"/>
      <c r="AB35" s="181"/>
      <c r="AC35" s="190"/>
      <c r="AD35" s="186"/>
      <c r="AE35" s="187"/>
      <c r="AF35" s="187"/>
      <c r="AG35" s="188"/>
    </row>
    <row r="36" spans="1:33" x14ac:dyDescent="0.25">
      <c r="A36" s="44" t="s">
        <v>22</v>
      </c>
      <c r="B36" s="110">
        <f t="shared" ca="1" si="2"/>
        <v>37</v>
      </c>
      <c r="C36" s="1">
        <f>IF(ISERROR(D36),"",IF(D36="","",MAX($C$12:C35)+1))</f>
        <v>24</v>
      </c>
      <c r="D36" t="str">
        <f t="shared" si="3"/>
        <v xml:space="preserve">IDACORP, Inc.                 </v>
      </c>
      <c r="E36" s="15"/>
      <c r="F36" s="125">
        <f t="shared" ca="1" si="8"/>
        <v>3.7283333333333335</v>
      </c>
      <c r="G36" s="125">
        <f t="shared" si="4"/>
        <v>5.14</v>
      </c>
      <c r="H36" s="125">
        <f t="shared" si="5"/>
        <v>5.1100000000000003</v>
      </c>
      <c r="I36" s="125">
        <f t="shared" si="6"/>
        <v>4.8499999999999996</v>
      </c>
      <c r="J36" s="125">
        <f t="shared" ca="1" si="10"/>
        <v>4.6900000000000004</v>
      </c>
      <c r="K36" s="125">
        <f t="shared" ca="1" si="10"/>
        <v>4.6100000000000003</v>
      </c>
      <c r="L36" s="125">
        <f t="shared" ca="1" si="11"/>
        <v>4.49</v>
      </c>
      <c r="M36" s="125">
        <f t="shared" ca="1" si="12"/>
        <v>4.21</v>
      </c>
      <c r="N36" s="125">
        <f t="shared" ca="1" si="13"/>
        <v>3.94</v>
      </c>
      <c r="O36" s="125">
        <f t="shared" ca="1" si="13"/>
        <v>3.87</v>
      </c>
      <c r="P36" s="125">
        <f t="shared" ca="1" si="13"/>
        <v>3.85</v>
      </c>
      <c r="Q36" s="125">
        <f t="shared" ca="1" si="13"/>
        <v>3.64</v>
      </c>
      <c r="R36" s="125">
        <f t="shared" ca="1" si="13"/>
        <v>3.37</v>
      </c>
      <c r="S36" s="125">
        <f t="shared" ca="1" si="13"/>
        <v>3.36</v>
      </c>
      <c r="T36" s="125">
        <f t="shared" ca="1" si="13"/>
        <v>2.95</v>
      </c>
      <c r="U36" s="125">
        <f t="shared" ca="1" si="13"/>
        <v>2.64</v>
      </c>
      <c r="V36" s="125">
        <f t="shared" ca="1" si="13"/>
        <v>2.1800000000000002</v>
      </c>
      <c r="W36" s="125">
        <f t="shared" ca="1" si="13"/>
        <v>1.86</v>
      </c>
      <c r="X36" s="125">
        <f t="shared" ca="1" si="13"/>
        <v>2.35</v>
      </c>
      <c r="Y36" s="2"/>
      <c r="Z36" s="77"/>
      <c r="AA36" s="184"/>
      <c r="AB36" s="181"/>
      <c r="AC36" s="190"/>
      <c r="AD36" s="186"/>
      <c r="AE36" s="187"/>
      <c r="AF36" s="187"/>
      <c r="AG36" s="188"/>
    </row>
    <row r="37" spans="1:33" x14ac:dyDescent="0.25">
      <c r="A37" s="44" t="s">
        <v>25</v>
      </c>
      <c r="B37" s="110">
        <f ca="1">IFERROR(MATCH(A37,OFFSET(Dividends,0,0,,1),0),"")</f>
        <v>38</v>
      </c>
      <c r="C37" s="1">
        <f>IF(ISERROR(D37),"",IF(D37="","",MAX($C$12:C36)+1))</f>
        <v>25</v>
      </c>
      <c r="D37" t="str">
        <f>VLOOKUP(A37,LUCurYr,2,FALSE)</f>
        <v xml:space="preserve">MGE Energy                    </v>
      </c>
      <c r="E37" s="15"/>
      <c r="F37" s="125">
        <f t="shared" ca="1" si="8"/>
        <v>2.1184117647058822</v>
      </c>
      <c r="G37" s="125">
        <f t="shared" si="4"/>
        <v>3.25</v>
      </c>
      <c r="H37" s="125">
        <f t="shared" si="5"/>
        <v>3.07</v>
      </c>
      <c r="I37" s="125" t="str">
        <f>IFERROR(IF(VLOOKUP(A37,lucyyr,8,FALSE)=0,"",VLOOKUP(A37,lucyyr,8,FALSE)),"N/A")</f>
        <v>N/A</v>
      </c>
      <c r="J37" s="125">
        <f t="shared" ca="1" si="10"/>
        <v>2.6</v>
      </c>
      <c r="K37" s="125">
        <f t="shared" ca="1" si="10"/>
        <v>2.5099999999999998</v>
      </c>
      <c r="L37" s="125">
        <f t="shared" ca="1" si="11"/>
        <v>2.4300000000000002</v>
      </c>
      <c r="M37" s="125">
        <f t="shared" ca="1" si="12"/>
        <v>2.2000000000000002</v>
      </c>
      <c r="N37" s="125">
        <f t="shared" ca="1" si="13"/>
        <v>2.1800000000000002</v>
      </c>
      <c r="O37" s="125">
        <f t="shared" ca="1" si="13"/>
        <v>2.06</v>
      </c>
      <c r="P37" s="125">
        <f t="shared" ca="1" si="13"/>
        <v>2.3199999999999998</v>
      </c>
      <c r="Q37" s="125">
        <f t="shared" ca="1" si="13"/>
        <v>2.16</v>
      </c>
      <c r="R37" s="125">
        <f t="shared" ca="1" si="13"/>
        <v>1.86</v>
      </c>
      <c r="S37" s="125">
        <f t="shared" ca="1" si="13"/>
        <v>1.76</v>
      </c>
      <c r="T37" s="125">
        <f t="shared" ca="1" si="13"/>
        <v>1.667</v>
      </c>
      <c r="U37" s="125">
        <f t="shared" ca="1" si="13"/>
        <v>1.4730000000000001</v>
      </c>
      <c r="V37" s="125">
        <f t="shared" ca="1" si="13"/>
        <v>1.587</v>
      </c>
      <c r="W37" s="125">
        <f t="shared" ca="1" si="13"/>
        <v>1.5129999999999999</v>
      </c>
      <c r="X37" s="125">
        <f t="shared" ca="1" si="13"/>
        <v>1.373</v>
      </c>
      <c r="Y37" s="2"/>
      <c r="Z37" s="77"/>
      <c r="AA37" s="184"/>
      <c r="AB37" s="181"/>
      <c r="AC37" s="190"/>
      <c r="AD37" s="186"/>
      <c r="AE37" s="187"/>
      <c r="AF37" s="187"/>
      <c r="AG37" s="188"/>
    </row>
    <row r="38" spans="1:33" x14ac:dyDescent="0.25">
      <c r="A38" s="44" t="s">
        <v>141</v>
      </c>
      <c r="B38" s="110">
        <f ca="1">IFERROR(MATCH(A38,OFFSET(Dividends,0,0,,1),0),"")</f>
        <v>41</v>
      </c>
      <c r="C38" s="1">
        <f>IF(ISERROR(D38),"",IF(D38="","",MAX($C$12:C37)+1))</f>
        <v>26</v>
      </c>
      <c r="D38" t="str">
        <f>VLOOKUP(A38,LUCurYr,2,FALSE)</f>
        <v>NextEra Energy, Inc.</v>
      </c>
      <c r="E38" s="15"/>
      <c r="F38" s="125">
        <f t="shared" ca="1" si="8"/>
        <v>1.5544444444444443</v>
      </c>
      <c r="G38" s="125">
        <f t="shared" si="4"/>
        <v>3.17</v>
      </c>
      <c r="H38" s="125">
        <f t="shared" si="5"/>
        <v>2.9</v>
      </c>
      <c r="I38" s="125">
        <f>IFERROR(IF(VLOOKUP(A38,lucyyr,8,FALSE)=0,"",VLOOKUP(A38,lucyyr,8,FALSE)),"N/A")</f>
        <v>1.81</v>
      </c>
      <c r="J38" s="125">
        <f t="shared" ca="1" si="10"/>
        <v>2.1</v>
      </c>
      <c r="K38" s="125">
        <f t="shared" ca="1" si="10"/>
        <v>1.94</v>
      </c>
      <c r="L38" s="125">
        <f t="shared" ca="1" si="11"/>
        <v>1.67</v>
      </c>
      <c r="M38" s="125">
        <f t="shared" ca="1" si="12"/>
        <v>1.63</v>
      </c>
      <c r="N38" s="125">
        <f t="shared" ca="1" si="13"/>
        <v>1.45</v>
      </c>
      <c r="O38" s="125">
        <f t="shared" ca="1" si="13"/>
        <v>1.52</v>
      </c>
      <c r="P38" s="125">
        <f t="shared" ca="1" si="13"/>
        <v>1.4</v>
      </c>
      <c r="Q38" s="125">
        <f t="shared" ca="1" si="13"/>
        <v>1.21</v>
      </c>
      <c r="R38" s="125">
        <f t="shared" ca="1" si="13"/>
        <v>1.1399999999999999</v>
      </c>
      <c r="S38" s="125">
        <f t="shared" ca="1" si="13"/>
        <v>1.21</v>
      </c>
      <c r="T38" s="125">
        <f t="shared" ca="1" si="13"/>
        <v>1.19</v>
      </c>
      <c r="U38" s="125">
        <f t="shared" ca="1" si="13"/>
        <v>0.99</v>
      </c>
      <c r="V38" s="125">
        <f t="shared" ca="1" si="13"/>
        <v>1.02</v>
      </c>
      <c r="W38" s="125">
        <f t="shared" ca="1" si="13"/>
        <v>0.82</v>
      </c>
      <c r="X38" s="125">
        <f t="shared" ca="1" si="13"/>
        <v>0.81</v>
      </c>
      <c r="Y38" s="2"/>
      <c r="Z38" s="77"/>
      <c r="AA38" s="184"/>
      <c r="AB38" s="181"/>
      <c r="AC38" s="190"/>
      <c r="AD38" s="186"/>
      <c r="AE38" s="187"/>
      <c r="AF38" s="187"/>
      <c r="AG38" s="188"/>
    </row>
    <row r="39" spans="1:33" x14ac:dyDescent="0.25">
      <c r="A39" s="44" t="s">
        <v>144</v>
      </c>
      <c r="B39" s="110">
        <f t="shared" ca="1" si="2"/>
        <v>44</v>
      </c>
      <c r="C39" s="1">
        <f>IF(ISERROR(D39),"",IF(D39="","",MAX($C$12:C38)+1))</f>
        <v>27</v>
      </c>
      <c r="D39" t="str">
        <f t="shared" si="3"/>
        <v xml:space="preserve">NorthWestern Corp             </v>
      </c>
      <c r="E39" s="15"/>
      <c r="F39" s="125">
        <f t="shared" ca="1" si="8"/>
        <v>2.7027777777777779</v>
      </c>
      <c r="G39" s="125">
        <f t="shared" si="4"/>
        <v>3.22</v>
      </c>
      <c r="H39" s="125">
        <f t="shared" si="5"/>
        <v>3.29</v>
      </c>
      <c r="I39" s="125">
        <f t="shared" si="6"/>
        <v>3.6</v>
      </c>
      <c r="J39" s="125">
        <f t="shared" ca="1" si="10"/>
        <v>3.06</v>
      </c>
      <c r="K39" s="125">
        <f t="shared" ca="1" si="10"/>
        <v>3.53</v>
      </c>
      <c r="L39" s="125">
        <f t="shared" ca="1" si="11"/>
        <v>3.4</v>
      </c>
      <c r="M39" s="125">
        <f t="shared" ca="1" si="12"/>
        <v>3.34</v>
      </c>
      <c r="N39" s="125">
        <f t="shared" ca="1" si="13"/>
        <v>3.39</v>
      </c>
      <c r="O39" s="125">
        <f t="shared" ca="1" si="13"/>
        <v>2.9</v>
      </c>
      <c r="P39" s="125">
        <f t="shared" ca="1" si="13"/>
        <v>2.99</v>
      </c>
      <c r="Q39" s="125">
        <f t="shared" ca="1" si="13"/>
        <v>2.46</v>
      </c>
      <c r="R39" s="125">
        <f t="shared" ca="1" si="13"/>
        <v>2.2599999999999998</v>
      </c>
      <c r="S39" s="125">
        <f t="shared" ca="1" si="13"/>
        <v>2.5299999999999998</v>
      </c>
      <c r="T39" s="125">
        <f t="shared" ca="1" si="13"/>
        <v>2.14</v>
      </c>
      <c r="U39" s="125">
        <f t="shared" ca="1" si="13"/>
        <v>2.02</v>
      </c>
      <c r="V39" s="125">
        <f t="shared" ca="1" si="13"/>
        <v>1.77</v>
      </c>
      <c r="W39" s="125">
        <f t="shared" ca="1" si="13"/>
        <v>1.44</v>
      </c>
      <c r="X39" s="125">
        <f t="shared" ca="1" si="13"/>
        <v>1.31</v>
      </c>
      <c r="Y39" s="2"/>
      <c r="Z39" s="77"/>
      <c r="AA39" s="184"/>
      <c r="AB39" s="181"/>
      <c r="AC39" s="190"/>
      <c r="AD39" s="186"/>
      <c r="AE39" s="187"/>
      <c r="AF39" s="187"/>
      <c r="AG39" s="188"/>
    </row>
    <row r="40" spans="1:33" x14ac:dyDescent="0.25">
      <c r="A40" s="44" t="s">
        <v>27</v>
      </c>
      <c r="B40" s="110">
        <f t="shared" ca="1" si="2"/>
        <v>45</v>
      </c>
      <c r="C40" s="1">
        <f>IF(ISERROR(D40),"",IF(D40="","",MAX($C$12:C39)+1))</f>
        <v>28</v>
      </c>
      <c r="D40" t="str">
        <f t="shared" si="3"/>
        <v xml:space="preserve">OGE Energy                    </v>
      </c>
      <c r="E40" s="15"/>
      <c r="F40" s="125">
        <f t="shared" ca="1" si="8"/>
        <v>1.8038888888888893</v>
      </c>
      <c r="G40" s="125">
        <f t="shared" si="4"/>
        <v>2.0699999999999998</v>
      </c>
      <c r="H40" s="125">
        <f t="shared" si="5"/>
        <v>2.25</v>
      </c>
      <c r="I40" s="125">
        <f t="shared" si="6"/>
        <v>2.36</v>
      </c>
      <c r="J40" s="125">
        <f t="shared" ca="1" si="10"/>
        <v>2.08</v>
      </c>
      <c r="K40" s="125">
        <f t="shared" ca="1" si="10"/>
        <v>2.2400000000000002</v>
      </c>
      <c r="L40" s="125">
        <f t="shared" ca="1" si="11"/>
        <v>2.12</v>
      </c>
      <c r="M40" s="125">
        <f t="shared" ca="1" si="12"/>
        <v>1.92</v>
      </c>
      <c r="N40" s="125">
        <f t="shared" ca="1" si="13"/>
        <v>1.69</v>
      </c>
      <c r="O40" s="125">
        <f t="shared" ca="1" si="13"/>
        <v>1.69</v>
      </c>
      <c r="P40" s="125">
        <f t="shared" ca="1" si="13"/>
        <v>1.98</v>
      </c>
      <c r="Q40" s="125">
        <f t="shared" ca="1" si="13"/>
        <v>1.94</v>
      </c>
      <c r="R40" s="125">
        <f t="shared" ca="1" si="13"/>
        <v>1.79</v>
      </c>
      <c r="S40" s="125">
        <f t="shared" ca="1" si="13"/>
        <v>1.7250000000000001</v>
      </c>
      <c r="T40" s="125">
        <f t="shared" ca="1" si="13"/>
        <v>1.4950000000000001</v>
      </c>
      <c r="U40" s="125">
        <f t="shared" ca="1" si="13"/>
        <v>1.33</v>
      </c>
      <c r="V40" s="125">
        <f t="shared" ca="1" si="13"/>
        <v>1.2450000000000001</v>
      </c>
      <c r="W40" s="125">
        <f t="shared" ca="1" si="13"/>
        <v>1.32</v>
      </c>
      <c r="X40" s="125">
        <f t="shared" ca="1" si="13"/>
        <v>1.2250000000000001</v>
      </c>
      <c r="Y40" s="2"/>
      <c r="Z40" s="77"/>
      <c r="AA40" s="184"/>
      <c r="AB40" s="181"/>
      <c r="AC40" s="190"/>
      <c r="AD40" s="186"/>
      <c r="AE40" s="187"/>
      <c r="AF40" s="187"/>
      <c r="AG40" s="188"/>
    </row>
    <row r="41" spans="1:33" x14ac:dyDescent="0.25">
      <c r="A41" s="44" t="s">
        <v>28</v>
      </c>
      <c r="B41" s="110">
        <f t="shared" ca="1" si="2"/>
        <v>47</v>
      </c>
      <c r="C41" s="1">
        <f>IF(ISERROR(D41),"",IF(D41="","",MAX($C$12:C40)+1))</f>
        <v>29</v>
      </c>
      <c r="D41" t="str">
        <f t="shared" si="3"/>
        <v xml:space="preserve">Otter Tail Corp.              </v>
      </c>
      <c r="E41" s="15"/>
      <c r="F41" s="125">
        <f t="shared" ca="1" si="8"/>
        <v>2.2038888888888892</v>
      </c>
      <c r="G41" s="125">
        <f t="shared" si="4"/>
        <v>7</v>
      </c>
      <c r="H41" s="125">
        <f t="shared" si="5"/>
        <v>6.78</v>
      </c>
      <c r="I41" s="125">
        <f t="shared" si="6"/>
        <v>4.2300000000000004</v>
      </c>
      <c r="J41" s="125">
        <f t="shared" ca="1" si="10"/>
        <v>2.34</v>
      </c>
      <c r="K41" s="125">
        <f t="shared" ca="1" si="10"/>
        <v>2.17</v>
      </c>
      <c r="L41" s="125">
        <f t="shared" ca="1" si="11"/>
        <v>2.06</v>
      </c>
      <c r="M41" s="125">
        <f t="shared" ca="1" si="12"/>
        <v>1.86</v>
      </c>
      <c r="N41" s="125">
        <f t="shared" ca="1" si="13"/>
        <v>1.6</v>
      </c>
      <c r="O41" s="125">
        <f t="shared" ca="1" si="13"/>
        <v>1.56</v>
      </c>
      <c r="P41" s="125">
        <f t="shared" ca="1" si="13"/>
        <v>1.55</v>
      </c>
      <c r="Q41" s="125">
        <f t="shared" ca="1" si="13"/>
        <v>1.37</v>
      </c>
      <c r="R41" s="125">
        <f t="shared" ca="1" si="13"/>
        <v>1.05</v>
      </c>
      <c r="S41" s="125">
        <f t="shared" ca="1" si="13"/>
        <v>0.45</v>
      </c>
      <c r="T41" s="125">
        <f t="shared" ca="1" si="13"/>
        <v>0.38</v>
      </c>
      <c r="U41" s="125">
        <f t="shared" ca="1" si="13"/>
        <v>0.71</v>
      </c>
      <c r="V41" s="125">
        <f t="shared" ca="1" si="13"/>
        <v>1.0900000000000001</v>
      </c>
      <c r="W41" s="125">
        <f t="shared" ca="1" si="13"/>
        <v>1.78</v>
      </c>
      <c r="X41" s="125">
        <f t="shared" ca="1" si="13"/>
        <v>1.69</v>
      </c>
      <c r="Y41" s="2"/>
      <c r="Z41" s="77"/>
      <c r="AA41" s="184"/>
      <c r="AB41" s="181"/>
      <c r="AC41" s="190"/>
      <c r="AD41" s="186"/>
      <c r="AE41" s="187"/>
      <c r="AF41" s="187"/>
      <c r="AG41" s="188"/>
    </row>
    <row r="42" spans="1:33" x14ac:dyDescent="0.25">
      <c r="A42" s="44" t="s">
        <v>31</v>
      </c>
      <c r="B42" s="110">
        <f t="shared" ca="1" si="2"/>
        <v>49</v>
      </c>
      <c r="C42" s="1">
        <f>IF(ISERROR(D42),"",IF(D42="","",MAX($C$12:C41)+1))</f>
        <v>30</v>
      </c>
      <c r="D42" t="str">
        <f t="shared" si="3"/>
        <v xml:space="preserve">Pinnacle West Capital         </v>
      </c>
      <c r="E42" s="15"/>
      <c r="F42" s="125">
        <f t="shared" ca="1" si="8"/>
        <v>3.7744444444444443</v>
      </c>
      <c r="G42" s="125">
        <f t="shared" si="4"/>
        <v>4.41</v>
      </c>
      <c r="H42" s="125">
        <f t="shared" si="5"/>
        <v>4.26</v>
      </c>
      <c r="I42" s="125">
        <f t="shared" si="6"/>
        <v>5.47</v>
      </c>
      <c r="J42" s="125">
        <f t="shared" ca="1" si="10"/>
        <v>4.87</v>
      </c>
      <c r="K42" s="125">
        <f t="shared" ca="1" si="10"/>
        <v>4.7699999999999996</v>
      </c>
      <c r="L42" s="125">
        <f t="shared" ca="1" si="11"/>
        <v>4.54</v>
      </c>
      <c r="M42" s="125">
        <f t="shared" ca="1" si="12"/>
        <v>4.43</v>
      </c>
      <c r="N42" s="125">
        <f t="shared" ca="1" si="13"/>
        <v>3.95</v>
      </c>
      <c r="O42" s="125">
        <f t="shared" ca="1" si="13"/>
        <v>3.92</v>
      </c>
      <c r="P42" s="125">
        <f t="shared" ca="1" si="13"/>
        <v>3.58</v>
      </c>
      <c r="Q42" s="125">
        <f t="shared" ca="1" si="13"/>
        <v>3.66</v>
      </c>
      <c r="R42" s="125">
        <f t="shared" ca="1" si="13"/>
        <v>3.5</v>
      </c>
      <c r="S42" s="125">
        <f t="shared" ca="1" si="13"/>
        <v>2.99</v>
      </c>
      <c r="T42" s="125">
        <f t="shared" ca="1" si="13"/>
        <v>3.08</v>
      </c>
      <c r="U42" s="125">
        <f t="shared" ca="1" si="13"/>
        <v>2.2599999999999998</v>
      </c>
      <c r="V42" s="125">
        <f t="shared" ca="1" si="13"/>
        <v>2.12</v>
      </c>
      <c r="W42" s="125">
        <f t="shared" ca="1" si="13"/>
        <v>2.96</v>
      </c>
      <c r="X42" s="125">
        <f t="shared" ca="1" si="13"/>
        <v>3.17</v>
      </c>
      <c r="Y42" s="2"/>
      <c r="Z42" s="77"/>
      <c r="AA42" s="184"/>
      <c r="AB42" s="181"/>
      <c r="AC42" s="190"/>
      <c r="AD42" s="186"/>
      <c r="AE42" s="187"/>
      <c r="AF42" s="187"/>
      <c r="AG42" s="188"/>
    </row>
    <row r="43" spans="1:33" x14ac:dyDescent="0.25">
      <c r="A43" s="44" t="s">
        <v>32</v>
      </c>
      <c r="B43" s="110">
        <f t="shared" ca="1" si="2"/>
        <v>50</v>
      </c>
      <c r="C43" s="1">
        <f>IF(ISERROR(D43),"",IF(D43="","",MAX($C$12:C42)+1))</f>
        <v>31</v>
      </c>
      <c r="D43" t="str">
        <f t="shared" si="3"/>
        <v xml:space="preserve">PNM Resources                 </v>
      </c>
      <c r="E43" s="15"/>
      <c r="F43" s="125">
        <f t="shared" ca="1" si="8"/>
        <v>1.576111111111111</v>
      </c>
      <c r="G43" s="125">
        <f t="shared" si="4"/>
        <v>2.82</v>
      </c>
      <c r="H43" s="125">
        <f t="shared" si="5"/>
        <v>2.69</v>
      </c>
      <c r="I43" s="125">
        <f t="shared" si="6"/>
        <v>2.27</v>
      </c>
      <c r="J43" s="125">
        <f t="shared" ca="1" si="10"/>
        <v>2.15</v>
      </c>
      <c r="K43" s="125">
        <f t="shared" ca="1" si="10"/>
        <v>2.2799999999999998</v>
      </c>
      <c r="L43" s="125">
        <f t="shared" ca="1" si="11"/>
        <v>1.66</v>
      </c>
      <c r="M43" s="125">
        <f t="shared" ca="1" si="12"/>
        <v>1.92</v>
      </c>
      <c r="N43" s="125">
        <f t="shared" ref="N43:X53" ca="1" si="14">IFERROR(IF(INDEX(Earnings,$B43,N$12)=0,"N/A",INDEX(Earnings,$B43,N$12)),"N/A")</f>
        <v>1.65</v>
      </c>
      <c r="O43" s="125">
        <f t="shared" ca="1" si="14"/>
        <v>1.64</v>
      </c>
      <c r="P43" s="125">
        <f t="shared" ca="1" si="14"/>
        <v>1.45</v>
      </c>
      <c r="Q43" s="125">
        <f t="shared" ca="1" si="14"/>
        <v>1.41</v>
      </c>
      <c r="R43" s="125">
        <f t="shared" ca="1" si="14"/>
        <v>1.31</v>
      </c>
      <c r="S43" s="125">
        <f t="shared" ca="1" si="14"/>
        <v>1.08</v>
      </c>
      <c r="T43" s="125">
        <f t="shared" ca="1" si="14"/>
        <v>0.87</v>
      </c>
      <c r="U43" s="125">
        <f t="shared" ca="1" si="14"/>
        <v>0.57999999999999996</v>
      </c>
      <c r="V43" s="125">
        <f t="shared" ca="1" si="14"/>
        <v>0.11</v>
      </c>
      <c r="W43" s="125">
        <f t="shared" ca="1" si="14"/>
        <v>0.76</v>
      </c>
      <c r="X43" s="125">
        <f t="shared" ca="1" si="14"/>
        <v>1.72</v>
      </c>
      <c r="Y43" s="2"/>
      <c r="Z43" s="77"/>
      <c r="AA43" s="184"/>
      <c r="AB43" s="181"/>
      <c r="AC43" s="190"/>
      <c r="AD43" s="186"/>
      <c r="AE43" s="187"/>
      <c r="AF43" s="187"/>
      <c r="AG43" s="188"/>
    </row>
    <row r="44" spans="1:33" x14ac:dyDescent="0.25">
      <c r="A44" s="44" t="s">
        <v>33</v>
      </c>
      <c r="B44" s="110">
        <f t="shared" ca="1" si="2"/>
        <v>51</v>
      </c>
      <c r="C44" s="1">
        <f>IF(ISERROR(D44),"",IF(D44="","",MAX($C$12:C43)+1))</f>
        <v>32</v>
      </c>
      <c r="D44" t="str">
        <f t="shared" si="3"/>
        <v xml:space="preserve">Portland General              </v>
      </c>
      <c r="E44" s="15"/>
      <c r="F44" s="125">
        <f t="shared" ca="1" si="8"/>
        <v>2.0227777777777778</v>
      </c>
      <c r="G44" s="125">
        <f t="shared" si="4"/>
        <v>2.38</v>
      </c>
      <c r="H44" s="125">
        <f t="shared" si="5"/>
        <v>2.74</v>
      </c>
      <c r="I44" s="125">
        <f t="shared" si="6"/>
        <v>2.72</v>
      </c>
      <c r="J44" s="125">
        <f t="shared" ca="1" si="10"/>
        <v>1.72</v>
      </c>
      <c r="K44" s="125">
        <f t="shared" ca="1" si="10"/>
        <v>2.39</v>
      </c>
      <c r="L44" s="125">
        <f t="shared" ca="1" si="11"/>
        <v>2.37</v>
      </c>
      <c r="M44" s="125">
        <f t="shared" ca="1" si="12"/>
        <v>2.29</v>
      </c>
      <c r="N44" s="125">
        <f t="shared" ca="1" si="14"/>
        <v>2.16</v>
      </c>
      <c r="O44" s="125">
        <f t="shared" ca="1" si="14"/>
        <v>2.04</v>
      </c>
      <c r="P44" s="125">
        <f t="shared" ca="1" si="14"/>
        <v>2.1800000000000002</v>
      </c>
      <c r="Q44" s="125">
        <f t="shared" ca="1" si="14"/>
        <v>1.77</v>
      </c>
      <c r="R44" s="125">
        <f t="shared" ca="1" si="14"/>
        <v>1.87</v>
      </c>
      <c r="S44" s="125">
        <f t="shared" ca="1" si="14"/>
        <v>1.95</v>
      </c>
      <c r="T44" s="125">
        <f t="shared" ca="1" si="14"/>
        <v>1.66</v>
      </c>
      <c r="U44" s="125">
        <f t="shared" ca="1" si="14"/>
        <v>1.31</v>
      </c>
      <c r="V44" s="125">
        <f t="shared" ca="1" si="14"/>
        <v>1.39</v>
      </c>
      <c r="W44" s="125">
        <f t="shared" ca="1" si="14"/>
        <v>2.33</v>
      </c>
      <c r="X44" s="125">
        <f t="shared" ca="1" si="14"/>
        <v>1.1399999999999999</v>
      </c>
      <c r="Y44" s="2"/>
      <c r="Z44" s="77"/>
      <c r="AA44" s="184"/>
      <c r="AB44" s="181"/>
      <c r="AC44" s="190"/>
      <c r="AD44" s="186"/>
      <c r="AE44" s="187"/>
      <c r="AF44" s="187"/>
      <c r="AG44" s="188"/>
    </row>
    <row r="45" spans="1:33" x14ac:dyDescent="0.25">
      <c r="A45" s="44" t="s">
        <v>34</v>
      </c>
      <c r="B45" s="110">
        <f t="shared" ca="1" si="2"/>
        <v>52</v>
      </c>
      <c r="C45" s="1">
        <f>IF(ISERROR(D45),"",IF(D45="","",MAX($C$12:C44)+1))</f>
        <v>33</v>
      </c>
      <c r="D45" t="str">
        <f t="shared" si="3"/>
        <v xml:space="preserve">PPL Corp.                     </v>
      </c>
      <c r="E45" s="15"/>
      <c r="F45" s="125">
        <f t="shared" ca="1" si="8"/>
        <v>2.1461111111111113</v>
      </c>
      <c r="G45" s="125">
        <f t="shared" si="4"/>
        <v>1.6</v>
      </c>
      <c r="H45" s="125">
        <f t="shared" si="5"/>
        <v>1.41</v>
      </c>
      <c r="I45" s="125">
        <f t="shared" si="6"/>
        <v>0.53</v>
      </c>
      <c r="J45" s="125">
        <f t="shared" ca="1" si="10"/>
        <v>2.04</v>
      </c>
      <c r="K45" s="125">
        <f t="shared" ca="1" si="10"/>
        <v>2.37</v>
      </c>
      <c r="L45" s="125">
        <f t="shared" ca="1" si="11"/>
        <v>2.58</v>
      </c>
      <c r="M45" s="125">
        <f t="shared" ca="1" si="12"/>
        <v>2.11</v>
      </c>
      <c r="N45" s="125">
        <f t="shared" ca="1" si="14"/>
        <v>2.79</v>
      </c>
      <c r="O45" s="125">
        <f t="shared" ca="1" si="14"/>
        <v>2.37</v>
      </c>
      <c r="P45" s="125">
        <f t="shared" ca="1" si="14"/>
        <v>2.38</v>
      </c>
      <c r="Q45" s="125">
        <f t="shared" ca="1" si="14"/>
        <v>2.38</v>
      </c>
      <c r="R45" s="125">
        <f t="shared" ca="1" si="14"/>
        <v>2.61</v>
      </c>
      <c r="S45" s="125">
        <f t="shared" ca="1" si="14"/>
        <v>2.61</v>
      </c>
      <c r="T45" s="125">
        <f t="shared" ca="1" si="14"/>
        <v>2.29</v>
      </c>
      <c r="U45" s="125">
        <f t="shared" ca="1" si="14"/>
        <v>1.19</v>
      </c>
      <c r="V45" s="125">
        <f t="shared" ca="1" si="14"/>
        <v>2.4500000000000002</v>
      </c>
      <c r="W45" s="125">
        <f t="shared" ca="1" si="14"/>
        <v>2.63</v>
      </c>
      <c r="X45" s="125">
        <f t="shared" ca="1" si="14"/>
        <v>2.29</v>
      </c>
      <c r="Y45" s="2"/>
      <c r="Z45" s="77"/>
      <c r="AA45" s="184"/>
      <c r="AB45" s="181"/>
      <c r="AC45" s="190"/>
      <c r="AD45" s="186"/>
      <c r="AE45" s="187"/>
      <c r="AF45" s="187"/>
      <c r="AG45" s="188"/>
    </row>
    <row r="46" spans="1:33" x14ac:dyDescent="0.25">
      <c r="A46" s="44" t="s">
        <v>35</v>
      </c>
      <c r="B46" s="110">
        <f t="shared" ca="1" si="2"/>
        <v>53</v>
      </c>
      <c r="C46" s="1">
        <f>IF(ISERROR(D46),"",IF(D46="","",MAX($C$12:C45)+1))</f>
        <v>34</v>
      </c>
      <c r="D46" t="str">
        <f t="shared" si="3"/>
        <v xml:space="preserve">Public Serv. Enterprise       </v>
      </c>
      <c r="E46" s="15"/>
      <c r="F46" s="125">
        <f t="shared" ca="1" si="8"/>
        <v>2.9552777777777774</v>
      </c>
      <c r="G46" s="125">
        <f t="shared" si="4"/>
        <v>3.48</v>
      </c>
      <c r="H46" s="125">
        <f t="shared" si="5"/>
        <v>3.47</v>
      </c>
      <c r="I46" s="125">
        <f t="shared" si="6"/>
        <v>2.5499999999999998</v>
      </c>
      <c r="J46" s="125">
        <f t="shared" ca="1" si="10"/>
        <v>3.61</v>
      </c>
      <c r="K46" s="125">
        <f t="shared" ca="1" si="10"/>
        <v>3.9</v>
      </c>
      <c r="L46" s="125">
        <f t="shared" ca="1" si="11"/>
        <v>2.76</v>
      </c>
      <c r="M46" s="125">
        <f t="shared" ca="1" si="12"/>
        <v>2.82</v>
      </c>
      <c r="N46" s="125">
        <f t="shared" ca="1" si="14"/>
        <v>2.83</v>
      </c>
      <c r="O46" s="125">
        <f t="shared" ca="1" si="14"/>
        <v>3.3</v>
      </c>
      <c r="P46" s="125">
        <f t="shared" ca="1" si="14"/>
        <v>2.99</v>
      </c>
      <c r="Q46" s="125">
        <f t="shared" ca="1" si="14"/>
        <v>2.4500000000000002</v>
      </c>
      <c r="R46" s="125">
        <f t="shared" ca="1" si="14"/>
        <v>2.44</v>
      </c>
      <c r="S46" s="125">
        <f t="shared" ca="1" si="14"/>
        <v>3.11</v>
      </c>
      <c r="T46" s="125">
        <f t="shared" ca="1" si="14"/>
        <v>3.07</v>
      </c>
      <c r="U46" s="125">
        <f t="shared" ca="1" si="14"/>
        <v>3.08</v>
      </c>
      <c r="V46" s="125">
        <f t="shared" ca="1" si="14"/>
        <v>2.9</v>
      </c>
      <c r="W46" s="125">
        <f t="shared" ca="1" si="14"/>
        <v>2.59</v>
      </c>
      <c r="X46" s="125">
        <f t="shared" ca="1" si="14"/>
        <v>1.845</v>
      </c>
      <c r="Y46" s="2"/>
      <c r="Z46" s="77"/>
      <c r="AA46" s="184"/>
      <c r="AB46" s="181"/>
      <c r="AC46" s="190"/>
      <c r="AD46" s="186"/>
      <c r="AE46" s="187"/>
      <c r="AF46" s="187"/>
      <c r="AG46" s="188"/>
    </row>
    <row r="47" spans="1:33" x14ac:dyDescent="0.25">
      <c r="A47" s="44" t="s">
        <v>36</v>
      </c>
      <c r="B47" s="110">
        <f t="shared" ca="1" si="2"/>
        <v>55</v>
      </c>
      <c r="C47" s="1">
        <f>IF(ISERROR(D47),"",IF(D47="","",MAX($C$12:C46)+1))</f>
        <v>35</v>
      </c>
      <c r="D47" t="str">
        <f t="shared" si="3"/>
        <v xml:space="preserve">SCANA Corp.                   </v>
      </c>
      <c r="E47" s="15"/>
      <c r="F47" s="125">
        <f t="shared" ca="1" si="8"/>
        <v>3.2983333333333333</v>
      </c>
      <c r="G47" s="125" t="str">
        <f t="shared" si="4"/>
        <v>N/A</v>
      </c>
      <c r="H47" s="125" t="str">
        <f t="shared" si="5"/>
        <v>N/A</v>
      </c>
      <c r="I47" s="125" t="str">
        <f t="shared" si="6"/>
        <v>N/A</v>
      </c>
      <c r="J47" s="125" t="str">
        <f t="shared" ca="1" si="10"/>
        <v>N/A</v>
      </c>
      <c r="K47" s="125" t="str">
        <f t="shared" ca="1" si="10"/>
        <v>N/A</v>
      </c>
      <c r="L47" s="125" t="str">
        <f t="shared" ca="1" si="11"/>
        <v>N/A</v>
      </c>
      <c r="M47" s="125">
        <f t="shared" ca="1" si="12"/>
        <v>4.2</v>
      </c>
      <c r="N47" s="125">
        <f t="shared" ca="1" si="14"/>
        <v>4.16</v>
      </c>
      <c r="O47" s="125">
        <f t="shared" ca="1" si="14"/>
        <v>3.81</v>
      </c>
      <c r="P47" s="125">
        <f t="shared" ca="1" si="14"/>
        <v>3.79</v>
      </c>
      <c r="Q47" s="125">
        <f t="shared" ca="1" si="14"/>
        <v>3.39</v>
      </c>
      <c r="R47" s="125">
        <f t="shared" ca="1" si="14"/>
        <v>3.15</v>
      </c>
      <c r="S47" s="125">
        <f t="shared" ca="1" si="14"/>
        <v>2.97</v>
      </c>
      <c r="T47" s="125">
        <f t="shared" ca="1" si="14"/>
        <v>2.98</v>
      </c>
      <c r="U47" s="125">
        <f t="shared" ca="1" si="14"/>
        <v>2.85</v>
      </c>
      <c r="V47" s="125">
        <f t="shared" ca="1" si="14"/>
        <v>2.95</v>
      </c>
      <c r="W47" s="125">
        <f t="shared" ca="1" si="14"/>
        <v>2.74</v>
      </c>
      <c r="X47" s="125">
        <f t="shared" ca="1" si="14"/>
        <v>2.59</v>
      </c>
      <c r="Y47" s="2"/>
      <c r="Z47" s="77"/>
      <c r="AA47" s="184"/>
      <c r="AB47" s="181"/>
      <c r="AC47" s="190"/>
      <c r="AD47" s="186"/>
      <c r="AE47" s="187"/>
      <c r="AF47" s="187"/>
      <c r="AG47" s="188"/>
    </row>
    <row r="48" spans="1:33" x14ac:dyDescent="0.25">
      <c r="A48" s="44" t="s">
        <v>37</v>
      </c>
      <c r="B48" s="110">
        <f t="shared" ca="1" si="2"/>
        <v>56</v>
      </c>
      <c r="C48" s="1">
        <f>IF(ISERROR(D48),"",IF(D48="","",MAX($C$12:C47)+1))</f>
        <v>36</v>
      </c>
      <c r="D48" t="str">
        <f t="shared" si="3"/>
        <v xml:space="preserve">Sempra Energy                 </v>
      </c>
      <c r="E48" s="15"/>
      <c r="F48" s="125">
        <f t="shared" ca="1" si="8"/>
        <v>4.9638888888888903</v>
      </c>
      <c r="G48" s="125">
        <f t="shared" si="4"/>
        <v>4.6100000000000003</v>
      </c>
      <c r="H48" s="125">
        <f t="shared" si="5"/>
        <v>9.2100000000000009</v>
      </c>
      <c r="I48" s="125">
        <f t="shared" si="6"/>
        <v>4.01</v>
      </c>
      <c r="J48" s="125">
        <f t="shared" ca="1" si="10"/>
        <v>6.58</v>
      </c>
      <c r="K48" s="125">
        <f t="shared" ca="1" si="10"/>
        <v>5.97</v>
      </c>
      <c r="L48" s="125">
        <f t="shared" ca="1" si="11"/>
        <v>5.48</v>
      </c>
      <c r="M48" s="125">
        <f t="shared" ca="1" si="12"/>
        <v>4.63</v>
      </c>
      <c r="N48" s="125">
        <f t="shared" ca="1" si="14"/>
        <v>4.24</v>
      </c>
      <c r="O48" s="125">
        <f t="shared" ca="1" si="14"/>
        <v>5.23</v>
      </c>
      <c r="P48" s="125">
        <f t="shared" ca="1" si="14"/>
        <v>4.63</v>
      </c>
      <c r="Q48" s="125">
        <f t="shared" ca="1" si="14"/>
        <v>4.22</v>
      </c>
      <c r="R48" s="125">
        <f t="shared" ca="1" si="14"/>
        <v>4.3499999999999996</v>
      </c>
      <c r="S48" s="125">
        <f t="shared" ca="1" si="14"/>
        <v>4.47</v>
      </c>
      <c r="T48" s="125">
        <f t="shared" ca="1" si="14"/>
        <v>4.0199999999999996</v>
      </c>
      <c r="U48" s="125">
        <f t="shared" ca="1" si="14"/>
        <v>4.78</v>
      </c>
      <c r="V48" s="125">
        <f t="shared" ca="1" si="14"/>
        <v>4.43</v>
      </c>
      <c r="W48" s="125">
        <f t="shared" ca="1" si="14"/>
        <v>4.26</v>
      </c>
      <c r="X48" s="125">
        <f t="shared" ca="1" si="14"/>
        <v>4.2300000000000004</v>
      </c>
      <c r="Y48" s="2"/>
      <c r="Z48" s="77"/>
      <c r="AA48" s="184"/>
      <c r="AB48" s="181"/>
      <c r="AC48" s="190"/>
      <c r="AD48" s="186"/>
      <c r="AE48" s="187"/>
      <c r="AF48" s="187"/>
      <c r="AG48" s="188"/>
    </row>
    <row r="49" spans="1:37" x14ac:dyDescent="0.25">
      <c r="A49" s="44" t="s">
        <v>38</v>
      </c>
      <c r="B49" s="110">
        <f t="shared" ca="1" si="2"/>
        <v>59</v>
      </c>
      <c r="C49" s="1">
        <f>IF(ISERROR(D49),"",IF(D49="","",MAX($C$12:C48)+1))</f>
        <v>37</v>
      </c>
      <c r="D49" t="str">
        <f t="shared" si="3"/>
        <v xml:space="preserve">Southern Co.                  </v>
      </c>
      <c r="E49" s="15"/>
      <c r="F49" s="125">
        <f t="shared" ca="1" si="8"/>
        <v>2.831666666666667</v>
      </c>
      <c r="G49" s="125">
        <f t="shared" si="4"/>
        <v>3.64</v>
      </c>
      <c r="H49" s="125">
        <f t="shared" si="5"/>
        <v>3.61</v>
      </c>
      <c r="I49" s="125">
        <f t="shared" si="6"/>
        <v>3.42</v>
      </c>
      <c r="J49" s="125">
        <f t="shared" ca="1" si="10"/>
        <v>3.25</v>
      </c>
      <c r="K49" s="125">
        <f t="shared" ca="1" si="10"/>
        <v>3.17</v>
      </c>
      <c r="L49" s="125">
        <f t="shared" ca="1" si="11"/>
        <v>3</v>
      </c>
      <c r="M49" s="125">
        <f t="shared" ca="1" si="12"/>
        <v>3.21</v>
      </c>
      <c r="N49" s="125">
        <f t="shared" ca="1" si="14"/>
        <v>2.83</v>
      </c>
      <c r="O49" s="125">
        <f t="shared" ca="1" si="14"/>
        <v>2.84</v>
      </c>
      <c r="P49" s="125">
        <f t="shared" ca="1" si="14"/>
        <v>2.77</v>
      </c>
      <c r="Q49" s="125">
        <f t="shared" ca="1" si="14"/>
        <v>2.7</v>
      </c>
      <c r="R49" s="125">
        <f t="shared" ca="1" si="14"/>
        <v>2.67</v>
      </c>
      <c r="S49" s="125">
        <f t="shared" ca="1" si="14"/>
        <v>2.5499999999999998</v>
      </c>
      <c r="T49" s="125">
        <f t="shared" ca="1" si="14"/>
        <v>2.36</v>
      </c>
      <c r="U49" s="125">
        <f t="shared" ca="1" si="14"/>
        <v>2.3199999999999998</v>
      </c>
      <c r="V49" s="125">
        <f t="shared" ca="1" si="14"/>
        <v>2.25</v>
      </c>
      <c r="W49" s="125">
        <f t="shared" ca="1" si="14"/>
        <v>2.2799999999999998</v>
      </c>
      <c r="X49" s="125">
        <f t="shared" ca="1" si="14"/>
        <v>2.1</v>
      </c>
      <c r="Y49" s="2"/>
      <c r="Z49" s="77"/>
      <c r="AA49" s="184"/>
      <c r="AB49" s="181"/>
      <c r="AC49" s="190"/>
      <c r="AD49" s="186"/>
      <c r="AE49" s="187"/>
      <c r="AF49" s="187"/>
      <c r="AG49" s="188"/>
    </row>
    <row r="50" spans="1:37" x14ac:dyDescent="0.25">
      <c r="A50" s="44" t="s">
        <v>42</v>
      </c>
      <c r="B50" s="110">
        <f t="shared" ca="1" si="2"/>
        <v>65</v>
      </c>
      <c r="C50" s="1">
        <f>IF(ISERROR(D50),"",IF(D50="","",MAX($C$12:C49)+1))</f>
        <v>38</v>
      </c>
      <c r="D50" t="str">
        <f t="shared" si="3"/>
        <v xml:space="preserve">Vectren Corp.                 </v>
      </c>
      <c r="E50" s="15"/>
      <c r="F50" s="125">
        <f t="shared" ca="1" si="8"/>
        <v>1.9350000000000003</v>
      </c>
      <c r="G50" s="125" t="str">
        <f t="shared" si="4"/>
        <v>N/A</v>
      </c>
      <c r="H50" s="125" t="str">
        <f t="shared" si="5"/>
        <v>N/A</v>
      </c>
      <c r="I50" s="125" t="str">
        <f t="shared" si="6"/>
        <v>N/A</v>
      </c>
      <c r="J50" s="125" t="str">
        <f t="shared" ca="1" si="10"/>
        <v>N/A</v>
      </c>
      <c r="K50" s="125" t="str">
        <f t="shared" ca="1" si="10"/>
        <v>N/A</v>
      </c>
      <c r="L50" s="125" t="str">
        <f t="shared" ca="1" si="11"/>
        <v>N/A</v>
      </c>
      <c r="M50" s="125">
        <f t="shared" ca="1" si="12"/>
        <v>2.6</v>
      </c>
      <c r="N50" s="125">
        <f t="shared" ca="1" si="14"/>
        <v>2.5499999999999998</v>
      </c>
      <c r="O50" s="125">
        <f t="shared" ca="1" si="14"/>
        <v>2.39</v>
      </c>
      <c r="P50" s="125">
        <f t="shared" ca="1" si="14"/>
        <v>2.02</v>
      </c>
      <c r="Q50" s="125">
        <f t="shared" ca="1" si="14"/>
        <v>1.66</v>
      </c>
      <c r="R50" s="125">
        <f t="shared" ca="1" si="14"/>
        <v>1.94</v>
      </c>
      <c r="S50" s="125">
        <f t="shared" ca="1" si="14"/>
        <v>1.73</v>
      </c>
      <c r="T50" s="125">
        <f t="shared" ca="1" si="14"/>
        <v>1.64</v>
      </c>
      <c r="U50" s="125">
        <f t="shared" ca="1" si="14"/>
        <v>1.79</v>
      </c>
      <c r="V50" s="125">
        <f t="shared" ca="1" si="14"/>
        <v>1.63</v>
      </c>
      <c r="W50" s="125">
        <f t="shared" ca="1" si="14"/>
        <v>1.83</v>
      </c>
      <c r="X50" s="125">
        <f t="shared" ca="1" si="14"/>
        <v>1.44</v>
      </c>
      <c r="Y50" s="2"/>
      <c r="Z50" s="77"/>
      <c r="AA50" s="184"/>
      <c r="AB50" s="181"/>
      <c r="AC50" s="190"/>
      <c r="AD50" s="186"/>
      <c r="AE50" s="187"/>
      <c r="AF50" s="187"/>
      <c r="AG50" s="188"/>
    </row>
    <row r="51" spans="1:37" x14ac:dyDescent="0.25">
      <c r="A51" s="44" t="s">
        <v>44</v>
      </c>
      <c r="B51" s="110">
        <f t="shared" ca="1" si="2"/>
        <v>66</v>
      </c>
      <c r="C51" s="1">
        <f>IF(ISERROR(D51),"",IF(D51="","",MAX($C$12:C50)+1))</f>
        <v>39</v>
      </c>
      <c r="D51" t="str">
        <f t="shared" si="3"/>
        <v>WEC Energy Group</v>
      </c>
      <c r="E51" s="15"/>
      <c r="F51" s="125">
        <f t="shared" ca="1" si="8"/>
        <v>2.7641666666666667</v>
      </c>
      <c r="G51" s="125">
        <f t="shared" si="4"/>
        <v>4.63</v>
      </c>
      <c r="H51" s="125">
        <f t="shared" si="5"/>
        <v>4.46</v>
      </c>
      <c r="I51" s="125">
        <f t="shared" si="6"/>
        <v>4.1100000000000003</v>
      </c>
      <c r="J51" s="125">
        <f t="shared" ca="1" si="10"/>
        <v>3.79</v>
      </c>
      <c r="K51" s="125">
        <f t="shared" ca="1" si="10"/>
        <v>3.58</v>
      </c>
      <c r="L51" s="125">
        <f t="shared" ca="1" si="11"/>
        <v>3.34</v>
      </c>
      <c r="M51" s="125">
        <f t="shared" ca="1" si="12"/>
        <v>3.14</v>
      </c>
      <c r="N51" s="125">
        <f t="shared" ca="1" si="14"/>
        <v>2.96</v>
      </c>
      <c r="O51" s="125">
        <f t="shared" ca="1" si="14"/>
        <v>2.34</v>
      </c>
      <c r="P51" s="125">
        <f t="shared" ca="1" si="14"/>
        <v>2.59</v>
      </c>
      <c r="Q51" s="125">
        <f t="shared" ca="1" si="14"/>
        <v>2.5099999999999998</v>
      </c>
      <c r="R51" s="125">
        <f t="shared" ca="1" si="14"/>
        <v>2.35</v>
      </c>
      <c r="S51" s="125">
        <f t="shared" ca="1" si="14"/>
        <v>2.1800000000000002</v>
      </c>
      <c r="T51" s="125">
        <f t="shared" ca="1" si="14"/>
        <v>1.92</v>
      </c>
      <c r="U51" s="125">
        <f t="shared" ca="1" si="14"/>
        <v>1.6</v>
      </c>
      <c r="V51" s="125">
        <f t="shared" ca="1" si="14"/>
        <v>1.5149999999999999</v>
      </c>
      <c r="W51" s="125">
        <f t="shared" ca="1" si="14"/>
        <v>1.42</v>
      </c>
      <c r="X51" s="125">
        <f t="shared" ca="1" si="14"/>
        <v>1.32</v>
      </c>
      <c r="Y51" s="2"/>
      <c r="Z51" s="77"/>
      <c r="AA51" s="184"/>
      <c r="AB51" s="181"/>
      <c r="AC51" s="190"/>
      <c r="AD51" s="186"/>
      <c r="AE51" s="187"/>
      <c r="AF51" s="187"/>
      <c r="AG51" s="188"/>
    </row>
    <row r="52" spans="1:37" x14ac:dyDescent="0.25">
      <c r="A52" s="44" t="s">
        <v>43</v>
      </c>
      <c r="B52" s="110">
        <f t="shared" ca="1" si="2"/>
        <v>67</v>
      </c>
      <c r="C52" s="1">
        <f>IF(ISERROR(D52),"",IF(D52="","",MAX($C$12:C51)+1))</f>
        <v>40</v>
      </c>
      <c r="D52" t="str">
        <f t="shared" si="3"/>
        <v xml:space="preserve">Westar Energy                 </v>
      </c>
      <c r="E52" s="15"/>
      <c r="F52" s="125">
        <f t="shared" ca="1" si="8"/>
        <v>1.9550000000000001</v>
      </c>
      <c r="G52" s="125" t="str">
        <f t="shared" si="4"/>
        <v>N/A</v>
      </c>
      <c r="H52" s="125" t="str">
        <f t="shared" si="5"/>
        <v>N/A</v>
      </c>
      <c r="I52" s="125" t="str">
        <f t="shared" si="6"/>
        <v>N/A</v>
      </c>
      <c r="J52" s="125" t="str">
        <f t="shared" ca="1" si="10"/>
        <v>N/A</v>
      </c>
      <c r="K52" s="125" t="str">
        <f t="shared" ca="1" si="10"/>
        <v>N/A</v>
      </c>
      <c r="L52" s="125" t="str">
        <f t="shared" ca="1" si="11"/>
        <v>N/A</v>
      </c>
      <c r="M52" s="125">
        <f t="shared" ca="1" si="12"/>
        <v>2.27</v>
      </c>
      <c r="N52" s="125">
        <f t="shared" ca="1" si="14"/>
        <v>2.4300000000000002</v>
      </c>
      <c r="O52" s="125">
        <f t="shared" ca="1" si="14"/>
        <v>2.09</v>
      </c>
      <c r="P52" s="125">
        <f t="shared" ca="1" si="14"/>
        <v>2.35</v>
      </c>
      <c r="Q52" s="125">
        <f t="shared" ca="1" si="14"/>
        <v>2.27</v>
      </c>
      <c r="R52" s="125">
        <f t="shared" ca="1" si="14"/>
        <v>2.15</v>
      </c>
      <c r="S52" s="125">
        <f t="shared" ca="1" si="14"/>
        <v>1.79</v>
      </c>
      <c r="T52" s="125">
        <f t="shared" ca="1" si="14"/>
        <v>1.8</v>
      </c>
      <c r="U52" s="125">
        <f t="shared" ca="1" si="14"/>
        <v>1.28</v>
      </c>
      <c r="V52" s="125">
        <f t="shared" ca="1" si="14"/>
        <v>1.31</v>
      </c>
      <c r="W52" s="125">
        <f t="shared" ca="1" si="14"/>
        <v>1.84</v>
      </c>
      <c r="X52" s="125">
        <f t="shared" ca="1" si="14"/>
        <v>1.88</v>
      </c>
      <c r="Y52" s="2"/>
      <c r="Z52" s="77"/>
      <c r="AA52" s="184"/>
      <c r="AB52" s="181"/>
      <c r="AC52" s="190"/>
      <c r="AD52" s="186"/>
      <c r="AE52" s="187"/>
      <c r="AF52" s="187"/>
      <c r="AG52" s="188"/>
    </row>
    <row r="53" spans="1:37" x14ac:dyDescent="0.25">
      <c r="A53" s="44" t="s">
        <v>45</v>
      </c>
      <c r="B53" s="110">
        <f t="shared" ca="1" si="2"/>
        <v>69</v>
      </c>
      <c r="C53" s="1">
        <f>IF(ISERROR(D53),"",IF(D53="","",MAX($C$12:C52)+1))</f>
        <v>41</v>
      </c>
      <c r="D53" t="str">
        <f t="shared" si="3"/>
        <v xml:space="preserve">Xcel Energy Inc.              </v>
      </c>
      <c r="E53" s="15"/>
      <c r="F53" s="125">
        <f t="shared" ca="1" si="8"/>
        <v>2.150555555555556</v>
      </c>
      <c r="G53" s="125">
        <f t="shared" si="4"/>
        <v>3.35</v>
      </c>
      <c r="H53" s="125">
        <f t="shared" si="5"/>
        <v>3.17</v>
      </c>
      <c r="I53" s="125">
        <f t="shared" si="6"/>
        <v>2.96</v>
      </c>
      <c r="J53" s="125">
        <f t="shared" ca="1" si="10"/>
        <v>2.79</v>
      </c>
      <c r="K53" s="125">
        <f t="shared" ca="1" si="10"/>
        <v>2.64</v>
      </c>
      <c r="L53" s="125">
        <f t="shared" ca="1" si="11"/>
        <v>2.4700000000000002</v>
      </c>
      <c r="M53" s="125">
        <f t="shared" ca="1" si="12"/>
        <v>2.2999999999999998</v>
      </c>
      <c r="N53" s="125">
        <f t="shared" ca="1" si="14"/>
        <v>2.21</v>
      </c>
      <c r="O53" s="125">
        <f t="shared" ca="1" si="14"/>
        <v>2.1</v>
      </c>
      <c r="P53" s="125">
        <f t="shared" ca="1" si="14"/>
        <v>2.0299999999999998</v>
      </c>
      <c r="Q53" s="125">
        <f t="shared" ca="1" si="14"/>
        <v>1.91</v>
      </c>
      <c r="R53" s="125">
        <f t="shared" ca="1" si="14"/>
        <v>1.85</v>
      </c>
      <c r="S53" s="125">
        <f t="shared" ca="1" si="14"/>
        <v>1.72</v>
      </c>
      <c r="T53" s="125">
        <f t="shared" ca="1" si="14"/>
        <v>1.56</v>
      </c>
      <c r="U53" s="125">
        <f t="shared" ca="1" si="14"/>
        <v>1.49</v>
      </c>
      <c r="V53" s="125">
        <f t="shared" ca="1" si="14"/>
        <v>1.46</v>
      </c>
      <c r="W53" s="125">
        <f t="shared" ca="1" si="14"/>
        <v>1.35</v>
      </c>
      <c r="X53" s="125">
        <f t="shared" ca="1" si="14"/>
        <v>1.35</v>
      </c>
      <c r="Y53" s="2"/>
      <c r="Z53" s="77"/>
      <c r="AA53" s="184"/>
      <c r="AB53" s="181"/>
      <c r="AC53" s="190"/>
      <c r="AD53" s="186"/>
      <c r="AE53" s="187"/>
      <c r="AF53" s="187"/>
      <c r="AG53" s="188"/>
    </row>
    <row r="54" spans="1:37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8"/>
        <v>N/A</v>
      </c>
      <c r="G54" s="125"/>
      <c r="H54" s="125" t="str">
        <f t="shared" si="5"/>
        <v>N/A</v>
      </c>
      <c r="I54" s="125" t="str">
        <f t="shared" si="6"/>
        <v>N/A</v>
      </c>
      <c r="J54" s="125" t="str">
        <f t="shared" ca="1" si="10"/>
        <v>N/A</v>
      </c>
      <c r="K54" s="125" t="str">
        <f t="shared" ca="1" si="10"/>
        <v>N/A</v>
      </c>
      <c r="L54" s="125" t="str">
        <f t="shared" ca="1" si="11"/>
        <v>N/A</v>
      </c>
      <c r="M54" s="125" t="str">
        <f t="shared" ca="1" si="12"/>
        <v>N/A</v>
      </c>
      <c r="N54" s="125"/>
      <c r="O54" s="125" t="str">
        <f t="shared" ref="O54:X57" ca="1" si="15">IFERROR(IF(INDEX(Dividends,$B54,O$12)=0,"N/A",INDEX(Dividends,$B54,O$12)),"N/A")</f>
        <v>N/A</v>
      </c>
      <c r="P54" s="125" t="str">
        <f t="shared" ca="1" si="15"/>
        <v>N/A</v>
      </c>
      <c r="Q54" s="125" t="str">
        <f t="shared" ca="1" si="15"/>
        <v>N/A</v>
      </c>
      <c r="R54" s="125" t="str">
        <f t="shared" ca="1" si="15"/>
        <v>N/A</v>
      </c>
      <c r="S54" s="125" t="str">
        <f t="shared" ca="1" si="15"/>
        <v>N/A</v>
      </c>
      <c r="T54" s="125" t="str">
        <f t="shared" ca="1" si="15"/>
        <v>N/A</v>
      </c>
      <c r="U54" s="125" t="str">
        <f t="shared" ca="1" si="15"/>
        <v>N/A</v>
      </c>
      <c r="V54" s="125" t="str">
        <f t="shared" ca="1" si="15"/>
        <v>N/A</v>
      </c>
      <c r="W54" s="125" t="str">
        <f t="shared" ca="1" si="15"/>
        <v>N/A</v>
      </c>
      <c r="X54" s="125" t="str">
        <f t="shared" ca="1" si="15"/>
        <v>N/A</v>
      </c>
      <c r="Y54" s="2"/>
      <c r="Z54" s="77"/>
      <c r="AA54" s="184">
        <f>AY54-2</f>
        <v>-2</v>
      </c>
      <c r="AB54" s="184">
        <v>43100</v>
      </c>
      <c r="AC54" s="182" t="str">
        <f>IFERROR(IF(VLOOKUP(A54,LUCurYr,16,FALSE)=0,"",VLOOKUP(A54,LUCurYr,16,FALSE)),"N/A")</f>
        <v>N/A</v>
      </c>
      <c r="AD54" s="186" t="e">
        <f>AB54-AC54</f>
        <v>#VALUE!</v>
      </c>
      <c r="AE54" s="187" t="e">
        <f>AD54/365</f>
        <v>#VALUE!</v>
      </c>
      <c r="AF54" s="187" t="e">
        <f>AA54+AE54</f>
        <v>#VALUE!</v>
      </c>
      <c r="AG54" s="188" t="e">
        <f ca="1">(K54/X54)^(1/AF54)-1</f>
        <v>#VALUE!</v>
      </c>
      <c r="AH54" s="62"/>
      <c r="AI54" s="62"/>
      <c r="AJ54" s="62"/>
      <c r="AK54" s="62"/>
    </row>
    <row r="55" spans="1:37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8"/>
        <v>N/A</v>
      </c>
      <c r="G55" s="125"/>
      <c r="H55" s="125" t="str">
        <f t="shared" si="5"/>
        <v>N/A</v>
      </c>
      <c r="I55" s="125" t="str">
        <f t="shared" si="6"/>
        <v>N/A</v>
      </c>
      <c r="J55" s="125" t="str">
        <f t="shared" ca="1" si="10"/>
        <v>N/A</v>
      </c>
      <c r="K55" s="125" t="str">
        <f t="shared" ca="1" si="10"/>
        <v>N/A</v>
      </c>
      <c r="L55" s="125" t="str">
        <f t="shared" ca="1" si="11"/>
        <v>N/A</v>
      </c>
      <c r="M55" s="125" t="str">
        <f t="shared" ca="1" si="12"/>
        <v>N/A</v>
      </c>
      <c r="N55" s="125"/>
      <c r="O55" s="125" t="str">
        <f t="shared" ca="1" si="15"/>
        <v>N/A</v>
      </c>
      <c r="P55" s="125" t="str">
        <f t="shared" ca="1" si="15"/>
        <v>N/A</v>
      </c>
      <c r="Q55" s="125" t="str">
        <f t="shared" ca="1" si="15"/>
        <v>N/A</v>
      </c>
      <c r="R55" s="125" t="str">
        <f t="shared" ca="1" si="15"/>
        <v>N/A</v>
      </c>
      <c r="S55" s="125" t="str">
        <f t="shared" ca="1" si="15"/>
        <v>N/A</v>
      </c>
      <c r="T55" s="125" t="str">
        <f t="shared" ca="1" si="15"/>
        <v>N/A</v>
      </c>
      <c r="U55" s="125" t="str">
        <f t="shared" ca="1" si="15"/>
        <v>N/A</v>
      </c>
      <c r="V55" s="125" t="str">
        <f t="shared" ca="1" si="15"/>
        <v>N/A</v>
      </c>
      <c r="W55" s="125" t="str">
        <f t="shared" ca="1" si="15"/>
        <v>N/A</v>
      </c>
      <c r="X55" s="125" t="str">
        <f t="shared" ca="1" si="15"/>
        <v>N/A</v>
      </c>
      <c r="Y55" s="2"/>
      <c r="Z55" s="77"/>
      <c r="AA55" s="184">
        <f>AY55-2</f>
        <v>-2</v>
      </c>
      <c r="AB55" s="184">
        <v>43100</v>
      </c>
      <c r="AC55" s="182" t="str">
        <f>IFERROR(IF(VLOOKUP(A55,LUCurYr,16,FALSE)=0,"",VLOOKUP(A55,LUCurYr,16,FALSE)),"N/A")</f>
        <v>N/A</v>
      </c>
      <c r="AD55" s="186" t="e">
        <f>AB55-AC55</f>
        <v>#VALUE!</v>
      </c>
      <c r="AE55" s="187" t="e">
        <f>AD55/365</f>
        <v>#VALUE!</v>
      </c>
      <c r="AF55" s="187" t="e">
        <f>AA55+AE55</f>
        <v>#VALUE!</v>
      </c>
      <c r="AG55" s="188" t="e">
        <f ca="1">(K55/X55)^(1/AF55)-1</f>
        <v>#VALUE!</v>
      </c>
      <c r="AH55" s="62"/>
      <c r="AI55" s="62"/>
      <c r="AJ55" s="62"/>
      <c r="AK55" s="62"/>
    </row>
    <row r="56" spans="1:37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8"/>
        <v>N/A</v>
      </c>
      <c r="G56" s="125"/>
      <c r="H56" s="125" t="str">
        <f t="shared" si="5"/>
        <v>N/A</v>
      </c>
      <c r="I56" s="125" t="str">
        <f t="shared" si="6"/>
        <v>N/A</v>
      </c>
      <c r="J56" s="125" t="str">
        <f t="shared" ca="1" si="10"/>
        <v>N/A</v>
      </c>
      <c r="K56" s="125" t="str">
        <f t="shared" ca="1" si="10"/>
        <v>N/A</v>
      </c>
      <c r="L56" s="125" t="str">
        <f t="shared" ca="1" si="11"/>
        <v>N/A</v>
      </c>
      <c r="M56" s="125" t="str">
        <f t="shared" ca="1" si="12"/>
        <v>N/A</v>
      </c>
      <c r="N56" s="125"/>
      <c r="O56" s="125" t="str">
        <f t="shared" ca="1" si="15"/>
        <v>N/A</v>
      </c>
      <c r="P56" s="125" t="str">
        <f t="shared" ca="1" si="15"/>
        <v>N/A</v>
      </c>
      <c r="Q56" s="125" t="str">
        <f t="shared" ca="1" si="15"/>
        <v>N/A</v>
      </c>
      <c r="R56" s="125" t="str">
        <f t="shared" ca="1" si="15"/>
        <v>N/A</v>
      </c>
      <c r="S56" s="125" t="str">
        <f t="shared" ca="1" si="15"/>
        <v>N/A</v>
      </c>
      <c r="T56" s="125" t="str">
        <f t="shared" ca="1" si="15"/>
        <v>N/A</v>
      </c>
      <c r="U56" s="125" t="str">
        <f t="shared" ca="1" si="15"/>
        <v>N/A</v>
      </c>
      <c r="V56" s="125" t="str">
        <f t="shared" ca="1" si="15"/>
        <v>N/A</v>
      </c>
      <c r="W56" s="125" t="str">
        <f t="shared" ca="1" si="15"/>
        <v>N/A</v>
      </c>
      <c r="X56" s="125" t="str">
        <f t="shared" ca="1" si="15"/>
        <v>N/A</v>
      </c>
      <c r="Y56" s="2"/>
      <c r="Z56" s="77"/>
      <c r="AA56" s="184">
        <f>AY56-2</f>
        <v>-2</v>
      </c>
      <c r="AB56" s="184">
        <v>43100</v>
      </c>
      <c r="AC56" s="182" t="str">
        <f>IFERROR(IF(VLOOKUP(A56,LUCurYr,16,FALSE)=0,"",VLOOKUP(A56,LUCurYr,16,FALSE)),"N/A")</f>
        <v>N/A</v>
      </c>
      <c r="AD56" s="186" t="e">
        <f>AB56-AC56</f>
        <v>#VALUE!</v>
      </c>
      <c r="AE56" s="187" t="e">
        <f>AD56/365</f>
        <v>#VALUE!</v>
      </c>
      <c r="AF56" s="187" t="e">
        <f>AA56+AE56</f>
        <v>#VALUE!</v>
      </c>
      <c r="AG56" s="188" t="e">
        <f ca="1">(K56/X56)^(1/AF56)-1</f>
        <v>#VALUE!</v>
      </c>
      <c r="AH56" s="62"/>
      <c r="AI56" s="62"/>
      <c r="AJ56" s="62"/>
      <c r="AK56" s="62"/>
    </row>
    <row r="57" spans="1:37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8"/>
        <v>N/A</v>
      </c>
      <c r="G57" s="125"/>
      <c r="H57" s="125" t="str">
        <f t="shared" si="5"/>
        <v>N/A</v>
      </c>
      <c r="I57" s="125" t="str">
        <f t="shared" si="6"/>
        <v>N/A</v>
      </c>
      <c r="J57" s="125" t="str">
        <f t="shared" ca="1" si="10"/>
        <v>N/A</v>
      </c>
      <c r="K57" s="125" t="str">
        <f t="shared" ca="1" si="10"/>
        <v>N/A</v>
      </c>
      <c r="L57" s="125" t="str">
        <f t="shared" ca="1" si="11"/>
        <v>N/A</v>
      </c>
      <c r="M57" s="125" t="str">
        <f t="shared" ca="1" si="12"/>
        <v>N/A</v>
      </c>
      <c r="N57" s="125"/>
      <c r="O57" s="125" t="str">
        <f t="shared" ca="1" si="15"/>
        <v>N/A</v>
      </c>
      <c r="P57" s="125" t="str">
        <f t="shared" ca="1" si="15"/>
        <v>N/A</v>
      </c>
      <c r="Q57" s="125" t="str">
        <f t="shared" ca="1" si="15"/>
        <v>N/A</v>
      </c>
      <c r="R57" s="125" t="str">
        <f t="shared" ca="1" si="15"/>
        <v>N/A</v>
      </c>
      <c r="S57" s="125" t="str">
        <f t="shared" ca="1" si="15"/>
        <v>N/A</v>
      </c>
      <c r="T57" s="125" t="str">
        <f t="shared" ca="1" si="15"/>
        <v>N/A</v>
      </c>
      <c r="U57" s="125" t="str">
        <f t="shared" ca="1" si="15"/>
        <v>N/A</v>
      </c>
      <c r="V57" s="125" t="str">
        <f t="shared" ca="1" si="15"/>
        <v>N/A</v>
      </c>
      <c r="W57" s="125" t="str">
        <f t="shared" ca="1" si="15"/>
        <v>N/A</v>
      </c>
      <c r="X57" s="125" t="str">
        <f t="shared" ca="1" si="15"/>
        <v>N/A</v>
      </c>
      <c r="Y57" s="2"/>
      <c r="Z57" s="77"/>
      <c r="AA57" s="184">
        <f>AY57-2</f>
        <v>-2</v>
      </c>
      <c r="AB57" s="184">
        <v>43100</v>
      </c>
      <c r="AC57" s="182" t="str">
        <f>IFERROR(IF(VLOOKUP(A57,LUCurYr,16,FALSE)=0,"",VLOOKUP(A57,LUCurYr,16,FALSE)),"N/A")</f>
        <v>N/A</v>
      </c>
      <c r="AD57" s="186" t="e">
        <f>AB57-AC57</f>
        <v>#VALUE!</v>
      </c>
      <c r="AE57" s="187" t="e">
        <f>AD57/365</f>
        <v>#VALUE!</v>
      </c>
      <c r="AF57" s="187" t="e">
        <f>AA57+AE57</f>
        <v>#VALUE!</v>
      </c>
      <c r="AG57" s="188" t="e">
        <f ca="1">(K57/X57)^(1/AF57)-1</f>
        <v>#VALUE!</v>
      </c>
      <c r="AH57" s="62"/>
      <c r="AI57" s="62"/>
      <c r="AJ57" s="62"/>
      <c r="AK57" s="62"/>
    </row>
    <row r="58" spans="1:37" x14ac:dyDescent="0.25">
      <c r="A58" s="31"/>
      <c r="B58" s="31"/>
      <c r="C58" s="1" t="str">
        <f>IF(ISERROR(D58),"",IF(D58="","",MAX($C$12:C57)+1))</f>
        <v/>
      </c>
      <c r="F58" s="77"/>
      <c r="G58" s="77"/>
      <c r="H58" s="125"/>
      <c r="I58" s="125"/>
      <c r="J58" s="125"/>
      <c r="K58" s="77"/>
      <c r="L58" s="125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2"/>
      <c r="Z58" s="77"/>
      <c r="AA58" s="184"/>
      <c r="AB58" s="184"/>
      <c r="AC58" s="182"/>
      <c r="AD58" s="186"/>
      <c r="AE58" s="187"/>
      <c r="AF58" s="187"/>
      <c r="AG58" s="188"/>
      <c r="AH58" s="62"/>
      <c r="AI58" s="62"/>
      <c r="AJ58" s="62"/>
      <c r="AK58" s="62"/>
    </row>
    <row r="59" spans="1:37" x14ac:dyDescent="0.25">
      <c r="A59" s="31"/>
      <c r="B59" s="31"/>
      <c r="C59" s="1">
        <f>IF(ISERROR(D59),"",IF(D59="","",MAX($C$12:C58)+1))</f>
        <v>42</v>
      </c>
      <c r="D59" s="104" t="s">
        <v>98</v>
      </c>
      <c r="E59" s="104"/>
      <c r="F59" s="127">
        <f ca="1">AVERAGE(G59:X59)</f>
        <v>2.7470871998372002</v>
      </c>
      <c r="G59" s="127">
        <f>AVERAGE(G13:G58)</f>
        <v>3.8077777777777766</v>
      </c>
      <c r="H59" s="127">
        <f>AVERAGE(H13:H58)</f>
        <v>3.6116666666666664</v>
      </c>
      <c r="I59" s="127">
        <f>AVERAGE(I13:I58)</f>
        <v>3.2391428571428569</v>
      </c>
      <c r="J59" s="127">
        <f ca="1">AVERAGE(J13:J58)</f>
        <v>3.1611428571428579</v>
      </c>
      <c r="K59" s="127">
        <f ca="1">AVERAGE(K13:K41,K42:K53)</f>
        <v>3.2771428571428571</v>
      </c>
      <c r="L59" s="127">
        <f ca="1">AVERAGE(L13:L41,L42:L53)</f>
        <v>2.8747222222222235</v>
      </c>
      <c r="M59" s="127">
        <f ca="1">AVERAGE(M13:M41,M42:M53)</f>
        <v>2.8972499999999988</v>
      </c>
      <c r="N59" s="127">
        <f t="shared" ref="N59:X59" ca="1" si="16">AVERAGE(N13:N58)</f>
        <v>2.8057500000000002</v>
      </c>
      <c r="O59" s="127">
        <f t="shared" ca="1" si="16"/>
        <v>2.6830000000000003</v>
      </c>
      <c r="P59" s="127">
        <f t="shared" ca="1" si="16"/>
        <v>2.6541025641025642</v>
      </c>
      <c r="Q59" s="127">
        <f t="shared" ca="1" si="16"/>
        <v>2.5221794871794869</v>
      </c>
      <c r="R59" s="127">
        <f t="shared" ca="1" si="16"/>
        <v>2.4349999999999996</v>
      </c>
      <c r="S59" s="127">
        <f t="shared" ca="1" si="16"/>
        <v>2.4343589743589744</v>
      </c>
      <c r="T59" s="127">
        <f t="shared" ca="1" si="16"/>
        <v>2.3460769230769229</v>
      </c>
      <c r="U59" s="127">
        <f t="shared" ca="1" si="16"/>
        <v>2.167641025641025</v>
      </c>
      <c r="V59" s="127">
        <f t="shared" ca="1" si="16"/>
        <v>2.1871025641025645</v>
      </c>
      <c r="W59" s="127">
        <f t="shared" ca="1" si="16"/>
        <v>2.2488461538461539</v>
      </c>
      <c r="X59" s="127">
        <f t="shared" ca="1" si="16"/>
        <v>2.0946666666666665</v>
      </c>
      <c r="Y59" s="2"/>
      <c r="Z59" s="128"/>
      <c r="AA59" s="128"/>
      <c r="AB59" s="128"/>
      <c r="AC59" s="62"/>
      <c r="AD59" s="62"/>
      <c r="AE59" s="62"/>
      <c r="AF59" s="62"/>
      <c r="AG59" s="62"/>
      <c r="AH59" s="62"/>
      <c r="AI59" s="62"/>
      <c r="AJ59" s="62"/>
      <c r="AK59" s="62"/>
    </row>
    <row r="60" spans="1:37" x14ac:dyDescent="0.25">
      <c r="A60" s="31"/>
      <c r="B60" s="31"/>
      <c r="C60" s="1">
        <f>IF(ISERROR(D60),"",IF(D60="","",MAX($C$12:C59)+1))</f>
        <v>43</v>
      </c>
      <c r="D60" s="104" t="s">
        <v>446</v>
      </c>
      <c r="F60" s="108">
        <f ca="1">AVERAGE(G60:W60)</f>
        <v>3.6800916079238237E-2</v>
      </c>
      <c r="G60" s="108">
        <f>G59/H59-1</f>
        <v>5.4299338563297717E-2</v>
      </c>
      <c r="H60" s="108">
        <f>H59/I59-1</f>
        <v>0.11500690952926984</v>
      </c>
      <c r="I60" s="108">
        <f ca="1">I59/J59-1</f>
        <v>2.4674620390455093E-2</v>
      </c>
      <c r="J60" s="108">
        <f t="shared" ref="J60:W60" ca="1" si="17">J59/K59-1</f>
        <v>-3.5396687009589978E-2</v>
      </c>
      <c r="K60" s="108">
        <f t="shared" ca="1" si="17"/>
        <v>0.13998591996466137</v>
      </c>
      <c r="L60" s="108">
        <f t="shared" ca="1" si="17"/>
        <v>-7.7755726215463783E-3</v>
      </c>
      <c r="M60" s="108">
        <f t="shared" ca="1" si="17"/>
        <v>3.2611601176155691E-2</v>
      </c>
      <c r="N60" s="108">
        <f t="shared" ca="1" si="17"/>
        <v>4.5751024972046084E-2</v>
      </c>
      <c r="O60" s="108">
        <f t="shared" ca="1" si="17"/>
        <v>1.0887836923968663E-2</v>
      </c>
      <c r="P60" s="108">
        <f t="shared" ca="1" si="17"/>
        <v>5.230518985411492E-2</v>
      </c>
      <c r="Q60" s="108">
        <f t="shared" ca="1" si="17"/>
        <v>3.5802664139419793E-2</v>
      </c>
      <c r="R60" s="108">
        <f t="shared" ca="1" si="17"/>
        <v>2.6332420476071761E-4</v>
      </c>
      <c r="S60" s="108">
        <f t="shared" ca="1" si="17"/>
        <v>3.7629649059532033E-2</v>
      </c>
      <c r="T60" s="108">
        <f t="shared" ca="1" si="17"/>
        <v>8.2318010835364275E-2</v>
      </c>
      <c r="U60" s="108">
        <f t="shared" ca="1" si="17"/>
        <v>-8.8983199878077679E-3</v>
      </c>
      <c r="V60" s="108">
        <f t="shared" ca="1" si="17"/>
        <v>-2.7455675275069646E-2</v>
      </c>
      <c r="W60" s="108">
        <f t="shared" ca="1" si="17"/>
        <v>7.3605738628017559E-2</v>
      </c>
      <c r="X60" s="125"/>
      <c r="Y60" s="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</row>
    <row r="61" spans="1:37" s="97" customFormat="1" x14ac:dyDescent="0.25">
      <c r="C61" s="10"/>
      <c r="D61" s="10"/>
      <c r="E61" s="10"/>
      <c r="F61" s="12"/>
      <c r="G61" s="12"/>
      <c r="H61" s="12"/>
      <c r="I61" s="12"/>
      <c r="J61" s="12"/>
      <c r="K61" s="127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25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 s="97" customFormat="1" x14ac:dyDescent="0.25">
      <c r="B62" s="100"/>
      <c r="C62" s="101"/>
      <c r="E62" s="20"/>
      <c r="F62" s="99"/>
      <c r="G62" s="99"/>
      <c r="H62" s="99"/>
      <c r="I62" s="99"/>
      <c r="J62" s="99"/>
      <c r="K62" s="108"/>
      <c r="L62" s="99"/>
      <c r="M62" s="99"/>
      <c r="N62" s="99"/>
      <c r="O62" s="17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</row>
    <row r="63" spans="1:37" s="97" customFormat="1" x14ac:dyDescent="0.25">
      <c r="B63" s="100"/>
      <c r="C63" s="101"/>
      <c r="E63" s="20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99"/>
      <c r="AG63" s="99"/>
      <c r="AH63" s="99"/>
      <c r="AI63" s="99"/>
      <c r="AJ63" s="99"/>
      <c r="AK63" s="99"/>
    </row>
    <row r="64" spans="1:37" s="97" customFormat="1" x14ac:dyDescent="0.25">
      <c r="B64" s="100"/>
      <c r="C64" s="101"/>
      <c r="D64" s="18"/>
      <c r="E64" s="88"/>
      <c r="F64"/>
      <c r="G64"/>
      <c r="H64"/>
      <c r="I64"/>
      <c r="J64"/>
      <c r="K64"/>
      <c r="L64"/>
      <c r="M64"/>
      <c r="N64"/>
      <c r="O64" s="99"/>
      <c r="P64" s="99"/>
      <c r="Q64" s="99"/>
      <c r="R64" s="99"/>
      <c r="S64" s="99"/>
      <c r="T64" s="180"/>
      <c r="U64" s="99"/>
      <c r="V64" s="99"/>
      <c r="W64" s="99"/>
      <c r="X64" s="99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</row>
    <row r="65" spans="1:37" s="97" customFormat="1" x14ac:dyDescent="0.25">
      <c r="B65" s="100"/>
      <c r="C65" s="1"/>
      <c r="D65" s="20" t="s">
        <v>107</v>
      </c>
      <c r="E65"/>
      <c r="F65"/>
      <c r="G65"/>
      <c r="H65"/>
      <c r="I65"/>
      <c r="J65"/>
      <c r="K65"/>
      <c r="L65"/>
      <c r="M65"/>
      <c r="N65"/>
      <c r="O65" s="99"/>
      <c r="P65" s="99"/>
      <c r="Q65" s="99"/>
      <c r="R65" s="99"/>
      <c r="S65" s="99"/>
      <c r="T65" s="180"/>
      <c r="U65" s="99"/>
      <c r="V65" s="99"/>
      <c r="W65" s="99"/>
      <c r="X65" s="99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</row>
    <row r="66" spans="1:37" s="97" customFormat="1" ht="16.2" x14ac:dyDescent="0.25">
      <c r="B66" s="100"/>
      <c r="C66"/>
      <c r="D66" s="76">
        <v>1</v>
      </c>
      <c r="E66" s="21" t="str">
        <f>'CCW-1, pg 5'!E64</f>
        <v>Data for years 2019 and prior were retrieved from the Value Line Investment Survey Investment Analyzer Software, downloaded on June 18, 2021.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2"/>
      <c r="U66"/>
      <c r="V66"/>
      <c r="W66"/>
      <c r="X66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7" s="97" customFormat="1" ht="16.2" x14ac:dyDescent="0.25">
      <c r="B67" s="100"/>
      <c r="C67"/>
      <c r="D67" s="76"/>
      <c r="E67" s="21" t="str">
        <f>'CCW-1, pg 5'!E65</f>
        <v>Data for the years 2020 - 2022 was retrieved from Value Line Investment Surveys.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2"/>
      <c r="U67"/>
      <c r="V67"/>
      <c r="W67"/>
      <c r="X67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7" ht="16.2" x14ac:dyDescent="0.25">
      <c r="A68" s="31"/>
      <c r="B68" s="31"/>
      <c r="D68" s="76">
        <v>2</v>
      </c>
      <c r="E68" s="21" t="str">
        <f>"The Value Line Investment Survey, "&amp;'2023 Data (WP)'!$D$1</f>
        <v>The Value Line Investment Survey, March 8, April 19, and May 10, 2024.</v>
      </c>
    </row>
    <row r="69" spans="1:37" x14ac:dyDescent="0.25">
      <c r="A69" s="31"/>
      <c r="B69" s="31"/>
      <c r="D69" s="20"/>
    </row>
  </sheetData>
  <mergeCells count="5">
    <mergeCell ref="C4:Y4"/>
    <mergeCell ref="C5:Y5"/>
    <mergeCell ref="D10:E10"/>
    <mergeCell ref="F8:Y8"/>
    <mergeCell ref="C1:Y1"/>
  </mergeCells>
  <printOptions horizontalCentered="1"/>
  <pageMargins left="0.7" right="0.7" top="1.5" bottom="0.75" header="0.55000000000000004" footer="0.51"/>
  <pageSetup scale="42" firstPageNumber="6" orientation="landscape" useFirstPageNumber="1" r:id="rId1"/>
  <headerFooter scaleWithDoc="0">
    <oddHeader>&amp;R&amp;"Arial,Bold"&amp;10Docket Nos. 20240026-EI, 20230139-EI, and 20230090-EI
Valuation Metrics
Exhibit CCW-1, Page &amp;P of 16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U73"/>
  <sheetViews>
    <sheetView zoomScale="111" zoomScaleNormal="111" workbookViewId="0">
      <pane xSplit="2" ySplit="3" topLeftCell="C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Q23" sqref="Q23"/>
    </sheetView>
  </sheetViews>
  <sheetFormatPr defaultColWidth="8.69921875" defaultRowHeight="10.199999999999999" x14ac:dyDescent="0.2"/>
  <cols>
    <col min="1" max="1" width="18.3984375" style="59" bestFit="1" customWidth="1"/>
    <col min="2" max="2" width="5.3984375" style="59" bestFit="1" customWidth="1"/>
    <col min="3" max="4" width="5.3984375" style="59" customWidth="1"/>
    <col min="5" max="7" width="7" style="59" bestFit="1" customWidth="1"/>
    <col min="8" max="13" width="7.69921875" style="59" bestFit="1" customWidth="1"/>
    <col min="14" max="14" width="7.09765625" style="59" bestFit="1" customWidth="1"/>
    <col min="15" max="15" width="7.69921875" style="59" bestFit="1" customWidth="1"/>
    <col min="16" max="17" width="7.09765625" style="59" bestFit="1" customWidth="1"/>
    <col min="18" max="18" width="7.09765625" style="59" customWidth="1"/>
    <col min="19" max="16384" width="8.69921875" style="59"/>
  </cols>
  <sheetData>
    <row r="1" spans="1:21" ht="30.6" x14ac:dyDescent="0.2">
      <c r="A1" s="58" t="s">
        <v>218</v>
      </c>
      <c r="C1" s="59">
        <v>2020</v>
      </c>
      <c r="D1" s="60">
        <v>2019</v>
      </c>
      <c r="E1" s="60">
        <v>2018</v>
      </c>
      <c r="F1" s="60">
        <v>2017</v>
      </c>
      <c r="G1" s="60">
        <v>2016</v>
      </c>
      <c r="H1" s="60">
        <f t="shared" ref="H1:Q1" si="0">VALUE(RIGHT(H3,4))</f>
        <v>2015</v>
      </c>
      <c r="I1" s="60">
        <f t="shared" si="0"/>
        <v>2014</v>
      </c>
      <c r="J1" s="60">
        <f t="shared" si="0"/>
        <v>2013</v>
      </c>
      <c r="K1" s="60">
        <f t="shared" si="0"/>
        <v>2012</v>
      </c>
      <c r="L1" s="60">
        <f t="shared" si="0"/>
        <v>2011</v>
      </c>
      <c r="M1" s="60">
        <f t="shared" si="0"/>
        <v>2010</v>
      </c>
      <c r="N1" s="60">
        <f t="shared" si="0"/>
        <v>2009</v>
      </c>
      <c r="O1" s="60">
        <f t="shared" si="0"/>
        <v>2008</v>
      </c>
      <c r="P1" s="60">
        <f t="shared" si="0"/>
        <v>2007</v>
      </c>
      <c r="Q1" s="60">
        <f t="shared" si="0"/>
        <v>2006</v>
      </c>
      <c r="R1" s="60"/>
    </row>
    <row r="2" spans="1:21" x14ac:dyDescent="0.2">
      <c r="A2" s="59" t="s">
        <v>314</v>
      </c>
      <c r="B2" s="61"/>
      <c r="C2" s="61"/>
      <c r="D2" s="61"/>
      <c r="E2" s="69">
        <f>'2018'!$A$1</f>
        <v>43642</v>
      </c>
      <c r="F2" s="69">
        <f>'2017'!$A$1</f>
        <v>43272</v>
      </c>
      <c r="G2" s="69">
        <f>'2016'!$A$1</f>
        <v>42907</v>
      </c>
      <c r="H2" s="69">
        <v>42718</v>
      </c>
      <c r="I2" s="69">
        <v>42718</v>
      </c>
      <c r="J2" s="69">
        <v>42718</v>
      </c>
      <c r="K2" s="69">
        <v>42718</v>
      </c>
      <c r="L2" s="69">
        <v>42718</v>
      </c>
      <c r="M2" s="69">
        <v>42718</v>
      </c>
      <c r="N2" s="69">
        <v>42718</v>
      </c>
      <c r="O2" s="69">
        <v>42718</v>
      </c>
      <c r="P2" s="69">
        <v>42718</v>
      </c>
      <c r="Q2" s="69">
        <v>42718</v>
      </c>
      <c r="R2" s="69"/>
      <c r="S2" s="59" t="s">
        <v>347</v>
      </c>
    </row>
    <row r="3" spans="1:21" x14ac:dyDescent="0.2">
      <c r="A3" s="59" t="s">
        <v>117</v>
      </c>
      <c r="B3" s="59" t="s">
        <v>99</v>
      </c>
      <c r="H3" s="59" t="s">
        <v>231</v>
      </c>
      <c r="I3" s="59" t="s">
        <v>232</v>
      </c>
      <c r="J3" s="59" t="s">
        <v>233</v>
      </c>
      <c r="K3" s="59" t="s">
        <v>234</v>
      </c>
      <c r="L3" s="59" t="s">
        <v>235</v>
      </c>
      <c r="M3" s="59" t="s">
        <v>236</v>
      </c>
      <c r="N3" s="59" t="s">
        <v>237</v>
      </c>
      <c r="O3" s="59" t="s">
        <v>238</v>
      </c>
      <c r="P3" s="59" t="s">
        <v>239</v>
      </c>
      <c r="Q3" s="59" t="s">
        <v>240</v>
      </c>
    </row>
    <row r="4" spans="1:21" x14ac:dyDescent="0.2">
      <c r="A4" s="59" t="s">
        <v>162</v>
      </c>
      <c r="B4" s="59" t="s">
        <v>163</v>
      </c>
      <c r="C4" s="59">
        <f>IF(IFERROR(INDEX('2020'!$G$5:$G$73,MATCH(B4,'2020'!$A$5:$A$73,0)),0)=0,"N/A",INDEX('2020'!$G$5:$G$73,MATCH(B4,'2020'!$A$5:$A$73,0)))</f>
        <v>25.95</v>
      </c>
      <c r="D4" s="59">
        <f>IF(IFERROR(INDEX('2019'!$G$5:$G$73,MATCH(B4,'2019'!$A$5:$A$73,0)),0)=0,"N/A",INDEX('2019'!$G$5:$G$73,MATCH(B4,'2019'!$A$5:$A$73,0)))</f>
        <v>34.884999999999998</v>
      </c>
      <c r="E4" s="59">
        <f>IF(IFERROR(INDEX('2018'!$G$5:$G$73,MATCH(B4,'2018'!$A$5:$A$73,0)),0)=0,"N/A",INDEX('2018'!$G$5:$G$73,MATCH(B4,'2018'!$A$5:$A$73,0)))</f>
        <v>42.807000000000002</v>
      </c>
      <c r="F4" s="59">
        <f>IF(IFERROR(INDEX('2017'!$G$5:$G$73,MATCH(B4,'2017'!$A$5:$A$73,0)),0)=0,"N/A",INDEX('2017'!$G$5:$G$73,MATCH(B4,'2017'!$A$5:$A$73,0)))</f>
        <v>40.198999999999998</v>
      </c>
      <c r="G4" s="67">
        <f>IF(IFERROR(INDEX('2016'!$G$5:$G$73,MATCH(B4,'2016'!$A$5:$A$73,0)),0)=0,"N/A",INDEX('2016'!$G$5:$G$73,MATCH(B4,'2016'!$A$5:$A$73,0)))</f>
        <v>37.026000000000003</v>
      </c>
      <c r="H4" s="59">
        <v>49.274000000000001</v>
      </c>
      <c r="I4" s="59">
        <v>61.976999999999997</v>
      </c>
      <c r="J4" s="59">
        <v>54.917000000000002</v>
      </c>
      <c r="K4" s="59">
        <v>40.618000000000002</v>
      </c>
      <c r="L4" s="59">
        <v>25.192</v>
      </c>
      <c r="M4" s="59">
        <v>19.861000000000001</v>
      </c>
      <c r="N4" s="59">
        <v>17.91</v>
      </c>
      <c r="O4" s="59">
        <v>25.855</v>
      </c>
      <c r="P4" s="59">
        <v>29.949000000000002</v>
      </c>
      <c r="Q4" s="59">
        <v>32.863</v>
      </c>
    </row>
    <row r="5" spans="1:21" x14ac:dyDescent="0.2">
      <c r="A5" s="59" t="s">
        <v>119</v>
      </c>
      <c r="B5" s="59" t="s">
        <v>0</v>
      </c>
      <c r="C5" s="59">
        <f>IF(IFERROR(INDEX('2020'!$G$5:$G$73,MATCH(B5,'2020'!$A$5:$A$73,0)),0)=0,"N/A",INDEX('2020'!$G$5:$G$73,MATCH(B5,'2020'!$A$5:$A$73,0)))</f>
        <v>61.250999999999998</v>
      </c>
      <c r="D5" s="59">
        <f>IF(IFERROR(INDEX('2019'!$G$5:$G$73,MATCH(B5,'2019'!$A$5:$A$73,0)),0)=0,"N/A",INDEX('2019'!$G$5:$G$73,MATCH(B5,'2019'!$A$5:$A$73,0)))</f>
        <v>82.4</v>
      </c>
      <c r="E5" s="59">
        <f>IF(IFERROR(INDEX('2018'!$G$5:$G$73,MATCH(B5,'2018'!$A$5:$A$73,0)),0)=0,"N/A",INDEX('2018'!$G$5:$G$73,MATCH(B5,'2018'!$A$5:$A$73,0)))</f>
        <v>74.923000000000002</v>
      </c>
      <c r="F5" s="59">
        <f>IF(IFERROR(INDEX('2017'!$G$5:$G$73,MATCH(B5,'2017'!$A$5:$A$73,0)),0)=0,"N/A",INDEX('2017'!$G$5:$G$73,MATCH(B5,'2017'!$A$5:$A$73,0)))</f>
        <v>72.134</v>
      </c>
      <c r="G5" s="67">
        <f>IF(IFERROR(INDEX('2016'!$G$5:$G$73,MATCH(B5,'2016'!$A$5:$A$73,0)),0)=0,"N/A",INDEX('2016'!$G$5:$G$73,MATCH(B5,'2016'!$A$5:$A$73,0)))</f>
        <v>58.503999999999998</v>
      </c>
      <c r="H5" s="59">
        <v>50.89</v>
      </c>
      <c r="I5" s="59">
        <v>49.963999999999999</v>
      </c>
      <c r="J5" s="59">
        <v>48.902999999999999</v>
      </c>
      <c r="K5" s="59">
        <v>40.973999999999997</v>
      </c>
      <c r="L5" s="59">
        <v>38.854999999999997</v>
      </c>
      <c r="M5" s="59">
        <v>34.987000000000002</v>
      </c>
      <c r="N5" s="59">
        <v>30.391999999999999</v>
      </c>
      <c r="O5" s="59">
        <v>39.332000000000001</v>
      </c>
      <c r="P5" s="59">
        <v>45.526000000000003</v>
      </c>
      <c r="Q5" s="59">
        <v>45.83</v>
      </c>
      <c r="S5" s="75">
        <f>E5/BV!E5</f>
        <v>1.7898471094123269</v>
      </c>
      <c r="T5" s="75">
        <f>F5/BV!F5</f>
        <v>1.782230567771903</v>
      </c>
      <c r="U5" s="75">
        <f>G5/BV!G5</f>
        <v>1.5329228350582995</v>
      </c>
    </row>
    <row r="6" spans="1:21" x14ac:dyDescent="0.2">
      <c r="A6" s="59" t="s">
        <v>120</v>
      </c>
      <c r="B6" s="59" t="s">
        <v>1</v>
      </c>
      <c r="C6" s="59">
        <f>IF(IFERROR(INDEX('2020'!$G$5:$G$73,MATCH(B6,'2020'!$A$5:$A$73,0)),0)=0,"N/A",INDEX('2020'!$G$5:$G$73,MATCH(B6,'2020'!$A$5:$A$73,0)))</f>
        <v>52.448999999999998</v>
      </c>
      <c r="D6" s="59">
        <f>IF(IFERROR(INDEX('2019'!$G$5:$G$73,MATCH(B6,'2019'!$A$5:$A$73,0)),0)=0,"N/A",INDEX('2019'!$G$5:$G$73,MATCH(B6,'2019'!$A$5:$A$73,0)))</f>
        <v>49.292000000000002</v>
      </c>
      <c r="E6" s="59">
        <f>IF(IFERROR(INDEX('2018'!$G$5:$G$73,MATCH(B6,'2018'!$A$5:$A$73,0)),0)=0,"N/A",INDEX('2018'!$G$5:$G$73,MATCH(B6,'2018'!$A$5:$A$73,0)))</f>
        <v>41.912999999999997</v>
      </c>
      <c r="F6" s="59">
        <f>IF(IFERROR(INDEX('2017'!$G$5:$G$73,MATCH(B6,'2017'!$A$5:$A$73,0)),0)=0,"N/A",INDEX('2017'!$G$5:$G$73,MATCH(B6,'2017'!$A$5:$A$73,0)))</f>
        <v>40.985999999999997</v>
      </c>
      <c r="G6" s="67">
        <f>IF(IFERROR(INDEX('2016'!$G$5:$G$73,MATCH(B6,'2016'!$A$5:$A$73,0)),0)=0,"N/A",INDEX('2016'!$G$5:$G$73,MATCH(B6,'2016'!$A$5:$A$73,0)))</f>
        <v>36.801000000000002</v>
      </c>
      <c r="H6" s="59">
        <v>30.541</v>
      </c>
      <c r="I6" s="59">
        <v>28.89</v>
      </c>
      <c r="J6" s="59">
        <v>25.129000000000001</v>
      </c>
      <c r="K6" s="59">
        <v>22.109000000000002</v>
      </c>
      <c r="L6" s="59">
        <v>19.87</v>
      </c>
      <c r="M6" s="59">
        <v>17.149999999999999</v>
      </c>
      <c r="N6" s="59">
        <v>13.099</v>
      </c>
      <c r="O6" s="59">
        <v>17.059999999999999</v>
      </c>
      <c r="P6" s="59">
        <v>20.279</v>
      </c>
      <c r="Q6" s="59">
        <v>17.324999999999999</v>
      </c>
    </row>
    <row r="7" spans="1:21" x14ac:dyDescent="0.2">
      <c r="A7" s="59" t="s">
        <v>121</v>
      </c>
      <c r="B7" s="59" t="s">
        <v>2</v>
      </c>
      <c r="C7" s="59">
        <f>IF(IFERROR(INDEX('2020'!$G$5:$G$73,MATCH(B7,'2020'!$A$5:$A$73,0)),0)=0,"N/A",INDEX('2020'!$G$5:$G$73,MATCH(B7,'2020'!$A$5:$A$73,0)))</f>
        <v>86.5</v>
      </c>
      <c r="D7" s="59">
        <f>IF(IFERROR(INDEX('2019'!$G$5:$G$73,MATCH(B7,'2019'!$A$5:$A$73,0)),0)=0,"N/A",INDEX('2019'!$G$5:$G$73,MATCH(B7,'2019'!$A$5:$A$73,0)))</f>
        <v>87.352000000000004</v>
      </c>
      <c r="E7" s="59">
        <f>IF(IFERROR(INDEX('2018'!$G$5:$G$73,MATCH(B7,'2018'!$A$5:$A$73,0)),0)=0,"N/A",INDEX('2018'!$G$5:$G$73,MATCH(B7,'2018'!$A$5:$A$73,0)))</f>
        <v>70.355999999999995</v>
      </c>
      <c r="F7" s="59">
        <f>IF(IFERROR(INDEX('2017'!$G$5:$G$73,MATCH(B7,'2017'!$A$5:$A$73,0)),0)=0,"N/A",INDEX('2017'!$G$5:$G$73,MATCH(B7,'2017'!$A$5:$A$73,0)))</f>
        <v>69.971000000000004</v>
      </c>
      <c r="G7" s="67">
        <f>IF(IFERROR(INDEX('2016'!$G$5:$G$73,MATCH(B7,'2016'!$A$5:$A$73,0)),0)=0,"N/A",INDEX('2016'!$G$5:$G$73,MATCH(B7,'2016'!$A$5:$A$73,0)))</f>
        <v>64.116</v>
      </c>
      <c r="H7" s="59">
        <v>56.610999999999997</v>
      </c>
      <c r="I7" s="59">
        <v>53.024999999999999</v>
      </c>
      <c r="J7" s="59">
        <v>46.091000000000001</v>
      </c>
      <c r="K7" s="59">
        <v>41.026000000000003</v>
      </c>
      <c r="L7" s="59">
        <v>37.302999999999997</v>
      </c>
      <c r="M7" s="59">
        <v>34.881999999999998</v>
      </c>
      <c r="N7" s="59">
        <v>29.795000000000002</v>
      </c>
      <c r="O7" s="59">
        <v>39.051000000000002</v>
      </c>
      <c r="P7" s="59">
        <v>46.526000000000003</v>
      </c>
      <c r="Q7" s="59">
        <v>36.911000000000001</v>
      </c>
    </row>
    <row r="8" spans="1:21" x14ac:dyDescent="0.2">
      <c r="A8" s="59" t="s">
        <v>164</v>
      </c>
      <c r="B8" s="59" t="s">
        <v>165</v>
      </c>
      <c r="C8" s="59">
        <f>IF(IFERROR(INDEX('2020'!$G$5:$G$73,MATCH(B8,'2020'!$A$5:$A$73,0)),0)=0,"N/A",INDEX('2020'!$G$5:$G$73,MATCH(B8,'2020'!$A$5:$A$73,0)))</f>
        <v>79.893000000000001</v>
      </c>
      <c r="D8" s="59">
        <f>IF(IFERROR(INDEX('2019'!$G$5:$G$73,MATCH(B8,'2019'!$A$5:$A$73,0)),0)=0,"N/A",INDEX('2019'!$G$5:$G$73,MATCH(B8,'2019'!$A$5:$A$73,0)))</f>
        <v>78.337999999999994</v>
      </c>
      <c r="E8" s="59">
        <f>IF(IFERROR(INDEX('2018'!$G$5:$G$73,MATCH(B8,'2018'!$A$5:$A$73,0)),0)=0,"N/A",INDEX('2018'!$G$5:$G$73,MATCH(B8,'2018'!$A$5:$A$73,0)))</f>
        <v>58.558</v>
      </c>
      <c r="F8" s="59">
        <f>IF(IFERROR(INDEX('2017'!$G$5:$G$73,MATCH(B8,'2017'!$A$5:$A$73,0)),0)=0,"N/A",INDEX('2017'!$G$5:$G$73,MATCH(B8,'2017'!$A$5:$A$73,0)))</f>
        <v>48.341999999999999</v>
      </c>
      <c r="G8" s="67">
        <f>IF(IFERROR(INDEX('2016'!$G$5:$G$73,MATCH(B8,'2016'!$A$5:$A$73,0)),0)=0,"N/A",INDEX('2016'!$G$5:$G$73,MATCH(B8,'2016'!$A$5:$A$73,0)))</f>
        <v>41.460999999999999</v>
      </c>
      <c r="H8" s="59">
        <v>39.564999999999998</v>
      </c>
      <c r="I8" s="59">
        <v>31.548999999999999</v>
      </c>
      <c r="J8" s="59">
        <v>27.638000000000002</v>
      </c>
      <c r="K8" s="59">
        <v>20.164000000000001</v>
      </c>
      <c r="L8" s="59">
        <v>17.2</v>
      </c>
      <c r="M8" s="59">
        <v>17.462</v>
      </c>
      <c r="N8" s="59">
        <v>17.169</v>
      </c>
      <c r="O8" s="59">
        <v>17.503</v>
      </c>
      <c r="P8" s="59">
        <v>19.443000000000001</v>
      </c>
      <c r="Q8" s="59">
        <v>18.440000000000001</v>
      </c>
    </row>
    <row r="9" spans="1:21" x14ac:dyDescent="0.2">
      <c r="A9" s="59" t="s">
        <v>166</v>
      </c>
      <c r="B9" s="59" t="s">
        <v>167</v>
      </c>
      <c r="C9" s="59">
        <f>IF(IFERROR(INDEX('2020'!$G$5:$G$73,MATCH(B9,'2020'!$A$5:$A$73,0)),0)=0,"N/A",INDEX('2020'!$G$5:$G$73,MATCH(B9,'2020'!$A$5:$A$73,0)))</f>
        <v>137.84299999999999</v>
      </c>
      <c r="D9" s="59">
        <f>IF(IFERROR(INDEX('2019'!$G$5:$G$73,MATCH(B9,'2019'!$A$5:$A$73,0)),0)=0,"N/A",INDEX('2019'!$G$5:$G$73,MATCH(B9,'2019'!$A$5:$A$73,0)))</f>
        <v>112.776</v>
      </c>
      <c r="E9" s="59">
        <f>IF(IFERROR(INDEX('2018'!$G$5:$G$73,MATCH(B9,'2018'!$A$5:$A$73,0)),0)=0,"N/A",INDEX('2018'!$G$5:$G$73,MATCH(B9,'2018'!$A$5:$A$73,0)))</f>
        <v>86.018000000000001</v>
      </c>
      <c r="F9" s="59">
        <f>IF(IFERROR(INDEX('2017'!$G$5:$G$73,MATCH(B9,'2017'!$A$5:$A$73,0)),0)=0,"N/A",INDEX('2017'!$G$5:$G$73,MATCH(B9,'2017'!$A$5:$A$73,0)))</f>
        <v>80.414000000000001</v>
      </c>
      <c r="G9" s="67">
        <f>IF(IFERROR(INDEX('2016'!$G$5:$G$73,MATCH(B9,'2016'!$A$5:$A$73,0)),0)=0,"N/A",INDEX('2016'!$G$5:$G$73,MATCH(B9,'2016'!$A$5:$A$73,0)))</f>
        <v>72.603999999999999</v>
      </c>
      <c r="H9" s="59">
        <v>54.140999999999998</v>
      </c>
      <c r="I9" s="59">
        <v>47.841000000000001</v>
      </c>
      <c r="J9" s="59">
        <v>40.997</v>
      </c>
      <c r="K9" s="59">
        <v>35.252000000000002</v>
      </c>
      <c r="L9" s="59">
        <v>28.893000000000001</v>
      </c>
      <c r="M9" s="59">
        <v>22.358000000000001</v>
      </c>
      <c r="N9" s="59">
        <v>19.544</v>
      </c>
      <c r="O9" s="59">
        <v>20.809000000000001</v>
      </c>
      <c r="P9" s="67" t="s">
        <v>106</v>
      </c>
      <c r="Q9" s="67" t="s">
        <v>106</v>
      </c>
      <c r="R9" s="67"/>
    </row>
    <row r="10" spans="1:21" x14ac:dyDescent="0.2">
      <c r="A10" s="59" t="s">
        <v>122</v>
      </c>
      <c r="B10" s="59" t="s">
        <v>3</v>
      </c>
      <c r="C10" s="59">
        <f>IF(IFERROR(INDEX('2020'!$G$5:$G$73,MATCH(B10,'2020'!$A$5:$A$73,0)),0)=0,"N/A",INDEX('2020'!$G$5:$G$73,MATCH(B10,'2020'!$A$5:$A$73,0)))</f>
        <v>77.816000000000003</v>
      </c>
      <c r="D10" s="59">
        <f>IF(IFERROR(INDEX('2019'!$G$5:$G$73,MATCH(B10,'2019'!$A$5:$A$73,0)),0)=0,"N/A",INDEX('2019'!$G$5:$G$73,MATCH(B10,'2019'!$A$5:$A$73,0)))</f>
        <v>73.998999999999995</v>
      </c>
      <c r="E10" s="59">
        <f>IF(IFERROR(INDEX('2018'!$G$5:$G$73,MATCH(B10,'2018'!$A$5:$A$73,0)),0)=0,"N/A",INDEX('2018'!$G$5:$G$73,MATCH(B10,'2018'!$A$5:$A$73,0)))</f>
        <v>60.710999999999999</v>
      </c>
      <c r="F10" s="59">
        <f>IF(IFERROR(INDEX('2017'!$G$5:$G$73,MATCH(B10,'2017'!$A$5:$A$73,0)),0)=0,"N/A",INDEX('2017'!$G$5:$G$73,MATCH(B10,'2017'!$A$5:$A$73,0)))</f>
        <v>57.05</v>
      </c>
      <c r="G10" s="67">
        <f>IF(IFERROR(INDEX('2016'!$G$5:$G$73,MATCH(B10,'2016'!$A$5:$A$73,0)),0)=0,"N/A",INDEX('2016'!$G$5:$G$73,MATCH(B10,'2016'!$A$5:$A$73,0)))</f>
        <v>49.027999999999999</v>
      </c>
      <c r="H10" s="59">
        <v>41.758000000000003</v>
      </c>
      <c r="I10" s="59">
        <v>40.094999999999999</v>
      </c>
      <c r="J10" s="59">
        <v>34.685000000000002</v>
      </c>
      <c r="K10" s="59">
        <v>32.177</v>
      </c>
      <c r="L10" s="59">
        <v>29.477</v>
      </c>
      <c r="M10" s="59">
        <v>26.742999999999999</v>
      </c>
      <c r="N10" s="59">
        <v>25.745000000000001</v>
      </c>
      <c r="O10" s="59">
        <v>40.911000000000001</v>
      </c>
      <c r="P10" s="59">
        <v>52</v>
      </c>
      <c r="Q10" s="59">
        <v>51.564999999999998</v>
      </c>
    </row>
    <row r="11" spans="1:21" x14ac:dyDescent="0.2">
      <c r="A11" s="59" t="s">
        <v>168</v>
      </c>
      <c r="B11" s="59" t="s">
        <v>169</v>
      </c>
      <c r="C11" s="59" t="str">
        <f>IF(IFERROR(INDEX('2020'!$G$5:$G$73,MATCH(B11,'2020'!$A$5:$A$73,0)),0)=0,"N/A",INDEX('2020'!$G$5:$G$73,MATCH(B11,'2020'!$A$5:$A$73,0)))</f>
        <v>N/A</v>
      </c>
      <c r="D11" s="59" t="str">
        <f>IF(IFERROR(INDEX('2019'!$G$5:$G$73,MATCH(B11,'2019'!$A$5:$A$73,0)),0)=0,"N/A",INDEX('2019'!$G$5:$G$73,MATCH(B11,'2019'!$A$5:$A$73,0)))</f>
        <v>N/A</v>
      </c>
      <c r="E11" s="59">
        <f>IF(IFERROR(INDEX('2018'!$G$5:$G$73,MATCH(B11,'2018'!$A$5:$A$73,0)),0)=0,"N/A",INDEX('2018'!$G$5:$G$73,MATCH(B11,'2018'!$A$5:$A$73,0)))</f>
        <v>43.054000000000002</v>
      </c>
      <c r="F11" s="59">
        <f>IF(IFERROR(INDEX('2017'!$G$5:$G$73,MATCH(B11,'2017'!$A$5:$A$73,0)),0)=0,"N/A",INDEX('2017'!$G$5:$G$73,MATCH(B11,'2017'!$A$5:$A$73,0)))</f>
        <v>45.497</v>
      </c>
      <c r="G11" s="67">
        <f>IF(IFERROR(INDEX('2016'!$G$5:$G$73,MATCH(B11,'2016'!$A$5:$A$73,0)),0)=0,"N/A",INDEX('2016'!$G$5:$G$73,MATCH(B11,'2016'!$A$5:$A$73,0)))</f>
        <v>42.222999999999999</v>
      </c>
      <c r="H11" s="59">
        <v>47.04</v>
      </c>
      <c r="I11" s="59">
        <v>44.317</v>
      </c>
      <c r="J11" s="59">
        <v>43.633000000000003</v>
      </c>
      <c r="K11" s="59">
        <v>42.305</v>
      </c>
      <c r="L11" s="59">
        <v>46.231000000000002</v>
      </c>
      <c r="M11" s="59">
        <v>40.701000000000001</v>
      </c>
      <c r="N11" s="59">
        <v>30.943000000000001</v>
      </c>
      <c r="O11" s="59">
        <v>33.209000000000003</v>
      </c>
      <c r="P11" s="59">
        <v>33.975000000000001</v>
      </c>
      <c r="Q11" s="59">
        <v>29.739000000000001</v>
      </c>
    </row>
    <row r="12" spans="1:21" x14ac:dyDescent="0.2">
      <c r="A12" s="59" t="s">
        <v>170</v>
      </c>
      <c r="B12" s="59" t="s">
        <v>171</v>
      </c>
      <c r="C12" s="59" t="str">
        <f>IF(IFERROR(INDEX('2020'!$G$5:$G$73,MATCH(B12,'2020'!$A$5:$A$73,0)),0)=0,"N/A",INDEX('2020'!$G$5:$G$73,MATCH(B12,'2020'!$A$5:$A$73,0)))</f>
        <v>N/A</v>
      </c>
      <c r="D12" s="59" t="str">
        <f>IF(IFERROR(INDEX('2019'!$G$5:$G$73,MATCH(B12,'2019'!$A$5:$A$73,0)),0)=0,"N/A",INDEX('2019'!$G$5:$G$73,MATCH(B12,'2019'!$A$5:$A$73,0)))</f>
        <v>N/A</v>
      </c>
      <c r="E12" s="59">
        <f>IF(IFERROR(INDEX('2018'!$G$5:$G$73,MATCH(B12,'2018'!$A$5:$A$73,0)),0)=0,"N/A",INDEX('2018'!$G$5:$G$73,MATCH(B12,'2018'!$A$5:$A$73,0)))</f>
        <v>35.173999999999999</v>
      </c>
      <c r="F12" s="59">
        <f>IF(IFERROR(INDEX('2017'!$G$5:$G$73,MATCH(B12,'2017'!$A$5:$A$73,0)),0)=0,"N/A",INDEX('2017'!$G$5:$G$73,MATCH(B12,'2017'!$A$5:$A$73,0)))</f>
        <v>33.295999999999999</v>
      </c>
      <c r="G12" s="67">
        <f>IF(IFERROR(INDEX('2016'!$G$5:$G$73,MATCH(B12,'2016'!$A$5:$A$73,0)),0)=0,"N/A",INDEX('2016'!$G$5:$G$73,MATCH(B12,'2016'!$A$5:$A$73,0)))</f>
        <v>31.498999999999999</v>
      </c>
      <c r="H12" s="59">
        <v>26.8</v>
      </c>
      <c r="I12" s="59">
        <v>24.913</v>
      </c>
      <c r="J12" s="59">
        <v>24.568999999999999</v>
      </c>
      <c r="K12" s="59">
        <v>19.129000000000001</v>
      </c>
      <c r="L12" s="59">
        <v>17.686</v>
      </c>
      <c r="M12" s="59">
        <v>15.176</v>
      </c>
      <c r="N12" s="59">
        <v>14.226000000000001</v>
      </c>
      <c r="O12" s="59">
        <v>14.558</v>
      </c>
      <c r="P12" s="59">
        <v>18.158000000000001</v>
      </c>
      <c r="Q12" s="59">
        <v>19.434000000000001</v>
      </c>
    </row>
    <row r="13" spans="1:21" x14ac:dyDescent="0.2">
      <c r="A13" s="59" t="s">
        <v>172</v>
      </c>
      <c r="B13" s="59" t="s">
        <v>173</v>
      </c>
      <c r="C13" s="59">
        <f>IF(IFERROR(INDEX('2020'!$G$5:$G$73,MATCH(B13,'2020'!$A$5:$A$73,0)),0)=0,"N/A",INDEX('2020'!$G$5:$G$73,MATCH(B13,'2020'!$A$5:$A$73,0)))</f>
        <v>36.173000000000002</v>
      </c>
      <c r="D13" s="59">
        <f>IF(IFERROR(INDEX('2019'!$G$5:$G$73,MATCH(B13,'2019'!$A$5:$A$73,0)),0)=0,"N/A",INDEX('2019'!$G$5:$G$73,MATCH(B13,'2019'!$A$5:$A$73,0)))</f>
        <v>36.554000000000002</v>
      </c>
      <c r="E13" s="59">
        <f>IF(IFERROR(INDEX('2018'!$G$5:$G$73,MATCH(B13,'2018'!$A$5:$A$73,0)),0)=0,"N/A",INDEX('2018'!$G$5:$G$73,MATCH(B13,'2018'!$A$5:$A$73,0)))</f>
        <v>36.76</v>
      </c>
      <c r="F13" s="59">
        <f>IF(IFERROR(INDEX('2017'!$G$5:$G$73,MATCH(B13,'2017'!$A$5:$A$73,0)),0)=0,"N/A",INDEX('2017'!$G$5:$G$73,MATCH(B13,'2017'!$A$5:$A$73,0)))</f>
        <v>36.549999999999997</v>
      </c>
      <c r="G13" s="67">
        <f>IF(IFERROR(INDEX('2016'!$G$5:$G$73,MATCH(B13,'2016'!$A$5:$A$73,0)),0)=0,"N/A",INDEX('2016'!$G$5:$G$73,MATCH(B13,'2016'!$A$5:$A$73,0)))</f>
        <v>29.407</v>
      </c>
      <c r="H13" s="59">
        <v>22.716999999999999</v>
      </c>
      <c r="I13" s="59">
        <v>21.899000000000001</v>
      </c>
      <c r="J13" s="59">
        <v>22.491</v>
      </c>
      <c r="K13" s="59">
        <v>20.689</v>
      </c>
      <c r="L13" s="59">
        <v>18.657</v>
      </c>
      <c r="M13" s="59">
        <v>18.244</v>
      </c>
      <c r="N13" s="59">
        <v>15.926</v>
      </c>
      <c r="O13" s="59">
        <v>17.260000000000002</v>
      </c>
      <c r="P13" s="59">
        <v>19.324999999999999</v>
      </c>
      <c r="Q13" s="59">
        <v>19.681000000000001</v>
      </c>
    </row>
    <row r="14" spans="1:21" x14ac:dyDescent="0.2">
      <c r="A14" s="59" t="s">
        <v>174</v>
      </c>
      <c r="B14" s="59" t="s">
        <v>175</v>
      </c>
      <c r="C14" s="59">
        <f>IF(IFERROR(INDEX('2020'!$G$5:$G$73,MATCH(B14,'2020'!$A$5:$A$73,0)),0)=0,"N/A",INDEX('2020'!$G$5:$G$73,MATCH(B14,'2020'!$A$5:$A$73,0)))</f>
        <v>105.248</v>
      </c>
      <c r="D14" s="59">
        <f>IF(IFERROR(INDEX('2019'!$G$5:$G$73,MATCH(B14,'2019'!$A$5:$A$73,0)),0)=0,"N/A",INDEX('2019'!$G$5:$G$73,MATCH(B14,'2019'!$A$5:$A$73,0)))</f>
        <v>100.98399999999999</v>
      </c>
      <c r="E14" s="59">
        <f>IF(IFERROR(INDEX('2018'!$G$5:$G$73,MATCH(B14,'2018'!$A$5:$A$73,0)),0)=0,"N/A",INDEX('2018'!$G$5:$G$73,MATCH(B14,'2018'!$A$5:$A$73,0)))</f>
        <v>86.986999999999995</v>
      </c>
      <c r="F14" s="59">
        <f>IF(IFERROR(INDEX('2017'!$G$5:$G$73,MATCH(B14,'2017'!$A$5:$A$73,0)),0)=0,"N/A",INDEX('2017'!$G$5:$G$73,MATCH(B14,'2017'!$A$5:$A$73,0)))</f>
        <v>79.325000000000003</v>
      </c>
      <c r="G14" s="67">
        <f>IF(IFERROR(INDEX('2016'!$G$5:$G$73,MATCH(B14,'2016'!$A$5:$A$73,0)),0)=0,"N/A",INDEX('2016'!$G$5:$G$73,MATCH(B14,'2016'!$A$5:$A$73,0)))</f>
        <v>70.305000000000007</v>
      </c>
      <c r="H14" s="59">
        <v>54.079000000000001</v>
      </c>
      <c r="I14" s="59">
        <v>47.633000000000003</v>
      </c>
      <c r="J14" s="59">
        <v>39.683</v>
      </c>
      <c r="K14" s="59">
        <v>33.451999999999998</v>
      </c>
      <c r="L14" s="59">
        <v>32.442</v>
      </c>
      <c r="M14" s="59">
        <v>28.533000000000001</v>
      </c>
      <c r="N14" s="59">
        <v>24.7</v>
      </c>
      <c r="O14" s="59">
        <v>27.169</v>
      </c>
      <c r="P14" s="59">
        <v>30.78</v>
      </c>
      <c r="Q14" s="59">
        <v>27.047999999999998</v>
      </c>
    </row>
    <row r="15" spans="1:21" x14ac:dyDescent="0.2">
      <c r="A15" s="59" t="s">
        <v>263</v>
      </c>
      <c r="B15" s="59" t="s">
        <v>260</v>
      </c>
      <c r="C15" s="59">
        <f>IF(IFERROR(INDEX('2020'!$G$5:$G$73,MATCH(B15,'2020'!$A$5:$A$73,0)),0)=0,"N/A",INDEX('2020'!$G$5:$G$73,MATCH(B15,'2020'!$A$5:$A$73,0)))</f>
        <v>47.634999999999998</v>
      </c>
      <c r="D15" s="59">
        <f>IF(IFERROR(INDEX('2019'!$G$5:$G$73,MATCH(B15,'2019'!$A$5:$A$73,0)),0)=0,"N/A",INDEX('2019'!$G$5:$G$73,MATCH(B15,'2019'!$A$5:$A$73,0)))</f>
        <v>50.058</v>
      </c>
      <c r="E15" s="59">
        <f>IF(IFERROR(INDEX('2018'!$G$5:$G$73,MATCH(B15,'2018'!$A$5:$A$73,0)),0)=0,"N/A",INDEX('2018'!$G$5:$G$73,MATCH(B15,'2018'!$A$5:$A$73,0)))</f>
        <v>50.021000000000001</v>
      </c>
      <c r="F15" s="59">
        <f>IF(IFERROR(INDEX('2017'!$G$5:$G$73,MATCH(B15,'2017'!$A$5:$A$73,0)),0)=0,"N/A",INDEX('2017'!$G$5:$G$73,MATCH(B15,'2017'!$A$5:$A$73,0)))</f>
        <v>45.533999999999999</v>
      </c>
      <c r="G15" s="67">
        <f>IF(IFERROR(INDEX('2016'!$G$5:$G$73,MATCH(B15,'2016'!$A$5:$A$73,0)),0)=0,"N/A",INDEX('2016'!$G$5:$G$73,MATCH(B15,'2016'!$A$5:$A$73,0)))</f>
        <v>40.575000000000003</v>
      </c>
      <c r="H15" s="59">
        <v>35.204999999999998</v>
      </c>
      <c r="I15" s="67" t="s">
        <v>106</v>
      </c>
      <c r="J15" s="67" t="s">
        <v>106</v>
      </c>
      <c r="K15" s="67" t="s">
        <v>106</v>
      </c>
      <c r="L15" s="67" t="s">
        <v>106</v>
      </c>
      <c r="M15" s="67" t="s">
        <v>106</v>
      </c>
      <c r="N15" s="67" t="s">
        <v>106</v>
      </c>
      <c r="O15" s="67" t="s">
        <v>106</v>
      </c>
      <c r="P15" s="67" t="s">
        <v>106</v>
      </c>
      <c r="Q15" s="67" t="s">
        <v>106</v>
      </c>
      <c r="R15" s="67"/>
    </row>
    <row r="16" spans="1:21" x14ac:dyDescent="0.2">
      <c r="A16" s="59" t="s">
        <v>123</v>
      </c>
      <c r="B16" s="59" t="s">
        <v>4</v>
      </c>
      <c r="C16" s="59">
        <f>IF(IFERROR(INDEX('2020'!$G$5:$G$73,MATCH(B16,'2020'!$A$5:$A$73,0)),0)=0,"N/A",INDEX('2020'!$G$5:$G$73,MATCH(B16,'2020'!$A$5:$A$73,0)))</f>
        <v>40.232999999999997</v>
      </c>
      <c r="D16" s="59">
        <f>IF(IFERROR(INDEX('2019'!$G$5:$G$73,MATCH(B16,'2019'!$A$5:$A$73,0)),0)=0,"N/A",INDEX('2019'!$G$5:$G$73,MATCH(B16,'2019'!$A$5:$A$73,0)))</f>
        <v>44.497</v>
      </c>
      <c r="E16" s="59">
        <f>IF(IFERROR(INDEX('2018'!$G$5:$G$73,MATCH(B16,'2018'!$A$5:$A$73,0)),0)=0,"N/A",INDEX('2018'!$G$5:$G$73,MATCH(B16,'2018'!$A$5:$A$73,0)))</f>
        <v>50.804000000000002</v>
      </c>
      <c r="F16" s="59">
        <f>IF(IFERROR(INDEX('2017'!$G$5:$G$73,MATCH(B16,'2017'!$A$5:$A$73,0)),0)=0,"N/A",INDEX('2017'!$G$5:$G$73,MATCH(B16,'2017'!$A$5:$A$73,0)))</f>
        <v>45.578000000000003</v>
      </c>
      <c r="G16" s="67">
        <f>IF(IFERROR(INDEX('2016'!$G$5:$G$73,MATCH(B16,'2016'!$A$5:$A$73,0)),0)=0,"N/A",INDEX('2016'!$G$5:$G$73,MATCH(B16,'2016'!$A$5:$A$73,0)))</f>
        <v>40.408999999999999</v>
      </c>
      <c r="H16" s="59">
        <v>33.270000000000003</v>
      </c>
      <c r="I16" s="59">
        <v>31.798999999999999</v>
      </c>
      <c r="J16" s="59">
        <v>27.074000000000002</v>
      </c>
      <c r="K16" s="59">
        <v>25.472000000000001</v>
      </c>
      <c r="L16" s="59">
        <v>24.213999999999999</v>
      </c>
      <c r="M16" s="59">
        <v>21.02</v>
      </c>
      <c r="N16" s="59">
        <v>18.036999999999999</v>
      </c>
      <c r="O16" s="59">
        <v>20.361999999999998</v>
      </c>
      <c r="P16" s="59">
        <v>22.23</v>
      </c>
      <c r="Q16" s="59">
        <v>22.623999999999999</v>
      </c>
    </row>
    <row r="17" spans="1:18" x14ac:dyDescent="0.2">
      <c r="A17" s="59" t="s">
        <v>124</v>
      </c>
      <c r="B17" s="59" t="s">
        <v>5</v>
      </c>
      <c r="C17" s="59">
        <f>IF(IFERROR(INDEX('2020'!$G$5:$G$73,MATCH(B17,'2020'!$A$5:$A$73,0)),0)=0,"N/A",INDEX('2020'!$G$5:$G$73,MATCH(B17,'2020'!$A$5:$A$73,0)))</f>
        <v>63.393000000000001</v>
      </c>
      <c r="D17" s="59">
        <f>IF(IFERROR(INDEX('2019'!$G$5:$G$73,MATCH(B17,'2019'!$A$5:$A$73,0)),0)=0,"N/A",INDEX('2019'!$G$5:$G$73,MATCH(B17,'2019'!$A$5:$A$73,0)))</f>
        <v>74.760000000000005</v>
      </c>
      <c r="E17" s="59">
        <f>IF(IFERROR(INDEX('2018'!$G$5:$G$73,MATCH(B17,'2018'!$A$5:$A$73,0)),0)=0,"N/A",INDEX('2018'!$G$5:$G$73,MATCH(B17,'2018'!$A$5:$A$73,0)))</f>
        <v>58.372</v>
      </c>
      <c r="F17" s="59">
        <f>IF(IFERROR(INDEX('2017'!$G$5:$G$73,MATCH(B17,'2017'!$A$5:$A$73,0)),0)=0,"N/A",INDEX('2017'!$G$5:$G$73,MATCH(B17,'2017'!$A$5:$A$73,0)))</f>
        <v>65.835999999999999</v>
      </c>
      <c r="G17" s="67">
        <f>IF(IFERROR(INDEX('2016'!$G$5:$G$73,MATCH(B17,'2016'!$A$5:$A$73,0)),0)=0,"N/A",INDEX('2016'!$G$5:$G$73,MATCH(B17,'2016'!$A$5:$A$73,0)))</f>
        <v>58.619</v>
      </c>
      <c r="H17" s="59">
        <v>45.667999999999999</v>
      </c>
      <c r="I17" s="59">
        <v>54.994999999999997</v>
      </c>
      <c r="J17" s="59">
        <v>47.6</v>
      </c>
      <c r="K17" s="59">
        <v>33.749000000000002</v>
      </c>
      <c r="L17" s="59">
        <v>31.44</v>
      </c>
      <c r="M17" s="59">
        <v>30.04</v>
      </c>
      <c r="N17" s="59">
        <v>23.027999999999999</v>
      </c>
      <c r="O17" s="59">
        <v>33.241999999999997</v>
      </c>
      <c r="P17" s="59">
        <v>40.261000000000003</v>
      </c>
      <c r="Q17" s="59">
        <v>34.845999999999997</v>
      </c>
    </row>
    <row r="18" spans="1:18" x14ac:dyDescent="0.2">
      <c r="A18" s="59" t="s">
        <v>176</v>
      </c>
      <c r="B18" s="59" t="s">
        <v>177</v>
      </c>
      <c r="C18" s="59">
        <f>IF(IFERROR(INDEX('2020'!$G$5:$G$73,MATCH(B18,'2020'!$A$5:$A$73,0)),0)=0,"N/A",INDEX('2020'!$G$5:$G$73,MATCH(B18,'2020'!$A$5:$A$73,0)))</f>
        <v>48.993000000000002</v>
      </c>
      <c r="D18" s="59">
        <f>IF(IFERROR(INDEX('2019'!$G$5:$G$73,MATCH(B18,'2019'!$A$5:$A$73,0)),0)=0,"N/A",INDEX('2019'!$G$5:$G$73,MATCH(B18,'2019'!$A$5:$A$73,0)))</f>
        <v>51.51</v>
      </c>
      <c r="E18" s="59">
        <f>IF(IFERROR(INDEX('2018'!$G$5:$G$73,MATCH(B18,'2018'!$A$5:$A$73,0)),0)=0,"N/A",INDEX('2018'!$G$5:$G$73,MATCH(B18,'2018'!$A$5:$A$73,0)))</f>
        <v>41.210999999999999</v>
      </c>
      <c r="F18" s="59">
        <f>IF(IFERROR(INDEX('2017'!$G$5:$G$73,MATCH(B18,'2017'!$A$5:$A$73,0)),0)=0,"N/A",INDEX('2017'!$G$5:$G$73,MATCH(B18,'2017'!$A$5:$A$73,0)))</f>
        <v>37.654000000000003</v>
      </c>
      <c r="G18" s="67">
        <f>IF(IFERROR(INDEX('2016'!$G$5:$G$73,MATCH(B18,'2016'!$A$5:$A$73,0)),0)=0,"N/A",INDEX('2016'!$G$5:$G$73,MATCH(B18,'2016'!$A$5:$A$73,0)))</f>
        <v>29.946000000000002</v>
      </c>
      <c r="H18" s="59">
        <v>23.286999999999999</v>
      </c>
      <c r="I18" s="59">
        <v>23.431999999999999</v>
      </c>
      <c r="J18" s="59">
        <v>20.527999999999999</v>
      </c>
      <c r="K18" s="59">
        <v>18.236000000000001</v>
      </c>
      <c r="L18" s="59">
        <v>18.297999999999998</v>
      </c>
      <c r="M18" s="59">
        <v>18.367000000000001</v>
      </c>
      <c r="N18" s="59">
        <v>19.193999999999999</v>
      </c>
      <c r="O18" s="59">
        <v>18.777999999999999</v>
      </c>
      <c r="P18" s="59">
        <v>19.542999999999999</v>
      </c>
      <c r="Q18" s="59">
        <v>19.59</v>
      </c>
    </row>
    <row r="19" spans="1:18" x14ac:dyDescent="0.2">
      <c r="A19" s="59" t="s">
        <v>125</v>
      </c>
      <c r="B19" s="59" t="s">
        <v>6</v>
      </c>
      <c r="C19" s="59">
        <f>IF(IFERROR(INDEX('2020'!$G$5:$G$73,MATCH(B19,'2020'!$A$5:$A$73,0)),0)=0,"N/A",INDEX('2020'!$G$5:$G$73,MATCH(B19,'2020'!$A$5:$A$73,0)))</f>
        <v>20.54</v>
      </c>
      <c r="D19" s="59">
        <f>IF(IFERROR(INDEX('2019'!$G$5:$G$73,MATCH(B19,'2019'!$A$5:$A$73,0)),0)=0,"N/A",INDEX('2019'!$G$5:$G$73,MATCH(B19,'2019'!$A$5:$A$73,0)))</f>
        <v>28.984000000000002</v>
      </c>
      <c r="E19" s="59">
        <f>IF(IFERROR(INDEX('2018'!$G$5:$G$73,MATCH(B19,'2018'!$A$5:$A$73,0)),0)=0,"N/A",INDEX('2018'!$G$5:$G$73,MATCH(B19,'2018'!$A$5:$A$73,0)))</f>
        <v>27.369</v>
      </c>
      <c r="F19" s="59">
        <f>IF(IFERROR(INDEX('2017'!$G$5:$G$73,MATCH(B19,'2017'!$A$5:$A$73,0)),0)=0,"N/A",INDEX('2017'!$G$5:$G$73,MATCH(B19,'2017'!$A$5:$A$73,0)))</f>
        <v>28.114999999999998</v>
      </c>
      <c r="G19" s="67">
        <f>IF(IFERROR(INDEX('2016'!$G$5:$G$73,MATCH(B19,'2016'!$A$5:$A$73,0)),0)=0,"N/A",INDEX('2016'!$G$5:$G$73,MATCH(B19,'2016'!$A$5:$A$73,0)))</f>
        <v>21.91</v>
      </c>
      <c r="H19" s="59">
        <v>19.545999999999999</v>
      </c>
      <c r="I19" s="59">
        <v>24.082999999999998</v>
      </c>
      <c r="J19" s="59">
        <v>23.245999999999999</v>
      </c>
      <c r="K19" s="59">
        <v>20.042999999999999</v>
      </c>
      <c r="L19" s="59">
        <v>18.510000000000002</v>
      </c>
      <c r="M19" s="59">
        <v>14.746</v>
      </c>
      <c r="N19" s="59">
        <v>11.925000000000001</v>
      </c>
      <c r="O19" s="59">
        <v>14.654</v>
      </c>
      <c r="P19" s="59">
        <v>17.552</v>
      </c>
      <c r="Q19" s="59">
        <v>13.651999999999999</v>
      </c>
    </row>
    <row r="20" spans="1:18" x14ac:dyDescent="0.2">
      <c r="A20" s="59" t="s">
        <v>215</v>
      </c>
      <c r="B20" s="59" t="s">
        <v>178</v>
      </c>
      <c r="C20" s="59">
        <f>IF(IFERROR(INDEX('2020'!$G$5:$G$73,MATCH(B20,'2020'!$A$5:$A$73,0)),0)=0,"N/A",INDEX('2020'!$G$5:$G$73,MATCH(B20,'2020'!$A$5:$A$73,0)))</f>
        <v>90.8</v>
      </c>
      <c r="D20" s="59">
        <f>IF(IFERROR(INDEX('2019'!$G$5:$G$73,MATCH(B20,'2019'!$A$5:$A$73,0)),0)=0,"N/A",INDEX('2019'!$G$5:$G$73,MATCH(B20,'2019'!$A$5:$A$73,0)))</f>
        <v>92.043000000000006</v>
      </c>
      <c r="E20" s="59">
        <f>IF(IFERROR(INDEX('2018'!$G$5:$G$73,MATCH(B20,'2018'!$A$5:$A$73,0)),0)=0,"N/A",INDEX('2018'!$G$5:$G$73,MATCH(B20,'2018'!$A$5:$A$73,0)))</f>
        <v>79.132999999999996</v>
      </c>
      <c r="F20" s="59">
        <f>IF(IFERROR(INDEX('2017'!$G$5:$G$73,MATCH(B20,'2017'!$A$5:$A$73,0)),0)=0,"N/A",INDEX('2017'!$G$5:$G$73,MATCH(B20,'2017'!$A$5:$A$73,0)))</f>
        <v>74.62</v>
      </c>
      <c r="G20" s="67">
        <f>IF(IFERROR(INDEX('2016'!$G$5:$G$73,MATCH(B20,'2016'!$A$5:$A$73,0)),0)=0,"N/A",INDEX('2016'!$G$5:$G$73,MATCH(B20,'2016'!$A$5:$A$73,0)))</f>
        <v>62.274999999999999</v>
      </c>
      <c r="H20" s="59">
        <v>51.308999999999997</v>
      </c>
      <c r="I20" s="59">
        <v>43.722999999999999</v>
      </c>
      <c r="J20" s="59">
        <v>35.305999999999997</v>
      </c>
      <c r="K20" s="59">
        <v>29.513000000000002</v>
      </c>
      <c r="L20" s="59">
        <v>27.088000000000001</v>
      </c>
      <c r="M20" s="59">
        <v>22.228999999999999</v>
      </c>
      <c r="N20" s="59">
        <v>20.353000000000002</v>
      </c>
      <c r="O20" s="59">
        <v>19.702000000000002</v>
      </c>
      <c r="P20" s="59">
        <v>21.617000000000001</v>
      </c>
      <c r="Q20" s="59">
        <v>20.478000000000002</v>
      </c>
    </row>
    <row r="21" spans="1:18" x14ac:dyDescent="0.2">
      <c r="A21" s="59" t="s">
        <v>126</v>
      </c>
      <c r="B21" s="59" t="s">
        <v>9</v>
      </c>
      <c r="C21" s="59">
        <f>IF(IFERROR(INDEX('2020'!$G$5:$G$73,MATCH(B21,'2020'!$A$5:$A$73,0)),0)=0,"N/A",INDEX('2020'!$G$5:$G$73,MATCH(B21,'2020'!$A$5:$A$73,0)))</f>
        <v>61.563000000000002</v>
      </c>
      <c r="D21" s="59">
        <f>IF(IFERROR(INDEX('2019'!$G$5:$G$73,MATCH(B21,'2019'!$A$5:$A$73,0)),0)=0,"N/A",INDEX('2019'!$G$5:$G$73,MATCH(B21,'2019'!$A$5:$A$73,0)))</f>
        <v>58.030999999999999</v>
      </c>
      <c r="E21" s="59">
        <f>IF(IFERROR(INDEX('2018'!$G$5:$G$73,MATCH(B21,'2018'!$A$5:$A$73,0)),0)=0,"N/A",INDEX('2018'!$G$5:$G$73,MATCH(B21,'2018'!$A$5:$A$73,0)))</f>
        <v>47.125</v>
      </c>
      <c r="F21" s="59">
        <f>IF(IFERROR(INDEX('2017'!$G$5:$G$73,MATCH(B21,'2017'!$A$5:$A$73,0)),0)=0,"N/A",INDEX('2017'!$G$5:$G$73,MATCH(B21,'2017'!$A$5:$A$73,0)))</f>
        <v>46.255000000000003</v>
      </c>
      <c r="G21" s="67">
        <f>IF(IFERROR(INDEX('2016'!$G$5:$G$73,MATCH(B21,'2016'!$A$5:$A$73,0)),0)=0,"N/A",INDEX('2016'!$G$5:$G$73,MATCH(B21,'2016'!$A$5:$A$73,0)))</f>
        <v>41.466999999999999</v>
      </c>
      <c r="H21" s="59">
        <v>34.57</v>
      </c>
      <c r="I21" s="59">
        <v>30.1</v>
      </c>
      <c r="J21" s="59">
        <v>27.096</v>
      </c>
      <c r="K21" s="59">
        <v>23.056000000000001</v>
      </c>
      <c r="L21" s="59">
        <v>19.742000000000001</v>
      </c>
      <c r="M21" s="59">
        <v>16.567</v>
      </c>
      <c r="N21" s="59">
        <v>12.606999999999999</v>
      </c>
      <c r="O21" s="59">
        <v>13.365</v>
      </c>
      <c r="P21" s="59">
        <v>17.175999999999998</v>
      </c>
      <c r="Q21" s="59">
        <v>14.196</v>
      </c>
    </row>
    <row r="22" spans="1:18" x14ac:dyDescent="0.2">
      <c r="A22" s="59" t="s">
        <v>179</v>
      </c>
      <c r="B22" s="59" t="s">
        <v>180</v>
      </c>
      <c r="C22" s="59" t="str">
        <f>IF(IFERROR(INDEX('2020'!$G$5:$G$73,MATCH(B22,'2020'!$A$5:$A$73,0)),0)=0,"N/A",INDEX('2020'!$G$5:$G$73,MATCH(B22,'2020'!$A$5:$A$73,0)))</f>
        <v>N/A</v>
      </c>
      <c r="D22" s="59" t="str">
        <f>IF(IFERROR(INDEX('2019'!$G$5:$G$73,MATCH(B22,'2019'!$A$5:$A$73,0)),0)=0,"N/A",INDEX('2019'!$G$5:$G$73,MATCH(B22,'2019'!$A$5:$A$73,0)))</f>
        <v>N/A</v>
      </c>
      <c r="E22" s="59">
        <f>IF(IFERROR(INDEX('2018'!$G$5:$G$73,MATCH(B22,'2018'!$A$5:$A$73,0)),0)=0,"N/A",INDEX('2018'!$G$5:$G$73,MATCH(B22,'2018'!$A$5:$A$73,0)))</f>
        <v>63.929000000000002</v>
      </c>
      <c r="F22" s="59">
        <f>IF(IFERROR(INDEX('2017'!$G$5:$G$73,MATCH(B22,'2017'!$A$5:$A$73,0)),0)=0,"N/A",INDEX('2017'!$G$5:$G$73,MATCH(B22,'2017'!$A$5:$A$73,0)))</f>
        <v>56.503999999999998</v>
      </c>
      <c r="G22" s="67">
        <f>IF(IFERROR(INDEX('2016'!$G$5:$G$73,MATCH(B22,'2016'!$A$5:$A$73,0)),0)=0,"N/A",INDEX('2016'!$G$5:$G$73,MATCH(B22,'2016'!$A$5:$A$73,0)))</f>
        <v>48.433</v>
      </c>
      <c r="H22" s="59">
        <v>35.856999999999999</v>
      </c>
      <c r="I22" s="59">
        <v>33.640999999999998</v>
      </c>
      <c r="J22" s="59">
        <v>30.489000000000001</v>
      </c>
      <c r="K22" s="59">
        <v>29.658999999999999</v>
      </c>
      <c r="L22" s="59">
        <v>25.984999999999999</v>
      </c>
      <c r="M22" s="59">
        <v>23.356000000000002</v>
      </c>
      <c r="N22" s="59">
        <v>21.902000000000001</v>
      </c>
      <c r="O22" s="59">
        <v>24.606000000000002</v>
      </c>
      <c r="P22" s="59">
        <v>24.151</v>
      </c>
      <c r="Q22" s="59">
        <v>23.471</v>
      </c>
    </row>
    <row r="23" spans="1:18" x14ac:dyDescent="0.2">
      <c r="A23" s="59" t="s">
        <v>127</v>
      </c>
      <c r="B23" s="59" t="s">
        <v>10</v>
      </c>
      <c r="C23" s="59">
        <f>IF(IFERROR(INDEX('2020'!$G$5:$G$73,MATCH(B23,'2020'!$A$5:$A$73,0)),0)=0,"N/A",INDEX('2020'!$G$5:$G$73,MATCH(B23,'2020'!$A$5:$A$73,0)))</f>
        <v>79.094999999999999</v>
      </c>
      <c r="D23" s="59">
        <f>IF(IFERROR(INDEX('2019'!$G$5:$G$73,MATCH(B23,'2019'!$A$5:$A$73,0)),0)=0,"N/A",INDEX('2019'!$G$5:$G$73,MATCH(B23,'2019'!$A$5:$A$73,0)))</f>
        <v>86.102999999999994</v>
      </c>
      <c r="E23" s="59">
        <f>IF(IFERROR(INDEX('2018'!$G$5:$G$73,MATCH(B23,'2018'!$A$5:$A$73,0)),0)=0,"N/A",INDEX('2018'!$G$5:$G$73,MATCH(B23,'2018'!$A$5:$A$73,0)))</f>
        <v>77.8</v>
      </c>
      <c r="F23" s="59">
        <f>IF(IFERROR(INDEX('2017'!$G$5:$G$73,MATCH(B23,'2017'!$A$5:$A$73,0)),0)=0,"N/A",INDEX('2017'!$G$5:$G$73,MATCH(B23,'2017'!$A$5:$A$73,0)))</f>
        <v>81.073999999999998</v>
      </c>
      <c r="G23" s="67">
        <f>IF(IFERROR(INDEX('2016'!$G$5:$G$73,MATCH(B23,'2016'!$A$5:$A$73,0)),0)=0,"N/A",INDEX('2016'!$G$5:$G$73,MATCH(B23,'2016'!$A$5:$A$73,0)))</f>
        <v>74.078999999999994</v>
      </c>
      <c r="H23" s="59">
        <v>63.134999999999998</v>
      </c>
      <c r="I23" s="59">
        <v>57.563000000000002</v>
      </c>
      <c r="J23" s="59">
        <v>57.860999999999997</v>
      </c>
      <c r="K23" s="59">
        <v>59.405999999999999</v>
      </c>
      <c r="L23" s="59">
        <v>53.819000000000003</v>
      </c>
      <c r="M23" s="59">
        <v>46.140999999999998</v>
      </c>
      <c r="N23" s="59">
        <v>39.393000000000001</v>
      </c>
      <c r="O23" s="59">
        <v>41.279000000000003</v>
      </c>
      <c r="P23" s="59">
        <v>47.963000000000001</v>
      </c>
      <c r="Q23" s="59">
        <v>45.68</v>
      </c>
    </row>
    <row r="24" spans="1:18" x14ac:dyDescent="0.2">
      <c r="A24" s="59" t="s">
        <v>181</v>
      </c>
      <c r="B24" s="59" t="s">
        <v>182</v>
      </c>
      <c r="C24" s="59">
        <f>IF(IFERROR(INDEX('2020'!$G$5:$G$73,MATCH(B24,'2020'!$A$5:$A$73,0)),0)=0,"N/A",INDEX('2020'!$G$5:$G$73,MATCH(B24,'2020'!$A$5:$A$73,0)))</f>
        <v>13.741</v>
      </c>
      <c r="D24" s="59">
        <f>IF(IFERROR(INDEX('2019'!$G$5:$G$73,MATCH(B24,'2019'!$A$5:$A$73,0)),0)=0,"N/A",INDEX('2019'!$G$5:$G$73,MATCH(B24,'2019'!$A$5:$A$73,0)))</f>
        <v>14.37</v>
      </c>
      <c r="E24" s="59">
        <f>IF(IFERROR(INDEX('2018'!$G$5:$G$73,MATCH(B24,'2018'!$A$5:$A$73,0)),0)=0,"N/A",INDEX('2018'!$G$5:$G$73,MATCH(B24,'2018'!$A$5:$A$73,0)))</f>
        <v>13.201000000000001</v>
      </c>
      <c r="F24" s="59">
        <f>IF(IFERROR(INDEX('2017'!$G$5:$G$73,MATCH(B24,'2017'!$A$5:$A$73,0)),0)=0,"N/A",INDEX('2017'!$G$5:$G$73,MATCH(B24,'2017'!$A$5:$A$73,0)))</f>
        <v>11.891999999999999</v>
      </c>
      <c r="G24" s="67">
        <f>IF(IFERROR(INDEX('2016'!$G$5:$G$73,MATCH(B24,'2016'!$A$5:$A$73,0)),0)=0,"N/A",INDEX('2016'!$G$5:$G$73,MATCH(B24,'2016'!$A$5:$A$73,0)))</f>
        <v>12.098000000000001</v>
      </c>
      <c r="H24" s="59">
        <v>11.573</v>
      </c>
      <c r="I24" s="59">
        <v>11.881</v>
      </c>
      <c r="J24" s="59">
        <v>11.613</v>
      </c>
      <c r="K24" s="59">
        <v>7.9450000000000003</v>
      </c>
      <c r="L24" s="59">
        <v>9.4049999999999994</v>
      </c>
      <c r="M24" s="59">
        <v>11.553000000000001</v>
      </c>
      <c r="N24" s="59">
        <v>14.083</v>
      </c>
      <c r="O24" s="59">
        <v>18.895</v>
      </c>
      <c r="P24" s="59">
        <v>27.957999999999998</v>
      </c>
      <c r="Q24" s="59">
        <v>25.399000000000001</v>
      </c>
    </row>
    <row r="25" spans="1:18" x14ac:dyDescent="0.2">
      <c r="A25" s="59" t="s">
        <v>183</v>
      </c>
      <c r="B25" s="59" t="s">
        <v>184</v>
      </c>
      <c r="C25" s="59" t="str">
        <f>IF(IFERROR(INDEX('2020'!$G$5:$G$73,MATCH(B25,'2020'!$A$5:$A$73,0)),0)=0,"N/A",INDEX('2020'!$G$5:$G$73,MATCH(B25,'2020'!$A$5:$A$73,0)))</f>
        <v>N/A</v>
      </c>
      <c r="D25" s="59" t="str">
        <f>IF(IFERROR(INDEX('2019'!$G$5:$G$73,MATCH(B25,'2019'!$A$5:$A$73,0)),0)=0,"N/A",INDEX('2019'!$G$5:$G$73,MATCH(B25,'2019'!$A$5:$A$73,0)))</f>
        <v>N/A</v>
      </c>
      <c r="E25" s="59" t="str">
        <f>IF(IFERROR(INDEX('2018'!$G$5:$G$73,MATCH(B25,'2018'!$A$5:$A$73,0)),0)=0,"N/A",INDEX('2018'!$G$5:$G$73,MATCH(B25,'2018'!$A$5:$A$73,0)))</f>
        <v>N/A</v>
      </c>
      <c r="F25" s="59" t="str">
        <f>IF(IFERROR(INDEX('2017'!$G$5:$G$73,MATCH(B25,'2017'!$A$5:$A$73,0)),0)=0,"N/A",INDEX('2017'!$G$5:$G$73,MATCH(B25,'2017'!$A$5:$A$73,0)))</f>
        <v>N/A</v>
      </c>
      <c r="G25" s="67">
        <f>IF(IFERROR(INDEX('2016'!$G$5:$G$73,MATCH(B25,'2016'!$A$5:$A$73,0)),0)=0,"N/A",INDEX('2016'!$G$5:$G$73,MATCH(B25,'2016'!$A$5:$A$73,0)))</f>
        <v>21.96</v>
      </c>
      <c r="H25" s="59">
        <v>20.297000000000001</v>
      </c>
      <c r="I25" s="59">
        <v>21.018999999999998</v>
      </c>
      <c r="J25" s="59">
        <v>20.677</v>
      </c>
      <c r="K25" s="59">
        <v>17.611000000000001</v>
      </c>
      <c r="L25" s="59">
        <v>15.372999999999999</v>
      </c>
      <c r="M25" s="59">
        <v>13.842000000000001</v>
      </c>
      <c r="N25" s="59">
        <v>11.829000000000001</v>
      </c>
      <c r="O25" s="59">
        <v>12.77</v>
      </c>
      <c r="P25" s="59">
        <v>12.555999999999999</v>
      </c>
      <c r="Q25" s="59">
        <v>13.119</v>
      </c>
    </row>
    <row r="26" spans="1:18" x14ac:dyDescent="0.2">
      <c r="A26" s="59" t="s">
        <v>128</v>
      </c>
      <c r="B26" s="59" t="s">
        <v>11</v>
      </c>
      <c r="C26" s="59">
        <f>IF(IFERROR(INDEX('2020'!$G$5:$G$73,MATCH(B26,'2020'!$A$5:$A$73,0)),0)=0,"N/A",INDEX('2020'!$G$5:$G$73,MATCH(B26,'2020'!$A$5:$A$73,0)))</f>
        <v>79.974999999999994</v>
      </c>
      <c r="D26" s="59">
        <f>IF(IFERROR(INDEX('2019'!$G$5:$G$73,MATCH(B26,'2019'!$A$5:$A$73,0)),0)=0,"N/A",INDEX('2019'!$G$5:$G$73,MATCH(B26,'2019'!$A$5:$A$73,0)))</f>
        <v>77.106999999999999</v>
      </c>
      <c r="E26" s="59">
        <f>IF(IFERROR(INDEX('2018'!$G$5:$G$73,MATCH(B26,'2018'!$A$5:$A$73,0)),0)=0,"N/A",INDEX('2018'!$G$5:$G$73,MATCH(B26,'2018'!$A$5:$A$73,0)))</f>
        <v>70.837000000000003</v>
      </c>
      <c r="F26" s="59">
        <f>IF(IFERROR(INDEX('2017'!$G$5:$G$73,MATCH(B26,'2017'!$A$5:$A$73,0)),0)=0,"N/A",INDEX('2017'!$G$5:$G$73,MATCH(B26,'2017'!$A$5:$A$73,0)))</f>
        <v>78.269000000000005</v>
      </c>
      <c r="G26" s="67">
        <f>IF(IFERROR(INDEX('2016'!$G$5:$G$73,MATCH(B26,'2016'!$A$5:$A$73,0)),0)=0,"N/A",INDEX('2016'!$G$5:$G$73,MATCH(B26,'2016'!$A$5:$A$73,0)))</f>
        <v>73.358000000000004</v>
      </c>
      <c r="H26" s="59">
        <v>70.837000000000003</v>
      </c>
      <c r="I26" s="59">
        <v>70.066000000000003</v>
      </c>
      <c r="J26" s="59">
        <v>59.466000000000001</v>
      </c>
      <c r="K26" s="59">
        <v>52.008000000000003</v>
      </c>
      <c r="L26" s="59">
        <v>47.665999999999997</v>
      </c>
      <c r="M26" s="59">
        <v>41.466999999999999</v>
      </c>
      <c r="N26" s="59">
        <v>33.639000000000003</v>
      </c>
      <c r="O26" s="59">
        <v>41.89</v>
      </c>
      <c r="P26" s="59">
        <v>43.933</v>
      </c>
      <c r="Q26" s="59">
        <v>38.343000000000004</v>
      </c>
    </row>
    <row r="27" spans="1:18" x14ac:dyDescent="0.2">
      <c r="A27" s="59" t="s">
        <v>129</v>
      </c>
      <c r="B27" s="59" t="s">
        <v>12</v>
      </c>
      <c r="C27" s="59">
        <f>IF(IFERROR(INDEX('2020'!$G$5:$G$73,MATCH(B27,'2020'!$A$5:$A$73,0)),0)=0,"N/A",INDEX('2020'!$G$5:$G$73,MATCH(B27,'2020'!$A$5:$A$73,0)))</f>
        <v>115.41800000000001</v>
      </c>
      <c r="D27" s="59">
        <f>IF(IFERROR(INDEX('2019'!$G$5:$G$73,MATCH(B27,'2019'!$A$5:$A$73,0)),0)=0,"N/A",INDEX('2019'!$G$5:$G$73,MATCH(B27,'2019'!$A$5:$A$73,0)))</f>
        <v>125.411</v>
      </c>
      <c r="E27" s="59">
        <f>IF(IFERROR(INDEX('2018'!$G$5:$G$73,MATCH(B27,'2018'!$A$5:$A$73,0)),0)=0,"N/A",INDEX('2018'!$G$5:$G$73,MATCH(B27,'2018'!$A$5:$A$73,0)))</f>
        <v>107.39400000000001</v>
      </c>
      <c r="F27" s="59">
        <f>IF(IFERROR(INDEX('2017'!$G$5:$G$73,MATCH(B27,'2017'!$A$5:$A$73,0)),0)=0,"N/A",INDEX('2017'!$G$5:$G$73,MATCH(B27,'2017'!$A$5:$A$73,0)))</f>
        <v>106.53700000000001</v>
      </c>
      <c r="G27" s="67">
        <f>IF(IFERROR(INDEX('2016'!$G$5:$G$73,MATCH(B27,'2016'!$A$5:$A$73,0)),0)=0,"N/A",INDEX('2016'!$G$5:$G$73,MATCH(B27,'2016'!$A$5:$A$73,0)))</f>
        <v>91.605999999999995</v>
      </c>
      <c r="H27" s="59">
        <v>80.423000000000002</v>
      </c>
      <c r="I27" s="59">
        <v>76.052999999999997</v>
      </c>
      <c r="J27" s="59">
        <v>67.361000000000004</v>
      </c>
      <c r="K27" s="59">
        <v>57.771000000000001</v>
      </c>
      <c r="L27" s="59">
        <v>49.579000000000001</v>
      </c>
      <c r="M27" s="59">
        <v>45.874000000000002</v>
      </c>
      <c r="N27" s="59">
        <v>33.728000000000002</v>
      </c>
      <c r="O27" s="59">
        <v>40.433999999999997</v>
      </c>
      <c r="P27" s="59">
        <v>48.585000000000001</v>
      </c>
      <c r="Q27" s="59">
        <v>42.707000000000001</v>
      </c>
    </row>
    <row r="28" spans="1:18" x14ac:dyDescent="0.2">
      <c r="A28" s="59" t="s">
        <v>130</v>
      </c>
      <c r="B28" s="59" t="s">
        <v>13</v>
      </c>
      <c r="C28" s="59">
        <f>IF(IFERROR(INDEX('2020'!$G$5:$G$73,MATCH(B28,'2020'!$A$5:$A$73,0)),0)=0,"N/A",INDEX('2020'!$G$5:$G$73,MATCH(B28,'2020'!$A$5:$A$73,0)))</f>
        <v>87.793999999999997</v>
      </c>
      <c r="D28" s="59">
        <f>IF(IFERROR(INDEX('2019'!$G$5:$G$73,MATCH(B28,'2019'!$A$5:$A$73,0)),0)=0,"N/A",INDEX('2019'!$G$5:$G$73,MATCH(B28,'2019'!$A$5:$A$73,0)))</f>
        <v>89.774000000000001</v>
      </c>
      <c r="E28" s="59">
        <f>IF(IFERROR(INDEX('2018'!$G$5:$G$73,MATCH(B28,'2018'!$A$5:$A$73,0)),0)=0,"N/A",INDEX('2018'!$G$5:$G$73,MATCH(B28,'2018'!$A$5:$A$73,0)))</f>
        <v>80.179000000000002</v>
      </c>
      <c r="F28" s="59">
        <f>IF(IFERROR(INDEX('2017'!$G$5:$G$73,MATCH(B28,'2017'!$A$5:$A$73,0)),0)=0,"N/A",INDEX('2017'!$G$5:$G$73,MATCH(B28,'2017'!$A$5:$A$73,0)))</f>
        <v>84.087000000000003</v>
      </c>
      <c r="G28" s="67">
        <f>IF(IFERROR(INDEX('2016'!$G$5:$G$73,MATCH(B28,'2016'!$A$5:$A$73,0)),0)=0,"N/A",INDEX('2016'!$G$5:$G$73,MATCH(B28,'2016'!$A$5:$A$73,0)))</f>
        <v>78.843000000000004</v>
      </c>
      <c r="H28" s="59">
        <v>74.694000000000003</v>
      </c>
      <c r="I28" s="59">
        <v>73.978999999999999</v>
      </c>
      <c r="J28" s="59">
        <v>69.447000000000003</v>
      </c>
      <c r="K28" s="59">
        <v>64.790000000000006</v>
      </c>
      <c r="L28" s="59">
        <v>56.978999999999999</v>
      </c>
      <c r="M28" s="59">
        <v>50.993000000000002</v>
      </c>
      <c r="N28" s="59">
        <v>45.143000000000001</v>
      </c>
      <c r="O28" s="59">
        <v>52.366999999999997</v>
      </c>
      <c r="P28" s="59">
        <v>58.064999999999998</v>
      </c>
      <c r="Q28" s="67" t="s">
        <v>106</v>
      </c>
      <c r="R28" s="67"/>
    </row>
    <row r="29" spans="1:18" x14ac:dyDescent="0.2">
      <c r="A29" s="59" t="s">
        <v>131</v>
      </c>
      <c r="B29" s="59" t="s">
        <v>14</v>
      </c>
      <c r="C29" s="59">
        <f>IF(IFERROR(INDEX('2020'!$G$5:$G$73,MATCH(B29,'2020'!$A$5:$A$73,0)),0)=0,"N/A",INDEX('2020'!$G$5:$G$73,MATCH(B29,'2020'!$A$5:$A$73,0)))</f>
        <v>60.072000000000003</v>
      </c>
      <c r="D29" s="59">
        <f>IF(IFERROR(INDEX('2019'!$G$5:$G$73,MATCH(B29,'2019'!$A$5:$A$73,0)),0)=0,"N/A",INDEX('2019'!$G$5:$G$73,MATCH(B29,'2019'!$A$5:$A$73,0)))</f>
        <v>66.296000000000006</v>
      </c>
      <c r="E29" s="59">
        <f>IF(IFERROR(INDEX('2018'!$G$5:$G$73,MATCH(B29,'2018'!$A$5:$A$73,0)),0)=0,"N/A",INDEX('2018'!$G$5:$G$73,MATCH(B29,'2018'!$A$5:$A$73,0)))</f>
        <v>63.176000000000002</v>
      </c>
      <c r="F29" s="59">
        <f>IF(IFERROR(INDEX('2017'!$G$5:$G$73,MATCH(B29,'2017'!$A$5:$A$73,0)),0)=0,"N/A",INDEX('2017'!$G$5:$G$73,MATCH(B29,'2017'!$A$5:$A$73,0)))</f>
        <v>77.727000000000004</v>
      </c>
      <c r="G29" s="67">
        <f>IF(IFERROR(INDEX('2016'!$G$5:$G$73,MATCH(B29,'2016'!$A$5:$A$73,0)),0)=0,"N/A",INDEX('2016'!$G$5:$G$73,MATCH(B29,'2016'!$A$5:$A$73,0)))</f>
        <v>70.603999999999999</v>
      </c>
      <c r="H29" s="59">
        <v>61.281999999999996</v>
      </c>
      <c r="I29" s="59">
        <v>56.506</v>
      </c>
      <c r="J29" s="59">
        <v>48.003999999999998</v>
      </c>
      <c r="K29" s="59">
        <v>44.164999999999999</v>
      </c>
      <c r="L29" s="59">
        <v>38.139000000000003</v>
      </c>
      <c r="M29" s="59">
        <v>34.569000000000003</v>
      </c>
      <c r="N29" s="59">
        <v>31.486999999999998</v>
      </c>
      <c r="O29" s="59">
        <v>45.475000000000001</v>
      </c>
      <c r="P29" s="59">
        <v>53.213999999999999</v>
      </c>
      <c r="Q29" s="59">
        <v>42.598999999999997</v>
      </c>
    </row>
    <row r="30" spans="1:18" x14ac:dyDescent="0.2">
      <c r="A30" s="59" t="s">
        <v>132</v>
      </c>
      <c r="B30" s="59" t="s">
        <v>15</v>
      </c>
      <c r="C30" s="59" t="str">
        <f>IF(IFERROR(INDEX('2020'!$G$5:$G$73,MATCH(B30,'2020'!$A$5:$A$73,0)),0)=0,"N/A",INDEX('2020'!$G$5:$G$73,MATCH(B30,'2020'!$A$5:$A$73,0)))</f>
        <v>N/A</v>
      </c>
      <c r="D30" s="59" t="str">
        <f>IF(IFERROR(INDEX('2019'!$G$5:$G$73,MATCH(B30,'2019'!$A$5:$A$73,0)),0)=0,"N/A",INDEX('2019'!$G$5:$G$73,MATCH(B30,'2019'!$A$5:$A$73,0)))</f>
        <v>N/A</v>
      </c>
      <c r="E30" s="59">
        <f>IF(IFERROR(INDEX('2018'!$G$5:$G$73,MATCH(B30,'2018'!$A$5:$A$73,0)),0)=0,"N/A",INDEX('2018'!$G$5:$G$73,MATCH(B30,'2018'!$A$5:$A$73,0)))</f>
        <v>55.578000000000003</v>
      </c>
      <c r="F30" s="59">
        <f>IF(IFERROR(INDEX('2017'!$G$5:$G$73,MATCH(B30,'2017'!$A$5:$A$73,0)),0)=0,"N/A",INDEX('2017'!$G$5:$G$73,MATCH(B30,'2017'!$A$5:$A$73,0)))</f>
        <v>52.715000000000003</v>
      </c>
      <c r="G30" s="67">
        <f>IF(IFERROR(INDEX('2016'!$G$5:$G$73,MATCH(B30,'2016'!$A$5:$A$73,0)),0)=0,"N/A",INDEX('2016'!$G$5:$G$73,MATCH(B30,'2016'!$A$5:$A$73,0)))</f>
        <v>44.59</v>
      </c>
      <c r="H30" s="59">
        <v>37.207000000000001</v>
      </c>
      <c r="I30" s="59">
        <v>37.19</v>
      </c>
      <c r="J30" s="59">
        <v>34.933</v>
      </c>
      <c r="K30" s="59">
        <v>32.71</v>
      </c>
      <c r="L30" s="59">
        <v>31.236000000000001</v>
      </c>
      <c r="M30" s="59">
        <v>22.19</v>
      </c>
      <c r="N30" s="59">
        <v>16.190000000000001</v>
      </c>
      <c r="O30" s="59">
        <v>20.577000000000002</v>
      </c>
      <c r="P30" s="59">
        <v>24.873999999999999</v>
      </c>
      <c r="Q30" s="59">
        <v>21.489000000000001</v>
      </c>
    </row>
    <row r="31" spans="1:18" x14ac:dyDescent="0.2">
      <c r="A31" s="59" t="s">
        <v>133</v>
      </c>
      <c r="B31" s="59" t="s">
        <v>16</v>
      </c>
      <c r="C31" s="59" t="str">
        <f>IF(IFERROR(INDEX('2020'!$G$5:$G$73,MATCH(B31,'2020'!$A$5:$A$73,0)),0)=0,"N/A",INDEX('2020'!$G$5:$G$73,MATCH(B31,'2020'!$A$5:$A$73,0)))</f>
        <v>N/A</v>
      </c>
      <c r="D31" s="59" t="str">
        <f>IF(IFERROR(INDEX('2019'!$G$5:$G$73,MATCH(B31,'2019'!$A$5:$A$73,0)),0)=0,"N/A",INDEX('2019'!$G$5:$G$73,MATCH(B31,'2019'!$A$5:$A$73,0)))</f>
        <v>N/A</v>
      </c>
      <c r="E31" s="59" t="str">
        <f>IF(IFERROR(INDEX('2018'!$G$5:$G$73,MATCH(B31,'2018'!$A$5:$A$73,0)),0)=0,"N/A",INDEX('2018'!$G$5:$G$73,MATCH(B31,'2018'!$A$5:$A$73,0)))</f>
        <v>N/A</v>
      </c>
      <c r="F31" s="59" t="str">
        <f>IF(IFERROR(INDEX('2017'!$G$5:$G$73,MATCH(B31,'2017'!$A$5:$A$73,0)),0)=0,"N/A",INDEX('2017'!$G$5:$G$73,MATCH(B31,'2017'!$A$5:$A$73,0)))</f>
        <v>N/A</v>
      </c>
      <c r="G31" s="67" t="str">
        <f>IF(IFERROR(INDEX('2016'!$G$5:$G$73,MATCH(B31,'2016'!$A$5:$A$73,0)),0)=0,"N/A",INDEX('2016'!$G$5:$G$73,MATCH(B31,'2016'!$A$5:$A$73,0)))</f>
        <v>N/A</v>
      </c>
      <c r="H31" s="59">
        <v>24.135999999999999</v>
      </c>
      <c r="I31" s="59">
        <v>25.129000000000001</v>
      </c>
      <c r="J31" s="59">
        <v>22.195</v>
      </c>
      <c r="K31" s="59">
        <v>20.800999999999998</v>
      </c>
      <c r="L31" s="59">
        <v>20.649000000000001</v>
      </c>
      <c r="M31" s="59">
        <v>19.600000000000001</v>
      </c>
      <c r="N31" s="59">
        <v>16.919</v>
      </c>
      <c r="O31" s="59">
        <v>20.187999999999999</v>
      </c>
      <c r="P31" s="59">
        <v>23.655000000000001</v>
      </c>
      <c r="Q31" s="59">
        <v>22.442</v>
      </c>
    </row>
    <row r="32" spans="1:18" x14ac:dyDescent="0.2">
      <c r="A32" s="59" t="s">
        <v>134</v>
      </c>
      <c r="B32" s="59" t="s">
        <v>17</v>
      </c>
      <c r="C32" s="59">
        <f>IF(IFERROR(INDEX('2020'!$G$5:$G$73,MATCH(B32,'2020'!$A$5:$A$73,0)),0)=0,"N/A",INDEX('2020'!$G$5:$G$73,MATCH(B32,'2020'!$A$5:$A$73,0)))</f>
        <v>105.25700000000001</v>
      </c>
      <c r="D32" s="59">
        <f>IF(IFERROR(INDEX('2019'!$G$5:$G$73,MATCH(B32,'2019'!$A$5:$A$73,0)),0)=0,"N/A",INDEX('2019'!$G$5:$G$73,MATCH(B32,'2019'!$A$5:$A$73,0)))</f>
        <v>103.973</v>
      </c>
      <c r="E32" s="59">
        <f>IF(IFERROR(INDEX('2018'!$G$5:$G$73,MATCH(B32,'2018'!$A$5:$A$73,0)),0)=0,"N/A",INDEX('2018'!$G$5:$G$73,MATCH(B32,'2018'!$A$5:$A$73,0)))</f>
        <v>81.197000000000003</v>
      </c>
      <c r="F32" s="59">
        <f>IF(IFERROR(INDEX('2017'!$G$5:$G$73,MATCH(B32,'2017'!$A$5:$A$73,0)),0)=0,"N/A",INDEX('2017'!$G$5:$G$73,MATCH(B32,'2017'!$A$5:$A$73,0)))</f>
        <v>77.897999999999996</v>
      </c>
      <c r="G32" s="67">
        <f>IF(IFERROR(INDEX('2016'!$G$5:$G$73,MATCH(B32,'2016'!$A$5:$A$73,0)),0)=0,"N/A",INDEX('2016'!$G$5:$G$73,MATCH(B32,'2016'!$A$5:$A$73,0)))</f>
        <v>75.143000000000001</v>
      </c>
      <c r="H32" s="59">
        <v>72.795000000000002</v>
      </c>
      <c r="I32" s="59">
        <v>74.349999999999994</v>
      </c>
      <c r="J32" s="59">
        <v>65.540000000000006</v>
      </c>
      <c r="K32" s="59">
        <v>67.567999999999998</v>
      </c>
      <c r="L32" s="59">
        <v>68.417000000000002</v>
      </c>
      <c r="M32" s="59">
        <v>77.06</v>
      </c>
      <c r="N32" s="59">
        <v>75.480999999999995</v>
      </c>
      <c r="O32" s="59">
        <v>102.649</v>
      </c>
      <c r="P32" s="59">
        <v>108.095</v>
      </c>
      <c r="Q32" s="59">
        <v>76.521000000000001</v>
      </c>
    </row>
    <row r="33" spans="1:17" x14ac:dyDescent="0.2">
      <c r="A33" s="59" t="s">
        <v>210</v>
      </c>
      <c r="B33" s="59" t="s">
        <v>211</v>
      </c>
      <c r="C33" s="59">
        <f>IF(IFERROR(INDEX('2020'!$G$5:$G$73,MATCH(B33,'2020'!$A$5:$A$73,0)),0)=0,"N/A",INDEX('2020'!$G$5:$G$73,MATCH(B33,'2020'!$A$5:$A$73,0)))</f>
        <v>86.381</v>
      </c>
      <c r="D33" s="59">
        <f>IF(IFERROR(INDEX('2019'!$G$5:$G$73,MATCH(B33,'2019'!$A$5:$A$73,0)),0)=0,"N/A",INDEX('2019'!$G$5:$G$73,MATCH(B33,'2019'!$A$5:$A$73,0)))</f>
        <v>76.284999999999997</v>
      </c>
      <c r="E33" s="59">
        <f>IF(IFERROR(INDEX('2018'!$G$5:$G$73,MATCH(B33,'2018'!$A$5:$A$73,0)),0)=0,"N/A",INDEX('2018'!$G$5:$G$73,MATCH(B33,'2018'!$A$5:$A$73,0)))</f>
        <v>60.872999999999998</v>
      </c>
      <c r="F33" s="59">
        <f>IF(IFERROR(INDEX('2017'!$G$5:$G$73,MATCH(B33,'2017'!$A$5:$A$73,0)),0)=0,"N/A",INDEX('2017'!$G$5:$G$73,MATCH(B33,'2017'!$A$5:$A$73,0)))</f>
        <v>60.536999999999999</v>
      </c>
      <c r="G33" s="67">
        <f>IF(IFERROR(INDEX('2016'!$G$5:$G$73,MATCH(B33,'2016'!$A$5:$A$73,0)),0)=0,"N/A",INDEX('2016'!$G$5:$G$73,MATCH(B33,'2016'!$A$5:$A$73,0)))</f>
        <v>55.326999999999998</v>
      </c>
      <c r="H33" s="59">
        <v>49.982999999999997</v>
      </c>
      <c r="I33" s="59">
        <v>46.232999999999997</v>
      </c>
      <c r="J33" s="59">
        <v>42.183</v>
      </c>
      <c r="K33" s="59">
        <v>37.526000000000003</v>
      </c>
      <c r="L33" s="59">
        <v>34.076999999999998</v>
      </c>
      <c r="M33" s="59">
        <v>28.189</v>
      </c>
      <c r="N33" s="59">
        <v>22.844000000000001</v>
      </c>
      <c r="O33" s="59">
        <v>25.411999999999999</v>
      </c>
      <c r="P33" s="59">
        <v>29.806000000000001</v>
      </c>
      <c r="Q33" s="59">
        <v>22.193000000000001</v>
      </c>
    </row>
    <row r="34" spans="1:17" x14ac:dyDescent="0.2">
      <c r="A34" s="59" t="s">
        <v>135</v>
      </c>
      <c r="B34" s="59" t="s">
        <v>18</v>
      </c>
      <c r="C34" s="59">
        <f>IF(IFERROR(INDEX('2020'!$G$5:$G$73,MATCH(B34,'2020'!$A$5:$A$73,0)),0)=0,"N/A",INDEX('2020'!$G$5:$G$73,MATCH(B34,'2020'!$A$5:$A$73,0)))</f>
        <v>40.015999999999998</v>
      </c>
      <c r="D34" s="59">
        <f>IF(IFERROR(INDEX('2019'!$G$5:$G$73,MATCH(B34,'2019'!$A$5:$A$73,0)),0)=0,"N/A",INDEX('2019'!$G$5:$G$73,MATCH(B34,'2019'!$A$5:$A$73,0)))</f>
        <v>47.402999999999999</v>
      </c>
      <c r="E34" s="59">
        <f>IF(IFERROR(INDEX('2018'!$G$5:$G$73,MATCH(B34,'2018'!$A$5:$A$73,0)),0)=0,"N/A",INDEX('2018'!$G$5:$G$73,MATCH(B34,'2018'!$A$5:$A$73,0)))</f>
        <v>41.59</v>
      </c>
      <c r="F34" s="59">
        <f>IF(IFERROR(INDEX('2017'!$G$5:$G$73,MATCH(B34,'2017'!$A$5:$A$73,0)),0)=0,"N/A",INDEX('2017'!$G$5:$G$73,MATCH(B34,'2017'!$A$5:$A$73,0)))</f>
        <v>37.280999999999999</v>
      </c>
      <c r="G34" s="67">
        <f>IF(IFERROR(INDEX('2016'!$G$5:$G$73,MATCH(B34,'2016'!$A$5:$A$73,0)),0)=0,"N/A",INDEX('2016'!$G$5:$G$73,MATCH(B34,'2016'!$A$5:$A$73,0)))</f>
        <v>33.625999999999998</v>
      </c>
      <c r="H34" s="59">
        <v>31.943000000000001</v>
      </c>
      <c r="I34" s="59">
        <v>33.637999999999998</v>
      </c>
      <c r="J34" s="59">
        <v>31.03</v>
      </c>
      <c r="K34" s="59">
        <v>36.630000000000003</v>
      </c>
      <c r="L34" s="59">
        <v>42.38</v>
      </c>
      <c r="M34" s="59">
        <v>42.453000000000003</v>
      </c>
      <c r="N34" s="59">
        <v>49.283999999999999</v>
      </c>
      <c r="O34" s="59">
        <v>73.686000000000007</v>
      </c>
      <c r="P34" s="59">
        <v>73.433999999999997</v>
      </c>
      <c r="Q34" s="59">
        <v>57.85</v>
      </c>
    </row>
    <row r="35" spans="1:17" x14ac:dyDescent="0.2">
      <c r="A35" s="59" t="s">
        <v>136</v>
      </c>
      <c r="B35" s="59" t="s">
        <v>19</v>
      </c>
      <c r="C35" s="59">
        <f>IF(IFERROR(INDEX('2020'!$G$5:$G$73,MATCH(B35,'2020'!$A$5:$A$73,0)),0)=0,"N/A",INDEX('2020'!$G$5:$G$73,MATCH(B35,'2020'!$A$5:$A$73,0)))</f>
        <v>37.433999999999997</v>
      </c>
      <c r="D35" s="59">
        <f>IF(IFERROR(INDEX('2019'!$G$5:$G$73,MATCH(B35,'2019'!$A$5:$A$73,0)),0)=0,"N/A",INDEX('2019'!$G$5:$G$73,MATCH(B35,'2019'!$A$5:$A$73,0)))</f>
        <v>43.747</v>
      </c>
      <c r="E35" s="59">
        <f>IF(IFERROR(INDEX('2018'!$G$5:$G$73,MATCH(B35,'2018'!$A$5:$A$73,0)),0)=0,"N/A",INDEX('2018'!$G$5:$G$73,MATCH(B35,'2018'!$A$5:$A$73,0)))</f>
        <v>35.210999999999999</v>
      </c>
      <c r="F35" s="59">
        <f>IF(IFERROR(INDEX('2017'!$G$5:$G$73,MATCH(B35,'2017'!$A$5:$A$73,0)),0)=0,"N/A",INDEX('2017'!$G$5:$G$73,MATCH(B35,'2017'!$A$5:$A$73,0)))</f>
        <v>31.146000000000001</v>
      </c>
      <c r="G35" s="67">
        <f>IF(IFERROR(INDEX('2016'!$G$5:$G$73,MATCH(B35,'2016'!$A$5:$A$73,0)),0)=0,"N/A",INDEX('2016'!$G$5:$G$73,MATCH(B35,'2016'!$A$5:$A$73,0)))</f>
        <v>33.418999999999997</v>
      </c>
      <c r="H35" s="59">
        <v>34.045000000000002</v>
      </c>
      <c r="I35" s="59">
        <v>33.820999999999998</v>
      </c>
      <c r="J35" s="59">
        <v>38.771999999999998</v>
      </c>
      <c r="K35" s="59">
        <v>44.932000000000002</v>
      </c>
      <c r="L35" s="59">
        <v>42.094000000000001</v>
      </c>
      <c r="M35" s="59">
        <v>38.18</v>
      </c>
      <c r="N35" s="59">
        <v>43.24</v>
      </c>
      <c r="O35" s="59">
        <v>68.518000000000001</v>
      </c>
      <c r="P35" s="59">
        <v>65.777000000000001</v>
      </c>
      <c r="Q35" s="59">
        <v>54.353999999999999</v>
      </c>
    </row>
    <row r="36" spans="1:17" x14ac:dyDescent="0.2">
      <c r="A36" s="59" t="s">
        <v>265</v>
      </c>
      <c r="B36" s="59" t="s">
        <v>266</v>
      </c>
      <c r="C36" s="59">
        <f>IF(IFERROR(INDEX('2020'!$G$5:$G$73,MATCH(B36,'2020'!$A$5:$A$73,0)),0)=0,"N/A",INDEX('2020'!$G$5:$G$73,MATCH(B36,'2020'!$A$5:$A$73,0)))</f>
        <v>53.637999999999998</v>
      </c>
      <c r="D36" s="59">
        <f>IF(IFERROR(INDEX('2019'!$G$5:$G$73,MATCH(B36,'2019'!$A$5:$A$73,0)),0)=0,"N/A",INDEX('2019'!$G$5:$G$73,MATCH(B36,'2019'!$A$5:$A$73,0)))</f>
        <v>51.497</v>
      </c>
      <c r="E36" s="59">
        <f>IF(IFERROR(INDEX('2018'!$G$5:$G$73,MATCH(B36,'2018'!$A$5:$A$73,0)),0)=0,"N/A",INDEX('2018'!$G$5:$G$73,MATCH(B36,'2018'!$A$5:$A$73,0)))</f>
        <v>43.042000000000002</v>
      </c>
      <c r="F36" s="59">
        <f>IF(IFERROR(INDEX('2017'!$G$5:$G$73,MATCH(B36,'2017'!$A$5:$A$73,0)),0)=0,"N/A",INDEX('2017'!$G$5:$G$73,MATCH(B36,'2017'!$A$5:$A$73,0)))</f>
        <v>44.715000000000003</v>
      </c>
      <c r="G36" s="67">
        <f>IF(IFERROR(INDEX('2016'!$G$5:$G$73,MATCH(B36,'2016'!$A$5:$A$73,0)),0)=0,"N/A",INDEX('2016'!$G$5:$G$73,MATCH(B36,'2016'!$A$5:$A$73,0)))</f>
        <v>40.829000000000001</v>
      </c>
      <c r="H36" s="59">
        <v>37.984999999999999</v>
      </c>
      <c r="I36" s="59">
        <v>33.515000000000001</v>
      </c>
      <c r="J36" s="59">
        <v>32.551000000000002</v>
      </c>
      <c r="K36" s="59">
        <v>33.201999999999998</v>
      </c>
      <c r="L36" s="59">
        <v>32.698999999999998</v>
      </c>
      <c r="M36" s="59">
        <v>29.507999999999999</v>
      </c>
      <c r="N36" s="59">
        <v>24.71</v>
      </c>
      <c r="O36" s="59">
        <v>26.573</v>
      </c>
      <c r="P36" s="59">
        <v>27.212</v>
      </c>
      <c r="Q36" s="59">
        <v>24.033000000000001</v>
      </c>
    </row>
    <row r="37" spans="1:17" x14ac:dyDescent="0.2">
      <c r="A37" s="59" t="s">
        <v>185</v>
      </c>
      <c r="B37" s="59" t="s">
        <v>186</v>
      </c>
      <c r="C37" s="59" t="str">
        <f>IF(IFERROR(INDEX('2020'!$G$5:$G$73,MATCH(B37,'2020'!$A$5:$A$73,0)),0)=0,"N/A",INDEX('2020'!$G$5:$G$73,MATCH(B37,'2020'!$A$5:$A$73,0)))</f>
        <v>N/A</v>
      </c>
      <c r="D37" s="59" t="str">
        <f>IF(IFERROR(INDEX('2019'!$G$5:$G$73,MATCH(B37,'2019'!$A$5:$A$73,0)),0)=0,"N/A",INDEX('2019'!$G$5:$G$73,MATCH(B37,'2019'!$A$5:$A$73,0)))</f>
        <v>N/A</v>
      </c>
      <c r="E37" s="59" t="str">
        <f>IF(IFERROR(INDEX('2018'!$G$5:$G$73,MATCH(B37,'2018'!$A$5:$A$73,0)),0)=0,"N/A",INDEX('2018'!$G$5:$G$73,MATCH(B37,'2018'!$A$5:$A$73,0)))</f>
        <v>N/A</v>
      </c>
      <c r="F37" s="59" t="str">
        <f>IF(IFERROR(INDEX('2017'!$G$5:$G$73,MATCH(B37,'2017'!$A$5:$A$73,0)),0)=0,"N/A",INDEX('2017'!$G$5:$G$73,MATCH(B37,'2017'!$A$5:$A$73,0)))</f>
        <v>N/A</v>
      </c>
      <c r="G37" s="67">
        <f>IF(IFERROR(INDEX('2016'!$G$5:$G$73,MATCH(B37,'2016'!$A$5:$A$73,0)),0)=0,"N/A",INDEX('2016'!$G$5:$G$73,MATCH(B37,'2016'!$A$5:$A$73,0)))</f>
        <v>8.6920000000000002</v>
      </c>
      <c r="H37" s="59">
        <v>9.4740000000000002</v>
      </c>
      <c r="I37" s="59">
        <v>10.760999999999999</v>
      </c>
      <c r="J37" s="59">
        <v>9.968</v>
      </c>
      <c r="K37" s="59">
        <v>10.432</v>
      </c>
      <c r="L37" s="59">
        <v>11.112</v>
      </c>
      <c r="M37" s="59">
        <v>10.814</v>
      </c>
      <c r="N37" s="59">
        <v>8.5739999999999998</v>
      </c>
      <c r="O37" s="59">
        <v>9.42</v>
      </c>
      <c r="P37" s="59">
        <v>8.1549999999999994</v>
      </c>
      <c r="Q37" s="59">
        <v>6.4859999999999998</v>
      </c>
    </row>
    <row r="38" spans="1:17" x14ac:dyDescent="0.2">
      <c r="A38" s="59" t="s">
        <v>137</v>
      </c>
      <c r="B38" s="59" t="s">
        <v>20</v>
      </c>
      <c r="C38" s="59" t="str">
        <f>IF(IFERROR(INDEX('2020'!$G$5:$G$73,MATCH(B38,'2020'!$A$5:$A$73,0)),0)=0,"N/A",INDEX('2020'!$G$5:$G$73,MATCH(B38,'2020'!$A$5:$A$73,0)))</f>
        <v>N/A</v>
      </c>
      <c r="D38" s="59" t="str">
        <f>IF(IFERROR(INDEX('2019'!$G$5:$G$73,MATCH(B38,'2019'!$A$5:$A$73,0)),0)=0,"N/A",INDEX('2019'!$G$5:$G$73,MATCH(B38,'2019'!$A$5:$A$73,0)))</f>
        <v>N/A</v>
      </c>
      <c r="E38" s="59" t="str">
        <f>IF(IFERROR(INDEX('2018'!$G$5:$G$73,MATCH(B38,'2018'!$A$5:$A$73,0)),0)=0,"N/A",INDEX('2018'!$G$5:$G$73,MATCH(B38,'2018'!$A$5:$A$73,0)))</f>
        <v>N/A</v>
      </c>
      <c r="F38" s="59">
        <f>IF(IFERROR(INDEX('2017'!$G$5:$G$73,MATCH(B38,'2017'!$A$5:$A$73,0)),0)=0,"N/A",INDEX('2017'!$G$5:$G$73,MATCH(B38,'2017'!$A$5:$A$73,0)))</f>
        <v>30.700000000000003</v>
      </c>
      <c r="G38" s="67">
        <f>IF(IFERROR(INDEX('2016'!$G$5:$G$73,MATCH(B38,'2016'!$A$5:$A$73,0)),0)=0,"N/A",INDEX('2016'!$G$5:$G$73,MATCH(B38,'2016'!$A$5:$A$73,0)))</f>
        <v>28.949000000000002</v>
      </c>
      <c r="H38" s="59">
        <v>26.530999999999999</v>
      </c>
      <c r="I38" s="59">
        <v>25.858000000000001</v>
      </c>
      <c r="J38" s="59">
        <v>22.981999999999999</v>
      </c>
      <c r="K38" s="59">
        <v>20.971</v>
      </c>
      <c r="L38" s="59">
        <v>20.131</v>
      </c>
      <c r="M38" s="59">
        <v>18.504999999999999</v>
      </c>
      <c r="N38" s="59">
        <v>16.513999999999999</v>
      </c>
      <c r="O38" s="59">
        <v>23.834</v>
      </c>
      <c r="P38" s="59">
        <v>30.242999999999999</v>
      </c>
      <c r="Q38" s="59">
        <v>29.643999999999998</v>
      </c>
    </row>
    <row r="39" spans="1:17" x14ac:dyDescent="0.2">
      <c r="A39" s="59" t="s">
        <v>138</v>
      </c>
      <c r="B39" s="59" t="s">
        <v>21</v>
      </c>
      <c r="C39" s="59">
        <f>IF(IFERROR(INDEX('2020'!$G$5:$G$73,MATCH(B39,'2020'!$A$5:$A$73,0)),0)=0,"N/A",INDEX('2020'!$G$5:$G$73,MATCH(B39,'2020'!$A$5:$A$73,0)))</f>
        <v>38.875999999999998</v>
      </c>
      <c r="D39" s="59">
        <f>IF(IFERROR(INDEX('2019'!$G$5:$G$73,MATCH(B39,'2019'!$A$5:$A$73,0)),0)=0,"N/A",INDEX('2019'!$G$5:$G$73,MATCH(B39,'2019'!$A$5:$A$73,0)))</f>
        <v>42.326000000000001</v>
      </c>
      <c r="E39" s="59">
        <f>IF(IFERROR(INDEX('2018'!$G$5:$G$73,MATCH(B39,'2018'!$A$5:$A$73,0)),0)=0,"N/A",INDEX('2018'!$G$5:$G$73,MATCH(B39,'2018'!$A$5:$A$73,0)))</f>
        <v>35.048999999999999</v>
      </c>
      <c r="F39" s="59">
        <f>IF(IFERROR(INDEX('2017'!$G$5:$G$73,MATCH(B39,'2017'!$A$5:$A$73,0)),0)=0,"N/A",INDEX('2017'!$G$5:$G$73,MATCH(B39,'2017'!$A$5:$A$73,0)))</f>
        <v>33.936999999999998</v>
      </c>
      <c r="G39" s="67">
        <f>IF(IFERROR(INDEX('2016'!$G$5:$G$73,MATCH(B39,'2016'!$A$5:$A$73,0)),0)=0,"N/A",INDEX('2016'!$G$5:$G$73,MATCH(B39,'2016'!$A$5:$A$73,0)))</f>
        <v>31.044</v>
      </c>
      <c r="H39" s="59">
        <v>30.603999999999999</v>
      </c>
      <c r="I39" s="59">
        <v>26.045000000000002</v>
      </c>
      <c r="J39" s="59">
        <v>26.265000000000001</v>
      </c>
      <c r="K39" s="59">
        <v>26.408000000000001</v>
      </c>
      <c r="L39" s="59">
        <v>24.609000000000002</v>
      </c>
      <c r="M39" s="59">
        <v>22.491</v>
      </c>
      <c r="N39" s="59">
        <v>18.004999999999999</v>
      </c>
      <c r="O39" s="59">
        <v>24.782</v>
      </c>
      <c r="P39" s="59">
        <v>23.946999999999999</v>
      </c>
      <c r="Q39" s="59">
        <v>27.038</v>
      </c>
    </row>
    <row r="40" spans="1:17" x14ac:dyDescent="0.2">
      <c r="A40" s="59" t="s">
        <v>216</v>
      </c>
      <c r="B40" s="59" t="s">
        <v>22</v>
      </c>
      <c r="C40" s="59">
        <f>IF(IFERROR(INDEX('2020'!$G$5:$G$73,MATCH(B40,'2020'!$A$5:$A$73,0)),0)=0,"N/A",INDEX('2020'!$G$5:$G$73,MATCH(B40,'2020'!$A$5:$A$73,0)))</f>
        <v>93.238</v>
      </c>
      <c r="D40" s="59">
        <f>IF(IFERROR(INDEX('2019'!$G$5:$G$73,MATCH(B40,'2019'!$A$5:$A$73,0)),0)=0,"N/A",INDEX('2019'!$G$5:$G$73,MATCH(B40,'2019'!$A$5:$A$73,0)))</f>
        <v>102.843</v>
      </c>
      <c r="E40" s="59">
        <f>IF(IFERROR(INDEX('2018'!$G$5:$G$73,MATCH(B40,'2018'!$A$5:$A$73,0)),0)=0,"N/A",INDEX('2018'!$G$5:$G$73,MATCH(B40,'2018'!$A$5:$A$73,0)))</f>
        <v>92.058000000000007</v>
      </c>
      <c r="F40" s="59">
        <f>IF(IFERROR(INDEX('2017'!$G$5:$G$73,MATCH(B40,'2017'!$A$5:$A$73,0)),0)=0,"N/A",INDEX('2017'!$G$5:$G$73,MATCH(B40,'2017'!$A$5:$A$73,0)))</f>
        <v>86.728999999999999</v>
      </c>
      <c r="G40" s="67">
        <f>IF(IFERROR(INDEX('2016'!$G$5:$G$73,MATCH(B40,'2016'!$A$5:$A$73,0)),0)=0,"N/A",INDEX('2016'!$G$5:$G$73,MATCH(B40,'2016'!$A$5:$A$73,0)))</f>
        <v>75.097999999999999</v>
      </c>
      <c r="H40" s="59">
        <v>62.764000000000003</v>
      </c>
      <c r="I40" s="59">
        <v>56.459000000000003</v>
      </c>
      <c r="J40" s="59">
        <v>48.957000000000001</v>
      </c>
      <c r="K40" s="59">
        <v>41.82</v>
      </c>
      <c r="L40" s="59">
        <v>38.758000000000003</v>
      </c>
      <c r="M40" s="59">
        <v>34.89</v>
      </c>
      <c r="N40" s="59">
        <v>26.920999999999999</v>
      </c>
      <c r="O40" s="59">
        <v>30.356999999999999</v>
      </c>
      <c r="P40" s="59">
        <v>33.840000000000003</v>
      </c>
      <c r="Q40" s="59">
        <v>35.414000000000001</v>
      </c>
    </row>
    <row r="41" spans="1:17" x14ac:dyDescent="0.2">
      <c r="A41" s="59" t="s">
        <v>139</v>
      </c>
      <c r="B41" s="59" t="s">
        <v>25</v>
      </c>
      <c r="C41" s="59">
        <f>IF(IFERROR(INDEX('2020'!$G$5:$G$73,MATCH(B41,'2020'!$A$5:$A$73,0)),0)=0,"N/A",INDEX('2020'!$G$5:$G$73,MATCH(B41,'2020'!$A$5:$A$73,0)))</f>
        <v>68.66</v>
      </c>
      <c r="D41" s="59">
        <f>IF(IFERROR(INDEX('2019'!$G$5:$G$73,MATCH(B41,'2019'!$A$5:$A$73,0)),0)=0,"N/A",INDEX('2019'!$G$5:$G$73,MATCH(B41,'2019'!$A$5:$A$73,0)))</f>
        <v>71.192999999999998</v>
      </c>
      <c r="E41" s="59">
        <f>IF(IFERROR(INDEX('2018'!$G$5:$G$73,MATCH(B41,'2018'!$A$5:$A$73,0)),0)=0,"N/A",INDEX('2018'!$G$5:$G$73,MATCH(B41,'2018'!$A$5:$A$73,0)))</f>
        <v>61.024999999999999</v>
      </c>
      <c r="F41" s="59">
        <f>IF(IFERROR(INDEX('2017'!$G$5:$G$73,MATCH(B41,'2017'!$A$5:$A$73,0)),0)=0,"N/A",INDEX('2017'!$G$5:$G$73,MATCH(B41,'2017'!$A$5:$A$73,0)))</f>
        <v>64.585999999999999</v>
      </c>
      <c r="G41" s="67">
        <f>IF(IFERROR(INDEX('2016'!$G$5:$G$73,MATCH(B41,'2016'!$A$5:$A$73,0)),0)=0,"N/A",INDEX('2016'!$G$5:$G$73,MATCH(B41,'2016'!$A$5:$A$73,0)))</f>
        <v>54.29</v>
      </c>
      <c r="H41" s="59">
        <v>41.774999999999999</v>
      </c>
      <c r="I41" s="59">
        <v>39.883000000000003</v>
      </c>
      <c r="J41" s="59">
        <v>36.750999999999998</v>
      </c>
      <c r="K41" s="59">
        <v>32.048999999999999</v>
      </c>
      <c r="L41" s="59">
        <v>27.849</v>
      </c>
      <c r="M41" s="59">
        <v>24.966999999999999</v>
      </c>
      <c r="N41" s="59">
        <v>22.3</v>
      </c>
      <c r="O41" s="59">
        <v>22.568000000000001</v>
      </c>
      <c r="P41" s="59">
        <v>22.706</v>
      </c>
      <c r="Q41" s="59">
        <v>21.802</v>
      </c>
    </row>
    <row r="42" spans="1:17" x14ac:dyDescent="0.2">
      <c r="A42" s="59" t="s">
        <v>187</v>
      </c>
      <c r="B42" s="59" t="s">
        <v>188</v>
      </c>
      <c r="C42" s="59">
        <f>IF(IFERROR(INDEX('2020'!$G$5:$G$73,MATCH(B42,'2020'!$A$5:$A$73,0)),0)=0,"N/A",INDEX('2020'!$G$5:$G$73,MATCH(B42,'2020'!$A$5:$A$73,0)))</f>
        <v>65.510000000000005</v>
      </c>
      <c r="D42" s="59">
        <f>IF(IFERROR(INDEX('2019'!$G$5:$G$73,MATCH(B42,'2019'!$A$5:$A$73,0)),0)=0,"N/A",INDEX('2019'!$G$5:$G$73,MATCH(B42,'2019'!$A$5:$A$73,0)))</f>
        <v>59.612000000000002</v>
      </c>
      <c r="E42" s="59">
        <f>IF(IFERROR(INDEX('2018'!$G$5:$G$73,MATCH(B42,'2018'!$A$5:$A$73,0)),0)=0,"N/A",INDEX('2018'!$G$5:$G$73,MATCH(B42,'2018'!$A$5:$A$73,0)))</f>
        <v>43.466999999999999</v>
      </c>
      <c r="F42" s="59">
        <f>IF(IFERROR(INDEX('2017'!$G$5:$G$73,MATCH(B42,'2017'!$A$5:$A$73,0)),0)=0,"N/A",INDEX('2017'!$G$5:$G$73,MATCH(B42,'2017'!$A$5:$A$73,0)))</f>
        <v>39.173000000000002</v>
      </c>
      <c r="G42" s="67">
        <f>IF(IFERROR(INDEX('2016'!$G$5:$G$73,MATCH(B42,'2016'!$A$5:$A$73,0)),0)=0,"N/A",INDEX('2016'!$G$5:$G$73,MATCH(B42,'2016'!$A$5:$A$73,0)))</f>
        <v>35.39</v>
      </c>
      <c r="H42" s="59">
        <v>23.314</v>
      </c>
      <c r="I42" s="59">
        <v>20.89</v>
      </c>
      <c r="J42" s="59">
        <v>20.295000000000002</v>
      </c>
      <c r="K42" s="59">
        <v>18.745999999999999</v>
      </c>
      <c r="L42" s="59">
        <v>18.25</v>
      </c>
      <c r="M42" s="59">
        <v>17.097000000000001</v>
      </c>
      <c r="N42" s="59">
        <v>15.132</v>
      </c>
      <c r="O42" s="59">
        <v>17.620999999999999</v>
      </c>
      <c r="P42" s="59">
        <v>18.782</v>
      </c>
      <c r="Q42" s="59">
        <v>18.629000000000001</v>
      </c>
    </row>
    <row r="43" spans="1:17" x14ac:dyDescent="0.2">
      <c r="A43" s="59" t="s">
        <v>189</v>
      </c>
      <c r="B43" s="59" t="s">
        <v>190</v>
      </c>
      <c r="C43" s="59">
        <f>IF(IFERROR(INDEX('2020'!$G$5:$G$73,MATCH(B43,'2020'!$A$5:$A$73,0)),0)=0,"N/A",INDEX('2020'!$G$5:$G$73,MATCH(B43,'2020'!$A$5:$A$73,0)))</f>
        <v>36.64</v>
      </c>
      <c r="D43" s="59">
        <f>IF(IFERROR(INDEX('2019'!$G$5:$G$73,MATCH(B43,'2019'!$A$5:$A$73,0)),0)=0,"N/A",INDEX('2019'!$G$5:$G$73,MATCH(B43,'2019'!$A$5:$A$73,0)))</f>
        <v>47.695</v>
      </c>
      <c r="E43" s="59">
        <f>IF(IFERROR(INDEX('2018'!$G$5:$G$73,MATCH(B43,'2018'!$A$5:$A$73,0)),0)=0,"N/A",INDEX('2018'!$G$5:$G$73,MATCH(B43,'2018'!$A$5:$A$73,0)))</f>
        <v>42.545999999999999</v>
      </c>
      <c r="F43" s="59">
        <f>IF(IFERROR(INDEX('2017'!$G$5:$G$73,MATCH(B43,'2017'!$A$5:$A$73,0)),0)=0,"N/A",INDEX('2017'!$G$5:$G$73,MATCH(B43,'2017'!$A$5:$A$73,0)))</f>
        <v>38.712000000000003</v>
      </c>
      <c r="G43" s="67">
        <f>IF(IFERROR(INDEX('2016'!$G$5:$G$73,MATCH(B43,'2016'!$A$5:$A$73,0)),0)=0,"N/A",INDEX('2016'!$G$5:$G$73,MATCH(B43,'2016'!$A$5:$A$73,0)))</f>
        <v>34.213000000000001</v>
      </c>
      <c r="H43" s="59">
        <v>29.571000000000002</v>
      </c>
      <c r="I43" s="59">
        <v>24.402999999999999</v>
      </c>
      <c r="J43" s="59">
        <v>21.817</v>
      </c>
      <c r="K43" s="59">
        <v>22.803000000000001</v>
      </c>
      <c r="L43" s="59">
        <v>21.614000000000001</v>
      </c>
      <c r="M43" s="59">
        <v>18.43</v>
      </c>
      <c r="N43" s="59">
        <v>17.91</v>
      </c>
      <c r="O43" s="59">
        <v>16.57</v>
      </c>
      <c r="P43" s="59">
        <v>16.792000000000002</v>
      </c>
      <c r="Q43" s="59">
        <v>15.045</v>
      </c>
    </row>
    <row r="44" spans="1:17" x14ac:dyDescent="0.2">
      <c r="A44" s="59" t="s">
        <v>140</v>
      </c>
      <c r="B44" s="59" t="s">
        <v>141</v>
      </c>
      <c r="C44" s="59">
        <f>IF(IFERROR(INDEX('2020'!$G$5:$G$73,MATCH(B44,'2020'!$A$5:$A$73,0)),0)=0,"N/A",INDEX('2020'!$G$5:$G$73,MATCH(B44,'2020'!$A$5:$A$73,0)))</f>
        <v>66.679000000000002</v>
      </c>
      <c r="D44" s="59">
        <f>IF(IFERROR(INDEX('2019'!$G$5:$G$73,MATCH(B44,'2019'!$A$5:$A$73,0)),0)=0,"N/A",INDEX('2019'!$G$5:$G$73,MATCH(B44,'2019'!$A$5:$A$73,0)))</f>
        <v>51.965000000000003</v>
      </c>
      <c r="E44" s="59">
        <v>41.356000000000002</v>
      </c>
      <c r="F44" s="59">
        <v>35.18</v>
      </c>
      <c r="G44" s="67">
        <v>29.928000000000001</v>
      </c>
      <c r="H44" s="59">
        <v>25.594999999999999</v>
      </c>
      <c r="I44" s="59">
        <v>24.155999999999999</v>
      </c>
      <c r="J44" s="59">
        <v>20.010000000000002</v>
      </c>
      <c r="K44" s="59">
        <v>16.454000000000001</v>
      </c>
      <c r="L44" s="59">
        <v>13.901</v>
      </c>
      <c r="M44" s="59">
        <v>12.832000000000001</v>
      </c>
      <c r="N44" s="59" t="s">
        <v>106</v>
      </c>
      <c r="O44" s="59" t="s">
        <v>106</v>
      </c>
      <c r="P44" s="59" t="s">
        <v>106</v>
      </c>
      <c r="Q44" s="59" t="s">
        <v>106</v>
      </c>
    </row>
    <row r="45" spans="1:17" x14ac:dyDescent="0.2">
      <c r="A45" s="59" t="s">
        <v>142</v>
      </c>
      <c r="B45" s="59" t="s">
        <v>26</v>
      </c>
      <c r="C45" s="59">
        <f>IF(IFERROR(INDEX('2020'!$G$5:$G$73,MATCH(B45,'2020'!$A$5:$A$73,0)),0)=0,"N/A",INDEX('2020'!$G$5:$G$73,MATCH(B45,'2020'!$A$5:$A$73,0)))</f>
        <v>24.649000000000001</v>
      </c>
      <c r="D45" s="59">
        <f>IF(IFERROR(INDEX('2019'!$G$5:$G$73,MATCH(B45,'2019'!$A$5:$A$73,0)),0)=0,"N/A",INDEX('2019'!$G$5:$G$73,MATCH(B45,'2019'!$A$5:$A$73,0)))</f>
        <v>27.931000000000001</v>
      </c>
      <c r="E45" s="59">
        <f>IF(IFERROR(INDEX('2018'!$G$5:$G$73,MATCH(B45,'2018'!$A$5:$A$73,0)),0)=0,"N/A",INDEX('2018'!$G$5:$G$73,MATCH(B45,'2018'!$A$5:$A$73,0)))</f>
        <v>25.146000000000001</v>
      </c>
      <c r="F45" s="59">
        <f>IF(IFERROR(INDEX('2017'!$G$5:$G$73,MATCH(B45,'2017'!$A$5:$A$73,0)),0)=0,"N/A",INDEX('2017'!$G$5:$G$73,MATCH(B45,'2017'!$A$5:$A$73,0)))</f>
        <v>25.116</v>
      </c>
      <c r="G45" s="67">
        <f>IF(IFERROR(INDEX('2016'!$G$5:$G$73,MATCH(B45,'2016'!$A$5:$A$73,0)),0)=0,"N/A",INDEX('2016'!$G$5:$G$73,MATCH(B45,'2016'!$A$5:$A$73,0)))</f>
        <v>23.183</v>
      </c>
      <c r="H45" s="59">
        <v>23.524000000000001</v>
      </c>
      <c r="I45" s="59">
        <v>37.978999999999999</v>
      </c>
      <c r="J45" s="59">
        <v>29.655000000000001</v>
      </c>
      <c r="K45" s="59">
        <v>24.481999999999999</v>
      </c>
      <c r="L45" s="59">
        <v>20.331</v>
      </c>
      <c r="M45" s="59">
        <v>16.247</v>
      </c>
      <c r="N45" s="59">
        <v>12.041</v>
      </c>
      <c r="O45" s="59">
        <v>16.167000000000002</v>
      </c>
      <c r="P45" s="59">
        <v>21.45</v>
      </c>
      <c r="Q45" s="59">
        <v>21.841999999999999</v>
      </c>
    </row>
    <row r="46" spans="1:17" x14ac:dyDescent="0.2">
      <c r="A46" s="59" t="s">
        <v>191</v>
      </c>
      <c r="B46" s="59" t="s">
        <v>192</v>
      </c>
      <c r="C46" s="59">
        <f>IF(IFERROR(INDEX('2020'!$G$5:$G$73,MATCH(B46,'2020'!$A$5:$A$73,0)),0)=0,"N/A",INDEX('2020'!$G$5:$G$73,MATCH(B46,'2020'!$A$5:$A$73,0)))</f>
        <v>57.417000000000002</v>
      </c>
      <c r="D46" s="59">
        <f>IF(IFERROR(INDEX('2019'!$G$5:$G$73,MATCH(B46,'2019'!$A$5:$A$73,0)),0)=0,"N/A",INDEX('2019'!$G$5:$G$73,MATCH(B46,'2019'!$A$5:$A$73,0)))</f>
        <v>67.569999999999993</v>
      </c>
      <c r="E46" s="59">
        <f>IF(IFERROR(INDEX('2018'!$G$5:$G$73,MATCH(B46,'2018'!$A$5:$A$73,0)),0)=0,"N/A",INDEX('2018'!$G$5:$G$73,MATCH(B46,'2018'!$A$5:$A$73,0)))</f>
        <v>62.052</v>
      </c>
      <c r="F46" s="59">
        <f>IF(IFERROR(INDEX('2017'!$G$5:$G$73,MATCH(B46,'2017'!$A$5:$A$73,0)),0)=0,"N/A",INDEX('2017'!$G$5:$G$73,MATCH(B46,'2017'!$A$5:$A$73,0)))</f>
        <v>62.228000000000002</v>
      </c>
      <c r="G46" s="67">
        <f>IF(IFERROR(INDEX('2016'!$G$5:$G$73,MATCH(B46,'2016'!$A$5:$A$73,0)),0)=0,"N/A",INDEX('2016'!$G$5:$G$73,MATCH(B46,'2016'!$A$5:$A$73,0)))</f>
        <v>57.076000000000001</v>
      </c>
      <c r="H46" s="59">
        <v>46.436</v>
      </c>
      <c r="I46" s="59">
        <v>44.691000000000003</v>
      </c>
      <c r="J46" s="59">
        <v>43.41</v>
      </c>
      <c r="K46" s="59">
        <v>46.789000000000001</v>
      </c>
      <c r="L46" s="59">
        <v>45.454000000000001</v>
      </c>
      <c r="M46" s="59">
        <v>46.332000000000001</v>
      </c>
      <c r="N46" s="59">
        <v>42.94</v>
      </c>
      <c r="O46" s="59">
        <v>46.453000000000003</v>
      </c>
      <c r="P46" s="59">
        <v>46.198</v>
      </c>
      <c r="Q46" s="59">
        <v>37.247999999999998</v>
      </c>
    </row>
    <row r="47" spans="1:17" x14ac:dyDescent="0.2">
      <c r="A47" s="59" t="s">
        <v>143</v>
      </c>
      <c r="B47" s="59" t="s">
        <v>144</v>
      </c>
      <c r="C47" s="59">
        <f>IF(IFERROR(INDEX('2020'!$G$5:$G$73,MATCH(B47,'2020'!$A$5:$A$73,0)),0)=0,"N/A",INDEX('2020'!$G$5:$G$73,MATCH(B47,'2020'!$A$5:$A$73,0)))</f>
        <v>59.645000000000003</v>
      </c>
      <c r="D47" s="59">
        <f>IF(IFERROR(INDEX('2019'!$G$5:$G$73,MATCH(B47,'2019'!$A$5:$A$73,0)),0)=0,"N/A",INDEX('2019'!$G$5:$G$73,MATCH(B47,'2019'!$A$5:$A$73,0)))</f>
        <v>70.215999999999994</v>
      </c>
      <c r="E47" s="59">
        <f>IF(IFERROR(INDEX('2018'!$G$5:$G$73,MATCH(B47,'2018'!$A$5:$A$73,0)),0)=0,"N/A",INDEX('2018'!$G$5:$G$73,MATCH(B47,'2018'!$A$5:$A$73,0)))</f>
        <v>57.023000000000003</v>
      </c>
      <c r="F47" s="59">
        <f>IF(IFERROR(INDEX('2017'!$G$5:$G$73,MATCH(B47,'2017'!$A$5:$A$73,0)),0)=0,"N/A",INDEX('2017'!$G$5:$G$73,MATCH(B47,'2017'!$A$5:$A$73,0)))</f>
        <v>59.603000000000002</v>
      </c>
      <c r="G47" s="67">
        <f>IF(IFERROR(INDEX('2016'!$G$5:$G$73,MATCH(B47,'2016'!$A$5:$A$73,0)),0)=0,"N/A",INDEX('2016'!$G$5:$G$73,MATCH(B47,'2016'!$A$5:$A$73,0)))</f>
        <v>58.261000000000003</v>
      </c>
      <c r="H47" s="59">
        <v>53.249000000000002</v>
      </c>
      <c r="I47" s="59">
        <v>48.543999999999997</v>
      </c>
      <c r="J47" s="59">
        <v>41.475000000000001</v>
      </c>
      <c r="K47" s="59">
        <v>35.521000000000001</v>
      </c>
      <c r="L47" s="59">
        <v>31.934999999999999</v>
      </c>
      <c r="M47" s="59">
        <v>27.596</v>
      </c>
      <c r="N47" s="59">
        <v>23.306999999999999</v>
      </c>
      <c r="O47" s="59">
        <v>24.542999999999999</v>
      </c>
      <c r="P47" s="59">
        <v>31.297999999999998</v>
      </c>
      <c r="Q47" s="59">
        <v>33.997999999999998</v>
      </c>
    </row>
    <row r="48" spans="1:17" x14ac:dyDescent="0.2">
      <c r="A48" s="59" t="s">
        <v>145</v>
      </c>
      <c r="B48" s="59" t="s">
        <v>27</v>
      </c>
      <c r="C48" s="59">
        <f>IF(IFERROR(INDEX('2020'!$G$5:$G$73,MATCH(B48,'2020'!$A$5:$A$73,0)),0)=0,"N/A",INDEX('2020'!$G$5:$G$73,MATCH(B48,'2020'!$A$5:$A$73,0)))</f>
        <v>33.790999999999997</v>
      </c>
      <c r="D48" s="59">
        <f>IF(IFERROR(INDEX('2019'!$G$5:$G$73,MATCH(B48,'2019'!$A$5:$A$73,0)),0)=0,"N/A",INDEX('2019'!$G$5:$G$73,MATCH(B48,'2019'!$A$5:$A$73,0)))</f>
        <v>42.561</v>
      </c>
      <c r="E48" s="59">
        <f>IF(IFERROR(INDEX('2018'!$G$5:$G$73,MATCH(B48,'2018'!$A$5:$A$73,0)),0)=0,"N/A",INDEX('2018'!$G$5:$G$73,MATCH(B48,'2018'!$A$5:$A$73,0)))</f>
        <v>35.033000000000001</v>
      </c>
      <c r="F48" s="59">
        <f>IF(IFERROR(INDEX('2017'!$G$5:$G$73,MATCH(B48,'2017'!$A$5:$A$73,0)),0)=0,"N/A",INDEX('2017'!$G$5:$G$73,MATCH(B48,'2017'!$A$5:$A$73,0)))</f>
        <v>35.18</v>
      </c>
      <c r="G48" s="67">
        <f>IF(IFERROR(INDEX('2016'!$G$5:$G$73,MATCH(B48,'2016'!$A$5:$A$73,0)),0)=0,"N/A",INDEX('2016'!$G$5:$G$73,MATCH(B48,'2016'!$A$5:$A$73,0)))</f>
        <v>29.88</v>
      </c>
      <c r="H48" s="59">
        <v>29.895</v>
      </c>
      <c r="I48" s="59">
        <v>36.165999999999997</v>
      </c>
      <c r="J48" s="59">
        <v>34.323999999999998</v>
      </c>
      <c r="K48" s="59">
        <v>27.129000000000001</v>
      </c>
      <c r="L48" s="59">
        <v>24.782</v>
      </c>
      <c r="M48" s="59">
        <v>19.904</v>
      </c>
      <c r="N48" s="59">
        <v>14.409000000000001</v>
      </c>
      <c r="O48" s="59">
        <v>15.448</v>
      </c>
      <c r="P48" s="59">
        <v>18.151</v>
      </c>
      <c r="Q48" s="59">
        <v>16.751999999999999</v>
      </c>
    </row>
    <row r="49" spans="1:17" x14ac:dyDescent="0.2">
      <c r="A49" s="59" t="s">
        <v>348</v>
      </c>
      <c r="B49" s="59" t="s">
        <v>345</v>
      </c>
      <c r="C49" s="59">
        <f>IF(IFERROR(INDEX('2020'!$G$5:$G$73,MATCH(B49,'2020'!$A$5:$A$73,0)),0)=0,"N/A",INDEX('2020'!$G$5:$G$73,MATCH(B49,'2020'!$A$5:$A$73,0)))</f>
        <v>79.878</v>
      </c>
      <c r="D49" s="59">
        <f>IF(IFERROR(INDEX('2019'!$G$5:$G$73,MATCH(B49,'2019'!$A$5:$A$73,0)),0)=0,"N/A",INDEX('2019'!$G$5:$G$73,MATCH(B49,'2019'!$A$5:$A$73,0)))</f>
        <v>88.692999999999998</v>
      </c>
      <c r="E49" s="59">
        <f>IF(IFERROR(INDEX('2018'!$G$5:$G$73,MATCH(B49,'2018'!$A$5:$A$73,0)),0)=0,"N/A",INDEX('2018'!$G$5:$G$73,MATCH(B49,'2018'!$A$5:$A$73,0)))</f>
        <v>74.938999999999993</v>
      </c>
      <c r="F49" s="59">
        <f>IF(IFERROR(INDEX('2017'!$G$5:$G$73,MATCH(B49,'2017'!$A$5:$A$73,0)),0)=0,"N/A",INDEX('2017'!$G$5:$G$73,MATCH(B49,'2017'!$A$5:$A$73,0)))</f>
        <v>70.864999999999995</v>
      </c>
      <c r="G49" s="67">
        <f>IF(IFERROR(INDEX('2016'!$G$5:$G$73,MATCH(B49,'2016'!$A$5:$A$73,0)),0)=0,"N/A",INDEX('2016'!$G$5:$G$73,MATCH(B49,'2016'!$A$5:$A$73,0)))</f>
        <v>60.256999999999998</v>
      </c>
      <c r="H49" s="59">
        <v>44.33</v>
      </c>
      <c r="I49" s="59">
        <v>36.902000000000001</v>
      </c>
    </row>
    <row r="50" spans="1:17" x14ac:dyDescent="0.2">
      <c r="A50" s="59" t="s">
        <v>146</v>
      </c>
      <c r="B50" s="59" t="s">
        <v>28</v>
      </c>
      <c r="C50" s="59">
        <f>IF(IFERROR(INDEX('2020'!$G$5:$G$73,MATCH(B50,'2020'!$A$5:$A$73,0)),0)=0,"N/A",INDEX('2020'!$G$5:$G$73,MATCH(B50,'2020'!$A$5:$A$73,0)))</f>
        <v>42.844999999999999</v>
      </c>
      <c r="D50" s="59">
        <f>IF(IFERROR(INDEX('2019'!$G$5:$G$73,MATCH(B50,'2019'!$A$5:$A$73,0)),0)=0,"N/A",INDEX('2019'!$G$5:$G$73,MATCH(B50,'2019'!$A$5:$A$73,0)))</f>
        <v>51.014000000000003</v>
      </c>
      <c r="E50" s="59">
        <f>IF(IFERROR(INDEX('2018'!$G$5:$G$73,MATCH(B50,'2018'!$A$5:$A$73,0)),0)=0,"N/A",INDEX('2018'!$G$5:$G$73,MATCH(B50,'2018'!$A$5:$A$73,0)))</f>
        <v>45.826000000000001</v>
      </c>
      <c r="F50" s="59">
        <f>IF(IFERROR(INDEX('2017'!$G$5:$G$73,MATCH(B50,'2017'!$A$5:$A$73,0)),0)=0,"N/A",INDEX('2017'!$G$5:$G$73,MATCH(B50,'2017'!$A$5:$A$73,0)))</f>
        <v>41.036999999999999</v>
      </c>
      <c r="G50" s="67">
        <f>IF(IFERROR(INDEX('2016'!$G$5:$G$73,MATCH(B50,'2016'!$A$5:$A$73,0)),0)=0,"N/A",INDEX('2016'!$G$5:$G$73,MATCH(B50,'2016'!$A$5:$A$73,0)))</f>
        <v>32.308999999999997</v>
      </c>
      <c r="H50" s="59">
        <v>28.39</v>
      </c>
      <c r="I50" s="59">
        <v>29.199000000000002</v>
      </c>
      <c r="J50" s="59">
        <v>28.934000000000001</v>
      </c>
      <c r="K50" s="59">
        <v>22.837</v>
      </c>
      <c r="L50" s="59">
        <v>21.367000000000001</v>
      </c>
      <c r="M50" s="59">
        <v>20.937000000000001</v>
      </c>
      <c r="N50" s="59">
        <v>22.123000000000001</v>
      </c>
      <c r="O50" s="59">
        <v>32.761000000000003</v>
      </c>
      <c r="P50" s="59">
        <v>33.854999999999997</v>
      </c>
      <c r="Q50" s="59">
        <v>29.318999999999999</v>
      </c>
    </row>
    <row r="51" spans="1:17" x14ac:dyDescent="0.2">
      <c r="A51" s="59" t="s">
        <v>147</v>
      </c>
      <c r="B51" s="59" t="s">
        <v>30</v>
      </c>
      <c r="C51" s="59">
        <f>IF(IFERROR(INDEX('2020'!$G$5:$G$73,MATCH(B51,'2020'!$A$5:$A$73,0)),0)=0,"N/A",INDEX('2020'!$G$5:$G$73,MATCH(B51,'2020'!$A$5:$A$73,0)))</f>
        <v>11.244</v>
      </c>
      <c r="D51" s="59">
        <f>IF(IFERROR(INDEX('2019'!$G$5:$G$73,MATCH(B51,'2019'!$A$5:$A$73,0)),0)=0,"N/A",INDEX('2019'!$G$5:$G$73,MATCH(B51,'2019'!$A$5:$A$73,0)))</f>
        <v>14.801</v>
      </c>
      <c r="E51" s="59">
        <f>IF(IFERROR(INDEX('2018'!$G$5:$G$73,MATCH(B51,'2018'!$A$5:$A$73,0)),0)=0,"N/A",INDEX('2018'!$G$5:$G$73,MATCH(B51,'2018'!$A$5:$A$73,0)))</f>
        <v>41.295999999999999</v>
      </c>
      <c r="F51" s="59">
        <f>IF(IFERROR(INDEX('2017'!$G$5:$G$73,MATCH(B51,'2017'!$A$5:$A$73,0)),0)=0,"N/A",INDEX('2017'!$G$5:$G$73,MATCH(B51,'2017'!$A$5:$A$73,0)))</f>
        <v>63.969000000000001</v>
      </c>
      <c r="G51" s="67">
        <f>IF(IFERROR(INDEX('2016'!$G$5:$G$73,MATCH(B51,'2016'!$A$5:$A$73,0)),0)=0,"N/A",INDEX('2016'!$G$5:$G$73,MATCH(B51,'2016'!$A$5:$A$73,0)))</f>
        <v>59.787999999999997</v>
      </c>
      <c r="H51" s="59">
        <v>52.796999999999997</v>
      </c>
      <c r="I51" s="59">
        <v>45.908999999999999</v>
      </c>
      <c r="J51" s="59">
        <v>43.308999999999997</v>
      </c>
      <c r="K51" s="59">
        <v>42.853000000000002</v>
      </c>
      <c r="L51" s="59">
        <v>42.972999999999999</v>
      </c>
      <c r="M51" s="59">
        <v>44.564999999999998</v>
      </c>
      <c r="N51" s="59">
        <v>39.418999999999997</v>
      </c>
      <c r="O51" s="59">
        <v>38.911000000000001</v>
      </c>
      <c r="P51" s="59">
        <v>46.835999999999999</v>
      </c>
      <c r="Q51" s="59">
        <v>40.963999999999999</v>
      </c>
    </row>
    <row r="52" spans="1:17" x14ac:dyDescent="0.2">
      <c r="A52" s="59" t="s">
        <v>148</v>
      </c>
      <c r="B52" s="59" t="s">
        <v>31</v>
      </c>
      <c r="C52" s="59">
        <f>IF(IFERROR(INDEX('2020'!$G$5:$G$73,MATCH(B52,'2020'!$A$5:$A$73,0)),0)=0,"N/A",INDEX('2020'!$G$5:$G$73,MATCH(B52,'2020'!$A$5:$A$73,0)))</f>
        <v>81.356999999999999</v>
      </c>
      <c r="D52" s="59">
        <f>IF(IFERROR(INDEX('2019'!$G$5:$G$73,MATCH(B52,'2019'!$A$5:$A$73,0)),0)=0,"N/A",INDEX('2019'!$G$5:$G$73,MATCH(B52,'2019'!$A$5:$A$73,0)))</f>
        <v>92.379000000000005</v>
      </c>
      <c r="E52" s="59">
        <f>IF(IFERROR(INDEX('2018'!$G$5:$G$73,MATCH(B52,'2018'!$A$5:$A$73,0)),0)=0,"N/A",INDEX('2018'!$G$5:$G$73,MATCH(B52,'2018'!$A$5:$A$73,0)))</f>
        <v>80.896000000000001</v>
      </c>
      <c r="F52" s="59">
        <f>IF(IFERROR(INDEX('2017'!$G$5:$G$73,MATCH(B52,'2017'!$A$5:$A$73,0)),0)=0,"N/A",INDEX('2017'!$G$5:$G$73,MATCH(B52,'2017'!$A$5:$A$73,0)))</f>
        <v>85.414000000000001</v>
      </c>
      <c r="G52" s="67">
        <f>IF(IFERROR(INDEX('2016'!$G$5:$G$73,MATCH(B52,'2016'!$A$5:$A$73,0)),0)=0,"N/A",INDEX('2016'!$G$5:$G$73,MATCH(B52,'2016'!$A$5:$A$73,0)))</f>
        <v>74.034999999999997</v>
      </c>
      <c r="H52" s="59">
        <v>62.86</v>
      </c>
      <c r="I52" s="59">
        <v>56.872</v>
      </c>
      <c r="J52" s="59">
        <v>55.88</v>
      </c>
      <c r="K52" s="59">
        <v>50.21</v>
      </c>
      <c r="L52" s="59">
        <v>43.665999999999997</v>
      </c>
      <c r="M52" s="59">
        <v>38.698999999999998</v>
      </c>
      <c r="N52" s="59">
        <v>31.056000000000001</v>
      </c>
      <c r="O52" s="59">
        <v>34.06</v>
      </c>
      <c r="P52" s="59">
        <v>44.195999999999998</v>
      </c>
      <c r="Q52" s="59">
        <v>43.399000000000001</v>
      </c>
    </row>
    <row r="53" spans="1:17" x14ac:dyDescent="0.2">
      <c r="A53" s="59" t="s">
        <v>149</v>
      </c>
      <c r="B53" s="59" t="s">
        <v>32</v>
      </c>
      <c r="C53" s="59">
        <f>IF(IFERROR(INDEX('2020'!$G$5:$G$73,MATCH(B53,'2020'!$A$5:$A$73,0)),0)=0,"N/A",INDEX('2020'!$G$5:$G$73,MATCH(B53,'2020'!$A$5:$A$73,0)))</f>
        <v>44.689</v>
      </c>
      <c r="D53" s="59">
        <f>IF(IFERROR(INDEX('2019'!$G$5:$G$73,MATCH(B53,'2019'!$A$5:$A$73,0)),0)=0,"N/A",INDEX('2019'!$G$5:$G$73,MATCH(B53,'2019'!$A$5:$A$73,0)))</f>
        <v>48.052</v>
      </c>
      <c r="E53" s="59">
        <f>IF(IFERROR(INDEX('2018'!$G$5:$G$73,MATCH(B53,'2018'!$A$5:$A$73,0)),0)=0,"N/A",INDEX('2018'!$G$5:$G$73,MATCH(B53,'2018'!$A$5:$A$73,0)))</f>
        <v>38.825000000000003</v>
      </c>
      <c r="F53" s="59">
        <f>IF(IFERROR(INDEX('2017'!$G$5:$G$73,MATCH(B53,'2017'!$A$5:$A$73,0)),0)=0,"N/A",INDEX('2017'!$G$5:$G$73,MATCH(B53,'2017'!$A$5:$A$73,0)))</f>
        <v>39.216999999999999</v>
      </c>
      <c r="G53" s="67">
        <f>IF(IFERROR(INDEX('2016'!$G$5:$G$73,MATCH(B53,'2016'!$A$5:$A$73,0)),0)=0,"N/A",INDEX('2016'!$G$5:$G$73,MATCH(B53,'2016'!$A$5:$A$73,0)))</f>
        <v>32.722000000000001</v>
      </c>
      <c r="H53" s="59">
        <v>27.629000000000001</v>
      </c>
      <c r="I53" s="59">
        <v>27.08</v>
      </c>
      <c r="J53" s="59">
        <v>22.745000000000001</v>
      </c>
      <c r="K53" s="59">
        <v>19.611999999999998</v>
      </c>
      <c r="L53" s="59">
        <v>15.695</v>
      </c>
      <c r="M53" s="59">
        <v>12.218999999999999</v>
      </c>
      <c r="N53" s="59">
        <v>10.494</v>
      </c>
      <c r="O53" s="59">
        <v>12.468999999999999</v>
      </c>
      <c r="P53" s="59">
        <v>27.093</v>
      </c>
      <c r="Q53" s="59">
        <v>26.786000000000001</v>
      </c>
    </row>
    <row r="54" spans="1:17" x14ac:dyDescent="0.2">
      <c r="A54" s="59" t="s">
        <v>150</v>
      </c>
      <c r="B54" s="59" t="s">
        <v>33</v>
      </c>
      <c r="C54" s="59">
        <f>IF(IFERROR(INDEX('2020'!$G$5:$G$73,MATCH(B54,'2020'!$A$5:$A$73,0)),0)=0,"N/A",INDEX('2020'!$G$5:$G$73,MATCH(B54,'2020'!$A$5:$A$73,0)))</f>
        <v>45.704999999999998</v>
      </c>
      <c r="D54" s="59">
        <f>IF(IFERROR(INDEX('2019'!$G$5:$G$73,MATCH(B54,'2019'!$A$5:$A$73,0)),0)=0,"N/A",INDEX('2019'!$G$5:$G$73,MATCH(B54,'2019'!$A$5:$A$73,0)))</f>
        <v>53.323999999999998</v>
      </c>
      <c r="E54" s="59">
        <f>IF(IFERROR(INDEX('2018'!$G$5:$G$73,MATCH(B54,'2018'!$A$5:$A$73,0)),0)=0,"N/A",INDEX('2018'!$G$5:$G$73,MATCH(B54,'2018'!$A$5:$A$73,0)))</f>
        <v>43.664999999999999</v>
      </c>
      <c r="F54" s="59">
        <f>IF(IFERROR(INDEX('2017'!$G$5:$G$73,MATCH(B54,'2017'!$A$5:$A$73,0)),0)=0,"N/A",INDEX('2017'!$G$5:$G$73,MATCH(B54,'2017'!$A$5:$A$73,0)))</f>
        <v>45.872</v>
      </c>
      <c r="G54" s="67">
        <f>IF(IFERROR(INDEX('2016'!$G$5:$G$73,MATCH(B54,'2016'!$A$5:$A$73,0)),0)=0,"N/A",INDEX('2016'!$G$5:$G$73,MATCH(B54,'2016'!$A$5:$A$73,0)))</f>
        <v>41.164999999999999</v>
      </c>
      <c r="H54" s="59">
        <v>36.137</v>
      </c>
      <c r="I54" s="59">
        <v>33.393000000000001</v>
      </c>
      <c r="J54" s="59">
        <v>29.876999999999999</v>
      </c>
      <c r="K54" s="59">
        <v>26.14</v>
      </c>
      <c r="L54" s="59">
        <v>24.120999999999999</v>
      </c>
      <c r="M54" s="59">
        <v>19.920000000000002</v>
      </c>
      <c r="N54" s="59">
        <v>18.856999999999999</v>
      </c>
      <c r="O54" s="59">
        <v>22.651</v>
      </c>
      <c r="P54" s="59">
        <v>27.824000000000002</v>
      </c>
      <c r="Q54" s="59">
        <v>26.619</v>
      </c>
    </row>
    <row r="55" spans="1:17" x14ac:dyDescent="0.2">
      <c r="A55" s="59" t="s">
        <v>151</v>
      </c>
      <c r="B55" s="59" t="s">
        <v>34</v>
      </c>
      <c r="C55" s="59">
        <f>IF(IFERROR(INDEX('2020'!$G$5:$G$73,MATCH(B55,'2020'!$A$5:$A$73,0)),0)=0,"N/A",INDEX('2020'!$G$5:$G$73,MATCH(B55,'2020'!$A$5:$A$73,0)))</f>
        <v>28.434000000000001</v>
      </c>
      <c r="D55" s="59">
        <f>IF(IFERROR(INDEX('2019'!$G$5:$G$73,MATCH(B55,'2019'!$A$5:$A$73,0)),0)=0,"N/A",INDEX('2019'!$G$5:$G$73,MATCH(B55,'2019'!$A$5:$A$73,0)))</f>
        <v>31.498000000000001</v>
      </c>
      <c r="E55" s="59">
        <f>IF(IFERROR(INDEX('2018'!$G$5:$G$73,MATCH(B55,'2018'!$A$5:$A$73,0)),0)=0,"N/A",INDEX('2018'!$G$5:$G$73,MATCH(B55,'2018'!$A$5:$A$73,0)))</f>
        <v>29.233000000000001</v>
      </c>
      <c r="F55" s="59">
        <f>IF(IFERROR(INDEX('2017'!$G$5:$G$73,MATCH(B55,'2017'!$A$5:$A$73,0)),0)=0,"N/A",INDEX('2017'!$G$5:$G$73,MATCH(B55,'2017'!$A$5:$A$73,0)))</f>
        <v>37.241</v>
      </c>
      <c r="G55" s="67">
        <f>IF(IFERROR(INDEX('2016'!$G$5:$G$73,MATCH(B55,'2016'!$A$5:$A$73,0)),0)=0,"N/A",INDEX('2016'!$G$5:$G$73,MATCH(B55,'2016'!$A$5:$A$73,0)))</f>
        <v>35.793999999999997</v>
      </c>
      <c r="H55" s="59">
        <v>32.978999999999999</v>
      </c>
      <c r="I55" s="59">
        <v>33.502000000000002</v>
      </c>
      <c r="J55" s="59">
        <v>30.568000000000001</v>
      </c>
      <c r="K55" s="59">
        <v>28.401</v>
      </c>
      <c r="L55" s="59">
        <v>27.446000000000002</v>
      </c>
      <c r="M55" s="59">
        <v>27.318999999999999</v>
      </c>
      <c r="N55" s="59">
        <v>30.567</v>
      </c>
      <c r="O55" s="59">
        <v>43.213999999999999</v>
      </c>
      <c r="P55" s="59">
        <v>45.4</v>
      </c>
      <c r="Q55" s="59">
        <v>32.289000000000001</v>
      </c>
    </row>
    <row r="56" spans="1:17" x14ac:dyDescent="0.2">
      <c r="A56" s="59" t="s">
        <v>152</v>
      </c>
      <c r="B56" s="59" t="s">
        <v>35</v>
      </c>
      <c r="C56" s="59">
        <f>IF(IFERROR(INDEX('2020'!$G$5:$G$73,MATCH(B56,'2020'!$A$5:$A$73,0)),0)=0,"N/A",INDEX('2020'!$G$5:$G$73,MATCH(B56,'2020'!$A$5:$A$73,0)))</f>
        <v>53.805999999999997</v>
      </c>
      <c r="D56" s="59">
        <f>IF(IFERROR(INDEX('2019'!$G$5:$G$73,MATCH(B56,'2019'!$A$5:$A$73,0)),0)=0,"N/A",INDEX('2019'!$G$5:$G$73,MATCH(B56,'2019'!$A$5:$A$73,0)))</f>
        <v>58.895000000000003</v>
      </c>
      <c r="E56" s="59">
        <f>IF(IFERROR(INDEX('2018'!$G$5:$G$73,MATCH(B56,'2018'!$A$5:$A$73,0)),0)=0,"N/A",INDEX('2018'!$G$5:$G$73,MATCH(B56,'2018'!$A$5:$A$73,0)))</f>
        <v>51.636000000000003</v>
      </c>
      <c r="F56" s="59">
        <f>IF(IFERROR(INDEX('2017'!$G$5:$G$73,MATCH(B56,'2017'!$A$5:$A$73,0)),0)=0,"N/A",INDEX('2017'!$G$5:$G$73,MATCH(B56,'2017'!$A$5:$A$73,0)))</f>
        <v>45.978999999999999</v>
      </c>
      <c r="G56" s="67">
        <f>IF(IFERROR(INDEX('2016'!$G$5:$G$73,MATCH(B56,'2016'!$A$5:$A$73,0)),0)=0,"N/A",INDEX('2016'!$G$5:$G$73,MATCH(B56,'2016'!$A$5:$A$73,0)))</f>
        <v>43.433</v>
      </c>
      <c r="H56" s="59">
        <v>40.96</v>
      </c>
      <c r="I56" s="59">
        <v>37.715000000000003</v>
      </c>
      <c r="J56" s="59">
        <v>33.075000000000003</v>
      </c>
      <c r="K56" s="59">
        <v>31.202999999999999</v>
      </c>
      <c r="L56" s="59">
        <v>32.326999999999998</v>
      </c>
      <c r="M56" s="59">
        <v>31.832000000000001</v>
      </c>
      <c r="N56" s="59">
        <v>30.92</v>
      </c>
      <c r="O56" s="59">
        <v>39.573</v>
      </c>
      <c r="P56" s="59">
        <v>42.845999999999997</v>
      </c>
      <c r="Q56" s="59">
        <v>32.856000000000002</v>
      </c>
    </row>
    <row r="57" spans="1:17" x14ac:dyDescent="0.2">
      <c r="A57" s="59" t="s">
        <v>193</v>
      </c>
      <c r="B57" s="59" t="s">
        <v>194</v>
      </c>
      <c r="C57" s="59">
        <f>IF(IFERROR(INDEX('2020'!$G$5:$G$73,MATCH(B57,'2020'!$A$5:$A$73,0)),0)=0,"N/A",INDEX('2020'!$G$5:$G$73,MATCH(B57,'2020'!$A$5:$A$73,0)))</f>
        <v>26.376999999999999</v>
      </c>
      <c r="D57" s="59">
        <f>IF(IFERROR(INDEX('2019'!$G$5:$G$73,MATCH(B57,'2019'!$A$5:$A$73,0)),0)=0,"N/A",INDEX('2019'!$G$5:$G$73,MATCH(B57,'2019'!$A$5:$A$73,0)))</f>
        <v>27.954000000000001</v>
      </c>
      <c r="E57" s="59">
        <f>IF(IFERROR(INDEX('2018'!$G$5:$G$73,MATCH(B57,'2018'!$A$5:$A$73,0)),0)=0,"N/A",INDEX('2018'!$G$5:$G$73,MATCH(B57,'2018'!$A$5:$A$73,0)))</f>
        <v>26.887</v>
      </c>
      <c r="F57" s="59">
        <f>IF(IFERROR(INDEX('2017'!$G$5:$G$73,MATCH(B57,'2017'!$A$5:$A$73,0)),0)=0,"N/A",INDEX('2017'!$G$5:$G$73,MATCH(B57,'2017'!$A$5:$A$73,0)))</f>
        <v>21.614000000000001</v>
      </c>
      <c r="G57" s="67">
        <f>IF(IFERROR(INDEX('2016'!$G$5:$G$73,MATCH(B57,'2016'!$A$5:$A$73,0)),0)=0,"N/A",INDEX('2016'!$G$5:$G$73,MATCH(B57,'2016'!$A$5:$A$73,0)))</f>
        <v>14.97</v>
      </c>
      <c r="H57" s="59">
        <v>20.946999999999999</v>
      </c>
      <c r="I57" s="59">
        <v>19.355</v>
      </c>
      <c r="J57" s="59">
        <v>18.885999999999999</v>
      </c>
      <c r="K57" s="59">
        <v>17.975000000000001</v>
      </c>
      <c r="L57" s="59">
        <v>16.324999999999999</v>
      </c>
      <c r="M57" s="59">
        <v>15.202999999999999</v>
      </c>
      <c r="N57" s="59">
        <v>12.958</v>
      </c>
      <c r="O57" s="59">
        <v>14.269</v>
      </c>
      <c r="P57" s="59">
        <v>13.407999999999999</v>
      </c>
      <c r="Q57" s="59">
        <v>12.746</v>
      </c>
    </row>
    <row r="58" spans="1:17" x14ac:dyDescent="0.2">
      <c r="A58" s="59" t="s">
        <v>153</v>
      </c>
      <c r="B58" s="59" t="s">
        <v>36</v>
      </c>
      <c r="C58" s="59" t="str">
        <f>IF(IFERROR(INDEX('2020'!$G$5:$G$73,MATCH(B58,'2020'!$A$5:$A$73,0)),0)=0,"N/A",INDEX('2020'!$G$5:$G$73,MATCH(B58,'2020'!$A$5:$A$73,0)))</f>
        <v>N/A</v>
      </c>
      <c r="D58" s="59" t="str">
        <f>IF(IFERROR(INDEX('2019'!$G$5:$G$73,MATCH(B58,'2019'!$A$5:$A$73,0)),0)=0,"N/A",INDEX('2019'!$G$5:$G$73,MATCH(B58,'2019'!$A$5:$A$73,0)))</f>
        <v>N/A</v>
      </c>
      <c r="E58" s="59" t="str">
        <f>IF(IFERROR(INDEX('2018'!$G$5:$G$73,MATCH(B58,'2018'!$A$5:$A$73,0)),0)=0,"N/A",INDEX('2018'!$G$5:$G$73,MATCH(B58,'2018'!$A$5:$A$73,0)))</f>
        <v>N/A</v>
      </c>
      <c r="F58" s="59">
        <f>IF(IFERROR(INDEX('2017'!$G$5:$G$73,MATCH(B58,'2017'!$A$5:$A$73,0)),0)=0,"N/A",INDEX('2017'!$G$5:$G$73,MATCH(B58,'2017'!$A$5:$A$73,0)))</f>
        <v>60.73</v>
      </c>
      <c r="G58" s="67">
        <f>IF(IFERROR(INDEX('2016'!$G$5:$G$73,MATCH(B58,'2016'!$A$5:$A$73,0)),0)=0,"N/A",INDEX('2016'!$G$5:$G$73,MATCH(B58,'2016'!$A$5:$A$73,0)))</f>
        <v>69.870999999999995</v>
      </c>
      <c r="H58" s="59">
        <v>55.875</v>
      </c>
      <c r="I58" s="59">
        <v>51.834000000000003</v>
      </c>
      <c r="J58" s="59">
        <v>48.905999999999999</v>
      </c>
      <c r="K58" s="59">
        <v>46.616999999999997</v>
      </c>
      <c r="L58" s="59">
        <v>40.601999999999997</v>
      </c>
      <c r="M58" s="59">
        <v>38.542999999999999</v>
      </c>
      <c r="N58" s="59">
        <v>33.134999999999998</v>
      </c>
      <c r="O58" s="59">
        <v>37.369</v>
      </c>
      <c r="P58" s="59">
        <v>40.981000000000002</v>
      </c>
      <c r="Q58" s="59">
        <v>39.936999999999998</v>
      </c>
    </row>
    <row r="59" spans="1:17" x14ac:dyDescent="0.2">
      <c r="A59" s="59" t="s">
        <v>154</v>
      </c>
      <c r="B59" s="59" t="s">
        <v>37</v>
      </c>
      <c r="C59" s="59">
        <f>IF(IFERROR(INDEX('2020'!$G$5:$G$73,MATCH(B59,'2020'!$A$5:$A$73,0)),0)=0,"N/A",INDEX('2020'!$G$5:$G$73,MATCH(B59,'2020'!$A$5:$A$73,0)))</f>
        <v>129.08199999999999</v>
      </c>
      <c r="D59" s="59">
        <f>IF(IFERROR(INDEX('2019'!$G$5:$G$73,MATCH(B59,'2019'!$A$5:$A$73,0)),0)=0,"N/A",INDEX('2019'!$G$5:$G$73,MATCH(B59,'2019'!$A$5:$A$73,0)))</f>
        <v>134.29400000000001</v>
      </c>
      <c r="E59" s="59">
        <f>IF(IFERROR(INDEX('2018'!$G$5:$G$73,MATCH(B59,'2018'!$A$5:$A$73,0)),0)=0,"N/A",INDEX('2018'!$G$5:$G$73,MATCH(B59,'2018'!$A$5:$A$73,0)))</f>
        <v>111.804</v>
      </c>
      <c r="F59" s="59">
        <f>IF(IFERROR(INDEX('2017'!$G$5:$G$73,MATCH(B59,'2017'!$A$5:$A$73,0)),0)=0,"N/A",INDEX('2017'!$G$5:$G$73,MATCH(B59,'2017'!$A$5:$A$73,0)))</f>
        <v>112.661</v>
      </c>
      <c r="G59" s="67">
        <f>IF(IFERROR(INDEX('2016'!$G$5:$G$73,MATCH(B59,'2016'!$A$5:$A$73,0)),0)=0,"N/A",INDEX('2016'!$G$5:$G$73,MATCH(B59,'2016'!$A$5:$A$73,0)))</f>
        <v>103.34</v>
      </c>
      <c r="H59" s="59">
        <v>103.166</v>
      </c>
      <c r="I59" s="59">
        <v>101.265</v>
      </c>
      <c r="J59" s="59">
        <v>83.064999999999998</v>
      </c>
      <c r="K59" s="59">
        <v>64.763000000000005</v>
      </c>
      <c r="L59" s="59">
        <v>52.616</v>
      </c>
      <c r="M59" s="59">
        <v>50.631999999999998</v>
      </c>
      <c r="N59" s="59">
        <v>48.228999999999999</v>
      </c>
      <c r="O59" s="59">
        <v>52.271999999999998</v>
      </c>
      <c r="P59" s="59">
        <v>59.668999999999997</v>
      </c>
      <c r="Q59" s="59">
        <v>48.648000000000003</v>
      </c>
    </row>
    <row r="60" spans="1:17" x14ac:dyDescent="0.2">
      <c r="A60" s="59" t="s">
        <v>195</v>
      </c>
      <c r="B60" s="59" t="s">
        <v>196</v>
      </c>
      <c r="C60" s="59">
        <f>IF(IFERROR(INDEX('2020'!$G$5:$G$73,MATCH(B60,'2020'!$A$5:$A$73,0)),0)=0,"N/A",INDEX('2020'!$G$5:$G$73,MATCH(B60,'2020'!$A$5:$A$73,0)))</f>
        <v>64.165000000000006</v>
      </c>
      <c r="D60" s="59">
        <f>IF(IFERROR(INDEX('2019'!$G$5:$G$73,MATCH(B60,'2019'!$A$5:$A$73,0)),0)=0,"N/A",INDEX('2019'!$G$5:$G$73,MATCH(B60,'2019'!$A$5:$A$73,0)))</f>
        <v>64.591999999999999</v>
      </c>
      <c r="E60" s="59">
        <f>IF(IFERROR(INDEX('2018'!$G$5:$G$73,MATCH(B60,'2018'!$A$5:$A$73,0)),0)=0,"N/A",INDEX('2018'!$G$5:$G$73,MATCH(B60,'2018'!$A$5:$A$73,0)))</f>
        <v>59.597999999999999</v>
      </c>
      <c r="F60" s="59">
        <f>IF(IFERROR(INDEX('2017'!$G$5:$G$73,MATCH(B60,'2017'!$A$5:$A$73,0)),0)=0,"N/A",INDEX('2017'!$G$5:$G$73,MATCH(B60,'2017'!$A$5:$A$73,0)))</f>
        <v>53.884999999999998</v>
      </c>
      <c r="G60" s="67">
        <f>IF(IFERROR(INDEX('2016'!$G$5:$G$73,MATCH(B60,'2016'!$A$5:$A$73,0)),0)=0,"N/A",INDEX('2016'!$G$5:$G$73,MATCH(B60,'2016'!$A$5:$A$73,0)))</f>
        <v>40.286999999999999</v>
      </c>
      <c r="H60" s="59">
        <v>30.788</v>
      </c>
      <c r="I60" s="59">
        <v>28.417999999999999</v>
      </c>
      <c r="J60" s="59">
        <v>27.257999999999999</v>
      </c>
      <c r="K60" s="59">
        <v>24.032</v>
      </c>
      <c r="L60" s="59">
        <v>23.503</v>
      </c>
      <c r="M60" s="59">
        <v>24.463000000000001</v>
      </c>
      <c r="N60" s="59">
        <v>23.22</v>
      </c>
      <c r="O60" s="59">
        <v>28.442</v>
      </c>
      <c r="P60" s="59">
        <v>34.764000000000003</v>
      </c>
      <c r="Q60" s="59">
        <v>27.975000000000001</v>
      </c>
    </row>
    <row r="61" spans="1:17" x14ac:dyDescent="0.2">
      <c r="A61" s="59" t="s">
        <v>197</v>
      </c>
      <c r="B61" s="59" t="s">
        <v>198</v>
      </c>
      <c r="C61" s="59">
        <f>IF(IFERROR(INDEX('2020'!$G$5:$G$73,MATCH(B61,'2020'!$A$5:$A$73,0)),0)=0,"N/A",INDEX('2020'!$G$5:$G$73,MATCH(B61,'2020'!$A$5:$A$73,0)))</f>
        <v>25.015000000000001</v>
      </c>
      <c r="D61" s="59">
        <f>IF(IFERROR(INDEX('2019'!$G$5:$G$73,MATCH(B61,'2019'!$A$5:$A$73,0)),0)=0,"N/A",INDEX('2019'!$G$5:$G$73,MATCH(B61,'2019'!$A$5:$A$73,0)))</f>
        <v>31.675999999999998</v>
      </c>
      <c r="E61" s="59">
        <f>IF(IFERROR(INDEX('2018'!$G$5:$G$73,MATCH(B61,'2018'!$A$5:$A$73,0)),0)=0,"N/A",INDEX('2018'!$G$5:$G$73,MATCH(B61,'2018'!$A$5:$A$73,0)))</f>
        <v>31.241</v>
      </c>
      <c r="F61" s="59">
        <f>IF(IFERROR(INDEX('2017'!$G$5:$G$73,MATCH(B61,'2017'!$A$5:$A$73,0)),0)=0,"N/A",INDEX('2017'!$G$5:$G$73,MATCH(B61,'2017'!$A$5:$A$73,0)))</f>
        <v>34.341999999999999</v>
      </c>
      <c r="G61" s="67">
        <f>IF(IFERROR(INDEX('2016'!$G$5:$G$73,MATCH(B61,'2016'!$A$5:$A$73,0)),0)=0,"N/A",INDEX('2016'!$G$5:$G$73,MATCH(B61,'2016'!$A$5:$A$73,0)))</f>
        <v>29.097000000000001</v>
      </c>
      <c r="H61" s="59">
        <v>25.846</v>
      </c>
      <c r="I61" s="59">
        <v>28.222999999999999</v>
      </c>
      <c r="J61" s="59">
        <v>28.638000000000002</v>
      </c>
      <c r="K61" s="59">
        <v>25.655999999999999</v>
      </c>
      <c r="L61" s="59">
        <v>26.706</v>
      </c>
      <c r="M61" s="59">
        <v>22.69</v>
      </c>
      <c r="N61" s="59">
        <v>17.797000000000001</v>
      </c>
      <c r="O61" s="59">
        <v>18.042999999999999</v>
      </c>
      <c r="P61" s="59">
        <v>17.954000000000001</v>
      </c>
      <c r="Q61" s="59">
        <v>14.585000000000001</v>
      </c>
    </row>
    <row r="62" spans="1:17" x14ac:dyDescent="0.2">
      <c r="A62" s="59" t="s">
        <v>155</v>
      </c>
      <c r="B62" s="59" t="s">
        <v>38</v>
      </c>
      <c r="C62" s="59">
        <f>IF(IFERROR(INDEX('2020'!$G$5:$G$73,MATCH(B62,'2020'!$A$5:$A$73,0)),0)=0,"N/A",INDEX('2020'!$G$5:$G$73,MATCH(B62,'2020'!$A$5:$A$73,0)))</f>
        <v>58.210999999999999</v>
      </c>
      <c r="D62" s="59">
        <f>IF(IFERROR(INDEX('2019'!$G$5:$G$73,MATCH(B62,'2019'!$A$5:$A$73,0)),0)=0,"N/A",INDEX('2019'!$G$5:$G$73,MATCH(B62,'2019'!$A$5:$A$73,0)))</f>
        <v>55.738999999999997</v>
      </c>
      <c r="E62" s="59">
        <f>IF(IFERROR(INDEX('2018'!$G$5:$G$73,MATCH(B62,'2018'!$A$5:$A$73,0)),0)=0,"N/A",INDEX('2018'!$G$5:$G$73,MATCH(B62,'2018'!$A$5:$A$73,0)))</f>
        <v>45.185000000000002</v>
      </c>
      <c r="F62" s="59">
        <f>IF(IFERROR(INDEX('2017'!$G$5:$G$73,MATCH(B62,'2017'!$A$5:$A$73,0)),0)=0,"N/A",INDEX('2017'!$G$5:$G$73,MATCH(B62,'2017'!$A$5:$A$73,0)))</f>
        <v>49.704000000000001</v>
      </c>
      <c r="G62" s="67">
        <f>IF(IFERROR(INDEX('2016'!$G$5:$G$73,MATCH(B62,'2016'!$A$5:$A$73,0)),0)=0,"N/A",INDEX('2016'!$G$5:$G$73,MATCH(B62,'2016'!$A$5:$A$73,0)))</f>
        <v>50.256</v>
      </c>
      <c r="H62" s="59">
        <v>45.01</v>
      </c>
      <c r="I62" s="59">
        <v>44.442</v>
      </c>
      <c r="J62" s="59">
        <v>43.701999999999998</v>
      </c>
      <c r="K62" s="59">
        <v>45.304000000000002</v>
      </c>
      <c r="L62" s="59">
        <v>40.409999999999997</v>
      </c>
      <c r="M62" s="59">
        <v>35.156999999999996</v>
      </c>
      <c r="N62" s="59">
        <v>31.367999999999999</v>
      </c>
      <c r="O62" s="59">
        <v>36.286000000000001</v>
      </c>
      <c r="P62" s="59">
        <v>36.369999999999997</v>
      </c>
      <c r="Q62" s="59">
        <v>33.996000000000002</v>
      </c>
    </row>
    <row r="63" spans="1:17" x14ac:dyDescent="0.2">
      <c r="A63" s="59" t="s">
        <v>199</v>
      </c>
      <c r="B63" s="59" t="s">
        <v>200</v>
      </c>
      <c r="C63" s="59">
        <f>IF(IFERROR(INDEX('2020'!$G$5:$G$73,MATCH(B63,'2020'!$A$5:$A$73,0)),0)=0,"N/A",INDEX('2020'!$G$5:$G$73,MATCH(B63,'2020'!$A$5:$A$73,0)))</f>
        <v>69.537999999999997</v>
      </c>
      <c r="D63" s="59">
        <f>IF(IFERROR(INDEX('2019'!$G$5:$G$73,MATCH(B63,'2019'!$A$5:$A$73,0)),0)=0,"N/A",INDEX('2019'!$G$5:$G$73,MATCH(B63,'2019'!$A$5:$A$73,0)))</f>
        <v>83.905000000000001</v>
      </c>
      <c r="E63" s="59">
        <f>IF(IFERROR(INDEX('2018'!$G$5:$G$73,MATCH(B63,'2018'!$A$5:$A$73,0)),0)=0,"N/A",INDEX('2018'!$G$5:$G$73,MATCH(B63,'2018'!$A$5:$A$73,0)))</f>
        <v>75.837999999999994</v>
      </c>
      <c r="F63" s="59">
        <f>IF(IFERROR(INDEX('2017'!$G$5:$G$73,MATCH(B63,'2017'!$A$5:$A$73,0)),0)=0,"N/A",INDEX('2017'!$G$5:$G$73,MATCH(B63,'2017'!$A$5:$A$73,0)))</f>
        <v>80.414000000000001</v>
      </c>
      <c r="G63" s="67">
        <f>IF(IFERROR(INDEX('2016'!$G$5:$G$73,MATCH(B63,'2016'!$A$5:$A$73,0)),0)=0,"N/A",INDEX('2016'!$G$5:$G$73,MATCH(B63,'2016'!$A$5:$A$73,0)))</f>
        <v>68.823999999999998</v>
      </c>
      <c r="H63" s="59">
        <v>56.515000000000001</v>
      </c>
      <c r="I63" s="59">
        <v>53.759</v>
      </c>
      <c r="J63" s="59">
        <v>49.005000000000003</v>
      </c>
      <c r="K63" s="59">
        <v>42.906999999999996</v>
      </c>
      <c r="L63" s="59">
        <v>38.121000000000002</v>
      </c>
      <c r="M63" s="59">
        <v>31.71</v>
      </c>
      <c r="N63" s="59">
        <v>23.666</v>
      </c>
      <c r="O63" s="59">
        <v>28.173999999999999</v>
      </c>
      <c r="P63" s="59">
        <v>33.658000000000001</v>
      </c>
      <c r="Q63" s="59">
        <v>31.556000000000001</v>
      </c>
    </row>
    <row r="64" spans="1:17" x14ac:dyDescent="0.2">
      <c r="A64" s="59" t="s">
        <v>243</v>
      </c>
      <c r="B64" s="59" t="s">
        <v>244</v>
      </c>
      <c r="C64" s="59">
        <f>IF(IFERROR(INDEX('2020'!$G$5:$G$73,MATCH(B64,'2020'!$A$5:$A$73,0)),0)=0,"N/A",INDEX('2020'!$G$5:$G$73,MATCH(B64,'2020'!$A$5:$A$73,0)))</f>
        <v>73.611000000000004</v>
      </c>
      <c r="D64" s="59">
        <f>IF(IFERROR(INDEX('2019'!$G$5:$G$73,MATCH(B64,'2019'!$A$5:$A$73,0)),0)=0,"N/A",INDEX('2019'!$G$5:$G$73,MATCH(B64,'2019'!$A$5:$A$73,0)))</f>
        <v>80.210999999999999</v>
      </c>
      <c r="E64" s="59">
        <f>IF(IFERROR(INDEX('2018'!$G$5:$G$73,MATCH(B64,'2018'!$A$5:$A$73,0)),0)=0,"N/A",INDEX('2018'!$G$5:$G$73,MATCH(B64,'2018'!$A$5:$A$73,0)))</f>
        <v>72.492000000000004</v>
      </c>
      <c r="F64" s="59">
        <f>IF(IFERROR(INDEX('2017'!$G$5:$G$73,MATCH(B64,'2017'!$A$5:$A$73,0)),0)=0,"N/A",INDEX('2017'!$G$5:$G$73,MATCH(B64,'2017'!$A$5:$A$73,0)))</f>
        <v>67.980999999999995</v>
      </c>
      <c r="G64" s="67">
        <f>IF(IFERROR(INDEX('2016'!$G$5:$G$73,MATCH(B64,'2016'!$A$5:$A$73,0)),0)=0,"N/A",INDEX('2016'!$G$5:$G$73,MATCH(B64,'2016'!$A$5:$A$73,0)))</f>
        <v>63.55</v>
      </c>
      <c r="H64" s="59">
        <v>52.097999999999999</v>
      </c>
      <c r="I64" s="59">
        <v>46.524999999999999</v>
      </c>
      <c r="J64" s="59">
        <v>42.932000000000002</v>
      </c>
      <c r="K64" s="59">
        <v>40.344000000000001</v>
      </c>
      <c r="L64" s="59">
        <v>37.313000000000002</v>
      </c>
      <c r="M64" s="59">
        <v>33.384999999999998</v>
      </c>
      <c r="N64" s="59">
        <v>39.095999999999997</v>
      </c>
      <c r="O64" s="59">
        <v>37.787999999999997</v>
      </c>
      <c r="P64" s="59">
        <v>32.767000000000003</v>
      </c>
      <c r="Q64" s="59">
        <v>32.231000000000002</v>
      </c>
    </row>
    <row r="65" spans="1:17" x14ac:dyDescent="0.2">
      <c r="A65" s="59" t="s">
        <v>201</v>
      </c>
      <c r="B65" s="59" t="s">
        <v>202</v>
      </c>
      <c r="C65" s="59">
        <f>IF(IFERROR(INDEX('2020'!$G$5:$G$73,MATCH(B65,'2020'!$A$5:$A$73,0)),0)=0,"N/A",INDEX('2020'!$G$5:$G$73,MATCH(B65,'2020'!$A$5:$A$73,0)))</f>
        <v>8.8490000000000002</v>
      </c>
      <c r="D65" s="59">
        <f>IF(IFERROR(INDEX('2019'!$G$5:$G$73,MATCH(B65,'2019'!$A$5:$A$73,0)),0)=0,"N/A",INDEX('2019'!$G$5:$G$73,MATCH(B65,'2019'!$A$5:$A$73,0)))</f>
        <v>9.6180000000000003</v>
      </c>
      <c r="E65" s="59">
        <f>IF(IFERROR(INDEX('2018'!$G$5:$G$73,MATCH(B65,'2018'!$A$5:$A$73,0)),0)=0,"N/A",INDEX('2018'!$G$5:$G$73,MATCH(B65,'2018'!$A$5:$A$73,0)))</f>
        <v>9.9779999999999998</v>
      </c>
      <c r="F65" s="59">
        <f>IF(IFERROR(INDEX('2017'!$G$5:$G$73,MATCH(B65,'2017'!$A$5:$A$73,0)),0)=0,"N/A",INDEX('2017'!$G$5:$G$73,MATCH(B65,'2017'!$A$5:$A$73,0)))</f>
        <v>10.145</v>
      </c>
      <c r="G65" s="67">
        <f>IF(IFERROR(INDEX('2016'!$G$5:$G$73,MATCH(B65,'2016'!$A$5:$A$73,0)),0)=0,"N/A",INDEX('2016'!$G$5:$G$73,MATCH(B65,'2016'!$A$5:$A$73,0)))</f>
        <v>8.2889999999999997</v>
      </c>
      <c r="H65" s="59">
        <v>7.5670000000000002</v>
      </c>
      <c r="I65" s="59">
        <v>5.8380000000000001</v>
      </c>
      <c r="J65" s="59">
        <v>4.5910000000000002</v>
      </c>
      <c r="K65" s="59">
        <v>4.4260000000000002</v>
      </c>
      <c r="L65" s="59">
        <v>5.2859999999999996</v>
      </c>
      <c r="M65" s="59">
        <v>4.2370000000000001</v>
      </c>
      <c r="N65" s="59">
        <v>2.8370000000000002</v>
      </c>
      <c r="O65" s="59">
        <v>3.2229999999999999</v>
      </c>
      <c r="P65" s="59">
        <v>3.7919999999999998</v>
      </c>
      <c r="Q65" s="59">
        <v>2.27</v>
      </c>
    </row>
    <row r="66" spans="1:17" x14ac:dyDescent="0.2">
      <c r="A66" s="59" t="s">
        <v>203</v>
      </c>
      <c r="B66" s="59" t="s">
        <v>204</v>
      </c>
      <c r="C66" s="59">
        <f>IF(IFERROR(INDEX('2020'!$G$5:$G$73,MATCH(B66,'2020'!$A$5:$A$73,0)),0)=0,"N/A",INDEX('2020'!$G$5:$G$73,MATCH(B66,'2020'!$A$5:$A$73,0)))</f>
        <v>36.841999999999999</v>
      </c>
      <c r="D66" s="59">
        <f>IF(IFERROR(INDEX('2019'!$G$5:$G$73,MATCH(B66,'2019'!$A$5:$A$73,0)),0)=0,"N/A",INDEX('2019'!$G$5:$G$73,MATCH(B66,'2019'!$A$5:$A$73,0)))</f>
        <v>53.360999999999997</v>
      </c>
      <c r="E66" s="59">
        <f>IF(IFERROR(INDEX('2018'!$G$5:$G$73,MATCH(B66,'2018'!$A$5:$A$73,0)),0)=0,"N/A",INDEX('2018'!$G$5:$G$73,MATCH(B66,'2018'!$A$5:$A$73,0)))</f>
        <v>48.69</v>
      </c>
      <c r="F66" s="59">
        <f>IF(IFERROR(INDEX('2017'!$G$5:$G$73,MATCH(B66,'2017'!$A$5:$A$73,0)),0)=0,"N/A",INDEX('2017'!$G$5:$G$73,MATCH(B66,'2017'!$A$5:$A$73,0)))</f>
        <v>47.722999999999999</v>
      </c>
      <c r="G66" s="67">
        <f>IF(IFERROR(INDEX('2016'!$G$5:$G$73,MATCH(B66,'2016'!$A$5:$A$73,0)),0)=0,"N/A",INDEX('2016'!$G$5:$G$73,MATCH(B66,'2016'!$A$5:$A$73,0)))</f>
        <v>39.622999999999998</v>
      </c>
      <c r="H66" s="59">
        <v>35.604999999999997</v>
      </c>
      <c r="I66" s="59">
        <v>30.346</v>
      </c>
      <c r="J66" s="59">
        <v>24.588000000000001</v>
      </c>
      <c r="K66" s="59">
        <v>19.210999999999999</v>
      </c>
      <c r="L66" s="59">
        <v>20.632999999999999</v>
      </c>
      <c r="M66" s="59">
        <v>17.239000000000001</v>
      </c>
      <c r="N66" s="59">
        <v>16.193999999999999</v>
      </c>
      <c r="O66" s="59">
        <v>17.651</v>
      </c>
      <c r="P66" s="59">
        <v>17.87</v>
      </c>
      <c r="Q66" s="59">
        <v>15.362</v>
      </c>
    </row>
    <row r="67" spans="1:17" x14ac:dyDescent="0.2">
      <c r="A67" s="59" t="s">
        <v>159</v>
      </c>
      <c r="B67" s="59" t="s">
        <v>83</v>
      </c>
      <c r="C67" s="59">
        <f>IF(IFERROR(INDEX('2020'!$G$5:$G$73,MATCH(B67,'2020'!$A$5:$A$73,0)),0)=0,"N/A",INDEX('2020'!$G$5:$G$73,MATCH(B67,'2020'!$A$5:$A$73,0)))</f>
        <v>47.529000000000003</v>
      </c>
      <c r="D67" s="59">
        <f>IF(IFERROR(INDEX('2019'!$G$5:$G$73,MATCH(B67,'2019'!$A$5:$A$73,0)),0)=0,"N/A",INDEX('2019'!$G$5:$G$73,MATCH(B67,'2019'!$A$5:$A$73,0)))</f>
        <v>57.752000000000002</v>
      </c>
      <c r="E67" s="59">
        <f>IF(IFERROR(INDEX('2018'!$G$5:$G$73,MATCH(B67,'2018'!$A$5:$A$73,0)),0)=0,"N/A",INDEX('2018'!$G$5:$G$73,MATCH(B67,'2018'!$A$5:$A$73,0)))</f>
        <v>48.231000000000002</v>
      </c>
      <c r="F67" s="59">
        <f>IF(IFERROR(INDEX('2017'!$G$5:$G$73,MATCH(B67,'2017'!$A$5:$A$73,0)),0)=0,"N/A",INDEX('2017'!$G$5:$G$73,MATCH(B67,'2017'!$A$5:$A$73,0)))</f>
        <v>48.08</v>
      </c>
      <c r="G67" s="67">
        <f>IF(IFERROR(INDEX('2016'!$G$5:$G$73,MATCH(B67,'2016'!$A$5:$A$73,0)),0)=0,"N/A",INDEX('2016'!$G$5:$G$73,MATCH(B67,'2016'!$A$5:$A$73,0)))</f>
        <v>40.67</v>
      </c>
      <c r="H67" s="59">
        <v>35.021999999999998</v>
      </c>
      <c r="I67" s="59">
        <v>32.920999999999999</v>
      </c>
      <c r="J67" s="59">
        <v>29.036999999999999</v>
      </c>
      <c r="K67" s="59">
        <v>26.72</v>
      </c>
      <c r="L67" s="59">
        <v>25.177</v>
      </c>
      <c r="M67" s="59">
        <v>22.091999999999999</v>
      </c>
      <c r="N67" s="59">
        <v>20.919</v>
      </c>
      <c r="O67" s="59">
        <v>26.099</v>
      </c>
      <c r="P67" s="59">
        <v>27.931000000000001</v>
      </c>
      <c r="Q67" s="59">
        <v>24.841999999999999</v>
      </c>
    </row>
    <row r="68" spans="1:17" x14ac:dyDescent="0.2">
      <c r="A68" s="59" t="s">
        <v>156</v>
      </c>
      <c r="B68" s="59" t="s">
        <v>42</v>
      </c>
      <c r="C68" s="59" t="str">
        <f>IF(IFERROR(INDEX('2020'!$G$5:$G$73,MATCH(B68,'2020'!$A$5:$A$73,0)),0)=0,"N/A",INDEX('2020'!$G$5:$G$73,MATCH(B68,'2020'!$A$5:$A$73,0)))</f>
        <v>N/A</v>
      </c>
      <c r="D68" s="59" t="str">
        <f>IF(IFERROR(INDEX('2019'!$G$5:$G$73,MATCH(B68,'2019'!$A$5:$A$73,0)),0)=0,"N/A",INDEX('2019'!$G$5:$G$73,MATCH(B68,'2019'!$A$5:$A$73,0)))</f>
        <v>N/A</v>
      </c>
      <c r="E68" s="59" t="str">
        <f>IF(IFERROR(INDEX('2018'!$G$5:$G$73,MATCH(B68,'2018'!$A$5:$A$73,0)),0)=0,"N/A",INDEX('2018'!$G$5:$G$73,MATCH(B68,'2018'!$A$5:$A$73,0)))</f>
        <v>N/A</v>
      </c>
      <c r="F68" s="59">
        <f>IF(IFERROR(INDEX('2017'!$G$5:$G$73,MATCH(B68,'2017'!$A$5:$A$73,0)),0)=0,"N/A",INDEX('2017'!$G$5:$G$73,MATCH(B68,'2017'!$A$5:$A$73,0)))</f>
        <v>61.194000000000003</v>
      </c>
      <c r="G68" s="67">
        <f>IF(IFERROR(INDEX('2016'!$G$5:$G$73,MATCH(B68,'2016'!$A$5:$A$73,0)),0)=0,"N/A",INDEX('2016'!$G$5:$G$73,MATCH(B68,'2016'!$A$5:$A$73,0)))</f>
        <v>48.904000000000003</v>
      </c>
      <c r="H68" s="59">
        <v>42.834000000000003</v>
      </c>
      <c r="I68" s="59">
        <v>40.365000000000002</v>
      </c>
      <c r="J68" s="59">
        <v>34.302999999999997</v>
      </c>
      <c r="K68" s="59">
        <v>29.135000000000002</v>
      </c>
      <c r="L68" s="59">
        <v>27.379000000000001</v>
      </c>
      <c r="M68" s="59">
        <v>24.768000000000001</v>
      </c>
      <c r="N68" s="59">
        <v>23.074000000000002</v>
      </c>
      <c r="O68" s="59">
        <v>27.364999999999998</v>
      </c>
      <c r="P68" s="59">
        <v>28.061</v>
      </c>
      <c r="Q68" s="59">
        <v>27.241</v>
      </c>
    </row>
    <row r="69" spans="1:17" x14ac:dyDescent="0.2">
      <c r="A69" s="59" t="s">
        <v>217</v>
      </c>
      <c r="B69" s="59" t="s">
        <v>44</v>
      </c>
      <c r="C69" s="59">
        <f>IF(IFERROR(INDEX('2020'!$G$5:$G$73,MATCH(B69,'2020'!$A$5:$A$73,0)),0)=0,"N/A",INDEX('2020'!$G$5:$G$73,MATCH(B69,'2020'!$A$5:$A$73,0)))</f>
        <v>94.317999999999998</v>
      </c>
      <c r="D69" s="59">
        <f>IF(IFERROR(INDEX('2019'!$G$5:$G$73,MATCH(B69,'2019'!$A$5:$A$73,0)),0)=0,"N/A",INDEX('2019'!$G$5:$G$73,MATCH(B69,'2019'!$A$5:$A$73,0)))</f>
        <v>84.078000000000003</v>
      </c>
      <c r="E69" s="59">
        <f>IF(IFERROR(INDEX('2018'!$G$5:$G$73,MATCH(B69,'2018'!$A$5:$A$73,0)),0)=0,"N/A",INDEX('2018'!$G$5:$G$73,MATCH(B69,'2018'!$A$5:$A$73,0)))</f>
        <v>65.349999999999994</v>
      </c>
      <c r="F69" s="59">
        <f>IF(IFERROR(INDEX('2017'!$G$5:$G$73,MATCH(B69,'2017'!$A$5:$A$73,0)),0)=0,"N/A",INDEX('2017'!$G$5:$G$73,MATCH(B69,'2017'!$A$5:$A$73,0)))</f>
        <v>62.838999999999999</v>
      </c>
      <c r="G69" s="67">
        <f>IF(IFERROR(INDEX('2016'!$G$5:$G$73,MATCH(B69,'2016'!$A$5:$A$73,0)),0)=0,"N/A",INDEX('2016'!$G$5:$G$73,MATCH(B69,'2016'!$A$5:$A$73,0)))</f>
        <v>59.042000000000002</v>
      </c>
      <c r="H69" s="59">
        <v>49.920999999999999</v>
      </c>
      <c r="I69" s="59">
        <v>45.869</v>
      </c>
      <c r="J69" s="59">
        <v>41.426000000000002</v>
      </c>
      <c r="K69" s="59">
        <v>37.027999999999999</v>
      </c>
      <c r="L69" s="59">
        <v>31.062000000000001</v>
      </c>
      <c r="M69" s="59">
        <v>26.9</v>
      </c>
      <c r="N69" s="59">
        <v>21.353999999999999</v>
      </c>
      <c r="O69" s="59">
        <v>22.379000000000001</v>
      </c>
      <c r="P69" s="59">
        <v>23.39</v>
      </c>
      <c r="Q69" s="59">
        <v>21.076000000000001</v>
      </c>
    </row>
    <row r="70" spans="1:17" x14ac:dyDescent="0.2">
      <c r="A70" s="59" t="s">
        <v>157</v>
      </c>
      <c r="B70" s="59" t="s">
        <v>43</v>
      </c>
      <c r="C70" s="59" t="str">
        <f>IF(IFERROR(INDEX('2020'!$G$5:$G$73,MATCH(B70,'2020'!$A$5:$A$73,0)),0)=0,"N/A",INDEX('2020'!$G$5:$G$73,MATCH(B70,'2020'!$A$5:$A$73,0)))</f>
        <v>N/A</v>
      </c>
      <c r="D70" s="59" t="str">
        <f>IF(IFERROR(INDEX('2019'!$G$5:$G$73,MATCH(B70,'2019'!$A$5:$A$73,0)),0)=0,"N/A",INDEX('2019'!$G$5:$G$73,MATCH(B70,'2019'!$A$5:$A$73,0)))</f>
        <v>N/A</v>
      </c>
      <c r="E70" s="59" t="str">
        <f>IF(IFERROR(INDEX('2018'!$G$5:$G$73,MATCH(B70,'2018'!$A$5:$A$73,0)),0)=0,"N/A",INDEX('2018'!$G$5:$G$73,MATCH(B70,'2018'!$A$5:$A$73,0)))</f>
        <v>N/A</v>
      </c>
      <c r="F70" s="59">
        <f>IF(IFERROR(INDEX('2017'!$G$5:$G$73,MATCH(B70,'2017'!$A$5:$A$73,0)),0)=0,"N/A",INDEX('2017'!$G$5:$G$73,MATCH(B70,'2017'!$A$5:$A$73,0)))</f>
        <v>53.25</v>
      </c>
      <c r="G70" s="67">
        <f>IF(IFERROR(INDEX('2016'!$G$5:$G$73,MATCH(B70,'2016'!$A$5:$A$73,0)),0)=0,"N/A",INDEX('2016'!$G$5:$G$73,MATCH(B70,'2016'!$A$5:$A$73,0)))</f>
        <v>52.454000000000001</v>
      </c>
      <c r="H70" s="59">
        <v>38.569000000000003</v>
      </c>
      <c r="I70" s="59">
        <v>36.091000000000001</v>
      </c>
      <c r="J70" s="59">
        <v>31.864000000000001</v>
      </c>
      <c r="K70" s="59">
        <v>28.873999999999999</v>
      </c>
      <c r="L70" s="59">
        <v>26.452999999999999</v>
      </c>
      <c r="M70" s="59">
        <v>23.321999999999999</v>
      </c>
      <c r="N70" s="59">
        <v>19.132000000000001</v>
      </c>
      <c r="O70" s="59">
        <v>22.221</v>
      </c>
      <c r="P70" s="59">
        <v>25.95</v>
      </c>
      <c r="Q70" s="59">
        <v>22.893000000000001</v>
      </c>
    </row>
    <row r="71" spans="1:17" x14ac:dyDescent="0.2">
      <c r="A71" s="59" t="s">
        <v>205</v>
      </c>
      <c r="B71" s="59" t="s">
        <v>206</v>
      </c>
      <c r="C71" s="59" t="str">
        <f>IF(IFERROR(INDEX('2020'!$G$5:$G$73,MATCH(B71,'2020'!$A$5:$A$73,0)),0)=0,"N/A",INDEX('2020'!$G$5:$G$73,MATCH(B71,'2020'!$A$5:$A$73,0)))</f>
        <v>N/A</v>
      </c>
      <c r="D71" s="59" t="str">
        <f>IF(IFERROR(INDEX('2019'!$G$5:$G$73,MATCH(B71,'2019'!$A$5:$A$73,0)),0)=0,"N/A",INDEX('2019'!$G$5:$G$73,MATCH(B71,'2019'!$A$5:$A$73,0)))</f>
        <v>N/A</v>
      </c>
      <c r="E71" s="59" t="str">
        <f>IF(IFERROR(INDEX('2018'!$G$5:$G$73,MATCH(B71,'2018'!$A$5:$A$73,0)),0)=0,"N/A",INDEX('2018'!$G$5:$G$73,MATCH(B71,'2018'!$A$5:$A$73,0)))</f>
        <v>N/A</v>
      </c>
      <c r="F71" s="59">
        <f>IF(IFERROR(INDEX('2017'!$G$5:$G$73,MATCH(B71,'2017'!$A$5:$A$73,0)),0)=0,"N/A",INDEX('2017'!$G$5:$G$73,MATCH(B71,'2017'!$A$5:$A$73,0)))</f>
        <v>78.983000000000004</v>
      </c>
      <c r="G71" s="67">
        <f>IF(IFERROR(INDEX('2016'!$G$5:$G$73,MATCH(B71,'2016'!$A$5:$A$73,0)),0)=0,"N/A",INDEX('2016'!$G$5:$G$73,MATCH(B71,'2016'!$A$5:$A$73,0)))</f>
        <v>65.558000000000007</v>
      </c>
      <c r="H71" s="59">
        <v>53.697000000000003</v>
      </c>
      <c r="I71" s="59">
        <v>40.604999999999997</v>
      </c>
      <c r="J71" s="59">
        <v>42.145000000000003</v>
      </c>
      <c r="K71" s="59">
        <v>40.918999999999997</v>
      </c>
      <c r="L71" s="59">
        <v>38.188000000000002</v>
      </c>
      <c r="M71" s="59">
        <v>34.302</v>
      </c>
      <c r="N71" s="59">
        <v>31.838000000000001</v>
      </c>
      <c r="O71" s="59">
        <v>33.332999999999998</v>
      </c>
      <c r="P71" s="59">
        <v>32.612000000000002</v>
      </c>
      <c r="Q71" s="59">
        <v>29.992000000000001</v>
      </c>
    </row>
    <row r="72" spans="1:17" x14ac:dyDescent="0.2">
      <c r="A72" s="59" t="s">
        <v>158</v>
      </c>
      <c r="B72" s="59" t="s">
        <v>45</v>
      </c>
      <c r="C72" s="59">
        <f>IF(IFERROR(INDEX('2020'!$G$5:$G$73,MATCH(B72,'2020'!$A$5:$A$73,0)),0)=0,"N/A",INDEX('2020'!$G$5:$G$73,MATCH(B72,'2020'!$A$5:$A$73,0)))</f>
        <v>66.626000000000005</v>
      </c>
      <c r="D72" s="59">
        <f>IF(IFERROR(INDEX('2019'!$G$5:$G$73,MATCH(B72,'2019'!$A$5:$A$73,0)),0)=0,"N/A",INDEX('2019'!$G$5:$G$73,MATCH(B72,'2019'!$A$5:$A$73,0)))</f>
        <v>58.970999999999997</v>
      </c>
      <c r="E72" s="59">
        <f>IF(IFERROR(INDEX('2018'!$G$5:$G$73,MATCH(B72,'2018'!$A$5:$A$73,0)),0)=0,"N/A",INDEX('2018'!$G$5:$G$73,MATCH(B72,'2018'!$A$5:$A$73,0)))</f>
        <v>46.764000000000003</v>
      </c>
      <c r="F72" s="59">
        <f>IF(IFERROR(INDEX('2017'!$G$5:$G$73,MATCH(B72,'2017'!$A$5:$A$73,0)),0)=0,"N/A",INDEX('2017'!$G$5:$G$73,MATCH(B72,'2017'!$A$5:$A$73,0)))</f>
        <v>46.453000000000003</v>
      </c>
      <c r="G72" s="67">
        <f>IF(IFERROR(INDEX('2016'!$G$5:$G$73,MATCH(B72,'2016'!$A$5:$A$73,0)),0)=0,"N/A",INDEX('2016'!$G$5:$G$73,MATCH(B72,'2016'!$A$5:$A$73,0)))</f>
        <v>40.829000000000001</v>
      </c>
      <c r="H72" s="59">
        <v>34.728999999999999</v>
      </c>
      <c r="I72" s="59">
        <v>31.344000000000001</v>
      </c>
      <c r="J72" s="59">
        <v>28.725000000000001</v>
      </c>
      <c r="K72" s="59">
        <v>27.42</v>
      </c>
      <c r="L72" s="59">
        <v>24.497</v>
      </c>
      <c r="M72" s="59">
        <v>22.041</v>
      </c>
      <c r="N72" s="59">
        <v>18.87</v>
      </c>
      <c r="O72" s="59">
        <v>19.981999999999999</v>
      </c>
      <c r="P72" s="59">
        <v>22.481999999999999</v>
      </c>
      <c r="Q72" s="59">
        <v>19.981999999999999</v>
      </c>
    </row>
    <row r="73" spans="1:17" x14ac:dyDescent="0.2">
      <c r="A73" s="59" t="s">
        <v>207</v>
      </c>
      <c r="B73" s="59" t="s">
        <v>208</v>
      </c>
      <c r="C73" s="59">
        <f>IF(IFERROR(INDEX('2020'!$G$5:$G$73,MATCH(B73,'2020'!$A$5:$A$73,0)),0)=0,"N/A",INDEX('2020'!$G$5:$G$73,MATCH(B73,'2020'!$A$5:$A$73,0)))</f>
        <v>45.326999999999998</v>
      </c>
      <c r="D73" s="59">
        <f>IF(IFERROR(INDEX('2019'!$G$5:$G$73,MATCH(B73,'2019'!$A$5:$A$73,0)),0)=0,"N/A",INDEX('2019'!$G$5:$G$73,MATCH(B73,'2019'!$A$5:$A$73,0)))</f>
        <v>37.463000000000001</v>
      </c>
      <c r="E73" s="59">
        <f>IF(IFERROR(INDEX('2018'!$G$5:$G$73,MATCH(B73,'2018'!$A$5:$A$73,0)),0)=0,"N/A",INDEX('2018'!$G$5:$G$73,MATCH(B73,'2018'!$A$5:$A$73,0)))</f>
        <v>31.515999999999998</v>
      </c>
      <c r="F73" s="59">
        <f>IF(IFERROR(INDEX('2017'!$G$5:$G$73,MATCH(B73,'2017'!$A$5:$A$73,0)),0)=0,"N/A",INDEX('2017'!$G$5:$G$73,MATCH(B73,'2017'!$A$5:$A$73,0)))</f>
        <v>34.970999999999997</v>
      </c>
      <c r="G73" s="67">
        <f>IF(IFERROR(INDEX('2016'!$G$5:$G$73,MATCH(B73,'2016'!$A$5:$A$73,0)),0)=0,"N/A",INDEX('2016'!$G$5:$G$73,MATCH(B73,'2016'!$A$5:$A$73,0)))</f>
        <v>30.148</v>
      </c>
      <c r="H73" s="59">
        <v>22.817</v>
      </c>
      <c r="I73" s="59">
        <v>20.529</v>
      </c>
      <c r="J73" s="59">
        <v>19.696999999999999</v>
      </c>
      <c r="K73" s="59">
        <v>17.600000000000001</v>
      </c>
      <c r="L73" s="59">
        <v>16.972999999999999</v>
      </c>
      <c r="M73" s="59">
        <v>14.711</v>
      </c>
      <c r="N73" s="59">
        <v>13.994999999999999</v>
      </c>
      <c r="O73" s="59">
        <v>14.007999999999999</v>
      </c>
      <c r="P73" s="59">
        <v>17.25</v>
      </c>
      <c r="Q73" s="59">
        <v>18.123999999999999</v>
      </c>
    </row>
  </sheetData>
  <autoFilter ref="A3:S73"/>
  <sortState ref="A2:M90">
    <sortCondition ref="B2:B90"/>
  </sortState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73"/>
  <sheetViews>
    <sheetView zoomScale="105" zoomScaleNormal="105" workbookViewId="0">
      <pane xSplit="1" ySplit="3" topLeftCell="B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1" sqref="D1"/>
    </sheetView>
  </sheetViews>
  <sheetFormatPr defaultColWidth="8.69921875" defaultRowHeight="10.199999999999999" x14ac:dyDescent="0.2"/>
  <cols>
    <col min="1" max="1" width="18.69921875" style="59" bestFit="1" customWidth="1"/>
    <col min="2" max="2" width="5.5" style="59" bestFit="1" customWidth="1"/>
    <col min="3" max="4" width="5.5" style="59" customWidth="1"/>
    <col min="5" max="6" width="6.8984375" style="59" bestFit="1" customWidth="1"/>
    <col min="7" max="7" width="6.69921875" style="59" bestFit="1" customWidth="1"/>
    <col min="8" max="17" width="7.59765625" style="59" bestFit="1" customWidth="1"/>
    <col min="18" max="16384" width="8.69921875" style="59"/>
  </cols>
  <sheetData>
    <row r="1" spans="1:18" ht="30.6" x14ac:dyDescent="0.2">
      <c r="A1" s="58" t="s">
        <v>218</v>
      </c>
      <c r="B1" s="63">
        <f>COUNTA(B4:B86)</f>
        <v>70</v>
      </c>
      <c r="C1" s="63">
        <v>2020</v>
      </c>
      <c r="D1" s="60">
        <v>2019</v>
      </c>
      <c r="E1" s="60">
        <v>2018</v>
      </c>
      <c r="F1" s="60">
        <v>2017</v>
      </c>
      <c r="G1" s="60">
        <f>VALUE(RIGHT(G3,4))</f>
        <v>2016</v>
      </c>
      <c r="H1" s="60">
        <f t="shared" ref="H1:Q1" si="0">VALUE(RIGHT(H3,4))</f>
        <v>2015</v>
      </c>
      <c r="I1" s="60">
        <f t="shared" si="0"/>
        <v>2014</v>
      </c>
      <c r="J1" s="60">
        <f t="shared" si="0"/>
        <v>2013</v>
      </c>
      <c r="K1" s="60">
        <f t="shared" si="0"/>
        <v>2012</v>
      </c>
      <c r="L1" s="60">
        <f t="shared" si="0"/>
        <v>2011</v>
      </c>
      <c r="M1" s="60">
        <f t="shared" si="0"/>
        <v>2010</v>
      </c>
      <c r="N1" s="60">
        <f t="shared" si="0"/>
        <v>2009</v>
      </c>
      <c r="O1" s="60">
        <f t="shared" si="0"/>
        <v>2008</v>
      </c>
      <c r="P1" s="60">
        <f t="shared" si="0"/>
        <v>2007</v>
      </c>
      <c r="Q1" s="60">
        <f t="shared" si="0"/>
        <v>2006</v>
      </c>
    </row>
    <row r="2" spans="1:18" x14ac:dyDescent="0.2">
      <c r="A2" s="67" t="s">
        <v>314</v>
      </c>
      <c r="B2" s="61"/>
      <c r="C2" s="61"/>
      <c r="D2" s="61"/>
      <c r="E2" s="69">
        <f>'2018'!$A$1</f>
        <v>43642</v>
      </c>
      <c r="F2" s="69">
        <f>'2017'!$A$1</f>
        <v>43272</v>
      </c>
      <c r="G2" s="69">
        <f>'2016'!$A$1</f>
        <v>42907</v>
      </c>
      <c r="H2" s="69">
        <v>42718</v>
      </c>
      <c r="I2" s="69">
        <v>42718</v>
      </c>
      <c r="J2" s="69">
        <v>42718</v>
      </c>
      <c r="K2" s="69">
        <v>42718</v>
      </c>
      <c r="L2" s="69">
        <v>42718</v>
      </c>
      <c r="M2" s="69">
        <v>42718</v>
      </c>
      <c r="N2" s="69">
        <v>42718</v>
      </c>
      <c r="O2" s="69">
        <v>42718</v>
      </c>
      <c r="P2" s="69">
        <v>42718</v>
      </c>
      <c r="Q2" s="69">
        <v>42718</v>
      </c>
      <c r="R2" s="59" t="s">
        <v>347</v>
      </c>
    </row>
    <row r="3" spans="1:18" x14ac:dyDescent="0.2">
      <c r="A3" s="59" t="s">
        <v>117</v>
      </c>
      <c r="B3" s="59" t="s">
        <v>99</v>
      </c>
      <c r="G3" s="59" t="s">
        <v>262</v>
      </c>
      <c r="H3" s="59" t="s">
        <v>221</v>
      </c>
      <c r="I3" s="59" t="s">
        <v>222</v>
      </c>
      <c r="J3" s="59" t="s">
        <v>223</v>
      </c>
      <c r="K3" s="59" t="s">
        <v>224</v>
      </c>
      <c r="L3" s="59" t="s">
        <v>225</v>
      </c>
      <c r="M3" s="59" t="s">
        <v>226</v>
      </c>
      <c r="N3" s="59" t="s">
        <v>227</v>
      </c>
      <c r="O3" s="59" t="s">
        <v>228</v>
      </c>
      <c r="P3" s="59" t="s">
        <v>229</v>
      </c>
      <c r="Q3" s="59" t="s">
        <v>230</v>
      </c>
    </row>
    <row r="4" spans="1:18" x14ac:dyDescent="0.2">
      <c r="A4" s="59" t="s">
        <v>162</v>
      </c>
      <c r="B4" s="59" t="s">
        <v>163</v>
      </c>
      <c r="C4" s="59">
        <f>IF(IFERROR(INDEX('2020'!$E$5:$E$73,MATCH(B4,'2020'!$A$5:$A$73,0)),0)=0,"N/A",INDEX('2020'!$E$5:$E$73,MATCH(B4,'2020'!$A$5:$A$73,0)))</f>
        <v>4.6109999999999998</v>
      </c>
      <c r="D4" s="59">
        <f>IF(IFERROR(INDEX('2019'!$E$5:$E$73,MATCH(B4,'2019'!$A$5:$A$73,0)),0)=0,"N/A",INDEX('2019'!$E$5:$E$73,MATCH(B4,'2019'!$A$5:$A$73,0)))</f>
        <v>5.8659999999999997</v>
      </c>
      <c r="E4" s="59">
        <f>IF(IFERROR(INDEX('2018'!$E$5:$E$73,MATCH(B4,'2018'!$A$5:$A$73,0)),0)=0,"N/A",INDEX('2018'!$E$5:$E$73,MATCH(B4,'2018'!$A$5:$A$73,0)))</f>
        <v>3.2240000000000002</v>
      </c>
      <c r="F4" s="59">
        <f>IF(IFERROR(INDEX('2017'!$E$5:$E$73,MATCH(B4,'2017'!$A$5:$A$73,0)),0)=0,"N/A",INDEX('2017'!$E$5:$E$73,MATCH(B4,'2017'!$A$5:$A$73,0)))</f>
        <v>3.11</v>
      </c>
      <c r="G4" s="67">
        <f>IF(IFERROR(INDEX('2016'!$E$5:$E$73,MATCH(B4,'2016'!$A$5:$A$73,0)),0)=0,"N/A",INDEX('2016'!$E$5:$E$73,MATCH(B4,'2016'!$A$5:$A$73,0)))</f>
        <v>5.0510000000000002</v>
      </c>
      <c r="H4" s="59">
        <v>5.3209999999999997</v>
      </c>
      <c r="I4" s="59">
        <v>7.3109999999999999</v>
      </c>
      <c r="J4" s="59">
        <v>10.526</v>
      </c>
      <c r="K4" s="59">
        <v>11.439</v>
      </c>
      <c r="L4" s="59">
        <v>8.8420000000000005</v>
      </c>
      <c r="M4" s="59">
        <v>4.8490000000000002</v>
      </c>
      <c r="N4" s="59">
        <v>3.431</v>
      </c>
      <c r="O4" s="59">
        <v>1.85</v>
      </c>
      <c r="P4" s="59">
        <v>4.8819999999999997</v>
      </c>
      <c r="Q4" s="59">
        <v>4.734</v>
      </c>
    </row>
    <row r="5" spans="1:18" x14ac:dyDescent="0.2">
      <c r="A5" s="59" t="s">
        <v>119</v>
      </c>
      <c r="B5" s="59" t="s">
        <v>0</v>
      </c>
      <c r="C5" s="59">
        <f>IF(IFERROR(INDEX('2020'!$E$5:$E$73,MATCH(B5,'2020'!$A$5:$A$73,0)),0)=0,"N/A",INDEX('2020'!$E$5:$E$73,MATCH(B5,'2020'!$A$5:$A$73,0)))</f>
        <v>7.524</v>
      </c>
      <c r="D5" s="59">
        <f>IF(IFERROR(INDEX('2019'!$E$5:$E$73,MATCH(B5,'2019'!$A$5:$A$73,0)),0)=0,"N/A",INDEX('2019'!$E$5:$E$73,MATCH(B5,'2019'!$A$5:$A$73,0)))</f>
        <v>7.242</v>
      </c>
      <c r="E5" s="59">
        <f>IF(IFERROR(INDEX('2018'!$E$5:$E$73,MATCH(B5,'2018'!$A$5:$A$73,0)),0)=0,"N/A",INDEX('2018'!$E$5:$E$73,MATCH(B5,'2018'!$A$5:$A$73,0)))</f>
        <v>7.3730000000000002</v>
      </c>
      <c r="F5" s="59">
        <f>IF(IFERROR(INDEX('2017'!$E$5:$E$73,MATCH(B5,'2017'!$A$5:$A$73,0)),0)=0,"N/A",INDEX('2017'!$E$5:$E$73,MATCH(B5,'2017'!$A$5:$A$73,0)))</f>
        <v>6.5890000000000004</v>
      </c>
      <c r="G5" s="67">
        <f>IF(IFERROR(INDEX('2016'!$E$5:$E$73,MATCH(B5,'2016'!$A$5:$A$73,0)),0)=0,"N/A",INDEX('2016'!$E$5:$E$73,MATCH(B5,'2016'!$A$5:$A$73,0)))</f>
        <v>7.0789999999999997</v>
      </c>
      <c r="H5" s="59">
        <v>6.79</v>
      </c>
      <c r="I5" s="59">
        <v>5.6749999999999998</v>
      </c>
      <c r="J5" s="59">
        <v>5.3449999999999998</v>
      </c>
      <c r="K5" s="59">
        <v>5.008</v>
      </c>
      <c r="L5" s="59">
        <v>4.9119999999999999</v>
      </c>
      <c r="M5" s="59">
        <v>4.3520000000000003</v>
      </c>
      <c r="N5" s="59">
        <v>3.5710000000000002</v>
      </c>
      <c r="O5" s="59">
        <v>4.2329999999999997</v>
      </c>
      <c r="P5" s="59">
        <v>4.4189999999999996</v>
      </c>
      <c r="Q5" s="59">
        <v>4.1449999999999996</v>
      </c>
    </row>
    <row r="6" spans="1:18" x14ac:dyDescent="0.2">
      <c r="A6" s="59" t="s">
        <v>120</v>
      </c>
      <c r="B6" s="59" t="s">
        <v>1</v>
      </c>
      <c r="C6" s="59">
        <f>IF(IFERROR(INDEX('2020'!$E$5:$E$73,MATCH(B6,'2020'!$A$5:$A$73,0)),0)=0,"N/A",INDEX('2020'!$E$5:$E$73,MATCH(B6,'2020'!$A$5:$A$73,0)))</f>
        <v>4.9189999999999996</v>
      </c>
      <c r="D6" s="59">
        <f>IF(IFERROR(INDEX('2019'!$E$5:$E$73,MATCH(B6,'2019'!$A$5:$A$73,0)),0)=0,"N/A",INDEX('2019'!$E$5:$E$73,MATCH(B6,'2019'!$A$5:$A$73,0)))</f>
        <v>4.5890000000000004</v>
      </c>
      <c r="E6" s="59">
        <f>IF(IFERROR(INDEX('2018'!$E$5:$E$73,MATCH(B6,'2018'!$A$5:$A$73,0)),0)=0,"N/A",INDEX('2018'!$E$5:$E$73,MATCH(B6,'2018'!$A$5:$A$73,0)))</f>
        <v>4.3170000000000002</v>
      </c>
      <c r="F6" s="59">
        <f>IF(IFERROR(INDEX('2017'!$E$5:$E$73,MATCH(B6,'2017'!$A$5:$A$73,0)),0)=0,"N/A",INDEX('2017'!$E$5:$E$73,MATCH(B6,'2017'!$A$5:$A$73,0)))</f>
        <v>3.1019999999999999</v>
      </c>
      <c r="G6" s="67">
        <f>IF(IFERROR(INDEX('2016'!$E$5:$E$73,MATCH(B6,'2016'!$A$5:$A$73,0)),0)=0,"N/A",INDEX('2016'!$E$5:$E$73,MATCH(B6,'2016'!$A$5:$A$73,0)))</f>
        <v>3.45</v>
      </c>
      <c r="H6" s="59">
        <v>3.4460000000000002</v>
      </c>
      <c r="I6" s="59">
        <v>3.4409999999999998</v>
      </c>
      <c r="J6" s="59">
        <v>3.3420000000000001</v>
      </c>
      <c r="K6" s="59">
        <v>2.948</v>
      </c>
      <c r="L6" s="59">
        <v>2.754</v>
      </c>
      <c r="M6" s="59">
        <v>2.6040000000000001</v>
      </c>
      <c r="N6" s="59">
        <v>2.1030000000000002</v>
      </c>
      <c r="O6" s="59">
        <v>2.278</v>
      </c>
      <c r="P6" s="59">
        <v>2.5590000000000002</v>
      </c>
      <c r="Q6" s="59">
        <v>2.165</v>
      </c>
    </row>
    <row r="7" spans="1:18" x14ac:dyDescent="0.2">
      <c r="A7" s="59" t="s">
        <v>121</v>
      </c>
      <c r="B7" s="59" t="s">
        <v>2</v>
      </c>
      <c r="C7" s="59">
        <f>IF(IFERROR(INDEX('2020'!$E$5:$E$73,MATCH(B7,'2020'!$A$5:$A$73,0)),0)=0,"N/A",INDEX('2020'!$E$5:$E$73,MATCH(B7,'2020'!$A$5:$A$73,0)))</f>
        <v>10.284000000000001</v>
      </c>
      <c r="D7" s="59">
        <f>IF(IFERROR(INDEX('2019'!$E$5:$E$73,MATCH(B7,'2019'!$A$5:$A$73,0)),0)=0,"N/A",INDEX('2019'!$E$5:$E$73,MATCH(B7,'2019'!$A$5:$A$73,0)))</f>
        <v>9.3539999999999992</v>
      </c>
      <c r="E7" s="59">
        <f>IF(IFERROR(INDEX('2018'!$E$5:$E$73,MATCH(B7,'2018'!$A$5:$A$73,0)),0)=0,"N/A",INDEX('2018'!$E$5:$E$73,MATCH(B7,'2018'!$A$5:$A$73,0)))</f>
        <v>8.7669999999999995</v>
      </c>
      <c r="F7" s="59">
        <f>IF(IFERROR(INDEX('2017'!$E$5:$E$73,MATCH(B7,'2017'!$A$5:$A$73,0)),0)=0,"N/A",INDEX('2017'!$E$5:$E$73,MATCH(B7,'2017'!$A$5:$A$73,0)))</f>
        <v>7.9459999999999997</v>
      </c>
      <c r="G7" s="67">
        <f>IF(IFERROR(INDEX('2016'!$E$5:$E$73,MATCH(B7,'2016'!$A$5:$A$73,0)),0)=0,"N/A",INDEX('2016'!$E$5:$E$73,MATCH(B7,'2016'!$A$5:$A$73,0)))</f>
        <v>8.4689999999999994</v>
      </c>
      <c r="H7" s="59">
        <v>7.9790000000000001</v>
      </c>
      <c r="I7" s="59">
        <v>7.5750000000000002</v>
      </c>
      <c r="J7" s="59">
        <v>7.0179999999999998</v>
      </c>
      <c r="K7" s="59">
        <v>6.92</v>
      </c>
      <c r="L7" s="59">
        <v>6.8259999999999996</v>
      </c>
      <c r="M7" s="59">
        <v>6.2919999999999998</v>
      </c>
      <c r="N7" s="59">
        <v>6.3209999999999997</v>
      </c>
      <c r="O7" s="59">
        <v>6.8360000000000003</v>
      </c>
      <c r="P7" s="59">
        <v>6.798</v>
      </c>
      <c r="Q7" s="59">
        <v>6.6680000000000001</v>
      </c>
    </row>
    <row r="8" spans="1:18" x14ac:dyDescent="0.2">
      <c r="A8" s="59" t="s">
        <v>164</v>
      </c>
      <c r="B8" s="59" t="s">
        <v>165</v>
      </c>
      <c r="C8" s="59">
        <f>IF(IFERROR(INDEX('2020'!$E$5:$E$73,MATCH(B8,'2020'!$A$5:$A$73,0)),0)=0,"N/A",INDEX('2020'!$E$5:$E$73,MATCH(B8,'2020'!$A$5:$A$73,0)))</f>
        <v>3.3420000000000001</v>
      </c>
      <c r="D8" s="59">
        <f>IF(IFERROR(INDEX('2019'!$E$5:$E$73,MATCH(B8,'2019'!$A$5:$A$73,0)),0)=0,"N/A",INDEX('2019'!$E$5:$E$73,MATCH(B8,'2019'!$A$5:$A$73,0)))</f>
        <v>3.258</v>
      </c>
      <c r="E8" s="59">
        <f>IF(IFERROR(INDEX('2018'!$E$5:$E$73,MATCH(B8,'2018'!$A$5:$A$73,0)),0)=0,"N/A",INDEX('2018'!$E$5:$E$73,MATCH(B8,'2018'!$A$5:$A$73,0)))</f>
        <v>2.8370000000000002</v>
      </c>
      <c r="F8" s="59">
        <f>IF(IFERROR(INDEX('2017'!$E$5:$E$73,MATCH(B8,'2017'!$A$5:$A$73,0)),0)=0,"N/A",INDEX('2017'!$E$5:$E$73,MATCH(B8,'2017'!$A$5:$A$73,0)))</f>
        <v>2.9550000000000001</v>
      </c>
      <c r="G8" s="67">
        <f>IF(IFERROR(INDEX('2016'!$E$5:$E$73,MATCH(B8,'2016'!$A$5:$A$73,0)),0)=0,"N/A",INDEX('2016'!$E$5:$E$73,MATCH(B8,'2016'!$A$5:$A$73,0)))</f>
        <v>2.7029999999999998</v>
      </c>
      <c r="H8" s="59">
        <v>2.8090000000000002</v>
      </c>
      <c r="I8" s="59">
        <v>2.6680000000000001</v>
      </c>
      <c r="J8" s="59">
        <v>2.6539999999999999</v>
      </c>
      <c r="K8" s="59">
        <v>2.48</v>
      </c>
      <c r="L8" s="59">
        <v>2.1320000000000001</v>
      </c>
      <c r="M8" s="59">
        <v>2.1150000000000002</v>
      </c>
      <c r="N8" s="59">
        <v>1.702</v>
      </c>
      <c r="O8" s="59">
        <v>1.6859999999999999</v>
      </c>
      <c r="P8" s="59">
        <v>1.653</v>
      </c>
      <c r="Q8" s="59">
        <v>1.4470000000000001</v>
      </c>
    </row>
    <row r="9" spans="1:18" x14ac:dyDescent="0.2">
      <c r="A9" s="59" t="s">
        <v>166</v>
      </c>
      <c r="B9" s="59" t="s">
        <v>167</v>
      </c>
      <c r="C9" s="59">
        <f>IF(IFERROR(INDEX('2020'!$E$5:$E$73,MATCH(B9,'2020'!$A$5:$A$73,0)),0)=0,"N/A",INDEX('2020'!$E$5:$E$73,MATCH(B9,'2020'!$A$5:$A$73,0)))</f>
        <v>7.24</v>
      </c>
      <c r="D9" s="59">
        <f>IF(IFERROR(INDEX('2019'!$E$5:$E$73,MATCH(B9,'2019'!$A$5:$A$73,0)),0)=0,"N/A",INDEX('2019'!$E$5:$E$73,MATCH(B9,'2019'!$A$5:$A$73,0)))</f>
        <v>6.649</v>
      </c>
      <c r="E9" s="59">
        <f>IF(IFERROR(INDEX('2018'!$E$5:$E$73,MATCH(B9,'2018'!$A$5:$A$73,0)),0)=0,"N/A",INDEX('2018'!$E$5:$E$73,MATCH(B9,'2018'!$A$5:$A$73,0)))</f>
        <v>6.15</v>
      </c>
      <c r="F9" s="59">
        <f>IF(IFERROR(INDEX('2017'!$E$5:$E$73,MATCH(B9,'2017'!$A$5:$A$73,0)),0)=0,"N/A",INDEX('2017'!$E$5:$E$73,MATCH(B9,'2017'!$A$5:$A$73,0)))</f>
        <v>5.14</v>
      </c>
      <c r="G9" s="67">
        <f>IF(IFERROR(INDEX('2016'!$E$5:$E$73,MATCH(B9,'2016'!$A$5:$A$73,0)),0)=0,"N/A",INDEX('2016'!$E$5:$E$73,MATCH(B9,'2016'!$A$5:$A$73,0)))</f>
        <v>5.2610000000000001</v>
      </c>
      <c r="H9" s="59">
        <v>5.1319999999999997</v>
      </c>
      <c r="I9" s="59">
        <v>4.7530000000000001</v>
      </c>
      <c r="J9" s="59">
        <v>4.359</v>
      </c>
      <c r="K9" s="59">
        <v>4.2699999999999996</v>
      </c>
      <c r="L9" s="59">
        <v>3.7349999999999999</v>
      </c>
      <c r="M9" s="59">
        <v>3.5569999999999999</v>
      </c>
      <c r="N9" s="59">
        <v>2.887</v>
      </c>
      <c r="O9" s="59">
        <v>2.8650000000000002</v>
      </c>
      <c r="P9" s="59">
        <v>-0.46800000000000003</v>
      </c>
      <c r="Q9" s="59">
        <v>0.64600000000000002</v>
      </c>
    </row>
    <row r="10" spans="1:18" x14ac:dyDescent="0.2">
      <c r="A10" s="59" t="s">
        <v>122</v>
      </c>
      <c r="B10" s="59" t="s">
        <v>3</v>
      </c>
      <c r="C10" s="59">
        <f>IF(IFERROR(INDEX('2020'!$E$5:$E$73,MATCH(B10,'2020'!$A$5:$A$73,0)),0)=0,"N/A",INDEX('2020'!$E$5:$E$73,MATCH(B10,'2020'!$A$5:$A$73,0)))</f>
        <v>8.077</v>
      </c>
      <c r="D10" s="59">
        <f>IF(IFERROR(INDEX('2019'!$E$5:$E$73,MATCH(B10,'2019'!$A$5:$A$73,0)),0)=0,"N/A",INDEX('2019'!$E$5:$E$73,MATCH(B10,'2019'!$A$5:$A$73,0)))</f>
        <v>7.8310000000000004</v>
      </c>
      <c r="E10" s="59">
        <f>IF(IFERROR(INDEX('2018'!$E$5:$E$73,MATCH(B10,'2018'!$A$5:$A$73,0)),0)=0,"N/A",INDEX('2018'!$E$5:$E$73,MATCH(B10,'2018'!$A$5:$A$73,0)))</f>
        <v>7.64</v>
      </c>
      <c r="F10" s="59">
        <f>IF(IFERROR(INDEX('2017'!$E$5:$E$73,MATCH(B10,'2017'!$A$5:$A$73,0)),0)=0,"N/A",INDEX('2017'!$E$5:$E$73,MATCH(B10,'2017'!$A$5:$A$73,0)))</f>
        <v>6.8040000000000003</v>
      </c>
      <c r="G10" s="67">
        <f>IF(IFERROR(INDEX('2016'!$E$5:$E$73,MATCH(B10,'2016'!$A$5:$A$73,0)),0)=0,"N/A",INDEX('2016'!$E$5:$E$73,MATCH(B10,'2016'!$A$5:$A$73,0)))</f>
        <v>6.5860000000000003</v>
      </c>
      <c r="H10" s="59">
        <v>6.0789999999999997</v>
      </c>
      <c r="I10" s="59">
        <v>5.77</v>
      </c>
      <c r="J10" s="59">
        <v>5.2469999999999999</v>
      </c>
      <c r="K10" s="59">
        <v>5.8730000000000002</v>
      </c>
      <c r="L10" s="59">
        <v>5.8739999999999997</v>
      </c>
      <c r="M10" s="59">
        <v>6.327</v>
      </c>
      <c r="N10" s="59">
        <v>6.0570000000000004</v>
      </c>
      <c r="O10" s="59">
        <v>6.4390000000000001</v>
      </c>
      <c r="P10" s="59">
        <v>6.7640000000000002</v>
      </c>
      <c r="Q10" s="59">
        <v>6.016</v>
      </c>
    </row>
    <row r="11" spans="1:18" x14ac:dyDescent="0.2">
      <c r="A11" s="59" t="s">
        <v>168</v>
      </c>
      <c r="B11" s="59" t="s">
        <v>169</v>
      </c>
      <c r="C11" s="59" t="str">
        <f>IF(IFERROR(INDEX('2020'!$E$5:$E$73,MATCH(B11,'2020'!$A$5:$A$73,0)),0)=0,"N/A",INDEX('2020'!$E$5:$E$73,MATCH(B11,'2020'!$A$5:$A$73,0)))</f>
        <v>N/A</v>
      </c>
      <c r="D11" s="59" t="str">
        <f>IF(IFERROR(INDEX('2019'!$E$5:$E$73,MATCH(B11,'2019'!$A$5:$A$73,0)),0)=0,"N/A",INDEX('2019'!$E$5:$E$73,MATCH(B11,'2019'!$A$5:$A$73,0)))</f>
        <v>N/A</v>
      </c>
      <c r="E11" s="59">
        <f>IF(IFERROR(INDEX('2018'!$E$5:$E$73,MATCH(B11,'2018'!$A$5:$A$73,0)),0)=0,"N/A",INDEX('2018'!$E$5:$E$73,MATCH(B11,'2018'!$A$5:$A$73,0)))</f>
        <v>4.0469999999999997</v>
      </c>
      <c r="F11" s="59">
        <f>IF(IFERROR(INDEX('2017'!$E$5:$E$73,MATCH(B11,'2017'!$A$5:$A$73,0)),0)=0,"N/A",INDEX('2017'!$E$5:$E$73,MATCH(B11,'2017'!$A$5:$A$73,0)))</f>
        <v>3.7930000000000001</v>
      </c>
      <c r="G11" s="67">
        <f>IF(IFERROR(INDEX('2016'!$E$5:$E$73,MATCH(B11,'2016'!$A$5:$A$73,0)),0)=0,"N/A",INDEX('2016'!$E$5:$E$73,MATCH(B11,'2016'!$A$5:$A$73,0)))</f>
        <v>4.2720000000000002</v>
      </c>
      <c r="H11" s="59">
        <v>4.3719999999999999</v>
      </c>
      <c r="I11" s="59">
        <v>4.9569999999999999</v>
      </c>
      <c r="J11" s="59">
        <v>4.3369999999999997</v>
      </c>
      <c r="K11" s="59">
        <v>2.0350000000000001</v>
      </c>
      <c r="L11" s="59">
        <v>4.5170000000000003</v>
      </c>
      <c r="M11" s="59">
        <v>4.343</v>
      </c>
      <c r="N11" s="59">
        <v>4.8440000000000003</v>
      </c>
      <c r="O11" s="59">
        <v>4.1420000000000003</v>
      </c>
      <c r="P11" s="59">
        <v>4.0620000000000003</v>
      </c>
      <c r="Q11" s="59">
        <v>2.8809999999999998</v>
      </c>
    </row>
    <row r="12" spans="1:18" x14ac:dyDescent="0.2">
      <c r="A12" s="59" t="s">
        <v>170</v>
      </c>
      <c r="B12" s="59" t="s">
        <v>171</v>
      </c>
      <c r="C12" s="59" t="str">
        <f>IF(IFERROR(INDEX('2020'!$E$5:$E$73,MATCH(B12,'2020'!$A$5:$A$73,0)),0)=0,"N/A",INDEX('2020'!$E$5:$E$73,MATCH(B12,'2020'!$A$5:$A$73,0)))</f>
        <v>N/A</v>
      </c>
      <c r="D12" s="59" t="str">
        <f>IF(IFERROR(INDEX('2019'!$E$5:$E$73,MATCH(B12,'2019'!$A$5:$A$73,0)),0)=0,"N/A",INDEX('2019'!$E$5:$E$73,MATCH(B12,'2019'!$A$5:$A$73,0)))</f>
        <v>N/A</v>
      </c>
      <c r="E12" s="59">
        <f>IF(IFERROR(INDEX('2018'!$E$5:$E$73,MATCH(B12,'2018'!$A$5:$A$73,0)),0)=0,"N/A",INDEX('2018'!$E$5:$E$73,MATCH(B12,'2018'!$A$5:$A$73,0)))</f>
        <v>1.9019999999999999</v>
      </c>
      <c r="F12" s="59">
        <f>IF(IFERROR(INDEX('2017'!$E$5:$E$73,MATCH(B12,'2017'!$A$5:$A$73,0)),0)=0,"N/A",INDEX('2017'!$E$5:$E$73,MATCH(B12,'2017'!$A$5:$A$73,0)))</f>
        <v>2.1179999999999999</v>
      </c>
      <c r="G12" s="67">
        <f>IF(IFERROR(INDEX('2016'!$E$5:$E$73,MATCH(B12,'2016'!$A$5:$A$73,0)),0)=0,"N/A",INDEX('2016'!$E$5:$E$73,MATCH(B12,'2016'!$A$5:$A$73,0)))</f>
        <v>2.0699999999999998</v>
      </c>
      <c r="H12" s="59">
        <v>1.8720000000000001</v>
      </c>
      <c r="I12" s="59">
        <v>1.887</v>
      </c>
      <c r="J12" s="59">
        <v>1.8220000000000001</v>
      </c>
      <c r="K12" s="59">
        <v>1.51</v>
      </c>
      <c r="L12" s="59">
        <v>1.448</v>
      </c>
      <c r="M12" s="59">
        <v>1.421</v>
      </c>
      <c r="N12" s="59">
        <v>1.2849999999999999</v>
      </c>
      <c r="O12" s="59">
        <v>1.1359999999999999</v>
      </c>
      <c r="P12" s="59">
        <v>1.0980000000000001</v>
      </c>
      <c r="Q12" s="59">
        <v>1.01</v>
      </c>
    </row>
    <row r="13" spans="1:18" x14ac:dyDescent="0.2">
      <c r="A13" s="59" t="s">
        <v>172</v>
      </c>
      <c r="B13" s="59" t="s">
        <v>173</v>
      </c>
      <c r="C13" s="59">
        <f>IF(IFERROR(INDEX('2020'!$E$5:$E$73,MATCH(B13,'2020'!$A$5:$A$73,0)),0)=0,"N/A",INDEX('2020'!$E$5:$E$73,MATCH(B13,'2020'!$A$5:$A$73,0)))</f>
        <v>2.988</v>
      </c>
      <c r="D13" s="59">
        <f>IF(IFERROR(INDEX('2019'!$E$5:$E$73,MATCH(B13,'2019'!$A$5:$A$73,0)),0)=0,"N/A",INDEX('2019'!$E$5:$E$73,MATCH(B13,'2019'!$A$5:$A$73,0)))</f>
        <v>2.7690000000000001</v>
      </c>
      <c r="E13" s="59">
        <f>IF(IFERROR(INDEX('2018'!$E$5:$E$73,MATCH(B13,'2018'!$A$5:$A$73,0)),0)=0,"N/A",INDEX('2018'!$E$5:$E$73,MATCH(B13,'2018'!$A$5:$A$73,0)))</f>
        <v>2.6560000000000001</v>
      </c>
      <c r="F13" s="59">
        <f>IF(IFERROR(INDEX('2017'!$E$5:$E$73,MATCH(B13,'2017'!$A$5:$A$73,0)),0)=0,"N/A",INDEX('2017'!$E$5:$E$73,MATCH(B13,'2017'!$A$5:$A$73,0)))</f>
        <v>2.5539999999999998</v>
      </c>
      <c r="G13" s="67">
        <f>IF(IFERROR(INDEX('2016'!$E$5:$E$73,MATCH(B13,'2016'!$A$5:$A$73,0)),0)=0,"N/A",INDEX('2016'!$E$5:$E$73,MATCH(B13,'2016'!$A$5:$A$73,0)))</f>
        <v>2.4260000000000002</v>
      </c>
      <c r="H13" s="59">
        <v>2.2240000000000002</v>
      </c>
      <c r="I13" s="59">
        <v>2.04</v>
      </c>
      <c r="J13" s="59">
        <v>1.875</v>
      </c>
      <c r="K13" s="59">
        <v>2.0409999999999999</v>
      </c>
      <c r="L13" s="59">
        <v>1.6439999999999999</v>
      </c>
      <c r="M13" s="59">
        <v>1.915</v>
      </c>
      <c r="N13" s="59">
        <v>1.841</v>
      </c>
      <c r="O13" s="59">
        <v>1.6479999999999999</v>
      </c>
      <c r="P13" s="59">
        <v>1.5649999999999999</v>
      </c>
      <c r="Q13" s="59">
        <v>1.7549999999999999</v>
      </c>
    </row>
    <row r="14" spans="1:18" x14ac:dyDescent="0.2">
      <c r="A14" s="59" t="s">
        <v>174</v>
      </c>
      <c r="B14" s="59" t="s">
        <v>175</v>
      </c>
      <c r="C14" s="59">
        <f>IF(IFERROR(INDEX('2020'!$E$5:$E$73,MATCH(B14,'2020'!$A$5:$A$73,0)),0)=0,"N/A",INDEX('2020'!$E$5:$E$73,MATCH(B14,'2020'!$A$5:$A$73,0)))</f>
        <v>8.0259999999999998</v>
      </c>
      <c r="D14" s="59">
        <f>IF(IFERROR(INDEX('2019'!$E$5:$E$73,MATCH(B14,'2019'!$A$5:$A$73,0)),0)=0,"N/A",INDEX('2019'!$E$5:$E$73,MATCH(B14,'2019'!$A$5:$A$73,0)))</f>
        <v>7.5659999999999998</v>
      </c>
      <c r="E14" s="59">
        <f>IF(IFERROR(INDEX('2018'!$E$5:$E$73,MATCH(B14,'2018'!$A$5:$A$73,0)),0)=0,"N/A",INDEX('2018'!$E$5:$E$73,MATCH(B14,'2018'!$A$5:$A$73,0)))</f>
        <v>7.2380000000000004</v>
      </c>
      <c r="F14" s="59">
        <f>IF(IFERROR(INDEX('2017'!$E$5:$E$73,MATCH(B14,'2017'!$A$5:$A$73,0)),0)=0,"N/A",INDEX('2017'!$E$5:$E$73,MATCH(B14,'2017'!$A$5:$A$73,0)))</f>
        <v>6.6180000000000003</v>
      </c>
      <c r="G14" s="67">
        <f>IF(IFERROR(INDEX('2016'!$E$5:$E$73,MATCH(B14,'2016'!$A$5:$A$73,0)),0)=0,"N/A",INDEX('2016'!$E$5:$E$73,MATCH(B14,'2016'!$A$5:$A$73,0)))</f>
        <v>6.1890000000000001</v>
      </c>
      <c r="H14" s="59">
        <v>5.8129999999999997</v>
      </c>
      <c r="I14" s="59">
        <v>5.4169999999999998</v>
      </c>
      <c r="J14" s="59">
        <v>5.1390000000000002</v>
      </c>
      <c r="K14" s="59">
        <v>4.7619999999999996</v>
      </c>
      <c r="L14" s="59">
        <v>4.7220000000000004</v>
      </c>
      <c r="M14" s="59">
        <v>4.6379999999999999</v>
      </c>
      <c r="N14" s="59">
        <v>4.2880000000000003</v>
      </c>
      <c r="O14" s="59">
        <v>4.1929999999999996</v>
      </c>
      <c r="P14" s="59">
        <v>4.1349999999999998</v>
      </c>
      <c r="Q14" s="59">
        <v>4.2560000000000002</v>
      </c>
    </row>
    <row r="15" spans="1:18" x14ac:dyDescent="0.2">
      <c r="A15" s="59" t="s">
        <v>263</v>
      </c>
      <c r="B15" s="59" t="s">
        <v>260</v>
      </c>
      <c r="C15" s="59">
        <f>IF(IFERROR(INDEX('2020'!$E$5:$E$73,MATCH(B15,'2020'!$A$5:$A$73,0)),0)=0,"N/A",INDEX('2020'!$E$5:$E$73,MATCH(B15,'2020'!$A$5:$A$73,0)))</f>
        <v>5.0730000000000004</v>
      </c>
      <c r="D15" s="59">
        <f>IF(IFERROR(INDEX('2019'!$E$5:$E$73,MATCH(B15,'2019'!$A$5:$A$73,0)),0)=0,"N/A",INDEX('2019'!$E$5:$E$73,MATCH(B15,'2019'!$A$5:$A$73,0)))</f>
        <v>5.4950000000000001</v>
      </c>
      <c r="E15" s="59">
        <f>IF(IFERROR(INDEX('2018'!$E$5:$E$73,MATCH(B15,'2018'!$A$5:$A$73,0)),0)=0,"N/A",INDEX('2018'!$E$5:$E$73,MATCH(B15,'2018'!$A$5:$A$73,0)))</f>
        <v>4.8869999999999996</v>
      </c>
      <c r="F15" s="59">
        <f>IF(IFERROR(INDEX('2017'!$E$5:$E$73,MATCH(B15,'2017'!$A$5:$A$73,0)),0)=0,"N/A",INDEX('2017'!$E$5:$E$73,MATCH(B15,'2017'!$A$5:$A$73,0)))</f>
        <v>4.4889999999999999</v>
      </c>
      <c r="G15" s="67">
        <f>IF(IFERROR(INDEX('2016'!$E$5:$E$73,MATCH(B15,'2016'!$A$5:$A$73,0)),0)=0,"N/A",INDEX('2016'!$E$5:$E$73,MATCH(B15,'2016'!$A$5:$A$73,0)))</f>
        <v>4.7380000000000004</v>
      </c>
      <c r="H15" s="59">
        <v>3.1150000000000002</v>
      </c>
      <c r="I15" s="67" t="s">
        <v>106</v>
      </c>
      <c r="J15" s="67" t="s">
        <v>106</v>
      </c>
      <c r="K15" s="67" t="s">
        <v>106</v>
      </c>
      <c r="L15" s="67" t="s">
        <v>106</v>
      </c>
      <c r="M15" s="67" t="s">
        <v>106</v>
      </c>
      <c r="N15" s="67" t="s">
        <v>106</v>
      </c>
      <c r="O15" s="67" t="s">
        <v>106</v>
      </c>
      <c r="P15" s="67" t="s">
        <v>106</v>
      </c>
      <c r="Q15" s="67" t="s">
        <v>106</v>
      </c>
    </row>
    <row r="16" spans="1:18" x14ac:dyDescent="0.2">
      <c r="A16" s="59" t="s">
        <v>123</v>
      </c>
      <c r="B16" s="59" t="s">
        <v>4</v>
      </c>
      <c r="C16" s="59">
        <f>IF(IFERROR(INDEX('2020'!$E$5:$E$73,MATCH(B16,'2020'!$A$5:$A$73,0)),0)=0,"N/A",INDEX('2020'!$E$5:$E$73,MATCH(B16,'2020'!$A$5:$A$73,0)))</f>
        <v>5.1550000000000002</v>
      </c>
      <c r="D16" s="59">
        <f>IF(IFERROR(INDEX('2019'!$E$5:$E$73,MATCH(B16,'2019'!$A$5:$A$73,0)),0)=0,"N/A",INDEX('2019'!$E$5:$E$73,MATCH(B16,'2019'!$A$5:$A$73,0)))</f>
        <v>6.0629999999999997</v>
      </c>
      <c r="E16" s="59">
        <f>IF(IFERROR(INDEX('2018'!$E$5:$E$73,MATCH(B16,'2018'!$A$5:$A$73,0)),0)=0,"N/A",INDEX('2018'!$E$5:$E$73,MATCH(B16,'2018'!$A$5:$A$73,0)))</f>
        <v>5.0110000000000001</v>
      </c>
      <c r="F16" s="59">
        <f>IF(IFERROR(INDEX('2017'!$E$5:$E$73,MATCH(B16,'2017'!$A$5:$A$73,0)),0)=0,"N/A",INDEX('2017'!$E$5:$E$73,MATCH(B16,'2017'!$A$5:$A$73,0)))</f>
        <v>4.8739999999999997</v>
      </c>
      <c r="G16" s="67">
        <f>IF(IFERROR(INDEX('2016'!$E$5:$E$73,MATCH(B16,'2016'!$A$5:$A$73,0)),0)=0,"N/A",INDEX('2016'!$E$5:$E$73,MATCH(B16,'2016'!$A$5:$A$73,0)))</f>
        <v>5.2949999999999999</v>
      </c>
      <c r="H16" s="59">
        <v>4.923</v>
      </c>
      <c r="I16" s="59">
        <v>4.3559999999999999</v>
      </c>
      <c r="J16" s="59">
        <v>4.3600000000000003</v>
      </c>
      <c r="K16" s="59">
        <v>3.7010000000000001</v>
      </c>
      <c r="L16" s="59">
        <v>3.7810000000000001</v>
      </c>
      <c r="M16" s="59">
        <v>3.6219999999999999</v>
      </c>
      <c r="N16" s="59">
        <v>4.4470000000000001</v>
      </c>
      <c r="O16" s="59">
        <v>3.9780000000000002</v>
      </c>
      <c r="P16" s="59">
        <v>2.931</v>
      </c>
      <c r="Q16" s="59">
        <v>4.2709999999999999</v>
      </c>
    </row>
    <row r="17" spans="1:17" x14ac:dyDescent="0.2">
      <c r="A17" s="59" t="s">
        <v>124</v>
      </c>
      <c r="B17" s="59" t="s">
        <v>5</v>
      </c>
      <c r="C17" s="59">
        <f>IF(IFERROR(INDEX('2020'!$E$5:$E$73,MATCH(B17,'2020'!$A$5:$A$73,0)),0)=0,"N/A",INDEX('2020'!$E$5:$E$73,MATCH(B17,'2020'!$A$5:$A$73,0)))</f>
        <v>7.4089999999999998</v>
      </c>
      <c r="D17" s="59">
        <f>IF(IFERROR(INDEX('2019'!$E$5:$E$73,MATCH(B17,'2019'!$A$5:$A$73,0)),0)=0,"N/A",INDEX('2019'!$E$5:$E$73,MATCH(B17,'2019'!$A$5:$A$73,0)))</f>
        <v>7.0179999999999998</v>
      </c>
      <c r="E17" s="59">
        <f>IF(IFERROR(INDEX('2018'!$E$5:$E$73,MATCH(B17,'2018'!$A$5:$A$73,0)),0)=0,"N/A",INDEX('2018'!$E$5:$E$73,MATCH(B17,'2018'!$A$5:$A$73,0)))</f>
        <v>6.6109999999999998</v>
      </c>
      <c r="F17" s="59">
        <f>IF(IFERROR(INDEX('2017'!$E$5:$E$73,MATCH(B17,'2017'!$A$5:$A$73,0)),0)=0,"N/A",INDEX('2017'!$E$5:$E$73,MATCH(B17,'2017'!$A$5:$A$73,0)))</f>
        <v>7.1539999999999999</v>
      </c>
      <c r="G17" s="67">
        <f>IF(IFERROR(INDEX('2016'!$E$5:$E$73,MATCH(B17,'2016'!$A$5:$A$73,0)),0)=0,"N/A",INDEX('2016'!$E$5:$E$73,MATCH(B17,'2016'!$A$5:$A$73,0)))</f>
        <v>6.2850000000000001</v>
      </c>
      <c r="H17" s="59">
        <v>5.665</v>
      </c>
      <c r="I17" s="59">
        <v>6.2450000000000001</v>
      </c>
      <c r="J17" s="59">
        <v>5.9290000000000003</v>
      </c>
      <c r="K17" s="59">
        <v>5.59</v>
      </c>
      <c r="L17" s="59">
        <v>4.0060000000000002</v>
      </c>
      <c r="M17" s="59">
        <v>4.8760000000000003</v>
      </c>
      <c r="N17" s="59">
        <v>5.4130000000000003</v>
      </c>
      <c r="O17" s="59">
        <v>2.9529999999999998</v>
      </c>
      <c r="P17" s="59">
        <v>5.2869999999999999</v>
      </c>
      <c r="Q17" s="59">
        <v>5.0380000000000003</v>
      </c>
    </row>
    <row r="18" spans="1:17" x14ac:dyDescent="0.2">
      <c r="A18" s="59" t="s">
        <v>176</v>
      </c>
      <c r="B18" s="59" t="s">
        <v>177</v>
      </c>
      <c r="C18" s="59">
        <f>IF(IFERROR(INDEX('2020'!$E$5:$E$73,MATCH(B18,'2020'!$A$5:$A$73,0)),0)=0,"N/A",INDEX('2020'!$E$5:$E$73,MATCH(B18,'2020'!$A$5:$A$73,0)))</f>
        <v>3.8809999999999998</v>
      </c>
      <c r="D18" s="59">
        <f>IF(IFERROR(INDEX('2019'!$E$5:$E$73,MATCH(B18,'2019'!$A$5:$A$73,0)),0)=0,"N/A",INDEX('2019'!$E$5:$E$73,MATCH(B18,'2019'!$A$5:$A$73,0)))</f>
        <v>3.1389999999999998</v>
      </c>
      <c r="E18" s="59">
        <f>IF(IFERROR(INDEX('2018'!$E$5:$E$73,MATCH(B18,'2018'!$A$5:$A$73,0)),0)=0,"N/A",INDEX('2018'!$E$5:$E$73,MATCH(B18,'2018'!$A$5:$A$73,0)))</f>
        <v>3.1080000000000001</v>
      </c>
      <c r="F18" s="59">
        <f>IF(IFERROR(INDEX('2017'!$E$5:$E$73,MATCH(B18,'2017'!$A$5:$A$73,0)),0)=0,"N/A",INDEX('2017'!$E$5:$E$73,MATCH(B18,'2017'!$A$5:$A$73,0)))</f>
        <v>2.9990000000000001</v>
      </c>
      <c r="G18" s="67">
        <f>IF(IFERROR(INDEX('2016'!$E$5:$E$73,MATCH(B18,'2016'!$A$5:$A$73,0)),0)=0,"N/A",INDEX('2016'!$E$5:$E$73,MATCH(B18,'2016'!$A$5:$A$73,0)))</f>
        <v>2.3410000000000002</v>
      </c>
      <c r="H18" s="59">
        <v>2.2200000000000002</v>
      </c>
      <c r="I18" s="59">
        <v>2.4670000000000001</v>
      </c>
      <c r="J18" s="59">
        <v>2.2109999999999999</v>
      </c>
      <c r="K18" s="59">
        <v>2.3180000000000001</v>
      </c>
      <c r="L18" s="59">
        <v>2.0680000000000001</v>
      </c>
      <c r="M18" s="59">
        <v>1.9319999999999999</v>
      </c>
      <c r="N18" s="59">
        <v>1.9339999999999999</v>
      </c>
      <c r="O18" s="59">
        <v>1.861</v>
      </c>
      <c r="P18" s="59">
        <v>1.5620000000000001</v>
      </c>
      <c r="Q18" s="59">
        <v>1.357</v>
      </c>
    </row>
    <row r="19" spans="1:17" x14ac:dyDescent="0.2">
      <c r="A19" s="59" t="s">
        <v>125</v>
      </c>
      <c r="B19" s="59" t="s">
        <v>6</v>
      </c>
      <c r="C19" s="59">
        <f>IF(IFERROR(INDEX('2020'!$E$5:$E$73,MATCH(B19,'2020'!$A$5:$A$73,0)),0)=0,"N/A",INDEX('2020'!$E$5:$E$73,MATCH(B19,'2020'!$A$5:$A$73,0)))</f>
        <v>3.4569999999999999</v>
      </c>
      <c r="D19" s="59">
        <f>IF(IFERROR(INDEX('2019'!$E$5:$E$73,MATCH(B19,'2019'!$A$5:$A$73,0)),0)=0,"N/A",INDEX('2019'!$E$5:$E$73,MATCH(B19,'2019'!$A$5:$A$73,0)))</f>
        <v>4.1219999999999999</v>
      </c>
      <c r="E19" s="59">
        <f>IF(IFERROR(INDEX('2018'!$E$5:$E$73,MATCH(B19,'2018'!$A$5:$A$73,0)),0)=0,"N/A",INDEX('2018'!$E$5:$E$73,MATCH(B19,'2018'!$A$5:$A$73,0)))</f>
        <v>3.24</v>
      </c>
      <c r="F19" s="59">
        <f>IF(IFERROR(INDEX('2017'!$E$5:$E$73,MATCH(B19,'2017'!$A$5:$A$73,0)),0)=0,"N/A",INDEX('2017'!$E$5:$E$73,MATCH(B19,'2017'!$A$5:$A$73,0)))</f>
        <v>4.0339999999999998</v>
      </c>
      <c r="G19" s="67">
        <f>IF(IFERROR(INDEX('2016'!$E$5:$E$73,MATCH(B19,'2016'!$A$5:$A$73,0)),0)=0,"N/A",INDEX('2016'!$E$5:$E$73,MATCH(B19,'2016'!$A$5:$A$73,0)))</f>
        <v>3.6779999999999999</v>
      </c>
      <c r="H19" s="59">
        <v>3.4</v>
      </c>
      <c r="I19" s="59">
        <v>3.851</v>
      </c>
      <c r="J19" s="59">
        <v>3.5430000000000001</v>
      </c>
      <c r="K19" s="59">
        <v>3.891</v>
      </c>
      <c r="L19" s="59">
        <v>3.4319999999999999</v>
      </c>
      <c r="M19" s="59">
        <v>3.1389999999999998</v>
      </c>
      <c r="N19" s="59">
        <v>2.9409999999999998</v>
      </c>
      <c r="O19" s="59">
        <v>3.4180000000000001</v>
      </c>
      <c r="P19" s="59">
        <v>3.3929999999999998</v>
      </c>
      <c r="Q19" s="59">
        <v>3.4660000000000002</v>
      </c>
    </row>
    <row r="20" spans="1:17" x14ac:dyDescent="0.2">
      <c r="A20" s="59" t="s">
        <v>215</v>
      </c>
      <c r="B20" s="59" t="s">
        <v>178</v>
      </c>
      <c r="C20" s="59">
        <f>IF(IFERROR(INDEX('2020'!$E$5:$E$73,MATCH(B20,'2020'!$A$5:$A$73,0)),0)=0,"N/A",INDEX('2020'!$E$5:$E$73,MATCH(B20,'2020'!$A$5:$A$73,0)))</f>
        <v>7.3739999999999997</v>
      </c>
      <c r="D20" s="59">
        <f>IF(IFERROR(INDEX('2019'!$E$5:$E$73,MATCH(B20,'2019'!$A$5:$A$73,0)),0)=0,"N/A",INDEX('2019'!$E$5:$E$73,MATCH(B20,'2019'!$A$5:$A$73,0)))</f>
        <v>6.4960000000000004</v>
      </c>
      <c r="E20" s="59">
        <f>IF(IFERROR(INDEX('2018'!$E$5:$E$73,MATCH(B20,'2018'!$A$5:$A$73,0)),0)=0,"N/A",INDEX('2018'!$E$5:$E$73,MATCH(B20,'2018'!$A$5:$A$73,0)))</f>
        <v>6.4669999999999996</v>
      </c>
      <c r="F20" s="59">
        <f>IF(IFERROR(INDEX('2017'!$E$5:$E$73,MATCH(B20,'2017'!$A$5:$A$73,0)),0)=0,"N/A",INDEX('2017'!$E$5:$E$73,MATCH(B20,'2017'!$A$5:$A$73,0)))</f>
        <v>5.4169999999999998</v>
      </c>
      <c r="G20" s="67">
        <f>IF(IFERROR(INDEX('2016'!$E$5:$E$73,MATCH(B20,'2016'!$A$5:$A$73,0)),0)=0,"N/A",INDEX('2016'!$E$5:$E$73,MATCH(B20,'2016'!$A$5:$A$73,0)))</f>
        <v>5.1630000000000003</v>
      </c>
      <c r="H20" s="59">
        <v>5.0519999999999996</v>
      </c>
      <c r="I20" s="59">
        <v>4.7290000000000001</v>
      </c>
      <c r="J20" s="59">
        <v>4.3490000000000002</v>
      </c>
      <c r="K20" s="59">
        <v>3.9540000000000002</v>
      </c>
      <c r="L20" s="59">
        <v>3.6859999999999999</v>
      </c>
      <c r="M20" s="59">
        <v>3.496</v>
      </c>
      <c r="N20" s="59">
        <v>2.1480000000000001</v>
      </c>
      <c r="O20" s="59">
        <v>2.5</v>
      </c>
      <c r="P20" s="59">
        <v>2.52</v>
      </c>
      <c r="Q20" s="59">
        <v>2.1779999999999999</v>
      </c>
    </row>
    <row r="21" spans="1:17" x14ac:dyDescent="0.2">
      <c r="A21" s="59" t="s">
        <v>126</v>
      </c>
      <c r="B21" s="59" t="s">
        <v>9</v>
      </c>
      <c r="C21" s="59">
        <f>IF(IFERROR(INDEX('2020'!$E$5:$E$73,MATCH(B21,'2020'!$A$5:$A$73,0)),0)=0,"N/A",INDEX('2020'!$E$5:$E$73,MATCH(B21,'2020'!$A$5:$A$73,0)))</f>
        <v>6.24</v>
      </c>
      <c r="D21" s="59">
        <f>IF(IFERROR(INDEX('2019'!$E$5:$E$73,MATCH(B21,'2019'!$A$5:$A$73,0)),0)=0,"N/A",INDEX('2019'!$E$5:$E$73,MATCH(B21,'2019'!$A$5:$A$73,0)))</f>
        <v>5.89</v>
      </c>
      <c r="E21" s="59">
        <f>IF(IFERROR(INDEX('2018'!$E$5:$E$73,MATCH(B21,'2018'!$A$5:$A$73,0)),0)=0,"N/A",INDEX('2018'!$E$5:$E$73,MATCH(B21,'2018'!$A$5:$A$73,0)))</f>
        <v>5.6109999999999998</v>
      </c>
      <c r="F21" s="59">
        <f>IF(IFERROR(INDEX('2017'!$E$5:$E$73,MATCH(B21,'2017'!$A$5:$A$73,0)),0)=0,"N/A",INDEX('2017'!$E$5:$E$73,MATCH(B21,'2017'!$A$5:$A$73,0)))</f>
        <v>5.2869999999999999</v>
      </c>
      <c r="G21" s="67">
        <f>IF(IFERROR(INDEX('2016'!$E$5:$E$73,MATCH(B21,'2016'!$A$5:$A$73,0)),0)=0,"N/A",INDEX('2016'!$E$5:$E$73,MATCH(B21,'2016'!$A$5:$A$73,0)))</f>
        <v>4.8780000000000001</v>
      </c>
      <c r="H21" s="59">
        <v>4.593</v>
      </c>
      <c r="I21" s="59">
        <v>4.2220000000000004</v>
      </c>
      <c r="J21" s="59">
        <v>4.0590000000000002</v>
      </c>
      <c r="K21" s="59">
        <v>3.8210000000000002</v>
      </c>
      <c r="L21" s="59">
        <v>3.6520000000000001</v>
      </c>
      <c r="M21" s="59">
        <v>3.702</v>
      </c>
      <c r="N21" s="59">
        <v>3.4670000000000001</v>
      </c>
      <c r="O21" s="59">
        <v>3.8780000000000001</v>
      </c>
      <c r="P21" s="59">
        <v>3.0819999999999999</v>
      </c>
      <c r="Q21" s="59">
        <v>3.2229999999999999</v>
      </c>
    </row>
    <row r="22" spans="1:17" x14ac:dyDescent="0.2">
      <c r="A22" s="59" t="s">
        <v>179</v>
      </c>
      <c r="B22" s="59" t="s">
        <v>180</v>
      </c>
      <c r="C22" s="59" t="str">
        <f>IF(IFERROR(INDEX('2020'!$E$5:$E$73,MATCH(B22,'2020'!$A$5:$A$73,0)),0)=0,"N/A",INDEX('2020'!$E$5:$E$73,MATCH(B22,'2020'!$A$5:$A$73,0)))</f>
        <v>N/A</v>
      </c>
      <c r="D22" s="59" t="str">
        <f>IF(IFERROR(INDEX('2019'!$E$5:$E$73,MATCH(B22,'2019'!$A$5:$A$73,0)),0)=0,"N/A",INDEX('2019'!$E$5:$E$73,MATCH(B22,'2019'!$A$5:$A$73,0)))</f>
        <v>N/A</v>
      </c>
      <c r="E22" s="59">
        <f>IF(IFERROR(INDEX('2018'!$E$5:$E$73,MATCH(B22,'2018'!$A$5:$A$73,0)),0)=0,"N/A",INDEX('2018'!$E$5:$E$73,MATCH(B22,'2018'!$A$5:$A$73,0)))</f>
        <v>2.9350000000000001</v>
      </c>
      <c r="F22" s="59">
        <f>IF(IFERROR(INDEX('2017'!$E$5:$E$73,MATCH(B22,'2017'!$A$5:$A$73,0)),0)=0,"N/A",INDEX('2017'!$E$5:$E$73,MATCH(B22,'2017'!$A$5:$A$73,0)))</f>
        <v>3.3919999999999999</v>
      </c>
      <c r="G22" s="67">
        <f>IF(IFERROR(INDEX('2016'!$E$5:$E$73,MATCH(B22,'2016'!$A$5:$A$73,0)),0)=0,"N/A",INDEX('2016'!$E$5:$E$73,MATCH(B22,'2016'!$A$5:$A$73,0)))</f>
        <v>3.3119999999999998</v>
      </c>
      <c r="H22" s="59">
        <v>3.18</v>
      </c>
      <c r="I22" s="59">
        <v>2.972</v>
      </c>
      <c r="J22" s="59">
        <v>2.629</v>
      </c>
      <c r="K22" s="59">
        <v>2.6429999999999998</v>
      </c>
      <c r="L22" s="59">
        <v>2.105</v>
      </c>
      <c r="M22" s="59">
        <v>2.0390000000000001</v>
      </c>
      <c r="N22" s="59">
        <v>1.9330000000000001</v>
      </c>
      <c r="O22" s="59">
        <v>1.946</v>
      </c>
      <c r="P22" s="59">
        <v>1.899</v>
      </c>
      <c r="Q22" s="59">
        <v>1.518</v>
      </c>
    </row>
    <row r="23" spans="1:17" x14ac:dyDescent="0.2">
      <c r="A23" s="59" t="s">
        <v>127</v>
      </c>
      <c r="B23" s="59" t="s">
        <v>10</v>
      </c>
      <c r="C23" s="59">
        <f>IF(IFERROR(INDEX('2020'!$E$5:$E$73,MATCH(B23,'2020'!$A$5:$A$73,0)),0)=0,"N/A",INDEX('2020'!$E$5:$E$73,MATCH(B23,'2020'!$A$5:$A$73,0)))</f>
        <v>9.4770000000000003</v>
      </c>
      <c r="D23" s="59">
        <f>IF(IFERROR(INDEX('2019'!$E$5:$E$73,MATCH(B23,'2019'!$A$5:$A$73,0)),0)=0,"N/A",INDEX('2019'!$E$5:$E$73,MATCH(B23,'2019'!$A$5:$A$73,0)))</f>
        <v>9.1</v>
      </c>
      <c r="E23" s="59">
        <f>IF(IFERROR(INDEX('2018'!$E$5:$E$73,MATCH(B23,'2018'!$A$5:$A$73,0)),0)=0,"N/A",INDEX('2018'!$E$5:$E$73,MATCH(B23,'2018'!$A$5:$A$73,0)))</f>
        <v>8.9160000000000004</v>
      </c>
      <c r="F23" s="59">
        <f>IF(IFERROR(INDEX('2017'!$E$5:$E$73,MATCH(B23,'2017'!$A$5:$A$73,0)),0)=0,"N/A",INDEX('2017'!$E$5:$E$73,MATCH(B23,'2017'!$A$5:$A$73,0)))</f>
        <v>8.41</v>
      </c>
      <c r="G23" s="67">
        <f>IF(IFERROR(INDEX('2016'!$E$5:$E$73,MATCH(B23,'2016'!$A$5:$A$73,0)),0)=0,"N/A",INDEX('2016'!$E$5:$E$73,MATCH(B23,'2016'!$A$5:$A$73,0)))</f>
        <v>7.8849999999999998</v>
      </c>
      <c r="H23" s="59">
        <v>7.9279999999999999</v>
      </c>
      <c r="I23" s="59">
        <v>7.2969999999999997</v>
      </c>
      <c r="J23" s="59">
        <v>7.4470000000000001</v>
      </c>
      <c r="K23" s="59">
        <v>7.1459999999999999</v>
      </c>
      <c r="L23" s="59">
        <v>6.6070000000000002</v>
      </c>
      <c r="M23" s="59">
        <v>6.2450000000000001</v>
      </c>
      <c r="N23" s="59">
        <v>5.8620000000000001</v>
      </c>
      <c r="O23" s="59">
        <v>5.9880000000000004</v>
      </c>
      <c r="P23" s="59">
        <v>5.7720000000000002</v>
      </c>
      <c r="Q23" s="59">
        <v>5.2789999999999999</v>
      </c>
    </row>
    <row r="24" spans="1:17" x14ac:dyDescent="0.2">
      <c r="A24" s="59" t="s">
        <v>181</v>
      </c>
      <c r="B24" s="59" t="s">
        <v>182</v>
      </c>
      <c r="C24" s="59">
        <f>IF(IFERROR(INDEX('2020'!$E$5:$E$73,MATCH(B24,'2020'!$A$5:$A$73,0)),0)=0,"N/A",INDEX('2020'!$E$5:$E$73,MATCH(B24,'2020'!$A$5:$A$73,0)))</f>
        <v>1.0569999999999999</v>
      </c>
      <c r="D24" s="59">
        <f>IF(IFERROR(INDEX('2019'!$E$5:$E$73,MATCH(B24,'2019'!$A$5:$A$73,0)),0)=0,"N/A",INDEX('2019'!$E$5:$E$73,MATCH(B24,'2019'!$A$5:$A$73,0)))</f>
        <v>1.0469999999999999</v>
      </c>
      <c r="E24" s="59">
        <f>IF(IFERROR(INDEX('2018'!$E$5:$E$73,MATCH(B24,'2018'!$A$5:$A$73,0)),0)=0,"N/A",INDEX('2018'!$E$5:$E$73,MATCH(B24,'2018'!$A$5:$A$73,0)))</f>
        <v>1.149</v>
      </c>
      <c r="F24" s="59">
        <f>IF(IFERROR(INDEX('2017'!$E$5:$E$73,MATCH(B24,'2017'!$A$5:$A$73,0)),0)=0,"N/A",INDEX('2017'!$E$5:$E$73,MATCH(B24,'2017'!$A$5:$A$73,0)))</f>
        <v>1.117</v>
      </c>
      <c r="G24" s="67">
        <f>IF(IFERROR(INDEX('2016'!$E$5:$E$73,MATCH(B24,'2016'!$A$5:$A$73,0)),0)=0,"N/A",INDEX('2016'!$E$5:$E$73,MATCH(B24,'2016'!$A$5:$A$73,0)))</f>
        <v>0.95399999999999996</v>
      </c>
      <c r="H24" s="59">
        <v>0.89100000000000001</v>
      </c>
      <c r="I24" s="59">
        <v>0.8</v>
      </c>
      <c r="J24" s="59">
        <v>0.95699999999999996</v>
      </c>
      <c r="K24" s="59">
        <v>1.167</v>
      </c>
      <c r="L24" s="59">
        <v>0.83099999999999996</v>
      </c>
      <c r="M24" s="59">
        <v>0.86399999999999999</v>
      </c>
      <c r="N24" s="59">
        <v>1.18</v>
      </c>
      <c r="O24" s="59">
        <v>0.94899999999999995</v>
      </c>
      <c r="P24" s="59">
        <v>1.202</v>
      </c>
      <c r="Q24" s="59">
        <v>0.87</v>
      </c>
    </row>
    <row r="25" spans="1:17" x14ac:dyDescent="0.2">
      <c r="A25" s="59" t="s">
        <v>183</v>
      </c>
      <c r="B25" s="59" t="s">
        <v>184</v>
      </c>
      <c r="C25" s="59" t="str">
        <f>IF(IFERROR(INDEX('2020'!$E$5:$E$73,MATCH(B25,'2020'!$A$5:$A$73,0)),0)=0,"N/A",INDEX('2020'!$E$5:$E$73,MATCH(B25,'2020'!$A$5:$A$73,0)))</f>
        <v>N/A</v>
      </c>
      <c r="D25" s="59" t="str">
        <f>IF(IFERROR(INDEX('2019'!$E$5:$E$73,MATCH(B25,'2019'!$A$5:$A$73,0)),0)=0,"N/A",INDEX('2019'!$E$5:$E$73,MATCH(B25,'2019'!$A$5:$A$73,0)))</f>
        <v>N/A</v>
      </c>
      <c r="E25" s="59" t="str">
        <f>IF(IFERROR(INDEX('2018'!$E$5:$E$73,MATCH(B25,'2018'!$A$5:$A$73,0)),0)=0,"N/A",INDEX('2018'!$E$5:$E$73,MATCH(B25,'2018'!$A$5:$A$73,0)))</f>
        <v>N/A</v>
      </c>
      <c r="F25" s="59" t="str">
        <f>IF(IFERROR(INDEX('2017'!$E$5:$E$73,MATCH(B25,'2017'!$A$5:$A$73,0)),0)=0,"N/A",INDEX('2017'!$E$5:$E$73,MATCH(B25,'2017'!$A$5:$A$73,0)))</f>
        <v>N/A</v>
      </c>
      <c r="G25" s="67">
        <f>IF(IFERROR(INDEX('2016'!$E$5:$E$73,MATCH(B25,'2016'!$A$5:$A$73,0)),0)=0,"N/A",INDEX('2016'!$E$5:$E$73,MATCH(B25,'2016'!$A$5:$A$73,0)))</f>
        <v>1.718</v>
      </c>
      <c r="H25" s="59">
        <v>1.8660000000000001</v>
      </c>
      <c r="I25" s="59">
        <v>2.117</v>
      </c>
      <c r="J25" s="59">
        <v>1.9359999999999999</v>
      </c>
      <c r="K25" s="59">
        <v>1.7210000000000001</v>
      </c>
      <c r="L25" s="59">
        <v>1.7110000000000001</v>
      </c>
      <c r="M25" s="59">
        <v>1.514</v>
      </c>
      <c r="N25" s="59">
        <v>1.4430000000000001</v>
      </c>
      <c r="O25" s="59">
        <v>1.7430000000000001</v>
      </c>
      <c r="P25" s="59">
        <v>1.595</v>
      </c>
      <c r="Q25" s="59">
        <v>1.47</v>
      </c>
    </row>
    <row r="26" spans="1:17" x14ac:dyDescent="0.2">
      <c r="A26" s="59" t="s">
        <v>128</v>
      </c>
      <c r="B26" s="59" t="s">
        <v>11</v>
      </c>
      <c r="C26" s="59">
        <f>IF(IFERROR(INDEX('2020'!$E$5:$E$73,MATCH(B26,'2020'!$A$5:$A$73,0)),0)=0,"N/A",INDEX('2020'!$E$5:$E$73,MATCH(B26,'2020'!$A$5:$A$73,0)))</f>
        <v>5.4829999999999997</v>
      </c>
      <c r="D26" s="59">
        <f>IF(IFERROR(INDEX('2019'!$E$5:$E$73,MATCH(B26,'2019'!$A$5:$A$73,0)),0)=0,"N/A",INDEX('2019'!$E$5:$E$73,MATCH(B26,'2019'!$A$5:$A$73,0)))</f>
        <v>5.726</v>
      </c>
      <c r="E26" s="59">
        <f>IF(IFERROR(INDEX('2018'!$E$5:$E$73,MATCH(B26,'2018'!$A$5:$A$73,0)),0)=0,"N/A",INDEX('2018'!$E$5:$E$73,MATCH(B26,'2018'!$A$5:$A$73,0)))</f>
        <v>6.4770000000000003</v>
      </c>
      <c r="F26" s="59">
        <f>IF(IFERROR(INDEX('2017'!$E$5:$E$73,MATCH(B26,'2017'!$A$5:$A$73,0)),0)=0,"N/A",INDEX('2017'!$E$5:$E$73,MATCH(B26,'2017'!$A$5:$A$73,0)))</f>
        <v>6.8970000000000002</v>
      </c>
      <c r="G26" s="67">
        <f>IF(IFERROR(INDEX('2016'!$E$5:$E$73,MATCH(B26,'2016'!$A$5:$A$73,0)),0)=0,"N/A",INDEX('2016'!$E$5:$E$73,MATCH(B26,'2016'!$A$5:$A$73,0)))</f>
        <v>6.327</v>
      </c>
      <c r="H26" s="59">
        <v>5.984</v>
      </c>
      <c r="I26" s="59">
        <v>5.71</v>
      </c>
      <c r="J26" s="59">
        <v>5.4669999999999996</v>
      </c>
      <c r="K26" s="59">
        <v>5.2439999999999998</v>
      </c>
      <c r="L26" s="59">
        <v>5.0449999999999999</v>
      </c>
      <c r="M26" s="59">
        <v>5.1050000000000004</v>
      </c>
      <c r="N26" s="59">
        <v>4.8159999999999998</v>
      </c>
      <c r="O26" s="59">
        <v>5.0670000000000002</v>
      </c>
      <c r="P26" s="59">
        <v>5.0810000000000004</v>
      </c>
      <c r="Q26" s="59">
        <v>4.91</v>
      </c>
    </row>
    <row r="27" spans="1:17" x14ac:dyDescent="0.2">
      <c r="A27" s="59" t="s">
        <v>129</v>
      </c>
      <c r="B27" s="59" t="s">
        <v>12</v>
      </c>
      <c r="C27" s="59">
        <f>IF(IFERROR(INDEX('2020'!$E$5:$E$73,MATCH(B27,'2020'!$A$5:$A$73,0)),0)=0,"N/A",INDEX('2020'!$E$5:$E$73,MATCH(B27,'2020'!$A$5:$A$73,0)))</f>
        <v>14.698</v>
      </c>
      <c r="D27" s="59">
        <f>IF(IFERROR(INDEX('2019'!$E$5:$E$73,MATCH(B27,'2019'!$A$5:$A$73,0)),0)=0,"N/A",INDEX('2019'!$E$5:$E$73,MATCH(B27,'2019'!$A$5:$A$73,0)))</f>
        <v>12.965</v>
      </c>
      <c r="E27" s="59">
        <f>IF(IFERROR(INDEX('2018'!$E$5:$E$73,MATCH(B27,'2018'!$A$5:$A$73,0)),0)=0,"N/A",INDEX('2018'!$E$5:$E$73,MATCH(B27,'2018'!$A$5:$A$73,0)))</f>
        <v>12.582000000000001</v>
      </c>
      <c r="F27" s="59">
        <f>IF(IFERROR(INDEX('2017'!$E$5:$E$73,MATCH(B27,'2017'!$A$5:$A$73,0)),0)=0,"N/A",INDEX('2017'!$E$5:$E$73,MATCH(B27,'2017'!$A$5:$A$73,0)))</f>
        <v>11.773</v>
      </c>
      <c r="G27" s="67">
        <f>IF(IFERROR(INDEX('2016'!$E$5:$E$73,MATCH(B27,'2016'!$A$5:$A$73,0)),0)=0,"N/A",INDEX('2016'!$E$5:$E$73,MATCH(B27,'2016'!$A$5:$A$73,0)))</f>
        <v>10.6</v>
      </c>
      <c r="H27" s="59">
        <v>9.4390000000000001</v>
      </c>
      <c r="I27" s="59">
        <v>11.853999999999999</v>
      </c>
      <c r="J27" s="59">
        <v>10.125</v>
      </c>
      <c r="K27" s="59">
        <v>9.7710000000000008</v>
      </c>
      <c r="L27" s="59">
        <v>9.5660000000000007</v>
      </c>
      <c r="M27" s="59">
        <v>9.7799999999999994</v>
      </c>
      <c r="N27" s="59">
        <v>9.3829999999999991</v>
      </c>
      <c r="O27" s="59">
        <v>8.2569999999999997</v>
      </c>
      <c r="P27" s="59">
        <v>8.4849999999999994</v>
      </c>
      <c r="Q27" s="59">
        <v>8.1910000000000007</v>
      </c>
    </row>
    <row r="28" spans="1:17" x14ac:dyDescent="0.2">
      <c r="A28" s="59" t="s">
        <v>130</v>
      </c>
      <c r="B28" s="59" t="s">
        <v>13</v>
      </c>
      <c r="C28" s="59">
        <f>IF(IFERROR(INDEX('2020'!$E$5:$E$73,MATCH(B28,'2020'!$A$5:$A$73,0)),0)=0,"N/A",INDEX('2020'!$E$5:$E$73,MATCH(B28,'2020'!$A$5:$A$73,0)))</f>
        <v>10.891</v>
      </c>
      <c r="D28" s="59">
        <f>IF(IFERROR(INDEX('2019'!$E$5:$E$73,MATCH(B28,'2019'!$A$5:$A$73,0)),0)=0,"N/A",INDEX('2019'!$E$5:$E$73,MATCH(B28,'2019'!$A$5:$A$73,0)))</f>
        <v>12.128</v>
      </c>
      <c r="E28" s="59">
        <f>IF(IFERROR(INDEX('2018'!$E$5:$E$73,MATCH(B28,'2018'!$A$5:$A$73,0)),0)=0,"N/A",INDEX('2018'!$E$5:$E$73,MATCH(B28,'2018'!$A$5:$A$73,0)))</f>
        <v>10.487</v>
      </c>
      <c r="F28" s="59">
        <f>IF(IFERROR(INDEX('2017'!$E$5:$E$73,MATCH(B28,'2017'!$A$5:$A$73,0)),0)=0,"N/A",INDEX('2017'!$E$5:$E$73,MATCH(B28,'2017'!$A$5:$A$73,0)))</f>
        <v>10.013</v>
      </c>
      <c r="G28" s="67">
        <f>IF(IFERROR(INDEX('2016'!$E$5:$E$73,MATCH(B28,'2016'!$A$5:$A$73,0)),0)=0,"N/A",INDEX('2016'!$E$5:$E$73,MATCH(B28,'2016'!$A$5:$A$73,0)))</f>
        <v>9.1999999999999993</v>
      </c>
      <c r="H28" s="59">
        <v>9.4</v>
      </c>
      <c r="I28" s="59">
        <v>9.11</v>
      </c>
      <c r="J28" s="59">
        <v>8.5579999999999998</v>
      </c>
      <c r="K28" s="59">
        <v>6.798</v>
      </c>
      <c r="L28" s="59">
        <v>8.68</v>
      </c>
      <c r="M28" s="59">
        <v>8.4860000000000007</v>
      </c>
      <c r="N28" s="59">
        <v>7.58</v>
      </c>
      <c r="O28" s="59">
        <v>7.343</v>
      </c>
      <c r="P28" s="59">
        <v>8.1069999999999993</v>
      </c>
      <c r="Q28" s="59">
        <v>7.8650000000000002</v>
      </c>
    </row>
    <row r="29" spans="1:17" x14ac:dyDescent="0.2">
      <c r="A29" s="59" t="s">
        <v>131</v>
      </c>
      <c r="B29" s="59" t="s">
        <v>14</v>
      </c>
      <c r="C29" s="59">
        <f>IF(IFERROR(INDEX('2020'!$E$5:$E$73,MATCH(B29,'2020'!$A$5:$A$73,0)),0)=0,"N/A",INDEX('2020'!$E$5:$E$73,MATCH(B29,'2020'!$A$5:$A$73,0)))</f>
        <v>7.9390000000000001</v>
      </c>
      <c r="D29" s="59">
        <f>IF(IFERROR(INDEX('2019'!$E$5:$E$73,MATCH(B29,'2019'!$A$5:$A$73,0)),0)=0,"N/A",INDEX('2019'!$E$5:$E$73,MATCH(B29,'2019'!$A$5:$A$73,0)))</f>
        <v>9.1470000000000002</v>
      </c>
      <c r="E29" s="59">
        <f>IF(IFERROR(INDEX('2018'!$E$5:$E$73,MATCH(B29,'2018'!$A$5:$A$73,0)),0)=0,"N/A",INDEX('2018'!$E$5:$E$73,MATCH(B29,'2018'!$A$5:$A$73,0)))</f>
        <v>4.6929999999999996</v>
      </c>
      <c r="F29" s="59">
        <f>IF(IFERROR(INDEX('2017'!$E$5:$E$73,MATCH(B29,'2017'!$A$5:$A$73,0)),0)=0,"N/A",INDEX('2017'!$E$5:$E$73,MATCH(B29,'2017'!$A$5:$A$73,0)))</f>
        <v>11.031000000000001</v>
      </c>
      <c r="G29" s="67">
        <f>IF(IFERROR(INDEX('2016'!$E$5:$E$73,MATCH(B29,'2016'!$A$5:$A$73,0)),0)=0,"N/A",INDEX('2016'!$E$5:$E$73,MATCH(B29,'2016'!$A$5:$A$73,0)))</f>
        <v>10.426</v>
      </c>
      <c r="H29" s="59">
        <v>10.35</v>
      </c>
      <c r="I29" s="59">
        <v>9.9510000000000005</v>
      </c>
      <c r="J29" s="59">
        <v>8.7970000000000006</v>
      </c>
      <c r="K29" s="59">
        <v>9.6280000000000001</v>
      </c>
      <c r="L29" s="59">
        <v>9.0299999999999994</v>
      </c>
      <c r="M29" s="59">
        <v>8.4130000000000003</v>
      </c>
      <c r="N29" s="59">
        <v>7.9649999999999999</v>
      </c>
      <c r="O29" s="59">
        <v>8.0839999999999996</v>
      </c>
      <c r="P29" s="59">
        <v>7.5960000000000001</v>
      </c>
      <c r="Q29" s="59">
        <v>7.2530000000000001</v>
      </c>
    </row>
    <row r="30" spans="1:17" x14ac:dyDescent="0.2">
      <c r="A30" s="59" t="s">
        <v>132</v>
      </c>
      <c r="B30" s="59" t="s">
        <v>15</v>
      </c>
      <c r="C30" s="59" t="str">
        <f>IF(IFERROR(INDEX('2020'!$E$5:$E$73,MATCH(B30,'2020'!$A$5:$A$73,0)),0)=0,"N/A",INDEX('2020'!$E$5:$E$73,MATCH(B30,'2020'!$A$5:$A$73,0)))</f>
        <v>N/A</v>
      </c>
      <c r="D30" s="59" t="str">
        <f>IF(IFERROR(INDEX('2019'!$E$5:$E$73,MATCH(B30,'2019'!$A$5:$A$73,0)),0)=0,"N/A",INDEX('2019'!$E$5:$E$73,MATCH(B30,'2019'!$A$5:$A$73,0)))</f>
        <v>N/A</v>
      </c>
      <c r="E30" s="59">
        <f>IF(IFERROR(INDEX('2018'!$E$5:$E$73,MATCH(B30,'2018'!$A$5:$A$73,0)),0)=0,"N/A",INDEX('2018'!$E$5:$E$73,MATCH(B30,'2018'!$A$5:$A$73,0)))</f>
        <v>5.8920000000000003</v>
      </c>
      <c r="F30" s="59">
        <f>IF(IFERROR(INDEX('2017'!$E$5:$E$73,MATCH(B30,'2017'!$A$5:$A$73,0)),0)=0,"N/A",INDEX('2017'!$E$5:$E$73,MATCH(B30,'2017'!$A$5:$A$73,0)))</f>
        <v>6.173</v>
      </c>
      <c r="G30" s="67">
        <f>IF(IFERROR(INDEX('2016'!$E$5:$E$73,MATCH(B30,'2016'!$A$5:$A$73,0)),0)=0,"N/A",INDEX('2016'!$E$5:$E$73,MATCH(B30,'2016'!$A$5:$A$73,0)))</f>
        <v>5.976</v>
      </c>
      <c r="H30" s="59">
        <v>5.75</v>
      </c>
      <c r="I30" s="59">
        <v>5.8730000000000002</v>
      </c>
      <c r="J30" s="59">
        <v>5.6449999999999996</v>
      </c>
      <c r="K30" s="59">
        <v>5.6609999999999996</v>
      </c>
      <c r="L30" s="59">
        <v>6.05</v>
      </c>
      <c r="M30" s="59">
        <v>5.1529999999999996</v>
      </c>
      <c r="N30" s="59">
        <v>4.0670000000000002</v>
      </c>
      <c r="O30" s="59">
        <v>4.1589999999999998</v>
      </c>
      <c r="P30" s="59">
        <v>3.8650000000000002</v>
      </c>
      <c r="Q30" s="59">
        <v>3.4390000000000001</v>
      </c>
    </row>
    <row r="31" spans="1:17" x14ac:dyDescent="0.2">
      <c r="A31" s="59" t="s">
        <v>133</v>
      </c>
      <c r="B31" s="59" t="s">
        <v>16</v>
      </c>
      <c r="C31" s="59" t="str">
        <f>IF(IFERROR(INDEX('2020'!$E$5:$E$73,MATCH(B31,'2020'!$A$5:$A$73,0)),0)=0,"N/A",INDEX('2020'!$E$5:$E$73,MATCH(B31,'2020'!$A$5:$A$73,0)))</f>
        <v>N/A</v>
      </c>
      <c r="D31" s="59" t="str">
        <f>IF(IFERROR(INDEX('2019'!$E$5:$E$73,MATCH(B31,'2019'!$A$5:$A$73,0)),0)=0,"N/A",INDEX('2019'!$E$5:$E$73,MATCH(B31,'2019'!$A$5:$A$73,0)))</f>
        <v>N/A</v>
      </c>
      <c r="E31" s="59" t="str">
        <f>IF(IFERROR(INDEX('2018'!$E$5:$E$73,MATCH(B31,'2018'!$A$5:$A$73,0)),0)=0,"N/A",INDEX('2018'!$E$5:$E$73,MATCH(B31,'2018'!$A$5:$A$73,0)))</f>
        <v>N/A</v>
      </c>
      <c r="F31" s="59" t="str">
        <f>IF(IFERROR(INDEX('2017'!$E$5:$E$73,MATCH(B31,'2017'!$A$5:$A$73,0)),0)=0,"N/A",INDEX('2017'!$E$5:$E$73,MATCH(B31,'2017'!$A$5:$A$73,0)))</f>
        <v>N/A</v>
      </c>
      <c r="G31" s="67" t="str">
        <f>IF(IFERROR(INDEX('2016'!$E$5:$E$73,MATCH(B31,'2016'!$A$5:$A$73,0)),0)=0,"N/A",INDEX('2016'!$E$5:$E$73,MATCH(B31,'2016'!$A$5:$A$73,0)))</f>
        <v>N/A</v>
      </c>
      <c r="H31" s="59">
        <v>3.3180000000000001</v>
      </c>
      <c r="I31" s="59">
        <v>3.4470000000000001</v>
      </c>
      <c r="J31" s="59">
        <v>3.14</v>
      </c>
      <c r="K31" s="59">
        <v>2.9860000000000002</v>
      </c>
      <c r="L31" s="59">
        <v>3.2090000000000001</v>
      </c>
      <c r="M31" s="59">
        <v>2.8490000000000002</v>
      </c>
      <c r="N31" s="59">
        <v>2.7170000000000001</v>
      </c>
      <c r="O31" s="59">
        <v>2.907</v>
      </c>
      <c r="P31" s="59">
        <v>2.6930000000000001</v>
      </c>
      <c r="Q31" s="59">
        <v>2.7480000000000002</v>
      </c>
    </row>
    <row r="32" spans="1:17" x14ac:dyDescent="0.2">
      <c r="A32" s="59" t="s">
        <v>134</v>
      </c>
      <c r="B32" s="59" t="s">
        <v>17</v>
      </c>
      <c r="C32" s="59">
        <f>IF(IFERROR(INDEX('2020'!$E$5:$E$73,MATCH(B32,'2020'!$A$5:$A$73,0)),0)=0,"N/A",INDEX('2020'!$E$5:$E$73,MATCH(B32,'2020'!$A$5:$A$73,0)))</f>
        <v>18.207999999999998</v>
      </c>
      <c r="D32" s="59">
        <f>IF(IFERROR(INDEX('2019'!$E$5:$E$73,MATCH(B32,'2019'!$A$5:$A$73,0)),0)=0,"N/A",INDEX('2019'!$E$5:$E$73,MATCH(B32,'2019'!$A$5:$A$73,0)))</f>
        <v>17.190999999999999</v>
      </c>
      <c r="E32" s="59">
        <f>IF(IFERROR(INDEX('2018'!$E$5:$E$73,MATCH(B32,'2018'!$A$5:$A$73,0)),0)=0,"N/A",INDEX('2018'!$E$5:$E$73,MATCH(B32,'2018'!$A$5:$A$73,0)))</f>
        <v>16.495999999999999</v>
      </c>
      <c r="F32" s="59">
        <f>IF(IFERROR(INDEX('2017'!$E$5:$E$73,MATCH(B32,'2017'!$A$5:$A$73,0)),0)=0,"N/A",INDEX('2017'!$E$5:$E$73,MATCH(B32,'2017'!$A$5:$A$73,0)))</f>
        <v>16.704999999999998</v>
      </c>
      <c r="G32" s="67">
        <f>IF(IFERROR(INDEX('2016'!$E$5:$E$73,MATCH(B32,'2016'!$A$5:$A$73,0)),0)=0,"N/A",INDEX('2016'!$E$5:$E$73,MATCH(B32,'2016'!$A$5:$A$73,0)))</f>
        <v>18.724</v>
      </c>
      <c r="H32" s="59">
        <v>17.706</v>
      </c>
      <c r="I32" s="59">
        <v>17.675999999999998</v>
      </c>
      <c r="J32" s="59">
        <v>16.245999999999999</v>
      </c>
      <c r="K32" s="59">
        <v>15.978999999999999</v>
      </c>
      <c r="L32" s="59">
        <v>17.532</v>
      </c>
      <c r="M32" s="59">
        <v>16.535</v>
      </c>
      <c r="N32" s="59">
        <v>13.288</v>
      </c>
      <c r="O32" s="59">
        <v>12.89</v>
      </c>
      <c r="P32" s="59">
        <v>11.731999999999999</v>
      </c>
      <c r="Q32" s="59">
        <v>10.693</v>
      </c>
    </row>
    <row r="33" spans="1:17" x14ac:dyDescent="0.2">
      <c r="A33" s="59" t="s">
        <v>210</v>
      </c>
      <c r="B33" s="59" t="s">
        <v>211</v>
      </c>
      <c r="C33" s="59">
        <f>IF(IFERROR(INDEX('2020'!$E$5:$E$73,MATCH(B33,'2020'!$A$5:$A$73,0)),0)=0,"N/A",INDEX('2020'!$E$5:$E$73,MATCH(B33,'2020'!$A$5:$A$73,0)))</f>
        <v>6.8940000000000001</v>
      </c>
      <c r="D33" s="59">
        <f>IF(IFERROR(INDEX('2019'!$E$5:$E$73,MATCH(B33,'2019'!$A$5:$A$73,0)),0)=0,"N/A",INDEX('2019'!$E$5:$E$73,MATCH(B33,'2019'!$A$5:$A$73,0)))</f>
        <v>6.6509999999999998</v>
      </c>
      <c r="E33" s="59">
        <f>IF(IFERROR(INDEX('2018'!$E$5:$E$73,MATCH(B33,'2018'!$A$5:$A$73,0)),0)=0,"N/A",INDEX('2018'!$E$5:$E$73,MATCH(B33,'2018'!$A$5:$A$73,0)))</f>
        <v>6.6429999999999998</v>
      </c>
      <c r="F33" s="59">
        <f>IF(IFERROR(INDEX('2017'!$E$5:$E$73,MATCH(B33,'2017'!$A$5:$A$73,0)),0)=0,"N/A",INDEX('2017'!$E$5:$E$73,MATCH(B33,'2017'!$A$5:$A$73,0)))</f>
        <v>5.8440000000000003</v>
      </c>
      <c r="G33" s="67">
        <f>IF(IFERROR(INDEX('2016'!$E$5:$E$73,MATCH(B33,'2016'!$A$5:$A$73,0)),0)=0,"N/A",INDEX('2016'!$E$5:$E$73,MATCH(B33,'2016'!$A$5:$A$73,0)))</f>
        <v>5.4580000000000002</v>
      </c>
      <c r="H33" s="59">
        <v>4.9390000000000001</v>
      </c>
      <c r="I33" s="59">
        <v>4.5579999999999998</v>
      </c>
      <c r="J33" s="59">
        <v>5.22</v>
      </c>
      <c r="K33" s="59">
        <v>4.0339999999999998</v>
      </c>
      <c r="L33" s="59">
        <v>4.8760000000000003</v>
      </c>
      <c r="M33" s="59">
        <v>5.6760000000000002</v>
      </c>
      <c r="N33" s="59">
        <v>4.9589999999999996</v>
      </c>
      <c r="O33" s="59">
        <v>6.1630000000000003</v>
      </c>
      <c r="P33" s="59">
        <v>4.82</v>
      </c>
      <c r="Q33" s="59">
        <v>3.6890000000000001</v>
      </c>
    </row>
    <row r="34" spans="1:17" x14ac:dyDescent="0.2">
      <c r="A34" s="59" t="s">
        <v>135</v>
      </c>
      <c r="B34" s="59" t="s">
        <v>18</v>
      </c>
      <c r="C34" s="59">
        <f>IF(IFERROR(INDEX('2020'!$E$5:$E$73,MATCH(B34,'2020'!$A$5:$A$73,0)),0)=0,"N/A",INDEX('2020'!$E$5:$E$73,MATCH(B34,'2020'!$A$5:$A$73,0)))</f>
        <v>9.0190000000000001</v>
      </c>
      <c r="D34" s="59">
        <f>IF(IFERROR(INDEX('2019'!$E$5:$E$73,MATCH(B34,'2019'!$A$5:$A$73,0)),0)=0,"N/A",INDEX('2019'!$E$5:$E$73,MATCH(B34,'2019'!$A$5:$A$73,0)))</f>
        <v>8.9580000000000002</v>
      </c>
      <c r="E34" s="59">
        <f>IF(IFERROR(INDEX('2018'!$E$5:$E$73,MATCH(B34,'2018'!$A$5:$A$73,0)),0)=0,"N/A",INDEX('2018'!$E$5:$E$73,MATCH(B34,'2018'!$A$5:$A$73,0)))</f>
        <v>8.2430000000000003</v>
      </c>
      <c r="F34" s="59">
        <f>IF(IFERROR(INDEX('2017'!$E$5:$E$73,MATCH(B34,'2017'!$A$5:$A$73,0)),0)=0,"N/A",INDEX('2017'!$E$5:$E$73,MATCH(B34,'2017'!$A$5:$A$73,0)))</f>
        <v>8.3699999999999992</v>
      </c>
      <c r="G34" s="67">
        <f>IF(IFERROR(INDEX('2016'!$E$5:$E$73,MATCH(B34,'2016'!$A$5:$A$73,0)),0)=0,"N/A",INDEX('2016'!$E$5:$E$73,MATCH(B34,'2016'!$A$5:$A$73,0)))</f>
        <v>7.0049999999999999</v>
      </c>
      <c r="H34" s="59">
        <v>6.8010000000000002</v>
      </c>
      <c r="I34" s="59">
        <v>6.6070000000000002</v>
      </c>
      <c r="J34" s="59">
        <v>6.7249999999999996</v>
      </c>
      <c r="K34" s="59">
        <v>6.6059999999999999</v>
      </c>
      <c r="L34" s="59">
        <v>7.234</v>
      </c>
      <c r="M34" s="59">
        <v>8.3190000000000008</v>
      </c>
      <c r="N34" s="59">
        <v>8.2469999999999999</v>
      </c>
      <c r="O34" s="59">
        <v>7.6349999999999998</v>
      </c>
      <c r="P34" s="59">
        <v>7.4279999999999999</v>
      </c>
      <c r="Q34" s="59">
        <v>6.7149999999999999</v>
      </c>
    </row>
    <row r="35" spans="1:17" x14ac:dyDescent="0.2">
      <c r="A35" s="59" t="s">
        <v>136</v>
      </c>
      <c r="B35" s="59" t="s">
        <v>19</v>
      </c>
      <c r="C35" s="59">
        <f>IF(IFERROR(INDEX('2020'!$E$5:$E$73,MATCH(B35,'2020'!$A$5:$A$73,0)),0)=0,"N/A",INDEX('2020'!$E$5:$E$73,MATCH(B35,'2020'!$A$5:$A$73,0)))</f>
        <v>4.0540000000000003</v>
      </c>
      <c r="D35" s="59">
        <f>IF(IFERROR(INDEX('2019'!$E$5:$E$73,MATCH(B35,'2019'!$A$5:$A$73,0)),0)=0,"N/A",INDEX('2019'!$E$5:$E$73,MATCH(B35,'2019'!$A$5:$A$73,0)))</f>
        <v>3.9430000000000001</v>
      </c>
      <c r="E35" s="59">
        <f>IF(IFERROR(INDEX('2018'!$E$5:$E$73,MATCH(B35,'2018'!$A$5:$A$73,0)),0)=0,"N/A",INDEX('2018'!$E$5:$E$73,MATCH(B35,'2018'!$A$5:$A$73,0)))</f>
        <v>3.9830000000000001</v>
      </c>
      <c r="F35" s="59">
        <f>IF(IFERROR(INDEX('2017'!$E$5:$E$73,MATCH(B35,'2017'!$A$5:$A$73,0)),0)=0,"N/A",INDEX('2017'!$E$5:$E$73,MATCH(B35,'2017'!$A$5:$A$73,0)))</f>
        <v>6.5410000000000004</v>
      </c>
      <c r="G35" s="67">
        <f>IF(IFERROR(INDEX('2016'!$E$5:$E$73,MATCH(B35,'2016'!$A$5:$A$73,0)),0)=0,"N/A",INDEX('2016'!$E$5:$E$73,MATCH(B35,'2016'!$A$5:$A$73,0)))</f>
        <v>6.5309999999999997</v>
      </c>
      <c r="H35" s="59">
        <v>6.327</v>
      </c>
      <c r="I35" s="59">
        <v>4.55</v>
      </c>
      <c r="J35" s="59">
        <v>6.3019999999999996</v>
      </c>
      <c r="K35" s="59">
        <v>6.0540000000000003</v>
      </c>
      <c r="L35" s="59">
        <v>5.7460000000000004</v>
      </c>
      <c r="M35" s="59">
        <v>8.5030000000000001</v>
      </c>
      <c r="N35" s="59">
        <v>8.798</v>
      </c>
      <c r="O35" s="59">
        <v>9.0410000000000004</v>
      </c>
      <c r="P35" s="59">
        <v>8.3420000000000005</v>
      </c>
      <c r="Q35" s="59">
        <v>7.2210000000000001</v>
      </c>
    </row>
    <row r="36" spans="1:17" x14ac:dyDescent="0.2">
      <c r="A36" s="59" t="s">
        <v>265</v>
      </c>
      <c r="B36" s="59" t="s">
        <v>266</v>
      </c>
      <c r="C36" s="59">
        <f>IF(IFERROR(INDEX('2020'!$E$5:$E$73,MATCH(B36,'2020'!$A$5:$A$73,0)),0)=0,"N/A",INDEX('2020'!$E$5:$E$73,MATCH(B36,'2020'!$A$5:$A$73,0)))</f>
        <v>5.649</v>
      </c>
      <c r="D36" s="59">
        <f>IF(IFERROR(INDEX('2019'!$E$5:$E$73,MATCH(B36,'2019'!$A$5:$A$73,0)),0)=0,"N/A",INDEX('2019'!$E$5:$E$73,MATCH(B36,'2019'!$A$5:$A$73,0)))</f>
        <v>5.4409999999999998</v>
      </c>
      <c r="E36" s="59">
        <f>IF(IFERROR(INDEX('2018'!$E$5:$E$73,MATCH(B36,'2018'!$A$5:$A$73,0)),0)=0,"N/A",INDEX('2018'!$E$5:$E$73,MATCH(B36,'2018'!$A$5:$A$73,0)))</f>
        <v>5.3979999999999997</v>
      </c>
      <c r="F36" s="59">
        <f>IF(IFERROR(INDEX('2017'!$E$5:$E$73,MATCH(B36,'2017'!$A$5:$A$73,0)),0)=0,"N/A",INDEX('2017'!$E$5:$E$73,MATCH(B36,'2017'!$A$5:$A$73,0)))</f>
        <v>5.4329999999999998</v>
      </c>
      <c r="G36" s="67">
        <f>IF(IFERROR(INDEX('2016'!$E$5:$E$73,MATCH(B36,'2016'!$A$5:$A$73,0)),0)=0,"N/A",INDEX('2016'!$E$5:$E$73,MATCH(B36,'2016'!$A$5:$A$73,0)))</f>
        <v>3.9049999999999998</v>
      </c>
      <c r="H36" s="59">
        <v>5.2140000000000004</v>
      </c>
      <c r="I36" s="59">
        <v>3.6230000000000002</v>
      </c>
      <c r="J36" s="59">
        <v>4.1050000000000004</v>
      </c>
      <c r="K36" s="59">
        <v>4.1029999999999998</v>
      </c>
      <c r="L36" s="59">
        <v>3.903</v>
      </c>
      <c r="M36" s="59">
        <v>3.9849999999999999</v>
      </c>
      <c r="N36" s="59">
        <v>3.6549999999999998</v>
      </c>
      <c r="O36" s="59">
        <v>3.5049999999999999</v>
      </c>
      <c r="P36" s="59">
        <v>2.9630000000000001</v>
      </c>
      <c r="Q36" s="59">
        <v>3.0449999999999999</v>
      </c>
    </row>
    <row r="37" spans="1:17" x14ac:dyDescent="0.2">
      <c r="A37" s="59" t="s">
        <v>185</v>
      </c>
      <c r="B37" s="59" t="s">
        <v>186</v>
      </c>
      <c r="C37" s="59" t="str">
        <f>IF(IFERROR(INDEX('2020'!$E$5:$E$73,MATCH(B37,'2020'!$A$5:$A$73,0)),0)=0,"N/A",INDEX('2020'!$E$5:$E$73,MATCH(B37,'2020'!$A$5:$A$73,0)))</f>
        <v>N/A</v>
      </c>
      <c r="D37" s="59" t="str">
        <f>IF(IFERROR(INDEX('2019'!$E$5:$E$73,MATCH(B37,'2019'!$A$5:$A$73,0)),0)=0,"N/A",INDEX('2019'!$E$5:$E$73,MATCH(B37,'2019'!$A$5:$A$73,0)))</f>
        <v>N/A</v>
      </c>
      <c r="E37" s="59" t="str">
        <f>IF(IFERROR(INDEX('2018'!$E$5:$E$73,MATCH(B37,'2018'!$A$5:$A$73,0)),0)=0,"N/A",INDEX('2018'!$E$5:$E$73,MATCH(B37,'2018'!$A$5:$A$73,0)))</f>
        <v>N/A</v>
      </c>
      <c r="F37" s="59" t="str">
        <f>IF(IFERROR(INDEX('2017'!$E$5:$E$73,MATCH(B37,'2017'!$A$5:$A$73,0)),0)=0,"N/A",INDEX('2017'!$E$5:$E$73,MATCH(B37,'2017'!$A$5:$A$73,0)))</f>
        <v>N/A</v>
      </c>
      <c r="G37" s="67">
        <f>IF(IFERROR(INDEX('2016'!$E$5:$E$73,MATCH(B37,'2016'!$A$5:$A$73,0)),0)=0,"N/A",INDEX('2016'!$E$5:$E$73,MATCH(B37,'2016'!$A$5:$A$73,0)))</f>
        <v>0.81399999999999995</v>
      </c>
      <c r="H37" s="59">
        <v>0.86299999999999999</v>
      </c>
      <c r="I37" s="59">
        <v>0.88800000000000001</v>
      </c>
      <c r="J37" s="59">
        <v>1.2769999999999999</v>
      </c>
      <c r="K37" s="59">
        <v>1.1000000000000001</v>
      </c>
      <c r="L37" s="59">
        <v>1.224</v>
      </c>
      <c r="M37" s="59">
        <v>1.2170000000000001</v>
      </c>
      <c r="N37" s="59">
        <v>2.0710000000000002</v>
      </c>
      <c r="O37" s="59">
        <v>1.19</v>
      </c>
      <c r="P37" s="59">
        <v>0.92100000000000004</v>
      </c>
      <c r="Q37" s="59">
        <v>1.0229999999999999</v>
      </c>
    </row>
    <row r="38" spans="1:17" x14ac:dyDescent="0.2">
      <c r="A38" s="59" t="s">
        <v>137</v>
      </c>
      <c r="B38" s="59" t="s">
        <v>20</v>
      </c>
      <c r="C38" s="59" t="str">
        <f>IF(IFERROR(INDEX('2020'!$E$5:$E$73,MATCH(B38,'2020'!$A$5:$A$73,0)),0)=0,"N/A",INDEX('2020'!$E$5:$E$73,MATCH(B38,'2020'!$A$5:$A$73,0)))</f>
        <v>N/A</v>
      </c>
      <c r="D38" s="59" t="str">
        <f>IF(IFERROR(INDEX('2019'!$E$5:$E$73,MATCH(B38,'2019'!$A$5:$A$73,0)),0)=0,"N/A",INDEX('2019'!$E$5:$E$73,MATCH(B38,'2019'!$A$5:$A$73,0)))</f>
        <v>N/A</v>
      </c>
      <c r="E38" s="59" t="str">
        <f>IF(IFERROR(INDEX('2018'!$E$5:$E$73,MATCH(B38,'2018'!$A$5:$A$73,0)),0)=0,"N/A",INDEX('2018'!$E$5:$E$73,MATCH(B38,'2018'!$A$5:$A$73,0)))</f>
        <v>N/A</v>
      </c>
      <c r="F38" s="59">
        <f>IF(IFERROR(INDEX('2017'!$E$5:$E$73,MATCH(B38,'2017'!$A$5:$A$73,0)),0)=0,"N/A",INDEX('2017'!$E$5:$E$73,MATCH(B38,'2017'!$A$5:$A$73,0)))</f>
        <v>2.1</v>
      </c>
      <c r="G38" s="67">
        <f>IF(IFERROR(INDEX('2016'!$E$5:$E$73,MATCH(B38,'2016'!$A$5:$A$73,0)),0)=0,"N/A",INDEX('2016'!$E$5:$E$73,MATCH(B38,'2016'!$A$5:$A$73,0)))</f>
        <v>3.355</v>
      </c>
      <c r="H38" s="59">
        <v>3.9820000000000002</v>
      </c>
      <c r="I38" s="59">
        <v>4.0090000000000003</v>
      </c>
      <c r="J38" s="59">
        <v>4.0090000000000003</v>
      </c>
      <c r="K38" s="59">
        <v>3.4449999999999998</v>
      </c>
      <c r="L38" s="59">
        <v>3.51</v>
      </c>
      <c r="M38" s="59">
        <v>4.12</v>
      </c>
      <c r="N38" s="59">
        <v>3.2650000000000001</v>
      </c>
      <c r="O38" s="59">
        <v>3.093</v>
      </c>
      <c r="P38" s="59">
        <v>4.24</v>
      </c>
      <c r="Q38" s="59">
        <v>3.86</v>
      </c>
    </row>
    <row r="39" spans="1:17" x14ac:dyDescent="0.2">
      <c r="A39" s="59" t="s">
        <v>138</v>
      </c>
      <c r="B39" s="59" t="s">
        <v>21</v>
      </c>
      <c r="C39" s="59">
        <f>IF(IFERROR(INDEX('2020'!$E$5:$E$73,MATCH(B39,'2020'!$A$5:$A$73,0)),0)=0,"N/A",INDEX('2020'!$E$5:$E$73,MATCH(B39,'2020'!$A$5:$A$73,0)))</f>
        <v>4.4749999999999996</v>
      </c>
      <c r="D39" s="59">
        <f>IF(IFERROR(INDEX('2019'!$E$5:$E$73,MATCH(B39,'2019'!$A$5:$A$73,0)),0)=0,"N/A",INDEX('2019'!$E$5:$E$73,MATCH(B39,'2019'!$A$5:$A$73,0)))</f>
        <v>4.5519999999999996</v>
      </c>
      <c r="E39" s="59">
        <f>IF(IFERROR(INDEX('2018'!$E$5:$E$73,MATCH(B39,'2018'!$A$5:$A$73,0)),0)=0,"N/A",INDEX('2018'!$E$5:$E$73,MATCH(B39,'2018'!$A$5:$A$73,0)))</f>
        <v>4.2009999999999996</v>
      </c>
      <c r="F39" s="59">
        <f>IF(IFERROR(INDEX('2017'!$E$5:$E$73,MATCH(B39,'2017'!$A$5:$A$73,0)),0)=0,"N/A",INDEX('2017'!$E$5:$E$73,MATCH(B39,'2017'!$A$5:$A$73,0)))</f>
        <v>3.6829999999999998</v>
      </c>
      <c r="G39" s="67">
        <f>IF(IFERROR(INDEX('2016'!$E$5:$E$73,MATCH(B39,'2016'!$A$5:$A$73,0)),0)=0,"N/A",INDEX('2016'!$E$5:$E$73,MATCH(B39,'2016'!$A$5:$A$73,0)))</f>
        <v>4.1719999999999997</v>
      </c>
      <c r="H39" s="59">
        <v>3.3079999999999998</v>
      </c>
      <c r="I39" s="59">
        <v>3.4079999999999999</v>
      </c>
      <c r="J39" s="59">
        <v>3.222</v>
      </c>
      <c r="K39" s="59">
        <v>3.282</v>
      </c>
      <c r="L39" s="59">
        <v>3.1829999999999998</v>
      </c>
      <c r="M39" s="59">
        <v>2.88</v>
      </c>
      <c r="N39" s="59">
        <v>2.5910000000000002</v>
      </c>
      <c r="O39" s="59">
        <v>2.722</v>
      </c>
      <c r="P39" s="59">
        <v>3.0139999999999998</v>
      </c>
      <c r="Q39" s="59">
        <v>3.1909999999999998</v>
      </c>
    </row>
    <row r="40" spans="1:17" x14ac:dyDescent="0.2">
      <c r="A40" s="59" t="s">
        <v>216</v>
      </c>
      <c r="B40" s="59" t="s">
        <v>22</v>
      </c>
      <c r="C40" s="59">
        <f>IF(IFERROR(INDEX('2020'!$E$5:$E$73,MATCH(B40,'2020'!$A$5:$A$73,0)),0)=0,"N/A",INDEX('2020'!$E$5:$E$73,MATCH(B40,'2020'!$A$5:$A$73,0)))</f>
        <v>8.1910000000000007</v>
      </c>
      <c r="D40" s="59">
        <f>IF(IFERROR(INDEX('2019'!$E$5:$E$73,MATCH(B40,'2019'!$A$5:$A$73,0)),0)=0,"N/A",INDEX('2019'!$E$5:$E$73,MATCH(B40,'2019'!$A$5:$A$73,0)))</f>
        <v>8.0649999999999995</v>
      </c>
      <c r="E40" s="59">
        <f>IF(IFERROR(INDEX('2018'!$E$5:$E$73,MATCH(B40,'2018'!$A$5:$A$73,0)),0)=0,"N/A",INDEX('2018'!$E$5:$E$73,MATCH(B40,'2018'!$A$5:$A$73,0)))</f>
        <v>7.8520000000000003</v>
      </c>
      <c r="F40" s="59">
        <f>IF(IFERROR(INDEX('2017'!$E$5:$E$73,MATCH(B40,'2017'!$A$5:$A$73,0)),0)=0,"N/A",INDEX('2017'!$E$5:$E$73,MATCH(B40,'2017'!$A$5:$A$73,0)))</f>
        <v>7.5039999999999996</v>
      </c>
      <c r="G40" s="67">
        <f>IF(IFERROR(INDEX('2016'!$E$5:$E$73,MATCH(B40,'2016'!$A$5:$A$73,0)),0)=0,"N/A",INDEX('2016'!$E$5:$E$73,MATCH(B40,'2016'!$A$5:$A$73,0)))</f>
        <v>6.8570000000000002</v>
      </c>
      <c r="H40" s="59">
        <v>6.7</v>
      </c>
      <c r="I40" s="59">
        <v>6.5759999999999996</v>
      </c>
      <c r="J40" s="59">
        <v>6.2949999999999999</v>
      </c>
      <c r="K40" s="59">
        <v>5.9320000000000004</v>
      </c>
      <c r="L40" s="59">
        <v>5.8360000000000003</v>
      </c>
      <c r="M40" s="59">
        <v>5.35</v>
      </c>
      <c r="N40" s="59">
        <v>5.0730000000000004</v>
      </c>
      <c r="O40" s="59">
        <v>4.2729999999999997</v>
      </c>
      <c r="P40" s="59">
        <v>4.1130000000000004</v>
      </c>
      <c r="Q40" s="59">
        <v>4.5819999999999999</v>
      </c>
    </row>
    <row r="41" spans="1:17" x14ac:dyDescent="0.2">
      <c r="A41" s="59" t="s">
        <v>139</v>
      </c>
      <c r="B41" s="59" t="s">
        <v>25</v>
      </c>
      <c r="C41" s="59">
        <f>IF(IFERROR(INDEX('2020'!$E$5:$E$73,MATCH(B41,'2020'!$A$5:$A$73,0)),0)=0,"N/A",INDEX('2020'!$E$5:$E$73,MATCH(B41,'2020'!$A$5:$A$73,0)))</f>
        <v>4.6070000000000002</v>
      </c>
      <c r="D41" s="59">
        <f>IF(IFERROR(INDEX('2019'!$E$5:$E$73,MATCH(B41,'2019'!$A$5:$A$73,0)),0)=0,"N/A",INDEX('2019'!$E$5:$E$73,MATCH(B41,'2019'!$A$5:$A$73,0)))</f>
        <v>4.57</v>
      </c>
      <c r="E41" s="59">
        <f>IF(IFERROR(INDEX('2018'!$E$5:$E$73,MATCH(B41,'2018'!$A$5:$A$73,0)),0)=0,"N/A",INDEX('2018'!$E$5:$E$73,MATCH(B41,'2018'!$A$5:$A$73,0)))</f>
        <v>4.0570000000000004</v>
      </c>
      <c r="F41" s="59">
        <f>IF(IFERROR(INDEX('2017'!$E$5:$E$73,MATCH(B41,'2017'!$A$5:$A$73,0)),0)=0,"N/A",INDEX('2017'!$E$5:$E$73,MATCH(B41,'2017'!$A$5:$A$73,0)))</f>
        <v>3.726</v>
      </c>
      <c r="G41" s="67">
        <f>IF(IFERROR(INDEX('2016'!$E$5:$E$73,MATCH(B41,'2016'!$A$5:$A$73,0)),0)=0,"N/A",INDEX('2016'!$E$5:$E$73,MATCH(B41,'2016'!$A$5:$A$73,0)))</f>
        <v>3.4670000000000001</v>
      </c>
      <c r="H41" s="59">
        <v>3.3340000000000001</v>
      </c>
      <c r="I41" s="59">
        <v>3.4910000000000001</v>
      </c>
      <c r="J41" s="59">
        <v>3.2810000000000001</v>
      </c>
      <c r="K41" s="59">
        <v>2.9750000000000001</v>
      </c>
      <c r="L41" s="59">
        <v>2.9380000000000002</v>
      </c>
      <c r="M41" s="59">
        <v>2.7589999999999999</v>
      </c>
      <c r="N41" s="59">
        <v>2.6560000000000001</v>
      </c>
      <c r="O41" s="59">
        <v>2.6789999999999998</v>
      </c>
      <c r="P41" s="59">
        <v>2.4609999999999999</v>
      </c>
      <c r="Q41" s="59">
        <v>2.3439999999999999</v>
      </c>
    </row>
    <row r="42" spans="1:17" x14ac:dyDescent="0.2">
      <c r="A42" s="59" t="s">
        <v>187</v>
      </c>
      <c r="B42" s="59" t="s">
        <v>188</v>
      </c>
      <c r="C42" s="59">
        <f>IF(IFERROR(INDEX('2020'!$E$5:$E$73,MATCH(B42,'2020'!$A$5:$A$73,0)),0)=0,"N/A",INDEX('2020'!$E$5:$E$73,MATCH(B42,'2020'!$A$5:$A$73,0)))</f>
        <v>3.2490000000000001</v>
      </c>
      <c r="D42" s="59">
        <f>IF(IFERROR(INDEX('2019'!$E$5:$E$73,MATCH(B42,'2019'!$A$5:$A$73,0)),0)=0,"N/A",INDEX('2019'!$E$5:$E$73,MATCH(B42,'2019'!$A$5:$A$73,0)))</f>
        <v>2.895</v>
      </c>
      <c r="E42" s="59">
        <f>IF(IFERROR(INDEX('2018'!$E$5:$E$73,MATCH(B42,'2018'!$A$5:$A$73,0)),0)=0,"N/A",INDEX('2018'!$E$5:$E$73,MATCH(B42,'2018'!$A$5:$A$73,0)))</f>
        <v>2.8860000000000001</v>
      </c>
      <c r="F42" s="59">
        <f>IF(IFERROR(INDEX('2017'!$E$5:$E$73,MATCH(B42,'2017'!$A$5:$A$73,0)),0)=0,"N/A",INDEX('2017'!$E$5:$E$73,MATCH(B42,'2017'!$A$5:$A$73,0)))</f>
        <v>2.2370000000000001</v>
      </c>
      <c r="G42" s="67">
        <f>IF(IFERROR(INDEX('2016'!$E$5:$E$73,MATCH(B42,'2016'!$A$5:$A$73,0)),0)=0,"N/A",INDEX('2016'!$E$5:$E$73,MATCH(B42,'2016'!$A$5:$A$73,0)))</f>
        <v>2.1720000000000002</v>
      </c>
      <c r="H42" s="59">
        <v>1.968</v>
      </c>
      <c r="I42" s="59">
        <v>1.8440000000000001</v>
      </c>
      <c r="J42" s="59">
        <v>1.718</v>
      </c>
      <c r="K42" s="59">
        <v>1.5549999999999999</v>
      </c>
      <c r="L42" s="59">
        <v>1.464</v>
      </c>
      <c r="M42" s="59">
        <v>1.5469999999999999</v>
      </c>
      <c r="N42" s="59">
        <v>1.4039999999999999</v>
      </c>
      <c r="O42" s="59">
        <v>1.5309999999999999</v>
      </c>
      <c r="P42" s="59">
        <v>1.4930000000000001</v>
      </c>
      <c r="Q42" s="59">
        <v>1.333</v>
      </c>
    </row>
    <row r="43" spans="1:17" x14ac:dyDescent="0.2">
      <c r="A43" s="59" t="s">
        <v>189</v>
      </c>
      <c r="B43" s="59" t="s">
        <v>190</v>
      </c>
      <c r="C43" s="59">
        <f>IF(IFERROR(INDEX('2020'!$E$5:$E$73,MATCH(B43,'2020'!$A$5:$A$73,0)),0)=0,"N/A",INDEX('2020'!$E$5:$E$73,MATCH(B43,'2020'!$A$5:$A$73,0)))</f>
        <v>3.3</v>
      </c>
      <c r="D43" s="59">
        <f>IF(IFERROR(INDEX('2019'!$E$5:$E$73,MATCH(B43,'2019'!$A$5:$A$73,0)),0)=0,"N/A",INDEX('2019'!$E$5:$E$73,MATCH(B43,'2019'!$A$5:$A$73,0)))</f>
        <v>2.9849999999999999</v>
      </c>
      <c r="E43" s="59">
        <f>IF(IFERROR(INDEX('2018'!$E$5:$E$73,MATCH(B43,'2018'!$A$5:$A$73,0)),0)=0,"N/A",INDEX('2018'!$E$5:$E$73,MATCH(B43,'2018'!$A$5:$A$73,0)))</f>
        <v>3.72</v>
      </c>
      <c r="F43" s="59">
        <f>IF(IFERROR(INDEX('2017'!$E$5:$E$73,MATCH(B43,'2017'!$A$5:$A$73,0)),0)=0,"N/A",INDEX('2017'!$E$5:$E$73,MATCH(B43,'2017'!$A$5:$A$73,0)))</f>
        <v>2.6789999999999998</v>
      </c>
      <c r="G43" s="67">
        <f>IF(IFERROR(INDEX('2016'!$E$5:$E$73,MATCH(B43,'2016'!$A$5:$A$73,0)),0)=0,"N/A",INDEX('2016'!$E$5:$E$73,MATCH(B43,'2016'!$A$5:$A$73,0)))</f>
        <v>2.4550000000000001</v>
      </c>
      <c r="H43" s="59">
        <v>2.5249999999999999</v>
      </c>
      <c r="I43" s="59">
        <v>2.7269999999999999</v>
      </c>
      <c r="J43" s="59">
        <v>1.9330000000000001</v>
      </c>
      <c r="K43" s="59">
        <v>1.855</v>
      </c>
      <c r="L43" s="59">
        <v>1.7</v>
      </c>
      <c r="M43" s="59">
        <v>1.6279999999999999</v>
      </c>
      <c r="N43" s="59">
        <v>1.579</v>
      </c>
      <c r="O43" s="59">
        <v>1.8109999999999999</v>
      </c>
      <c r="P43" s="59">
        <v>1.22</v>
      </c>
      <c r="Q43" s="59">
        <v>1.367</v>
      </c>
    </row>
    <row r="44" spans="1:17" x14ac:dyDescent="0.2">
      <c r="A44" s="59" t="s">
        <v>140</v>
      </c>
      <c r="B44" s="59" t="s">
        <v>141</v>
      </c>
      <c r="C44" s="59">
        <f>IF(IFERROR(INDEX('2020'!$E$5:$E$73,MATCH(B44,'2020'!$A$5:$A$73,0)),0)=0,"N/A",INDEX('2020'!$E$5:$E$73,MATCH(B44,'2020'!$A$5:$A$73,0)))</f>
        <v>4.3070000000000004</v>
      </c>
      <c r="D44" s="59">
        <f>IF(IFERROR(INDEX('2019'!$E$5:$E$73,MATCH(B44,'2019'!$A$5:$A$73,0)),0)=0,"N/A",INDEX('2019'!$E$5:$E$73,MATCH(B44,'2019'!$A$5:$A$73,0)))</f>
        <v>4.2160000000000002</v>
      </c>
      <c r="E44" s="59">
        <v>3.84</v>
      </c>
      <c r="F44" s="59">
        <v>3.03</v>
      </c>
      <c r="G44" s="67">
        <v>3.24</v>
      </c>
      <c r="H44" s="59">
        <v>3.23</v>
      </c>
      <c r="I44" s="59">
        <v>3.03</v>
      </c>
      <c r="J44" s="59">
        <v>2.63</v>
      </c>
      <c r="K44" s="59">
        <v>2.17</v>
      </c>
      <c r="L44" s="59">
        <v>2.3199999999999998</v>
      </c>
      <c r="M44" s="59">
        <v>2.41</v>
      </c>
      <c r="N44" s="59">
        <v>2.19</v>
      </c>
      <c r="O44" s="59">
        <v>2.0099999999999998</v>
      </c>
      <c r="P44" s="59">
        <v>1.71</v>
      </c>
      <c r="Q44" s="59">
        <v>1.69</v>
      </c>
    </row>
    <row r="45" spans="1:17" x14ac:dyDescent="0.2">
      <c r="A45" s="59" t="s">
        <v>142</v>
      </c>
      <c r="B45" s="59" t="s">
        <v>26</v>
      </c>
      <c r="C45" s="59">
        <f>IF(IFERROR(INDEX('2020'!$E$5:$E$73,MATCH(B45,'2020'!$A$5:$A$73,0)),0)=0,"N/A",INDEX('2020'!$E$5:$E$73,MATCH(B45,'2020'!$A$5:$A$73,0)))</f>
        <v>3.1480000000000001</v>
      </c>
      <c r="D45" s="59">
        <f>IF(IFERROR(INDEX('2019'!$E$5:$E$73,MATCH(B45,'2019'!$A$5:$A$73,0)),0)=0,"N/A",INDEX('2019'!$E$5:$E$73,MATCH(B45,'2019'!$A$5:$A$73,0)))</f>
        <v>3.169</v>
      </c>
      <c r="E45" s="59">
        <f>IF(IFERROR(INDEX('2018'!$E$5:$E$73,MATCH(B45,'2018'!$A$5:$A$73,0)),0)=0,"N/A",INDEX('2018'!$E$5:$E$73,MATCH(B45,'2018'!$A$5:$A$73,0)))</f>
        <v>2.823</v>
      </c>
      <c r="F45" s="59">
        <f>IF(IFERROR(INDEX('2017'!$E$5:$E$73,MATCH(B45,'2017'!$A$5:$A$73,0)),0)=0,"N/A",INDEX('2017'!$E$5:$E$73,MATCH(B45,'2017'!$A$5:$A$73,0)))</f>
        <v>2.0739999999999998</v>
      </c>
      <c r="G45" s="67">
        <f>IF(IFERROR(INDEX('2016'!$E$5:$E$73,MATCH(B45,'2016'!$A$5:$A$73,0)),0)=0,"N/A",INDEX('2016'!$E$5:$E$73,MATCH(B45,'2016'!$A$5:$A$73,0)))</f>
        <v>2.7080000000000002</v>
      </c>
      <c r="H45" s="59">
        <v>2.266</v>
      </c>
      <c r="I45" s="59">
        <v>3.5950000000000002</v>
      </c>
      <c r="J45" s="59">
        <v>3.4049999999999998</v>
      </c>
      <c r="K45" s="59">
        <v>3.1339999999999999</v>
      </c>
      <c r="L45" s="59">
        <v>2.984</v>
      </c>
      <c r="M45" s="59">
        <v>3.19</v>
      </c>
      <c r="N45" s="59">
        <v>2.9630000000000001</v>
      </c>
      <c r="O45" s="59">
        <v>3.3180000000000001</v>
      </c>
      <c r="P45" s="59">
        <v>3.2040000000000002</v>
      </c>
      <c r="Q45" s="59">
        <v>3.181</v>
      </c>
    </row>
    <row r="46" spans="1:17" x14ac:dyDescent="0.2">
      <c r="A46" s="59" t="s">
        <v>191</v>
      </c>
      <c r="B46" s="59" t="s">
        <v>192</v>
      </c>
      <c r="C46" s="59">
        <f>IF(IFERROR(INDEX('2020'!$E$5:$E$73,MATCH(B46,'2020'!$A$5:$A$73,0)),0)=0,"N/A",INDEX('2020'!$E$5:$E$73,MATCH(B46,'2020'!$A$5:$A$73,0)))</f>
        <v>5.6870000000000003</v>
      </c>
      <c r="D46" s="59">
        <f>IF(IFERROR(INDEX('2019'!$E$5:$E$73,MATCH(B46,'2019'!$A$5:$A$73,0)),0)=0,"N/A",INDEX('2019'!$E$5:$E$73,MATCH(B46,'2019'!$A$5:$A$73,0)))</f>
        <v>5.1459999999999999</v>
      </c>
      <c r="E46" s="59">
        <f>IF(IFERROR(INDEX('2018'!$E$5:$E$73,MATCH(B46,'2018'!$A$5:$A$73,0)),0)=0,"N/A",INDEX('2018'!$E$5:$E$73,MATCH(B46,'2018'!$A$5:$A$73,0)))</f>
        <v>5.2789999999999999</v>
      </c>
      <c r="F46" s="59">
        <f>IF(IFERROR(INDEX('2017'!$E$5:$E$73,MATCH(B46,'2017'!$A$5:$A$73,0)),0)=0,"N/A",INDEX('2017'!$E$5:$E$73,MATCH(B46,'2017'!$A$5:$A$73,0)))</f>
        <v>1.042</v>
      </c>
      <c r="G46" s="67">
        <f>IF(IFERROR(INDEX('2016'!$E$5:$E$73,MATCH(B46,'2016'!$A$5:$A$73,0)),0)=0,"N/A",INDEX('2016'!$E$5:$E$73,MATCH(B46,'2016'!$A$5:$A$73,0)))</f>
        <v>4.931</v>
      </c>
      <c r="H46" s="59">
        <v>4.9089999999999998</v>
      </c>
      <c r="I46" s="59">
        <v>5.0540000000000003</v>
      </c>
      <c r="J46" s="59">
        <v>5.0389999999999997</v>
      </c>
      <c r="K46" s="59">
        <v>4.9359999999999999</v>
      </c>
      <c r="L46" s="59">
        <v>5.0049999999999999</v>
      </c>
      <c r="M46" s="59">
        <v>5.1849999999999996</v>
      </c>
      <c r="N46" s="59">
        <v>5.1989999999999998</v>
      </c>
      <c r="O46" s="59">
        <v>5.3070000000000004</v>
      </c>
      <c r="P46" s="59">
        <v>5.4089999999999998</v>
      </c>
      <c r="Q46" s="59">
        <v>4.76</v>
      </c>
    </row>
    <row r="47" spans="1:17" x14ac:dyDescent="0.2">
      <c r="A47" s="59" t="s">
        <v>143</v>
      </c>
      <c r="B47" s="59" t="s">
        <v>144</v>
      </c>
      <c r="C47" s="59">
        <f>IF(IFERROR(INDEX('2020'!$E$5:$E$73,MATCH(B47,'2020'!$A$5:$A$73,0)),0)=0,"N/A",INDEX('2020'!$E$5:$E$73,MATCH(B47,'2020'!$A$5:$A$73,0)))</f>
        <v>6.7169999999999996</v>
      </c>
      <c r="D47" s="59">
        <f>IF(IFERROR(INDEX('2019'!$E$5:$E$73,MATCH(B47,'2019'!$A$5:$A$73,0)),0)=0,"N/A",INDEX('2019'!$E$5:$E$73,MATCH(B47,'2019'!$A$5:$A$73,0)))</f>
        <v>7.0739999999999998</v>
      </c>
      <c r="E47" s="59">
        <f>IF(IFERROR(INDEX('2018'!$E$5:$E$73,MATCH(B47,'2018'!$A$5:$A$73,0)),0)=0,"N/A",INDEX('2018'!$E$5:$E$73,MATCH(B47,'2018'!$A$5:$A$73,0)))</f>
        <v>6.9589999999999996</v>
      </c>
      <c r="F47" s="59">
        <f>IF(IFERROR(INDEX('2017'!$E$5:$E$73,MATCH(B47,'2017'!$A$5:$A$73,0)),0)=0,"N/A",INDEX('2017'!$E$5:$E$73,MATCH(B47,'2017'!$A$5:$A$73,0)))</f>
        <v>6.7569999999999997</v>
      </c>
      <c r="G47" s="67">
        <f>IF(IFERROR(INDEX('2016'!$E$5:$E$73,MATCH(B47,'2016'!$A$5:$A$73,0)),0)=0,"N/A",INDEX('2016'!$E$5:$E$73,MATCH(B47,'2016'!$A$5:$A$73,0)))</f>
        <v>6.7370000000000001</v>
      </c>
      <c r="H47" s="59">
        <v>5.9240000000000004</v>
      </c>
      <c r="I47" s="59">
        <v>5.3879999999999999</v>
      </c>
      <c r="J47" s="59">
        <v>5.452</v>
      </c>
      <c r="K47" s="59">
        <v>5.1820000000000004</v>
      </c>
      <c r="L47" s="59">
        <v>5.4210000000000003</v>
      </c>
      <c r="M47" s="59">
        <v>4.7640000000000002</v>
      </c>
      <c r="N47" s="59">
        <v>4.6180000000000003</v>
      </c>
      <c r="O47" s="59">
        <v>4.4029999999999996</v>
      </c>
      <c r="P47" s="59">
        <v>3.7040000000000002</v>
      </c>
      <c r="Q47" s="59">
        <v>3.6190000000000002</v>
      </c>
    </row>
    <row r="48" spans="1:17" x14ac:dyDescent="0.2">
      <c r="A48" s="59" t="s">
        <v>145</v>
      </c>
      <c r="B48" s="59" t="s">
        <v>27</v>
      </c>
      <c r="C48" s="59">
        <f>IF(IFERROR(INDEX('2020'!$E$5:$E$73,MATCH(B48,'2020'!$A$5:$A$73,0)),0)=0,"N/A",INDEX('2020'!$E$5:$E$73,MATCH(B48,'2020'!$A$5:$A$73,0)))</f>
        <v>4.0339999999999998</v>
      </c>
      <c r="D48" s="59">
        <f>IF(IFERROR(INDEX('2019'!$E$5:$E$73,MATCH(B48,'2019'!$A$5:$A$73,0)),0)=0,"N/A",INDEX('2019'!$E$5:$E$73,MATCH(B48,'2019'!$A$5:$A$73,0)))</f>
        <v>4.0209999999999999</v>
      </c>
      <c r="E48" s="59">
        <f>IF(IFERROR(INDEX('2018'!$E$5:$E$73,MATCH(B48,'2018'!$A$5:$A$73,0)),0)=0,"N/A",INDEX('2018'!$E$5:$E$73,MATCH(B48,'2018'!$A$5:$A$73,0)))</f>
        <v>3.7410000000000001</v>
      </c>
      <c r="F48" s="59">
        <f>IF(IFERROR(INDEX('2017'!$E$5:$E$73,MATCH(B48,'2017'!$A$5:$A$73,0)),0)=0,"N/A",INDEX('2017'!$E$5:$E$73,MATCH(B48,'2017'!$A$5:$A$73,0)))</f>
        <v>3.3439999999999999</v>
      </c>
      <c r="G48" s="67">
        <f>IF(IFERROR(INDEX('2016'!$E$5:$E$73,MATCH(B48,'2016'!$A$5:$A$73,0)),0)=0,"N/A",INDEX('2016'!$E$5:$E$73,MATCH(B48,'2016'!$A$5:$A$73,0)))</f>
        <v>3.3090000000000002</v>
      </c>
      <c r="H48" s="59">
        <v>3.2320000000000002</v>
      </c>
      <c r="I48" s="59">
        <v>3.3959999999999999</v>
      </c>
      <c r="J48" s="59">
        <v>3.4569999999999999</v>
      </c>
      <c r="K48" s="59">
        <v>3.6930000000000001</v>
      </c>
      <c r="L48" s="59">
        <v>3.3130000000000002</v>
      </c>
      <c r="M48" s="59">
        <v>3.0110000000000001</v>
      </c>
      <c r="N48" s="59">
        <v>2.6850000000000001</v>
      </c>
      <c r="O48" s="59">
        <v>2.4009999999999998</v>
      </c>
      <c r="P48" s="59">
        <v>2.3940000000000001</v>
      </c>
      <c r="Q48" s="59">
        <v>2.234</v>
      </c>
    </row>
    <row r="49" spans="1:17" x14ac:dyDescent="0.2">
      <c r="A49" s="59" t="s">
        <v>348</v>
      </c>
      <c r="B49" s="59" t="s">
        <v>345</v>
      </c>
      <c r="C49" s="59">
        <f>IF(IFERROR(INDEX('2020'!$E$5:$E$73,MATCH(B49,'2020'!$A$5:$A$73,0)),0)=0,"N/A",INDEX('2020'!$E$5:$E$73,MATCH(B49,'2020'!$A$5:$A$73,0)))</f>
        <v>7.36</v>
      </c>
      <c r="D49" s="59">
        <f>IF(IFERROR(INDEX('2019'!$E$5:$E$73,MATCH(B49,'2019'!$A$5:$A$73,0)),0)=0,"N/A",INDEX('2019'!$E$5:$E$73,MATCH(B49,'2019'!$A$5:$A$73,0)))</f>
        <v>6.9569999999999999</v>
      </c>
      <c r="E49" s="59">
        <f>IF(IFERROR(INDEX('2018'!$E$5:$E$73,MATCH(B49,'2018'!$A$5:$A$73,0)),0)=0,"N/A",INDEX('2018'!$E$5:$E$73,MATCH(B49,'2018'!$A$5:$A$73,0)))</f>
        <v>6.3220000000000001</v>
      </c>
      <c r="F49" s="59">
        <f>IF(IFERROR(INDEX('2017'!$E$5:$E$73,MATCH(B49,'2017'!$A$5:$A$73,0)),0)=0,"N/A",INDEX('2017'!$E$5:$E$73,MATCH(B49,'2017'!$A$5:$A$73,0)))</f>
        <v>5.96</v>
      </c>
      <c r="G49" s="67">
        <f>IF(IFERROR(INDEX('2016'!$E$5:$E$73,MATCH(B49,'2016'!$A$5:$A$73,0)),0)=0,"N/A",INDEX('2016'!$E$5:$E$73,MATCH(B49,'2016'!$A$5:$A$73,0)))</f>
        <v>5.431</v>
      </c>
      <c r="H49" s="59">
        <v>4.8230000000000004</v>
      </c>
      <c r="I49" s="59">
        <v>4.5220000000000002</v>
      </c>
    </row>
    <row r="50" spans="1:17" x14ac:dyDescent="0.2">
      <c r="A50" s="59" t="s">
        <v>146</v>
      </c>
      <c r="B50" s="59" t="s">
        <v>28</v>
      </c>
      <c r="C50" s="59">
        <f>IF(IFERROR(INDEX('2020'!$E$5:$E$73,MATCH(B50,'2020'!$A$5:$A$73,0)),0)=0,"N/A",INDEX('2020'!$E$5:$E$73,MATCH(B50,'2020'!$A$5:$A$73,0)))</f>
        <v>4.29</v>
      </c>
      <c r="D50" s="59">
        <f>IF(IFERROR(INDEX('2019'!$E$5:$E$73,MATCH(B50,'2019'!$A$5:$A$73,0)),0)=0,"N/A",INDEX('2019'!$E$5:$E$73,MATCH(B50,'2019'!$A$5:$A$73,0)))</f>
        <v>4.1070000000000002</v>
      </c>
      <c r="E50" s="59">
        <f>IF(IFERROR(INDEX('2018'!$E$5:$E$73,MATCH(B50,'2018'!$A$5:$A$73,0)),0)=0,"N/A",INDEX('2018'!$E$5:$E$73,MATCH(B50,'2018'!$A$5:$A$73,0)))</f>
        <v>3.9580000000000002</v>
      </c>
      <c r="F50" s="59">
        <f>IF(IFERROR(INDEX('2017'!$E$5:$E$73,MATCH(B50,'2017'!$A$5:$A$73,0)),0)=0,"N/A",INDEX('2017'!$E$5:$E$73,MATCH(B50,'2017'!$A$5:$A$73,0)))</f>
        <v>3.7010000000000001</v>
      </c>
      <c r="G50" s="67">
        <f>IF(IFERROR(INDEX('2016'!$E$5:$E$73,MATCH(B50,'2016'!$A$5:$A$73,0)),0)=0,"N/A",INDEX('2016'!$E$5:$E$73,MATCH(B50,'2016'!$A$5:$A$73,0)))</f>
        <v>3.4430000000000001</v>
      </c>
      <c r="H50" s="59">
        <v>3.1419999999999999</v>
      </c>
      <c r="I50" s="59">
        <v>3.089</v>
      </c>
      <c r="J50" s="59">
        <v>3.02</v>
      </c>
      <c r="K50" s="59">
        <v>2.7090000000000001</v>
      </c>
      <c r="L50" s="59">
        <v>2.3639999999999999</v>
      </c>
      <c r="M50" s="59">
        <v>2.5960000000000001</v>
      </c>
      <c r="N50" s="59">
        <v>2.762</v>
      </c>
      <c r="O50" s="59">
        <v>2.8109999999999999</v>
      </c>
      <c r="P50" s="59">
        <v>3.5529999999999999</v>
      </c>
      <c r="Q50" s="59">
        <v>3.387</v>
      </c>
    </row>
    <row r="51" spans="1:17" x14ac:dyDescent="0.2">
      <c r="A51" s="59" t="s">
        <v>147</v>
      </c>
      <c r="B51" s="59" t="s">
        <v>30</v>
      </c>
      <c r="C51" s="59">
        <f>IF(IFERROR(INDEX('2020'!$E$5:$E$73,MATCH(B51,'2020'!$A$5:$A$73,0)),0)=0,"N/A",INDEX('2020'!$E$5:$E$73,MATCH(B51,'2020'!$A$5:$A$73,0)))</f>
        <v>1.0900000000000001</v>
      </c>
      <c r="D51" s="59">
        <f>IF(IFERROR(INDEX('2019'!$E$5:$E$73,MATCH(B51,'2019'!$A$5:$A$73,0)),0)=0,"N/A",INDEX('2019'!$E$5:$E$73,MATCH(B51,'2019'!$A$5:$A$73,0)))</f>
        <v>-8.3290000000000006</v>
      </c>
      <c r="E51" s="59">
        <f>IF(IFERROR(INDEX('2018'!$E$5:$E$73,MATCH(B51,'2018'!$A$5:$A$73,0)),0)=0,"N/A",INDEX('2018'!$E$5:$E$73,MATCH(B51,'2018'!$A$5:$A$73,0)))</f>
        <v>-7.3049999999999997</v>
      </c>
      <c r="F51" s="59">
        <f>IF(IFERROR(INDEX('2017'!$E$5:$E$73,MATCH(B51,'2017'!$A$5:$A$73,0)),0)=0,"N/A",INDEX('2017'!$E$5:$E$73,MATCH(B51,'2017'!$A$5:$A$73,0)))</f>
        <v>9.0280000000000005</v>
      </c>
      <c r="G51" s="67">
        <f>IF(IFERROR(INDEX('2016'!$E$5:$E$73,MATCH(B51,'2016'!$A$5:$A$73,0)),0)=0,"N/A",INDEX('2016'!$E$5:$E$73,MATCH(B51,'2016'!$A$5:$A$73,0)))</f>
        <v>8.2309999999999999</v>
      </c>
      <c r="H51" s="59">
        <v>7.2880000000000003</v>
      </c>
      <c r="I51" s="59">
        <v>8.1300000000000008</v>
      </c>
      <c r="J51" s="59">
        <v>6.3310000000000004</v>
      </c>
      <c r="K51" s="59">
        <v>7.3159999999999998</v>
      </c>
      <c r="L51" s="59">
        <v>8.0850000000000009</v>
      </c>
      <c r="M51" s="59">
        <v>8.2230000000000008</v>
      </c>
      <c r="N51" s="59">
        <v>8.3670000000000009</v>
      </c>
      <c r="O51" s="59">
        <v>8.4390000000000001</v>
      </c>
      <c r="P51" s="59">
        <v>8.02</v>
      </c>
      <c r="Q51" s="59">
        <v>7.7560000000000002</v>
      </c>
    </row>
    <row r="52" spans="1:17" x14ac:dyDescent="0.2">
      <c r="A52" s="59" t="s">
        <v>148</v>
      </c>
      <c r="B52" s="59" t="s">
        <v>31</v>
      </c>
      <c r="C52" s="59">
        <f>IF(IFERROR(INDEX('2020'!$E$5:$E$73,MATCH(B52,'2020'!$A$5:$A$73,0)),0)=0,"N/A",INDEX('2020'!$E$5:$E$73,MATCH(B52,'2020'!$A$5:$A$73,0)))</f>
        <v>10.862</v>
      </c>
      <c r="D52" s="59">
        <f>IF(IFERROR(INDEX('2019'!$E$5:$E$73,MATCH(B52,'2019'!$A$5:$A$73,0)),0)=0,"N/A",INDEX('2019'!$E$5:$E$73,MATCH(B52,'2019'!$A$5:$A$73,0)))</f>
        <v>11.135</v>
      </c>
      <c r="E52" s="59">
        <f>IF(IFERROR(INDEX('2018'!$E$5:$E$73,MATCH(B52,'2018'!$A$5:$A$73,0)),0)=0,"N/A",INDEX('2018'!$E$5:$E$73,MATCH(B52,'2018'!$A$5:$A$73,0)))</f>
        <v>11.407</v>
      </c>
      <c r="F52" s="59">
        <f>IF(IFERROR(INDEX('2017'!$E$5:$E$73,MATCH(B52,'2017'!$A$5:$A$73,0)),0)=0,"N/A",INDEX('2017'!$E$5:$E$73,MATCH(B52,'2017'!$A$5:$A$73,0)))</f>
        <v>9.7859999999999996</v>
      </c>
      <c r="G52" s="67">
        <f>IF(IFERROR(INDEX('2016'!$E$5:$E$73,MATCH(B52,'2016'!$A$5:$A$73,0)),0)=0,"N/A",INDEX('2016'!$E$5:$E$73,MATCH(B52,'2016'!$A$5:$A$73,0)))</f>
        <v>9.3879999999999999</v>
      </c>
      <c r="H52" s="59">
        <v>9.0909999999999993</v>
      </c>
      <c r="I52" s="59">
        <v>8.0860000000000003</v>
      </c>
      <c r="J52" s="59">
        <v>8.1539999999999999</v>
      </c>
      <c r="K52" s="59">
        <v>7.915</v>
      </c>
      <c r="L52" s="59">
        <v>7.524</v>
      </c>
      <c r="M52" s="59">
        <v>6.8490000000000002</v>
      </c>
      <c r="N52" s="59">
        <v>8.0779999999999994</v>
      </c>
      <c r="O52" s="59">
        <v>8.1340000000000003</v>
      </c>
      <c r="P52" s="59">
        <v>9.2929999999999993</v>
      </c>
      <c r="Q52" s="59">
        <v>9.6959999999999997</v>
      </c>
    </row>
    <row r="53" spans="1:17" x14ac:dyDescent="0.2">
      <c r="A53" s="59" t="s">
        <v>149</v>
      </c>
      <c r="B53" s="59" t="s">
        <v>32</v>
      </c>
      <c r="C53" s="59">
        <f>IF(IFERROR(INDEX('2020'!$E$5:$E$73,MATCH(B53,'2020'!$A$5:$A$73,0)),0)=0,"N/A",INDEX('2020'!$E$5:$E$73,MATCH(B53,'2020'!$A$5:$A$73,0)))</f>
        <v>5.6790000000000003</v>
      </c>
      <c r="D53" s="59">
        <f>IF(IFERROR(INDEX('2019'!$E$5:$E$73,MATCH(B53,'2019'!$A$5:$A$73,0)),0)=0,"N/A",INDEX('2019'!$E$5:$E$73,MATCH(B53,'2019'!$A$5:$A$73,0)))</f>
        <v>6.0679999999999996</v>
      </c>
      <c r="E53" s="59">
        <f>IF(IFERROR(INDEX('2018'!$E$5:$E$73,MATCH(B53,'2018'!$A$5:$A$73,0)),0)=0,"N/A",INDEX('2018'!$E$5:$E$73,MATCH(B53,'2018'!$A$5:$A$73,0)))</f>
        <v>5.1280000000000001</v>
      </c>
      <c r="F53" s="59">
        <f>IF(IFERROR(INDEX('2017'!$E$5:$E$73,MATCH(B53,'2017'!$A$5:$A$73,0)),0)=0,"N/A",INDEX('2017'!$E$5:$E$73,MATCH(B53,'2017'!$A$5:$A$73,0)))</f>
        <v>5.2990000000000004</v>
      </c>
      <c r="G53" s="67">
        <f>IF(IFERROR(INDEX('2016'!$E$5:$E$73,MATCH(B53,'2016'!$A$5:$A$73,0)),0)=0,"N/A",INDEX('2016'!$E$5:$E$73,MATCH(B53,'2016'!$A$5:$A$73,0)))</f>
        <v>4.2809999999999997</v>
      </c>
      <c r="H53" s="59">
        <v>3.9780000000000002</v>
      </c>
      <c r="I53" s="59">
        <v>3.62</v>
      </c>
      <c r="J53" s="59">
        <v>3.5129999999999999</v>
      </c>
      <c r="K53" s="59">
        <v>3.38</v>
      </c>
      <c r="L53" s="59">
        <v>3.1779999999999999</v>
      </c>
      <c r="M53" s="59">
        <v>2.6669999999999998</v>
      </c>
      <c r="N53" s="59">
        <v>2.3180000000000001</v>
      </c>
      <c r="O53" s="59">
        <v>1.756</v>
      </c>
      <c r="P53" s="59">
        <v>2.5390000000000001</v>
      </c>
      <c r="Q53" s="59">
        <v>3.573</v>
      </c>
    </row>
    <row r="54" spans="1:17" x14ac:dyDescent="0.2">
      <c r="A54" s="59" t="s">
        <v>150</v>
      </c>
      <c r="B54" s="59" t="s">
        <v>33</v>
      </c>
      <c r="C54" s="59">
        <f>IF(IFERROR(INDEX('2020'!$E$5:$E$73,MATCH(B54,'2020'!$A$5:$A$73,0)),0)=0,"N/A",INDEX('2020'!$E$5:$E$73,MATCH(B54,'2020'!$A$5:$A$73,0)))</f>
        <v>6.8019999999999996</v>
      </c>
      <c r="D54" s="59">
        <f>IF(IFERROR(INDEX('2019'!$E$5:$E$73,MATCH(B54,'2019'!$A$5:$A$73,0)),0)=0,"N/A",INDEX('2019'!$E$5:$E$73,MATCH(B54,'2019'!$A$5:$A$73,0)))</f>
        <v>6.97</v>
      </c>
      <c r="E54" s="59">
        <f>IF(IFERROR(INDEX('2018'!$E$5:$E$73,MATCH(B54,'2018'!$A$5:$A$73,0)),0)=0,"N/A",INDEX('2018'!$E$5:$E$73,MATCH(B54,'2018'!$A$5:$A$73,0)))</f>
        <v>6.6539999999999999</v>
      </c>
      <c r="F54" s="59">
        <f>IF(IFERROR(INDEX('2017'!$E$5:$E$73,MATCH(B54,'2017'!$A$5:$A$73,0)),0)=0,"N/A",INDEX('2017'!$E$5:$E$73,MATCH(B54,'2017'!$A$5:$A$73,0)))</f>
        <v>6.1609999999999996</v>
      </c>
      <c r="G54" s="67">
        <f>IF(IFERROR(INDEX('2016'!$E$5:$E$73,MATCH(B54,'2016'!$A$5:$A$73,0)),0)=0,"N/A",INDEX('2016'!$E$5:$E$73,MATCH(B54,'2016'!$A$5:$A$73,0)))</f>
        <v>5.7789999999999999</v>
      </c>
      <c r="H54" s="59">
        <v>5.3719999999999999</v>
      </c>
      <c r="I54" s="59">
        <v>6.085</v>
      </c>
      <c r="J54" s="59">
        <v>4.93</v>
      </c>
      <c r="K54" s="59">
        <v>5.1479999999999997</v>
      </c>
      <c r="L54" s="59">
        <v>4.9630000000000001</v>
      </c>
      <c r="M54" s="59">
        <v>4.82</v>
      </c>
      <c r="N54" s="59">
        <v>4.069</v>
      </c>
      <c r="O54" s="59">
        <v>4.7140000000000004</v>
      </c>
      <c r="P54" s="59">
        <v>5.2140000000000004</v>
      </c>
      <c r="Q54" s="59">
        <v>4.6399999999999997</v>
      </c>
    </row>
    <row r="55" spans="1:17" x14ac:dyDescent="0.2">
      <c r="A55" s="59" t="s">
        <v>151</v>
      </c>
      <c r="B55" s="59" t="s">
        <v>34</v>
      </c>
      <c r="C55" s="59">
        <f>IF(IFERROR(INDEX('2020'!$E$5:$E$73,MATCH(B55,'2020'!$A$5:$A$73,0)),0)=0,"N/A",INDEX('2020'!$E$5:$E$73,MATCH(B55,'2020'!$A$5:$A$73,0)))</f>
        <v>3.8109999999999999</v>
      </c>
      <c r="D55" s="59">
        <f>IF(IFERROR(INDEX('2019'!$E$5:$E$73,MATCH(B55,'2019'!$A$5:$A$73,0)),0)=0,"N/A",INDEX('2019'!$E$5:$E$73,MATCH(B55,'2019'!$A$5:$A$73,0)))</f>
        <v>3.944</v>
      </c>
      <c r="E55" s="59">
        <f>IF(IFERROR(INDEX('2018'!$E$5:$E$73,MATCH(B55,'2018'!$A$5:$A$73,0)),0)=0,"N/A",INDEX('2018'!$E$5:$E$73,MATCH(B55,'2018'!$A$5:$A$73,0)))</f>
        <v>4.1630000000000003</v>
      </c>
      <c r="F55" s="59">
        <f>IF(IFERROR(INDEX('2017'!$E$5:$E$73,MATCH(B55,'2017'!$A$5:$A$73,0)),0)=0,"N/A",INDEX('2017'!$E$5:$E$73,MATCH(B55,'2017'!$A$5:$A$73,0)))</f>
        <v>3.6829999999999998</v>
      </c>
      <c r="G55" s="67">
        <f>IF(IFERROR(INDEX('2016'!$E$5:$E$73,MATCH(B55,'2016'!$A$5:$A$73,0)),0)=0,"N/A",INDEX('2016'!$E$5:$E$73,MATCH(B55,'2016'!$A$5:$A$73,0)))</f>
        <v>4.2779999999999996</v>
      </c>
      <c r="H55" s="59">
        <v>3.7770000000000001</v>
      </c>
      <c r="I55" s="59">
        <v>4.5780000000000003</v>
      </c>
      <c r="J55" s="59">
        <v>4.6390000000000002</v>
      </c>
      <c r="K55" s="59">
        <v>4.8419999999999996</v>
      </c>
      <c r="L55" s="59">
        <v>4.59</v>
      </c>
      <c r="M55" s="59">
        <v>3.66</v>
      </c>
      <c r="N55" s="59">
        <v>3.4649999999999999</v>
      </c>
      <c r="O55" s="59">
        <v>4.7149999999999999</v>
      </c>
      <c r="P55" s="59">
        <v>5.101</v>
      </c>
      <c r="Q55" s="59">
        <v>4.2590000000000003</v>
      </c>
    </row>
    <row r="56" spans="1:17" x14ac:dyDescent="0.2">
      <c r="A56" s="59" t="s">
        <v>152</v>
      </c>
      <c r="B56" s="59" t="s">
        <v>35</v>
      </c>
      <c r="C56" s="59">
        <f>IF(IFERROR(INDEX('2020'!$E$5:$E$73,MATCH(B56,'2020'!$A$5:$A$73,0)),0)=0,"N/A",INDEX('2020'!$E$5:$E$73,MATCH(B56,'2020'!$A$5:$A$73,0)))</f>
        <v>6.5439999999999996</v>
      </c>
      <c r="D56" s="59">
        <f>IF(IFERROR(INDEX('2019'!$E$5:$E$73,MATCH(B56,'2019'!$A$5:$A$73,0)),0)=0,"N/A",INDEX('2019'!$E$5:$E$73,MATCH(B56,'2019'!$A$5:$A$73,0)))</f>
        <v>6.7560000000000002</v>
      </c>
      <c r="E56" s="59">
        <f>IF(IFERROR(INDEX('2018'!$E$5:$E$73,MATCH(B56,'2018'!$A$5:$A$73,0)),0)=0,"N/A",INDEX('2018'!$E$5:$E$73,MATCH(B56,'2018'!$A$5:$A$73,0)))</f>
        <v>5.444</v>
      </c>
      <c r="F56" s="59">
        <f>IF(IFERROR(INDEX('2017'!$E$5:$E$73,MATCH(B56,'2017'!$A$5:$A$73,0)),0)=0,"N/A",INDEX('2017'!$E$5:$E$73,MATCH(B56,'2017'!$A$5:$A$73,0)))</f>
        <v>5.3029999999999999</v>
      </c>
      <c r="G56" s="67">
        <f>IF(IFERROR(INDEX('2016'!$E$5:$E$73,MATCH(B56,'2016'!$A$5:$A$73,0)),0)=0,"N/A",INDEX('2016'!$E$5:$E$73,MATCH(B56,'2016'!$A$5:$A$73,0)))</f>
        <v>5.0709999999999997</v>
      </c>
      <c r="H56" s="59">
        <v>6.1470000000000002</v>
      </c>
      <c r="I56" s="59">
        <v>5.8220000000000001</v>
      </c>
      <c r="J56" s="59">
        <v>5.165</v>
      </c>
      <c r="K56" s="59">
        <v>4.875</v>
      </c>
      <c r="L56" s="59">
        <v>5.36</v>
      </c>
      <c r="M56" s="59">
        <v>5.2709999999999999</v>
      </c>
      <c r="N56" s="59">
        <v>4.984</v>
      </c>
      <c r="O56" s="59">
        <v>4.6779999999999999</v>
      </c>
      <c r="P56" s="59">
        <v>4.3579999999999997</v>
      </c>
      <c r="Q56" s="59">
        <v>3.907</v>
      </c>
    </row>
    <row r="57" spans="1:17" x14ac:dyDescent="0.2">
      <c r="A57" s="59" t="s">
        <v>193</v>
      </c>
      <c r="B57" s="59" t="s">
        <v>194</v>
      </c>
      <c r="C57" s="59">
        <f>IF(IFERROR(INDEX('2020'!$E$5:$E$73,MATCH(B57,'2020'!$A$5:$A$73,0)),0)=0,"N/A",INDEX('2020'!$E$5:$E$73,MATCH(B57,'2020'!$A$5:$A$73,0)))</f>
        <v>2.2909999999999999</v>
      </c>
      <c r="D57" s="59">
        <f>IF(IFERROR(INDEX('2019'!$E$5:$E$73,MATCH(B57,'2019'!$A$5:$A$73,0)),0)=0,"N/A",INDEX('2019'!$E$5:$E$73,MATCH(B57,'2019'!$A$5:$A$73,0)))</f>
        <v>2.0190000000000001</v>
      </c>
      <c r="E57" s="59">
        <f>IF(IFERROR(INDEX('2018'!$E$5:$E$73,MATCH(B57,'2018'!$A$5:$A$73,0)),0)=0,"N/A",INDEX('2018'!$E$5:$E$73,MATCH(B57,'2018'!$A$5:$A$73,0)))</f>
        <v>1.7989999999999999</v>
      </c>
      <c r="F57" s="59">
        <f>IF(IFERROR(INDEX('2017'!$E$5:$E$73,MATCH(B57,'2017'!$A$5:$A$73,0)),0)=0,"N/A",INDEX('2017'!$E$5:$E$73,MATCH(B57,'2017'!$A$5:$A$73,0)))</f>
        <v>1.7250000000000001</v>
      </c>
      <c r="G57" s="67">
        <f>IF(IFERROR(INDEX('2016'!$E$5:$E$73,MATCH(B57,'2016'!$A$5:$A$73,0)),0)=0,"N/A",INDEX('2016'!$E$5:$E$73,MATCH(B57,'2016'!$A$5:$A$73,0)))</f>
        <v>1.6040000000000001</v>
      </c>
      <c r="H57" s="59">
        <v>2.1749999999999998</v>
      </c>
      <c r="I57" s="59">
        <v>1.9950000000000001</v>
      </c>
      <c r="J57" s="59">
        <v>1.8939999999999999</v>
      </c>
      <c r="K57" s="59">
        <v>1.859</v>
      </c>
      <c r="L57" s="59">
        <v>1.907</v>
      </c>
      <c r="M57" s="59">
        <v>1.8480000000000001</v>
      </c>
      <c r="N57" s="59">
        <v>1.9390000000000001</v>
      </c>
      <c r="O57" s="59">
        <v>1.988</v>
      </c>
      <c r="P57" s="59">
        <v>1.845</v>
      </c>
      <c r="Q57" s="59">
        <v>1.8129999999999999</v>
      </c>
    </row>
    <row r="58" spans="1:17" x14ac:dyDescent="0.2">
      <c r="A58" s="59" t="s">
        <v>153</v>
      </c>
      <c r="B58" s="59" t="s">
        <v>36</v>
      </c>
      <c r="C58" s="59" t="str">
        <f>IF(IFERROR(INDEX('2020'!$E$5:$E$73,MATCH(B58,'2020'!$A$5:$A$73,0)),0)=0,"N/A",INDEX('2020'!$E$5:$E$73,MATCH(B58,'2020'!$A$5:$A$73,0)))</f>
        <v>N/A</v>
      </c>
      <c r="D58" s="59" t="str">
        <f>IF(IFERROR(INDEX('2019'!$E$5:$E$73,MATCH(B58,'2019'!$A$5:$A$73,0)),0)=0,"N/A",INDEX('2019'!$E$5:$E$73,MATCH(B58,'2019'!$A$5:$A$73,0)))</f>
        <v>N/A</v>
      </c>
      <c r="E58" s="59" t="str">
        <f>IF(IFERROR(INDEX('2018'!$E$5:$E$73,MATCH(B58,'2018'!$A$5:$A$73,0)),0)=0,"N/A",INDEX('2018'!$E$5:$E$73,MATCH(B58,'2018'!$A$5:$A$73,0)))</f>
        <v>N/A</v>
      </c>
      <c r="F58" s="59">
        <f>IF(IFERROR(INDEX('2017'!$E$5:$E$73,MATCH(B58,'2017'!$A$5:$A$73,0)),0)=0,"N/A",INDEX('2017'!$E$5:$E$73,MATCH(B58,'2017'!$A$5:$A$73,0)))</f>
        <v>7.35</v>
      </c>
      <c r="G58" s="67">
        <f>IF(IFERROR(INDEX('2016'!$E$5:$E$73,MATCH(B58,'2016'!$A$5:$A$73,0)),0)=0,"N/A",INDEX('2016'!$E$5:$E$73,MATCH(B58,'2016'!$A$5:$A$73,0)))</f>
        <v>7.2850000000000001</v>
      </c>
      <c r="H58" s="59">
        <v>6.7039999999999997</v>
      </c>
      <c r="I58" s="59">
        <v>6.91</v>
      </c>
      <c r="J58" s="59">
        <v>6.532</v>
      </c>
      <c r="K58" s="59">
        <v>6.3029999999999999</v>
      </c>
      <c r="L58" s="59">
        <v>6.0129999999999999</v>
      </c>
      <c r="M58" s="59">
        <v>5.9080000000000004</v>
      </c>
      <c r="N58" s="59">
        <v>5.6349999999999998</v>
      </c>
      <c r="O58" s="59">
        <v>5.8579999999999997</v>
      </c>
      <c r="P58" s="59">
        <v>5.734</v>
      </c>
      <c r="Q58" s="59">
        <v>5.6829999999999998</v>
      </c>
    </row>
    <row r="59" spans="1:17" x14ac:dyDescent="0.2">
      <c r="A59" s="59" t="s">
        <v>154</v>
      </c>
      <c r="B59" s="59" t="s">
        <v>37</v>
      </c>
      <c r="C59" s="59">
        <f>IF(IFERROR(INDEX('2020'!$E$5:$E$73,MATCH(B59,'2020'!$A$5:$A$73,0)),0)=0,"N/A",INDEX('2020'!$E$5:$E$73,MATCH(B59,'2020'!$A$5:$A$73,0)))</f>
        <v>12.41</v>
      </c>
      <c r="D59" s="59">
        <f>IF(IFERROR(INDEX('2019'!$E$5:$E$73,MATCH(B59,'2019'!$A$5:$A$73,0)),0)=0,"N/A",INDEX('2019'!$E$5:$E$73,MATCH(B59,'2019'!$A$5:$A$73,0)))</f>
        <v>11.145</v>
      </c>
      <c r="E59" s="59">
        <f>IF(IFERROR(INDEX('2018'!$E$5:$E$73,MATCH(B59,'2018'!$A$5:$A$73,0)),0)=0,"N/A",INDEX('2018'!$E$5:$E$73,MATCH(B59,'2018'!$A$5:$A$73,0)))</f>
        <v>11.068</v>
      </c>
      <c r="F59" s="59">
        <f>IF(IFERROR(INDEX('2017'!$E$5:$E$73,MATCH(B59,'2017'!$A$5:$A$73,0)),0)=0,"N/A",INDEX('2017'!$E$5:$E$73,MATCH(B59,'2017'!$A$5:$A$73,0)))</f>
        <v>10.574999999999999</v>
      </c>
      <c r="G59" s="67">
        <f>IF(IFERROR(INDEX('2016'!$E$5:$E$73,MATCH(B59,'2016'!$A$5:$A$73,0)),0)=0,"N/A",INDEX('2016'!$E$5:$E$73,MATCH(B59,'2016'!$A$5:$A$73,0)))</f>
        <v>9.4979999999999993</v>
      </c>
      <c r="H59" s="59">
        <v>10.321999999999999</v>
      </c>
      <c r="I59" s="59">
        <v>9.4060000000000006</v>
      </c>
      <c r="J59" s="59">
        <v>8.8680000000000003</v>
      </c>
      <c r="K59" s="59">
        <v>8.9239999999999995</v>
      </c>
      <c r="L59" s="59">
        <v>8.577</v>
      </c>
      <c r="M59" s="59">
        <v>7.7560000000000002</v>
      </c>
      <c r="N59" s="59">
        <v>7.9429999999999996</v>
      </c>
      <c r="O59" s="59">
        <v>7.3979999999999997</v>
      </c>
      <c r="P59" s="59">
        <v>6.9329999999999998</v>
      </c>
      <c r="Q59" s="59">
        <v>6.7359999999999998</v>
      </c>
    </row>
    <row r="60" spans="1:17" x14ac:dyDescent="0.2">
      <c r="A60" s="59" t="s">
        <v>195</v>
      </c>
      <c r="B60" s="59" t="s">
        <v>196</v>
      </c>
      <c r="C60" s="59">
        <f>IF(IFERROR(INDEX('2020'!$E$5:$E$73,MATCH(B60,'2020'!$A$5:$A$73,0)),0)=0,"N/A",INDEX('2020'!$E$5:$E$73,MATCH(B60,'2020'!$A$5:$A$73,0)))</f>
        <v>5.28</v>
      </c>
      <c r="D60" s="59">
        <f>IF(IFERROR(INDEX('2019'!$E$5:$E$73,MATCH(B60,'2019'!$A$5:$A$73,0)),0)=0,"N/A",INDEX('2019'!$E$5:$E$73,MATCH(B60,'2019'!$A$5:$A$73,0)))</f>
        <v>3.665</v>
      </c>
      <c r="E60" s="59">
        <f>IF(IFERROR(INDEX('2018'!$E$5:$E$73,MATCH(B60,'2018'!$A$5:$A$73,0)),0)=0,"N/A",INDEX('2018'!$E$5:$E$73,MATCH(B60,'2018'!$A$5:$A$73,0)))</f>
        <v>3.2869999999999999</v>
      </c>
      <c r="F60" s="59">
        <f>IF(IFERROR(INDEX('2017'!$E$5:$E$73,MATCH(B60,'2017'!$A$5:$A$73,0)),0)=0,"N/A",INDEX('2017'!$E$5:$E$73,MATCH(B60,'2017'!$A$5:$A$73,0)))</f>
        <v>5.2380000000000004</v>
      </c>
      <c r="G60" s="67">
        <f>IF(IFERROR(INDEX('2016'!$E$5:$E$73,MATCH(B60,'2016'!$A$5:$A$73,0)),0)=0,"N/A",INDEX('2016'!$E$5:$E$73,MATCH(B60,'2016'!$A$5:$A$73,0)))</f>
        <v>4.7649999999999997</v>
      </c>
      <c r="H60" s="59">
        <v>3.8570000000000002</v>
      </c>
      <c r="I60" s="59">
        <v>4.4219999999999997</v>
      </c>
      <c r="J60" s="59">
        <v>2.9</v>
      </c>
      <c r="K60" s="59">
        <v>2.968</v>
      </c>
      <c r="L60" s="59">
        <v>2.8010000000000002</v>
      </c>
      <c r="M60" s="59">
        <v>2.3780000000000001</v>
      </c>
      <c r="N60" s="59">
        <v>2.206</v>
      </c>
      <c r="O60" s="59">
        <v>2.4359999999999999</v>
      </c>
      <c r="P60" s="59">
        <v>2.2970000000000002</v>
      </c>
      <c r="Q60" s="59">
        <v>2.3809999999999998</v>
      </c>
    </row>
    <row r="61" spans="1:17" x14ac:dyDescent="0.2">
      <c r="A61" s="59" t="s">
        <v>197</v>
      </c>
      <c r="B61" s="59" t="s">
        <v>198</v>
      </c>
      <c r="C61" s="59">
        <f>IF(IFERROR(INDEX('2020'!$E$5:$E$73,MATCH(B61,'2020'!$A$5:$A$73,0)),0)=0,"N/A",INDEX('2020'!$E$5:$E$73,MATCH(B61,'2020'!$A$5:$A$73,0)))</f>
        <v>3.3170000000000002</v>
      </c>
      <c r="D61" s="59">
        <f>IF(IFERROR(INDEX('2019'!$E$5:$E$73,MATCH(B61,'2019'!$A$5:$A$73,0)),0)=0,"N/A",INDEX('2019'!$E$5:$E$73,MATCH(B61,'2019'!$A$5:$A$73,0)))</f>
        <v>2.5579999999999998</v>
      </c>
      <c r="E61" s="59">
        <f>IF(IFERROR(INDEX('2018'!$E$5:$E$73,MATCH(B61,'2018'!$A$5:$A$73,0)),0)=0,"N/A",INDEX('2018'!$E$5:$E$73,MATCH(B61,'2018'!$A$5:$A$73,0)))</f>
        <v>2.9129999999999998</v>
      </c>
      <c r="F61" s="59">
        <f>IF(IFERROR(INDEX('2017'!$E$5:$E$73,MATCH(B61,'2017'!$A$5:$A$73,0)),0)=0,"N/A",INDEX('2017'!$E$5:$E$73,MATCH(B61,'2017'!$A$5:$A$73,0)))</f>
        <v>2.7850000000000001</v>
      </c>
      <c r="G61" s="67">
        <f>IF(IFERROR(INDEX('2016'!$E$5:$E$73,MATCH(B61,'2016'!$A$5:$A$73,0)),0)=0,"N/A",INDEX('2016'!$E$5:$E$73,MATCH(B61,'2016'!$A$5:$A$73,0)))</f>
        <v>2.6749999999999998</v>
      </c>
      <c r="H61" s="59">
        <v>2.4159999999999999</v>
      </c>
      <c r="I61" s="59">
        <v>2.6709999999999998</v>
      </c>
      <c r="J61" s="59">
        <v>2.476</v>
      </c>
      <c r="K61" s="59">
        <v>2.3439999999999999</v>
      </c>
      <c r="L61" s="59">
        <v>2.23</v>
      </c>
      <c r="M61" s="59">
        <v>2.1040000000000001</v>
      </c>
      <c r="N61" s="59">
        <v>1.859</v>
      </c>
      <c r="O61" s="59">
        <v>1.738</v>
      </c>
      <c r="P61" s="59">
        <v>1.599</v>
      </c>
      <c r="Q61" s="59">
        <v>1.7529999999999999</v>
      </c>
    </row>
    <row r="62" spans="1:17" x14ac:dyDescent="0.2">
      <c r="A62" s="59" t="s">
        <v>155</v>
      </c>
      <c r="B62" s="59" t="s">
        <v>38</v>
      </c>
      <c r="C62" s="59">
        <f>IF(IFERROR(INDEX('2020'!$E$5:$E$73,MATCH(B62,'2020'!$A$5:$A$73,0)),0)=0,"N/A",INDEX('2020'!$E$5:$E$73,MATCH(B62,'2020'!$A$5:$A$73,0)))</f>
        <v>6.9770000000000003</v>
      </c>
      <c r="D62" s="59">
        <f>IF(IFERROR(INDEX('2019'!$E$5:$E$73,MATCH(B62,'2019'!$A$5:$A$73,0)),0)=0,"N/A",INDEX('2019'!$E$5:$E$73,MATCH(B62,'2019'!$A$5:$A$73,0)))</f>
        <v>6.3330000000000002</v>
      </c>
      <c r="E62" s="59">
        <f>IF(IFERROR(INDEX('2018'!$E$5:$E$73,MATCH(B62,'2018'!$A$5:$A$73,0)),0)=0,"N/A",INDEX('2018'!$E$5:$E$73,MATCH(B62,'2018'!$A$5:$A$73,0)))</f>
        <v>6.4119999999999999</v>
      </c>
      <c r="F62" s="59">
        <f>IF(IFERROR(INDEX('2017'!$E$5:$E$73,MATCH(B62,'2017'!$A$5:$A$73,0)),0)=0,"N/A",INDEX('2017'!$E$5:$E$73,MATCH(B62,'2017'!$A$5:$A$73,0)))</f>
        <v>6.6379999999999999</v>
      </c>
      <c r="G62" s="67">
        <f>IF(IFERROR(INDEX('2016'!$E$5:$E$73,MATCH(B62,'2016'!$A$5:$A$73,0)),0)=0,"N/A",INDEX('2016'!$E$5:$E$73,MATCH(B62,'2016'!$A$5:$A$73,0)))</f>
        <v>5.69</v>
      </c>
      <c r="H62" s="59">
        <v>5.4710000000000001</v>
      </c>
      <c r="I62" s="59">
        <v>5.2789999999999999</v>
      </c>
      <c r="J62" s="59">
        <v>5.266</v>
      </c>
      <c r="K62" s="59">
        <v>5.18</v>
      </c>
      <c r="L62" s="59">
        <v>4.9139999999999997</v>
      </c>
      <c r="M62" s="59">
        <v>4.5129999999999999</v>
      </c>
      <c r="N62" s="59">
        <v>4.4320000000000004</v>
      </c>
      <c r="O62" s="59">
        <v>4.4340000000000002</v>
      </c>
      <c r="P62" s="59">
        <v>4.22</v>
      </c>
      <c r="Q62" s="59">
        <v>4.0129999999999999</v>
      </c>
    </row>
    <row r="63" spans="1:17" x14ac:dyDescent="0.2">
      <c r="A63" s="59" t="s">
        <v>199</v>
      </c>
      <c r="B63" s="59" t="s">
        <v>200</v>
      </c>
      <c r="C63" s="59">
        <f>IF(IFERROR(INDEX('2020'!$E$5:$E$73,MATCH(B63,'2020'!$A$5:$A$73,0)),0)=0,"N/A",INDEX('2020'!$E$5:$E$73,MATCH(B63,'2020'!$A$5:$A$73,0)))</f>
        <v>9.8670000000000009</v>
      </c>
      <c r="D63" s="59">
        <f>IF(IFERROR(INDEX('2019'!$E$5:$E$73,MATCH(B63,'2019'!$A$5:$A$73,0)),0)=0,"N/A",INDEX('2019'!$E$5:$E$73,MATCH(B63,'2019'!$A$5:$A$73,0)))</f>
        <v>9.4019999999999992</v>
      </c>
      <c r="E63" s="59">
        <f>IF(IFERROR(INDEX('2018'!$E$5:$E$73,MATCH(B63,'2018'!$A$5:$A$73,0)),0)=0,"N/A",INDEX('2018'!$E$5:$E$73,MATCH(B63,'2018'!$A$5:$A$73,0)))</f>
        <v>8.1370000000000005</v>
      </c>
      <c r="F63" s="59">
        <f>IF(IFERROR(INDEX('2017'!$E$5:$E$73,MATCH(B63,'2017'!$A$5:$A$73,0)),0)=0,"N/A",INDEX('2017'!$E$5:$E$73,MATCH(B63,'2017'!$A$5:$A$73,0)))</f>
        <v>8.8330000000000002</v>
      </c>
      <c r="G63" s="67">
        <f>IF(IFERROR(INDEX('2016'!$E$5:$E$73,MATCH(B63,'2016'!$A$5:$A$73,0)),0)=0,"N/A",INDEX('2016'!$E$5:$E$73,MATCH(B63,'2016'!$A$5:$A$73,0)))</f>
        <v>9.2910000000000004</v>
      </c>
      <c r="H63" s="59">
        <v>8.6210000000000004</v>
      </c>
      <c r="I63" s="59">
        <v>8.4719999999999995</v>
      </c>
      <c r="J63" s="59">
        <v>8.2439999999999998</v>
      </c>
      <c r="K63" s="59">
        <v>7.7309999999999999</v>
      </c>
      <c r="L63" s="59">
        <v>6.806</v>
      </c>
      <c r="M63" s="59">
        <v>6.4610000000000003</v>
      </c>
      <c r="N63" s="59">
        <v>6.1559999999999997</v>
      </c>
      <c r="O63" s="59">
        <v>5.7629999999999999</v>
      </c>
      <c r="P63" s="59">
        <v>6.2089999999999996</v>
      </c>
      <c r="Q63" s="59">
        <v>5.9710000000000001</v>
      </c>
    </row>
    <row r="64" spans="1:17" x14ac:dyDescent="0.2">
      <c r="A64" s="59" t="s">
        <v>243</v>
      </c>
      <c r="B64" s="59" t="s">
        <v>244</v>
      </c>
      <c r="C64" s="59">
        <f>IF(IFERROR(INDEX('2020'!$E$5:$E$73,MATCH(B64,'2020'!$A$5:$A$73,0)),0)=0,"N/A",INDEX('2020'!$E$5:$E$73,MATCH(B64,'2020'!$A$5:$A$73,0)))</f>
        <v>5.2539999999999996</v>
      </c>
      <c r="D64" s="59">
        <f>IF(IFERROR(INDEX('2019'!$E$5:$E$73,MATCH(B64,'2019'!$A$5:$A$73,0)),0)=0,"N/A",INDEX('2019'!$E$5:$E$73,MATCH(B64,'2019'!$A$5:$A$73,0)))</f>
        <v>7.1189999999999998</v>
      </c>
      <c r="E64" s="59">
        <f>IF(IFERROR(INDEX('2018'!$E$5:$E$73,MATCH(B64,'2018'!$A$5:$A$73,0)),0)=0,"N/A",INDEX('2018'!$E$5:$E$73,MATCH(B64,'2018'!$A$5:$A$73,0)))</f>
        <v>7.5510000000000002</v>
      </c>
      <c r="F64" s="59">
        <f>IF(IFERROR(INDEX('2017'!$E$5:$E$73,MATCH(B64,'2017'!$A$5:$A$73,0)),0)=0,"N/A",INDEX('2017'!$E$5:$E$73,MATCH(B64,'2017'!$A$5:$A$73,0)))</f>
        <v>6.5410000000000004</v>
      </c>
      <c r="G64" s="67">
        <f>IF(IFERROR(INDEX('2016'!$E$5:$E$73,MATCH(B64,'2016'!$A$5:$A$73,0)),0)=0,"N/A",INDEX('2016'!$E$5:$E$73,MATCH(B64,'2016'!$A$5:$A$73,0)))</f>
        <v>6.1580000000000004</v>
      </c>
      <c r="H64" s="59">
        <v>6.1539999999999999</v>
      </c>
      <c r="I64" s="59">
        <v>3.867</v>
      </c>
      <c r="J64" s="59">
        <v>3.121</v>
      </c>
      <c r="K64" s="59">
        <v>4.5839999999999996</v>
      </c>
      <c r="L64" s="59">
        <v>4.6180000000000003</v>
      </c>
      <c r="M64" s="59">
        <v>4.109</v>
      </c>
      <c r="N64" s="59">
        <v>4.5570000000000004</v>
      </c>
      <c r="O64" s="59">
        <v>4.2210000000000001</v>
      </c>
      <c r="P64" s="59">
        <v>3.8740000000000001</v>
      </c>
      <c r="Q64" s="59">
        <v>3.8090000000000002</v>
      </c>
    </row>
    <row r="65" spans="1:17" x14ac:dyDescent="0.2">
      <c r="A65" s="59" t="s">
        <v>201</v>
      </c>
      <c r="B65" s="59" t="s">
        <v>202</v>
      </c>
      <c r="C65" s="59">
        <f>IF(IFERROR(INDEX('2020'!$E$5:$E$73,MATCH(B65,'2020'!$A$5:$A$73,0)),0)=0,"N/A",INDEX('2020'!$E$5:$E$73,MATCH(B65,'2020'!$A$5:$A$73,0)))</f>
        <v>2.1829999999999998</v>
      </c>
      <c r="D65" s="59">
        <f>IF(IFERROR(INDEX('2019'!$E$5:$E$73,MATCH(B65,'2019'!$A$5:$A$73,0)),0)=0,"N/A",INDEX('2019'!$E$5:$E$73,MATCH(B65,'2019'!$A$5:$A$73,0)))</f>
        <v>1.071</v>
      </c>
      <c r="E65" s="59">
        <f>IF(IFERROR(INDEX('2018'!$E$5:$E$73,MATCH(B65,'2018'!$A$5:$A$73,0)),0)=0,"N/A",INDEX('2018'!$E$5:$E$73,MATCH(B65,'2018'!$A$5:$A$73,0)))</f>
        <v>1.649</v>
      </c>
      <c r="F65" s="59">
        <f>IF(IFERROR(INDEX('2017'!$E$5:$E$73,MATCH(B65,'2017'!$A$5:$A$73,0)),0)=0,"N/A",INDEX('2017'!$E$5:$E$73,MATCH(B65,'2017'!$A$5:$A$73,0)))</f>
        <v>0.97499999999999998</v>
      </c>
      <c r="G65" s="67">
        <f>IF(IFERROR(INDEX('2016'!$E$5:$E$73,MATCH(B65,'2016'!$A$5:$A$73,0)),0)=0,"N/A",INDEX('2016'!$E$5:$E$73,MATCH(B65,'2016'!$A$5:$A$73,0)))</f>
        <v>1.2709999999999999</v>
      </c>
      <c r="H65" s="59">
        <v>1.085</v>
      </c>
      <c r="I65" s="59">
        <v>1.0009999999999999</v>
      </c>
      <c r="J65" s="59">
        <v>0.84499999999999997</v>
      </c>
      <c r="K65" s="59">
        <v>0.71899999999999997</v>
      </c>
      <c r="L65" s="59">
        <v>0.65</v>
      </c>
      <c r="M65" s="59">
        <v>0.69699999999999995</v>
      </c>
      <c r="N65" s="59">
        <v>2.0379999999999998</v>
      </c>
      <c r="O65" s="59">
        <v>0.20699999999999999</v>
      </c>
      <c r="P65" s="59">
        <v>0.93100000000000005</v>
      </c>
      <c r="Q65" s="59">
        <v>-0.252</v>
      </c>
    </row>
    <row r="66" spans="1:17" x14ac:dyDescent="0.2">
      <c r="A66" s="59" t="s">
        <v>203</v>
      </c>
      <c r="B66" s="59" t="s">
        <v>204</v>
      </c>
      <c r="C66" s="59">
        <f>IF(IFERROR(INDEX('2020'!$E$5:$E$73,MATCH(B66,'2020'!$A$5:$A$73,0)),0)=0,"N/A",INDEX('2020'!$E$5:$E$73,MATCH(B66,'2020'!$A$5:$A$73,0)))</f>
        <v>4.9880000000000004</v>
      </c>
      <c r="D66" s="59">
        <f>IF(IFERROR(INDEX('2019'!$E$5:$E$73,MATCH(B66,'2019'!$A$5:$A$73,0)),0)=0,"N/A",INDEX('2019'!$E$5:$E$73,MATCH(B66,'2019'!$A$5:$A$73,0)))</f>
        <v>4.12</v>
      </c>
      <c r="E66" s="59">
        <f>IF(IFERROR(INDEX('2018'!$E$5:$E$73,MATCH(B66,'2018'!$A$5:$A$73,0)),0)=0,"N/A",INDEX('2018'!$E$5:$E$73,MATCH(B66,'2018'!$A$5:$A$73,0)))</f>
        <v>5.4020000000000001</v>
      </c>
      <c r="F66" s="59">
        <f>IF(IFERROR(INDEX('2017'!$E$5:$E$73,MATCH(B66,'2017'!$A$5:$A$73,0)),0)=0,"N/A",INDEX('2017'!$E$5:$E$73,MATCH(B66,'2017'!$A$5:$A$73,0)))</f>
        <v>4.7290000000000001</v>
      </c>
      <c r="G66" s="67">
        <f>IF(IFERROR(INDEX('2016'!$E$5:$E$73,MATCH(B66,'2016'!$A$5:$A$73,0)),0)=0,"N/A",INDEX('2016'!$E$5:$E$73,MATCH(B66,'2016'!$A$5:$A$73,0)))</f>
        <v>4.3940000000000001</v>
      </c>
      <c r="H66" s="59">
        <v>4.2050000000000001</v>
      </c>
      <c r="I66" s="59">
        <v>4.0529999999999999</v>
      </c>
      <c r="J66" s="59">
        <v>3.7519999999999998</v>
      </c>
      <c r="K66" s="59">
        <v>3.0489999999999999</v>
      </c>
      <c r="L66" s="59">
        <v>2.7469999999999999</v>
      </c>
      <c r="M66" s="59">
        <v>2.8660000000000001</v>
      </c>
      <c r="N66" s="59">
        <v>2.8220000000000001</v>
      </c>
      <c r="O66" s="59">
        <v>2.4820000000000002</v>
      </c>
      <c r="P66" s="59">
        <v>2.2570000000000001</v>
      </c>
      <c r="Q66" s="59">
        <v>2.0539999999999998</v>
      </c>
    </row>
    <row r="67" spans="1:17" x14ac:dyDescent="0.2">
      <c r="A67" s="59" t="s">
        <v>159</v>
      </c>
      <c r="B67" s="59" t="s">
        <v>83</v>
      </c>
      <c r="C67" s="59">
        <f>IF(IFERROR(INDEX('2020'!$E$5:$E$73,MATCH(B67,'2020'!$A$5:$A$73,0)),0)=0,"N/A",INDEX('2020'!$E$5:$E$73,MATCH(B67,'2020'!$A$5:$A$73,0)))</f>
        <v>5.7750000000000004</v>
      </c>
      <c r="D67" s="59">
        <f>IF(IFERROR(INDEX('2019'!$E$5:$E$73,MATCH(B67,'2019'!$A$5:$A$73,0)),0)=0,"N/A",INDEX('2019'!$E$5:$E$73,MATCH(B67,'2019'!$A$5:$A$73,0)))</f>
        <v>6.43</v>
      </c>
      <c r="E67" s="59">
        <f>IF(IFERROR(INDEX('2018'!$E$5:$E$73,MATCH(B67,'2018'!$A$5:$A$73,0)),0)=0,"N/A",INDEX('2018'!$E$5:$E$73,MATCH(B67,'2018'!$A$5:$A$73,0)))</f>
        <v>5.6059999999999999</v>
      </c>
      <c r="F67" s="59">
        <f>IF(IFERROR(INDEX('2017'!$E$5:$E$73,MATCH(B67,'2017'!$A$5:$A$73,0)),0)=0,"N/A",INDEX('2017'!$E$5:$E$73,MATCH(B67,'2017'!$A$5:$A$73,0)))</f>
        <v>5.1230000000000002</v>
      </c>
      <c r="G67" s="67">
        <f>IF(IFERROR(INDEX('2016'!$E$5:$E$73,MATCH(B67,'2016'!$A$5:$A$73,0)),0)=0,"N/A",INDEX('2016'!$E$5:$E$73,MATCH(B67,'2016'!$A$5:$A$73,0)))</f>
        <v>5.24</v>
      </c>
      <c r="H67" s="59">
        <v>5.1459999999999999</v>
      </c>
      <c r="I67" s="59">
        <v>4.8</v>
      </c>
      <c r="J67" s="59">
        <v>4.2839999999999998</v>
      </c>
      <c r="K67" s="59">
        <v>3.86</v>
      </c>
      <c r="L67" s="59">
        <v>4.16</v>
      </c>
      <c r="M67" s="59">
        <v>3.5230000000000001</v>
      </c>
      <c r="N67" s="59">
        <v>3.4420000000000002</v>
      </c>
      <c r="O67" s="59">
        <v>3.6829999999999998</v>
      </c>
      <c r="P67" s="59">
        <v>4.5990000000000002</v>
      </c>
      <c r="Q67" s="59">
        <v>4.266</v>
      </c>
    </row>
    <row r="68" spans="1:17" x14ac:dyDescent="0.2">
      <c r="A68" s="59" t="s">
        <v>156</v>
      </c>
      <c r="B68" s="59" t="s">
        <v>42</v>
      </c>
      <c r="C68" s="59" t="str">
        <f>IF(IFERROR(INDEX('2020'!$E$5:$E$73,MATCH(B68,'2020'!$A$5:$A$73,0)),0)=0,"N/A",INDEX('2020'!$E$5:$E$73,MATCH(B68,'2020'!$A$5:$A$73,0)))</f>
        <v>N/A</v>
      </c>
      <c r="D68" s="59" t="str">
        <f>IF(IFERROR(INDEX('2019'!$E$5:$E$73,MATCH(B68,'2019'!$A$5:$A$73,0)),0)=0,"N/A",INDEX('2019'!$E$5:$E$73,MATCH(B68,'2019'!$A$5:$A$73,0)))</f>
        <v>N/A</v>
      </c>
      <c r="E68" s="59" t="str">
        <f>IF(IFERROR(INDEX('2018'!$E$5:$E$73,MATCH(B68,'2018'!$A$5:$A$73,0)),0)=0,"N/A",INDEX('2018'!$E$5:$E$73,MATCH(B68,'2018'!$A$5:$A$73,0)))</f>
        <v>N/A</v>
      </c>
      <c r="F68" s="59">
        <f>IF(IFERROR(INDEX('2017'!$E$5:$E$73,MATCH(B68,'2017'!$A$5:$A$73,0)),0)=0,"N/A",INDEX('2017'!$E$5:$E$73,MATCH(B68,'2017'!$A$5:$A$73,0)))</f>
        <v>5.93</v>
      </c>
      <c r="G68" s="67">
        <f>IF(IFERROR(INDEX('2016'!$E$5:$E$73,MATCH(B68,'2016'!$A$5:$A$73,0)),0)=0,"N/A",INDEX('2016'!$E$5:$E$73,MATCH(B68,'2016'!$A$5:$A$73,0)))</f>
        <v>5.6890000000000001</v>
      </c>
      <c r="H68" s="59">
        <v>5.4779999999999998</v>
      </c>
      <c r="I68" s="59">
        <v>5.3310000000000004</v>
      </c>
      <c r="J68" s="59">
        <v>5.0289999999999999</v>
      </c>
      <c r="K68" s="59">
        <v>5.032</v>
      </c>
      <c r="L68" s="59">
        <v>4.7119999999999997</v>
      </c>
      <c r="M68" s="59">
        <v>4.4409999999999998</v>
      </c>
      <c r="N68" s="59">
        <v>4.4009999999999998</v>
      </c>
      <c r="O68" s="59">
        <v>3.9649999999999999</v>
      </c>
      <c r="P68" s="59">
        <v>4.2939999999999996</v>
      </c>
      <c r="Q68" s="59">
        <v>3.694</v>
      </c>
    </row>
    <row r="69" spans="1:17" x14ac:dyDescent="0.2">
      <c r="A69" s="59" t="s">
        <v>217</v>
      </c>
      <c r="B69" s="59" t="s">
        <v>44</v>
      </c>
      <c r="C69" s="59">
        <f>IF(IFERROR(INDEX('2020'!$E$5:$E$73,MATCH(B69,'2020'!$A$5:$A$73,0)),0)=0,"N/A",INDEX('2020'!$E$5:$E$73,MATCH(B69,'2020'!$A$5:$A$73,0)))</f>
        <v>6.8979999999999997</v>
      </c>
      <c r="D69" s="59">
        <f>IF(IFERROR(INDEX('2019'!$E$5:$E$73,MATCH(B69,'2019'!$A$5:$A$73,0)),0)=0,"N/A",INDEX('2019'!$E$5:$E$73,MATCH(B69,'2019'!$A$5:$A$73,0)))</f>
        <v>6.5279999999999996</v>
      </c>
      <c r="E69" s="59">
        <f>IF(IFERROR(INDEX('2018'!$E$5:$E$73,MATCH(B69,'2018'!$A$5:$A$73,0)),0)=0,"N/A",INDEX('2018'!$E$5:$E$73,MATCH(B69,'2018'!$A$5:$A$73,0)))</f>
        <v>6.0380000000000003</v>
      </c>
      <c r="F69" s="59">
        <f>IF(IFERROR(INDEX('2017'!$E$5:$E$73,MATCH(B69,'2017'!$A$5:$A$73,0)),0)=0,"N/A",INDEX('2017'!$E$5:$E$73,MATCH(B69,'2017'!$A$5:$A$73,0)))</f>
        <v>5.69</v>
      </c>
      <c r="G69" s="67">
        <f>IF(IFERROR(INDEX('2016'!$E$5:$E$73,MATCH(B69,'2016'!$A$5:$A$73,0)),0)=0,"N/A",INDEX('2016'!$E$5:$E$73,MATCH(B69,'2016'!$A$5:$A$73,0)))</f>
        <v>5.391</v>
      </c>
      <c r="H69" s="59">
        <v>3.871</v>
      </c>
      <c r="I69" s="59">
        <v>4.468</v>
      </c>
      <c r="J69" s="59">
        <v>4.3259999999999996</v>
      </c>
      <c r="K69" s="59">
        <v>4.008</v>
      </c>
      <c r="L69" s="59">
        <v>3.6840000000000002</v>
      </c>
      <c r="M69" s="59">
        <v>3.302</v>
      </c>
      <c r="N69" s="59">
        <v>3.1080000000000001</v>
      </c>
      <c r="O69" s="59">
        <v>2.9550000000000001</v>
      </c>
      <c r="P69" s="59">
        <v>2.9830000000000001</v>
      </c>
      <c r="Q69" s="59">
        <v>2.8980000000000001</v>
      </c>
    </row>
    <row r="70" spans="1:17" x14ac:dyDescent="0.2">
      <c r="A70" s="59" t="s">
        <v>157</v>
      </c>
      <c r="B70" s="59" t="s">
        <v>43</v>
      </c>
      <c r="C70" s="59" t="str">
        <f>IF(IFERROR(INDEX('2020'!$E$5:$E$73,MATCH(B70,'2020'!$A$5:$A$73,0)),0)=0,"N/A",INDEX('2020'!$E$5:$E$73,MATCH(B70,'2020'!$A$5:$A$73,0)))</f>
        <v>N/A</v>
      </c>
      <c r="D70" s="59" t="str">
        <f>IF(IFERROR(INDEX('2019'!$E$5:$E$73,MATCH(B70,'2019'!$A$5:$A$73,0)),0)=0,"N/A",INDEX('2019'!$E$5:$E$73,MATCH(B70,'2019'!$A$5:$A$73,0)))</f>
        <v>N/A</v>
      </c>
      <c r="E70" s="59" t="str">
        <f>IF(IFERROR(INDEX('2018'!$E$5:$E$73,MATCH(B70,'2018'!$A$5:$A$73,0)),0)=0,"N/A",INDEX('2018'!$E$5:$E$73,MATCH(B70,'2018'!$A$5:$A$73,0)))</f>
        <v>N/A</v>
      </c>
      <c r="F70" s="59">
        <f>IF(IFERROR(INDEX('2017'!$E$5:$E$73,MATCH(B70,'2017'!$A$5:$A$73,0)),0)=0,"N/A",INDEX('2017'!$E$5:$E$73,MATCH(B70,'2017'!$A$5:$A$73,0)))</f>
        <v>4.9000000000000004</v>
      </c>
      <c r="G70" s="67">
        <f>IF(IFERROR(INDEX('2016'!$E$5:$E$73,MATCH(B70,'2016'!$A$5:$A$73,0)),0)=0,"N/A",INDEX('2016'!$E$5:$E$73,MATCH(B70,'2016'!$A$5:$A$73,0)))</f>
        <v>4.8319999999999999</v>
      </c>
      <c r="H70" s="59">
        <v>4.2629999999999999</v>
      </c>
      <c r="I70" s="59">
        <v>4.5540000000000003</v>
      </c>
      <c r="J70" s="59">
        <v>4.4059999999999997</v>
      </c>
      <c r="K70" s="59">
        <v>4.3</v>
      </c>
      <c r="L70" s="59">
        <v>3.9649999999999999</v>
      </c>
      <c r="M70" s="59">
        <v>4.2350000000000003</v>
      </c>
      <c r="N70" s="59">
        <v>3.593</v>
      </c>
      <c r="O70" s="59">
        <v>3.1349999999999998</v>
      </c>
      <c r="P70" s="59">
        <v>3.774</v>
      </c>
      <c r="Q70" s="59">
        <v>3.9420000000000002</v>
      </c>
    </row>
    <row r="71" spans="1:17" x14ac:dyDescent="0.2">
      <c r="A71" s="59" t="s">
        <v>205</v>
      </c>
      <c r="B71" s="59" t="s">
        <v>206</v>
      </c>
      <c r="C71" s="59" t="str">
        <f>IF(IFERROR(INDEX('2020'!$E$5:$E$73,MATCH(B71,'2020'!$A$5:$A$73,0)),0)=0,"N/A",INDEX('2020'!$E$5:$E$73,MATCH(B71,'2020'!$A$5:$A$73,0)))</f>
        <v>N/A</v>
      </c>
      <c r="D71" s="59" t="str">
        <f>IF(IFERROR(INDEX('2019'!$E$5:$E$73,MATCH(B71,'2019'!$A$5:$A$73,0)),0)=0,"N/A",INDEX('2019'!$E$5:$E$73,MATCH(B71,'2019'!$A$5:$A$73,0)))</f>
        <v>N/A</v>
      </c>
      <c r="E71" s="59" t="str">
        <f>IF(IFERROR(INDEX('2018'!$E$5:$E$73,MATCH(B71,'2018'!$A$5:$A$73,0)),0)=0,"N/A",INDEX('2018'!$E$5:$E$73,MATCH(B71,'2018'!$A$5:$A$73,0)))</f>
        <v>N/A</v>
      </c>
      <c r="F71" s="59">
        <f>IF(IFERROR(INDEX('2017'!$E$5:$E$73,MATCH(B71,'2017'!$A$5:$A$73,0)),0)=0,"N/A",INDEX('2017'!$E$5:$E$73,MATCH(B71,'2017'!$A$5:$A$73,0)))</f>
        <v>6.1139999999999999</v>
      </c>
      <c r="G71" s="67">
        <f>IF(IFERROR(INDEX('2016'!$E$5:$E$73,MATCH(B71,'2016'!$A$5:$A$73,0)),0)=0,"N/A",INDEX('2016'!$E$5:$E$73,MATCH(B71,'2016'!$A$5:$A$73,0)))</f>
        <v>5.7690000000000001</v>
      </c>
      <c r="H71" s="59">
        <v>5.601</v>
      </c>
      <c r="I71" s="59">
        <v>4.8</v>
      </c>
      <c r="J71" s="59">
        <v>4.2869999999999999</v>
      </c>
      <c r="K71" s="59">
        <v>4.5330000000000004</v>
      </c>
      <c r="L71" s="59">
        <v>4.0129999999999999</v>
      </c>
      <c r="M71" s="59">
        <v>4.1109999999999998</v>
      </c>
      <c r="N71" s="59">
        <v>4.4429999999999996</v>
      </c>
      <c r="O71" s="59">
        <v>4.3390000000000004</v>
      </c>
      <c r="P71" s="59">
        <v>3.887</v>
      </c>
      <c r="Q71" s="59">
        <v>3.8410000000000002</v>
      </c>
    </row>
    <row r="72" spans="1:17" x14ac:dyDescent="0.2">
      <c r="A72" s="59" t="s">
        <v>158</v>
      </c>
      <c r="B72" s="59" t="s">
        <v>45</v>
      </c>
      <c r="C72" s="59">
        <f>IF(IFERROR(INDEX('2020'!$E$5:$E$73,MATCH(B72,'2020'!$A$5:$A$73,0)),0)=0,"N/A",INDEX('2020'!$E$5:$E$73,MATCH(B72,'2020'!$A$5:$A$73,0)))</f>
        <v>6.6150000000000002</v>
      </c>
      <c r="D72" s="59">
        <f>IF(IFERROR(INDEX('2019'!$E$5:$E$73,MATCH(B72,'2019'!$A$5:$A$73,0)),0)=0,"N/A",INDEX('2019'!$E$5:$E$73,MATCH(B72,'2019'!$A$5:$A$73,0)))</f>
        <v>6.2450000000000001</v>
      </c>
      <c r="E72" s="59">
        <f>IF(IFERROR(INDEX('2018'!$E$5:$E$73,MATCH(B72,'2018'!$A$5:$A$73,0)),0)=0,"N/A",INDEX('2018'!$E$5:$E$73,MATCH(B72,'2018'!$A$5:$A$73,0)))</f>
        <v>5.9180000000000001</v>
      </c>
      <c r="F72" s="59">
        <f>IF(IFERROR(INDEX('2017'!$E$5:$E$73,MATCH(B72,'2017'!$A$5:$A$73,0)),0)=0,"N/A",INDEX('2017'!$E$5:$E$73,MATCH(B72,'2017'!$A$5:$A$73,0)))</f>
        <v>5.4649999999999999</v>
      </c>
      <c r="G72" s="67">
        <f>IF(IFERROR(INDEX('2016'!$E$5:$E$73,MATCH(B72,'2016'!$A$5:$A$73,0)),0)=0,"N/A",INDEX('2016'!$E$5:$E$73,MATCH(B72,'2016'!$A$5:$A$73,0)))</f>
        <v>5.0430000000000001</v>
      </c>
      <c r="H72" s="59">
        <v>4.5570000000000004</v>
      </c>
      <c r="I72" s="59">
        <v>4.2850000000000001</v>
      </c>
      <c r="J72" s="59">
        <v>4.101</v>
      </c>
      <c r="K72" s="59">
        <v>4.0010000000000003</v>
      </c>
      <c r="L72" s="59">
        <v>3.7850000000000001</v>
      </c>
      <c r="M72" s="59">
        <v>3.512</v>
      </c>
      <c r="N72" s="59">
        <v>3.4769999999999999</v>
      </c>
      <c r="O72" s="59">
        <v>3.5019999999999998</v>
      </c>
      <c r="P72" s="59">
        <v>3.4540000000000002</v>
      </c>
      <c r="Q72" s="59">
        <v>3.6070000000000002</v>
      </c>
    </row>
    <row r="73" spans="1:17" x14ac:dyDescent="0.2">
      <c r="A73" s="59" t="s">
        <v>207</v>
      </c>
      <c r="B73" s="59" t="s">
        <v>208</v>
      </c>
      <c r="C73" s="59">
        <f>IF(IFERROR(INDEX('2020'!$E$5:$E$73,MATCH(B73,'2020'!$A$5:$A$73,0)),0)=0,"N/A",INDEX('2020'!$E$5:$E$73,MATCH(B73,'2020'!$A$5:$A$73,0)))</f>
        <v>1.897</v>
      </c>
      <c r="D73" s="59">
        <f>IF(IFERROR(INDEX('2019'!$E$5:$E$73,MATCH(B73,'2019'!$A$5:$A$73,0)),0)=0,"N/A",INDEX('2019'!$E$5:$E$73,MATCH(B73,'2019'!$A$5:$A$73,0)))</f>
        <v>1.6970000000000001</v>
      </c>
      <c r="E73" s="59">
        <f>IF(IFERROR(INDEX('2018'!$E$5:$E$73,MATCH(B73,'2018'!$A$5:$A$73,0)),0)=0,"N/A",INDEX('2018'!$E$5:$E$73,MATCH(B73,'2018'!$A$5:$A$73,0)))</f>
        <v>1.575</v>
      </c>
      <c r="F73" s="59">
        <f>IF(IFERROR(INDEX('2017'!$E$5:$E$73,MATCH(B73,'2017'!$A$5:$A$73,0)),0)=0,"N/A",INDEX('2017'!$E$5:$E$73,MATCH(B73,'2017'!$A$5:$A$73,0)))</f>
        <v>1.534</v>
      </c>
      <c r="G73" s="67">
        <f>IF(IFERROR(INDEX('2016'!$E$5:$E$73,MATCH(B73,'2016'!$A$5:$A$73,0)),0)=0,"N/A",INDEX('2016'!$E$5:$E$73,MATCH(B73,'2016'!$A$5:$A$73,0)))</f>
        <v>1.421</v>
      </c>
      <c r="H73" s="59">
        <v>1.4550000000000001</v>
      </c>
      <c r="I73" s="59">
        <v>1.357</v>
      </c>
      <c r="J73" s="59">
        <v>1.1859999999999999</v>
      </c>
      <c r="K73" s="59">
        <v>1.1200000000000001</v>
      </c>
      <c r="L73" s="59">
        <v>1.0940000000000001</v>
      </c>
      <c r="M73" s="59">
        <v>1.0649999999999999</v>
      </c>
      <c r="N73" s="59">
        <v>0.94899999999999995</v>
      </c>
      <c r="O73" s="59">
        <v>0.88400000000000001</v>
      </c>
      <c r="P73" s="59">
        <v>0.85599999999999998</v>
      </c>
      <c r="Q73" s="59">
        <v>0.76900000000000002</v>
      </c>
    </row>
  </sheetData>
  <autoFilter ref="A3:R73"/>
  <sortState ref="A2:T90">
    <sortCondition ref="B2:B90"/>
  </sortState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R72"/>
  <sheetViews>
    <sheetView zoomScale="102" zoomScaleNormal="102" workbookViewId="0">
      <selection activeCell="D1" sqref="D1"/>
    </sheetView>
  </sheetViews>
  <sheetFormatPr defaultColWidth="8.69921875" defaultRowHeight="10.199999999999999" x14ac:dyDescent="0.2"/>
  <cols>
    <col min="1" max="1" width="19.19921875" style="59" customWidth="1"/>
    <col min="2" max="2" width="5.69921875" style="59" bestFit="1" customWidth="1"/>
    <col min="3" max="4" width="5.69921875" style="59" customWidth="1"/>
    <col min="5" max="6" width="6.8984375" style="59" bestFit="1" customWidth="1"/>
    <col min="7" max="17" width="7" style="59" bestFit="1" customWidth="1"/>
    <col min="18" max="16384" width="8.69921875" style="59"/>
  </cols>
  <sheetData>
    <row r="1" spans="1:18" ht="30.6" x14ac:dyDescent="0.2">
      <c r="A1" s="58" t="s">
        <v>315</v>
      </c>
      <c r="C1" s="59">
        <v>2020</v>
      </c>
      <c r="D1" s="60">
        <v>2019</v>
      </c>
      <c r="E1" s="60">
        <v>2018</v>
      </c>
      <c r="F1" s="60">
        <v>2017</v>
      </c>
      <c r="G1" s="60">
        <v>2016</v>
      </c>
      <c r="H1" s="60">
        <v>2015</v>
      </c>
      <c r="I1" s="60">
        <v>2014</v>
      </c>
      <c r="J1" s="60">
        <v>2013</v>
      </c>
      <c r="K1" s="60">
        <v>2012</v>
      </c>
      <c r="L1" s="60">
        <v>2011</v>
      </c>
      <c r="M1" s="60">
        <v>2010</v>
      </c>
      <c r="N1" s="60">
        <v>2009</v>
      </c>
      <c r="O1" s="60">
        <v>2008</v>
      </c>
      <c r="P1" s="60">
        <v>2007</v>
      </c>
      <c r="Q1" s="60">
        <v>2006</v>
      </c>
    </row>
    <row r="2" spans="1:18" x14ac:dyDescent="0.2">
      <c r="A2" s="67" t="s">
        <v>314</v>
      </c>
      <c r="E2" s="69">
        <f>'2018'!$A$1</f>
        <v>43642</v>
      </c>
      <c r="F2" s="69">
        <f>'2017'!$A$1</f>
        <v>43272</v>
      </c>
      <c r="G2" s="69">
        <f>'2016'!$A$1</f>
        <v>42907</v>
      </c>
      <c r="H2" s="74">
        <v>42840</v>
      </c>
      <c r="I2" s="74">
        <v>42840</v>
      </c>
      <c r="J2" s="74">
        <v>42840</v>
      </c>
      <c r="K2" s="74">
        <v>42840</v>
      </c>
      <c r="L2" s="74">
        <v>42840</v>
      </c>
      <c r="M2" s="74">
        <v>42840</v>
      </c>
      <c r="N2" s="74">
        <v>42840</v>
      </c>
      <c r="O2" s="74">
        <v>42840</v>
      </c>
      <c r="P2" s="74">
        <v>42840</v>
      </c>
      <c r="Q2" s="74">
        <v>42840</v>
      </c>
      <c r="R2" s="59" t="s">
        <v>347</v>
      </c>
    </row>
    <row r="3" spans="1:18" x14ac:dyDescent="0.2">
      <c r="A3" s="59" t="s">
        <v>117</v>
      </c>
      <c r="B3" s="59" t="s">
        <v>99</v>
      </c>
      <c r="G3" s="59" t="s">
        <v>295</v>
      </c>
      <c r="H3" s="59" t="s">
        <v>294</v>
      </c>
      <c r="I3" s="59" t="s">
        <v>293</v>
      </c>
      <c r="J3" s="59" t="s">
        <v>292</v>
      </c>
      <c r="K3" s="59" t="s">
        <v>291</v>
      </c>
      <c r="L3" s="59" t="s">
        <v>290</v>
      </c>
      <c r="M3" s="59" t="s">
        <v>289</v>
      </c>
      <c r="N3" s="59" t="s">
        <v>288</v>
      </c>
      <c r="O3" s="59" t="s">
        <v>287</v>
      </c>
      <c r="P3" s="59" t="s">
        <v>286</v>
      </c>
      <c r="Q3" s="59" t="s">
        <v>285</v>
      </c>
    </row>
    <row r="4" spans="1:18" x14ac:dyDescent="0.2">
      <c r="A4" s="59" t="s">
        <v>162</v>
      </c>
      <c r="B4" s="59" t="s">
        <v>163</v>
      </c>
      <c r="C4" s="59">
        <f>IF(IFERROR(INDEX('2020'!$F$5:$F$73,MATCH(B4,'2020'!$A$5:$A$73,0)),0)=0,"N/A",INDEX('2020'!$F$5:$F$73,MATCH(B4,'2020'!$A$5:$A$73,0)))</f>
        <v>0.23</v>
      </c>
      <c r="D4" s="59">
        <f>IF(IFERROR(INDEX('2019'!$F$5:$F$73,MATCH(B4,'2019'!$A$5:$A$73,0)),0)=0,"N/A",INDEX('2019'!$F$5:$F$73,MATCH(B4,'2019'!$A$5:$A$73,0)))</f>
        <v>1.94</v>
      </c>
      <c r="E4" s="59">
        <f>IF(IFERROR(INDEX('2018'!$F$5:$F$73,MATCH(B4,'2018'!$A$5:$A$73,0)),0)=0,"N/A",INDEX('2018'!$F$5:$F$73,MATCH(B4,'2018'!$A$5:$A$73,0)))</f>
        <v>0.7</v>
      </c>
      <c r="F4" s="59">
        <f>IF(IFERROR(INDEX('2017'!$F$5:$F$73,MATCH(B4,'2017'!$A$5:$A$73,0)),0)=0,"N/A",INDEX('2017'!$F$5:$F$73,MATCH(B4,'2017'!$A$5:$A$73,0)))</f>
        <v>-0.11</v>
      </c>
      <c r="G4" s="67">
        <f>IF(IFERROR(INDEX('2016'!$F$5:$F$73,MATCH(B4,'2016'!$A$5:$A$73,0)),0)=0,"N/A",INDEX('2016'!$F$5:$F$73,MATCH(B4,'2016'!$A$5:$A$73,0)))</f>
        <v>0.6</v>
      </c>
      <c r="H4" s="59">
        <v>-0.3</v>
      </c>
      <c r="I4" s="59">
        <v>1.48</v>
      </c>
      <c r="J4" s="59">
        <v>5.24</v>
      </c>
      <c r="K4" s="59">
        <v>6.53</v>
      </c>
      <c r="L4" s="59">
        <v>4.99</v>
      </c>
      <c r="M4" s="59">
        <v>2.0499999999999998</v>
      </c>
      <c r="N4" s="59">
        <v>0.98</v>
      </c>
      <c r="O4" s="59">
        <v>-1.32</v>
      </c>
      <c r="P4" s="59">
        <v>2.1789999999999998</v>
      </c>
      <c r="Q4" s="59">
        <v>2.4900000000000002</v>
      </c>
    </row>
    <row r="5" spans="1:18" x14ac:dyDescent="0.2">
      <c r="A5" s="59" t="s">
        <v>119</v>
      </c>
      <c r="B5" s="59" t="s">
        <v>0</v>
      </c>
      <c r="C5" s="59">
        <f>IF(IFERROR(INDEX('2020'!$F$5:$F$73,MATCH(B5,'2020'!$A$5:$A$73,0)),0)=0,"N/A",INDEX('2020'!$F$5:$F$73,MATCH(B5,'2020'!$A$5:$A$73,0)))</f>
        <v>3.35</v>
      </c>
      <c r="D5" s="59">
        <f>IF(IFERROR(INDEX('2019'!$F$5:$F$73,MATCH(B5,'2019'!$A$5:$A$73,0)),0)=0,"N/A",INDEX('2019'!$F$5:$F$73,MATCH(B5,'2019'!$A$5:$A$73,0)))</f>
        <v>3.33</v>
      </c>
      <c r="E5" s="59">
        <f>IF(IFERROR(INDEX('2018'!$F$5:$F$73,MATCH(B5,'2018'!$A$5:$A$73,0)),0)=0,"N/A",INDEX('2018'!$F$5:$F$73,MATCH(B5,'2018'!$A$5:$A$73,0)))</f>
        <v>3.38</v>
      </c>
      <c r="F5" s="59">
        <f>IF(IFERROR(INDEX('2017'!$F$5:$F$73,MATCH(B5,'2017'!$A$5:$A$73,0)),0)=0,"N/A",INDEX('2017'!$F$5:$F$73,MATCH(B5,'2017'!$A$5:$A$73,0)))</f>
        <v>3.13</v>
      </c>
      <c r="G5" s="67">
        <f>IF(IFERROR(INDEX('2016'!$F$5:$F$73,MATCH(B5,'2016'!$A$5:$A$73,0)),0)=0,"N/A",INDEX('2016'!$F$5:$F$73,MATCH(B5,'2016'!$A$5:$A$73,0)))</f>
        <v>3.14</v>
      </c>
      <c r="H5" s="59">
        <v>3.38</v>
      </c>
      <c r="I5" s="59">
        <v>2.9</v>
      </c>
      <c r="J5" s="59">
        <v>2.63</v>
      </c>
      <c r="K5" s="59">
        <v>2.58</v>
      </c>
      <c r="L5" s="59">
        <v>2.65</v>
      </c>
      <c r="M5" s="59">
        <v>2.19</v>
      </c>
      <c r="N5" s="59">
        <v>1.89</v>
      </c>
      <c r="O5" s="59">
        <v>2.82</v>
      </c>
      <c r="P5" s="59">
        <v>3.08</v>
      </c>
      <c r="Q5" s="59">
        <v>2.77</v>
      </c>
    </row>
    <row r="6" spans="1:18" x14ac:dyDescent="0.2">
      <c r="A6" s="59" t="s">
        <v>120</v>
      </c>
      <c r="B6" s="59" t="s">
        <v>1</v>
      </c>
      <c r="C6" s="59">
        <f>IF(IFERROR(INDEX('2020'!$F$5:$F$73,MATCH(B6,'2020'!$A$5:$A$73,0)),0)=0,"N/A",INDEX('2020'!$F$5:$F$73,MATCH(B6,'2020'!$A$5:$A$73,0)))</f>
        <v>2.4700000000000002</v>
      </c>
      <c r="D6" s="59">
        <f>IF(IFERROR(INDEX('2019'!$F$5:$F$73,MATCH(B6,'2019'!$A$5:$A$73,0)),0)=0,"N/A",INDEX('2019'!$F$5:$F$73,MATCH(B6,'2019'!$A$5:$A$73,0)))</f>
        <v>2.33</v>
      </c>
      <c r="E6" s="59">
        <f>IF(IFERROR(INDEX('2018'!$F$5:$F$73,MATCH(B6,'2018'!$A$5:$A$73,0)),0)=0,"N/A",INDEX('2018'!$F$5:$F$73,MATCH(B6,'2018'!$A$5:$A$73,0)))</f>
        <v>2.19</v>
      </c>
      <c r="F6" s="59">
        <f>IF(IFERROR(INDEX('2017'!$F$5:$F$73,MATCH(B6,'2017'!$A$5:$A$73,0)),0)=0,"N/A",INDEX('2017'!$F$5:$F$73,MATCH(B6,'2017'!$A$5:$A$73,0)))</f>
        <v>1.99</v>
      </c>
      <c r="G6" s="67">
        <f>IF(IFERROR(INDEX('2016'!$F$5:$F$73,MATCH(B6,'2016'!$A$5:$A$73,0)),0)=0,"N/A",INDEX('2016'!$F$5:$F$73,MATCH(B6,'2016'!$A$5:$A$73,0)))</f>
        <v>1.65</v>
      </c>
      <c r="H6" s="59">
        <v>1.69</v>
      </c>
      <c r="I6" s="59">
        <v>1.74</v>
      </c>
      <c r="J6" s="59">
        <v>1.645</v>
      </c>
      <c r="K6" s="59">
        <v>1.5249999999999999</v>
      </c>
      <c r="L6" s="59">
        <v>1.375</v>
      </c>
      <c r="M6" s="59">
        <v>1.375</v>
      </c>
      <c r="N6" s="59">
        <v>0.94499999999999995</v>
      </c>
      <c r="O6" s="59">
        <v>1.27</v>
      </c>
      <c r="P6" s="59">
        <v>1.345</v>
      </c>
      <c r="Q6" s="59">
        <v>1.03</v>
      </c>
    </row>
    <row r="7" spans="1:18" x14ac:dyDescent="0.2">
      <c r="A7" s="59" t="s">
        <v>121</v>
      </c>
      <c r="B7" s="59" t="s">
        <v>2</v>
      </c>
      <c r="C7" s="59">
        <f>IF(IFERROR(INDEX('2020'!$F$5:$F$73,MATCH(B7,'2020'!$A$5:$A$73,0)),0)=0,"N/A",INDEX('2020'!$F$5:$F$73,MATCH(B7,'2020'!$A$5:$A$73,0)))</f>
        <v>4.42</v>
      </c>
      <c r="D7" s="59">
        <f>IF(IFERROR(INDEX('2019'!$F$5:$F$73,MATCH(B7,'2019'!$A$5:$A$73,0)),0)=0,"N/A",INDEX('2019'!$F$5:$F$73,MATCH(B7,'2019'!$A$5:$A$73,0)))</f>
        <v>4.08</v>
      </c>
      <c r="E7" s="59">
        <f>IF(IFERROR(INDEX('2018'!$F$5:$F$73,MATCH(B7,'2018'!$A$5:$A$73,0)),0)=0,"N/A",INDEX('2018'!$F$5:$F$73,MATCH(B7,'2018'!$A$5:$A$73,0)))</f>
        <v>3.9</v>
      </c>
      <c r="F7" s="59">
        <f>IF(IFERROR(INDEX('2017'!$F$5:$F$73,MATCH(B7,'2017'!$A$5:$A$73,0)),0)=0,"N/A",INDEX('2017'!$F$5:$F$73,MATCH(B7,'2017'!$A$5:$A$73,0)))</f>
        <v>3.62</v>
      </c>
      <c r="G7" s="67">
        <f>IF(IFERROR(INDEX('2016'!$F$5:$F$73,MATCH(B7,'2016'!$A$5:$A$73,0)),0)=0,"N/A",INDEX('2016'!$F$5:$F$73,MATCH(B7,'2016'!$A$5:$A$73,0)))</f>
        <v>4.2300000000000004</v>
      </c>
      <c r="H7" s="59">
        <v>3.59</v>
      </c>
      <c r="I7" s="59">
        <v>3.34</v>
      </c>
      <c r="J7" s="59">
        <v>3.18</v>
      </c>
      <c r="K7" s="59">
        <v>2.98</v>
      </c>
      <c r="L7" s="59">
        <v>3.13</v>
      </c>
      <c r="M7" s="59">
        <v>2.6</v>
      </c>
      <c r="N7" s="59">
        <v>2.97</v>
      </c>
      <c r="O7" s="59">
        <v>2.99</v>
      </c>
      <c r="P7" s="59">
        <v>2.86</v>
      </c>
      <c r="Q7" s="59">
        <v>2.86</v>
      </c>
    </row>
    <row r="8" spans="1:18" x14ac:dyDescent="0.2">
      <c r="A8" s="59" t="s">
        <v>164</v>
      </c>
      <c r="B8" s="59" t="s">
        <v>165</v>
      </c>
      <c r="C8" s="59">
        <f>IF(IFERROR(INDEX('2020'!$F$5:$F$73,MATCH(B8,'2020'!$A$5:$A$73,0)),0)=0,"N/A",INDEX('2020'!$F$5:$F$73,MATCH(B8,'2020'!$A$5:$A$73,0)))</f>
        <v>2.33</v>
      </c>
      <c r="D8" s="59">
        <f>IF(IFERROR(INDEX('2019'!$F$5:$F$73,MATCH(B8,'2019'!$A$5:$A$73,0)),0)=0,"N/A",INDEX('2019'!$F$5:$F$73,MATCH(B8,'2019'!$A$5:$A$73,0)))</f>
        <v>2.2799999999999998</v>
      </c>
      <c r="E8" s="59">
        <f>IF(IFERROR(INDEX('2018'!$F$5:$F$73,MATCH(B8,'2018'!$A$5:$A$73,0)),0)=0,"N/A",INDEX('2018'!$F$5:$F$73,MATCH(B8,'2018'!$A$5:$A$73,0)))</f>
        <v>1.72</v>
      </c>
      <c r="F8" s="59">
        <f>IF(IFERROR(INDEX('2017'!$F$5:$F$73,MATCH(B8,'2017'!$A$5:$A$73,0)),0)=0,"N/A",INDEX('2017'!$F$5:$F$73,MATCH(B8,'2017'!$A$5:$A$73,0)))</f>
        <v>1.88</v>
      </c>
      <c r="G8" s="67">
        <f>IF(IFERROR(INDEX('2016'!$F$5:$F$73,MATCH(B8,'2016'!$A$5:$A$73,0)),0)=0,"N/A",INDEX('2016'!$F$5:$F$73,MATCH(B8,'2016'!$A$5:$A$73,0)))</f>
        <v>1.62</v>
      </c>
      <c r="H8" s="59">
        <v>1.6</v>
      </c>
      <c r="I8" s="59">
        <v>1.57</v>
      </c>
      <c r="J8" s="59">
        <v>1.61</v>
      </c>
      <c r="K8" s="59">
        <v>1.41</v>
      </c>
      <c r="L8" s="59">
        <v>1.1200000000000001</v>
      </c>
      <c r="M8" s="59">
        <v>1.1100000000000001</v>
      </c>
      <c r="N8" s="59">
        <v>0.81</v>
      </c>
      <c r="O8" s="59">
        <v>0.77500000000000002</v>
      </c>
      <c r="P8" s="59">
        <v>0.81</v>
      </c>
      <c r="Q8" s="59">
        <v>0.66500000000000004</v>
      </c>
    </row>
    <row r="9" spans="1:18" x14ac:dyDescent="0.2">
      <c r="A9" s="59" t="s">
        <v>166</v>
      </c>
      <c r="B9" s="59" t="s">
        <v>167</v>
      </c>
      <c r="C9" s="59">
        <f>IF(IFERROR(INDEX('2020'!$F$5:$F$73,MATCH(B9,'2020'!$A$5:$A$73,0)),0)=0,"N/A",INDEX('2020'!$F$5:$F$73,MATCH(B9,'2020'!$A$5:$A$73,0)))</f>
        <v>3.91</v>
      </c>
      <c r="D9" s="59">
        <f>IF(IFERROR(INDEX('2019'!$F$5:$F$73,MATCH(B9,'2019'!$A$5:$A$73,0)),0)=0,"N/A",INDEX('2019'!$F$5:$F$73,MATCH(B9,'2019'!$A$5:$A$73,0)))</f>
        <v>3.43</v>
      </c>
      <c r="E9" s="59">
        <f>IF(IFERROR(INDEX('2018'!$F$5:$F$73,MATCH(B9,'2018'!$A$5:$A$73,0)),0)=0,"N/A",INDEX('2018'!$F$5:$F$73,MATCH(B9,'2018'!$A$5:$A$73,0)))</f>
        <v>3.15</v>
      </c>
      <c r="F9" s="59">
        <f>IF(IFERROR(INDEX('2017'!$F$5:$F$73,MATCH(B9,'2017'!$A$5:$A$73,0)),0)=0,"N/A",INDEX('2017'!$F$5:$F$73,MATCH(B9,'2017'!$A$5:$A$73,0)))</f>
        <v>2.38</v>
      </c>
      <c r="G9" s="67">
        <f>IF(IFERROR(INDEX('2016'!$F$5:$F$73,MATCH(B9,'2016'!$A$5:$A$73,0)),0)=0,"N/A",INDEX('2016'!$F$5:$F$73,MATCH(B9,'2016'!$A$5:$A$73,0)))</f>
        <v>2.62</v>
      </c>
      <c r="H9" s="59">
        <v>2.64</v>
      </c>
      <c r="I9" s="59">
        <v>2.39</v>
      </c>
      <c r="J9" s="59">
        <v>2.06</v>
      </c>
      <c r="K9" s="59">
        <v>2.11</v>
      </c>
      <c r="L9" s="59">
        <v>1.72</v>
      </c>
      <c r="M9" s="59">
        <v>1.53</v>
      </c>
      <c r="N9" s="59">
        <v>1.25</v>
      </c>
      <c r="O9" s="59">
        <v>1.1000000000000001</v>
      </c>
      <c r="P9" s="59">
        <v>-2.14</v>
      </c>
      <c r="Q9" s="59">
        <v>-0.97</v>
      </c>
    </row>
    <row r="10" spans="1:18" x14ac:dyDescent="0.2">
      <c r="A10" s="59" t="s">
        <v>122</v>
      </c>
      <c r="B10" s="59" t="s">
        <v>3</v>
      </c>
      <c r="C10" s="59">
        <f>IF(IFERROR(INDEX('2020'!$F$5:$F$73,MATCH(B10,'2020'!$A$5:$A$73,0)),0)=0,"N/A",INDEX('2020'!$F$5:$F$73,MATCH(B10,'2020'!$A$5:$A$73,0)))</f>
        <v>3.5</v>
      </c>
      <c r="D10" s="59">
        <f>IF(IFERROR(INDEX('2019'!$F$5:$F$73,MATCH(B10,'2019'!$A$5:$A$73,0)),0)=0,"N/A",INDEX('2019'!$F$5:$F$73,MATCH(B10,'2019'!$A$5:$A$73,0)))</f>
        <v>3.35</v>
      </c>
      <c r="E10" s="59">
        <f>IF(IFERROR(INDEX('2018'!$F$5:$F$73,MATCH(B10,'2018'!$A$5:$A$73,0)),0)=0,"N/A",INDEX('2018'!$F$5:$F$73,MATCH(B10,'2018'!$A$5:$A$73,0)))</f>
        <v>3.32</v>
      </c>
      <c r="F10" s="59">
        <f>IF(IFERROR(INDEX('2017'!$F$5:$F$73,MATCH(B10,'2017'!$A$5:$A$73,0)),0)=0,"N/A",INDEX('2017'!$F$5:$F$73,MATCH(B10,'2017'!$A$5:$A$73,0)))</f>
        <v>2.77</v>
      </c>
      <c r="G10" s="67">
        <f>IF(IFERROR(INDEX('2016'!$F$5:$F$73,MATCH(B10,'2016'!$A$5:$A$73,0)),0)=0,"N/A",INDEX('2016'!$F$5:$F$73,MATCH(B10,'2016'!$A$5:$A$73,0)))</f>
        <v>2.68</v>
      </c>
      <c r="H10" s="59">
        <v>2.38</v>
      </c>
      <c r="I10" s="59">
        <v>2.4</v>
      </c>
      <c r="J10" s="59">
        <v>2.1</v>
      </c>
      <c r="K10" s="59">
        <v>2.41</v>
      </c>
      <c r="L10" s="59">
        <v>2.4700000000000002</v>
      </c>
      <c r="M10" s="59">
        <v>2.77</v>
      </c>
      <c r="N10" s="59">
        <v>2.78</v>
      </c>
      <c r="O10" s="59">
        <v>2.88</v>
      </c>
      <c r="P10" s="59">
        <v>2.98</v>
      </c>
      <c r="Q10" s="59">
        <v>2.66</v>
      </c>
    </row>
    <row r="11" spans="1:18" x14ac:dyDescent="0.2">
      <c r="A11" s="59" t="s">
        <v>168</v>
      </c>
      <c r="B11" s="59" t="s">
        <v>169</v>
      </c>
      <c r="C11" s="59" t="str">
        <f>IF(IFERROR(INDEX('2020'!$F$5:$F$73,MATCH(B11,'2020'!$A$5:$A$73,0)),0)=0,"N/A",INDEX('2020'!$F$5:$F$73,MATCH(B11,'2020'!$A$5:$A$73,0)))</f>
        <v>N/A</v>
      </c>
      <c r="D11" s="59" t="str">
        <f>IF(IFERROR(INDEX('2019'!$F$5:$F$73,MATCH(B11,'2019'!$A$5:$A$73,0)),0)=0,"N/A",INDEX('2019'!$F$5:$F$73,MATCH(B11,'2019'!$A$5:$A$73,0)))</f>
        <v>N/A</v>
      </c>
      <c r="E11" s="59">
        <f>IF(IFERROR(INDEX('2018'!$F$5:$F$73,MATCH(B11,'2018'!$A$5:$A$73,0)),0)=0,"N/A",INDEX('2018'!$F$5:$F$73,MATCH(B11,'2018'!$A$5:$A$73,0)))</f>
        <v>1.54</v>
      </c>
      <c r="F11" s="59">
        <f>IF(IFERROR(INDEX('2017'!$F$5:$F$73,MATCH(B11,'2017'!$A$5:$A$73,0)),0)=0,"N/A",INDEX('2017'!$F$5:$F$73,MATCH(B11,'2017'!$A$5:$A$73,0)))</f>
        <v>1.25</v>
      </c>
      <c r="G11" s="67">
        <f>IF(IFERROR(INDEX('2016'!$F$5:$F$73,MATCH(B11,'2016'!$A$5:$A$73,0)),0)=0,"N/A",INDEX('2016'!$F$5:$F$73,MATCH(B11,'2016'!$A$5:$A$73,0)))</f>
        <v>1.77</v>
      </c>
      <c r="H11" s="59">
        <v>1.91</v>
      </c>
      <c r="I11" s="59">
        <v>2.82</v>
      </c>
      <c r="J11" s="59">
        <v>2.14</v>
      </c>
      <c r="K11" s="59">
        <v>0.01</v>
      </c>
      <c r="L11" s="59">
        <v>2.73</v>
      </c>
      <c r="M11" s="59">
        <v>2.8</v>
      </c>
      <c r="N11" s="59">
        <v>3.14</v>
      </c>
      <c r="O11" s="59">
        <v>2.7</v>
      </c>
      <c r="P11" s="59">
        <v>2.62</v>
      </c>
      <c r="Q11" s="59">
        <v>1.59</v>
      </c>
    </row>
    <row r="12" spans="1:18" x14ac:dyDescent="0.2">
      <c r="A12" s="59" t="s">
        <v>170</v>
      </c>
      <c r="B12" s="59" t="s">
        <v>171</v>
      </c>
      <c r="C12" s="59" t="str">
        <f>IF(IFERROR(INDEX('2020'!$F$5:$F$73,MATCH(B12,'2020'!$A$5:$A$73,0)),0)=0,"N/A",INDEX('2020'!$F$5:$F$73,MATCH(B12,'2020'!$A$5:$A$73,0)))</f>
        <v>N/A</v>
      </c>
      <c r="D12" s="59" t="str">
        <f>IF(IFERROR(INDEX('2019'!$F$5:$F$73,MATCH(B12,'2019'!$A$5:$A$73,0)),0)=0,"N/A",INDEX('2019'!$F$5:$F$73,MATCH(B12,'2019'!$A$5:$A$73,0)))</f>
        <v>N/A</v>
      </c>
      <c r="E12" s="59">
        <f>IF(IFERROR(INDEX('2018'!$F$5:$F$73,MATCH(B12,'2018'!$A$5:$A$73,0)),0)=0,"N/A",INDEX('2018'!$F$5:$F$73,MATCH(B12,'2018'!$A$5:$A$73,0)))</f>
        <v>1.08</v>
      </c>
      <c r="F12" s="59">
        <f>IF(IFERROR(INDEX('2017'!$F$5:$F$73,MATCH(B12,'2017'!$A$5:$A$73,0)),0)=0,"N/A",INDEX('2017'!$F$5:$F$73,MATCH(B12,'2017'!$A$5:$A$73,0)))</f>
        <v>1.35</v>
      </c>
      <c r="G12" s="67">
        <f>IF(IFERROR(INDEX('2016'!$F$5:$F$73,MATCH(B12,'2016'!$A$5:$A$73,0)),0)=0,"N/A",INDEX('2016'!$F$5:$F$73,MATCH(B12,'2016'!$A$5:$A$73,0)))</f>
        <v>1.32</v>
      </c>
      <c r="H12" s="59">
        <v>1.1399999999999999</v>
      </c>
      <c r="I12" s="59">
        <v>1.2</v>
      </c>
      <c r="J12" s="59">
        <v>1.1599999999999999</v>
      </c>
      <c r="K12" s="59">
        <v>0.872</v>
      </c>
      <c r="L12" s="59">
        <v>0.83199999999999996</v>
      </c>
      <c r="M12" s="59">
        <v>0.72</v>
      </c>
      <c r="N12" s="59">
        <v>0.61599999999999999</v>
      </c>
      <c r="O12" s="59">
        <v>0.58399999999999996</v>
      </c>
      <c r="P12" s="59">
        <v>0.56799999999999995</v>
      </c>
      <c r="Q12" s="59">
        <v>0.56000000000000005</v>
      </c>
    </row>
    <row r="13" spans="1:18" x14ac:dyDescent="0.2">
      <c r="A13" s="59" t="s">
        <v>172</v>
      </c>
      <c r="B13" s="59" t="s">
        <v>173</v>
      </c>
      <c r="C13" s="59">
        <f>IF(IFERROR(INDEX('2020'!$F$5:$F$73,MATCH(B13,'2020'!$A$5:$A$73,0)),0)=0,"N/A",INDEX('2020'!$F$5:$F$73,MATCH(B13,'2020'!$A$5:$A$73,0)))</f>
        <v>1.79</v>
      </c>
      <c r="D13" s="59">
        <f>IF(IFERROR(INDEX('2019'!$F$5:$F$73,MATCH(B13,'2019'!$A$5:$A$73,0)),0)=0,"N/A",INDEX('2019'!$F$5:$F$73,MATCH(B13,'2019'!$A$5:$A$73,0)))</f>
        <v>1.6</v>
      </c>
      <c r="E13" s="59">
        <f>IF(IFERROR(INDEX('2018'!$F$5:$F$73,MATCH(B13,'2018'!$A$5:$A$73,0)),0)=0,"N/A",INDEX('2018'!$F$5:$F$73,MATCH(B13,'2018'!$A$5:$A$73,0)))</f>
        <v>1.54</v>
      </c>
      <c r="F13" s="59">
        <f>IF(IFERROR(INDEX('2017'!$F$5:$F$73,MATCH(B13,'2017'!$A$5:$A$73,0)),0)=0,"N/A",INDEX('2017'!$F$5:$F$73,MATCH(B13,'2017'!$A$5:$A$73,0)))</f>
        <v>1.51</v>
      </c>
      <c r="G13" s="67">
        <f>IF(IFERROR(INDEX('2016'!$F$5:$F$73,MATCH(B13,'2016'!$A$5:$A$73,0)),0)=0,"N/A",INDEX('2016'!$F$5:$F$73,MATCH(B13,'2016'!$A$5:$A$73,0)))</f>
        <v>1.41</v>
      </c>
      <c r="H13" s="59">
        <v>1.26</v>
      </c>
      <c r="I13" s="59">
        <v>1.07</v>
      </c>
      <c r="J13" s="59">
        <v>0.94</v>
      </c>
      <c r="K13" s="59">
        <v>1.1299999999999999</v>
      </c>
      <c r="L13" s="59">
        <v>0.83</v>
      </c>
      <c r="M13" s="59">
        <v>1</v>
      </c>
      <c r="N13" s="59">
        <v>0.97</v>
      </c>
      <c r="O13" s="59">
        <v>0.86</v>
      </c>
      <c r="P13" s="59">
        <v>0.9</v>
      </c>
      <c r="Q13" s="59">
        <v>0.97</v>
      </c>
    </row>
    <row r="14" spans="1:18" x14ac:dyDescent="0.2">
      <c r="A14" s="59" t="s">
        <v>174</v>
      </c>
      <c r="B14" s="59" t="s">
        <v>175</v>
      </c>
      <c r="C14" s="59">
        <f>IF(IFERROR(INDEX('2020'!$F$5:$F$73,MATCH(B14,'2020'!$A$5:$A$73,0)),0)=0,"N/A",INDEX('2020'!$F$5:$F$73,MATCH(B14,'2020'!$A$5:$A$73,0)))</f>
        <v>4.72</v>
      </c>
      <c r="D14" s="59">
        <f>IF(IFERROR(INDEX('2019'!$F$5:$F$73,MATCH(B14,'2019'!$A$5:$A$73,0)),0)=0,"N/A",INDEX('2019'!$F$5:$F$73,MATCH(B14,'2019'!$A$5:$A$73,0)))</f>
        <v>4.3499999999999996</v>
      </c>
      <c r="E14" s="59">
        <f>IF(IFERROR(INDEX('2018'!$F$5:$F$73,MATCH(B14,'2018'!$A$5:$A$73,0)),0)=0,"N/A",INDEX('2018'!$F$5:$F$73,MATCH(B14,'2018'!$A$5:$A$73,0)))</f>
        <v>4</v>
      </c>
      <c r="F14" s="59">
        <f>IF(IFERROR(INDEX('2017'!$F$5:$F$73,MATCH(B14,'2017'!$A$5:$A$73,0)),0)=0,"N/A",INDEX('2017'!$F$5:$F$73,MATCH(B14,'2017'!$A$5:$A$73,0)))</f>
        <v>3.6</v>
      </c>
      <c r="G14" s="67">
        <f>IF(IFERROR(INDEX('2016'!$F$5:$F$73,MATCH(B14,'2016'!$A$5:$A$73,0)),0)=0,"N/A",INDEX('2016'!$F$5:$F$73,MATCH(B14,'2016'!$A$5:$A$73,0)))</f>
        <v>3.38</v>
      </c>
      <c r="H14" s="59">
        <v>3.09</v>
      </c>
      <c r="I14" s="59">
        <v>2.96</v>
      </c>
      <c r="J14" s="59">
        <v>2.5</v>
      </c>
      <c r="K14" s="59">
        <v>2.1</v>
      </c>
      <c r="L14" s="59">
        <v>2.2599999999999998</v>
      </c>
      <c r="M14" s="59">
        <v>2.16</v>
      </c>
      <c r="N14" s="59">
        <v>1.97</v>
      </c>
      <c r="O14" s="59">
        <v>2</v>
      </c>
      <c r="P14" s="59">
        <v>1.94</v>
      </c>
      <c r="Q14" s="59">
        <v>2</v>
      </c>
    </row>
    <row r="15" spans="1:18" x14ac:dyDescent="0.2">
      <c r="A15" s="59" t="s">
        <v>263</v>
      </c>
      <c r="B15" s="59" t="s">
        <v>260</v>
      </c>
      <c r="C15" s="59">
        <f>IF(IFERROR(INDEX('2020'!$F$5:$F$73,MATCH(B15,'2020'!$A$5:$A$73,0)),0)=0,"N/A",INDEX('2020'!$F$5:$F$73,MATCH(B15,'2020'!$A$5:$A$73,0)))</f>
        <v>1.88</v>
      </c>
      <c r="D15" s="59">
        <f>IF(IFERROR(INDEX('2019'!$F$5:$F$73,MATCH(B15,'2019'!$A$5:$A$73,0)),0)=0,"N/A",INDEX('2019'!$F$5:$F$73,MATCH(B15,'2019'!$A$5:$A$73,0)))</f>
        <v>2.2599999999999998</v>
      </c>
      <c r="E15" s="59">
        <f>IF(IFERROR(INDEX('2018'!$F$5:$F$73,MATCH(B15,'2018'!$A$5:$A$73,0)),0)=0,"N/A",INDEX('2018'!$F$5:$F$73,MATCH(B15,'2018'!$A$5:$A$73,0)))</f>
        <v>1.92</v>
      </c>
      <c r="F15" s="59">
        <f>IF(IFERROR(INDEX('2017'!$F$5:$F$73,MATCH(B15,'2017'!$A$5:$A$73,0)),0)=0,"N/A",INDEX('2017'!$F$5:$F$73,MATCH(B15,'2017'!$A$5:$A$73,0)))</f>
        <v>1.67</v>
      </c>
      <c r="G15" s="67">
        <f>IF(IFERROR(INDEX('2016'!$F$5:$F$73,MATCH(B15,'2016'!$A$5:$A$73,0)),0)=0,"N/A",INDEX('2016'!$F$5:$F$73,MATCH(B15,'2016'!$A$5:$A$73,0)))</f>
        <v>1.98</v>
      </c>
      <c r="H15" s="59">
        <v>0.86</v>
      </c>
      <c r="I15" s="67" t="s">
        <v>106</v>
      </c>
      <c r="J15" s="67" t="s">
        <v>106</v>
      </c>
      <c r="K15" s="67" t="s">
        <v>106</v>
      </c>
      <c r="L15" s="67" t="s">
        <v>106</v>
      </c>
      <c r="M15" s="67" t="s">
        <v>106</v>
      </c>
      <c r="N15" s="67" t="s">
        <v>106</v>
      </c>
      <c r="O15" s="67" t="s">
        <v>106</v>
      </c>
      <c r="P15" s="67" t="s">
        <v>106</v>
      </c>
      <c r="Q15" s="67" t="s">
        <v>106</v>
      </c>
    </row>
    <row r="16" spans="1:18" x14ac:dyDescent="0.2">
      <c r="A16" s="59" t="s">
        <v>123</v>
      </c>
      <c r="B16" s="59" t="s">
        <v>4</v>
      </c>
      <c r="C16" s="59">
        <f>IF(IFERROR(INDEX('2020'!$F$5:$F$73,MATCH(B16,'2020'!$A$5:$A$73,0)),0)=0,"N/A",INDEX('2020'!$F$5:$F$73,MATCH(B16,'2020'!$A$5:$A$73,0)))</f>
        <v>1.9</v>
      </c>
      <c r="D16" s="59">
        <f>IF(IFERROR(INDEX('2019'!$F$5:$F$73,MATCH(B16,'2019'!$A$5:$A$73,0)),0)=0,"N/A",INDEX('2019'!$F$5:$F$73,MATCH(B16,'2019'!$A$5:$A$73,0)))</f>
        <v>2.97</v>
      </c>
      <c r="E16" s="59">
        <f>IF(IFERROR(INDEX('2018'!$F$5:$F$73,MATCH(B16,'2018'!$A$5:$A$73,0)),0)=0,"N/A",INDEX('2018'!$F$5:$F$73,MATCH(B16,'2018'!$A$5:$A$73,0)))</f>
        <v>2.0699999999999998</v>
      </c>
      <c r="F16" s="59">
        <f>IF(IFERROR(INDEX('2017'!$F$5:$F$73,MATCH(B16,'2017'!$A$5:$A$73,0)),0)=0,"N/A",INDEX('2017'!$F$5:$F$73,MATCH(B16,'2017'!$A$5:$A$73,0)))</f>
        <v>1.95</v>
      </c>
      <c r="G16" s="67">
        <f>IF(IFERROR(INDEX('2016'!$F$5:$F$73,MATCH(B16,'2016'!$A$5:$A$73,0)),0)=0,"N/A",INDEX('2016'!$F$5:$F$73,MATCH(B16,'2016'!$A$5:$A$73,0)))</f>
        <v>2.15</v>
      </c>
      <c r="H16" s="59">
        <v>1.89</v>
      </c>
      <c r="I16" s="59">
        <v>1.84</v>
      </c>
      <c r="J16" s="59">
        <v>1.85</v>
      </c>
      <c r="K16" s="59">
        <v>1.32</v>
      </c>
      <c r="L16" s="59">
        <v>1.72</v>
      </c>
      <c r="M16" s="59">
        <v>1.65</v>
      </c>
      <c r="N16" s="59">
        <v>1.58</v>
      </c>
      <c r="O16" s="59">
        <v>1.36</v>
      </c>
      <c r="P16" s="59">
        <v>0.72</v>
      </c>
      <c r="Q16" s="59">
        <v>1.47</v>
      </c>
    </row>
    <row r="17" spans="1:17" x14ac:dyDescent="0.2">
      <c r="A17" s="59" t="s">
        <v>124</v>
      </c>
      <c r="B17" s="59" t="s">
        <v>5</v>
      </c>
      <c r="C17" s="59">
        <f>IF(IFERROR(INDEX('2020'!$F$5:$F$73,MATCH(B17,'2020'!$A$5:$A$73,0)),0)=0,"N/A",INDEX('2020'!$F$5:$F$73,MATCH(B17,'2020'!$A$5:$A$73,0)))</f>
        <v>3.73</v>
      </c>
      <c r="D17" s="59">
        <f>IF(IFERROR(INDEX('2019'!$F$5:$F$73,MATCH(B17,'2019'!$A$5:$A$73,0)),0)=0,"N/A",INDEX('2019'!$F$5:$F$73,MATCH(B17,'2019'!$A$5:$A$73,0)))</f>
        <v>3.53</v>
      </c>
      <c r="E17" s="59">
        <f>IF(IFERROR(INDEX('2018'!$F$5:$F$73,MATCH(B17,'2018'!$A$5:$A$73,0)),0)=0,"N/A",INDEX('2018'!$F$5:$F$73,MATCH(B17,'2018'!$A$5:$A$73,0)))</f>
        <v>3.47</v>
      </c>
      <c r="F17" s="59">
        <f>IF(IFERROR(INDEX('2017'!$F$5:$F$73,MATCH(B17,'2017'!$A$5:$A$73,0)),0)=0,"N/A",INDEX('2017'!$F$5:$F$73,MATCH(B17,'2017'!$A$5:$A$73,0)))</f>
        <v>3.38</v>
      </c>
      <c r="G17" s="67">
        <f>IF(IFERROR(INDEX('2016'!$F$5:$F$73,MATCH(B17,'2016'!$A$5:$A$73,0)),0)=0,"N/A",INDEX('2016'!$F$5:$F$73,MATCH(B17,'2016'!$A$5:$A$73,0)))</f>
        <v>2.63</v>
      </c>
      <c r="H17" s="59">
        <v>2.83</v>
      </c>
      <c r="I17" s="59">
        <v>2.89</v>
      </c>
      <c r="J17" s="59">
        <v>2.61</v>
      </c>
      <c r="K17" s="59">
        <v>1.97</v>
      </c>
      <c r="L17" s="59">
        <v>1.01</v>
      </c>
      <c r="M17" s="59">
        <v>1.66</v>
      </c>
      <c r="N17" s="59">
        <v>2.3199999999999998</v>
      </c>
      <c r="O17" s="59">
        <v>0.18</v>
      </c>
      <c r="P17" s="59">
        <v>2.68</v>
      </c>
      <c r="Q17" s="59">
        <v>2.21</v>
      </c>
    </row>
    <row r="18" spans="1:17" x14ac:dyDescent="0.2">
      <c r="A18" s="59" t="s">
        <v>176</v>
      </c>
      <c r="B18" s="59" t="s">
        <v>177</v>
      </c>
      <c r="C18" s="59">
        <f>IF(IFERROR(INDEX('2020'!$F$5:$F$73,MATCH(B18,'2020'!$A$5:$A$73,0)),0)=0,"N/A",INDEX('2020'!$F$5:$F$73,MATCH(B18,'2020'!$A$5:$A$73,0)))</f>
        <v>1.97</v>
      </c>
      <c r="D18" s="59">
        <f>IF(IFERROR(INDEX('2019'!$F$5:$F$73,MATCH(B18,'2019'!$A$5:$A$73,0)),0)=0,"N/A",INDEX('2019'!$F$5:$F$73,MATCH(B18,'2019'!$A$5:$A$73,0)))</f>
        <v>1.31</v>
      </c>
      <c r="E18" s="59">
        <f>IF(IFERROR(INDEX('2018'!$F$5:$F$73,MATCH(B18,'2018'!$A$5:$A$73,0)),0)=0,"N/A",INDEX('2018'!$F$5:$F$73,MATCH(B18,'2018'!$A$5:$A$73,0)))</f>
        <v>1.36</v>
      </c>
      <c r="F18" s="59">
        <f>IF(IFERROR(INDEX('2017'!$F$5:$F$73,MATCH(B18,'2017'!$A$5:$A$73,0)),0)=0,"N/A",INDEX('2017'!$F$5:$F$73,MATCH(B18,'2017'!$A$5:$A$73,0)))</f>
        <v>1.4</v>
      </c>
      <c r="G18" s="67">
        <f>IF(IFERROR(INDEX('2016'!$F$5:$F$73,MATCH(B18,'2016'!$A$5:$A$73,0)),0)=0,"N/A",INDEX('2016'!$F$5:$F$73,MATCH(B18,'2016'!$A$5:$A$73,0)))</f>
        <v>1.01</v>
      </c>
      <c r="H18" s="59">
        <v>0.94</v>
      </c>
      <c r="I18" s="59">
        <v>1.19</v>
      </c>
      <c r="J18" s="59">
        <v>1.02</v>
      </c>
      <c r="K18" s="59">
        <v>1.02</v>
      </c>
      <c r="L18" s="59">
        <v>0.86</v>
      </c>
      <c r="M18" s="59">
        <v>0.90500000000000003</v>
      </c>
      <c r="N18" s="59">
        <v>0.97499999999999998</v>
      </c>
      <c r="O18" s="59">
        <v>0.95</v>
      </c>
      <c r="P18" s="59">
        <v>0.75</v>
      </c>
      <c r="Q18" s="59">
        <v>0.67</v>
      </c>
    </row>
    <row r="19" spans="1:17" x14ac:dyDescent="0.2">
      <c r="A19" s="59" t="s">
        <v>125</v>
      </c>
      <c r="B19" s="59" t="s">
        <v>6</v>
      </c>
      <c r="C19" s="59">
        <f>IF(IFERROR(INDEX('2020'!$F$5:$F$73,MATCH(B19,'2020'!$A$5:$A$73,0)),0)=0,"N/A",INDEX('2020'!$F$5:$F$73,MATCH(B19,'2020'!$A$5:$A$73,0)))</f>
        <v>1.29</v>
      </c>
      <c r="D19" s="59">
        <f>IF(IFERROR(INDEX('2019'!$F$5:$F$73,MATCH(B19,'2019'!$A$5:$A$73,0)),0)=0,"N/A",INDEX('2019'!$F$5:$F$73,MATCH(B19,'2019'!$A$5:$A$73,0)))</f>
        <v>1.49</v>
      </c>
      <c r="E19" s="59">
        <f>IF(IFERROR(INDEX('2018'!$F$5:$F$73,MATCH(B19,'2018'!$A$5:$A$73,0)),0)=0,"N/A",INDEX('2018'!$F$5:$F$73,MATCH(B19,'2018'!$A$5:$A$73,0)))</f>
        <v>0.74</v>
      </c>
      <c r="F19" s="59">
        <f>IF(IFERROR(INDEX('2017'!$F$5:$F$73,MATCH(B19,'2017'!$A$5:$A$73,0)),0)=0,"N/A",INDEX('2017'!$F$5:$F$73,MATCH(B19,'2017'!$A$5:$A$73,0)))</f>
        <v>1.57</v>
      </c>
      <c r="G19" s="67">
        <f>IF(IFERROR(INDEX('2016'!$F$5:$F$73,MATCH(B19,'2016'!$A$5:$A$73,0)),0)=0,"N/A",INDEX('2016'!$F$5:$F$73,MATCH(B19,'2016'!$A$5:$A$73,0)))</f>
        <v>1</v>
      </c>
      <c r="H19" s="59">
        <v>1.08</v>
      </c>
      <c r="I19" s="59">
        <v>1.42</v>
      </c>
      <c r="J19" s="59">
        <v>1.24</v>
      </c>
      <c r="K19" s="59">
        <v>1.35</v>
      </c>
      <c r="L19" s="59">
        <v>1.27</v>
      </c>
      <c r="M19" s="59">
        <v>1.07</v>
      </c>
      <c r="N19" s="59">
        <v>1.01</v>
      </c>
      <c r="O19" s="59">
        <v>1.3</v>
      </c>
      <c r="P19" s="59">
        <v>1.17</v>
      </c>
      <c r="Q19" s="59">
        <v>1.33</v>
      </c>
    </row>
    <row r="20" spans="1:17" x14ac:dyDescent="0.2">
      <c r="A20" s="59" t="s">
        <v>215</v>
      </c>
      <c r="B20" s="59" t="s">
        <v>178</v>
      </c>
      <c r="C20" s="59">
        <f>IF(IFERROR(INDEX('2020'!$F$5:$F$73,MATCH(B20,'2020'!$A$5:$A$73,0)),0)=0,"N/A",INDEX('2020'!$F$5:$F$73,MATCH(B20,'2020'!$A$5:$A$73,0)))</f>
        <v>4.21</v>
      </c>
      <c r="D20" s="59">
        <f>IF(IFERROR(INDEX('2019'!$F$5:$F$73,MATCH(B20,'2019'!$A$5:$A$73,0)),0)=0,"N/A",INDEX('2019'!$F$5:$F$73,MATCH(B20,'2019'!$A$5:$A$73,0)))</f>
        <v>3.72</v>
      </c>
      <c r="E20" s="59">
        <f>IF(IFERROR(INDEX('2018'!$F$5:$F$73,MATCH(B20,'2018'!$A$5:$A$73,0)),0)=0,"N/A",INDEX('2018'!$F$5:$F$73,MATCH(B20,'2018'!$A$5:$A$73,0)))</f>
        <v>3.45</v>
      </c>
      <c r="F20" s="59">
        <f>IF(IFERROR(INDEX('2017'!$F$5:$F$73,MATCH(B20,'2017'!$A$5:$A$73,0)),0)=0,"N/A",INDEX('2017'!$F$5:$F$73,MATCH(B20,'2017'!$A$5:$A$73,0)))</f>
        <v>2.68</v>
      </c>
      <c r="G20" s="67">
        <f>IF(IFERROR(INDEX('2016'!$F$5:$F$73,MATCH(B20,'2016'!$A$5:$A$73,0)),0)=0,"N/A",INDEX('2016'!$F$5:$F$73,MATCH(B20,'2016'!$A$5:$A$73,0)))</f>
        <v>2.86</v>
      </c>
      <c r="H20" s="59">
        <v>2.68</v>
      </c>
      <c r="I20" s="59">
        <v>2.4700000000000002</v>
      </c>
      <c r="J20" s="59">
        <v>2.2599999999999998</v>
      </c>
      <c r="K20" s="59">
        <v>1.9930000000000001</v>
      </c>
      <c r="L20" s="59">
        <v>1.913</v>
      </c>
      <c r="M20" s="59">
        <v>1.82</v>
      </c>
      <c r="N20" s="59">
        <v>1.4330000000000001</v>
      </c>
      <c r="O20" s="59">
        <v>1.3919999999999999</v>
      </c>
      <c r="P20" s="59">
        <v>1.2929999999999999</v>
      </c>
      <c r="Q20" s="59">
        <v>1.147</v>
      </c>
    </row>
    <row r="21" spans="1:17" x14ac:dyDescent="0.2">
      <c r="A21" s="59" t="s">
        <v>126</v>
      </c>
      <c r="B21" s="59" t="s">
        <v>9</v>
      </c>
      <c r="C21" s="59">
        <f>IF(IFERROR(INDEX('2020'!$F$5:$F$73,MATCH(B21,'2020'!$A$5:$A$73,0)),0)=0,"N/A",INDEX('2020'!$F$5:$F$73,MATCH(B21,'2020'!$A$5:$A$73,0)))</f>
        <v>2.64</v>
      </c>
      <c r="D21" s="59">
        <f>IF(IFERROR(INDEX('2019'!$F$5:$F$73,MATCH(B21,'2019'!$A$5:$A$73,0)),0)=0,"N/A",INDEX('2019'!$F$5:$F$73,MATCH(B21,'2019'!$A$5:$A$73,0)))</f>
        <v>2.39</v>
      </c>
      <c r="E21" s="59">
        <f>IF(IFERROR(INDEX('2018'!$F$5:$F$73,MATCH(B21,'2018'!$A$5:$A$73,0)),0)=0,"N/A",INDEX('2018'!$F$5:$F$73,MATCH(B21,'2018'!$A$5:$A$73,0)))</f>
        <v>2.3199999999999998</v>
      </c>
      <c r="F21" s="59">
        <f>IF(IFERROR(INDEX('2017'!$F$5:$F$73,MATCH(B21,'2017'!$A$5:$A$73,0)),0)=0,"N/A",INDEX('2017'!$F$5:$F$73,MATCH(B21,'2017'!$A$5:$A$73,0)))</f>
        <v>2.17</v>
      </c>
      <c r="G21" s="67">
        <f>IF(IFERROR(INDEX('2016'!$F$5:$F$73,MATCH(B21,'2016'!$A$5:$A$73,0)),0)=0,"N/A",INDEX('2016'!$F$5:$F$73,MATCH(B21,'2016'!$A$5:$A$73,0)))</f>
        <v>1.98</v>
      </c>
      <c r="H21" s="59">
        <v>1.89</v>
      </c>
      <c r="I21" s="59">
        <v>1.74</v>
      </c>
      <c r="J21" s="59">
        <v>1.66</v>
      </c>
      <c r="K21" s="59">
        <v>1.53</v>
      </c>
      <c r="L21" s="59">
        <v>1.45</v>
      </c>
      <c r="M21" s="59">
        <v>1.33</v>
      </c>
      <c r="N21" s="59">
        <v>0.93</v>
      </c>
      <c r="O21" s="59">
        <v>1.23</v>
      </c>
      <c r="P21" s="59">
        <v>0.64</v>
      </c>
      <c r="Q21" s="59">
        <v>0.64</v>
      </c>
    </row>
    <row r="22" spans="1:17" x14ac:dyDescent="0.2">
      <c r="A22" s="59" t="s">
        <v>179</v>
      </c>
      <c r="B22" s="59" t="s">
        <v>180</v>
      </c>
      <c r="C22" s="59" t="str">
        <f>IF(IFERROR(INDEX('2020'!$F$5:$F$73,MATCH(B22,'2020'!$A$5:$A$73,0)),0)=0,"N/A",INDEX('2020'!$F$5:$F$73,MATCH(B22,'2020'!$A$5:$A$73,0)))</f>
        <v>N/A</v>
      </c>
      <c r="D22" s="59" t="str">
        <f>IF(IFERROR(INDEX('2019'!$F$5:$F$73,MATCH(B22,'2019'!$A$5:$A$73,0)),0)=0,"N/A",INDEX('2019'!$F$5:$F$73,MATCH(B22,'2019'!$A$5:$A$73,0)))</f>
        <v>N/A</v>
      </c>
      <c r="E22" s="59">
        <f>IF(IFERROR(INDEX('2018'!$F$5:$F$73,MATCH(B22,'2018'!$A$5:$A$73,0)),0)=0,"N/A",INDEX('2018'!$F$5:$F$73,MATCH(B22,'2018'!$A$5:$A$73,0)))</f>
        <v>1.38</v>
      </c>
      <c r="F22" s="59">
        <f>IF(IFERROR(INDEX('2017'!$F$5:$F$73,MATCH(B22,'2017'!$A$5:$A$73,0)),0)=0,"N/A",INDEX('2017'!$F$5:$F$73,MATCH(B22,'2017'!$A$5:$A$73,0)))</f>
        <v>2.13</v>
      </c>
      <c r="G22" s="67">
        <f>IF(IFERROR(INDEX('2016'!$F$5:$F$73,MATCH(B22,'2016'!$A$5:$A$73,0)),0)=0,"N/A",INDEX('2016'!$F$5:$F$73,MATCH(B22,'2016'!$A$5:$A$73,0)))</f>
        <v>2.08</v>
      </c>
      <c r="H22" s="59">
        <v>2.04</v>
      </c>
      <c r="I22" s="59">
        <v>1.92</v>
      </c>
      <c r="J22" s="59">
        <v>1.66</v>
      </c>
      <c r="K22" s="59">
        <v>1.53</v>
      </c>
      <c r="L22" s="59">
        <v>1.1279999999999999</v>
      </c>
      <c r="M22" s="59">
        <v>1.1299999999999999</v>
      </c>
      <c r="N22" s="59">
        <v>1.19</v>
      </c>
      <c r="O22" s="59">
        <v>1.1100000000000001</v>
      </c>
      <c r="P22" s="59">
        <v>1.05</v>
      </c>
      <c r="Q22" s="59">
        <v>0.81</v>
      </c>
    </row>
    <row r="23" spans="1:17" x14ac:dyDescent="0.2">
      <c r="A23" s="59" t="s">
        <v>127</v>
      </c>
      <c r="B23" s="59" t="s">
        <v>10</v>
      </c>
      <c r="C23" s="59">
        <f>IF(IFERROR(INDEX('2020'!$F$5:$F$73,MATCH(B23,'2020'!$A$5:$A$73,0)),0)=0,"N/A",INDEX('2020'!$F$5:$F$73,MATCH(B23,'2020'!$A$5:$A$73,0)))</f>
        <v>3.94</v>
      </c>
      <c r="D23" s="59">
        <f>IF(IFERROR(INDEX('2019'!$F$5:$F$73,MATCH(B23,'2019'!$A$5:$A$73,0)),0)=0,"N/A",INDEX('2019'!$F$5:$F$73,MATCH(B23,'2019'!$A$5:$A$73,0)))</f>
        <v>4.08</v>
      </c>
      <c r="E23" s="59">
        <f>IF(IFERROR(INDEX('2018'!$F$5:$F$73,MATCH(B23,'2018'!$A$5:$A$73,0)),0)=0,"N/A",INDEX('2018'!$F$5:$F$73,MATCH(B23,'2018'!$A$5:$A$73,0)))</f>
        <v>4.55</v>
      </c>
      <c r="F23" s="59">
        <f>IF(IFERROR(INDEX('2017'!$F$5:$F$73,MATCH(B23,'2017'!$A$5:$A$73,0)),0)=0,"N/A",INDEX('2017'!$F$5:$F$73,MATCH(B23,'2017'!$A$5:$A$73,0)))</f>
        <v>4.0999999999999996</v>
      </c>
      <c r="G23" s="67">
        <f>IF(IFERROR(INDEX('2016'!$F$5:$F$73,MATCH(B23,'2016'!$A$5:$A$73,0)),0)=0,"N/A",INDEX('2016'!$F$5:$F$73,MATCH(B23,'2016'!$A$5:$A$73,0)))</f>
        <v>3.94</v>
      </c>
      <c r="H23" s="59">
        <v>4.05</v>
      </c>
      <c r="I23" s="59">
        <v>3.62</v>
      </c>
      <c r="J23" s="59">
        <v>3.93</v>
      </c>
      <c r="K23" s="59">
        <v>3.86</v>
      </c>
      <c r="L23" s="59">
        <v>3.57</v>
      </c>
      <c r="M23" s="59">
        <v>3.47</v>
      </c>
      <c r="N23" s="59">
        <v>3.14</v>
      </c>
      <c r="O23" s="59">
        <v>3.36</v>
      </c>
      <c r="P23" s="59">
        <v>3.48</v>
      </c>
      <c r="Q23" s="59">
        <v>2.95</v>
      </c>
    </row>
    <row r="24" spans="1:17" x14ac:dyDescent="0.2">
      <c r="A24" s="59" t="s">
        <v>181</v>
      </c>
      <c r="B24" s="59" t="s">
        <v>182</v>
      </c>
      <c r="C24" s="59">
        <f>IF(IFERROR(INDEX('2020'!$F$5:$F$73,MATCH(B24,'2020'!$A$5:$A$73,0)),0)=0,"N/A",INDEX('2020'!$F$5:$F$73,MATCH(B24,'2020'!$A$5:$A$73,0)))</f>
        <v>0.56000000000000005</v>
      </c>
      <c r="D24" s="59">
        <f>IF(IFERROR(INDEX('2019'!$F$5:$F$73,MATCH(B24,'2019'!$A$5:$A$73,0)),0)=0,"N/A",INDEX('2019'!$F$5:$F$73,MATCH(B24,'2019'!$A$5:$A$73,0)))</f>
        <v>0.56000000000000005</v>
      </c>
      <c r="E24" s="59">
        <f>IF(IFERROR(INDEX('2018'!$F$5:$F$73,MATCH(B24,'2018'!$A$5:$A$73,0)),0)=0,"N/A",INDEX('2018'!$F$5:$F$73,MATCH(B24,'2018'!$A$5:$A$73,0)))</f>
        <v>0.68</v>
      </c>
      <c r="F24" s="59">
        <f>IF(IFERROR(INDEX('2017'!$F$5:$F$73,MATCH(B24,'2017'!$A$5:$A$73,0)),0)=0,"N/A",INDEX('2017'!$F$5:$F$73,MATCH(B24,'2017'!$A$5:$A$73,0)))</f>
        <v>0.41</v>
      </c>
      <c r="G24" s="67">
        <f>IF(IFERROR(INDEX('2016'!$F$5:$F$73,MATCH(B24,'2016'!$A$5:$A$73,0)),0)=0,"N/A",INDEX('2016'!$F$5:$F$73,MATCH(B24,'2016'!$A$5:$A$73,0)))</f>
        <v>0.27</v>
      </c>
      <c r="H24" s="59">
        <v>0.51</v>
      </c>
      <c r="I24" s="59">
        <v>0.42</v>
      </c>
      <c r="J24" s="59">
        <v>0.57999999999999996</v>
      </c>
      <c r="K24" s="59">
        <v>0.64</v>
      </c>
      <c r="L24" s="59">
        <v>0.42</v>
      </c>
      <c r="M24" s="59">
        <v>0.43</v>
      </c>
      <c r="N24" s="59">
        <v>0.74</v>
      </c>
      <c r="O24" s="59">
        <v>0.5</v>
      </c>
      <c r="P24" s="59">
        <v>0.79</v>
      </c>
      <c r="Q24" s="59">
        <v>0.59</v>
      </c>
    </row>
    <row r="25" spans="1:17" x14ac:dyDescent="0.2">
      <c r="A25" s="59" t="s">
        <v>183</v>
      </c>
      <c r="B25" s="59" t="s">
        <v>184</v>
      </c>
      <c r="C25" s="59" t="str">
        <f>IF(IFERROR(INDEX('2020'!$F$5:$F$73,MATCH(B25,'2020'!$A$5:$A$73,0)),0)=0,"N/A",INDEX('2020'!$F$5:$F$73,MATCH(B25,'2020'!$A$5:$A$73,0)))</f>
        <v>N/A</v>
      </c>
      <c r="D25" s="59" t="str">
        <f>IF(IFERROR(INDEX('2019'!$F$5:$F$73,MATCH(B25,'2019'!$A$5:$A$73,0)),0)=0,"N/A",INDEX('2019'!$F$5:$F$73,MATCH(B25,'2019'!$A$5:$A$73,0)))</f>
        <v>N/A</v>
      </c>
      <c r="E25" s="59" t="str">
        <f>IF(IFERROR(INDEX('2018'!$F$5:$F$73,MATCH(B25,'2018'!$A$5:$A$73,0)),0)=0,"N/A",INDEX('2018'!$F$5:$F$73,MATCH(B25,'2018'!$A$5:$A$73,0)))</f>
        <v>N/A</v>
      </c>
      <c r="F25" s="59" t="str">
        <f>IF(IFERROR(INDEX('2017'!$F$5:$F$73,MATCH(B25,'2017'!$A$5:$A$73,0)),0)=0,"N/A",INDEX('2017'!$F$5:$F$73,MATCH(B25,'2017'!$A$5:$A$73,0)))</f>
        <v>N/A</v>
      </c>
      <c r="G25" s="67">
        <f>IF(IFERROR(INDEX('2016'!$F$5:$F$73,MATCH(B25,'2016'!$A$5:$A$73,0)),0)=0,"N/A",INDEX('2016'!$F$5:$F$73,MATCH(B25,'2016'!$A$5:$A$73,0)))</f>
        <v>0.78</v>
      </c>
      <c r="H25" s="59">
        <v>0.92</v>
      </c>
      <c r="I25" s="59">
        <v>1.19</v>
      </c>
      <c r="J25" s="59">
        <v>1.05</v>
      </c>
      <c r="K25" s="59">
        <v>0.85</v>
      </c>
      <c r="L25" s="59">
        <v>0.95</v>
      </c>
      <c r="M25" s="59">
        <v>0.85</v>
      </c>
      <c r="N25" s="59">
        <v>0.79</v>
      </c>
      <c r="O25" s="59">
        <v>1.04</v>
      </c>
      <c r="P25" s="59">
        <v>0.81</v>
      </c>
      <c r="Q25" s="59">
        <v>0.77500000000000002</v>
      </c>
    </row>
    <row r="26" spans="1:17" x14ac:dyDescent="0.2">
      <c r="A26" s="59" t="s">
        <v>128</v>
      </c>
      <c r="B26" s="59" t="s">
        <v>11</v>
      </c>
      <c r="C26" s="59">
        <f>IF(IFERROR(INDEX('2020'!$F$5:$F$73,MATCH(B26,'2020'!$A$5:$A$73,0)),0)=0,"N/A",INDEX('2020'!$F$5:$F$73,MATCH(B26,'2020'!$A$5:$A$73,0)))</f>
        <v>1.82</v>
      </c>
      <c r="D26" s="59">
        <f>IF(IFERROR(INDEX('2019'!$F$5:$F$73,MATCH(B26,'2019'!$A$5:$A$73,0)),0)=0,"N/A",INDEX('2019'!$F$5:$F$73,MATCH(B26,'2019'!$A$5:$A$73,0)))</f>
        <v>2.19</v>
      </c>
      <c r="E26" s="59">
        <f>IF(IFERROR(INDEX('2018'!$F$5:$F$73,MATCH(B26,'2018'!$A$5:$A$73,0)),0)=0,"N/A",INDEX('2018'!$F$5:$F$73,MATCH(B26,'2018'!$A$5:$A$73,0)))</f>
        <v>3.25</v>
      </c>
      <c r="F26" s="59">
        <f>IF(IFERROR(INDEX('2017'!$F$5:$F$73,MATCH(B26,'2017'!$A$5:$A$73,0)),0)=0,"N/A",INDEX('2017'!$F$5:$F$73,MATCH(B26,'2017'!$A$5:$A$73,0)))</f>
        <v>3.53</v>
      </c>
      <c r="G26" s="67">
        <f>IF(IFERROR(INDEX('2016'!$F$5:$F$73,MATCH(B26,'2016'!$A$5:$A$73,0)),0)=0,"N/A",INDEX('2016'!$F$5:$F$73,MATCH(B26,'2016'!$A$5:$A$73,0)))</f>
        <v>3.44</v>
      </c>
      <c r="H26" s="59">
        <v>3.2</v>
      </c>
      <c r="I26" s="59">
        <v>3.05</v>
      </c>
      <c r="J26" s="59">
        <v>3.09</v>
      </c>
      <c r="K26" s="59">
        <v>2.75</v>
      </c>
      <c r="L26" s="59">
        <v>2.76</v>
      </c>
      <c r="M26" s="59">
        <v>2.89</v>
      </c>
      <c r="N26" s="59">
        <v>2.64</v>
      </c>
      <c r="O26" s="59">
        <v>3.04</v>
      </c>
      <c r="P26" s="59">
        <v>2.13</v>
      </c>
      <c r="Q26" s="59">
        <v>2.4</v>
      </c>
    </row>
    <row r="27" spans="1:17" x14ac:dyDescent="0.2">
      <c r="A27" s="59" t="s">
        <v>129</v>
      </c>
      <c r="B27" s="59" t="s">
        <v>12</v>
      </c>
      <c r="C27" s="59">
        <f>IF(IFERROR(INDEX('2020'!$F$5:$F$73,MATCH(B27,'2020'!$A$5:$A$73,0)),0)=0,"N/A",INDEX('2020'!$F$5:$F$73,MATCH(B27,'2020'!$A$5:$A$73,0)))</f>
        <v>7.08</v>
      </c>
      <c r="D27" s="59">
        <f>IF(IFERROR(INDEX('2019'!$F$5:$F$73,MATCH(B27,'2019'!$A$5:$A$73,0)),0)=0,"N/A",INDEX('2019'!$F$5:$F$73,MATCH(B27,'2019'!$A$5:$A$73,0)))</f>
        <v>6.31</v>
      </c>
      <c r="E27" s="59">
        <f>IF(IFERROR(INDEX('2018'!$F$5:$F$73,MATCH(B27,'2018'!$A$5:$A$73,0)),0)=0,"N/A",INDEX('2018'!$F$5:$F$73,MATCH(B27,'2018'!$A$5:$A$73,0)))</f>
        <v>6.17</v>
      </c>
      <c r="F27" s="59">
        <f>IF(IFERROR(INDEX('2017'!$F$5:$F$73,MATCH(B27,'2017'!$A$5:$A$73,0)),0)=0,"N/A",INDEX('2017'!$F$5:$F$73,MATCH(B27,'2017'!$A$5:$A$73,0)))</f>
        <v>5.73</v>
      </c>
      <c r="G27" s="67">
        <f>IF(IFERROR(INDEX('2016'!$F$5:$F$73,MATCH(B27,'2016'!$A$5:$A$73,0)),0)=0,"N/A",INDEX('2016'!$F$5:$F$73,MATCH(B27,'2016'!$A$5:$A$73,0)))</f>
        <v>4.83</v>
      </c>
      <c r="H27" s="59">
        <v>4.4400000000000004</v>
      </c>
      <c r="I27" s="59">
        <v>5.0999999999999996</v>
      </c>
      <c r="J27" s="59">
        <v>3.76</v>
      </c>
      <c r="K27" s="59">
        <v>3.88</v>
      </c>
      <c r="L27" s="59">
        <v>3.67</v>
      </c>
      <c r="M27" s="59">
        <v>3.74</v>
      </c>
      <c r="N27" s="59">
        <v>3.24</v>
      </c>
      <c r="O27" s="59">
        <v>2.73</v>
      </c>
      <c r="P27" s="59">
        <v>2.66</v>
      </c>
      <c r="Q27" s="59">
        <v>2.4500000000000002</v>
      </c>
    </row>
    <row r="28" spans="1:17" x14ac:dyDescent="0.2">
      <c r="A28" s="59" t="s">
        <v>130</v>
      </c>
      <c r="B28" s="59" t="s">
        <v>13</v>
      </c>
      <c r="C28" s="59">
        <f>IF(IFERROR(INDEX('2020'!$F$5:$F$73,MATCH(B28,'2020'!$A$5:$A$73,0)),0)=0,"N/A",INDEX('2020'!$F$5:$F$73,MATCH(B28,'2020'!$A$5:$A$73,0)))</f>
        <v>3.92</v>
      </c>
      <c r="D28" s="59">
        <f>IF(IFERROR(INDEX('2019'!$F$5:$F$73,MATCH(B28,'2019'!$A$5:$A$73,0)),0)=0,"N/A",INDEX('2019'!$F$5:$F$73,MATCH(B28,'2019'!$A$5:$A$73,0)))</f>
        <v>5.07</v>
      </c>
      <c r="E28" s="59">
        <f>IF(IFERROR(INDEX('2018'!$F$5:$F$73,MATCH(B28,'2018'!$A$5:$A$73,0)),0)=0,"N/A",INDEX('2018'!$F$5:$F$73,MATCH(B28,'2018'!$A$5:$A$73,0)))</f>
        <v>4.13</v>
      </c>
      <c r="F28" s="59">
        <f>IF(IFERROR(INDEX('2017'!$F$5:$F$73,MATCH(B28,'2017'!$A$5:$A$73,0)),0)=0,"N/A",INDEX('2017'!$F$5:$F$73,MATCH(B28,'2017'!$A$5:$A$73,0)))</f>
        <v>4.22</v>
      </c>
      <c r="G28" s="67">
        <f>IF(IFERROR(INDEX('2016'!$F$5:$F$73,MATCH(B28,'2016'!$A$5:$A$73,0)),0)=0,"N/A",INDEX('2016'!$F$5:$F$73,MATCH(B28,'2016'!$A$5:$A$73,0)))</f>
        <v>3.71</v>
      </c>
      <c r="H28" s="59">
        <v>4.0999999999999996</v>
      </c>
      <c r="I28" s="59">
        <v>4.13</v>
      </c>
      <c r="J28" s="59">
        <v>3.98</v>
      </c>
      <c r="K28" s="59">
        <v>3.71</v>
      </c>
      <c r="L28" s="59">
        <v>4.1399999999999997</v>
      </c>
      <c r="M28" s="59">
        <v>4.0199999999999996</v>
      </c>
      <c r="N28" s="59">
        <v>3.39</v>
      </c>
      <c r="O28" s="59">
        <v>3.03</v>
      </c>
      <c r="P28" s="59">
        <v>3.6</v>
      </c>
      <c r="Q28" s="59">
        <v>2.73</v>
      </c>
    </row>
    <row r="29" spans="1:17" x14ac:dyDescent="0.2">
      <c r="A29" s="59" t="s">
        <v>131</v>
      </c>
      <c r="B29" s="59" t="s">
        <v>14</v>
      </c>
      <c r="C29" s="59">
        <f>IF(IFERROR(INDEX('2020'!$F$5:$F$73,MATCH(B29,'2020'!$A$5:$A$73,0)),0)=0,"N/A",INDEX('2020'!$F$5:$F$73,MATCH(B29,'2020'!$A$5:$A$73,0)))</f>
        <v>1.72</v>
      </c>
      <c r="D29" s="59">
        <f>IF(IFERROR(INDEX('2019'!$F$5:$F$73,MATCH(B29,'2019'!$A$5:$A$73,0)),0)=0,"N/A",INDEX('2019'!$F$5:$F$73,MATCH(B29,'2019'!$A$5:$A$73,0)))</f>
        <v>3.98</v>
      </c>
      <c r="E29" s="59">
        <f>IF(IFERROR(INDEX('2018'!$F$5:$F$73,MATCH(B29,'2018'!$A$5:$A$73,0)),0)=0,"N/A",INDEX('2018'!$F$5:$F$73,MATCH(B29,'2018'!$A$5:$A$73,0)))</f>
        <v>-1.26</v>
      </c>
      <c r="F29" s="59">
        <f>IF(IFERROR(INDEX('2017'!$F$5:$F$73,MATCH(B29,'2017'!$A$5:$A$73,0)),0)=0,"N/A",INDEX('2017'!$F$5:$F$73,MATCH(B29,'2017'!$A$5:$A$73,0)))</f>
        <v>4.51</v>
      </c>
      <c r="G29" s="67">
        <f>IF(IFERROR(INDEX('2016'!$F$5:$F$73,MATCH(B29,'2016'!$A$5:$A$73,0)),0)=0,"N/A",INDEX('2016'!$F$5:$F$73,MATCH(B29,'2016'!$A$5:$A$73,0)))</f>
        <v>3.94</v>
      </c>
      <c r="H29" s="59">
        <v>4.1500000000000004</v>
      </c>
      <c r="I29" s="59">
        <v>4.33</v>
      </c>
      <c r="J29" s="59">
        <v>3.78</v>
      </c>
      <c r="K29" s="59">
        <v>4.55</v>
      </c>
      <c r="L29" s="59">
        <v>3.23</v>
      </c>
      <c r="M29" s="59">
        <v>3.35</v>
      </c>
      <c r="N29" s="59">
        <v>3.24</v>
      </c>
      <c r="O29" s="59">
        <v>3.68</v>
      </c>
      <c r="P29" s="59">
        <v>3.32</v>
      </c>
      <c r="Q29" s="59">
        <v>3.28</v>
      </c>
    </row>
    <row r="30" spans="1:17" x14ac:dyDescent="0.2">
      <c r="A30" s="59" t="s">
        <v>132</v>
      </c>
      <c r="B30" s="59" t="s">
        <v>15</v>
      </c>
      <c r="C30" s="59" t="str">
        <f>IF(IFERROR(INDEX('2020'!$F$5:$F$73,MATCH(B30,'2020'!$A$5:$A$73,0)),0)=0,"N/A",INDEX('2020'!$F$5:$F$73,MATCH(B30,'2020'!$A$5:$A$73,0)))</f>
        <v>N/A</v>
      </c>
      <c r="D30" s="59" t="str">
        <f>IF(IFERROR(INDEX('2019'!$F$5:$F$73,MATCH(B30,'2019'!$A$5:$A$73,0)),0)=0,"N/A",INDEX('2019'!$F$5:$F$73,MATCH(B30,'2019'!$A$5:$A$73,0)))</f>
        <v>N/A</v>
      </c>
      <c r="E30" s="59">
        <f>IF(IFERROR(INDEX('2018'!$F$5:$F$73,MATCH(B30,'2018'!$A$5:$A$73,0)),0)=0,"N/A",INDEX('2018'!$F$5:$F$73,MATCH(B30,'2018'!$A$5:$A$73,0)))</f>
        <v>2.0699999999999998</v>
      </c>
      <c r="F30" s="59">
        <f>IF(IFERROR(INDEX('2017'!$F$5:$F$73,MATCH(B30,'2017'!$A$5:$A$73,0)),0)=0,"N/A",INDEX('2017'!$F$5:$F$73,MATCH(B30,'2017'!$A$5:$A$73,0)))</f>
        <v>2.42</v>
      </c>
      <c r="G30" s="67">
        <f>IF(IFERROR(INDEX('2016'!$F$5:$F$73,MATCH(B30,'2016'!$A$5:$A$73,0)),0)=0,"N/A",INDEX('2016'!$F$5:$F$73,MATCH(B30,'2016'!$A$5:$A$73,0)))</f>
        <v>2.39</v>
      </c>
      <c r="H30" s="59">
        <v>2.0299999999999998</v>
      </c>
      <c r="I30" s="59">
        <v>2.27</v>
      </c>
      <c r="J30" s="59">
        <v>2.2000000000000002</v>
      </c>
      <c r="K30" s="59">
        <v>2.2599999999999998</v>
      </c>
      <c r="L30" s="59">
        <v>2.48</v>
      </c>
      <c r="M30" s="59">
        <v>2.0699999999999998</v>
      </c>
      <c r="N30" s="59">
        <v>1.5</v>
      </c>
      <c r="O30" s="59">
        <v>1.73</v>
      </c>
      <c r="P30" s="59">
        <v>1.63</v>
      </c>
      <c r="Q30" s="59">
        <v>1.27</v>
      </c>
    </row>
    <row r="31" spans="1:17" x14ac:dyDescent="0.2">
      <c r="A31" s="59" t="s">
        <v>134</v>
      </c>
      <c r="B31" s="59" t="s">
        <v>17</v>
      </c>
      <c r="C31" s="59">
        <f>IF(IFERROR(INDEX('2020'!$F$5:$F$73,MATCH(B31,'2020'!$A$5:$A$73,0)),0)=0,"N/A",INDEX('2020'!$F$5:$F$73,MATCH(B31,'2020'!$A$5:$A$73,0)))</f>
        <v>6.9</v>
      </c>
      <c r="D31" s="59">
        <f>IF(IFERROR(INDEX('2019'!$F$5:$F$73,MATCH(B31,'2019'!$A$5:$A$73,0)),0)=0,"N/A",INDEX('2019'!$F$5:$F$73,MATCH(B31,'2019'!$A$5:$A$73,0)))</f>
        <v>6.3</v>
      </c>
      <c r="E31" s="59">
        <f>IF(IFERROR(INDEX('2018'!$F$5:$F$73,MATCH(B31,'2018'!$A$5:$A$73,0)),0)=0,"N/A",INDEX('2018'!$F$5:$F$73,MATCH(B31,'2018'!$A$5:$A$73,0)))</f>
        <v>5.88</v>
      </c>
      <c r="F31" s="59">
        <f>IF(IFERROR(INDEX('2017'!$F$5:$F$73,MATCH(B31,'2017'!$A$5:$A$73,0)),0)=0,"N/A",INDEX('2017'!$F$5:$F$73,MATCH(B31,'2017'!$A$5:$A$73,0)))</f>
        <v>5.19</v>
      </c>
      <c r="G31" s="67">
        <f>IF(IFERROR(INDEX('2016'!$F$5:$F$73,MATCH(B31,'2016'!$A$5:$A$73,0)),0)=0,"N/A",INDEX('2016'!$F$5:$F$73,MATCH(B31,'2016'!$A$5:$A$73,0)))</f>
        <v>6.88</v>
      </c>
      <c r="H31" s="59">
        <v>5.81</v>
      </c>
      <c r="I31" s="59">
        <v>5.77</v>
      </c>
      <c r="J31" s="59">
        <v>4.96</v>
      </c>
      <c r="K31" s="59">
        <v>6.02</v>
      </c>
      <c r="L31" s="59">
        <v>7.55</v>
      </c>
      <c r="M31" s="59">
        <v>6.66</v>
      </c>
      <c r="N31" s="59">
        <v>6.3</v>
      </c>
      <c r="O31" s="59">
        <v>6.2</v>
      </c>
      <c r="P31" s="59">
        <v>5.6</v>
      </c>
      <c r="Q31" s="59">
        <v>5.36</v>
      </c>
    </row>
    <row r="32" spans="1:17" x14ac:dyDescent="0.2">
      <c r="A32" s="59" t="s">
        <v>210</v>
      </c>
      <c r="B32" s="59" t="s">
        <v>211</v>
      </c>
      <c r="C32" s="59">
        <f>IF(IFERROR(INDEX('2020'!$F$5:$F$73,MATCH(B32,'2020'!$A$5:$A$73,0)),0)=0,"N/A",INDEX('2020'!$F$5:$F$73,MATCH(B32,'2020'!$A$5:$A$73,0)))</f>
        <v>3.55</v>
      </c>
      <c r="D32" s="59">
        <f>IF(IFERROR(INDEX('2019'!$F$5:$F$73,MATCH(B32,'2019'!$A$5:$A$73,0)),0)=0,"N/A",INDEX('2019'!$F$5:$F$73,MATCH(B32,'2019'!$A$5:$A$73,0)))</f>
        <v>3.45</v>
      </c>
      <c r="E32" s="59">
        <f>IF(IFERROR(INDEX('2018'!$F$5:$F$73,MATCH(B32,'2018'!$A$5:$A$73,0)),0)=0,"N/A",INDEX('2018'!$F$5:$F$73,MATCH(B32,'2018'!$A$5:$A$73,0)))</f>
        <v>3.25</v>
      </c>
      <c r="F32" s="59">
        <f>IF(IFERROR(INDEX('2017'!$F$5:$F$73,MATCH(B32,'2017'!$A$5:$A$73,0)),0)=0,"N/A",INDEX('2017'!$F$5:$F$73,MATCH(B32,'2017'!$A$5:$A$73,0)))</f>
        <v>3.11</v>
      </c>
      <c r="G32" s="67">
        <f>IF(IFERROR(INDEX('2016'!$F$5:$F$73,MATCH(B32,'2016'!$A$5:$A$73,0)),0)=0,"N/A",INDEX('2016'!$F$5:$F$73,MATCH(B32,'2016'!$A$5:$A$73,0)))</f>
        <v>2.96</v>
      </c>
      <c r="H32" s="59">
        <v>2.76</v>
      </c>
      <c r="I32" s="59">
        <v>2.58</v>
      </c>
      <c r="J32" s="59">
        <v>2.4900000000000002</v>
      </c>
      <c r="K32" s="59">
        <v>1.89</v>
      </c>
      <c r="L32" s="59">
        <v>2.2200000000000002</v>
      </c>
      <c r="M32" s="59">
        <v>2.1</v>
      </c>
      <c r="N32" s="59">
        <v>1.91</v>
      </c>
      <c r="O32" s="59">
        <v>1.86</v>
      </c>
      <c r="P32" s="59">
        <v>1.59</v>
      </c>
      <c r="Q32" s="59">
        <v>0.82</v>
      </c>
    </row>
    <row r="33" spans="1:17" x14ac:dyDescent="0.2">
      <c r="A33" s="59" t="s">
        <v>135</v>
      </c>
      <c r="B33" s="59" t="s">
        <v>18</v>
      </c>
      <c r="C33" s="59">
        <f>IF(IFERROR(INDEX('2020'!$F$5:$F$73,MATCH(B33,'2020'!$A$5:$A$73,0)),0)=0,"N/A",INDEX('2020'!$F$5:$F$73,MATCH(B33,'2020'!$A$5:$A$73,0)))</f>
        <v>2.6</v>
      </c>
      <c r="D33" s="59">
        <f>IF(IFERROR(INDEX('2019'!$F$5:$F$73,MATCH(B33,'2019'!$A$5:$A$73,0)),0)=0,"N/A",INDEX('2019'!$F$5:$F$73,MATCH(B33,'2019'!$A$5:$A$73,0)))</f>
        <v>3.01</v>
      </c>
      <c r="E33" s="59">
        <f>IF(IFERROR(INDEX('2018'!$F$5:$F$73,MATCH(B33,'2018'!$A$5:$A$73,0)),0)=0,"N/A",INDEX('2018'!$F$5:$F$73,MATCH(B33,'2018'!$A$5:$A$73,0)))</f>
        <v>2.0699999999999998</v>
      </c>
      <c r="F33" s="59">
        <f>IF(IFERROR(INDEX('2017'!$F$5:$F$73,MATCH(B33,'2017'!$A$5:$A$73,0)),0)=0,"N/A",INDEX('2017'!$F$5:$F$73,MATCH(B33,'2017'!$A$5:$A$73,0)))</f>
        <v>2.78</v>
      </c>
      <c r="G33" s="67">
        <f>IF(IFERROR(INDEX('2016'!$F$5:$F$73,MATCH(B33,'2016'!$A$5:$A$73,0)),0)=0,"N/A",INDEX('2016'!$F$5:$F$73,MATCH(B33,'2016'!$A$5:$A$73,0)))</f>
        <v>1.8</v>
      </c>
      <c r="H33" s="59">
        <v>2.54</v>
      </c>
      <c r="I33" s="59">
        <v>2.1</v>
      </c>
      <c r="J33" s="59">
        <v>2.31</v>
      </c>
      <c r="K33" s="59">
        <v>1.92</v>
      </c>
      <c r="L33" s="59">
        <v>3.75</v>
      </c>
      <c r="M33" s="59">
        <v>3.87</v>
      </c>
      <c r="N33" s="59">
        <v>4.29</v>
      </c>
      <c r="O33" s="59">
        <v>4.0999999999999996</v>
      </c>
      <c r="P33" s="59">
        <v>4.03</v>
      </c>
      <c r="Q33" s="59">
        <v>3.5</v>
      </c>
    </row>
    <row r="34" spans="1:17" x14ac:dyDescent="0.2">
      <c r="A34" s="59" t="s">
        <v>136</v>
      </c>
      <c r="B34" s="59" t="s">
        <v>19</v>
      </c>
      <c r="C34" s="59">
        <f>IF(IFERROR(INDEX('2020'!$F$5:$F$73,MATCH(B34,'2020'!$A$5:$A$73,0)),0)=0,"N/A",INDEX('2020'!$F$5:$F$73,MATCH(B34,'2020'!$A$5:$A$73,0)))</f>
        <v>1.85</v>
      </c>
      <c r="D34" s="59">
        <f>IF(IFERROR(INDEX('2019'!$F$5:$F$73,MATCH(B34,'2019'!$A$5:$A$73,0)),0)=0,"N/A",INDEX('2019'!$F$5:$F$73,MATCH(B34,'2019'!$A$5:$A$73,0)))</f>
        <v>1.84</v>
      </c>
      <c r="E34" s="59">
        <f>IF(IFERROR(INDEX('2018'!$F$5:$F$73,MATCH(B34,'2018'!$A$5:$A$73,0)),0)=0,"N/A",INDEX('2018'!$F$5:$F$73,MATCH(B34,'2018'!$A$5:$A$73,0)))</f>
        <v>1.33</v>
      </c>
      <c r="F34" s="59">
        <f>IF(IFERROR(INDEX('2017'!$F$5:$F$73,MATCH(B34,'2017'!$A$5:$A$73,0)),0)=0,"N/A",INDEX('2017'!$F$5:$F$73,MATCH(B34,'2017'!$A$5:$A$73,0)))</f>
        <v>2.73</v>
      </c>
      <c r="G34" s="67">
        <f>IF(IFERROR(INDEX('2016'!$F$5:$F$73,MATCH(B34,'2016'!$A$5:$A$73,0)),0)=0,"N/A",INDEX('2016'!$F$5:$F$73,MATCH(B34,'2016'!$A$5:$A$73,0)))</f>
        <v>2.1</v>
      </c>
      <c r="H34" s="59">
        <v>2</v>
      </c>
      <c r="I34" s="59">
        <v>0.85</v>
      </c>
      <c r="J34" s="59">
        <v>2.97</v>
      </c>
      <c r="K34" s="59">
        <v>2.13</v>
      </c>
      <c r="L34" s="59">
        <v>1.88</v>
      </c>
      <c r="M34" s="59">
        <v>3.25</v>
      </c>
      <c r="N34" s="59">
        <v>3.32</v>
      </c>
      <c r="O34" s="59">
        <v>4.38</v>
      </c>
      <c r="P34" s="59">
        <v>4.22</v>
      </c>
      <c r="Q34" s="59">
        <v>3.82</v>
      </c>
    </row>
    <row r="35" spans="1:17" x14ac:dyDescent="0.2">
      <c r="A35" s="59" t="s">
        <v>265</v>
      </c>
      <c r="B35" s="59" t="s">
        <v>266</v>
      </c>
      <c r="C35" s="59">
        <f>IF(IFERROR(INDEX('2020'!$F$5:$F$73,MATCH(B35,'2020'!$A$5:$A$73,0)),0)=0,"N/A",INDEX('2020'!$F$5:$F$73,MATCH(B35,'2020'!$A$5:$A$73,0)))</f>
        <v>2.6</v>
      </c>
      <c r="D35" s="59">
        <f>IF(IFERROR(INDEX('2019'!$F$5:$F$73,MATCH(B35,'2019'!$A$5:$A$73,0)),0)=0,"N/A",INDEX('2019'!$F$5:$F$73,MATCH(B35,'2019'!$A$5:$A$73,0)))</f>
        <v>2.68</v>
      </c>
      <c r="E35" s="59">
        <f>IF(IFERROR(INDEX('2018'!$F$5:$F$73,MATCH(B35,'2018'!$A$5:$A$73,0)),0)=0,"N/A",INDEX('2018'!$F$5:$F$73,MATCH(B35,'2018'!$A$5:$A$73,0)))</f>
        <v>2.52</v>
      </c>
      <c r="F35" s="59">
        <f>IF(IFERROR(INDEX('2017'!$F$5:$F$73,MATCH(B35,'2017'!$A$5:$A$73,0)),0)=0,"N/A",INDEX('2017'!$F$5:$F$73,MATCH(B35,'2017'!$A$5:$A$73,0)))</f>
        <v>2.66</v>
      </c>
      <c r="G35" s="67">
        <f>IF(IFERROR(INDEX('2016'!$F$5:$F$73,MATCH(B35,'2016'!$A$5:$A$73,0)),0)=0,"N/A",INDEX('2016'!$F$5:$F$73,MATCH(B35,'2016'!$A$5:$A$73,0)))</f>
        <v>1.89</v>
      </c>
      <c r="H35" s="59">
        <v>2.11</v>
      </c>
      <c r="I35" s="59">
        <v>1.38</v>
      </c>
      <c r="J35" s="59">
        <v>1.63</v>
      </c>
      <c r="K35" s="59">
        <v>1.65</v>
      </c>
      <c r="L35" s="59">
        <v>1.74</v>
      </c>
      <c r="M35" s="59">
        <v>1.62</v>
      </c>
      <c r="N35" s="59">
        <v>1.51</v>
      </c>
      <c r="O35" s="59">
        <v>1.52</v>
      </c>
      <c r="P35" s="59">
        <v>1.2869999999999999</v>
      </c>
      <c r="Q35" s="59">
        <v>1.359</v>
      </c>
    </row>
    <row r="36" spans="1:17" x14ac:dyDescent="0.2">
      <c r="A36" s="59" t="s">
        <v>185</v>
      </c>
      <c r="B36" s="59" t="s">
        <v>186</v>
      </c>
      <c r="C36" s="59" t="str">
        <f>IF(IFERROR(INDEX('2020'!$F$5:$F$73,MATCH(B36,'2020'!$A$5:$A$73,0)),0)=0,"N/A",INDEX('2020'!$F$5:$F$73,MATCH(B36,'2020'!$A$5:$A$73,0)))</f>
        <v>N/A</v>
      </c>
      <c r="D36" s="59" t="str">
        <f>IF(IFERROR(INDEX('2019'!$F$5:$F$73,MATCH(B36,'2019'!$A$5:$A$73,0)),0)=0,"N/A",INDEX('2019'!$F$5:$F$73,MATCH(B36,'2019'!$A$5:$A$73,0)))</f>
        <v>N/A</v>
      </c>
      <c r="E36" s="59" t="str">
        <f>IF(IFERROR(INDEX('2018'!$F$5:$F$73,MATCH(B36,'2018'!$A$5:$A$73,0)),0)=0,"N/A",INDEX('2018'!$F$5:$F$73,MATCH(B36,'2018'!$A$5:$A$73,0)))</f>
        <v>N/A</v>
      </c>
      <c r="F36" s="59" t="str">
        <f>IF(IFERROR(INDEX('2017'!$F$5:$F$73,MATCH(B36,'2017'!$A$5:$A$73,0)),0)=0,"N/A",INDEX('2017'!$F$5:$F$73,MATCH(B36,'2017'!$A$5:$A$73,0)))</f>
        <v>N/A</v>
      </c>
      <c r="G36" s="67">
        <f>IF(IFERROR(INDEX('2016'!$F$5:$F$73,MATCH(B36,'2016'!$A$5:$A$73,0)),0)=0,"N/A",INDEX('2016'!$F$5:$F$73,MATCH(B36,'2016'!$A$5:$A$73,0)))</f>
        <v>5.0999999999999997E-2</v>
      </c>
      <c r="H36" s="59">
        <v>0.11</v>
      </c>
      <c r="I36" s="59">
        <v>0.253</v>
      </c>
      <c r="J36" s="59">
        <v>0.75</v>
      </c>
      <c r="K36" s="59">
        <v>0.46</v>
      </c>
      <c r="L36" s="59">
        <v>0.66</v>
      </c>
      <c r="M36" s="59">
        <v>0.92</v>
      </c>
      <c r="N36" s="59">
        <v>1.58</v>
      </c>
      <c r="O36" s="59">
        <v>0.77</v>
      </c>
      <c r="P36" s="59">
        <v>0.50700000000000001</v>
      </c>
      <c r="Q36" s="59">
        <v>0.52700000000000002</v>
      </c>
    </row>
    <row r="37" spans="1:17" x14ac:dyDescent="0.2">
      <c r="A37" s="59" t="s">
        <v>137</v>
      </c>
      <c r="B37" s="59" t="s">
        <v>20</v>
      </c>
      <c r="C37" s="59" t="str">
        <f>IF(IFERROR(INDEX('2020'!$F$5:$F$73,MATCH(B37,'2020'!$A$5:$A$73,0)),0)=0,"N/A",INDEX('2020'!$F$5:$F$73,MATCH(B37,'2020'!$A$5:$A$73,0)))</f>
        <v>N/A</v>
      </c>
      <c r="D37" s="59" t="str">
        <f>IF(IFERROR(INDEX('2019'!$F$5:$F$73,MATCH(B37,'2019'!$A$5:$A$73,0)),0)=0,"N/A",INDEX('2019'!$F$5:$F$73,MATCH(B37,'2019'!$A$5:$A$73,0)))</f>
        <v>N/A</v>
      </c>
      <c r="E37" s="59" t="str">
        <f>IF(IFERROR(INDEX('2018'!$F$5:$F$73,MATCH(B37,'2018'!$A$5:$A$73,0)),0)=0,"N/A",INDEX('2018'!$F$5:$F$73,MATCH(B37,'2018'!$A$5:$A$73,0)))</f>
        <v>N/A</v>
      </c>
      <c r="F37" s="59">
        <f>IF(IFERROR(INDEX('2017'!$F$5:$F$73,MATCH(B37,'2017'!$A$5:$A$73,0)),0)=0,"N/A",INDEX('2017'!$F$5:$F$73,MATCH(B37,'2017'!$A$5:$A$73,0)))</f>
        <v>-0.06</v>
      </c>
      <c r="G37" s="67">
        <f>IF(IFERROR(INDEX('2016'!$F$5:$F$73,MATCH(B37,'2016'!$A$5:$A$73,0)),0)=0,"N/A",INDEX('2016'!$F$5:$F$73,MATCH(B37,'2016'!$A$5:$A$73,0)))</f>
        <v>1.61</v>
      </c>
      <c r="H37" s="59">
        <v>1.37</v>
      </c>
      <c r="I37" s="59">
        <v>1.57</v>
      </c>
      <c r="J37" s="59">
        <v>1.62</v>
      </c>
      <c r="K37" s="59">
        <v>1.35</v>
      </c>
      <c r="L37" s="59">
        <v>1.25</v>
      </c>
      <c r="M37" s="59">
        <v>1.53</v>
      </c>
      <c r="N37" s="59">
        <v>1.03</v>
      </c>
      <c r="O37" s="59">
        <v>1.1599999999999999</v>
      </c>
      <c r="P37" s="59">
        <v>1.85</v>
      </c>
      <c r="Q37" s="59">
        <v>1.62</v>
      </c>
    </row>
    <row r="38" spans="1:17" x14ac:dyDescent="0.2">
      <c r="A38" s="59" t="s">
        <v>138</v>
      </c>
      <c r="B38" s="59" t="s">
        <v>21</v>
      </c>
      <c r="C38" s="59">
        <f>IF(IFERROR(INDEX('2020'!$F$5:$F$73,MATCH(B38,'2020'!$A$5:$A$73,0)),0)=0,"N/A",INDEX('2020'!$F$5:$F$73,MATCH(B38,'2020'!$A$5:$A$73,0)))</f>
        <v>1.81</v>
      </c>
      <c r="D38" s="59">
        <f>IF(IFERROR(INDEX('2019'!$F$5:$F$73,MATCH(B38,'2019'!$A$5:$A$73,0)),0)=0,"N/A",INDEX('2019'!$F$5:$F$73,MATCH(B38,'2019'!$A$5:$A$73,0)))</f>
        <v>1.99</v>
      </c>
      <c r="E38" s="59">
        <f>IF(IFERROR(INDEX('2018'!$F$5:$F$73,MATCH(B38,'2018'!$A$5:$A$73,0)),0)=0,"N/A",INDEX('2018'!$F$5:$F$73,MATCH(B38,'2018'!$A$5:$A$73,0)))</f>
        <v>1.85</v>
      </c>
      <c r="F38" s="59">
        <f>IF(IFERROR(INDEX('2017'!$F$5:$F$73,MATCH(B38,'2017'!$A$5:$A$73,0)),0)=0,"N/A",INDEX('2017'!$F$5:$F$73,MATCH(B38,'2017'!$A$5:$A$73,0)))</f>
        <v>1.64</v>
      </c>
      <c r="G38" s="67">
        <f>IF(IFERROR(INDEX('2016'!$F$5:$F$73,MATCH(B38,'2016'!$A$5:$A$73,0)),0)=0,"N/A",INDEX('2016'!$F$5:$F$73,MATCH(B38,'2016'!$A$5:$A$73,0)))</f>
        <v>2.29</v>
      </c>
      <c r="H38" s="59">
        <v>1.5</v>
      </c>
      <c r="I38" s="59">
        <v>1.64</v>
      </c>
      <c r="J38" s="59">
        <v>1.62</v>
      </c>
      <c r="K38" s="59">
        <v>1.67</v>
      </c>
      <c r="L38" s="59">
        <v>1.44</v>
      </c>
      <c r="M38" s="59">
        <v>1.21</v>
      </c>
      <c r="N38" s="59">
        <v>0.91</v>
      </c>
      <c r="O38" s="59">
        <v>1.07</v>
      </c>
      <c r="P38" s="59">
        <v>1.1100000000000001</v>
      </c>
      <c r="Q38" s="59">
        <v>1.33</v>
      </c>
    </row>
    <row r="39" spans="1:17" x14ac:dyDescent="0.2">
      <c r="A39" s="59" t="s">
        <v>216</v>
      </c>
      <c r="B39" s="59" t="s">
        <v>22</v>
      </c>
      <c r="C39" s="59">
        <f>IF(IFERROR(INDEX('2020'!$F$5:$F$73,MATCH(B39,'2020'!$A$5:$A$73,0)),0)=0,"N/A",INDEX('2020'!$F$5:$F$73,MATCH(B39,'2020'!$A$5:$A$73,0)))</f>
        <v>4.6900000000000004</v>
      </c>
      <c r="D39" s="59">
        <f>IF(IFERROR(INDEX('2019'!$F$5:$F$73,MATCH(B39,'2019'!$A$5:$A$73,0)),0)=0,"N/A",INDEX('2019'!$F$5:$F$73,MATCH(B39,'2019'!$A$5:$A$73,0)))</f>
        <v>4.6100000000000003</v>
      </c>
      <c r="E39" s="59">
        <f>IF(IFERROR(INDEX('2018'!$F$5:$F$73,MATCH(B39,'2018'!$A$5:$A$73,0)),0)=0,"N/A",INDEX('2018'!$F$5:$F$73,MATCH(B39,'2018'!$A$5:$A$73,0)))</f>
        <v>4.49</v>
      </c>
      <c r="F39" s="59">
        <f>IF(IFERROR(INDEX('2017'!$F$5:$F$73,MATCH(B39,'2017'!$A$5:$A$73,0)),0)=0,"N/A",INDEX('2017'!$F$5:$F$73,MATCH(B39,'2017'!$A$5:$A$73,0)))</f>
        <v>4.21</v>
      </c>
      <c r="G39" s="67">
        <f>IF(IFERROR(INDEX('2016'!$F$5:$F$73,MATCH(B39,'2016'!$A$5:$A$73,0)),0)=0,"N/A",INDEX('2016'!$F$5:$F$73,MATCH(B39,'2016'!$A$5:$A$73,0)))</f>
        <v>3.94</v>
      </c>
      <c r="H39" s="59">
        <v>3.87</v>
      </c>
      <c r="I39" s="59">
        <v>3.85</v>
      </c>
      <c r="J39" s="59">
        <v>3.64</v>
      </c>
      <c r="K39" s="59">
        <v>3.37</v>
      </c>
      <c r="L39" s="59">
        <v>3.36</v>
      </c>
      <c r="M39" s="59">
        <v>2.95</v>
      </c>
      <c r="N39" s="59">
        <v>2.64</v>
      </c>
      <c r="O39" s="59">
        <v>2.1800000000000002</v>
      </c>
      <c r="P39" s="59">
        <v>1.86</v>
      </c>
      <c r="Q39" s="59">
        <v>2.35</v>
      </c>
    </row>
    <row r="40" spans="1:17" x14ac:dyDescent="0.2">
      <c r="A40" s="59" t="s">
        <v>139</v>
      </c>
      <c r="B40" s="59" t="s">
        <v>25</v>
      </c>
      <c r="C40" s="59">
        <f>IF(IFERROR(INDEX('2020'!$F$5:$F$73,MATCH(B40,'2020'!$A$5:$A$73,0)),0)=0,"N/A",INDEX('2020'!$F$5:$F$73,MATCH(B40,'2020'!$A$5:$A$73,0)))</f>
        <v>2.6</v>
      </c>
      <c r="D40" s="59">
        <f>IF(IFERROR(INDEX('2019'!$F$5:$F$73,MATCH(B40,'2019'!$A$5:$A$73,0)),0)=0,"N/A",INDEX('2019'!$F$5:$F$73,MATCH(B40,'2019'!$A$5:$A$73,0)))</f>
        <v>2.5099999999999998</v>
      </c>
      <c r="E40" s="59">
        <f>IF(IFERROR(INDEX('2018'!$F$5:$F$73,MATCH(B40,'2018'!$A$5:$A$73,0)),0)=0,"N/A",INDEX('2018'!$F$5:$F$73,MATCH(B40,'2018'!$A$5:$A$73,0)))</f>
        <v>2.4300000000000002</v>
      </c>
      <c r="F40" s="59">
        <f>IF(IFERROR(INDEX('2017'!$F$5:$F$73,MATCH(B40,'2017'!$A$5:$A$73,0)),0)=0,"N/A",INDEX('2017'!$F$5:$F$73,MATCH(B40,'2017'!$A$5:$A$73,0)))</f>
        <v>2.2000000000000002</v>
      </c>
      <c r="G40" s="67">
        <f>IF(IFERROR(INDEX('2016'!$F$5:$F$73,MATCH(B40,'2016'!$A$5:$A$73,0)),0)=0,"N/A",INDEX('2016'!$F$5:$F$73,MATCH(B40,'2016'!$A$5:$A$73,0)))</f>
        <v>2.1800000000000002</v>
      </c>
      <c r="H40" s="59">
        <v>2.06</v>
      </c>
      <c r="I40" s="59">
        <v>2.3199999999999998</v>
      </c>
      <c r="J40" s="59">
        <v>2.16</v>
      </c>
      <c r="K40" s="59">
        <v>1.86</v>
      </c>
      <c r="L40" s="59">
        <v>1.76</v>
      </c>
      <c r="M40" s="59">
        <v>1.667</v>
      </c>
      <c r="N40" s="59">
        <v>1.4730000000000001</v>
      </c>
      <c r="O40" s="59">
        <v>1.587</v>
      </c>
      <c r="P40" s="59">
        <v>1.5129999999999999</v>
      </c>
      <c r="Q40" s="59">
        <v>1.373</v>
      </c>
    </row>
    <row r="41" spans="1:17" x14ac:dyDescent="0.2">
      <c r="A41" s="59" t="s">
        <v>187</v>
      </c>
      <c r="B41" s="59" t="s">
        <v>188</v>
      </c>
      <c r="C41" s="59">
        <f>IF(IFERROR(INDEX('2020'!$F$5:$F$73,MATCH(B41,'2020'!$A$5:$A$73,0)),0)=0,"N/A",INDEX('2020'!$F$5:$F$73,MATCH(B41,'2020'!$A$5:$A$73,0)))</f>
        <v>2.1800000000000002</v>
      </c>
      <c r="D41" s="59">
        <f>IF(IFERROR(INDEX('2019'!$F$5:$F$73,MATCH(B41,'2019'!$A$5:$A$73,0)),0)=0,"N/A",INDEX('2019'!$F$5:$F$73,MATCH(B41,'2019'!$A$5:$A$73,0)))</f>
        <v>2.0099999999999998</v>
      </c>
      <c r="E41" s="59">
        <f>IF(IFERROR(INDEX('2018'!$F$5:$F$73,MATCH(B41,'2018'!$A$5:$A$73,0)),0)=0,"N/A",INDEX('2018'!$F$5:$F$73,MATCH(B41,'2018'!$A$5:$A$73,0)))</f>
        <v>1.96</v>
      </c>
      <c r="F41" s="59">
        <f>IF(IFERROR(INDEX('2017'!$F$5:$F$73,MATCH(B41,'2017'!$A$5:$A$73,0)),0)=0,"N/A",INDEX('2017'!$F$5:$F$73,MATCH(B41,'2017'!$A$5:$A$73,0)))</f>
        <v>1.38</v>
      </c>
      <c r="G41" s="67">
        <f>IF(IFERROR(INDEX('2016'!$F$5:$F$73,MATCH(B41,'2016'!$A$5:$A$73,0)),0)=0,"N/A",INDEX('2016'!$F$5:$F$73,MATCH(B41,'2016'!$A$5:$A$73,0)))</f>
        <v>1.38</v>
      </c>
      <c r="H41" s="59">
        <v>1.22</v>
      </c>
      <c r="I41" s="59">
        <v>1.1299999999999999</v>
      </c>
      <c r="J41" s="59">
        <v>1.03</v>
      </c>
      <c r="K41" s="59">
        <v>0.9</v>
      </c>
      <c r="L41" s="59">
        <v>0.84</v>
      </c>
      <c r="M41" s="59">
        <v>0.96</v>
      </c>
      <c r="N41" s="59">
        <v>0.72</v>
      </c>
      <c r="O41" s="59">
        <v>0.89</v>
      </c>
      <c r="P41" s="59">
        <v>0.87</v>
      </c>
      <c r="Q41" s="59">
        <v>0.82</v>
      </c>
    </row>
    <row r="42" spans="1:17" x14ac:dyDescent="0.2">
      <c r="A42" s="59" t="s">
        <v>189</v>
      </c>
      <c r="B42" s="59" t="s">
        <v>190</v>
      </c>
      <c r="C42" s="59">
        <f>IF(IFERROR(INDEX('2020'!$F$5:$F$73,MATCH(B42,'2020'!$A$5:$A$73,0)),0)=0,"N/A",INDEX('2020'!$F$5:$F$73,MATCH(B42,'2020'!$A$5:$A$73,0)))</f>
        <v>2.0699999999999998</v>
      </c>
      <c r="D42" s="59">
        <f>IF(IFERROR(INDEX('2019'!$F$5:$F$73,MATCH(B42,'2019'!$A$5:$A$73,0)),0)=0,"N/A",INDEX('2019'!$F$5:$F$73,MATCH(B42,'2019'!$A$5:$A$73,0)))</f>
        <v>1.96</v>
      </c>
      <c r="E42" s="59">
        <f>IF(IFERROR(INDEX('2018'!$F$5:$F$73,MATCH(B42,'2018'!$A$5:$A$73,0)),0)=0,"N/A",INDEX('2018'!$F$5:$F$73,MATCH(B42,'2018'!$A$5:$A$73,0)))</f>
        <v>2.72</v>
      </c>
      <c r="F42" s="59">
        <f>IF(IFERROR(INDEX('2017'!$F$5:$F$73,MATCH(B42,'2017'!$A$5:$A$73,0)),0)=0,"N/A",INDEX('2017'!$F$5:$F$73,MATCH(B42,'2017'!$A$5:$A$73,0)))</f>
        <v>1.73</v>
      </c>
      <c r="G42" s="67">
        <f>IF(IFERROR(INDEX('2016'!$F$5:$F$73,MATCH(B42,'2016'!$A$5:$A$73,0)),0)=0,"N/A",INDEX('2016'!$F$5:$F$73,MATCH(B42,'2016'!$A$5:$A$73,0)))</f>
        <v>1.61</v>
      </c>
      <c r="H42" s="59">
        <v>1.78</v>
      </c>
      <c r="I42" s="59">
        <v>2.08</v>
      </c>
      <c r="J42" s="59">
        <v>1.365</v>
      </c>
      <c r="K42" s="59">
        <v>1.355</v>
      </c>
      <c r="L42" s="59">
        <v>1.29</v>
      </c>
      <c r="M42" s="59">
        <v>1.23</v>
      </c>
      <c r="N42" s="59">
        <v>1.2</v>
      </c>
      <c r="O42" s="59">
        <v>1.35</v>
      </c>
      <c r="P42" s="59">
        <v>0.77700000000000002</v>
      </c>
      <c r="Q42" s="59">
        <v>0.93300000000000005</v>
      </c>
    </row>
    <row r="43" spans="1:17" x14ac:dyDescent="0.2">
      <c r="A43" s="59" t="s">
        <v>140</v>
      </c>
      <c r="B43" s="59" t="s">
        <v>141</v>
      </c>
      <c r="C43" s="59">
        <f>IF(IFERROR(INDEX('2020'!$F$5:$F$73,MATCH(B43,'2020'!$A$5:$A$73,0)),0)=0,"N/A",INDEX('2020'!$F$5:$F$73,MATCH(B43,'2020'!$A$5:$A$73,0)))</f>
        <v>2.1</v>
      </c>
      <c r="D43" s="59">
        <f>IF(IFERROR(INDEX('2019'!$F$5:$F$73,MATCH(B43,'2019'!$A$5:$A$73,0)),0)=0,"N/A",INDEX('2019'!$F$5:$F$73,MATCH(B43,'2019'!$A$5:$A$73,0)))</f>
        <v>1.94</v>
      </c>
      <c r="E43" s="59">
        <v>1.67</v>
      </c>
      <c r="F43" s="59">
        <v>1.63</v>
      </c>
      <c r="G43" s="67">
        <v>1.45</v>
      </c>
      <c r="H43" s="59">
        <v>1.52</v>
      </c>
      <c r="I43" s="59">
        <v>1.4</v>
      </c>
      <c r="J43" s="59">
        <v>1.21</v>
      </c>
      <c r="K43" s="59">
        <v>1.1399999999999999</v>
      </c>
      <c r="L43" s="59">
        <v>1.21</v>
      </c>
      <c r="M43" s="59">
        <v>1.19</v>
      </c>
      <c r="N43" s="59">
        <v>0.99</v>
      </c>
      <c r="O43" s="59">
        <v>1.02</v>
      </c>
      <c r="P43" s="59">
        <v>0.82</v>
      </c>
      <c r="Q43" s="59">
        <v>0.81</v>
      </c>
    </row>
    <row r="44" spans="1:17" x14ac:dyDescent="0.2">
      <c r="A44" s="59" t="s">
        <v>142</v>
      </c>
      <c r="B44" s="59" t="s">
        <v>26</v>
      </c>
      <c r="C44" s="59">
        <f>IF(IFERROR(INDEX('2020'!$F$5:$F$73,MATCH(B44,'2020'!$A$5:$A$73,0)),0)=0,"N/A",INDEX('2020'!$F$5:$F$73,MATCH(B44,'2020'!$A$5:$A$73,0)))</f>
        <v>1.32</v>
      </c>
      <c r="D44" s="59">
        <f>IF(IFERROR(INDEX('2019'!$F$5:$F$73,MATCH(B44,'2019'!$A$5:$A$73,0)),0)=0,"N/A",INDEX('2019'!$F$5:$F$73,MATCH(B44,'2019'!$A$5:$A$73,0)))</f>
        <v>1.31</v>
      </c>
      <c r="E44" s="59">
        <f>IF(IFERROR(INDEX('2018'!$F$5:$F$73,MATCH(B44,'2018'!$A$5:$A$73,0)),0)=0,"N/A",INDEX('2018'!$F$5:$F$73,MATCH(B44,'2018'!$A$5:$A$73,0)))</f>
        <v>1.3</v>
      </c>
      <c r="F44" s="59">
        <f>IF(IFERROR(INDEX('2017'!$F$5:$F$73,MATCH(B44,'2017'!$A$5:$A$73,0)),0)=0,"N/A",INDEX('2017'!$F$5:$F$73,MATCH(B44,'2017'!$A$5:$A$73,0)))</f>
        <v>0.39</v>
      </c>
      <c r="G44" s="67">
        <f>IF(IFERROR(INDEX('2016'!$F$5:$F$73,MATCH(B44,'2016'!$A$5:$A$73,0)),0)=0,"N/A",INDEX('2016'!$F$5:$F$73,MATCH(B44,'2016'!$A$5:$A$73,0)))</f>
        <v>1</v>
      </c>
      <c r="H44" s="59">
        <v>0.63</v>
      </c>
      <c r="I44" s="59">
        <v>1.67</v>
      </c>
      <c r="J44" s="59">
        <v>1.57</v>
      </c>
      <c r="K44" s="59">
        <v>1.37</v>
      </c>
      <c r="L44" s="59">
        <v>1.05</v>
      </c>
      <c r="M44" s="59">
        <v>1.06</v>
      </c>
      <c r="N44" s="59">
        <v>0.84</v>
      </c>
      <c r="O44" s="59">
        <v>1.34</v>
      </c>
      <c r="P44" s="59">
        <v>1.1399999999999999</v>
      </c>
      <c r="Q44" s="59">
        <v>1.1399999999999999</v>
      </c>
    </row>
    <row r="45" spans="1:17" x14ac:dyDescent="0.2">
      <c r="A45" s="59" t="s">
        <v>191</v>
      </c>
      <c r="B45" s="59" t="s">
        <v>192</v>
      </c>
      <c r="C45" s="59">
        <f>IF(IFERROR(INDEX('2020'!$F$5:$F$73,MATCH(B45,'2020'!$A$5:$A$73,0)),0)=0,"N/A",INDEX('2020'!$F$5:$F$73,MATCH(B45,'2020'!$A$5:$A$73,0)))</f>
        <v>2.2999999999999998</v>
      </c>
      <c r="D45" s="59">
        <f>IF(IFERROR(INDEX('2019'!$F$5:$F$73,MATCH(B45,'2019'!$A$5:$A$73,0)),0)=0,"N/A",INDEX('2019'!$F$5:$F$73,MATCH(B45,'2019'!$A$5:$A$73,0)))</f>
        <v>2.19</v>
      </c>
      <c r="E45" s="59">
        <f>IF(IFERROR(INDEX('2018'!$F$5:$F$73,MATCH(B45,'2018'!$A$5:$A$73,0)),0)=0,"N/A",INDEX('2018'!$F$5:$F$73,MATCH(B45,'2018'!$A$5:$A$73,0)))</f>
        <v>2.33</v>
      </c>
      <c r="F45" s="59">
        <f>IF(IFERROR(INDEX('2017'!$F$5:$F$73,MATCH(B45,'2017'!$A$5:$A$73,0)),0)=0,"N/A",INDEX('2017'!$F$5:$F$73,MATCH(B45,'2017'!$A$5:$A$73,0)))</f>
        <v>-1.94</v>
      </c>
      <c r="G45" s="67">
        <f>IF(IFERROR(INDEX('2016'!$F$5:$F$73,MATCH(B45,'2016'!$A$5:$A$73,0)),0)=0,"N/A",INDEX('2016'!$F$5:$F$73,MATCH(B45,'2016'!$A$5:$A$73,0)))</f>
        <v>2.12</v>
      </c>
      <c r="H45" s="59">
        <v>1.96</v>
      </c>
      <c r="I45" s="59">
        <v>2.16</v>
      </c>
      <c r="J45" s="59">
        <v>2.2400000000000002</v>
      </c>
      <c r="K45" s="59">
        <v>2.2200000000000002</v>
      </c>
      <c r="L45" s="59">
        <v>2.39</v>
      </c>
      <c r="M45" s="59">
        <v>2.73</v>
      </c>
      <c r="N45" s="59">
        <v>2.83</v>
      </c>
      <c r="O45" s="59">
        <v>2.57</v>
      </c>
      <c r="P45" s="59">
        <v>2.76</v>
      </c>
      <c r="Q45" s="59">
        <v>2.35</v>
      </c>
    </row>
    <row r="46" spans="1:17" x14ac:dyDescent="0.2">
      <c r="A46" s="59" t="s">
        <v>143</v>
      </c>
      <c r="B46" s="59" t="s">
        <v>144</v>
      </c>
      <c r="C46" s="59">
        <f>IF(IFERROR(INDEX('2020'!$F$5:$F$73,MATCH(B46,'2020'!$A$5:$A$73,0)),0)=0,"N/A",INDEX('2020'!$F$5:$F$73,MATCH(B46,'2020'!$A$5:$A$73,0)))</f>
        <v>3.06</v>
      </c>
      <c r="D46" s="59">
        <f>IF(IFERROR(INDEX('2019'!$F$5:$F$73,MATCH(B46,'2019'!$A$5:$A$73,0)),0)=0,"N/A",INDEX('2019'!$F$5:$F$73,MATCH(B46,'2019'!$A$5:$A$73,0)))</f>
        <v>3.53</v>
      </c>
      <c r="E46" s="59">
        <f>IF(IFERROR(INDEX('2018'!$F$5:$F$73,MATCH(B46,'2018'!$A$5:$A$73,0)),0)=0,"N/A",INDEX('2018'!$F$5:$F$73,MATCH(B46,'2018'!$A$5:$A$73,0)))</f>
        <v>3.4</v>
      </c>
      <c r="F46" s="59">
        <f>IF(IFERROR(INDEX('2017'!$F$5:$F$73,MATCH(B46,'2017'!$A$5:$A$73,0)),0)=0,"N/A",INDEX('2017'!$F$5:$F$73,MATCH(B46,'2017'!$A$5:$A$73,0)))</f>
        <v>3.34</v>
      </c>
      <c r="G46" s="67">
        <f>IF(IFERROR(INDEX('2016'!$F$5:$F$73,MATCH(B46,'2016'!$A$5:$A$73,0)),0)=0,"N/A",INDEX('2016'!$F$5:$F$73,MATCH(B46,'2016'!$A$5:$A$73,0)))</f>
        <v>3.39</v>
      </c>
      <c r="H46" s="59">
        <v>2.9</v>
      </c>
      <c r="I46" s="59">
        <v>2.99</v>
      </c>
      <c r="J46" s="59">
        <v>2.46</v>
      </c>
      <c r="K46" s="59">
        <v>2.2599999999999998</v>
      </c>
      <c r="L46" s="59">
        <v>2.5299999999999998</v>
      </c>
      <c r="M46" s="59">
        <v>2.14</v>
      </c>
      <c r="N46" s="59">
        <v>2.02</v>
      </c>
      <c r="O46" s="59">
        <v>1.77</v>
      </c>
      <c r="P46" s="59">
        <v>1.44</v>
      </c>
      <c r="Q46" s="59">
        <v>1.31</v>
      </c>
    </row>
    <row r="47" spans="1:17" x14ac:dyDescent="0.2">
      <c r="A47" s="59" t="s">
        <v>145</v>
      </c>
      <c r="B47" s="59" t="s">
        <v>27</v>
      </c>
      <c r="C47" s="59">
        <f>IF(IFERROR(INDEX('2020'!$F$5:$F$73,MATCH(B47,'2020'!$A$5:$A$73,0)),0)=0,"N/A",INDEX('2020'!$F$5:$F$73,MATCH(B47,'2020'!$A$5:$A$73,0)))</f>
        <v>2.08</v>
      </c>
      <c r="D47" s="59">
        <f>IF(IFERROR(INDEX('2019'!$F$5:$F$73,MATCH(B47,'2019'!$A$5:$A$73,0)),0)=0,"N/A",INDEX('2019'!$F$5:$F$73,MATCH(B47,'2019'!$A$5:$A$73,0)))</f>
        <v>2.2400000000000002</v>
      </c>
      <c r="E47" s="59">
        <f>IF(IFERROR(INDEX('2018'!$F$5:$F$73,MATCH(B47,'2018'!$A$5:$A$73,0)),0)=0,"N/A",INDEX('2018'!$F$5:$F$73,MATCH(B47,'2018'!$A$5:$A$73,0)))</f>
        <v>2.12</v>
      </c>
      <c r="F47" s="59">
        <f>IF(IFERROR(INDEX('2017'!$F$5:$F$73,MATCH(B47,'2017'!$A$5:$A$73,0)),0)=0,"N/A",INDEX('2017'!$F$5:$F$73,MATCH(B47,'2017'!$A$5:$A$73,0)))</f>
        <v>1.92</v>
      </c>
      <c r="G47" s="67">
        <f>IF(IFERROR(INDEX('2016'!$F$5:$F$73,MATCH(B47,'2016'!$A$5:$A$73,0)),0)=0,"N/A",INDEX('2016'!$F$5:$F$73,MATCH(B47,'2016'!$A$5:$A$73,0)))</f>
        <v>1.69</v>
      </c>
      <c r="H47" s="59">
        <v>1.69</v>
      </c>
      <c r="I47" s="59">
        <v>1.98</v>
      </c>
      <c r="J47" s="59">
        <v>1.94</v>
      </c>
      <c r="K47" s="59">
        <v>1.79</v>
      </c>
      <c r="L47" s="59">
        <v>1.7250000000000001</v>
      </c>
      <c r="M47" s="59">
        <v>1.4950000000000001</v>
      </c>
      <c r="N47" s="59">
        <v>1.33</v>
      </c>
      <c r="O47" s="59">
        <v>1.2450000000000001</v>
      </c>
      <c r="P47" s="59">
        <v>1.32</v>
      </c>
      <c r="Q47" s="59">
        <v>1.2250000000000001</v>
      </c>
    </row>
    <row r="48" spans="1:17" x14ac:dyDescent="0.2">
      <c r="A48" s="59" t="s">
        <v>348</v>
      </c>
      <c r="B48" s="59" t="s">
        <v>345</v>
      </c>
      <c r="C48" s="59">
        <f>IF(IFERROR(INDEX('2020'!$F$5:$F$73,MATCH(B48,'2020'!$A$5:$A$73,0)),0)=0,"N/A",INDEX('2020'!$F$5:$F$73,MATCH(B48,'2020'!$A$5:$A$73,0)))</f>
        <v>3.68</v>
      </c>
      <c r="D48" s="59">
        <f>IF(IFERROR(INDEX('2019'!$F$5:$F$73,MATCH(B48,'2019'!$A$5:$A$73,0)),0)=0,"N/A",INDEX('2019'!$F$5:$F$73,MATCH(B48,'2019'!$A$5:$A$73,0)))</f>
        <v>3.51</v>
      </c>
      <c r="E48" s="59">
        <f>IF(IFERROR(INDEX('2018'!$F$5:$F$73,MATCH(B48,'2018'!$A$5:$A$73,0)),0)=0,"N/A",INDEX('2018'!$F$5:$F$73,MATCH(B48,'2018'!$A$5:$A$73,0)))</f>
        <v>3.25</v>
      </c>
      <c r="F48" s="59">
        <f>IF(IFERROR(INDEX('2017'!$F$5:$F$73,MATCH(B48,'2017'!$A$5:$A$73,0)),0)=0,"N/A",INDEX('2017'!$F$5:$F$73,MATCH(B48,'2017'!$A$5:$A$73,0)))</f>
        <v>3.02</v>
      </c>
      <c r="G48" s="67">
        <f>IF(IFERROR(INDEX('2016'!$F$5:$F$73,MATCH(B48,'2016'!$A$5:$A$73,0)),0)=0,"N/A",INDEX('2016'!$F$5:$F$73,MATCH(B48,'2016'!$A$5:$A$73,0)))</f>
        <v>2.65</v>
      </c>
      <c r="H48" s="59">
        <v>2.2400000000000002</v>
      </c>
      <c r="I48" s="59">
        <v>2.0699999999999998</v>
      </c>
    </row>
    <row r="49" spans="1:17" x14ac:dyDescent="0.2">
      <c r="A49" s="59" t="s">
        <v>146</v>
      </c>
      <c r="B49" s="59" t="s">
        <v>28</v>
      </c>
      <c r="C49" s="59">
        <f>IF(IFERROR(INDEX('2020'!$F$5:$F$73,MATCH(B49,'2020'!$A$5:$A$73,0)),0)=0,"N/A",INDEX('2020'!$F$5:$F$73,MATCH(B49,'2020'!$A$5:$A$73,0)))</f>
        <v>2.34</v>
      </c>
      <c r="D49" s="59">
        <f>IF(IFERROR(INDEX('2019'!$F$5:$F$73,MATCH(B49,'2019'!$A$5:$A$73,0)),0)=0,"N/A",INDEX('2019'!$F$5:$F$73,MATCH(B49,'2019'!$A$5:$A$73,0)))</f>
        <v>2.17</v>
      </c>
      <c r="E49" s="59">
        <f>IF(IFERROR(INDEX('2018'!$F$5:$F$73,MATCH(B49,'2018'!$A$5:$A$73,0)),0)=0,"N/A",INDEX('2018'!$F$5:$F$73,MATCH(B49,'2018'!$A$5:$A$73,0)))</f>
        <v>2.06</v>
      </c>
      <c r="F49" s="59">
        <f>IF(IFERROR(INDEX('2017'!$F$5:$F$73,MATCH(B49,'2017'!$A$5:$A$73,0)),0)=0,"N/A",INDEX('2017'!$F$5:$F$73,MATCH(B49,'2017'!$A$5:$A$73,0)))</f>
        <v>1.86</v>
      </c>
      <c r="G49" s="67">
        <f>IF(IFERROR(INDEX('2016'!$F$5:$F$73,MATCH(B49,'2016'!$A$5:$A$73,0)),0)=0,"N/A",INDEX('2016'!$F$5:$F$73,MATCH(B49,'2016'!$A$5:$A$73,0)))</f>
        <v>1.6</v>
      </c>
      <c r="H49" s="59">
        <v>1.56</v>
      </c>
      <c r="I49" s="59">
        <v>1.55</v>
      </c>
      <c r="J49" s="59">
        <v>1.37</v>
      </c>
      <c r="K49" s="59">
        <v>1.05</v>
      </c>
      <c r="L49" s="59">
        <v>0.45</v>
      </c>
      <c r="M49" s="59">
        <v>0.38</v>
      </c>
      <c r="N49" s="59">
        <v>0.71</v>
      </c>
      <c r="O49" s="59">
        <v>1.0900000000000001</v>
      </c>
      <c r="P49" s="59">
        <v>1.78</v>
      </c>
      <c r="Q49" s="59">
        <v>1.69</v>
      </c>
    </row>
    <row r="50" spans="1:17" x14ac:dyDescent="0.2">
      <c r="A50" s="59" t="s">
        <v>147</v>
      </c>
      <c r="B50" s="59" t="s">
        <v>30</v>
      </c>
      <c r="C50" s="59">
        <f>IF(IFERROR(INDEX('2020'!$F$5:$F$73,MATCH(B50,'2020'!$A$5:$A$73,0)),0)=0,"N/A",INDEX('2020'!$F$5:$F$73,MATCH(B50,'2020'!$A$5:$A$73,0)))</f>
        <v>-1.05</v>
      </c>
      <c r="D50" s="59">
        <f>IF(IFERROR(INDEX('2019'!$F$5:$F$73,MATCH(B50,'2019'!$A$5:$A$73,0)),0)=0,"N/A",INDEX('2019'!$F$5:$F$73,MATCH(B50,'2019'!$A$5:$A$73,0)))</f>
        <v>-14.5</v>
      </c>
      <c r="E50" s="59">
        <f>IF(IFERROR(INDEX('2018'!$F$5:$F$73,MATCH(B50,'2018'!$A$5:$A$73,0)),0)=0,"N/A",INDEX('2018'!$F$5:$F$73,MATCH(B50,'2018'!$A$5:$A$73,0)))</f>
        <v>-13.25</v>
      </c>
      <c r="F50" s="59">
        <f>IF(IFERROR(INDEX('2017'!$F$5:$F$73,MATCH(B50,'2017'!$A$5:$A$73,0)),0)=0,"N/A",INDEX('2017'!$F$5:$F$73,MATCH(B50,'2017'!$A$5:$A$73,0)))</f>
        <v>3.5</v>
      </c>
      <c r="G50" s="67">
        <f>IF(IFERROR(INDEX('2016'!$F$5:$F$73,MATCH(B50,'2016'!$A$5:$A$73,0)),0)=0,"N/A",INDEX('2016'!$F$5:$F$73,MATCH(B50,'2016'!$A$5:$A$73,0)))</f>
        <v>2.83</v>
      </c>
      <c r="H50" s="59">
        <v>2</v>
      </c>
      <c r="I50" s="59">
        <v>3.06</v>
      </c>
      <c r="J50" s="59">
        <v>1.83</v>
      </c>
      <c r="K50" s="59">
        <v>2.0699999999999998</v>
      </c>
      <c r="L50" s="59">
        <v>2.78</v>
      </c>
      <c r="M50" s="59">
        <v>2.82</v>
      </c>
      <c r="N50" s="59">
        <v>3.03</v>
      </c>
      <c r="O50" s="59">
        <v>3.22</v>
      </c>
      <c r="P50" s="59">
        <v>2.78</v>
      </c>
      <c r="Q50" s="59">
        <v>2.76</v>
      </c>
    </row>
    <row r="51" spans="1:17" x14ac:dyDescent="0.2">
      <c r="A51" s="59" t="s">
        <v>148</v>
      </c>
      <c r="B51" s="59" t="s">
        <v>31</v>
      </c>
      <c r="C51" s="59">
        <f>IF(IFERROR(INDEX('2020'!$F$5:$F$73,MATCH(B51,'2020'!$A$5:$A$73,0)),0)=0,"N/A",INDEX('2020'!$F$5:$F$73,MATCH(B51,'2020'!$A$5:$A$73,0)))</f>
        <v>4.87</v>
      </c>
      <c r="D51" s="59">
        <f>IF(IFERROR(INDEX('2019'!$F$5:$F$73,MATCH(B51,'2019'!$A$5:$A$73,0)),0)=0,"N/A",INDEX('2019'!$F$5:$F$73,MATCH(B51,'2019'!$A$5:$A$73,0)))</f>
        <v>4.7699999999999996</v>
      </c>
      <c r="E51" s="59">
        <f>IF(IFERROR(INDEX('2018'!$F$5:$F$73,MATCH(B51,'2018'!$A$5:$A$73,0)),0)=0,"N/A",INDEX('2018'!$F$5:$F$73,MATCH(B51,'2018'!$A$5:$A$73,0)))</f>
        <v>4.54</v>
      </c>
      <c r="F51" s="59">
        <f>IF(IFERROR(INDEX('2017'!$F$5:$F$73,MATCH(B51,'2017'!$A$5:$A$73,0)),0)=0,"N/A",INDEX('2017'!$F$5:$F$73,MATCH(B51,'2017'!$A$5:$A$73,0)))</f>
        <v>4.43</v>
      </c>
      <c r="G51" s="67">
        <f>IF(IFERROR(INDEX('2016'!$F$5:$F$73,MATCH(B51,'2016'!$A$5:$A$73,0)),0)=0,"N/A",INDEX('2016'!$F$5:$F$73,MATCH(B51,'2016'!$A$5:$A$73,0)))</f>
        <v>3.95</v>
      </c>
      <c r="H51" s="59">
        <v>3.92</v>
      </c>
      <c r="I51" s="59">
        <v>3.58</v>
      </c>
      <c r="J51" s="59">
        <v>3.66</v>
      </c>
      <c r="K51" s="59">
        <v>3.5</v>
      </c>
      <c r="L51" s="59">
        <v>2.99</v>
      </c>
      <c r="M51" s="59">
        <v>3.08</v>
      </c>
      <c r="N51" s="59">
        <v>2.2599999999999998</v>
      </c>
      <c r="O51" s="59">
        <v>2.12</v>
      </c>
      <c r="P51" s="59">
        <v>2.96</v>
      </c>
      <c r="Q51" s="59">
        <v>3.17</v>
      </c>
    </row>
    <row r="52" spans="1:17" x14ac:dyDescent="0.2">
      <c r="A52" s="59" t="s">
        <v>149</v>
      </c>
      <c r="B52" s="59" t="s">
        <v>32</v>
      </c>
      <c r="C52" s="59">
        <f>IF(IFERROR(INDEX('2020'!$F$5:$F$73,MATCH(B52,'2020'!$A$5:$A$73,0)),0)=0,"N/A",INDEX('2020'!$F$5:$F$73,MATCH(B52,'2020'!$A$5:$A$73,0)))</f>
        <v>2.15</v>
      </c>
      <c r="D52" s="59">
        <f>IF(IFERROR(INDEX('2019'!$F$5:$F$73,MATCH(B52,'2019'!$A$5:$A$73,0)),0)=0,"N/A",INDEX('2019'!$F$5:$F$73,MATCH(B52,'2019'!$A$5:$A$73,0)))</f>
        <v>2.2799999999999998</v>
      </c>
      <c r="E52" s="59">
        <f>IF(IFERROR(INDEX('2018'!$F$5:$F$73,MATCH(B52,'2018'!$A$5:$A$73,0)),0)=0,"N/A",INDEX('2018'!$F$5:$F$73,MATCH(B52,'2018'!$A$5:$A$73,0)))</f>
        <v>1.66</v>
      </c>
      <c r="F52" s="59">
        <f>IF(IFERROR(INDEX('2017'!$F$5:$F$73,MATCH(B52,'2017'!$A$5:$A$73,0)),0)=0,"N/A",INDEX('2017'!$F$5:$F$73,MATCH(B52,'2017'!$A$5:$A$73,0)))</f>
        <v>1.92</v>
      </c>
      <c r="G52" s="67">
        <f>IF(IFERROR(INDEX('2016'!$F$5:$F$73,MATCH(B52,'2016'!$A$5:$A$73,0)),0)=0,"N/A",INDEX('2016'!$F$5:$F$73,MATCH(B52,'2016'!$A$5:$A$73,0)))</f>
        <v>1.65</v>
      </c>
      <c r="H52" s="59">
        <v>1.64</v>
      </c>
      <c r="I52" s="59">
        <v>1.45</v>
      </c>
      <c r="J52" s="59">
        <v>1.41</v>
      </c>
      <c r="K52" s="59">
        <v>1.31</v>
      </c>
      <c r="L52" s="59">
        <v>1.08</v>
      </c>
      <c r="M52" s="59">
        <v>0.87</v>
      </c>
      <c r="N52" s="59">
        <v>0.57999999999999996</v>
      </c>
      <c r="O52" s="59">
        <v>0.11</v>
      </c>
      <c r="P52" s="59">
        <v>0.76</v>
      </c>
      <c r="Q52" s="59">
        <v>1.72</v>
      </c>
    </row>
    <row r="53" spans="1:17" x14ac:dyDescent="0.2">
      <c r="A53" s="59" t="s">
        <v>150</v>
      </c>
      <c r="B53" s="59" t="s">
        <v>33</v>
      </c>
      <c r="C53" s="59">
        <f>IF(IFERROR(INDEX('2020'!$F$5:$F$73,MATCH(B53,'2020'!$A$5:$A$73,0)),0)=0,"N/A",INDEX('2020'!$F$5:$F$73,MATCH(B53,'2020'!$A$5:$A$73,0)))</f>
        <v>1.72</v>
      </c>
      <c r="D53" s="59">
        <f>IF(IFERROR(INDEX('2019'!$F$5:$F$73,MATCH(B53,'2019'!$A$5:$A$73,0)),0)=0,"N/A",INDEX('2019'!$F$5:$F$73,MATCH(B53,'2019'!$A$5:$A$73,0)))</f>
        <v>2.39</v>
      </c>
      <c r="E53" s="59">
        <f>IF(IFERROR(INDEX('2018'!$F$5:$F$73,MATCH(B53,'2018'!$A$5:$A$73,0)),0)=0,"N/A",INDEX('2018'!$F$5:$F$73,MATCH(B53,'2018'!$A$5:$A$73,0)))</f>
        <v>2.37</v>
      </c>
      <c r="F53" s="59">
        <f>IF(IFERROR(INDEX('2017'!$F$5:$F$73,MATCH(B53,'2017'!$A$5:$A$73,0)),0)=0,"N/A",INDEX('2017'!$F$5:$F$73,MATCH(B53,'2017'!$A$5:$A$73,0)))</f>
        <v>2.29</v>
      </c>
      <c r="G53" s="67">
        <f>IF(IFERROR(INDEX('2016'!$F$5:$F$73,MATCH(B53,'2016'!$A$5:$A$73,0)),0)=0,"N/A",INDEX('2016'!$F$5:$F$73,MATCH(B53,'2016'!$A$5:$A$73,0)))</f>
        <v>2.16</v>
      </c>
      <c r="H53" s="59">
        <v>2.04</v>
      </c>
      <c r="I53" s="59">
        <v>2.1800000000000002</v>
      </c>
      <c r="J53" s="59">
        <v>1.77</v>
      </c>
      <c r="K53" s="59">
        <v>1.87</v>
      </c>
      <c r="L53" s="59">
        <v>1.95</v>
      </c>
      <c r="M53" s="59">
        <v>1.66</v>
      </c>
      <c r="N53" s="59">
        <v>1.31</v>
      </c>
      <c r="O53" s="59">
        <v>1.39</v>
      </c>
      <c r="P53" s="59">
        <v>2.33</v>
      </c>
      <c r="Q53" s="59">
        <v>1.1399999999999999</v>
      </c>
    </row>
    <row r="54" spans="1:17" x14ac:dyDescent="0.2">
      <c r="A54" s="59" t="s">
        <v>151</v>
      </c>
      <c r="B54" s="59" t="s">
        <v>34</v>
      </c>
      <c r="C54" s="59">
        <f>IF(IFERROR(INDEX('2020'!$F$5:$F$73,MATCH(B54,'2020'!$A$5:$A$73,0)),0)=0,"N/A",INDEX('2020'!$F$5:$F$73,MATCH(B54,'2020'!$A$5:$A$73,0)))</f>
        <v>2.04</v>
      </c>
      <c r="D54" s="59">
        <f>IF(IFERROR(INDEX('2019'!$F$5:$F$73,MATCH(B54,'2019'!$A$5:$A$73,0)),0)=0,"N/A",INDEX('2019'!$F$5:$F$73,MATCH(B54,'2019'!$A$5:$A$73,0)))</f>
        <v>2.37</v>
      </c>
      <c r="E54" s="59">
        <f>IF(IFERROR(INDEX('2018'!$F$5:$F$73,MATCH(B54,'2018'!$A$5:$A$73,0)),0)=0,"N/A",INDEX('2018'!$F$5:$F$73,MATCH(B54,'2018'!$A$5:$A$73,0)))</f>
        <v>2.58</v>
      </c>
      <c r="F54" s="59">
        <f>IF(IFERROR(INDEX('2017'!$F$5:$F$73,MATCH(B54,'2017'!$A$5:$A$73,0)),0)=0,"N/A",INDEX('2017'!$F$5:$F$73,MATCH(B54,'2017'!$A$5:$A$73,0)))</f>
        <v>2.11</v>
      </c>
      <c r="G54" s="67">
        <f>IF(IFERROR(INDEX('2016'!$F$5:$F$73,MATCH(B54,'2016'!$A$5:$A$73,0)),0)=0,"N/A",INDEX('2016'!$F$5:$F$73,MATCH(B54,'2016'!$A$5:$A$73,0)))</f>
        <v>2.79</v>
      </c>
      <c r="H54" s="59">
        <v>2.37</v>
      </c>
      <c r="I54" s="59">
        <v>2.38</v>
      </c>
      <c r="J54" s="59">
        <v>2.38</v>
      </c>
      <c r="K54" s="59">
        <v>2.61</v>
      </c>
      <c r="L54" s="59">
        <v>2.61</v>
      </c>
      <c r="M54" s="59">
        <v>2.29</v>
      </c>
      <c r="N54" s="59">
        <v>1.19</v>
      </c>
      <c r="O54" s="59">
        <v>2.4500000000000002</v>
      </c>
      <c r="P54" s="59">
        <v>2.63</v>
      </c>
      <c r="Q54" s="59">
        <v>2.29</v>
      </c>
    </row>
    <row r="55" spans="1:17" x14ac:dyDescent="0.2">
      <c r="A55" s="59" t="s">
        <v>152</v>
      </c>
      <c r="B55" s="59" t="s">
        <v>35</v>
      </c>
      <c r="C55" s="59">
        <f>IF(IFERROR(INDEX('2020'!$F$5:$F$73,MATCH(B55,'2020'!$A$5:$A$73,0)),0)=0,"N/A",INDEX('2020'!$F$5:$F$73,MATCH(B55,'2020'!$A$5:$A$73,0)))</f>
        <v>3.61</v>
      </c>
      <c r="D55" s="59">
        <f>IF(IFERROR(INDEX('2019'!$F$5:$F$73,MATCH(B55,'2019'!$A$5:$A$73,0)),0)=0,"N/A",INDEX('2019'!$F$5:$F$73,MATCH(B55,'2019'!$A$5:$A$73,0)))</f>
        <v>3.9</v>
      </c>
      <c r="E55" s="59">
        <f>IF(IFERROR(INDEX('2018'!$F$5:$F$73,MATCH(B55,'2018'!$A$5:$A$73,0)),0)=0,"N/A",INDEX('2018'!$F$5:$F$73,MATCH(B55,'2018'!$A$5:$A$73,0)))</f>
        <v>2.76</v>
      </c>
      <c r="F55" s="59">
        <f>IF(IFERROR(INDEX('2017'!$F$5:$F$73,MATCH(B55,'2017'!$A$5:$A$73,0)),0)=0,"N/A",INDEX('2017'!$F$5:$F$73,MATCH(B55,'2017'!$A$5:$A$73,0)))</f>
        <v>2.82</v>
      </c>
      <c r="G55" s="67">
        <f>IF(IFERROR(INDEX('2016'!$F$5:$F$73,MATCH(B55,'2016'!$A$5:$A$73,0)),0)=0,"N/A",INDEX('2016'!$F$5:$F$73,MATCH(B55,'2016'!$A$5:$A$73,0)))</f>
        <v>2.83</v>
      </c>
      <c r="H55" s="59">
        <v>3.3</v>
      </c>
      <c r="I55" s="59">
        <v>2.99</v>
      </c>
      <c r="J55" s="59">
        <v>2.4500000000000002</v>
      </c>
      <c r="K55" s="59">
        <v>2.44</v>
      </c>
      <c r="L55" s="59">
        <v>3.11</v>
      </c>
      <c r="M55" s="59">
        <v>3.07</v>
      </c>
      <c r="N55" s="59">
        <v>3.08</v>
      </c>
      <c r="O55" s="59">
        <v>2.9</v>
      </c>
      <c r="P55" s="59">
        <v>2.59</v>
      </c>
      <c r="Q55" s="59">
        <v>1.845</v>
      </c>
    </row>
    <row r="56" spans="1:17" x14ac:dyDescent="0.2">
      <c r="A56" s="59" t="s">
        <v>193</v>
      </c>
      <c r="B56" s="59" t="s">
        <v>194</v>
      </c>
      <c r="C56" s="59">
        <f>IF(IFERROR(INDEX('2020'!$F$5:$F$73,MATCH(B56,'2020'!$A$5:$A$73,0)),0)=0,"N/A",INDEX('2020'!$F$5:$F$73,MATCH(B56,'2020'!$A$5:$A$73,0)))</f>
        <v>1.3</v>
      </c>
      <c r="D56" s="59">
        <f>IF(IFERROR(INDEX('2019'!$F$5:$F$73,MATCH(B56,'2019'!$A$5:$A$73,0)),0)=0,"N/A",INDEX('2019'!$F$5:$F$73,MATCH(B56,'2019'!$A$5:$A$73,0)))</f>
        <v>1.08</v>
      </c>
      <c r="E56" s="59">
        <f>IF(IFERROR(INDEX('2018'!$F$5:$F$73,MATCH(B56,'2018'!$A$5:$A$73,0)),0)=0,"N/A",INDEX('2018'!$F$5:$F$73,MATCH(B56,'2018'!$A$5:$A$73,0)))</f>
        <v>0.95</v>
      </c>
      <c r="F56" s="59">
        <f>IF(IFERROR(INDEX('2017'!$F$5:$F$73,MATCH(B56,'2017'!$A$5:$A$73,0)),0)=0,"N/A",INDEX('2017'!$F$5:$F$73,MATCH(B56,'2017'!$A$5:$A$73,0)))</f>
        <v>0.86</v>
      </c>
      <c r="G56" s="67">
        <f>IF(IFERROR(INDEX('2016'!$F$5:$F$73,MATCH(B56,'2016'!$A$5:$A$73,0)),0)=0,"N/A",INDEX('2016'!$F$5:$F$73,MATCH(B56,'2016'!$A$5:$A$73,0)))</f>
        <v>0.81299999999999994</v>
      </c>
      <c r="H56" s="59">
        <v>0.72</v>
      </c>
      <c r="I56" s="59">
        <v>0.66700000000000004</v>
      </c>
      <c r="J56" s="59">
        <v>0.60699999999999998</v>
      </c>
      <c r="K56" s="59">
        <v>0.61299999999999999</v>
      </c>
      <c r="L56" s="59">
        <v>0.67300000000000004</v>
      </c>
      <c r="M56" s="59">
        <v>0.65300000000000002</v>
      </c>
      <c r="N56" s="59">
        <v>0.72699999999999998</v>
      </c>
      <c r="O56" s="59">
        <v>0.64300000000000002</v>
      </c>
      <c r="P56" s="59">
        <v>0.57699999999999996</v>
      </c>
      <c r="Q56" s="59">
        <v>0.51300000000000001</v>
      </c>
    </row>
    <row r="57" spans="1:17" x14ac:dyDescent="0.2">
      <c r="A57" s="59" t="s">
        <v>153</v>
      </c>
      <c r="B57" s="59" t="s">
        <v>36</v>
      </c>
      <c r="C57" s="59" t="str">
        <f>IF(IFERROR(INDEX('2020'!$F$5:$F$73,MATCH(B57,'2020'!$A$5:$A$73,0)),0)=0,"N/A",INDEX('2020'!$F$5:$F$73,MATCH(B57,'2020'!$A$5:$A$73,0)))</f>
        <v>N/A</v>
      </c>
      <c r="D57" s="59" t="str">
        <f>IF(IFERROR(INDEX('2019'!$F$5:$F$73,MATCH(B57,'2019'!$A$5:$A$73,0)),0)=0,"N/A",INDEX('2019'!$F$5:$F$73,MATCH(B57,'2019'!$A$5:$A$73,0)))</f>
        <v>N/A</v>
      </c>
      <c r="E57" s="59" t="str">
        <f>IF(IFERROR(INDEX('2018'!$F$5:$F$73,MATCH(B57,'2018'!$A$5:$A$73,0)),0)=0,"N/A",INDEX('2018'!$F$5:$F$73,MATCH(B57,'2018'!$A$5:$A$73,0)))</f>
        <v>N/A</v>
      </c>
      <c r="F57" s="59">
        <f>IF(IFERROR(INDEX('2017'!$F$5:$F$73,MATCH(B57,'2017'!$A$5:$A$73,0)),0)=0,"N/A",INDEX('2017'!$F$5:$F$73,MATCH(B57,'2017'!$A$5:$A$73,0)))</f>
        <v>4.2</v>
      </c>
      <c r="G57" s="67">
        <f>IF(IFERROR(INDEX('2016'!$F$5:$F$73,MATCH(B57,'2016'!$A$5:$A$73,0)),0)=0,"N/A",INDEX('2016'!$F$5:$F$73,MATCH(B57,'2016'!$A$5:$A$73,0)))</f>
        <v>4.16</v>
      </c>
      <c r="H57" s="59">
        <v>3.81</v>
      </c>
      <c r="I57" s="59">
        <v>3.79</v>
      </c>
      <c r="J57" s="59">
        <v>3.39</v>
      </c>
      <c r="K57" s="59">
        <v>3.15</v>
      </c>
      <c r="L57" s="59">
        <v>2.97</v>
      </c>
      <c r="M57" s="59">
        <v>2.98</v>
      </c>
      <c r="N57" s="59">
        <v>2.85</v>
      </c>
      <c r="O57" s="59">
        <v>2.95</v>
      </c>
      <c r="P57" s="59">
        <v>2.74</v>
      </c>
      <c r="Q57" s="59">
        <v>2.59</v>
      </c>
    </row>
    <row r="58" spans="1:17" x14ac:dyDescent="0.2">
      <c r="A58" s="59" t="s">
        <v>154</v>
      </c>
      <c r="B58" s="59" t="s">
        <v>37</v>
      </c>
      <c r="C58" s="59">
        <f>IF(IFERROR(INDEX('2020'!$F$5:$F$73,MATCH(B58,'2020'!$A$5:$A$73,0)),0)=0,"N/A",INDEX('2020'!$F$5:$F$73,MATCH(B58,'2020'!$A$5:$A$73,0)))</f>
        <v>6.58</v>
      </c>
      <c r="D58" s="59">
        <f>IF(IFERROR(INDEX('2019'!$F$5:$F$73,MATCH(B58,'2019'!$A$5:$A$73,0)),0)=0,"N/A",INDEX('2019'!$F$5:$F$73,MATCH(B58,'2019'!$A$5:$A$73,0)))</f>
        <v>5.97</v>
      </c>
      <c r="E58" s="59">
        <f>IF(IFERROR(INDEX('2018'!$F$5:$F$73,MATCH(B58,'2018'!$A$5:$A$73,0)),0)=0,"N/A",INDEX('2018'!$F$5:$F$73,MATCH(B58,'2018'!$A$5:$A$73,0)))</f>
        <v>5.48</v>
      </c>
      <c r="F58" s="59">
        <f>IF(IFERROR(INDEX('2017'!$F$5:$F$73,MATCH(B58,'2017'!$A$5:$A$73,0)),0)=0,"N/A",INDEX('2017'!$F$5:$F$73,MATCH(B58,'2017'!$A$5:$A$73,0)))</f>
        <v>4.63</v>
      </c>
      <c r="G58" s="67">
        <f>IF(IFERROR(INDEX('2016'!$F$5:$F$73,MATCH(B58,'2016'!$A$5:$A$73,0)),0)=0,"N/A",INDEX('2016'!$F$5:$F$73,MATCH(B58,'2016'!$A$5:$A$73,0)))</f>
        <v>4.24</v>
      </c>
      <c r="H58" s="59">
        <v>5.23</v>
      </c>
      <c r="I58" s="59">
        <v>4.63</v>
      </c>
      <c r="J58" s="59">
        <v>4.22</v>
      </c>
      <c r="K58" s="59">
        <v>4.3499999999999996</v>
      </c>
      <c r="L58" s="59">
        <v>4.47</v>
      </c>
      <c r="M58" s="59">
        <v>4.0199999999999996</v>
      </c>
      <c r="N58" s="59">
        <v>4.78</v>
      </c>
      <c r="O58" s="59">
        <v>4.43</v>
      </c>
      <c r="P58" s="59">
        <v>4.26</v>
      </c>
      <c r="Q58" s="59">
        <v>4.2300000000000004</v>
      </c>
    </row>
    <row r="59" spans="1:17" x14ac:dyDescent="0.2">
      <c r="A59" s="59" t="s">
        <v>195</v>
      </c>
      <c r="B59" s="59" t="s">
        <v>196</v>
      </c>
      <c r="C59" s="59">
        <f>IF(IFERROR(INDEX('2020'!$F$5:$F$73,MATCH(B59,'2020'!$A$5:$A$73,0)),0)=0,"N/A",INDEX('2020'!$F$5:$F$73,MATCH(B59,'2020'!$A$5:$A$73,0)))</f>
        <v>2.14</v>
      </c>
      <c r="D59" s="59">
        <f>IF(IFERROR(INDEX('2019'!$F$5:$F$73,MATCH(B59,'2019'!$A$5:$A$73,0)),0)=0,"N/A",INDEX('2019'!$F$5:$F$73,MATCH(B59,'2019'!$A$5:$A$73,0)))</f>
        <v>1.35</v>
      </c>
      <c r="E59" s="59">
        <f>IF(IFERROR(INDEX('2018'!$F$5:$F$73,MATCH(B59,'2018'!$A$5:$A$73,0)),0)=0,"N/A",INDEX('2018'!$F$5:$F$73,MATCH(B59,'2018'!$A$5:$A$73,0)))</f>
        <v>1.82</v>
      </c>
      <c r="F59" s="59">
        <f>IF(IFERROR(INDEX('2017'!$F$5:$F$73,MATCH(B59,'2017'!$A$5:$A$73,0)),0)=0,"N/A",INDEX('2017'!$F$5:$F$73,MATCH(B59,'2017'!$A$5:$A$73,0)))</f>
        <v>2.86</v>
      </c>
      <c r="G59" s="67">
        <f>IF(IFERROR(INDEX('2016'!$F$5:$F$73,MATCH(B59,'2016'!$A$5:$A$73,0)),0)=0,"N/A",INDEX('2016'!$F$5:$F$73,MATCH(B59,'2016'!$A$5:$A$73,0)))</f>
        <v>2.57</v>
      </c>
      <c r="H59" s="59">
        <v>1.85</v>
      </c>
      <c r="I59" s="59">
        <v>2.54</v>
      </c>
      <c r="J59" s="59">
        <v>1.1200000000000001</v>
      </c>
      <c r="K59" s="59">
        <v>1.18</v>
      </c>
      <c r="L59" s="59">
        <v>1.1100000000000001</v>
      </c>
      <c r="M59" s="59">
        <v>0.84</v>
      </c>
      <c r="N59" s="59">
        <v>0.81</v>
      </c>
      <c r="O59" s="59">
        <v>1.0840000000000001</v>
      </c>
      <c r="P59" s="59">
        <v>1.04</v>
      </c>
      <c r="Q59" s="59">
        <v>1.19</v>
      </c>
    </row>
    <row r="60" spans="1:17" x14ac:dyDescent="0.2">
      <c r="A60" s="59" t="s">
        <v>197</v>
      </c>
      <c r="B60" s="59" t="s">
        <v>198</v>
      </c>
      <c r="C60" s="59">
        <f>IF(IFERROR(INDEX('2020'!$F$5:$F$73,MATCH(B60,'2020'!$A$5:$A$73,0)),0)=0,"N/A",INDEX('2020'!$F$5:$F$73,MATCH(B60,'2020'!$A$5:$A$73,0)))</f>
        <v>1.68</v>
      </c>
      <c r="D60" s="59">
        <f>IF(IFERROR(INDEX('2019'!$F$5:$F$73,MATCH(B60,'2019'!$A$5:$A$73,0)),0)=0,"N/A",INDEX('2019'!$F$5:$F$73,MATCH(B60,'2019'!$A$5:$A$73,0)))</f>
        <v>1.1200000000000001</v>
      </c>
      <c r="E60" s="59">
        <f>IF(IFERROR(INDEX('2018'!$F$5:$F$73,MATCH(B60,'2018'!$A$5:$A$73,0)),0)=0,"N/A",INDEX('2018'!$F$5:$F$73,MATCH(B60,'2018'!$A$5:$A$73,0)))</f>
        <v>1.38</v>
      </c>
      <c r="F60" s="59">
        <f>IF(IFERROR(INDEX('2017'!$F$5:$F$73,MATCH(B60,'2017'!$A$5:$A$73,0)),0)=0,"N/A",INDEX('2017'!$F$5:$F$73,MATCH(B60,'2017'!$A$5:$A$73,0)))</f>
        <v>1.23</v>
      </c>
      <c r="G60" s="67">
        <f>IF(IFERROR(INDEX('2016'!$F$5:$F$73,MATCH(B60,'2016'!$A$5:$A$73,0)),0)=0,"N/A",INDEX('2016'!$F$5:$F$73,MATCH(B60,'2016'!$A$5:$A$73,0)))</f>
        <v>1.34</v>
      </c>
      <c r="H60" s="59">
        <v>1.44</v>
      </c>
      <c r="I60" s="59">
        <v>1.5649999999999999</v>
      </c>
      <c r="J60" s="59">
        <v>1.5149999999999999</v>
      </c>
      <c r="K60" s="59">
        <v>1.5149999999999999</v>
      </c>
      <c r="L60" s="59">
        <v>1.4450000000000001</v>
      </c>
      <c r="M60" s="59">
        <v>1.35</v>
      </c>
      <c r="N60" s="59">
        <v>1.19</v>
      </c>
      <c r="O60" s="59">
        <v>1.135</v>
      </c>
      <c r="P60" s="59">
        <v>1.0449999999999999</v>
      </c>
      <c r="Q60" s="59">
        <v>1.23</v>
      </c>
    </row>
    <row r="61" spans="1:17" x14ac:dyDescent="0.2">
      <c r="A61" s="59" t="s">
        <v>155</v>
      </c>
      <c r="B61" s="59" t="s">
        <v>38</v>
      </c>
      <c r="C61" s="59">
        <f>IF(IFERROR(INDEX('2020'!$F$5:$F$73,MATCH(B61,'2020'!$A$5:$A$73,0)),0)=0,"N/A",INDEX('2020'!$F$5:$F$73,MATCH(B61,'2020'!$A$5:$A$73,0)))</f>
        <v>3.25</v>
      </c>
      <c r="D61" s="59">
        <f>IF(IFERROR(INDEX('2019'!$F$5:$F$73,MATCH(B61,'2019'!$A$5:$A$73,0)),0)=0,"N/A",INDEX('2019'!$F$5:$F$73,MATCH(B61,'2019'!$A$5:$A$73,0)))</f>
        <v>3.17</v>
      </c>
      <c r="E61" s="59">
        <f>IF(IFERROR(INDEX('2018'!$F$5:$F$73,MATCH(B61,'2018'!$A$5:$A$73,0)),0)=0,"N/A",INDEX('2018'!$F$5:$F$73,MATCH(B61,'2018'!$A$5:$A$73,0)))</f>
        <v>3</v>
      </c>
      <c r="F61" s="59">
        <f>IF(IFERROR(INDEX('2017'!$F$5:$F$73,MATCH(B61,'2017'!$A$5:$A$73,0)),0)=0,"N/A",INDEX('2017'!$F$5:$F$73,MATCH(B61,'2017'!$A$5:$A$73,0)))</f>
        <v>3.21</v>
      </c>
      <c r="G61" s="67">
        <f>IF(IFERROR(INDEX('2016'!$F$5:$F$73,MATCH(B61,'2016'!$A$5:$A$73,0)),0)=0,"N/A",INDEX('2016'!$F$5:$F$73,MATCH(B61,'2016'!$A$5:$A$73,0)))</f>
        <v>2.83</v>
      </c>
      <c r="H61" s="59">
        <v>2.84</v>
      </c>
      <c r="I61" s="59">
        <v>2.77</v>
      </c>
      <c r="J61" s="59">
        <v>2.7</v>
      </c>
      <c r="K61" s="59">
        <v>2.67</v>
      </c>
      <c r="L61" s="59">
        <v>2.5499999999999998</v>
      </c>
      <c r="M61" s="59">
        <v>2.36</v>
      </c>
      <c r="N61" s="59">
        <v>2.3199999999999998</v>
      </c>
      <c r="O61" s="59">
        <v>2.25</v>
      </c>
      <c r="P61" s="59">
        <v>2.2799999999999998</v>
      </c>
      <c r="Q61" s="59">
        <v>2.1</v>
      </c>
    </row>
    <row r="62" spans="1:17" x14ac:dyDescent="0.2">
      <c r="A62" s="59" t="s">
        <v>199</v>
      </c>
      <c r="B62" s="59" t="s">
        <v>200</v>
      </c>
      <c r="C62" s="59">
        <f>IF(IFERROR(INDEX('2020'!$F$5:$F$73,MATCH(B62,'2020'!$A$5:$A$73,0)),0)=0,"N/A",INDEX('2020'!$F$5:$F$73,MATCH(B62,'2020'!$A$5:$A$73,0)))</f>
        <v>4.1399999999999997</v>
      </c>
      <c r="D62" s="59">
        <f>IF(IFERROR(INDEX('2019'!$F$5:$F$73,MATCH(B62,'2019'!$A$5:$A$73,0)),0)=0,"N/A",INDEX('2019'!$F$5:$F$73,MATCH(B62,'2019'!$A$5:$A$73,0)))</f>
        <v>3.94</v>
      </c>
      <c r="E62" s="59">
        <f>IF(IFERROR(INDEX('2018'!$F$5:$F$73,MATCH(B62,'2018'!$A$5:$A$73,0)),0)=0,"N/A",INDEX('2018'!$F$5:$F$73,MATCH(B62,'2018'!$A$5:$A$73,0)))</f>
        <v>3.68</v>
      </c>
      <c r="F62" s="59">
        <f>IF(IFERROR(INDEX('2017'!$F$5:$F$73,MATCH(B62,'2017'!$A$5:$A$73,0)),0)=0,"N/A",INDEX('2017'!$F$5:$F$73,MATCH(B62,'2017'!$A$5:$A$73,0)))</f>
        <v>3.62</v>
      </c>
      <c r="G62" s="67">
        <f>IF(IFERROR(INDEX('2016'!$F$5:$F$73,MATCH(B62,'2016'!$A$5:$A$73,0)),0)=0,"N/A",INDEX('2016'!$F$5:$F$73,MATCH(B62,'2016'!$A$5:$A$73,0)))</f>
        <v>3.18</v>
      </c>
      <c r="H62" s="59">
        <v>2.92</v>
      </c>
      <c r="I62" s="59">
        <v>3.01</v>
      </c>
      <c r="J62" s="59">
        <v>3.11</v>
      </c>
      <c r="K62" s="59">
        <v>2.86</v>
      </c>
      <c r="L62" s="59">
        <v>2.4300000000000002</v>
      </c>
      <c r="M62" s="59">
        <v>2.27</v>
      </c>
      <c r="N62" s="59">
        <v>1.94</v>
      </c>
      <c r="O62" s="59">
        <v>1.39</v>
      </c>
      <c r="P62" s="59">
        <v>1.95</v>
      </c>
      <c r="Q62" s="59">
        <v>1.98</v>
      </c>
    </row>
    <row r="63" spans="1:17" x14ac:dyDescent="0.2">
      <c r="A63" s="59" t="s">
        <v>243</v>
      </c>
      <c r="B63" s="59" t="s">
        <v>244</v>
      </c>
      <c r="C63" s="59">
        <f>IF(IFERROR(INDEX('2020'!$F$5:$F$73,MATCH(B63,'2020'!$A$5:$A$73,0)),0)=0,"N/A",INDEX('2020'!$F$5:$F$73,MATCH(B63,'2020'!$A$5:$A$73,0)))</f>
        <v>1.44</v>
      </c>
      <c r="D63" s="59">
        <f>IF(IFERROR(INDEX('2019'!$F$5:$F$73,MATCH(B63,'2019'!$A$5:$A$73,0)),0)=0,"N/A",INDEX('2019'!$F$5:$F$73,MATCH(B63,'2019'!$A$5:$A$73,0)))</f>
        <v>3.52</v>
      </c>
      <c r="E63" s="59">
        <f>IF(IFERROR(INDEX('2018'!$F$5:$F$73,MATCH(B63,'2018'!$A$5:$A$73,0)),0)=0,"N/A",INDEX('2018'!$F$5:$F$73,MATCH(B63,'2018'!$A$5:$A$73,0)))</f>
        <v>4.33</v>
      </c>
      <c r="F63" s="59">
        <f>IF(IFERROR(INDEX('2017'!$F$5:$F$73,MATCH(B63,'2017'!$A$5:$A$73,0)),0)=0,"N/A",INDEX('2017'!$F$5:$F$73,MATCH(B63,'2017'!$A$5:$A$73,0)))</f>
        <v>3.43</v>
      </c>
      <c r="G63" s="67">
        <f>IF(IFERROR(INDEX('2016'!$F$5:$F$73,MATCH(B63,'2016'!$A$5:$A$73,0)),0)=0,"N/A",INDEX('2016'!$F$5:$F$73,MATCH(B63,'2016'!$A$5:$A$73,0)))</f>
        <v>3.24</v>
      </c>
      <c r="H63" s="59">
        <v>3.16</v>
      </c>
      <c r="I63" s="59">
        <v>2.35</v>
      </c>
      <c r="J63" s="59">
        <v>2.02</v>
      </c>
      <c r="K63" s="59">
        <v>2.79</v>
      </c>
      <c r="L63" s="59">
        <v>2.86</v>
      </c>
      <c r="M63" s="59">
        <v>2.4300000000000002</v>
      </c>
      <c r="N63" s="59">
        <v>2.92</v>
      </c>
      <c r="O63" s="59">
        <v>2.64</v>
      </c>
      <c r="P63" s="59">
        <v>2.31</v>
      </c>
      <c r="Q63" s="59">
        <v>2.37</v>
      </c>
    </row>
    <row r="64" spans="1:17" x14ac:dyDescent="0.2">
      <c r="A64" s="59" t="s">
        <v>201</v>
      </c>
      <c r="B64" s="59" t="s">
        <v>202</v>
      </c>
      <c r="C64" s="59">
        <f>IF(IFERROR(INDEX('2020'!$F$5:$F$73,MATCH(B64,'2020'!$A$5:$A$73,0)),0)=0,"N/A",INDEX('2020'!$F$5:$F$73,MATCH(B64,'2020'!$A$5:$A$73,0)))</f>
        <v>1.07</v>
      </c>
      <c r="D64" s="59">
        <f>IF(IFERROR(INDEX('2019'!$F$5:$F$73,MATCH(B64,'2019'!$A$5:$A$73,0)),0)=0,"N/A",INDEX('2019'!$F$5:$F$73,MATCH(B64,'2019'!$A$5:$A$73,0)))</f>
        <v>0.35</v>
      </c>
      <c r="E64" s="59">
        <f>IF(IFERROR(INDEX('2018'!$F$5:$F$73,MATCH(B64,'2018'!$A$5:$A$73,0)),0)=0,"N/A",INDEX('2018'!$F$5:$F$73,MATCH(B64,'2018'!$A$5:$A$73,0)))</f>
        <v>0.89</v>
      </c>
      <c r="F64" s="59">
        <f>IF(IFERROR(INDEX('2017'!$F$5:$F$73,MATCH(B64,'2017'!$A$5:$A$73,0)),0)=0,"N/A",INDEX('2017'!$F$5:$F$73,MATCH(B64,'2017'!$A$5:$A$73,0)))</f>
        <v>0.46</v>
      </c>
      <c r="G64" s="67">
        <f>IF(IFERROR(INDEX('2016'!$F$5:$F$73,MATCH(B64,'2016'!$A$5:$A$73,0)),0)=0,"N/A",INDEX('2016'!$F$5:$F$73,MATCH(B64,'2016'!$A$5:$A$73,0)))</f>
        <v>0.7</v>
      </c>
      <c r="H64" s="59">
        <v>0.59</v>
      </c>
      <c r="I64" s="59">
        <v>0.56999999999999995</v>
      </c>
      <c r="J64" s="59">
        <v>0.47</v>
      </c>
      <c r="K64" s="59">
        <v>0.4</v>
      </c>
      <c r="L64" s="59">
        <v>0.36</v>
      </c>
      <c r="M64" s="59">
        <v>0.38</v>
      </c>
      <c r="N64" s="59">
        <v>1.43</v>
      </c>
      <c r="O64" s="59">
        <v>-0.18</v>
      </c>
      <c r="P64" s="59">
        <v>0.51400000000000001</v>
      </c>
      <c r="Q64" s="59">
        <v>-1.01</v>
      </c>
    </row>
    <row r="65" spans="1:17" x14ac:dyDescent="0.2">
      <c r="A65" s="59" t="s">
        <v>203</v>
      </c>
      <c r="B65" s="59" t="s">
        <v>204</v>
      </c>
      <c r="C65" s="59">
        <f>IF(IFERROR(INDEX('2020'!$F$5:$F$73,MATCH(B65,'2020'!$A$5:$A$73,0)),0)=0,"N/A",INDEX('2020'!$F$5:$F$73,MATCH(B65,'2020'!$A$5:$A$73,0)))</f>
        <v>2.67</v>
      </c>
      <c r="D65" s="59">
        <f>IF(IFERROR(INDEX('2019'!$F$5:$F$73,MATCH(B65,'2019'!$A$5:$A$73,0)),0)=0,"N/A",INDEX('2019'!$F$5:$F$73,MATCH(B65,'2019'!$A$5:$A$73,0)))</f>
        <v>2.2799999999999998</v>
      </c>
      <c r="E65" s="59">
        <f>IF(IFERROR(INDEX('2018'!$F$5:$F$73,MATCH(B65,'2018'!$A$5:$A$73,0)),0)=0,"N/A",INDEX('2018'!$F$5:$F$73,MATCH(B65,'2018'!$A$5:$A$73,0)))</f>
        <v>2.74</v>
      </c>
      <c r="F65" s="59">
        <f>IF(IFERROR(INDEX('2017'!$F$5:$F$73,MATCH(B65,'2017'!$A$5:$A$73,0)),0)=0,"N/A",INDEX('2017'!$F$5:$F$73,MATCH(B65,'2017'!$A$5:$A$73,0)))</f>
        <v>2.29</v>
      </c>
      <c r="G65" s="67">
        <f>IF(IFERROR(INDEX('2016'!$F$5:$F$73,MATCH(B65,'2016'!$A$5:$A$73,0)),0)=0,"N/A",INDEX('2016'!$F$5:$F$73,MATCH(B65,'2016'!$A$5:$A$73,0)))</f>
        <v>2.0499999999999998</v>
      </c>
      <c r="H65" s="59">
        <v>2.0099999999999998</v>
      </c>
      <c r="I65" s="59">
        <v>1.92</v>
      </c>
      <c r="J65" s="59">
        <v>1.593</v>
      </c>
      <c r="K65" s="59">
        <v>1.173</v>
      </c>
      <c r="L65" s="59">
        <v>1.373</v>
      </c>
      <c r="M65" s="59">
        <v>1.587</v>
      </c>
      <c r="N65" s="59">
        <v>1.573</v>
      </c>
      <c r="O65" s="59">
        <v>1.327</v>
      </c>
      <c r="P65" s="59">
        <v>1.18</v>
      </c>
      <c r="Q65" s="59">
        <v>1.1000000000000001</v>
      </c>
    </row>
    <row r="66" spans="1:17" x14ac:dyDescent="0.2">
      <c r="A66" s="59" t="s">
        <v>159</v>
      </c>
      <c r="B66" s="59" t="s">
        <v>83</v>
      </c>
      <c r="C66" s="59">
        <f>IF(IFERROR(INDEX('2020'!$F$5:$F$73,MATCH(B66,'2020'!$A$5:$A$73,0)),0)=0,"N/A",INDEX('2020'!$F$5:$F$73,MATCH(B66,'2020'!$A$5:$A$73,0)))</f>
        <v>2.15</v>
      </c>
      <c r="D66" s="59">
        <f>IF(IFERROR(INDEX('2019'!$F$5:$F$73,MATCH(B66,'2019'!$A$5:$A$73,0)),0)=0,"N/A",INDEX('2019'!$F$5:$F$73,MATCH(B66,'2019'!$A$5:$A$73,0)))</f>
        <v>2.97</v>
      </c>
      <c r="E66" s="59">
        <f>IF(IFERROR(INDEX('2018'!$F$5:$F$73,MATCH(B66,'2018'!$A$5:$A$73,0)),0)=0,"N/A",INDEX('2018'!$F$5:$F$73,MATCH(B66,'2018'!$A$5:$A$73,0)))</f>
        <v>2.23</v>
      </c>
      <c r="F66" s="59">
        <f>IF(IFERROR(INDEX('2017'!$F$5:$F$73,MATCH(B66,'2017'!$A$5:$A$73,0)),0)=0,"N/A",INDEX('2017'!$F$5:$F$73,MATCH(B66,'2017'!$A$5:$A$73,0)))</f>
        <v>2.06</v>
      </c>
      <c r="G66" s="67">
        <f>IF(IFERROR(INDEX('2016'!$F$5:$F$73,MATCH(B66,'2016'!$A$5:$A$73,0)),0)=0,"N/A",INDEX('2016'!$F$5:$F$73,MATCH(B66,'2016'!$A$5:$A$73,0)))</f>
        <v>1.94</v>
      </c>
      <c r="H66" s="59">
        <v>1.89</v>
      </c>
      <c r="I66" s="59">
        <v>1.79</v>
      </c>
      <c r="J66" s="59">
        <v>1.57</v>
      </c>
      <c r="K66" s="59">
        <v>1.43</v>
      </c>
      <c r="L66" s="59">
        <v>1.5</v>
      </c>
      <c r="M66" s="59">
        <v>0.88</v>
      </c>
      <c r="N66" s="59">
        <v>1.03</v>
      </c>
      <c r="O66" s="59">
        <v>1.65</v>
      </c>
      <c r="P66" s="59">
        <v>1.52</v>
      </c>
      <c r="Q66" s="59">
        <v>1.41</v>
      </c>
    </row>
    <row r="67" spans="1:17" x14ac:dyDescent="0.2">
      <c r="A67" s="59" t="s">
        <v>156</v>
      </c>
      <c r="B67" s="59" t="s">
        <v>42</v>
      </c>
      <c r="C67" s="59" t="str">
        <f>IF(IFERROR(INDEX('2020'!$F$5:$F$73,MATCH(B67,'2020'!$A$5:$A$73,0)),0)=0,"N/A",INDEX('2020'!$F$5:$F$73,MATCH(B67,'2020'!$A$5:$A$73,0)))</f>
        <v>N/A</v>
      </c>
      <c r="D67" s="59" t="str">
        <f>IF(IFERROR(INDEX('2019'!$F$5:$F$73,MATCH(B67,'2019'!$A$5:$A$73,0)),0)=0,"N/A",INDEX('2019'!$F$5:$F$73,MATCH(B67,'2019'!$A$5:$A$73,0)))</f>
        <v>N/A</v>
      </c>
      <c r="E67" s="59" t="str">
        <f>IF(IFERROR(INDEX('2018'!$F$5:$F$73,MATCH(B67,'2018'!$A$5:$A$73,0)),0)=0,"N/A",INDEX('2018'!$F$5:$F$73,MATCH(B67,'2018'!$A$5:$A$73,0)))</f>
        <v>N/A</v>
      </c>
      <c r="F67" s="59">
        <f>IF(IFERROR(INDEX('2017'!$F$5:$F$73,MATCH(B67,'2017'!$A$5:$A$73,0)),0)=0,"N/A",INDEX('2017'!$F$5:$F$73,MATCH(B67,'2017'!$A$5:$A$73,0)))</f>
        <v>2.6</v>
      </c>
      <c r="G67" s="67">
        <f>IF(IFERROR(INDEX('2016'!$F$5:$F$73,MATCH(B67,'2016'!$A$5:$A$73,0)),0)=0,"N/A",INDEX('2016'!$F$5:$F$73,MATCH(B67,'2016'!$A$5:$A$73,0)))</f>
        <v>2.5499999999999998</v>
      </c>
      <c r="H67" s="59">
        <v>2.39</v>
      </c>
      <c r="I67" s="59">
        <v>2.02</v>
      </c>
      <c r="J67" s="59">
        <v>1.66</v>
      </c>
      <c r="K67" s="59">
        <v>1.94</v>
      </c>
      <c r="L67" s="59">
        <v>1.73</v>
      </c>
      <c r="M67" s="59">
        <v>1.64</v>
      </c>
      <c r="N67" s="59">
        <v>1.79</v>
      </c>
      <c r="O67" s="59">
        <v>1.63</v>
      </c>
      <c r="P67" s="59">
        <v>1.83</v>
      </c>
      <c r="Q67" s="59">
        <v>1.44</v>
      </c>
    </row>
    <row r="68" spans="1:17" x14ac:dyDescent="0.2">
      <c r="A68" s="59" t="s">
        <v>217</v>
      </c>
      <c r="B68" s="59" t="s">
        <v>44</v>
      </c>
      <c r="C68" s="59">
        <f>IF(IFERROR(INDEX('2020'!$F$5:$F$73,MATCH(B68,'2020'!$A$5:$A$73,0)),0)=0,"N/A",INDEX('2020'!$F$5:$F$73,MATCH(B68,'2020'!$A$5:$A$73,0)))</f>
        <v>3.79</v>
      </c>
      <c r="D68" s="59">
        <f>IF(IFERROR(INDEX('2019'!$F$5:$F$73,MATCH(B68,'2019'!$A$5:$A$73,0)),0)=0,"N/A",INDEX('2019'!$F$5:$F$73,MATCH(B68,'2019'!$A$5:$A$73,0)))</f>
        <v>3.58</v>
      </c>
      <c r="E68" s="59">
        <f>IF(IFERROR(INDEX('2018'!$F$5:$F$73,MATCH(B68,'2018'!$A$5:$A$73,0)),0)=0,"N/A",INDEX('2018'!$F$5:$F$73,MATCH(B68,'2018'!$A$5:$A$73,0)))</f>
        <v>3.34</v>
      </c>
      <c r="F68" s="59">
        <f>IF(IFERROR(INDEX('2017'!$F$5:$F$73,MATCH(B68,'2017'!$A$5:$A$73,0)),0)=0,"N/A",INDEX('2017'!$F$5:$F$73,MATCH(B68,'2017'!$A$5:$A$73,0)))</f>
        <v>3.14</v>
      </c>
      <c r="G68" s="67">
        <f>IF(IFERROR(INDEX('2016'!$F$5:$F$73,MATCH(B68,'2016'!$A$5:$A$73,0)),0)=0,"N/A",INDEX('2016'!$F$5:$F$73,MATCH(B68,'2016'!$A$5:$A$73,0)))</f>
        <v>2.96</v>
      </c>
      <c r="H68" s="59">
        <v>2.34</v>
      </c>
      <c r="I68" s="59">
        <v>2.59</v>
      </c>
      <c r="J68" s="59">
        <v>2.5099999999999998</v>
      </c>
      <c r="K68" s="59">
        <v>2.35</v>
      </c>
      <c r="L68" s="59">
        <v>2.1800000000000002</v>
      </c>
      <c r="M68" s="59">
        <v>1.92</v>
      </c>
      <c r="N68" s="59">
        <v>1.6</v>
      </c>
      <c r="O68" s="59">
        <v>1.5149999999999999</v>
      </c>
      <c r="P68" s="59">
        <v>1.42</v>
      </c>
      <c r="Q68" s="59">
        <v>1.32</v>
      </c>
    </row>
    <row r="69" spans="1:17" x14ac:dyDescent="0.2">
      <c r="A69" s="59" t="s">
        <v>157</v>
      </c>
      <c r="B69" s="59" t="s">
        <v>43</v>
      </c>
      <c r="C69" s="59" t="str">
        <f>IF(IFERROR(INDEX('2020'!$F$5:$F$73,MATCH(B69,'2020'!$A$5:$A$73,0)),0)=0,"N/A",INDEX('2020'!$F$5:$F$73,MATCH(B69,'2020'!$A$5:$A$73,0)))</f>
        <v>N/A</v>
      </c>
      <c r="D69" s="59" t="str">
        <f>IF(IFERROR(INDEX('2019'!$F$5:$F$73,MATCH(B69,'2019'!$A$5:$A$73,0)),0)=0,"N/A",INDEX('2019'!$F$5:$F$73,MATCH(B69,'2019'!$A$5:$A$73,0)))</f>
        <v>N/A</v>
      </c>
      <c r="E69" s="59" t="str">
        <f>IF(IFERROR(INDEX('2018'!$F$5:$F$73,MATCH(B69,'2018'!$A$5:$A$73,0)),0)=0,"N/A",INDEX('2018'!$F$5:$F$73,MATCH(B69,'2018'!$A$5:$A$73,0)))</f>
        <v>N/A</v>
      </c>
      <c r="F69" s="59">
        <f>IF(IFERROR(INDEX('2017'!$F$5:$F$73,MATCH(B69,'2017'!$A$5:$A$73,0)),0)=0,"N/A",INDEX('2017'!$F$5:$F$73,MATCH(B69,'2017'!$A$5:$A$73,0)))</f>
        <v>2.27</v>
      </c>
      <c r="G69" s="67">
        <f>IF(IFERROR(INDEX('2016'!$F$5:$F$73,MATCH(B69,'2016'!$A$5:$A$73,0)),0)=0,"N/A",INDEX('2016'!$F$5:$F$73,MATCH(B69,'2016'!$A$5:$A$73,0)))</f>
        <v>2.4300000000000002</v>
      </c>
      <c r="H69" s="59">
        <v>2.09</v>
      </c>
      <c r="I69" s="59">
        <v>2.35</v>
      </c>
      <c r="J69" s="59">
        <v>2.27</v>
      </c>
      <c r="K69" s="59">
        <v>2.15</v>
      </c>
      <c r="L69" s="59">
        <v>1.79</v>
      </c>
      <c r="M69" s="59">
        <v>1.8</v>
      </c>
      <c r="N69" s="59">
        <v>1.28</v>
      </c>
      <c r="O69" s="59">
        <v>1.31</v>
      </c>
      <c r="P69" s="59">
        <v>1.84</v>
      </c>
      <c r="Q69" s="59">
        <v>1.88</v>
      </c>
    </row>
    <row r="70" spans="1:17" x14ac:dyDescent="0.2">
      <c r="A70" s="59" t="s">
        <v>205</v>
      </c>
      <c r="B70" s="59" t="s">
        <v>206</v>
      </c>
      <c r="C70" s="59" t="str">
        <f>IF(IFERROR(INDEX('2020'!$F$5:$F$73,MATCH(B70,'2020'!$A$5:$A$73,0)),0)=0,"N/A",INDEX('2020'!$F$5:$F$73,MATCH(B70,'2020'!$A$5:$A$73,0)))</f>
        <v>N/A</v>
      </c>
      <c r="D70" s="59" t="str">
        <f>IF(IFERROR(INDEX('2019'!$F$5:$F$73,MATCH(B70,'2019'!$A$5:$A$73,0)),0)=0,"N/A",INDEX('2019'!$F$5:$F$73,MATCH(B70,'2019'!$A$5:$A$73,0)))</f>
        <v>N/A</v>
      </c>
      <c r="E70" s="59" t="str">
        <f>IF(IFERROR(INDEX('2018'!$F$5:$F$73,MATCH(B70,'2018'!$A$5:$A$73,0)),0)=0,"N/A",INDEX('2018'!$F$5:$F$73,MATCH(B70,'2018'!$A$5:$A$73,0)))</f>
        <v>N/A</v>
      </c>
      <c r="F70" s="59">
        <f>IF(IFERROR(INDEX('2017'!$F$5:$F$73,MATCH(B70,'2017'!$A$5:$A$73,0)),0)=0,"N/A",INDEX('2017'!$F$5:$F$73,MATCH(B70,'2017'!$A$5:$A$73,0)))</f>
        <v>3.11</v>
      </c>
      <c r="G70" s="67">
        <f>IF(IFERROR(INDEX('2016'!$F$5:$F$73,MATCH(B70,'2016'!$A$5:$A$73,0)),0)=0,"N/A",INDEX('2016'!$F$5:$F$73,MATCH(B70,'2016'!$A$5:$A$73,0)))</f>
        <v>3.27</v>
      </c>
      <c r="H70" s="59">
        <v>3.16</v>
      </c>
      <c r="I70" s="59">
        <v>2.68</v>
      </c>
      <c r="J70" s="59">
        <v>2.31</v>
      </c>
      <c r="K70" s="59">
        <v>2.68</v>
      </c>
      <c r="L70" s="59">
        <v>2.25</v>
      </c>
      <c r="M70" s="59">
        <v>2.27</v>
      </c>
      <c r="N70" s="59">
        <v>2.5299999999999998</v>
      </c>
      <c r="O70" s="59">
        <v>2.44</v>
      </c>
      <c r="P70" s="59">
        <v>2.09</v>
      </c>
      <c r="Q70" s="59">
        <v>1.94</v>
      </c>
    </row>
    <row r="71" spans="1:17" x14ac:dyDescent="0.2">
      <c r="A71" s="59" t="s">
        <v>158</v>
      </c>
      <c r="B71" s="59" t="s">
        <v>45</v>
      </c>
      <c r="C71" s="59">
        <f>IF(IFERROR(INDEX('2020'!$F$5:$F$73,MATCH(B71,'2020'!$A$5:$A$73,0)),0)=0,"N/A",INDEX('2020'!$F$5:$F$73,MATCH(B71,'2020'!$A$5:$A$73,0)))</f>
        <v>2.79</v>
      </c>
      <c r="D71" s="59">
        <f>IF(IFERROR(INDEX('2019'!$F$5:$F$73,MATCH(B71,'2019'!$A$5:$A$73,0)),0)=0,"N/A",INDEX('2019'!$F$5:$F$73,MATCH(B71,'2019'!$A$5:$A$73,0)))</f>
        <v>2.64</v>
      </c>
      <c r="E71" s="59">
        <f>IF(IFERROR(INDEX('2018'!$F$5:$F$73,MATCH(B71,'2018'!$A$5:$A$73,0)),0)=0,"N/A",INDEX('2018'!$F$5:$F$73,MATCH(B71,'2018'!$A$5:$A$73,0)))</f>
        <v>2.4700000000000002</v>
      </c>
      <c r="F71" s="59">
        <f>IF(IFERROR(INDEX('2017'!$F$5:$F$73,MATCH(B71,'2017'!$A$5:$A$73,0)),0)=0,"N/A",INDEX('2017'!$F$5:$F$73,MATCH(B71,'2017'!$A$5:$A$73,0)))</f>
        <v>2.2999999999999998</v>
      </c>
      <c r="G71" s="67">
        <f>IF(IFERROR(INDEX('2016'!$F$5:$F$73,MATCH(B71,'2016'!$A$5:$A$73,0)),0)=0,"N/A",INDEX('2016'!$F$5:$F$73,MATCH(B71,'2016'!$A$5:$A$73,0)))</f>
        <v>2.21</v>
      </c>
      <c r="H71" s="59">
        <v>2.1</v>
      </c>
      <c r="I71" s="59">
        <v>2.0299999999999998</v>
      </c>
      <c r="J71" s="59">
        <v>1.91</v>
      </c>
      <c r="K71" s="59">
        <v>1.85</v>
      </c>
      <c r="L71" s="59">
        <v>1.72</v>
      </c>
      <c r="M71" s="59">
        <v>1.56</v>
      </c>
      <c r="N71" s="59">
        <v>1.49</v>
      </c>
      <c r="O71" s="59">
        <v>1.46</v>
      </c>
      <c r="P71" s="59">
        <v>1.35</v>
      </c>
      <c r="Q71" s="59">
        <v>1.35</v>
      </c>
    </row>
    <row r="72" spans="1:17" x14ac:dyDescent="0.2">
      <c r="A72" s="59" t="s">
        <v>207</v>
      </c>
      <c r="B72" s="59" t="s">
        <v>208</v>
      </c>
      <c r="C72" s="59">
        <f>IF(IFERROR(INDEX('2020'!$F$5:$F$73,MATCH(B72,'2020'!$A$5:$A$73,0)),0)=0,"N/A",INDEX('2020'!$F$5:$F$73,MATCH(B72,'2020'!$A$5:$A$73,0)))</f>
        <v>1.27</v>
      </c>
      <c r="D72" s="59">
        <f>IF(IFERROR(INDEX('2019'!$F$5:$F$73,MATCH(B72,'2019'!$A$5:$A$73,0)),0)=0,"N/A",INDEX('2019'!$F$5:$F$73,MATCH(B72,'2019'!$A$5:$A$73,0)))</f>
        <v>1.1100000000000001</v>
      </c>
      <c r="E72" s="59">
        <f>IF(IFERROR(INDEX('2018'!$F$5:$F$73,MATCH(B72,'2018'!$A$5:$A$73,0)),0)=0,"N/A",INDEX('2018'!$F$5:$F$73,MATCH(B72,'2018'!$A$5:$A$73,0)))</f>
        <v>1.04</v>
      </c>
      <c r="F72" s="59">
        <f>IF(IFERROR(INDEX('2017'!$F$5:$F$73,MATCH(B72,'2017'!$A$5:$A$73,0)),0)=0,"N/A",INDEX('2017'!$F$5:$F$73,MATCH(B72,'2017'!$A$5:$A$73,0)))</f>
        <v>1.01</v>
      </c>
      <c r="G72" s="67">
        <f>IF(IFERROR(INDEX('2016'!$F$5:$F$73,MATCH(B72,'2016'!$A$5:$A$73,0)),0)=0,"N/A",INDEX('2016'!$F$5:$F$73,MATCH(B72,'2016'!$A$5:$A$73,0)))</f>
        <v>0.92</v>
      </c>
      <c r="H72" s="59">
        <v>0.97</v>
      </c>
      <c r="I72" s="59">
        <v>0.89</v>
      </c>
      <c r="J72" s="59">
        <v>0.75</v>
      </c>
      <c r="K72" s="59">
        <v>0.72</v>
      </c>
      <c r="L72" s="59">
        <v>0.71</v>
      </c>
      <c r="M72" s="59">
        <v>0.71</v>
      </c>
      <c r="N72" s="59">
        <v>0.64</v>
      </c>
      <c r="O72" s="59">
        <v>0.56999999999999995</v>
      </c>
      <c r="P72" s="59">
        <v>0.56999999999999995</v>
      </c>
      <c r="Q72" s="59">
        <v>0.57999999999999996</v>
      </c>
    </row>
  </sheetData>
  <autoFilter ref="A3:R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R72"/>
  <sheetViews>
    <sheetView workbookViewId="0">
      <selection activeCell="D14" sqref="D14"/>
    </sheetView>
  </sheetViews>
  <sheetFormatPr defaultColWidth="8.69921875" defaultRowHeight="10.199999999999999" x14ac:dyDescent="0.2"/>
  <cols>
    <col min="1" max="1" width="18" style="59" bestFit="1" customWidth="1"/>
    <col min="2" max="2" width="5.19921875" style="59" bestFit="1" customWidth="1"/>
    <col min="3" max="4" width="5.19921875" style="59" customWidth="1"/>
    <col min="5" max="6" width="6.8984375" style="59" bestFit="1" customWidth="1"/>
    <col min="7" max="17" width="7.09765625" style="59" customWidth="1"/>
    <col min="18" max="16384" width="8.69921875" style="59"/>
  </cols>
  <sheetData>
    <row r="1" spans="1:18" ht="30.6" x14ac:dyDescent="0.2">
      <c r="A1" s="58" t="s">
        <v>315</v>
      </c>
      <c r="C1" s="59">
        <v>2020</v>
      </c>
      <c r="D1" s="60">
        <v>2019</v>
      </c>
      <c r="E1" s="60">
        <v>2018</v>
      </c>
      <c r="F1" s="60">
        <v>2017</v>
      </c>
      <c r="G1" s="60">
        <v>2016</v>
      </c>
      <c r="H1" s="60">
        <v>2015</v>
      </c>
      <c r="I1" s="60">
        <v>2014</v>
      </c>
      <c r="J1" s="60">
        <v>2013</v>
      </c>
      <c r="K1" s="60">
        <v>2012</v>
      </c>
      <c r="L1" s="60">
        <v>2011</v>
      </c>
      <c r="M1" s="60">
        <v>2010</v>
      </c>
      <c r="N1" s="60">
        <v>2009</v>
      </c>
      <c r="O1" s="60">
        <v>2008</v>
      </c>
      <c r="P1" s="60">
        <v>2007</v>
      </c>
      <c r="Q1" s="60">
        <v>2006</v>
      </c>
    </row>
    <row r="2" spans="1:18" x14ac:dyDescent="0.2">
      <c r="A2" s="67" t="s">
        <v>314</v>
      </c>
      <c r="E2" s="69">
        <f>'2018'!$A$1</f>
        <v>43642</v>
      </c>
      <c r="F2" s="69">
        <f>'2017'!$A$1</f>
        <v>43272</v>
      </c>
      <c r="G2" s="69">
        <f>'2016'!$A$1</f>
        <v>42907</v>
      </c>
      <c r="H2" s="74">
        <v>42840</v>
      </c>
      <c r="I2" s="74">
        <v>42840</v>
      </c>
      <c r="J2" s="74">
        <v>42840</v>
      </c>
      <c r="K2" s="74">
        <v>42840</v>
      </c>
      <c r="L2" s="74">
        <v>42840</v>
      </c>
      <c r="M2" s="74">
        <v>42840</v>
      </c>
      <c r="N2" s="74">
        <v>42840</v>
      </c>
      <c r="O2" s="74">
        <v>42840</v>
      </c>
      <c r="P2" s="74">
        <v>42840</v>
      </c>
      <c r="Q2" s="74">
        <v>42840</v>
      </c>
      <c r="R2" s="59" t="s">
        <v>347</v>
      </c>
    </row>
    <row r="3" spans="1:18" ht="30.6" x14ac:dyDescent="0.2">
      <c r="A3" s="59" t="s">
        <v>117</v>
      </c>
      <c r="B3" s="59" t="s">
        <v>99</v>
      </c>
      <c r="G3" s="58" t="s">
        <v>274</v>
      </c>
      <c r="H3" s="58" t="s">
        <v>275</v>
      </c>
      <c r="I3" s="58" t="s">
        <v>276</v>
      </c>
      <c r="J3" s="58" t="s">
        <v>277</v>
      </c>
      <c r="K3" s="58" t="s">
        <v>278</v>
      </c>
      <c r="L3" s="58" t="s">
        <v>279</v>
      </c>
      <c r="M3" s="58" t="s">
        <v>280</v>
      </c>
      <c r="N3" s="58" t="s">
        <v>281</v>
      </c>
      <c r="O3" s="58" t="s">
        <v>282</v>
      </c>
      <c r="P3" s="58" t="s">
        <v>283</v>
      </c>
      <c r="Q3" s="58" t="s">
        <v>284</v>
      </c>
    </row>
    <row r="4" spans="1:18" x14ac:dyDescent="0.2">
      <c r="A4" s="59" t="s">
        <v>162</v>
      </c>
      <c r="B4" s="59" t="s">
        <v>163</v>
      </c>
      <c r="C4" s="59">
        <f>IF(ISNUMBER(INDEX('2020'!$I$5:$I$73,MATCH(B4,'2020'!$A$5:$A$73,0))),INDEX('2020'!$I$5:$I$73,MATCH(B4,'2020'!$A$5:$A$73,0)),"N/A")</f>
        <v>0.96</v>
      </c>
      <c r="D4" s="59">
        <f>IF(ISNUMBER(INDEX('2019'!$I$5:$I$73,MATCH(B4,'2019'!$A$5:$A$73,0))),INDEX('2019'!$I$5:$I$73,MATCH(B4,'2019'!$A$5:$A$73,0)),"N/A")</f>
        <v>0.94</v>
      </c>
      <c r="E4" s="59">
        <f>IF(ISNUMBER(INDEX('2018'!$I$5:$I$73,MATCH(B4,'2018'!$A$5:$A$73,0))),INDEX('2018'!$I$5:$I$73,MATCH(B4,'2018'!$A$5:$A$73,0)),"N/A")</f>
        <v>0.88</v>
      </c>
      <c r="F4" s="59">
        <f>IF(ISNUMBER(INDEX('2017'!$I$5:$I$73,MATCH(B4,'2017'!$A$5:$A$73,0))),INDEX('2017'!$I$5:$I$73,MATCH(B4,'2017'!$A$5:$A$73,0)),"N/A")</f>
        <v>0.88</v>
      </c>
      <c r="G4" s="67">
        <f>IF(ISNUMBER(INDEX('2016'!$I$5:$I$73,MATCH(B4,'2016'!$A$5:$A$73,0))),INDEX('2016'!$I$5:$I$73,MATCH(B4,'2016'!$A$5:$A$73,0)),"N/A")</f>
        <v>0.88</v>
      </c>
      <c r="H4" s="59">
        <v>0.88</v>
      </c>
      <c r="I4" s="59">
        <v>0.88</v>
      </c>
      <c r="J4" s="59">
        <v>0.66</v>
      </c>
      <c r="K4" s="59">
        <v>0.62</v>
      </c>
      <c r="L4" s="59">
        <v>0.56999999999999995</v>
      </c>
      <c r="M4" s="59">
        <v>0.54</v>
      </c>
      <c r="N4" s="59">
        <v>0.5</v>
      </c>
      <c r="O4" s="59">
        <v>0.5</v>
      </c>
      <c r="P4" s="59">
        <v>0.47</v>
      </c>
      <c r="Q4" s="59">
        <v>0.42</v>
      </c>
    </row>
    <row r="5" spans="1:18" x14ac:dyDescent="0.2">
      <c r="A5" s="59" t="s">
        <v>119</v>
      </c>
      <c r="B5" s="59" t="s">
        <v>0</v>
      </c>
      <c r="C5" s="59">
        <f>IF(ISNUMBER(INDEX('2020'!$I$5:$I$73,MATCH(B5,'2020'!$A$5:$A$73,0))),INDEX('2020'!$I$5:$I$73,MATCH(B5,'2020'!$A$5:$A$73,0)),"N/A")</f>
        <v>2.4700000000000002</v>
      </c>
      <c r="D5" s="59">
        <f>IF(ISNUMBER(INDEX('2019'!$I$5:$I$73,MATCH(B5,'2019'!$A$5:$A$73,0))),INDEX('2019'!$I$5:$I$73,MATCH(B5,'2019'!$A$5:$A$73,0)),"N/A")</f>
        <v>2.35</v>
      </c>
      <c r="E5" s="59">
        <f>IF(ISNUMBER(INDEX('2018'!$I$5:$I$73,MATCH(B5,'2018'!$A$5:$A$73,0))),INDEX('2018'!$I$5:$I$73,MATCH(B5,'2018'!$A$5:$A$73,0)),"N/A")</f>
        <v>2.2400000000000002</v>
      </c>
      <c r="F5" s="59">
        <f>IF(ISNUMBER(INDEX('2017'!$I$5:$I$73,MATCH(B5,'2017'!$A$5:$A$73,0))),INDEX('2017'!$I$5:$I$73,MATCH(B5,'2017'!$A$5:$A$73,0)),"N/A")</f>
        <v>2.14</v>
      </c>
      <c r="G5" s="67">
        <f>IF(ISNUMBER(INDEX('2016'!$I$5:$I$73,MATCH(B5,'2016'!$A$5:$A$73,0))),INDEX('2016'!$I$5:$I$73,MATCH(B5,'2016'!$A$5:$A$73,0)),"N/A")</f>
        <v>2.08</v>
      </c>
      <c r="H5" s="59">
        <v>2.02</v>
      </c>
      <c r="I5" s="59">
        <v>1.96</v>
      </c>
      <c r="J5" s="59">
        <v>1.9</v>
      </c>
      <c r="K5" s="59">
        <v>1.84</v>
      </c>
      <c r="L5" s="59">
        <v>1.78</v>
      </c>
      <c r="M5" s="59">
        <v>1.76</v>
      </c>
      <c r="N5" s="59">
        <v>1.76</v>
      </c>
      <c r="O5" s="59">
        <v>1.72</v>
      </c>
      <c r="P5" s="59">
        <v>1.64</v>
      </c>
      <c r="Q5" s="59">
        <v>1.45</v>
      </c>
    </row>
    <row r="6" spans="1:18" x14ac:dyDescent="0.2">
      <c r="A6" s="59" t="s">
        <v>120</v>
      </c>
      <c r="B6" s="59" t="s">
        <v>1</v>
      </c>
      <c r="C6" s="59">
        <f>IF(ISNUMBER(INDEX('2020'!$I$5:$I$73,MATCH(B6,'2020'!$A$5:$A$73,0))),INDEX('2020'!$I$5:$I$73,MATCH(B6,'2020'!$A$5:$A$73,0)),"N/A")</f>
        <v>1.52</v>
      </c>
      <c r="D6" s="59">
        <f>IF(ISNUMBER(INDEX('2019'!$I$5:$I$73,MATCH(B6,'2019'!$A$5:$A$73,0))),INDEX('2019'!$I$5:$I$73,MATCH(B6,'2019'!$A$5:$A$73,0)),"N/A")</f>
        <v>1.42</v>
      </c>
      <c r="E6" s="59">
        <f>IF(ISNUMBER(INDEX('2018'!$I$5:$I$73,MATCH(B6,'2018'!$A$5:$A$73,0))),INDEX('2018'!$I$5:$I$73,MATCH(B6,'2018'!$A$5:$A$73,0)),"N/A")</f>
        <v>1.34</v>
      </c>
      <c r="F6" s="59">
        <f>IF(ISNUMBER(INDEX('2017'!$I$5:$I$73,MATCH(B6,'2017'!$A$5:$A$73,0))),INDEX('2017'!$I$5:$I$73,MATCH(B6,'2017'!$A$5:$A$73,0)),"N/A")</f>
        <v>1.26</v>
      </c>
      <c r="G6" s="67">
        <f>IF(ISNUMBER(INDEX('2016'!$I$5:$I$73,MATCH(B6,'2016'!$A$5:$A$73,0))),INDEX('2016'!$I$5:$I$73,MATCH(B6,'2016'!$A$5:$A$73,0)),"N/A")</f>
        <v>1.18</v>
      </c>
      <c r="H6" s="59">
        <v>1.1000000000000001</v>
      </c>
      <c r="I6" s="59">
        <v>1.02</v>
      </c>
      <c r="J6" s="59">
        <v>0.94</v>
      </c>
      <c r="K6" s="59">
        <v>0.9</v>
      </c>
      <c r="L6" s="59">
        <v>0.85</v>
      </c>
      <c r="M6" s="59">
        <v>0.79</v>
      </c>
      <c r="N6" s="59">
        <v>0.75</v>
      </c>
      <c r="O6" s="59">
        <v>0.7</v>
      </c>
      <c r="P6" s="59">
        <v>0.63500000000000001</v>
      </c>
      <c r="Q6" s="59">
        <v>0.57499999999999996</v>
      </c>
    </row>
    <row r="7" spans="1:18" x14ac:dyDescent="0.2">
      <c r="A7" s="59" t="s">
        <v>121</v>
      </c>
      <c r="B7" s="59" t="s">
        <v>2</v>
      </c>
      <c r="C7" s="59">
        <f>IF(ISNUMBER(INDEX('2020'!$I$5:$I$73,MATCH(B7,'2020'!$A$5:$A$73,0))),INDEX('2020'!$I$5:$I$73,MATCH(B7,'2020'!$A$5:$A$73,0)),"N/A")</f>
        <v>2.84</v>
      </c>
      <c r="D7" s="59">
        <f>IF(ISNUMBER(INDEX('2019'!$I$5:$I$73,MATCH(B7,'2019'!$A$5:$A$73,0))),INDEX('2019'!$I$5:$I$73,MATCH(B7,'2019'!$A$5:$A$73,0)),"N/A")</f>
        <v>2.71</v>
      </c>
      <c r="E7" s="59">
        <f>IF(ISNUMBER(INDEX('2018'!$I$5:$I$73,MATCH(B7,'2018'!$A$5:$A$73,0))),INDEX('2018'!$I$5:$I$73,MATCH(B7,'2018'!$A$5:$A$73,0)),"N/A")</f>
        <v>2.5299999999999998</v>
      </c>
      <c r="F7" s="59">
        <f>IF(ISNUMBER(INDEX('2017'!$I$5:$I$73,MATCH(B7,'2017'!$A$5:$A$73,0))),INDEX('2017'!$I$5:$I$73,MATCH(B7,'2017'!$A$5:$A$73,0)),"N/A")</f>
        <v>2.39</v>
      </c>
      <c r="G7" s="67">
        <f>IF(ISNUMBER(INDEX('2016'!$I$5:$I$73,MATCH(B7,'2016'!$A$5:$A$73,0))),INDEX('2016'!$I$5:$I$73,MATCH(B7,'2016'!$A$5:$A$73,0)),"N/A")</f>
        <v>2.27</v>
      </c>
      <c r="H7" s="59">
        <v>2.15</v>
      </c>
      <c r="I7" s="59">
        <v>2.0299999999999998</v>
      </c>
      <c r="J7" s="59">
        <v>1.95</v>
      </c>
      <c r="K7" s="59">
        <v>1.88</v>
      </c>
      <c r="L7" s="59">
        <v>1.85</v>
      </c>
      <c r="M7" s="59">
        <v>1.71</v>
      </c>
      <c r="N7" s="59">
        <v>1.64</v>
      </c>
      <c r="O7" s="59">
        <v>1.64</v>
      </c>
      <c r="P7" s="59">
        <v>1.58</v>
      </c>
      <c r="Q7" s="59">
        <v>1.5</v>
      </c>
    </row>
    <row r="8" spans="1:18" x14ac:dyDescent="0.2">
      <c r="A8" s="59" t="s">
        <v>164</v>
      </c>
      <c r="B8" s="59" t="s">
        <v>165</v>
      </c>
      <c r="C8" s="59">
        <f>IF(ISNUMBER(INDEX('2020'!$I$5:$I$73,MATCH(B8,'2020'!$A$5:$A$73,0))),INDEX('2020'!$I$5:$I$73,MATCH(B8,'2020'!$A$5:$A$73,0)),"N/A")</f>
        <v>1.28</v>
      </c>
      <c r="D8" s="59">
        <f>IF(ISNUMBER(INDEX('2019'!$I$5:$I$73,MATCH(B8,'2019'!$A$5:$A$73,0))),INDEX('2019'!$I$5:$I$73,MATCH(B8,'2019'!$A$5:$A$73,0)),"N/A")</f>
        <v>1.1599999999999999</v>
      </c>
      <c r="E8" s="59">
        <f>IF(ISNUMBER(INDEX('2018'!$I$5:$I$73,MATCH(B8,'2018'!$A$5:$A$73,0))),INDEX('2018'!$I$5:$I$73,MATCH(B8,'2018'!$A$5:$A$73,0)),"N/A")</f>
        <v>1.06</v>
      </c>
      <c r="F8" s="59">
        <f>IF(ISNUMBER(INDEX('2017'!$I$5:$I$73,MATCH(B8,'2017'!$A$5:$A$73,0))),INDEX('2017'!$I$5:$I$73,MATCH(B8,'2017'!$A$5:$A$73,0)),"N/A")</f>
        <v>0.99</v>
      </c>
      <c r="G8" s="67">
        <f>IF(ISNUMBER(INDEX('2016'!$I$5:$I$73,MATCH(B8,'2016'!$A$5:$A$73,0))),INDEX('2016'!$I$5:$I$73,MATCH(B8,'2016'!$A$5:$A$73,0)),"N/A")</f>
        <v>0.91400000000000003</v>
      </c>
      <c r="H8" s="59">
        <v>0.874</v>
      </c>
      <c r="I8" s="59">
        <v>0.83099999999999996</v>
      </c>
      <c r="J8" s="59">
        <v>0.76</v>
      </c>
      <c r="K8" s="59">
        <v>0.63500000000000001</v>
      </c>
      <c r="L8" s="59">
        <v>0.55000000000000004</v>
      </c>
      <c r="M8" s="59">
        <v>0.52</v>
      </c>
      <c r="N8" s="59">
        <v>0.505</v>
      </c>
      <c r="O8" s="59">
        <v>0.5</v>
      </c>
      <c r="P8" s="59">
        <v>0.47799999999999998</v>
      </c>
      <c r="Q8" s="59">
        <v>0.45500000000000002</v>
      </c>
    </row>
    <row r="9" spans="1:18" x14ac:dyDescent="0.2">
      <c r="A9" s="59" t="s">
        <v>166</v>
      </c>
      <c r="B9" s="59" t="s">
        <v>167</v>
      </c>
      <c r="C9" s="59">
        <f>IF(ISNUMBER(INDEX('2020'!$I$5:$I$73,MATCH(B9,'2020'!$A$5:$A$73,0))),INDEX('2020'!$I$5:$I$73,MATCH(B9,'2020'!$A$5:$A$73,0)),"N/A")</f>
        <v>2.15</v>
      </c>
      <c r="D9" s="59">
        <f>IF(ISNUMBER(INDEX('2019'!$I$5:$I$73,MATCH(B9,'2019'!$A$5:$A$73,0))),INDEX('2019'!$I$5:$I$73,MATCH(B9,'2019'!$A$5:$A$73,0)),"N/A")</f>
        <v>1.96</v>
      </c>
      <c r="E9" s="59">
        <f>IF(ISNUMBER(INDEX('2018'!$I$5:$I$73,MATCH(B9,'2018'!$A$5:$A$73,0))),INDEX('2018'!$I$5:$I$73,MATCH(B9,'2018'!$A$5:$A$73,0)),"N/A")</f>
        <v>1.78</v>
      </c>
      <c r="F9" s="59">
        <f>IF(ISNUMBER(INDEX('2017'!$I$5:$I$73,MATCH(B9,'2017'!$A$5:$A$73,0))),INDEX('2017'!$I$5:$I$73,MATCH(B9,'2017'!$A$5:$A$73,0)),"N/A")</f>
        <v>1.62</v>
      </c>
      <c r="G9" s="67">
        <f>IF(ISNUMBER(INDEX('2016'!$I$5:$I$73,MATCH(B9,'2016'!$A$5:$A$73,0))),INDEX('2016'!$I$5:$I$73,MATCH(B9,'2016'!$A$5:$A$73,0)),"N/A")</f>
        <v>1.47</v>
      </c>
      <c r="H9" s="59">
        <v>1.33</v>
      </c>
      <c r="I9" s="59">
        <v>1.21</v>
      </c>
      <c r="J9" s="59">
        <v>0.84</v>
      </c>
      <c r="K9" s="59">
        <v>1.21</v>
      </c>
      <c r="L9" s="59">
        <v>0.9</v>
      </c>
      <c r="M9" s="59">
        <v>0.86</v>
      </c>
      <c r="N9" s="59">
        <v>0.82</v>
      </c>
      <c r="O9" s="59">
        <v>0.4</v>
      </c>
      <c r="P9" s="59">
        <v>0</v>
      </c>
      <c r="Q9" s="59">
        <v>0</v>
      </c>
    </row>
    <row r="10" spans="1:18" x14ac:dyDescent="0.2">
      <c r="A10" s="59" t="s">
        <v>122</v>
      </c>
      <c r="B10" s="59" t="s">
        <v>3</v>
      </c>
      <c r="C10" s="59">
        <f>IF(ISNUMBER(INDEX('2020'!$I$5:$I$73,MATCH(B10,'2020'!$A$5:$A$73,0))),INDEX('2020'!$I$5:$I$73,MATCH(B10,'2020'!$A$5:$A$73,0)),"N/A")</f>
        <v>2</v>
      </c>
      <c r="D10" s="59">
        <f>IF(ISNUMBER(INDEX('2019'!$I$5:$I$73,MATCH(B10,'2019'!$A$5:$A$73,0))),INDEX('2019'!$I$5:$I$73,MATCH(B10,'2019'!$A$5:$A$73,0)),"N/A")</f>
        <v>1.92</v>
      </c>
      <c r="E10" s="59">
        <f>IF(ISNUMBER(INDEX('2018'!$I$5:$I$73,MATCH(B10,'2018'!$A$5:$A$73,0))),INDEX('2018'!$I$5:$I$73,MATCH(B10,'2018'!$A$5:$A$73,0)),"N/A")</f>
        <v>1.8480000000000001</v>
      </c>
      <c r="F10" s="59">
        <f>IF(ISNUMBER(INDEX('2017'!$I$5:$I$73,MATCH(B10,'2017'!$A$5:$A$73,0))),INDEX('2017'!$I$5:$I$73,MATCH(B10,'2017'!$A$5:$A$73,0)),"N/A")</f>
        <v>1.778</v>
      </c>
      <c r="G10" s="67">
        <f>IF(ISNUMBER(INDEX('2016'!$I$5:$I$73,MATCH(B10,'2016'!$A$5:$A$73,0))),INDEX('2016'!$I$5:$I$73,MATCH(B10,'2016'!$A$5:$A$73,0)),"N/A")</f>
        <v>1.7150000000000001</v>
      </c>
      <c r="H10" s="59">
        <v>1.655</v>
      </c>
      <c r="I10" s="59">
        <v>1.61</v>
      </c>
      <c r="J10" s="59">
        <v>1.6</v>
      </c>
      <c r="K10" s="59">
        <v>1.6</v>
      </c>
      <c r="L10" s="59">
        <v>1.5549999999999999</v>
      </c>
      <c r="M10" s="59">
        <v>1.54</v>
      </c>
      <c r="N10" s="59">
        <v>1.54</v>
      </c>
      <c r="O10" s="59">
        <v>2.54</v>
      </c>
      <c r="P10" s="59">
        <v>2.54</v>
      </c>
      <c r="Q10" s="59">
        <v>2.54</v>
      </c>
    </row>
    <row r="11" spans="1:18" x14ac:dyDescent="0.2">
      <c r="A11" s="59" t="s">
        <v>168</v>
      </c>
      <c r="B11" s="59" t="s">
        <v>169</v>
      </c>
      <c r="C11" s="59" t="str">
        <f>IF(ISNUMBER(INDEX('2020'!$I$5:$I$73,MATCH(B11,'2020'!$A$5:$A$73,0))),INDEX('2020'!$I$5:$I$73,MATCH(B11,'2020'!$A$5:$A$73,0)),"N/A")</f>
        <v>N/A</v>
      </c>
      <c r="D11" s="59" t="str">
        <f>IF(ISNUMBER(INDEX('2019'!$I$5:$I$73,MATCH(B11,'2019'!$A$5:$A$73,0))),INDEX('2019'!$I$5:$I$73,MATCH(B11,'2019'!$A$5:$A$73,0)),"N/A")</f>
        <v>N/A</v>
      </c>
      <c r="E11" s="59">
        <f>IF(ISNUMBER(INDEX('2018'!$I$5:$I$73,MATCH(B11,'2018'!$A$5:$A$73,0))),INDEX('2018'!$I$5:$I$73,MATCH(B11,'2018'!$A$5:$A$73,0)),"N/A")</f>
        <v>3.8</v>
      </c>
      <c r="F11" s="59">
        <f>IF(ISNUMBER(INDEX('2017'!$I$5:$I$73,MATCH(B11,'2017'!$A$5:$A$73,0))),INDEX('2017'!$I$5:$I$73,MATCH(B11,'2017'!$A$5:$A$73,0)),"N/A")</f>
        <v>3.78</v>
      </c>
      <c r="G11" s="67">
        <f>IF(ISNUMBER(INDEX('2016'!$I$5:$I$73,MATCH(B11,'2016'!$A$5:$A$73,0))),INDEX('2016'!$I$5:$I$73,MATCH(B11,'2016'!$A$5:$A$73,0)),"N/A")</f>
        <v>3.72</v>
      </c>
      <c r="H11" s="59">
        <v>3.6</v>
      </c>
      <c r="I11" s="59">
        <v>3.44</v>
      </c>
      <c r="J11" s="59">
        <v>3.28</v>
      </c>
      <c r="K11" s="59">
        <v>3.1</v>
      </c>
      <c r="L11" s="59">
        <v>2.9249999999999998</v>
      </c>
      <c r="M11" s="59">
        <v>2.7850000000000001</v>
      </c>
      <c r="N11" s="59">
        <v>2.62</v>
      </c>
      <c r="O11" s="59">
        <v>2.5299999999999998</v>
      </c>
      <c r="P11" s="59">
        <v>2.66</v>
      </c>
      <c r="Q11" s="59">
        <v>2.2799999999999998</v>
      </c>
    </row>
    <row r="12" spans="1:18" x14ac:dyDescent="0.2">
      <c r="A12" s="59" t="s">
        <v>170</v>
      </c>
      <c r="B12" s="59" t="s">
        <v>171</v>
      </c>
      <c r="C12" s="59" t="str">
        <f>IF(ISNUMBER(INDEX('2020'!$I$5:$I$73,MATCH(B12,'2020'!$A$5:$A$73,0))),INDEX('2020'!$I$5:$I$73,MATCH(B12,'2020'!$A$5:$A$73,0)),"N/A")</f>
        <v>N/A</v>
      </c>
      <c r="D12" s="59" t="str">
        <f>IF(ISNUMBER(INDEX('2019'!$I$5:$I$73,MATCH(B12,'2019'!$A$5:$A$73,0))),INDEX('2019'!$I$5:$I$73,MATCH(B12,'2019'!$A$5:$A$73,0)),"N/A")</f>
        <v>N/A</v>
      </c>
      <c r="E12" s="59">
        <f>IF(ISNUMBER(INDEX('2018'!$I$5:$I$73,MATCH(B12,'2018'!$A$5:$A$73,0))),INDEX('2018'!$I$5:$I$73,MATCH(B12,'2018'!$A$5:$A$73,0)),"N/A")</f>
        <v>0.85</v>
      </c>
      <c r="F12" s="59">
        <f>IF(ISNUMBER(INDEX('2017'!$I$5:$I$73,MATCH(B12,'2017'!$A$5:$A$73,0))),INDEX('2017'!$I$5:$I$73,MATCH(B12,'2017'!$A$5:$A$73,0)),"N/A")</f>
        <v>0.79</v>
      </c>
      <c r="G12" s="67">
        <f>IF(ISNUMBER(INDEX('2016'!$I$5:$I$73,MATCH(B12,'2016'!$A$5:$A$73,0))),INDEX('2016'!$I$5:$I$73,MATCH(B12,'2016'!$A$5:$A$73,0)),"N/A")</f>
        <v>0.74</v>
      </c>
      <c r="H12" s="59">
        <v>0.69</v>
      </c>
      <c r="I12" s="59">
        <v>0.63</v>
      </c>
      <c r="J12" s="59">
        <v>0.57999999999999996</v>
      </c>
      <c r="K12" s="59">
        <v>0.53600000000000003</v>
      </c>
      <c r="L12" s="59">
        <v>0.504</v>
      </c>
      <c r="M12" s="59">
        <v>0.47199999999999998</v>
      </c>
      <c r="N12" s="59">
        <v>0.44</v>
      </c>
      <c r="O12" s="59">
        <v>0.40799999999999997</v>
      </c>
      <c r="P12" s="59">
        <v>0.38400000000000001</v>
      </c>
      <c r="Q12" s="59">
        <v>0.35199999999999998</v>
      </c>
    </row>
    <row r="13" spans="1:18" x14ac:dyDescent="0.2">
      <c r="A13" s="59" t="s">
        <v>172</v>
      </c>
      <c r="B13" s="59" t="s">
        <v>173</v>
      </c>
      <c r="C13" s="59">
        <f>IF(ISNUMBER(INDEX('2020'!$I$5:$I$73,MATCH(B13,'2020'!$A$5:$A$73,0))),INDEX('2020'!$I$5:$I$73,MATCH(B13,'2020'!$A$5:$A$73,0)),"N/A")</f>
        <v>1.01</v>
      </c>
      <c r="D13" s="59">
        <f>IF(ISNUMBER(INDEX('2019'!$I$5:$I$73,MATCH(B13,'2019'!$A$5:$A$73,0))),INDEX('2019'!$I$5:$I$73,MATCH(B13,'2019'!$A$5:$A$73,0)),"N/A")</f>
        <v>0.98399999999999999</v>
      </c>
      <c r="E13" s="59">
        <f>IF(ISNUMBER(INDEX('2018'!$I$5:$I$73,MATCH(B13,'2018'!$A$5:$A$73,0))),INDEX('2018'!$I$5:$I$73,MATCH(B13,'2018'!$A$5:$A$73,0)),"N/A")</f>
        <v>0.95499999999999996</v>
      </c>
      <c r="F13" s="59">
        <f>IF(ISNUMBER(INDEX('2017'!$I$5:$I$73,MATCH(B13,'2017'!$A$5:$A$73,0))),INDEX('2017'!$I$5:$I$73,MATCH(B13,'2017'!$A$5:$A$73,0)),"N/A")</f>
        <v>0.92700000000000005</v>
      </c>
      <c r="G13" s="67">
        <f>IF(ISNUMBER(INDEX('2016'!$I$5:$I$73,MATCH(B13,'2016'!$A$5:$A$73,0))),INDEX('2016'!$I$5:$I$73,MATCH(B13,'2016'!$A$5:$A$73,0)),"N/A")</f>
        <v>0.9</v>
      </c>
      <c r="H13" s="59">
        <v>0.873</v>
      </c>
      <c r="I13" s="59">
        <v>0.84799999999999998</v>
      </c>
      <c r="J13" s="59">
        <v>0.82399999999999995</v>
      </c>
      <c r="K13" s="59">
        <v>0.79200000000000004</v>
      </c>
      <c r="L13" s="59">
        <v>0.76300000000000001</v>
      </c>
      <c r="M13" s="59">
        <v>0.752</v>
      </c>
      <c r="N13" s="59">
        <v>0.72099999999999997</v>
      </c>
      <c r="O13" s="59">
        <v>0.70599999999999996</v>
      </c>
      <c r="P13" s="59">
        <v>0.66400000000000003</v>
      </c>
      <c r="Q13" s="59">
        <v>0.61</v>
      </c>
    </row>
    <row r="14" spans="1:18" x14ac:dyDescent="0.2">
      <c r="A14" s="59" t="s">
        <v>174</v>
      </c>
      <c r="B14" s="59" t="s">
        <v>175</v>
      </c>
      <c r="C14" s="59">
        <f>IF(ISNUMBER(INDEX('2020'!$I$5:$I$73,MATCH(B14,'2020'!$A$5:$A$73,0))),INDEX('2020'!$I$5:$I$73,MATCH(B14,'2020'!$A$5:$A$73,0)),"N/A")</f>
        <v>2.2999999999999998</v>
      </c>
      <c r="D14" s="59">
        <f>IF(ISNUMBER(INDEX('2019'!$I$5:$I$73,MATCH(B14,'2019'!$A$5:$A$73,0))),INDEX('2019'!$I$5:$I$73,MATCH(B14,'2019'!$A$5:$A$73,0)),"N/A")</f>
        <v>2.1</v>
      </c>
      <c r="E14" s="59">
        <f>IF(ISNUMBER(INDEX('2018'!$I$5:$I$73,MATCH(B14,'2018'!$A$5:$A$73,0))),INDEX('2018'!$I$5:$I$73,MATCH(B14,'2018'!$A$5:$A$73,0)),"N/A")</f>
        <v>1.94</v>
      </c>
      <c r="F14" s="59">
        <f>IF(ISNUMBER(INDEX('2017'!$I$5:$I$73,MATCH(B14,'2017'!$A$5:$A$73,0))),INDEX('2017'!$I$5:$I$73,MATCH(B14,'2017'!$A$5:$A$73,0)),"N/A")</f>
        <v>1.8</v>
      </c>
      <c r="G14" s="67">
        <f>IF(ISNUMBER(INDEX('2016'!$I$5:$I$73,MATCH(B14,'2016'!$A$5:$A$73,0))),INDEX('2016'!$I$5:$I$73,MATCH(B14,'2016'!$A$5:$A$73,0)),"N/A")</f>
        <v>1.68</v>
      </c>
      <c r="H14" s="59">
        <v>1.56</v>
      </c>
      <c r="I14" s="59">
        <v>1.48</v>
      </c>
      <c r="J14" s="59">
        <v>1.4</v>
      </c>
      <c r="K14" s="59">
        <v>1.38</v>
      </c>
      <c r="L14" s="59">
        <v>1.36</v>
      </c>
      <c r="M14" s="59">
        <v>1.34</v>
      </c>
      <c r="N14" s="59">
        <v>1.32</v>
      </c>
      <c r="O14" s="59">
        <v>1.3</v>
      </c>
      <c r="P14" s="59">
        <v>1.28</v>
      </c>
      <c r="Q14" s="59">
        <v>1.26</v>
      </c>
    </row>
    <row r="15" spans="1:18" x14ac:dyDescent="0.2">
      <c r="A15" s="59" t="s">
        <v>263</v>
      </c>
      <c r="B15" s="59" t="s">
        <v>260</v>
      </c>
      <c r="C15" s="59">
        <f>IF(ISNUMBER(INDEX('2020'!$I$5:$I$73,MATCH(B15,'2020'!$A$5:$A$73,0))),INDEX('2020'!$I$5:$I$73,MATCH(B15,'2020'!$A$5:$A$73,0)),"N/A")</f>
        <v>1.76</v>
      </c>
      <c r="D15" s="59">
        <f>IF(ISNUMBER(INDEX('2019'!$I$5:$I$73,MATCH(B15,'2019'!$A$5:$A$73,0))),INDEX('2019'!$I$5:$I$73,MATCH(B15,'2019'!$A$5:$A$73,0)),"N/A")</f>
        <v>1.76</v>
      </c>
      <c r="E15" s="59">
        <f>IF(ISNUMBER(INDEX('2018'!$I$5:$I$73,MATCH(B15,'2018'!$A$5:$A$73,0))),INDEX('2018'!$I$5:$I$73,MATCH(B15,'2018'!$A$5:$A$73,0)),"N/A")</f>
        <v>1.744</v>
      </c>
      <c r="F15" s="59">
        <f>IF(ISNUMBER(INDEX('2017'!$I$5:$I$73,MATCH(B15,'2017'!$A$5:$A$73,0))),INDEX('2017'!$I$5:$I$73,MATCH(B15,'2017'!$A$5:$A$73,0)),"N/A")</f>
        <v>1.728</v>
      </c>
      <c r="G15" s="67">
        <f>IF(ISNUMBER(INDEX('2016'!$I$5:$I$73,MATCH(B15,'2016'!$A$5:$A$73,0))),INDEX('2016'!$I$5:$I$73,MATCH(B15,'2016'!$A$5:$A$73,0)),"N/A")</f>
        <v>1.728</v>
      </c>
      <c r="H15" s="67">
        <v>0</v>
      </c>
      <c r="I15" s="67" t="str">
        <f>IF(IFERROR(INDEX('2017'!$G$5:$G$72,MATCH(H15,'2017'!$A$5:$A$72,0)),0)=0,"N/A",INDEX('2017'!$G$5:$G$72,MATCH(H15,'2017'!$A$5:$A$72,0)))</f>
        <v>N/A</v>
      </c>
      <c r="J15" s="67" t="str">
        <f>IF(IFERROR(INDEX('2017'!$G$5:$G$72,MATCH(I15,'2017'!$A$5:$A$72,0)),0)=0,"N/A",INDEX('2017'!$G$5:$G$72,MATCH(I15,'2017'!$A$5:$A$72,0)))</f>
        <v>N/A</v>
      </c>
      <c r="K15" s="67" t="str">
        <f>IF(IFERROR(INDEX('2017'!$G$5:$G$72,MATCH(J15,'2017'!$A$5:$A$72,0)),0)=0,"N/A",INDEX('2017'!$G$5:$G$72,MATCH(J15,'2017'!$A$5:$A$72,0)))</f>
        <v>N/A</v>
      </c>
      <c r="L15" s="67" t="str">
        <f>IF(IFERROR(INDEX('2017'!$G$5:$G$72,MATCH(K15,'2017'!$A$5:$A$72,0)),0)=0,"N/A",INDEX('2017'!$G$5:$G$72,MATCH(K15,'2017'!$A$5:$A$72,0)))</f>
        <v>N/A</v>
      </c>
      <c r="M15" s="67" t="str">
        <f>IF(IFERROR(INDEX('2017'!$G$5:$G$72,MATCH(L15,'2017'!$A$5:$A$72,0)),0)=0,"N/A",INDEX('2017'!$G$5:$G$72,MATCH(L15,'2017'!$A$5:$A$72,0)))</f>
        <v>N/A</v>
      </c>
      <c r="N15" s="67" t="str">
        <f>IF(IFERROR(INDEX('2017'!$G$5:$G$72,MATCH(M15,'2017'!$A$5:$A$72,0)),0)=0,"N/A",INDEX('2017'!$G$5:$G$72,MATCH(M15,'2017'!$A$5:$A$72,0)))</f>
        <v>N/A</v>
      </c>
      <c r="O15" s="67" t="str">
        <f>IF(IFERROR(INDEX('2017'!$G$5:$G$72,MATCH(N15,'2017'!$A$5:$A$72,0)),0)=0,"N/A",INDEX('2017'!$G$5:$G$72,MATCH(N15,'2017'!$A$5:$A$72,0)))</f>
        <v>N/A</v>
      </c>
      <c r="P15" s="67" t="str">
        <f>IF(IFERROR(INDEX('2017'!$G$5:$G$72,MATCH(O15,'2017'!$A$5:$A$72,0)),0)=0,"N/A",INDEX('2017'!$G$5:$G$72,MATCH(O15,'2017'!$A$5:$A$72,0)))</f>
        <v>N/A</v>
      </c>
      <c r="Q15" s="67" t="str">
        <f>IF(IFERROR(INDEX('2017'!$G$5:$G$72,MATCH(P15,'2017'!$A$5:$A$72,0)),0)=0,"N/A",INDEX('2017'!$G$5:$G$72,MATCH(P15,'2017'!$A$5:$A$72,0)))</f>
        <v>N/A</v>
      </c>
    </row>
    <row r="16" spans="1:18" x14ac:dyDescent="0.2">
      <c r="A16" s="59" t="s">
        <v>123</v>
      </c>
      <c r="B16" s="59" t="s">
        <v>4</v>
      </c>
      <c r="C16" s="59">
        <f>IF(ISNUMBER(INDEX('2020'!$I$5:$I$73,MATCH(B16,'2020'!$A$5:$A$73,0))),INDEX('2020'!$I$5:$I$73,MATCH(B16,'2020'!$A$5:$A$73,0)),"N/A")</f>
        <v>1.62</v>
      </c>
      <c r="D16" s="59">
        <f>IF(ISNUMBER(INDEX('2019'!$I$5:$I$73,MATCH(B16,'2019'!$A$5:$A$73,0))),INDEX('2019'!$I$5:$I$73,MATCH(B16,'2019'!$A$5:$A$73,0)),"N/A")</f>
        <v>1.55</v>
      </c>
      <c r="E16" s="59">
        <f>IF(ISNUMBER(INDEX('2018'!$I$5:$I$73,MATCH(B16,'2018'!$A$5:$A$73,0))),INDEX('2018'!$I$5:$I$73,MATCH(B16,'2018'!$A$5:$A$73,0)),"N/A")</f>
        <v>1.49</v>
      </c>
      <c r="F16" s="59">
        <f>IF(ISNUMBER(INDEX('2017'!$I$5:$I$73,MATCH(B16,'2017'!$A$5:$A$73,0))),INDEX('2017'!$I$5:$I$73,MATCH(B16,'2017'!$A$5:$A$73,0)),"N/A")</f>
        <v>1.43</v>
      </c>
      <c r="G16" s="67">
        <f>IF(ISNUMBER(INDEX('2016'!$I$5:$I$73,MATCH(B16,'2016'!$A$5:$A$73,0))),INDEX('2016'!$I$5:$I$73,MATCH(B16,'2016'!$A$5:$A$73,0)),"N/A")</f>
        <v>1.37</v>
      </c>
      <c r="H16" s="59">
        <v>1.32</v>
      </c>
      <c r="I16" s="59">
        <v>1.27</v>
      </c>
      <c r="J16" s="59">
        <v>1.22</v>
      </c>
      <c r="K16" s="59">
        <v>1.1599999999999999</v>
      </c>
      <c r="L16" s="59">
        <v>1.1000000000000001</v>
      </c>
      <c r="M16" s="59">
        <v>1</v>
      </c>
      <c r="N16" s="59">
        <v>0.81</v>
      </c>
      <c r="O16" s="59">
        <v>0.69</v>
      </c>
      <c r="P16" s="59">
        <v>0.59499999999999997</v>
      </c>
      <c r="Q16" s="59">
        <v>0.56999999999999995</v>
      </c>
    </row>
    <row r="17" spans="1:17" x14ac:dyDescent="0.2">
      <c r="A17" s="59" t="s">
        <v>124</v>
      </c>
      <c r="B17" s="59" t="s">
        <v>5</v>
      </c>
      <c r="C17" s="59">
        <f>IF(ISNUMBER(INDEX('2020'!$I$5:$I$73,MATCH(B17,'2020'!$A$5:$A$73,0))),INDEX('2020'!$I$5:$I$73,MATCH(B17,'2020'!$A$5:$A$73,0)),"N/A")</f>
        <v>2.17</v>
      </c>
      <c r="D17" s="59">
        <f>IF(ISNUMBER(INDEX('2019'!$I$5:$I$73,MATCH(B17,'2019'!$A$5:$A$73,0))),INDEX('2019'!$I$5:$I$73,MATCH(B17,'2019'!$A$5:$A$73,0)),"N/A")</f>
        <v>2.0499999999999998</v>
      </c>
      <c r="E17" s="59">
        <f>IF(ISNUMBER(INDEX('2018'!$I$5:$I$73,MATCH(B17,'2018'!$A$5:$A$73,0))),INDEX('2018'!$I$5:$I$73,MATCH(B17,'2018'!$A$5:$A$73,0)),"N/A")</f>
        <v>1.93</v>
      </c>
      <c r="F17" s="59">
        <f>IF(ISNUMBER(INDEX('2017'!$I$5:$I$73,MATCH(B17,'2017'!$A$5:$A$73,0))),INDEX('2017'!$I$5:$I$73,MATCH(B17,'2017'!$A$5:$A$73,0)),"N/A")</f>
        <v>1.81</v>
      </c>
      <c r="G17" s="67">
        <f>IF(ISNUMBER(INDEX('2016'!$I$5:$I$73,MATCH(B17,'2016'!$A$5:$A$73,0))),INDEX('2016'!$I$5:$I$73,MATCH(B17,'2016'!$A$5:$A$73,0)),"N/A")</f>
        <v>1.68</v>
      </c>
      <c r="H17" s="59">
        <v>1.62</v>
      </c>
      <c r="I17" s="59">
        <v>1.56</v>
      </c>
      <c r="J17" s="59">
        <v>1.52</v>
      </c>
      <c r="K17" s="59">
        <v>1.48</v>
      </c>
      <c r="L17" s="59">
        <v>1.46</v>
      </c>
      <c r="M17" s="59">
        <v>1.44</v>
      </c>
      <c r="N17" s="59">
        <v>1.42</v>
      </c>
      <c r="O17" s="59">
        <v>1.4</v>
      </c>
      <c r="P17" s="59">
        <v>1.37</v>
      </c>
      <c r="Q17" s="59">
        <v>1.32</v>
      </c>
    </row>
    <row r="18" spans="1:17" x14ac:dyDescent="0.2">
      <c r="A18" s="59" t="s">
        <v>176</v>
      </c>
      <c r="B18" s="59" t="s">
        <v>177</v>
      </c>
      <c r="C18" s="59">
        <f>IF(ISNUMBER(INDEX('2020'!$I$5:$I$73,MATCH(B18,'2020'!$A$5:$A$73,0))),INDEX('2020'!$I$5:$I$73,MATCH(B18,'2020'!$A$5:$A$73,0)),"N/A")</f>
        <v>0.85</v>
      </c>
      <c r="D18" s="59">
        <f>IF(ISNUMBER(INDEX('2019'!$I$5:$I$73,MATCH(B18,'2019'!$A$5:$A$73,0))),INDEX('2019'!$I$5:$I$73,MATCH(B18,'2019'!$A$5:$A$73,0)),"N/A")</f>
        <v>0.79</v>
      </c>
      <c r="E18" s="59">
        <f>IF(ISNUMBER(INDEX('2018'!$I$5:$I$73,MATCH(B18,'2018'!$A$5:$A$73,0))),INDEX('2018'!$I$5:$I$73,MATCH(B18,'2018'!$A$5:$A$73,0)),"N/A")</f>
        <v>0.75</v>
      </c>
      <c r="F18" s="59">
        <f>IF(ISNUMBER(INDEX('2017'!$I$5:$I$73,MATCH(B18,'2017'!$A$5:$A$73,0))),INDEX('2017'!$I$5:$I$73,MATCH(B18,'2017'!$A$5:$A$73,0)),"N/A")</f>
        <v>0.72</v>
      </c>
      <c r="G18" s="67">
        <f>IF(ISNUMBER(INDEX('2016'!$I$5:$I$73,MATCH(B18,'2016'!$A$5:$A$73,0))),INDEX('2016'!$I$5:$I$73,MATCH(B18,'2016'!$A$5:$A$73,0)),"N/A")</f>
        <v>0.69</v>
      </c>
      <c r="H18" s="59">
        <v>0.67</v>
      </c>
      <c r="I18" s="59">
        <v>0.65</v>
      </c>
      <c r="J18" s="59">
        <v>0.64</v>
      </c>
      <c r="K18" s="59">
        <v>0.63</v>
      </c>
      <c r="L18" s="59">
        <v>0.61499999999999999</v>
      </c>
      <c r="M18" s="59">
        <v>0.59499999999999997</v>
      </c>
      <c r="N18" s="59">
        <v>0.59</v>
      </c>
      <c r="O18" s="59">
        <v>0.58499999999999996</v>
      </c>
      <c r="P18" s="59">
        <v>0.57999999999999996</v>
      </c>
      <c r="Q18" s="59">
        <v>0.57499999999999996</v>
      </c>
    </row>
    <row r="19" spans="1:17" x14ac:dyDescent="0.2">
      <c r="A19" s="59" t="s">
        <v>125</v>
      </c>
      <c r="B19" s="59" t="s">
        <v>6</v>
      </c>
      <c r="C19" s="59">
        <f>IF(ISNUMBER(INDEX('2020'!$I$5:$I$73,MATCH(B19,'2020'!$A$5:$A$73,0))),INDEX('2020'!$I$5:$I$73,MATCH(B19,'2020'!$A$5:$A$73,0)),"N/A")</f>
        <v>0.9</v>
      </c>
      <c r="D19" s="59">
        <f>IF(ISNUMBER(INDEX('2019'!$I$5:$I$73,MATCH(B19,'2019'!$A$5:$A$73,0))),INDEX('2019'!$I$5:$I$73,MATCH(B19,'2019'!$A$5:$A$73,0)),"N/A")</f>
        <v>0.86299999999999999</v>
      </c>
      <c r="E19" s="59">
        <f>IF(ISNUMBER(INDEX('2018'!$I$5:$I$73,MATCH(B19,'2018'!$A$5:$A$73,0))),INDEX('2018'!$I$5:$I$73,MATCH(B19,'2018'!$A$5:$A$73,0)),"N/A")</f>
        <v>1.1200000000000001</v>
      </c>
      <c r="F19" s="59">
        <f>IF(ISNUMBER(INDEX('2017'!$I$5:$I$73,MATCH(B19,'2017'!$A$5:$A$73,0))),INDEX('2017'!$I$5:$I$73,MATCH(B19,'2017'!$A$5:$A$73,0)),"N/A")</f>
        <v>1.3480000000000001</v>
      </c>
      <c r="G19" s="67">
        <f>IF(ISNUMBER(INDEX('2016'!$I$5:$I$73,MATCH(B19,'2016'!$A$5:$A$73,0))),INDEX('2016'!$I$5:$I$73,MATCH(B19,'2016'!$A$5:$A$73,0)),"N/A")</f>
        <v>1.03</v>
      </c>
      <c r="H19" s="59">
        <v>0.99</v>
      </c>
      <c r="I19" s="59">
        <v>0.95</v>
      </c>
      <c r="J19" s="59">
        <v>0.83</v>
      </c>
      <c r="K19" s="59">
        <v>0.81</v>
      </c>
      <c r="L19" s="59">
        <v>0.79</v>
      </c>
      <c r="M19" s="59">
        <v>0.78</v>
      </c>
      <c r="N19" s="59">
        <v>0.76</v>
      </c>
      <c r="O19" s="59">
        <v>0.73</v>
      </c>
      <c r="P19" s="59">
        <v>0.68</v>
      </c>
      <c r="Q19" s="59">
        <v>0.6</v>
      </c>
    </row>
    <row r="20" spans="1:17" x14ac:dyDescent="0.2">
      <c r="A20" s="59" t="s">
        <v>215</v>
      </c>
      <c r="B20" s="59" t="s">
        <v>178</v>
      </c>
      <c r="C20" s="59">
        <f>IF(ISNUMBER(INDEX('2020'!$I$5:$I$73,MATCH(B20,'2020'!$A$5:$A$73,0))),INDEX('2020'!$I$5:$I$73,MATCH(B20,'2020'!$A$5:$A$73,0)),"N/A")</f>
        <v>1.69</v>
      </c>
      <c r="D20" s="59">
        <f>IF(ISNUMBER(INDEX('2019'!$I$5:$I$73,MATCH(B20,'2019'!$A$5:$A$73,0))),INDEX('2019'!$I$5:$I$73,MATCH(B20,'2019'!$A$5:$A$73,0)),"N/A")</f>
        <v>1.55</v>
      </c>
      <c r="E20" s="59">
        <f>IF(ISNUMBER(INDEX('2018'!$I$5:$I$73,MATCH(B20,'2018'!$A$5:$A$73,0))),INDEX('2018'!$I$5:$I$73,MATCH(B20,'2018'!$A$5:$A$73,0)),"N/A")</f>
        <v>1.39</v>
      </c>
      <c r="F20" s="59">
        <f>IF(ISNUMBER(INDEX('2017'!$I$5:$I$73,MATCH(B20,'2017'!$A$5:$A$73,0))),INDEX('2017'!$I$5:$I$73,MATCH(B20,'2017'!$A$5:$A$73,0)),"N/A")</f>
        <v>1.26</v>
      </c>
      <c r="G20" s="67">
        <f>IF(ISNUMBER(INDEX('2016'!$I$5:$I$73,MATCH(B20,'2016'!$A$5:$A$73,0))),INDEX('2016'!$I$5:$I$73,MATCH(B20,'2016'!$A$5:$A$73,0)),"N/A")</f>
        <v>1.19</v>
      </c>
      <c r="H20" s="59">
        <v>1.1200000000000001</v>
      </c>
      <c r="I20" s="59">
        <v>1.0669999999999999</v>
      </c>
      <c r="J20" s="59">
        <v>1.0129999999999999</v>
      </c>
      <c r="K20" s="59">
        <v>0.96</v>
      </c>
      <c r="L20" s="59">
        <v>0.91</v>
      </c>
      <c r="M20" s="59">
        <v>0.87</v>
      </c>
      <c r="N20" s="59">
        <v>0.83299999999999996</v>
      </c>
      <c r="O20" s="59">
        <v>0.80700000000000005</v>
      </c>
      <c r="P20" s="59">
        <v>0.78300000000000003</v>
      </c>
      <c r="Q20" s="59">
        <v>0.77</v>
      </c>
    </row>
    <row r="21" spans="1:17" x14ac:dyDescent="0.2">
      <c r="A21" s="59" t="s">
        <v>126</v>
      </c>
      <c r="B21" s="59" t="s">
        <v>9</v>
      </c>
      <c r="C21" s="59">
        <f>IF(ISNUMBER(INDEX('2020'!$I$5:$I$73,MATCH(B21,'2020'!$A$5:$A$73,0))),INDEX('2020'!$I$5:$I$73,MATCH(B21,'2020'!$A$5:$A$73,0)),"N/A")</f>
        <v>1.63</v>
      </c>
      <c r="D21" s="59">
        <f>IF(ISNUMBER(INDEX('2019'!$I$5:$I$73,MATCH(B21,'2019'!$A$5:$A$73,0))),INDEX('2019'!$I$5:$I$73,MATCH(B21,'2019'!$A$5:$A$73,0)),"N/A")</f>
        <v>1.53</v>
      </c>
      <c r="E21" s="59">
        <f>IF(ISNUMBER(INDEX('2018'!$I$5:$I$73,MATCH(B21,'2018'!$A$5:$A$73,0))),INDEX('2018'!$I$5:$I$73,MATCH(B21,'2018'!$A$5:$A$73,0)),"N/A")</f>
        <v>1.43</v>
      </c>
      <c r="F21" s="59">
        <f>IF(ISNUMBER(INDEX('2017'!$I$5:$I$73,MATCH(B21,'2017'!$A$5:$A$73,0))),INDEX('2017'!$I$5:$I$73,MATCH(B21,'2017'!$A$5:$A$73,0)),"N/A")</f>
        <v>1.33</v>
      </c>
      <c r="G21" s="67">
        <f>IF(ISNUMBER(INDEX('2016'!$I$5:$I$73,MATCH(B21,'2016'!$A$5:$A$73,0))),INDEX('2016'!$I$5:$I$73,MATCH(B21,'2016'!$A$5:$A$73,0)),"N/A")</f>
        <v>1.24</v>
      </c>
      <c r="H21" s="59">
        <v>1.1599999999999999</v>
      </c>
      <c r="I21" s="59">
        <v>1.08</v>
      </c>
      <c r="J21" s="59">
        <v>1.02</v>
      </c>
      <c r="K21" s="59">
        <v>0.96</v>
      </c>
      <c r="L21" s="59">
        <v>0.84</v>
      </c>
      <c r="M21" s="59">
        <v>0.66</v>
      </c>
      <c r="N21" s="59">
        <v>0.5</v>
      </c>
      <c r="O21" s="59">
        <v>0.36</v>
      </c>
      <c r="P21" s="59">
        <v>0.2</v>
      </c>
      <c r="Q21" s="59">
        <v>0</v>
      </c>
    </row>
    <row r="22" spans="1:17" x14ac:dyDescent="0.2">
      <c r="A22" s="59" t="s">
        <v>179</v>
      </c>
      <c r="B22" s="59" t="s">
        <v>180</v>
      </c>
      <c r="C22" s="59" t="str">
        <f>IF(ISNUMBER(INDEX('2020'!$I$5:$I$73,MATCH(B22,'2020'!$A$5:$A$73,0))),INDEX('2020'!$I$5:$I$73,MATCH(B22,'2020'!$A$5:$A$73,0)),"N/A")</f>
        <v>N/A</v>
      </c>
      <c r="D22" s="59" t="str">
        <f>IF(ISNUMBER(INDEX('2019'!$I$5:$I$73,MATCH(B22,'2019'!$A$5:$A$73,0))),INDEX('2019'!$I$5:$I$73,MATCH(B22,'2019'!$A$5:$A$73,0)),"N/A")</f>
        <v>N/A</v>
      </c>
      <c r="E22" s="59">
        <f>IF(ISNUMBER(INDEX('2018'!$I$5:$I$73,MATCH(B22,'2018'!$A$5:$A$73,0))),INDEX('2018'!$I$5:$I$73,MATCH(B22,'2018'!$A$5:$A$73,0)),"N/A")</f>
        <v>1.24</v>
      </c>
      <c r="F22" s="59">
        <f>IF(ISNUMBER(INDEX('2017'!$I$5:$I$73,MATCH(B22,'2017'!$A$5:$A$73,0))),INDEX('2017'!$I$5:$I$73,MATCH(B22,'2017'!$A$5:$A$73,0)),"N/A")</f>
        <v>1.18</v>
      </c>
      <c r="G22" s="67">
        <f>IF(ISNUMBER(INDEX('2016'!$I$5:$I$73,MATCH(B22,'2016'!$A$5:$A$73,0))),INDEX('2016'!$I$5:$I$73,MATCH(B22,'2016'!$A$5:$A$73,0)),"N/A")</f>
        <v>1.1200000000000001</v>
      </c>
      <c r="H22" s="59">
        <v>1.05</v>
      </c>
      <c r="I22" s="59">
        <v>1.01</v>
      </c>
      <c r="J22" s="59">
        <v>0.98</v>
      </c>
      <c r="K22" s="59">
        <v>0.96</v>
      </c>
      <c r="L22" s="59">
        <v>0.94</v>
      </c>
      <c r="M22" s="59">
        <v>0.92</v>
      </c>
      <c r="N22" s="59">
        <v>0.9</v>
      </c>
      <c r="O22" s="59">
        <v>0.88</v>
      </c>
      <c r="P22" s="59">
        <v>0.87</v>
      </c>
      <c r="Q22" s="59">
        <v>0.85499999999999998</v>
      </c>
    </row>
    <row r="23" spans="1:17" x14ac:dyDescent="0.2">
      <c r="A23" s="59" t="s">
        <v>127</v>
      </c>
      <c r="B23" s="59" t="s">
        <v>10</v>
      </c>
      <c r="C23" s="59">
        <f>IF(ISNUMBER(INDEX('2020'!$I$5:$I$73,MATCH(B23,'2020'!$A$5:$A$73,0))),INDEX('2020'!$I$5:$I$73,MATCH(B23,'2020'!$A$5:$A$73,0)),"N/A")</f>
        <v>3.06</v>
      </c>
      <c r="D23" s="59">
        <f>IF(ISNUMBER(INDEX('2019'!$I$5:$I$73,MATCH(B23,'2019'!$A$5:$A$73,0))),INDEX('2019'!$I$5:$I$73,MATCH(B23,'2019'!$A$5:$A$73,0)),"N/A")</f>
        <v>2.96</v>
      </c>
      <c r="E23" s="59">
        <f>IF(ISNUMBER(INDEX('2018'!$I$5:$I$73,MATCH(B23,'2018'!$A$5:$A$73,0))),INDEX('2018'!$I$5:$I$73,MATCH(B23,'2018'!$A$5:$A$73,0)),"N/A")</f>
        <v>2.86</v>
      </c>
      <c r="F23" s="59">
        <f>IF(ISNUMBER(INDEX('2017'!$I$5:$I$73,MATCH(B23,'2017'!$A$5:$A$73,0))),INDEX('2017'!$I$5:$I$73,MATCH(B23,'2017'!$A$5:$A$73,0)),"N/A")</f>
        <v>2.76</v>
      </c>
      <c r="G23" s="67">
        <f>IF(ISNUMBER(INDEX('2016'!$I$5:$I$73,MATCH(B23,'2016'!$A$5:$A$73,0))),INDEX('2016'!$I$5:$I$73,MATCH(B23,'2016'!$A$5:$A$73,0)),"N/A")</f>
        <v>2.68</v>
      </c>
      <c r="H23" s="59">
        <v>2.6</v>
      </c>
      <c r="I23" s="59">
        <v>2.52</v>
      </c>
      <c r="J23" s="59">
        <v>2.46</v>
      </c>
      <c r="K23" s="59">
        <v>2.42</v>
      </c>
      <c r="L23" s="59">
        <v>2.4</v>
      </c>
      <c r="M23" s="59">
        <v>2.38</v>
      </c>
      <c r="N23" s="59">
        <v>2.36</v>
      </c>
      <c r="O23" s="59">
        <v>2.34</v>
      </c>
      <c r="P23" s="59">
        <v>2.3199999999999998</v>
      </c>
      <c r="Q23" s="59">
        <v>2.2999999999999998</v>
      </c>
    </row>
    <row r="24" spans="1:17" x14ac:dyDescent="0.2">
      <c r="A24" s="59" t="s">
        <v>181</v>
      </c>
      <c r="B24" s="59" t="s">
        <v>182</v>
      </c>
      <c r="C24" s="59">
        <f>IF(ISNUMBER(INDEX('2020'!$I$5:$I$73,MATCH(B24,'2020'!$A$5:$A$73,0))),INDEX('2020'!$I$5:$I$73,MATCH(B24,'2020'!$A$5:$A$73,0)),"N/A")</f>
        <v>0.34</v>
      </c>
      <c r="D24" s="59">
        <f>IF(ISNUMBER(INDEX('2019'!$I$5:$I$73,MATCH(B24,'2019'!$A$5:$A$73,0))),INDEX('2019'!$I$5:$I$73,MATCH(B24,'2019'!$A$5:$A$73,0)),"N/A")</f>
        <v>0.34</v>
      </c>
      <c r="E24" s="59">
        <f>IF(ISNUMBER(INDEX('2018'!$I$5:$I$73,MATCH(B24,'2018'!$A$5:$A$73,0))),INDEX('2018'!$I$5:$I$73,MATCH(B24,'2018'!$A$5:$A$73,0)),"N/A")</f>
        <v>0.34</v>
      </c>
      <c r="F24" s="59">
        <f>IF(ISNUMBER(INDEX('2017'!$I$5:$I$73,MATCH(B24,'2017'!$A$5:$A$73,0))),INDEX('2017'!$I$5:$I$73,MATCH(B24,'2017'!$A$5:$A$73,0)),"N/A")</f>
        <v>0.31</v>
      </c>
      <c r="G24" s="67">
        <f>IF(ISNUMBER(INDEX('2016'!$I$5:$I$73,MATCH(B24,'2016'!$A$5:$A$73,0))),INDEX('2016'!$I$5:$I$73,MATCH(B24,'2016'!$A$5:$A$73,0)),"N/A")</f>
        <v>0.3</v>
      </c>
      <c r="H24" s="59">
        <v>0.3</v>
      </c>
      <c r="I24" s="59">
        <v>0.3</v>
      </c>
      <c r="J24" s="59">
        <v>0.3</v>
      </c>
      <c r="K24" s="59">
        <v>0.3</v>
      </c>
      <c r="L24" s="59">
        <v>0.3</v>
      </c>
      <c r="M24" s="59">
        <v>0.3</v>
      </c>
      <c r="N24" s="59">
        <v>0.28000000000000003</v>
      </c>
      <c r="O24" s="59">
        <v>0.32500000000000001</v>
      </c>
      <c r="P24" s="59">
        <v>0.19500000000000001</v>
      </c>
      <c r="Q24" s="59">
        <v>0.24</v>
      </c>
    </row>
    <row r="25" spans="1:17" x14ac:dyDescent="0.2">
      <c r="A25" s="59" t="s">
        <v>183</v>
      </c>
      <c r="B25" s="59" t="s">
        <v>184</v>
      </c>
      <c r="C25" s="59" t="str">
        <f>IF(ISNUMBER(INDEX('2020'!$I$5:$I$73,MATCH(B25,'2020'!$A$5:$A$73,0))),INDEX('2020'!$I$5:$I$73,MATCH(B25,'2020'!$A$5:$A$73,0)),"N/A")</f>
        <v>N/A</v>
      </c>
      <c r="D25" s="59" t="str">
        <f>IF(ISNUMBER(INDEX('2019'!$I$5:$I$73,MATCH(B25,'2019'!$A$5:$A$73,0))),INDEX('2019'!$I$5:$I$73,MATCH(B25,'2019'!$A$5:$A$73,0)),"N/A")</f>
        <v>N/A</v>
      </c>
      <c r="E25" s="59" t="str">
        <f>IF(ISNUMBER(INDEX('2018'!$I$5:$I$73,MATCH(B25,'2018'!$A$5:$A$73,0))),INDEX('2018'!$I$5:$I$73,MATCH(B25,'2018'!$A$5:$A$73,0)),"N/A")</f>
        <v>N/A</v>
      </c>
      <c r="F25" s="59" t="str">
        <f>IF(ISNUMBER(INDEX('2017'!$I$5:$I$73,MATCH(B25,'2017'!$A$5:$A$73,0))),INDEX('2017'!$I$5:$I$73,MATCH(B25,'2017'!$A$5:$A$73,0)),"N/A")</f>
        <v>N/A</v>
      </c>
      <c r="G25" s="67">
        <f>IF(ISNUMBER(INDEX('2016'!$I$5:$I$73,MATCH(B25,'2016'!$A$5:$A$73,0))),INDEX('2016'!$I$5:$I$73,MATCH(B25,'2016'!$A$5:$A$73,0)),"N/A")</f>
        <v>0.82</v>
      </c>
      <c r="H25" s="59">
        <v>0.8</v>
      </c>
      <c r="I25" s="59">
        <v>0.76</v>
      </c>
      <c r="J25" s="59">
        <v>0.72</v>
      </c>
      <c r="K25" s="59">
        <v>0.7</v>
      </c>
      <c r="L25" s="59">
        <v>0.68</v>
      </c>
      <c r="M25" s="59">
        <v>0.65</v>
      </c>
      <c r="N25" s="59">
        <v>0.64</v>
      </c>
      <c r="O25" s="59">
        <v>0.62</v>
      </c>
      <c r="P25" s="59">
        <v>0.61</v>
      </c>
      <c r="Q25" s="59">
        <v>0.6</v>
      </c>
    </row>
    <row r="26" spans="1:17" x14ac:dyDescent="0.2">
      <c r="A26" s="59" t="s">
        <v>128</v>
      </c>
      <c r="B26" s="59" t="s">
        <v>11</v>
      </c>
      <c r="C26" s="59">
        <f>IF(ISNUMBER(INDEX('2020'!$I$5:$I$73,MATCH(B26,'2020'!$A$5:$A$73,0))),INDEX('2020'!$I$5:$I$73,MATCH(B26,'2020'!$A$5:$A$73,0)),"N/A")</f>
        <v>3.45</v>
      </c>
      <c r="D26" s="59">
        <f>IF(ISNUMBER(INDEX('2019'!$I$5:$I$73,MATCH(B26,'2019'!$A$5:$A$73,0))),INDEX('2019'!$I$5:$I$73,MATCH(B26,'2019'!$A$5:$A$73,0)),"N/A")</f>
        <v>3.67</v>
      </c>
      <c r="E26" s="59">
        <f>IF(ISNUMBER(INDEX('2018'!$I$5:$I$73,MATCH(B26,'2018'!$A$5:$A$73,0))),INDEX('2018'!$I$5:$I$73,MATCH(B26,'2018'!$A$5:$A$73,0)),"N/A")</f>
        <v>3.34</v>
      </c>
      <c r="F26" s="59">
        <f>IF(ISNUMBER(INDEX('2017'!$I$5:$I$73,MATCH(B26,'2017'!$A$5:$A$73,0))),INDEX('2017'!$I$5:$I$73,MATCH(B26,'2017'!$A$5:$A$73,0)),"N/A")</f>
        <v>3.0350000000000001</v>
      </c>
      <c r="G26" s="67">
        <f>IF(ISNUMBER(INDEX('2016'!$I$5:$I$73,MATCH(B26,'2016'!$A$5:$A$73,0))),INDEX('2016'!$I$5:$I$73,MATCH(B26,'2016'!$A$5:$A$73,0)),"N/A")</f>
        <v>2.8</v>
      </c>
      <c r="H26" s="59">
        <v>2.59</v>
      </c>
      <c r="I26" s="59">
        <v>2.4</v>
      </c>
      <c r="J26" s="59">
        <v>2.25</v>
      </c>
      <c r="K26" s="59">
        <v>2.11</v>
      </c>
      <c r="L26" s="59">
        <v>1.97</v>
      </c>
      <c r="M26" s="59">
        <v>1.83</v>
      </c>
      <c r="N26" s="59">
        <v>1.75</v>
      </c>
      <c r="O26" s="59">
        <v>1.58</v>
      </c>
      <c r="P26" s="59">
        <v>1.46</v>
      </c>
      <c r="Q26" s="59">
        <v>1.38</v>
      </c>
    </row>
    <row r="27" spans="1:17" x14ac:dyDescent="0.2">
      <c r="A27" s="59" t="s">
        <v>129</v>
      </c>
      <c r="B27" s="59" t="s">
        <v>12</v>
      </c>
      <c r="C27" s="59">
        <f>IF(ISNUMBER(INDEX('2020'!$I$5:$I$73,MATCH(B27,'2020'!$A$5:$A$73,0))),INDEX('2020'!$I$5:$I$73,MATCH(B27,'2020'!$A$5:$A$73,0)),"N/A")</f>
        <v>4.12</v>
      </c>
      <c r="D27" s="59">
        <f>IF(ISNUMBER(INDEX('2019'!$I$5:$I$73,MATCH(B27,'2019'!$A$5:$A$73,0))),INDEX('2019'!$I$5:$I$73,MATCH(B27,'2019'!$A$5:$A$73,0)),"N/A")</f>
        <v>3.85</v>
      </c>
      <c r="E27" s="59">
        <f>IF(ISNUMBER(INDEX('2018'!$I$5:$I$73,MATCH(B27,'2018'!$A$5:$A$73,0))),INDEX('2018'!$I$5:$I$73,MATCH(B27,'2018'!$A$5:$A$73,0)),"N/A")</f>
        <v>3.59</v>
      </c>
      <c r="F27" s="59">
        <f>IF(ISNUMBER(INDEX('2017'!$I$5:$I$73,MATCH(B27,'2017'!$A$5:$A$73,0))),INDEX('2017'!$I$5:$I$73,MATCH(B27,'2017'!$A$5:$A$73,0)),"N/A")</f>
        <v>3.36</v>
      </c>
      <c r="G27" s="67">
        <f>IF(ISNUMBER(INDEX('2016'!$I$5:$I$73,MATCH(B27,'2016'!$A$5:$A$73,0))),INDEX('2016'!$I$5:$I$73,MATCH(B27,'2016'!$A$5:$A$73,0)),"N/A")</f>
        <v>3.06</v>
      </c>
      <c r="H27" s="59">
        <v>2.84</v>
      </c>
      <c r="I27" s="59">
        <v>2.69</v>
      </c>
      <c r="J27" s="59">
        <v>2.59</v>
      </c>
      <c r="K27" s="59">
        <v>2.42</v>
      </c>
      <c r="L27" s="59">
        <v>2.3199999999999998</v>
      </c>
      <c r="M27" s="59">
        <v>2.1800000000000002</v>
      </c>
      <c r="N27" s="59">
        <v>2.12</v>
      </c>
      <c r="O27" s="59">
        <v>2.12</v>
      </c>
      <c r="P27" s="59">
        <v>2.12</v>
      </c>
      <c r="Q27" s="59">
        <v>2.0750000000000002</v>
      </c>
    </row>
    <row r="28" spans="1:17" x14ac:dyDescent="0.2">
      <c r="A28" s="59" t="s">
        <v>130</v>
      </c>
      <c r="B28" s="59" t="s">
        <v>13</v>
      </c>
      <c r="C28" s="59">
        <f>IF(ISNUMBER(INDEX('2020'!$I$5:$I$73,MATCH(B28,'2020'!$A$5:$A$73,0))),INDEX('2020'!$I$5:$I$73,MATCH(B28,'2020'!$A$5:$A$73,0)),"N/A")</f>
        <v>3.82</v>
      </c>
      <c r="D28" s="59">
        <f>IF(ISNUMBER(INDEX('2019'!$I$5:$I$73,MATCH(B28,'2019'!$A$5:$A$73,0))),INDEX('2019'!$I$5:$I$73,MATCH(B28,'2019'!$A$5:$A$73,0)),"N/A")</f>
        <v>3.7450000000000001</v>
      </c>
      <c r="E28" s="59">
        <f>IF(ISNUMBER(INDEX('2018'!$I$5:$I$73,MATCH(B28,'2018'!$A$5:$A$73,0))),INDEX('2018'!$I$5:$I$73,MATCH(B28,'2018'!$A$5:$A$73,0)),"N/A")</f>
        <v>3.64</v>
      </c>
      <c r="F28" s="59">
        <f>IF(ISNUMBER(INDEX('2017'!$I$5:$I$73,MATCH(B28,'2017'!$A$5:$A$73,0))),INDEX('2017'!$I$5:$I$73,MATCH(B28,'2017'!$A$5:$A$73,0)),"N/A")</f>
        <v>3.49</v>
      </c>
      <c r="G28" s="67">
        <f>IF(ISNUMBER(INDEX('2016'!$I$5:$I$73,MATCH(B28,'2016'!$A$5:$A$73,0))),INDEX('2016'!$I$5:$I$73,MATCH(B28,'2016'!$A$5:$A$73,0)),"N/A")</f>
        <v>3.36</v>
      </c>
      <c r="H28" s="59">
        <v>3.24</v>
      </c>
      <c r="I28" s="59">
        <v>3.15</v>
      </c>
      <c r="J28" s="59">
        <v>3.09</v>
      </c>
      <c r="K28" s="59">
        <v>3.03</v>
      </c>
      <c r="L28" s="59">
        <v>2.97</v>
      </c>
      <c r="M28" s="59">
        <v>2.91</v>
      </c>
      <c r="N28" s="59">
        <v>2.82</v>
      </c>
      <c r="O28" s="59">
        <v>2.7</v>
      </c>
      <c r="P28" s="59">
        <v>2.58</v>
      </c>
      <c r="Q28" s="59">
        <v>0</v>
      </c>
    </row>
    <row r="29" spans="1:17" x14ac:dyDescent="0.2">
      <c r="A29" s="59" t="s">
        <v>131</v>
      </c>
      <c r="B29" s="59" t="s">
        <v>14</v>
      </c>
      <c r="C29" s="59">
        <f>IF(ISNUMBER(INDEX('2020'!$I$5:$I$73,MATCH(B29,'2020'!$A$5:$A$73,0))),INDEX('2020'!$I$5:$I$73,MATCH(B29,'2020'!$A$5:$A$73,0)),"N/A")</f>
        <v>2.5750000000000002</v>
      </c>
      <c r="D29" s="59">
        <f>IF(ISNUMBER(INDEX('2019'!$I$5:$I$73,MATCH(B29,'2019'!$A$5:$A$73,0))),INDEX('2019'!$I$5:$I$73,MATCH(B29,'2019'!$A$5:$A$73,0)),"N/A")</f>
        <v>2.4750000000000001</v>
      </c>
      <c r="E29" s="59">
        <f>IF(ISNUMBER(INDEX('2018'!$I$5:$I$73,MATCH(B29,'2018'!$A$5:$A$73,0))),INDEX('2018'!$I$5:$I$73,MATCH(B29,'2018'!$A$5:$A$73,0)),"N/A")</f>
        <v>2.4279999999999999</v>
      </c>
      <c r="F29" s="59">
        <f>IF(ISNUMBER(INDEX('2017'!$I$5:$I$73,MATCH(B29,'2017'!$A$5:$A$73,0))),INDEX('2017'!$I$5:$I$73,MATCH(B29,'2017'!$A$5:$A$73,0)),"N/A")</f>
        <v>2.2330000000000001</v>
      </c>
      <c r="G29" s="67">
        <f>IF(ISNUMBER(INDEX('2016'!$I$5:$I$73,MATCH(B29,'2016'!$A$5:$A$73,0))),INDEX('2016'!$I$5:$I$73,MATCH(B29,'2016'!$A$5:$A$73,0)),"N/A")</f>
        <v>1.9830000000000001</v>
      </c>
      <c r="H29" s="59">
        <v>1.7330000000000001</v>
      </c>
      <c r="I29" s="59">
        <v>1.4830000000000001</v>
      </c>
      <c r="J29" s="59">
        <v>1.3680000000000001</v>
      </c>
      <c r="K29" s="59">
        <v>1.3129999999999999</v>
      </c>
      <c r="L29" s="59">
        <v>1.2849999999999999</v>
      </c>
      <c r="M29" s="59">
        <v>1.2649999999999999</v>
      </c>
      <c r="N29" s="59">
        <v>1.2450000000000001</v>
      </c>
      <c r="O29" s="59">
        <v>1.2250000000000001</v>
      </c>
      <c r="P29" s="59">
        <v>1.175</v>
      </c>
      <c r="Q29" s="59">
        <v>1.1000000000000001</v>
      </c>
    </row>
    <row r="30" spans="1:17" x14ac:dyDescent="0.2">
      <c r="A30" s="59" t="s">
        <v>132</v>
      </c>
      <c r="B30" s="59" t="s">
        <v>15</v>
      </c>
      <c r="C30" s="59" t="str">
        <f>IF(ISNUMBER(INDEX('2020'!$I$5:$I$73,MATCH(B30,'2020'!$A$5:$A$73,0))),INDEX('2020'!$I$5:$I$73,MATCH(B30,'2020'!$A$5:$A$73,0)),"N/A")</f>
        <v>N/A</v>
      </c>
      <c r="D30" s="59" t="str">
        <f>IF(ISNUMBER(INDEX('2019'!$I$5:$I$73,MATCH(B30,'2019'!$A$5:$A$73,0))),INDEX('2019'!$I$5:$I$73,MATCH(B30,'2019'!$A$5:$A$73,0)),"N/A")</f>
        <v>N/A</v>
      </c>
      <c r="E30" s="59">
        <f>IF(ISNUMBER(INDEX('2018'!$I$5:$I$73,MATCH(B30,'2018'!$A$5:$A$73,0))),INDEX('2018'!$I$5:$I$73,MATCH(B30,'2018'!$A$5:$A$73,0)),"N/A")</f>
        <v>1.415</v>
      </c>
      <c r="F30" s="59">
        <f>IF(ISNUMBER(INDEX('2017'!$I$5:$I$73,MATCH(B30,'2017'!$A$5:$A$73,0))),INDEX('2017'!$I$5:$I$73,MATCH(B30,'2017'!$A$5:$A$73,0)),"N/A")</f>
        <v>1.3149999999999999</v>
      </c>
      <c r="G30" s="67">
        <f>IF(ISNUMBER(INDEX('2016'!$I$5:$I$73,MATCH(B30,'2016'!$A$5:$A$73,0))),INDEX('2016'!$I$5:$I$73,MATCH(B30,'2016'!$A$5:$A$73,0)),"N/A")</f>
        <v>1.2250000000000001</v>
      </c>
      <c r="H30" s="59">
        <v>1.165</v>
      </c>
      <c r="I30" s="59">
        <v>1.105</v>
      </c>
      <c r="J30" s="59">
        <v>1.0449999999999999</v>
      </c>
      <c r="K30" s="59">
        <v>0.97</v>
      </c>
      <c r="L30" s="59">
        <v>0.66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</row>
    <row r="31" spans="1:17" x14ac:dyDescent="0.2">
      <c r="A31" s="59" t="s">
        <v>134</v>
      </c>
      <c r="B31" s="59" t="s">
        <v>17</v>
      </c>
      <c r="C31" s="59">
        <f>IF(ISNUMBER(INDEX('2020'!$I$5:$I$73,MATCH(B31,'2020'!$A$5:$A$73,0))),INDEX('2020'!$I$5:$I$73,MATCH(B31,'2020'!$A$5:$A$73,0)),"N/A")</f>
        <v>3.74</v>
      </c>
      <c r="D31" s="59">
        <f>IF(ISNUMBER(INDEX('2019'!$I$5:$I$73,MATCH(B31,'2019'!$A$5:$A$73,0))),INDEX('2019'!$I$5:$I$73,MATCH(B31,'2019'!$A$5:$A$73,0)),"N/A")</f>
        <v>3.66</v>
      </c>
      <c r="E31" s="59">
        <f>IF(ISNUMBER(INDEX('2018'!$I$5:$I$73,MATCH(B31,'2018'!$A$5:$A$73,0))),INDEX('2018'!$I$5:$I$73,MATCH(B31,'2018'!$A$5:$A$73,0)),"N/A")</f>
        <v>3.58</v>
      </c>
      <c r="F31" s="59">
        <f>IF(ISNUMBER(INDEX('2017'!$I$5:$I$73,MATCH(B31,'2017'!$A$5:$A$73,0))),INDEX('2017'!$I$5:$I$73,MATCH(B31,'2017'!$A$5:$A$73,0)),"N/A")</f>
        <v>3.5</v>
      </c>
      <c r="G31" s="67">
        <f>IF(ISNUMBER(INDEX('2016'!$I$5:$I$73,MATCH(B31,'2016'!$A$5:$A$73,0))),INDEX('2016'!$I$5:$I$73,MATCH(B31,'2016'!$A$5:$A$73,0)),"N/A")</f>
        <v>3.42</v>
      </c>
      <c r="H31" s="59">
        <v>3.34</v>
      </c>
      <c r="I31" s="59">
        <v>3.32</v>
      </c>
      <c r="J31" s="59">
        <v>3.32</v>
      </c>
      <c r="K31" s="59">
        <v>3.32</v>
      </c>
      <c r="L31" s="59">
        <v>3.32</v>
      </c>
      <c r="M31" s="59">
        <v>3.24</v>
      </c>
      <c r="N31" s="59">
        <v>3</v>
      </c>
      <c r="O31" s="59">
        <v>3</v>
      </c>
      <c r="P31" s="59">
        <v>2.58</v>
      </c>
      <c r="Q31" s="59">
        <v>2.16</v>
      </c>
    </row>
    <row r="32" spans="1:17" x14ac:dyDescent="0.2">
      <c r="A32" s="59" t="s">
        <v>210</v>
      </c>
      <c r="B32" s="59" t="s">
        <v>211</v>
      </c>
      <c r="C32" s="59">
        <f>IF(ISNUMBER(INDEX('2020'!$I$5:$I$73,MATCH(B32,'2020'!$A$5:$A$73,0))),INDEX('2020'!$I$5:$I$73,MATCH(B32,'2020'!$A$5:$A$73,0)),"N/A")</f>
        <v>2.27</v>
      </c>
      <c r="D32" s="59">
        <f>IF(ISNUMBER(INDEX('2019'!$I$5:$I$73,MATCH(B32,'2019'!$A$5:$A$73,0))),INDEX('2019'!$I$5:$I$73,MATCH(B32,'2019'!$A$5:$A$73,0)),"N/A")</f>
        <v>2.14</v>
      </c>
      <c r="E32" s="59">
        <f>IF(ISNUMBER(INDEX('2018'!$I$5:$I$73,MATCH(B32,'2018'!$A$5:$A$73,0))),INDEX('2018'!$I$5:$I$73,MATCH(B32,'2018'!$A$5:$A$73,0)),"N/A")</f>
        <v>2.02</v>
      </c>
      <c r="F32" s="59">
        <f>IF(ISNUMBER(INDEX('2017'!$I$5:$I$73,MATCH(B32,'2017'!$A$5:$A$73,0))),INDEX('2017'!$I$5:$I$73,MATCH(B32,'2017'!$A$5:$A$73,0)),"N/A")</f>
        <v>1.9</v>
      </c>
      <c r="G32" s="67">
        <f>IF(ISNUMBER(INDEX('2016'!$I$5:$I$73,MATCH(B32,'2016'!$A$5:$A$73,0))),INDEX('2016'!$I$5:$I$73,MATCH(B32,'2016'!$A$5:$A$73,0)),"N/A")</f>
        <v>1.78</v>
      </c>
      <c r="H32" s="59">
        <v>1.67</v>
      </c>
      <c r="I32" s="59">
        <v>1.57</v>
      </c>
      <c r="J32" s="59">
        <v>1.47</v>
      </c>
      <c r="K32" s="59">
        <v>1.32</v>
      </c>
      <c r="L32" s="59">
        <v>1.1000000000000001</v>
      </c>
      <c r="M32" s="59">
        <v>1.0249999999999999</v>
      </c>
      <c r="N32" s="59">
        <v>0.95</v>
      </c>
      <c r="O32" s="59">
        <v>0.82499999999999996</v>
      </c>
      <c r="P32" s="59">
        <v>0.77500000000000002</v>
      </c>
      <c r="Q32" s="59">
        <v>0.72499999999999998</v>
      </c>
    </row>
    <row r="33" spans="1:17" x14ac:dyDescent="0.2">
      <c r="A33" s="59" t="s">
        <v>135</v>
      </c>
      <c r="B33" s="59" t="s">
        <v>18</v>
      </c>
      <c r="C33" s="59">
        <f>IF(ISNUMBER(INDEX('2020'!$I$5:$I$73,MATCH(B33,'2020'!$A$5:$A$73,0))),INDEX('2020'!$I$5:$I$73,MATCH(B33,'2020'!$A$5:$A$73,0)),"N/A")</f>
        <v>1.53</v>
      </c>
      <c r="D33" s="59">
        <f>IF(ISNUMBER(INDEX('2019'!$I$5:$I$73,MATCH(B33,'2019'!$A$5:$A$73,0))),INDEX('2019'!$I$5:$I$73,MATCH(B33,'2019'!$A$5:$A$73,0)),"N/A")</f>
        <v>1.45</v>
      </c>
      <c r="E33" s="59">
        <f>IF(ISNUMBER(INDEX('2018'!$I$5:$I$73,MATCH(B33,'2018'!$A$5:$A$73,0))),INDEX('2018'!$I$5:$I$73,MATCH(B33,'2018'!$A$5:$A$73,0)),"N/A")</f>
        <v>1.38</v>
      </c>
      <c r="F33" s="59">
        <f>IF(ISNUMBER(INDEX('2017'!$I$5:$I$73,MATCH(B33,'2017'!$A$5:$A$73,0))),INDEX('2017'!$I$5:$I$73,MATCH(B33,'2017'!$A$5:$A$73,0)),"N/A")</f>
        <v>1.31</v>
      </c>
      <c r="G33" s="67">
        <f>IF(ISNUMBER(INDEX('2016'!$I$5:$I$73,MATCH(B33,'2016'!$A$5:$A$73,0))),INDEX('2016'!$I$5:$I$73,MATCH(B33,'2016'!$A$5:$A$73,0)),"N/A")</f>
        <v>1.26</v>
      </c>
      <c r="H33" s="59">
        <v>1.24</v>
      </c>
      <c r="I33" s="59">
        <v>1.24</v>
      </c>
      <c r="J33" s="59">
        <v>1.4550000000000001</v>
      </c>
      <c r="K33" s="59">
        <v>2.1</v>
      </c>
      <c r="L33" s="59">
        <v>2.1</v>
      </c>
      <c r="M33" s="59">
        <v>2.1</v>
      </c>
      <c r="N33" s="59">
        <v>2.1</v>
      </c>
      <c r="O33" s="59">
        <v>2.0499999999999998</v>
      </c>
      <c r="P33" s="59">
        <v>1.82</v>
      </c>
      <c r="Q33" s="59">
        <v>1.64</v>
      </c>
    </row>
    <row r="34" spans="1:17" x14ac:dyDescent="0.2">
      <c r="A34" s="59" t="s">
        <v>136</v>
      </c>
      <c r="B34" s="59" t="s">
        <v>19</v>
      </c>
      <c r="C34" s="59">
        <f>IF(ISNUMBER(INDEX('2020'!$I$5:$I$73,MATCH(B34,'2020'!$A$5:$A$73,0))),INDEX('2020'!$I$5:$I$73,MATCH(B34,'2020'!$A$5:$A$73,0)),"N/A")</f>
        <v>1.56</v>
      </c>
      <c r="D34" s="59">
        <f>IF(ISNUMBER(INDEX('2019'!$I$5:$I$73,MATCH(B34,'2019'!$A$5:$A$73,0))),INDEX('2019'!$I$5:$I$73,MATCH(B34,'2019'!$A$5:$A$73,0)),"N/A")</f>
        <v>1.53</v>
      </c>
      <c r="E34" s="59">
        <f>IF(ISNUMBER(INDEX('2018'!$I$5:$I$73,MATCH(B34,'2018'!$A$5:$A$73,0))),INDEX('2018'!$I$5:$I$73,MATCH(B34,'2018'!$A$5:$A$73,0)),"N/A")</f>
        <v>1.82</v>
      </c>
      <c r="F34" s="59">
        <f>IF(ISNUMBER(INDEX('2017'!$I$5:$I$73,MATCH(B34,'2017'!$A$5:$A$73,0))),INDEX('2017'!$I$5:$I$73,MATCH(B34,'2017'!$A$5:$A$73,0)),"N/A")</f>
        <v>1.44</v>
      </c>
      <c r="G34" s="67">
        <f>IF(ISNUMBER(INDEX('2016'!$I$5:$I$73,MATCH(B34,'2016'!$A$5:$A$73,0))),INDEX('2016'!$I$5:$I$73,MATCH(B34,'2016'!$A$5:$A$73,0)),"N/A")</f>
        <v>1.44</v>
      </c>
      <c r="H34" s="59">
        <v>1.44</v>
      </c>
      <c r="I34" s="59">
        <v>1.44</v>
      </c>
      <c r="J34" s="59">
        <v>1.65</v>
      </c>
      <c r="K34" s="59">
        <v>2.2000000000000002</v>
      </c>
      <c r="L34" s="59">
        <v>2.2000000000000002</v>
      </c>
      <c r="M34" s="59">
        <v>2.2000000000000002</v>
      </c>
      <c r="N34" s="59">
        <v>2.2000000000000002</v>
      </c>
      <c r="O34" s="59">
        <v>2.2000000000000002</v>
      </c>
      <c r="P34" s="59">
        <v>2.0499999999999998</v>
      </c>
      <c r="Q34" s="59">
        <v>1.85</v>
      </c>
    </row>
    <row r="35" spans="1:17" x14ac:dyDescent="0.2">
      <c r="A35" s="59" t="s">
        <v>265</v>
      </c>
      <c r="B35" s="59" t="s">
        <v>266</v>
      </c>
      <c r="C35" s="59">
        <f>IF(ISNUMBER(INDEX('2020'!$I$5:$I$73,MATCH(B35,'2020'!$A$5:$A$73,0))),INDEX('2020'!$I$5:$I$73,MATCH(B35,'2020'!$A$5:$A$73,0)),"N/A")</f>
        <v>1.9650000000000001</v>
      </c>
      <c r="D35" s="59">
        <f>IF(ISNUMBER(INDEX('2019'!$I$5:$I$73,MATCH(B35,'2019'!$A$5:$A$73,0))),INDEX('2019'!$I$5:$I$73,MATCH(B35,'2019'!$A$5:$A$73,0)),"N/A")</f>
        <v>1.855</v>
      </c>
      <c r="E35" s="59">
        <f>IF(ISNUMBER(INDEX('2018'!$I$5:$I$73,MATCH(B35,'2018'!$A$5:$A$73,0))),INDEX('2018'!$I$5:$I$73,MATCH(B35,'2018'!$A$5:$A$73,0)),"N/A")</f>
        <v>1.75</v>
      </c>
      <c r="F35" s="59">
        <f>IF(ISNUMBER(INDEX('2017'!$I$5:$I$73,MATCH(B35,'2017'!$A$5:$A$73,0))),INDEX('2017'!$I$5:$I$73,MATCH(B35,'2017'!$A$5:$A$73,0)),"N/A")</f>
        <v>1.65</v>
      </c>
      <c r="G35" s="67">
        <f>IF(ISNUMBER(INDEX('2016'!$I$5:$I$73,MATCH(B35,'2016'!$A$5:$A$73,0))),INDEX('2016'!$I$5:$I$73,MATCH(B35,'2016'!$A$5:$A$73,0)),"N/A")</f>
        <v>1.55</v>
      </c>
      <c r="H35" s="59">
        <v>1.43</v>
      </c>
      <c r="I35" s="59">
        <v>1.3</v>
      </c>
      <c r="J35" s="59">
        <v>1.25</v>
      </c>
      <c r="K35" s="59">
        <v>1.21</v>
      </c>
      <c r="L35" s="59">
        <v>1.17</v>
      </c>
      <c r="M35" s="59">
        <v>1.1200000000000001</v>
      </c>
      <c r="N35" s="59">
        <v>1.04</v>
      </c>
      <c r="O35" s="59">
        <v>1</v>
      </c>
      <c r="P35" s="59">
        <v>0.82</v>
      </c>
      <c r="Q35" s="59">
        <v>0.67</v>
      </c>
    </row>
    <row r="36" spans="1:17" x14ac:dyDescent="0.2">
      <c r="A36" s="59" t="s">
        <v>185</v>
      </c>
      <c r="B36" s="59" t="s">
        <v>186</v>
      </c>
      <c r="C36" s="59" t="str">
        <f>IF(ISNUMBER(INDEX('2020'!$I$5:$I$73,MATCH(B36,'2020'!$A$5:$A$73,0))),INDEX('2020'!$I$5:$I$73,MATCH(B36,'2020'!$A$5:$A$73,0)),"N/A")</f>
        <v>N/A</v>
      </c>
      <c r="D36" s="59" t="str">
        <f>IF(ISNUMBER(INDEX('2019'!$I$5:$I$73,MATCH(B36,'2019'!$A$5:$A$73,0))),INDEX('2019'!$I$5:$I$73,MATCH(B36,'2019'!$A$5:$A$73,0)),"N/A")</f>
        <v>N/A</v>
      </c>
      <c r="E36" s="59" t="str">
        <f>IF(ISNUMBER(INDEX('2018'!$I$5:$I$73,MATCH(B36,'2018'!$A$5:$A$73,0))),INDEX('2018'!$I$5:$I$73,MATCH(B36,'2018'!$A$5:$A$73,0)),"N/A")</f>
        <v>N/A</v>
      </c>
      <c r="F36" s="59" t="str">
        <f>IF(ISNUMBER(INDEX('2017'!$I$5:$I$73,MATCH(B36,'2017'!$A$5:$A$73,0))),INDEX('2017'!$I$5:$I$73,MATCH(B36,'2017'!$A$5:$A$73,0)),"N/A")</f>
        <v>N/A</v>
      </c>
      <c r="G36" s="67">
        <f>IF(ISNUMBER(INDEX('2016'!$I$5:$I$73,MATCH(B36,'2016'!$A$5:$A$73,0))),INDEX('2016'!$I$5:$I$73,MATCH(B36,'2016'!$A$5:$A$73,0)),"N/A")</f>
        <v>0.3</v>
      </c>
      <c r="H36" s="59">
        <v>0.54</v>
      </c>
      <c r="I36" s="59">
        <v>0.54</v>
      </c>
      <c r="J36" s="59">
        <v>0.54</v>
      </c>
      <c r="K36" s="59">
        <v>0.54</v>
      </c>
      <c r="L36" s="59">
        <v>0.54</v>
      </c>
      <c r="M36" s="59">
        <v>0.54</v>
      </c>
      <c r="N36" s="59">
        <v>0.52500000000000002</v>
      </c>
      <c r="O36" s="59">
        <v>0.215</v>
      </c>
      <c r="P36" s="59">
        <v>0.34</v>
      </c>
      <c r="Q36" s="59">
        <v>0.113</v>
      </c>
    </row>
    <row r="37" spans="1:17" x14ac:dyDescent="0.2">
      <c r="A37" s="59" t="s">
        <v>137</v>
      </c>
      <c r="B37" s="59" t="s">
        <v>20</v>
      </c>
      <c r="C37" s="59" t="str">
        <f>IF(ISNUMBER(INDEX('2020'!$I$5:$I$73,MATCH(B37,'2020'!$A$5:$A$73,0))),INDEX('2020'!$I$5:$I$73,MATCH(B37,'2020'!$A$5:$A$73,0)),"N/A")</f>
        <v>N/A</v>
      </c>
      <c r="D37" s="59" t="str">
        <f>IF(ISNUMBER(INDEX('2019'!$I$5:$I$73,MATCH(B37,'2019'!$A$5:$A$73,0))),INDEX('2019'!$I$5:$I$73,MATCH(B37,'2019'!$A$5:$A$73,0)),"N/A")</f>
        <v>N/A</v>
      </c>
      <c r="E37" s="59" t="str">
        <f>IF(ISNUMBER(INDEX('2018'!$I$5:$I$73,MATCH(B37,'2018'!$A$5:$A$73,0))),INDEX('2018'!$I$5:$I$73,MATCH(B37,'2018'!$A$5:$A$73,0)),"N/A")</f>
        <v>N/A</v>
      </c>
      <c r="F37" s="59">
        <f>IF(ISNUMBER(INDEX('2017'!$I$5:$I$73,MATCH(B37,'2017'!$A$5:$A$73,0))),INDEX('2017'!$I$5:$I$73,MATCH(B37,'2017'!$A$5:$A$73,0)),"N/A")</f>
        <v>1.1000000000000001</v>
      </c>
      <c r="G37" s="67">
        <f>IF(ISNUMBER(INDEX('2016'!$I$5:$I$73,MATCH(B37,'2016'!$A$5:$A$73,0))),INDEX('2016'!$I$5:$I$73,MATCH(B37,'2016'!$A$5:$A$73,0)),"N/A")</f>
        <v>1.0549999999999999</v>
      </c>
      <c r="H37" s="59">
        <v>0.998</v>
      </c>
      <c r="I37" s="59">
        <v>0.93500000000000005</v>
      </c>
      <c r="J37" s="59">
        <v>0.88200000000000001</v>
      </c>
      <c r="K37" s="59">
        <v>0.85499999999999998</v>
      </c>
      <c r="L37" s="59">
        <v>0.83499999999999996</v>
      </c>
      <c r="M37" s="59">
        <v>0.83</v>
      </c>
      <c r="N37" s="59">
        <v>0.83</v>
      </c>
      <c r="O37" s="59">
        <v>1.66</v>
      </c>
      <c r="P37" s="59">
        <v>1.66</v>
      </c>
      <c r="Q37" s="59">
        <v>1.66</v>
      </c>
    </row>
    <row r="38" spans="1:17" x14ac:dyDescent="0.2">
      <c r="A38" s="59" t="s">
        <v>138</v>
      </c>
      <c r="B38" s="59" t="s">
        <v>21</v>
      </c>
      <c r="C38" s="59">
        <f>IF(ISNUMBER(INDEX('2020'!$I$5:$I$73,MATCH(B38,'2020'!$A$5:$A$73,0))),INDEX('2020'!$I$5:$I$73,MATCH(B38,'2020'!$A$5:$A$73,0)),"N/A")</f>
        <v>1.32</v>
      </c>
      <c r="D38" s="59">
        <f>IF(ISNUMBER(INDEX('2019'!$I$5:$I$73,MATCH(B38,'2019'!$A$5:$A$73,0))),INDEX('2019'!$I$5:$I$73,MATCH(B38,'2019'!$A$5:$A$73,0)),"N/A")</f>
        <v>1.28</v>
      </c>
      <c r="E38" s="59">
        <f>IF(ISNUMBER(INDEX('2018'!$I$5:$I$73,MATCH(B38,'2018'!$A$5:$A$73,0))),INDEX('2018'!$I$5:$I$73,MATCH(B38,'2018'!$A$5:$A$73,0)),"N/A")</f>
        <v>1.24</v>
      </c>
      <c r="F38" s="59">
        <f>IF(ISNUMBER(INDEX('2017'!$I$5:$I$73,MATCH(B38,'2017'!$A$5:$A$73,0))),INDEX('2017'!$I$5:$I$73,MATCH(B38,'2017'!$A$5:$A$73,0)),"N/A")</f>
        <v>1.24</v>
      </c>
      <c r="G38" s="67">
        <f>IF(ISNUMBER(INDEX('2016'!$I$5:$I$73,MATCH(B38,'2016'!$A$5:$A$73,0))),INDEX('2016'!$I$5:$I$73,MATCH(B38,'2016'!$A$5:$A$73,0)),"N/A")</f>
        <v>1.24</v>
      </c>
      <c r="H38" s="59">
        <v>1.24</v>
      </c>
      <c r="I38" s="59">
        <v>1.24</v>
      </c>
      <c r="J38" s="59">
        <v>1.24</v>
      </c>
      <c r="K38" s="59">
        <v>1.24</v>
      </c>
      <c r="L38" s="59">
        <v>1.24</v>
      </c>
      <c r="M38" s="59">
        <v>1.24</v>
      </c>
      <c r="N38" s="59">
        <v>1.24</v>
      </c>
      <c r="O38" s="59">
        <v>1.24</v>
      </c>
      <c r="P38" s="59">
        <v>1.24</v>
      </c>
      <c r="Q38" s="59">
        <v>1.24</v>
      </c>
    </row>
    <row r="39" spans="1:17" x14ac:dyDescent="0.2">
      <c r="A39" s="59" t="s">
        <v>216</v>
      </c>
      <c r="B39" s="59" t="s">
        <v>22</v>
      </c>
      <c r="C39" s="59">
        <f>IF(ISNUMBER(INDEX('2020'!$I$5:$I$73,MATCH(B39,'2020'!$A$5:$A$73,0))),INDEX('2020'!$I$5:$I$73,MATCH(B39,'2020'!$A$5:$A$73,0)),"N/A")</f>
        <v>2.72</v>
      </c>
      <c r="D39" s="59">
        <f>IF(ISNUMBER(INDEX('2019'!$I$5:$I$73,MATCH(B39,'2019'!$A$5:$A$73,0))),INDEX('2019'!$I$5:$I$73,MATCH(B39,'2019'!$A$5:$A$73,0)),"N/A")</f>
        <v>2.56</v>
      </c>
      <c r="E39" s="59">
        <f>IF(ISNUMBER(INDEX('2018'!$I$5:$I$73,MATCH(B39,'2018'!$A$5:$A$73,0))),INDEX('2018'!$I$5:$I$73,MATCH(B39,'2018'!$A$5:$A$73,0)),"N/A")</f>
        <v>2.4</v>
      </c>
      <c r="F39" s="59">
        <f>IF(ISNUMBER(INDEX('2017'!$I$5:$I$73,MATCH(B39,'2017'!$A$5:$A$73,0))),INDEX('2017'!$I$5:$I$73,MATCH(B39,'2017'!$A$5:$A$73,0)),"N/A")</f>
        <v>2.2400000000000002</v>
      </c>
      <c r="G39" s="67">
        <f>IF(ISNUMBER(INDEX('2016'!$I$5:$I$73,MATCH(B39,'2016'!$A$5:$A$73,0))),INDEX('2016'!$I$5:$I$73,MATCH(B39,'2016'!$A$5:$A$73,0)),"N/A")</f>
        <v>2.08</v>
      </c>
      <c r="H39" s="59">
        <v>1.92</v>
      </c>
      <c r="I39" s="59">
        <v>1.76</v>
      </c>
      <c r="J39" s="59">
        <v>1.57</v>
      </c>
      <c r="K39" s="59">
        <v>1.37</v>
      </c>
      <c r="L39" s="59">
        <v>1.2</v>
      </c>
      <c r="M39" s="59">
        <v>1.2</v>
      </c>
      <c r="N39" s="59">
        <v>1.2</v>
      </c>
      <c r="O39" s="59">
        <v>1.2</v>
      </c>
      <c r="P39" s="59">
        <v>1.2</v>
      </c>
      <c r="Q39" s="59">
        <v>1.2</v>
      </c>
    </row>
    <row r="40" spans="1:17" x14ac:dyDescent="0.2">
      <c r="A40" s="59" t="s">
        <v>139</v>
      </c>
      <c r="B40" s="59" t="s">
        <v>25</v>
      </c>
      <c r="C40" s="59">
        <f>IF(ISNUMBER(INDEX('2020'!$I$5:$I$73,MATCH(B40,'2020'!$A$5:$A$73,0))),INDEX('2020'!$I$5:$I$73,MATCH(B40,'2020'!$A$5:$A$73,0)),"N/A")</f>
        <v>1.4450000000000001</v>
      </c>
      <c r="D40" s="59">
        <f>IF(ISNUMBER(INDEX('2019'!$I$5:$I$73,MATCH(B40,'2019'!$A$5:$A$73,0))),INDEX('2019'!$I$5:$I$73,MATCH(B40,'2019'!$A$5:$A$73,0)),"N/A")</f>
        <v>1.38</v>
      </c>
      <c r="E40" s="59">
        <f>IF(ISNUMBER(INDEX('2018'!$I$5:$I$73,MATCH(B40,'2018'!$A$5:$A$73,0))),INDEX('2018'!$I$5:$I$73,MATCH(B40,'2018'!$A$5:$A$73,0)),"N/A")</f>
        <v>1.32</v>
      </c>
      <c r="F40" s="59">
        <f>IF(ISNUMBER(INDEX('2017'!$I$5:$I$73,MATCH(B40,'2017'!$A$5:$A$73,0))),INDEX('2017'!$I$5:$I$73,MATCH(B40,'2017'!$A$5:$A$73,0)),"N/A")</f>
        <v>1.26</v>
      </c>
      <c r="G40" s="67">
        <f>IF(ISNUMBER(INDEX('2016'!$I$5:$I$73,MATCH(B40,'2016'!$A$5:$A$73,0))),INDEX('2016'!$I$5:$I$73,MATCH(B40,'2016'!$A$5:$A$73,0)),"N/A")</f>
        <v>1.21</v>
      </c>
      <c r="H40" s="59">
        <v>1.1599999999999999</v>
      </c>
      <c r="I40" s="59">
        <v>1.1100000000000001</v>
      </c>
      <c r="J40" s="59">
        <v>1.07</v>
      </c>
      <c r="K40" s="59">
        <v>1.04</v>
      </c>
      <c r="L40" s="59">
        <v>1.0109999999999999</v>
      </c>
      <c r="M40" s="59">
        <v>0.99299999999999999</v>
      </c>
      <c r="N40" s="59">
        <v>0.97299999999999998</v>
      </c>
      <c r="O40" s="59">
        <v>0.95599999999999996</v>
      </c>
      <c r="P40" s="59">
        <v>0.94</v>
      </c>
      <c r="Q40" s="59">
        <v>0.92700000000000005</v>
      </c>
    </row>
    <row r="41" spans="1:17" x14ac:dyDescent="0.2">
      <c r="A41" s="59" t="s">
        <v>187</v>
      </c>
      <c r="B41" s="59" t="s">
        <v>188</v>
      </c>
      <c r="C41" s="59">
        <f>IF(ISNUMBER(INDEX('2020'!$I$5:$I$73,MATCH(B41,'2020'!$A$5:$A$73,0))),INDEX('2020'!$I$5:$I$73,MATCH(B41,'2020'!$A$5:$A$73,0)),"N/A")</f>
        <v>1.04</v>
      </c>
      <c r="D41" s="59">
        <f>IF(ISNUMBER(INDEX('2019'!$I$5:$I$73,MATCH(B41,'2019'!$A$5:$A$73,0))),INDEX('2019'!$I$5:$I$73,MATCH(B41,'2019'!$A$5:$A$73,0)),"N/A")</f>
        <v>0.98</v>
      </c>
      <c r="E41" s="59">
        <f>IF(ISNUMBER(INDEX('2018'!$I$5:$I$73,MATCH(B41,'2018'!$A$5:$A$73,0))),INDEX('2018'!$I$5:$I$73,MATCH(B41,'2018'!$A$5:$A$73,0)),"N/A")</f>
        <v>0.91100000000000003</v>
      </c>
      <c r="F41" s="59">
        <f>IF(ISNUMBER(INDEX('2017'!$I$5:$I$73,MATCH(B41,'2017'!$A$5:$A$73,0))),INDEX('2017'!$I$5:$I$73,MATCH(B41,'2017'!$A$5:$A$73,0)),"N/A")</f>
        <v>0.85799999999999998</v>
      </c>
      <c r="G41" s="67">
        <f>IF(ISNUMBER(INDEX('2016'!$I$5:$I$73,MATCH(B41,'2016'!$A$5:$A$73,0))),INDEX('2016'!$I$5:$I$73,MATCH(B41,'2016'!$A$5:$A$73,0)),"N/A")</f>
        <v>0.80800000000000005</v>
      </c>
      <c r="H41" s="59">
        <v>0.77600000000000002</v>
      </c>
      <c r="I41" s="59">
        <v>0.76300000000000001</v>
      </c>
      <c r="J41" s="59">
        <v>0.753</v>
      </c>
      <c r="K41" s="59">
        <v>0.74299999999999999</v>
      </c>
      <c r="L41" s="59">
        <v>0.73299999999999998</v>
      </c>
      <c r="M41" s="59">
        <v>0.72299999999999998</v>
      </c>
      <c r="N41" s="59">
        <v>0.71299999999999997</v>
      </c>
      <c r="O41" s="59">
        <v>0.70299999999999996</v>
      </c>
      <c r="P41" s="59">
        <v>0.69299999999999995</v>
      </c>
      <c r="Q41" s="59">
        <v>0.68300000000000005</v>
      </c>
    </row>
    <row r="42" spans="1:17" x14ac:dyDescent="0.2">
      <c r="A42" s="59" t="s">
        <v>189</v>
      </c>
      <c r="B42" s="59" t="s">
        <v>190</v>
      </c>
      <c r="C42" s="59">
        <f>IF(ISNUMBER(INDEX('2020'!$I$5:$I$73,MATCH(B42,'2020'!$A$5:$A$73,0))),INDEX('2020'!$I$5:$I$73,MATCH(B42,'2020'!$A$5:$A$73,0)),"N/A")</f>
        <v>1.27</v>
      </c>
      <c r="D42" s="59">
        <f>IF(ISNUMBER(INDEX('2019'!$I$5:$I$73,MATCH(B42,'2019'!$A$5:$A$73,0))),INDEX('2019'!$I$5:$I$73,MATCH(B42,'2019'!$A$5:$A$73,0)),"N/A")</f>
        <v>1.19</v>
      </c>
      <c r="E42" s="59">
        <f>IF(ISNUMBER(INDEX('2018'!$I$5:$I$73,MATCH(B42,'2018'!$A$5:$A$73,0))),INDEX('2018'!$I$5:$I$73,MATCH(B42,'2018'!$A$5:$A$73,0)),"N/A")</f>
        <v>1.1120000000000001</v>
      </c>
      <c r="F42" s="59">
        <f>IF(ISNUMBER(INDEX('2017'!$I$5:$I$73,MATCH(B42,'2017'!$A$5:$A$73,0))),INDEX('2017'!$I$5:$I$73,MATCH(B42,'2017'!$A$5:$A$73,0)),"N/A")</f>
        <v>1.04</v>
      </c>
      <c r="G42" s="67">
        <f>IF(ISNUMBER(INDEX('2016'!$I$5:$I$73,MATCH(B42,'2016'!$A$5:$A$73,0))),INDEX('2016'!$I$5:$I$73,MATCH(B42,'2016'!$A$5:$A$73,0)),"N/A")</f>
        <v>0.98</v>
      </c>
      <c r="H42" s="59">
        <v>0.93</v>
      </c>
      <c r="I42" s="59">
        <v>0.85499999999999998</v>
      </c>
      <c r="J42" s="59">
        <v>0.81</v>
      </c>
      <c r="K42" s="59">
        <v>0.77</v>
      </c>
      <c r="L42" s="59">
        <v>0.72</v>
      </c>
      <c r="M42" s="59">
        <v>0.68</v>
      </c>
      <c r="N42" s="59">
        <v>0.62</v>
      </c>
      <c r="O42" s="59">
        <v>0.55500000000000005</v>
      </c>
      <c r="P42" s="59">
        <v>0.50700000000000001</v>
      </c>
      <c r="Q42" s="59">
        <v>0.48</v>
      </c>
    </row>
    <row r="43" spans="1:17" x14ac:dyDescent="0.2">
      <c r="A43" s="59" t="s">
        <v>140</v>
      </c>
      <c r="B43" s="59" t="s">
        <v>141</v>
      </c>
      <c r="C43" s="59">
        <f>IF(ISNUMBER(INDEX('2020'!$I$5:$I$73,MATCH(B43,'2020'!$A$5:$A$73,0))),INDEX('2020'!$I$5:$I$73,MATCH(B43,'2020'!$A$5:$A$73,0)),"N/A")</f>
        <v>1.4</v>
      </c>
      <c r="D43" s="59">
        <f>IF(ISNUMBER(INDEX('2019'!$I$5:$I$73,MATCH(B43,'2019'!$A$5:$A$73,0))),INDEX('2019'!$I$5:$I$73,MATCH(B43,'2019'!$A$5:$A$73,0)),"N/A")</f>
        <v>1.25</v>
      </c>
      <c r="E43" s="59">
        <v>1.1100000000000001</v>
      </c>
      <c r="F43" s="59">
        <v>0.98</v>
      </c>
      <c r="G43" s="67">
        <v>0.87</v>
      </c>
      <c r="H43" s="59">
        <v>0.77</v>
      </c>
      <c r="I43" s="59">
        <v>0.73</v>
      </c>
      <c r="J43" s="59">
        <v>0.66</v>
      </c>
      <c r="K43" s="59">
        <v>0.6</v>
      </c>
      <c r="L43" s="59">
        <v>0.55000000000000004</v>
      </c>
      <c r="M43" s="59">
        <v>0.5</v>
      </c>
      <c r="N43" s="59">
        <v>0.47</v>
      </c>
      <c r="O43" s="59">
        <v>0.45</v>
      </c>
      <c r="P43" s="59">
        <v>0.41</v>
      </c>
      <c r="Q43" s="59">
        <v>0.38</v>
      </c>
    </row>
    <row r="44" spans="1:17" x14ac:dyDescent="0.2">
      <c r="A44" s="59" t="s">
        <v>142</v>
      </c>
      <c r="B44" s="59" t="s">
        <v>26</v>
      </c>
      <c r="C44" s="59">
        <f>IF(ISNUMBER(INDEX('2020'!$I$5:$I$73,MATCH(B44,'2020'!$A$5:$A$73,0))),INDEX('2020'!$I$5:$I$73,MATCH(B44,'2020'!$A$5:$A$73,0)),"N/A")</f>
        <v>0.84</v>
      </c>
      <c r="D44" s="59">
        <f>IF(ISNUMBER(INDEX('2019'!$I$5:$I$73,MATCH(B44,'2019'!$A$5:$A$73,0))),INDEX('2019'!$I$5:$I$73,MATCH(B44,'2019'!$A$5:$A$73,0)),"N/A")</f>
        <v>0.8</v>
      </c>
      <c r="E44" s="59">
        <f>IF(ISNUMBER(INDEX('2018'!$I$5:$I$73,MATCH(B44,'2018'!$A$5:$A$73,0))),INDEX('2018'!$I$5:$I$73,MATCH(B44,'2018'!$A$5:$A$73,0)),"N/A")</f>
        <v>0.78</v>
      </c>
      <c r="F44" s="59">
        <f>IF(ISNUMBER(INDEX('2017'!$I$5:$I$73,MATCH(B44,'2017'!$A$5:$A$73,0))),INDEX('2017'!$I$5:$I$73,MATCH(B44,'2017'!$A$5:$A$73,0)),"N/A")</f>
        <v>0.7</v>
      </c>
      <c r="G44" s="67">
        <f>IF(ISNUMBER(INDEX('2016'!$I$5:$I$73,MATCH(B44,'2016'!$A$5:$A$73,0))),INDEX('2016'!$I$5:$I$73,MATCH(B44,'2016'!$A$5:$A$73,0)),"N/A")</f>
        <v>0.64</v>
      </c>
      <c r="H44" s="59">
        <v>0.83</v>
      </c>
      <c r="I44" s="59">
        <v>1.02</v>
      </c>
      <c r="J44" s="59">
        <v>0.98</v>
      </c>
      <c r="K44" s="59">
        <v>0.94</v>
      </c>
      <c r="L44" s="59">
        <v>0.92</v>
      </c>
      <c r="M44" s="59">
        <v>0.92</v>
      </c>
      <c r="N44" s="59">
        <v>0.92</v>
      </c>
      <c r="O44" s="59">
        <v>0.92</v>
      </c>
      <c r="P44" s="59">
        <v>0.92</v>
      </c>
      <c r="Q44" s="59">
        <v>0.92</v>
      </c>
    </row>
    <row r="45" spans="1:17" x14ac:dyDescent="0.2">
      <c r="A45" s="59" t="s">
        <v>191</v>
      </c>
      <c r="B45" s="59" t="s">
        <v>192</v>
      </c>
      <c r="C45" s="59">
        <f>IF(ISNUMBER(INDEX('2020'!$I$5:$I$73,MATCH(B45,'2020'!$A$5:$A$73,0))),INDEX('2020'!$I$5:$I$73,MATCH(B45,'2020'!$A$5:$A$73,0)),"N/A")</f>
        <v>1.91</v>
      </c>
      <c r="D45" s="59">
        <f>IF(ISNUMBER(INDEX('2019'!$I$5:$I$73,MATCH(B45,'2019'!$A$5:$A$73,0))),INDEX('2019'!$I$5:$I$73,MATCH(B45,'2019'!$A$5:$A$73,0)),"N/A")</f>
        <v>1.9</v>
      </c>
      <c r="E45" s="59">
        <f>IF(ISNUMBER(INDEX('2018'!$I$5:$I$73,MATCH(B45,'2018'!$A$5:$A$73,0))),INDEX('2018'!$I$5:$I$73,MATCH(B45,'2018'!$A$5:$A$73,0)),"N/A")</f>
        <v>1.89</v>
      </c>
      <c r="F45" s="59">
        <f>IF(ISNUMBER(INDEX('2017'!$I$5:$I$73,MATCH(B45,'2017'!$A$5:$A$73,0))),INDEX('2017'!$I$5:$I$73,MATCH(B45,'2017'!$A$5:$A$73,0)),"N/A")</f>
        <v>1.88</v>
      </c>
      <c r="G45" s="67">
        <f>IF(ISNUMBER(INDEX('2016'!$I$5:$I$73,MATCH(B45,'2016'!$A$5:$A$73,0))),INDEX('2016'!$I$5:$I$73,MATCH(B45,'2016'!$A$5:$A$73,0)),"N/A")</f>
        <v>1.87</v>
      </c>
      <c r="H45" s="59">
        <v>1.86</v>
      </c>
      <c r="I45" s="59">
        <v>1.85</v>
      </c>
      <c r="J45" s="59">
        <v>1.83</v>
      </c>
      <c r="K45" s="59">
        <v>1.79</v>
      </c>
      <c r="L45" s="59">
        <v>1.75</v>
      </c>
      <c r="M45" s="59">
        <v>1.68</v>
      </c>
      <c r="N45" s="59">
        <v>1.6</v>
      </c>
      <c r="O45" s="59">
        <v>1.52</v>
      </c>
      <c r="P45" s="59">
        <v>1.44</v>
      </c>
      <c r="Q45" s="59">
        <v>1.39</v>
      </c>
    </row>
    <row r="46" spans="1:17" x14ac:dyDescent="0.2">
      <c r="A46" s="59" t="s">
        <v>143</v>
      </c>
      <c r="B46" s="59" t="s">
        <v>144</v>
      </c>
      <c r="C46" s="59">
        <f>IF(ISNUMBER(INDEX('2020'!$I$5:$I$73,MATCH(B46,'2020'!$A$5:$A$73,0))),INDEX('2020'!$I$5:$I$73,MATCH(B46,'2020'!$A$5:$A$73,0)),"N/A")</f>
        <v>2.4</v>
      </c>
      <c r="D46" s="59">
        <f>IF(ISNUMBER(INDEX('2019'!$I$5:$I$73,MATCH(B46,'2019'!$A$5:$A$73,0))),INDEX('2019'!$I$5:$I$73,MATCH(B46,'2019'!$A$5:$A$73,0)),"N/A")</f>
        <v>2.2999999999999998</v>
      </c>
      <c r="E46" s="59">
        <f>IF(ISNUMBER(INDEX('2018'!$I$5:$I$73,MATCH(B46,'2018'!$A$5:$A$73,0))),INDEX('2018'!$I$5:$I$73,MATCH(B46,'2018'!$A$5:$A$73,0)),"N/A")</f>
        <v>2.2000000000000002</v>
      </c>
      <c r="F46" s="59">
        <f>IF(ISNUMBER(INDEX('2017'!$I$5:$I$73,MATCH(B46,'2017'!$A$5:$A$73,0))),INDEX('2017'!$I$5:$I$73,MATCH(B46,'2017'!$A$5:$A$73,0)),"N/A")</f>
        <v>2.1</v>
      </c>
      <c r="G46" s="67">
        <f>IF(ISNUMBER(INDEX('2016'!$I$5:$I$73,MATCH(B46,'2016'!$A$5:$A$73,0))),INDEX('2016'!$I$5:$I$73,MATCH(B46,'2016'!$A$5:$A$73,0)),"N/A")</f>
        <v>2</v>
      </c>
      <c r="H46" s="59">
        <v>1.92</v>
      </c>
      <c r="I46" s="59">
        <v>1.6</v>
      </c>
      <c r="J46" s="59">
        <v>1.52</v>
      </c>
      <c r="K46" s="59">
        <v>1.48</v>
      </c>
      <c r="L46" s="59">
        <v>1.44</v>
      </c>
      <c r="M46" s="59">
        <v>1.36</v>
      </c>
      <c r="N46" s="59">
        <v>1.34</v>
      </c>
      <c r="O46" s="59">
        <v>1.32</v>
      </c>
      <c r="P46" s="59">
        <v>1.28</v>
      </c>
      <c r="Q46" s="59">
        <v>1.24</v>
      </c>
    </row>
    <row r="47" spans="1:17" x14ac:dyDescent="0.2">
      <c r="A47" s="59" t="s">
        <v>145</v>
      </c>
      <c r="B47" s="59" t="s">
        <v>27</v>
      </c>
      <c r="C47" s="59">
        <f>IF(ISNUMBER(INDEX('2020'!$I$5:$I$73,MATCH(B47,'2020'!$A$5:$A$73,0))),INDEX('2020'!$I$5:$I$73,MATCH(B47,'2020'!$A$5:$A$73,0)),"N/A")</f>
        <v>1.58</v>
      </c>
      <c r="D47" s="59">
        <f>IF(ISNUMBER(INDEX('2019'!$I$5:$I$73,MATCH(B47,'2019'!$A$5:$A$73,0))),INDEX('2019'!$I$5:$I$73,MATCH(B47,'2019'!$A$5:$A$73,0)),"N/A")</f>
        <v>1.5049999999999999</v>
      </c>
      <c r="E47" s="59">
        <f>IF(ISNUMBER(INDEX('2018'!$I$5:$I$73,MATCH(B47,'2018'!$A$5:$A$73,0))),INDEX('2018'!$I$5:$I$73,MATCH(B47,'2018'!$A$5:$A$73,0)),"N/A")</f>
        <v>1.395</v>
      </c>
      <c r="F47" s="59">
        <f>IF(ISNUMBER(INDEX('2017'!$I$5:$I$73,MATCH(B47,'2017'!$A$5:$A$73,0))),INDEX('2017'!$I$5:$I$73,MATCH(B47,'2017'!$A$5:$A$73,0)),"N/A")</f>
        <v>1.27</v>
      </c>
      <c r="G47" s="67">
        <f>IF(ISNUMBER(INDEX('2016'!$I$5:$I$73,MATCH(B47,'2016'!$A$5:$A$73,0))),INDEX('2016'!$I$5:$I$73,MATCH(B47,'2016'!$A$5:$A$73,0)),"N/A")</f>
        <v>1.155</v>
      </c>
      <c r="H47" s="59">
        <v>1.05</v>
      </c>
      <c r="I47" s="59">
        <v>0.95</v>
      </c>
      <c r="J47" s="59">
        <v>0.85099999999999998</v>
      </c>
      <c r="K47" s="59">
        <v>0.79800000000000004</v>
      </c>
      <c r="L47" s="59">
        <v>0.75900000000000001</v>
      </c>
      <c r="M47" s="59">
        <v>0.73199999999999998</v>
      </c>
      <c r="N47" s="59">
        <v>0.71399999999999997</v>
      </c>
      <c r="O47" s="59">
        <v>0.69899999999999995</v>
      </c>
      <c r="P47" s="59">
        <v>0.68400000000000005</v>
      </c>
      <c r="Q47" s="59">
        <v>0.66900000000000004</v>
      </c>
    </row>
    <row r="48" spans="1:17" x14ac:dyDescent="0.2">
      <c r="A48" s="59" t="s">
        <v>348</v>
      </c>
      <c r="B48" s="59" t="s">
        <v>345</v>
      </c>
      <c r="C48" s="59">
        <f>IF(ISNUMBER(INDEX('2020'!$I$5:$I$73,MATCH(B48,'2020'!$A$5:$A$73,0))),INDEX('2020'!$I$5:$I$73,MATCH(B48,'2020'!$A$5:$A$73,0)),"N/A")</f>
        <v>2.16</v>
      </c>
      <c r="D48" s="59">
        <f>IF(ISNUMBER(INDEX('2019'!$I$5:$I$73,MATCH(B48,'2019'!$A$5:$A$73,0))),INDEX('2019'!$I$5:$I$73,MATCH(B48,'2019'!$A$5:$A$73,0)),"N/A")</f>
        <v>2</v>
      </c>
      <c r="E48" s="59">
        <f>IF(ISNUMBER(INDEX('2018'!$I$5:$I$73,MATCH(B48,'2018'!$A$5:$A$73,0))),INDEX('2018'!$I$5:$I$73,MATCH(B48,'2018'!$A$5:$A$73,0)),"N/A")</f>
        <v>1.84</v>
      </c>
      <c r="F48" s="59">
        <f>IF(ISNUMBER(INDEX('2017'!$I$5:$I$73,MATCH(B48,'2017'!$A$5:$A$73,0))),INDEX('2017'!$I$5:$I$73,MATCH(B48,'2017'!$A$5:$A$73,0)),"N/A")</f>
        <v>1.68</v>
      </c>
      <c r="G48" s="67">
        <f>IF(ISNUMBER(INDEX('2016'!$I$5:$I$73,MATCH(B48,'2016'!$A$5:$A$73,0))),INDEX('2016'!$I$5:$I$73,MATCH(B48,'2016'!$A$5:$A$73,0)),"N/A")</f>
        <v>1.4</v>
      </c>
      <c r="H48" s="59">
        <v>1.2</v>
      </c>
      <c r="I48" s="59">
        <v>0.84</v>
      </c>
    </row>
    <row r="49" spans="1:17" x14ac:dyDescent="0.2">
      <c r="A49" s="59" t="s">
        <v>146</v>
      </c>
      <c r="B49" s="59" t="s">
        <v>28</v>
      </c>
      <c r="C49" s="59">
        <f>IF(ISNUMBER(INDEX('2020'!$I$5:$I$73,MATCH(B49,'2020'!$A$5:$A$73,0))),INDEX('2020'!$I$5:$I$73,MATCH(B49,'2020'!$A$5:$A$73,0)),"N/A")</f>
        <v>1.48</v>
      </c>
      <c r="D49" s="59">
        <f>IF(ISNUMBER(INDEX('2019'!$I$5:$I$73,MATCH(B49,'2019'!$A$5:$A$73,0))),INDEX('2019'!$I$5:$I$73,MATCH(B49,'2019'!$A$5:$A$73,0)),"N/A")</f>
        <v>1.4</v>
      </c>
      <c r="E49" s="59">
        <f>IF(ISNUMBER(INDEX('2018'!$I$5:$I$73,MATCH(B49,'2018'!$A$5:$A$73,0))),INDEX('2018'!$I$5:$I$73,MATCH(B49,'2018'!$A$5:$A$73,0)),"N/A")</f>
        <v>1.34</v>
      </c>
      <c r="F49" s="59">
        <f>IF(ISNUMBER(INDEX('2017'!$I$5:$I$73,MATCH(B49,'2017'!$A$5:$A$73,0))),INDEX('2017'!$I$5:$I$73,MATCH(B49,'2017'!$A$5:$A$73,0)),"N/A")</f>
        <v>1.28</v>
      </c>
      <c r="G49" s="67">
        <f>IF(ISNUMBER(INDEX('2016'!$I$5:$I$73,MATCH(B49,'2016'!$A$5:$A$73,0))),INDEX('2016'!$I$5:$I$73,MATCH(B49,'2016'!$A$5:$A$73,0)),"N/A")</f>
        <v>1.25</v>
      </c>
      <c r="H49" s="59">
        <v>1.23</v>
      </c>
      <c r="I49" s="59">
        <v>1.21</v>
      </c>
      <c r="J49" s="59">
        <v>1.19</v>
      </c>
      <c r="K49" s="59">
        <v>1.19</v>
      </c>
      <c r="L49" s="59">
        <v>1.19</v>
      </c>
      <c r="M49" s="59">
        <v>1.19</v>
      </c>
      <c r="N49" s="59">
        <v>1.19</v>
      </c>
      <c r="O49" s="59">
        <v>1.19</v>
      </c>
      <c r="P49" s="59">
        <v>1.17</v>
      </c>
      <c r="Q49" s="59">
        <v>1.1499999999999999</v>
      </c>
    </row>
    <row r="50" spans="1:17" x14ac:dyDescent="0.2">
      <c r="A50" s="59" t="s">
        <v>147</v>
      </c>
      <c r="B50" s="59" t="s">
        <v>30</v>
      </c>
      <c r="C50" s="59">
        <f>IF(ISNUMBER(INDEX('2020'!$I$5:$I$73,MATCH(B50,'2020'!$A$5:$A$73,0))),INDEX('2020'!$I$5:$I$73,MATCH(B50,'2020'!$A$5:$A$73,0)),"N/A")</f>
        <v>0</v>
      </c>
      <c r="D50" s="59">
        <f>IF(ISNUMBER(INDEX('2019'!$I$5:$I$73,MATCH(B50,'2019'!$A$5:$A$73,0))),INDEX('2019'!$I$5:$I$73,MATCH(B50,'2019'!$A$5:$A$73,0)),"N/A")</f>
        <v>0</v>
      </c>
      <c r="E50" s="59">
        <f>IF(ISNUMBER(INDEX('2018'!$I$5:$I$73,MATCH(B50,'2018'!$A$5:$A$73,0))),INDEX('2018'!$I$5:$I$73,MATCH(B50,'2018'!$A$5:$A$73,0)),"N/A")</f>
        <v>0</v>
      </c>
      <c r="F50" s="59">
        <f>IF(ISNUMBER(INDEX('2017'!$I$5:$I$73,MATCH(B50,'2017'!$A$5:$A$73,0))),INDEX('2017'!$I$5:$I$73,MATCH(B50,'2017'!$A$5:$A$73,0)),"N/A")</f>
        <v>1.55</v>
      </c>
      <c r="G50" s="67">
        <f>IF(ISNUMBER(INDEX('2016'!$I$5:$I$73,MATCH(B50,'2016'!$A$5:$A$73,0))),INDEX('2016'!$I$5:$I$73,MATCH(B50,'2016'!$A$5:$A$73,0)),"N/A")</f>
        <v>1.925</v>
      </c>
      <c r="H50" s="59">
        <v>1.82</v>
      </c>
      <c r="I50" s="59">
        <v>1.82</v>
      </c>
      <c r="J50" s="59">
        <v>1.82</v>
      </c>
      <c r="K50" s="59">
        <v>1.82</v>
      </c>
      <c r="L50" s="59">
        <v>1.82</v>
      </c>
      <c r="M50" s="59">
        <v>1.82</v>
      </c>
      <c r="N50" s="59">
        <v>1.68</v>
      </c>
      <c r="O50" s="59">
        <v>1.56</v>
      </c>
      <c r="P50" s="59">
        <v>1.44</v>
      </c>
      <c r="Q50" s="59">
        <v>1.32</v>
      </c>
    </row>
    <row r="51" spans="1:17" x14ac:dyDescent="0.2">
      <c r="A51" s="59" t="s">
        <v>148</v>
      </c>
      <c r="B51" s="59" t="s">
        <v>31</v>
      </c>
      <c r="C51" s="59">
        <f>IF(ISNUMBER(INDEX('2020'!$I$5:$I$73,MATCH(B51,'2020'!$A$5:$A$73,0))),INDEX('2020'!$I$5:$I$73,MATCH(B51,'2020'!$A$5:$A$73,0)),"N/A")</f>
        <v>3.23</v>
      </c>
      <c r="D51" s="59">
        <f>IF(ISNUMBER(INDEX('2019'!$I$5:$I$73,MATCH(B51,'2019'!$A$5:$A$73,0))),INDEX('2019'!$I$5:$I$73,MATCH(B51,'2019'!$A$5:$A$73,0)),"N/A")</f>
        <v>3.04</v>
      </c>
      <c r="E51" s="59">
        <f>IF(ISNUMBER(INDEX('2018'!$I$5:$I$73,MATCH(B51,'2018'!$A$5:$A$73,0))),INDEX('2018'!$I$5:$I$73,MATCH(B51,'2018'!$A$5:$A$73,0)),"N/A")</f>
        <v>2.87</v>
      </c>
      <c r="F51" s="59">
        <f>IF(ISNUMBER(INDEX('2017'!$I$5:$I$73,MATCH(B51,'2017'!$A$5:$A$73,0))),INDEX('2017'!$I$5:$I$73,MATCH(B51,'2017'!$A$5:$A$73,0)),"N/A")</f>
        <v>2.7</v>
      </c>
      <c r="G51" s="67">
        <f>IF(ISNUMBER(INDEX('2016'!$I$5:$I$73,MATCH(B51,'2016'!$A$5:$A$73,0))),INDEX('2016'!$I$5:$I$73,MATCH(B51,'2016'!$A$5:$A$73,0)),"N/A")</f>
        <v>2.56</v>
      </c>
      <c r="H51" s="59">
        <v>2.44</v>
      </c>
      <c r="I51" s="59">
        <v>2.3250000000000002</v>
      </c>
      <c r="J51" s="59">
        <v>2.2250000000000001</v>
      </c>
      <c r="K51" s="59">
        <v>2.67</v>
      </c>
      <c r="L51" s="59">
        <v>2.1</v>
      </c>
      <c r="M51" s="59">
        <v>2.1</v>
      </c>
      <c r="N51" s="59">
        <v>2.1</v>
      </c>
      <c r="O51" s="59">
        <v>2.1</v>
      </c>
      <c r="P51" s="59">
        <v>2.1</v>
      </c>
      <c r="Q51" s="59">
        <v>2.0249999999999999</v>
      </c>
    </row>
    <row r="52" spans="1:17" x14ac:dyDescent="0.2">
      <c r="A52" s="59" t="s">
        <v>149</v>
      </c>
      <c r="B52" s="59" t="s">
        <v>32</v>
      </c>
      <c r="C52" s="59">
        <f>IF(ISNUMBER(INDEX('2020'!$I$5:$I$73,MATCH(B52,'2020'!$A$5:$A$73,0))),INDEX('2020'!$I$5:$I$73,MATCH(B52,'2020'!$A$5:$A$73,0)),"N/A")</f>
        <v>1.25</v>
      </c>
      <c r="D52" s="59">
        <f>IF(ISNUMBER(INDEX('2019'!$I$5:$I$73,MATCH(B52,'2019'!$A$5:$A$73,0))),INDEX('2019'!$I$5:$I$73,MATCH(B52,'2019'!$A$5:$A$73,0)),"N/A")</f>
        <v>1.1779999999999999</v>
      </c>
      <c r="E52" s="59">
        <f>IF(ISNUMBER(INDEX('2018'!$I$5:$I$73,MATCH(B52,'2018'!$A$5:$A$73,0))),INDEX('2018'!$I$5:$I$73,MATCH(B52,'2018'!$A$5:$A$73,0)),"N/A")</f>
        <v>1.085</v>
      </c>
      <c r="F52" s="59">
        <f>IF(ISNUMBER(INDEX('2017'!$I$5:$I$73,MATCH(B52,'2017'!$A$5:$A$73,0))),INDEX('2017'!$I$5:$I$73,MATCH(B52,'2017'!$A$5:$A$73,0)),"N/A")</f>
        <v>0.99299999999999999</v>
      </c>
      <c r="G52" s="67">
        <f>IF(ISNUMBER(INDEX('2016'!$I$5:$I$73,MATCH(B52,'2016'!$A$5:$A$73,0))),INDEX('2016'!$I$5:$I$73,MATCH(B52,'2016'!$A$5:$A$73,0)),"N/A")</f>
        <v>0.88</v>
      </c>
      <c r="H52" s="59">
        <v>0.8</v>
      </c>
      <c r="I52" s="59">
        <v>0.755</v>
      </c>
      <c r="J52" s="59">
        <v>0.68</v>
      </c>
      <c r="K52" s="59">
        <v>0.57999999999999996</v>
      </c>
      <c r="L52" s="59">
        <v>0.5</v>
      </c>
      <c r="M52" s="59">
        <v>0.5</v>
      </c>
      <c r="N52" s="59">
        <v>0.5</v>
      </c>
      <c r="O52" s="59">
        <v>0.60499999999999998</v>
      </c>
      <c r="P52" s="59">
        <v>0.91</v>
      </c>
      <c r="Q52" s="59">
        <v>0.86</v>
      </c>
    </row>
    <row r="53" spans="1:17" x14ac:dyDescent="0.2">
      <c r="A53" s="59" t="s">
        <v>150</v>
      </c>
      <c r="B53" s="59" t="s">
        <v>33</v>
      </c>
      <c r="C53" s="59">
        <f>IF(ISNUMBER(INDEX('2020'!$I$5:$I$73,MATCH(B53,'2020'!$A$5:$A$73,0))),INDEX('2020'!$I$5:$I$73,MATCH(B53,'2020'!$A$5:$A$73,0)),"N/A")</f>
        <v>1.585</v>
      </c>
      <c r="D53" s="59">
        <f>IF(ISNUMBER(INDEX('2019'!$I$5:$I$73,MATCH(B53,'2019'!$A$5:$A$73,0))),INDEX('2019'!$I$5:$I$73,MATCH(B53,'2019'!$A$5:$A$73,0)),"N/A")</f>
        <v>1.518</v>
      </c>
      <c r="E53" s="59">
        <f>IF(ISNUMBER(INDEX('2018'!$I$5:$I$73,MATCH(B53,'2018'!$A$5:$A$73,0))),INDEX('2018'!$I$5:$I$73,MATCH(B53,'2018'!$A$5:$A$73,0)),"N/A")</f>
        <v>1.4279999999999999</v>
      </c>
      <c r="F53" s="59">
        <f>IF(ISNUMBER(INDEX('2017'!$I$5:$I$73,MATCH(B53,'2017'!$A$5:$A$73,0))),INDEX('2017'!$I$5:$I$73,MATCH(B53,'2017'!$A$5:$A$73,0)),"N/A")</f>
        <v>1.34</v>
      </c>
      <c r="G53" s="67">
        <f>IF(ISNUMBER(INDEX('2016'!$I$5:$I$73,MATCH(B53,'2016'!$A$5:$A$73,0))),INDEX('2016'!$I$5:$I$73,MATCH(B53,'2016'!$A$5:$A$73,0)),"N/A")</f>
        <v>1.26</v>
      </c>
      <c r="H53" s="59">
        <v>1.18</v>
      </c>
      <c r="I53" s="59">
        <v>1.115</v>
      </c>
      <c r="J53" s="59">
        <v>1.095</v>
      </c>
      <c r="K53" s="59">
        <v>1.075</v>
      </c>
      <c r="L53" s="59">
        <v>1.0549999999999999</v>
      </c>
      <c r="M53" s="59">
        <v>1.0349999999999999</v>
      </c>
      <c r="N53" s="59">
        <v>1.01</v>
      </c>
      <c r="O53" s="59">
        <v>0.97</v>
      </c>
      <c r="P53" s="59">
        <v>0.93</v>
      </c>
      <c r="Q53" s="59">
        <v>0.67500000000000004</v>
      </c>
    </row>
    <row r="54" spans="1:17" x14ac:dyDescent="0.2">
      <c r="A54" s="59" t="s">
        <v>151</v>
      </c>
      <c r="B54" s="59" t="s">
        <v>34</v>
      </c>
      <c r="C54" s="59">
        <f>IF(ISNUMBER(INDEX('2020'!$I$5:$I$73,MATCH(B54,'2020'!$A$5:$A$73,0))),INDEX('2020'!$I$5:$I$73,MATCH(B54,'2020'!$A$5:$A$73,0)),"N/A")</f>
        <v>1.66</v>
      </c>
      <c r="D54" s="59">
        <f>IF(ISNUMBER(INDEX('2019'!$I$5:$I$73,MATCH(B54,'2019'!$A$5:$A$73,0))),INDEX('2019'!$I$5:$I$73,MATCH(B54,'2019'!$A$5:$A$73,0)),"N/A")</f>
        <v>1.65</v>
      </c>
      <c r="E54" s="59">
        <f>IF(ISNUMBER(INDEX('2018'!$I$5:$I$73,MATCH(B54,'2018'!$A$5:$A$73,0))),INDEX('2018'!$I$5:$I$73,MATCH(B54,'2018'!$A$5:$A$73,0)),"N/A")</f>
        <v>1.64</v>
      </c>
      <c r="F54" s="59">
        <f>IF(ISNUMBER(INDEX('2017'!$I$5:$I$73,MATCH(B54,'2017'!$A$5:$A$73,0))),INDEX('2017'!$I$5:$I$73,MATCH(B54,'2017'!$A$5:$A$73,0)),"N/A")</f>
        <v>1.58</v>
      </c>
      <c r="G54" s="67">
        <f>IF(ISNUMBER(INDEX('2016'!$I$5:$I$73,MATCH(B54,'2016'!$A$5:$A$73,0))),INDEX('2016'!$I$5:$I$73,MATCH(B54,'2016'!$A$5:$A$73,0)),"N/A")</f>
        <v>1.52</v>
      </c>
      <c r="H54" s="59">
        <v>1.5</v>
      </c>
      <c r="I54" s="59">
        <v>1.49</v>
      </c>
      <c r="J54" s="59">
        <v>1.47</v>
      </c>
      <c r="K54" s="59">
        <v>1.44</v>
      </c>
      <c r="L54" s="59">
        <v>1.4</v>
      </c>
      <c r="M54" s="59">
        <v>1.4</v>
      </c>
      <c r="N54" s="59">
        <v>1.38</v>
      </c>
      <c r="O54" s="59">
        <v>1.34</v>
      </c>
      <c r="P54" s="59">
        <v>1.22</v>
      </c>
      <c r="Q54" s="59">
        <v>1.1000000000000001</v>
      </c>
    </row>
    <row r="55" spans="1:17" x14ac:dyDescent="0.2">
      <c r="A55" s="59" t="s">
        <v>152</v>
      </c>
      <c r="B55" s="59" t="s">
        <v>35</v>
      </c>
      <c r="C55" s="59">
        <f>IF(ISNUMBER(INDEX('2020'!$I$5:$I$73,MATCH(B55,'2020'!$A$5:$A$73,0))),INDEX('2020'!$I$5:$I$73,MATCH(B55,'2020'!$A$5:$A$73,0)),"N/A")</f>
        <v>1.96</v>
      </c>
      <c r="D55" s="59">
        <f>IF(ISNUMBER(INDEX('2019'!$I$5:$I$73,MATCH(B55,'2019'!$A$5:$A$73,0))),INDEX('2019'!$I$5:$I$73,MATCH(B55,'2019'!$A$5:$A$73,0)),"N/A")</f>
        <v>1.88</v>
      </c>
      <c r="E55" s="59">
        <f>IF(ISNUMBER(INDEX('2018'!$I$5:$I$73,MATCH(B55,'2018'!$A$5:$A$73,0))),INDEX('2018'!$I$5:$I$73,MATCH(B55,'2018'!$A$5:$A$73,0)),"N/A")</f>
        <v>1.8</v>
      </c>
      <c r="F55" s="59">
        <f>IF(ISNUMBER(INDEX('2017'!$I$5:$I$73,MATCH(B55,'2017'!$A$5:$A$73,0))),INDEX('2017'!$I$5:$I$73,MATCH(B55,'2017'!$A$5:$A$73,0)),"N/A")</f>
        <v>1.72</v>
      </c>
      <c r="G55" s="67">
        <f>IF(ISNUMBER(INDEX('2016'!$I$5:$I$73,MATCH(B55,'2016'!$A$5:$A$73,0))),INDEX('2016'!$I$5:$I$73,MATCH(B55,'2016'!$A$5:$A$73,0)),"N/A")</f>
        <v>1.64</v>
      </c>
      <c r="H55" s="59">
        <v>1.56</v>
      </c>
      <c r="I55" s="59">
        <v>1.48</v>
      </c>
      <c r="J55" s="59">
        <v>1.44</v>
      </c>
      <c r="K55" s="59">
        <v>1.42</v>
      </c>
      <c r="L55" s="59">
        <v>1.37</v>
      </c>
      <c r="M55" s="59">
        <v>1.37</v>
      </c>
      <c r="N55" s="59">
        <v>1.33</v>
      </c>
      <c r="O55" s="59">
        <v>1.29</v>
      </c>
      <c r="P55" s="59">
        <v>1.17</v>
      </c>
      <c r="Q55" s="59">
        <v>1.1399999999999999</v>
      </c>
    </row>
    <row r="56" spans="1:17" x14ac:dyDescent="0.2">
      <c r="A56" s="59" t="s">
        <v>193</v>
      </c>
      <c r="B56" s="59" t="s">
        <v>194</v>
      </c>
      <c r="C56" s="59">
        <f>IF(ISNUMBER(INDEX('2020'!$I$5:$I$73,MATCH(B56,'2020'!$A$5:$A$73,0))),INDEX('2020'!$I$5:$I$73,MATCH(B56,'2020'!$A$5:$A$73,0)),"N/A")</f>
        <v>0.7</v>
      </c>
      <c r="D56" s="59">
        <f>IF(ISNUMBER(INDEX('2019'!$I$5:$I$73,MATCH(B56,'2019'!$A$5:$A$73,0))),INDEX('2019'!$I$5:$I$73,MATCH(B56,'2019'!$A$5:$A$73,0)),"N/A")</f>
        <v>0.66</v>
      </c>
      <c r="E56" s="59">
        <f>IF(ISNUMBER(INDEX('2018'!$I$5:$I$73,MATCH(B56,'2018'!$A$5:$A$73,0))),INDEX('2018'!$I$5:$I$73,MATCH(B56,'2018'!$A$5:$A$73,0)),"N/A")</f>
        <v>0.62</v>
      </c>
      <c r="F56" s="59">
        <f>IF(ISNUMBER(INDEX('2017'!$I$5:$I$73,MATCH(B56,'2017'!$A$5:$A$73,0))),INDEX('2017'!$I$5:$I$73,MATCH(B56,'2017'!$A$5:$A$73,0)),"N/A")</f>
        <v>0.57999999999999996</v>
      </c>
      <c r="G56" s="67">
        <f>IF(ISNUMBER(INDEX('2016'!$I$5:$I$73,MATCH(B56,'2016'!$A$5:$A$73,0))),INDEX('2016'!$I$5:$I$73,MATCH(B56,'2016'!$A$5:$A$73,0)),"N/A")</f>
        <v>0.54</v>
      </c>
      <c r="H56" s="59">
        <v>0.51300000000000001</v>
      </c>
      <c r="I56" s="59">
        <v>0.49299999999999999</v>
      </c>
      <c r="J56" s="59">
        <v>0.48</v>
      </c>
      <c r="K56" s="59">
        <v>0.46700000000000003</v>
      </c>
      <c r="L56" s="59">
        <v>0.45300000000000001</v>
      </c>
      <c r="M56" s="59">
        <v>0.44</v>
      </c>
      <c r="N56" s="59">
        <v>0.42699999999999999</v>
      </c>
      <c r="O56" s="59">
        <v>0.41699999999999998</v>
      </c>
      <c r="P56" s="59">
        <v>0.40699999999999997</v>
      </c>
      <c r="Q56" s="59">
        <v>0.4</v>
      </c>
    </row>
    <row r="57" spans="1:17" x14ac:dyDescent="0.2">
      <c r="A57" s="59" t="s">
        <v>153</v>
      </c>
      <c r="B57" s="59" t="s">
        <v>36</v>
      </c>
      <c r="C57" s="59" t="str">
        <f>IF(ISNUMBER(INDEX('2020'!$I$5:$I$73,MATCH(B57,'2020'!$A$5:$A$73,0))),INDEX('2020'!$I$5:$I$73,MATCH(B57,'2020'!$A$5:$A$73,0)),"N/A")</f>
        <v>N/A</v>
      </c>
      <c r="D57" s="59" t="str">
        <f>IF(ISNUMBER(INDEX('2019'!$I$5:$I$73,MATCH(B57,'2019'!$A$5:$A$73,0))),INDEX('2019'!$I$5:$I$73,MATCH(B57,'2019'!$A$5:$A$73,0)),"N/A")</f>
        <v>N/A</v>
      </c>
      <c r="E57" s="59" t="str">
        <f>IF(ISNUMBER(INDEX('2018'!$I$5:$I$73,MATCH(B57,'2018'!$A$5:$A$73,0))),INDEX('2018'!$I$5:$I$73,MATCH(B57,'2018'!$A$5:$A$73,0)),"N/A")</f>
        <v>N/A</v>
      </c>
      <c r="F57" s="59">
        <f>IF(ISNUMBER(INDEX('2017'!$I$5:$I$73,MATCH(B57,'2017'!$A$5:$A$73,0))),INDEX('2017'!$I$5:$I$73,MATCH(B57,'2017'!$A$5:$A$73,0)),"N/A")</f>
        <v>2.4500000000000002</v>
      </c>
      <c r="G57" s="67">
        <f>IF(ISNUMBER(INDEX('2016'!$I$5:$I$73,MATCH(B57,'2016'!$A$5:$A$73,0))),INDEX('2016'!$I$5:$I$73,MATCH(B57,'2016'!$A$5:$A$73,0)),"N/A")</f>
        <v>2.2999999999999998</v>
      </c>
      <c r="H57" s="59">
        <v>2.1800000000000002</v>
      </c>
      <c r="I57" s="59">
        <v>2.1</v>
      </c>
      <c r="J57" s="59">
        <v>2.0299999999999998</v>
      </c>
      <c r="K57" s="59">
        <v>1.98</v>
      </c>
      <c r="L57" s="59">
        <v>1.94</v>
      </c>
      <c r="M57" s="59">
        <v>1.9</v>
      </c>
      <c r="N57" s="59">
        <v>1.88</v>
      </c>
      <c r="O57" s="59">
        <v>1.84</v>
      </c>
      <c r="P57" s="59">
        <v>1.76</v>
      </c>
      <c r="Q57" s="59">
        <v>1.68</v>
      </c>
    </row>
    <row r="58" spans="1:17" x14ac:dyDescent="0.2">
      <c r="A58" s="59" t="s">
        <v>154</v>
      </c>
      <c r="B58" s="59" t="s">
        <v>37</v>
      </c>
      <c r="C58" s="59">
        <f>IF(ISNUMBER(INDEX('2020'!$I$5:$I$73,MATCH(B58,'2020'!$A$5:$A$73,0))),INDEX('2020'!$I$5:$I$73,MATCH(B58,'2020'!$A$5:$A$73,0)),"N/A")</f>
        <v>4.18</v>
      </c>
      <c r="D58" s="59">
        <f>IF(ISNUMBER(INDEX('2019'!$I$5:$I$73,MATCH(B58,'2019'!$A$5:$A$73,0))),INDEX('2019'!$I$5:$I$73,MATCH(B58,'2019'!$A$5:$A$73,0)),"N/A")</f>
        <v>3.87</v>
      </c>
      <c r="E58" s="59">
        <f>IF(ISNUMBER(INDEX('2018'!$I$5:$I$73,MATCH(B58,'2018'!$A$5:$A$73,0))),INDEX('2018'!$I$5:$I$73,MATCH(B58,'2018'!$A$5:$A$73,0)),"N/A")</f>
        <v>3.58</v>
      </c>
      <c r="F58" s="59">
        <f>IF(ISNUMBER(INDEX('2017'!$I$5:$I$73,MATCH(B58,'2017'!$A$5:$A$73,0))),INDEX('2017'!$I$5:$I$73,MATCH(B58,'2017'!$A$5:$A$73,0)),"N/A")</f>
        <v>3.29</v>
      </c>
      <c r="G58" s="67">
        <f>IF(ISNUMBER(INDEX('2016'!$I$5:$I$73,MATCH(B58,'2016'!$A$5:$A$73,0))),INDEX('2016'!$I$5:$I$73,MATCH(B58,'2016'!$A$5:$A$73,0)),"N/A")</f>
        <v>3.02</v>
      </c>
      <c r="H58" s="59">
        <v>2.8</v>
      </c>
      <c r="I58" s="59">
        <v>2.64</v>
      </c>
      <c r="J58" s="59">
        <v>2.52</v>
      </c>
      <c r="K58" s="59">
        <v>2.4</v>
      </c>
      <c r="L58" s="59">
        <v>1.92</v>
      </c>
      <c r="M58" s="59">
        <v>1.56</v>
      </c>
      <c r="N58" s="59">
        <v>1.56</v>
      </c>
      <c r="O58" s="59">
        <v>1.37</v>
      </c>
      <c r="P58" s="59">
        <v>1.24</v>
      </c>
      <c r="Q58" s="59">
        <v>1.2</v>
      </c>
    </row>
    <row r="59" spans="1:17" x14ac:dyDescent="0.2">
      <c r="A59" s="59" t="s">
        <v>195</v>
      </c>
      <c r="B59" s="59" t="s">
        <v>196</v>
      </c>
      <c r="C59" s="59">
        <f>IF(ISNUMBER(INDEX('2020'!$I$5:$I$73,MATCH(B59,'2020'!$A$5:$A$73,0))),INDEX('2020'!$I$5:$I$73,MATCH(B59,'2020'!$A$5:$A$73,0)),"N/A")</f>
        <v>1.28</v>
      </c>
      <c r="D59" s="59">
        <f>IF(ISNUMBER(INDEX('2019'!$I$5:$I$73,MATCH(B59,'2019'!$A$5:$A$73,0))),INDEX('2019'!$I$5:$I$73,MATCH(B59,'2019'!$A$5:$A$73,0)),"N/A")</f>
        <v>1.2</v>
      </c>
      <c r="E59" s="59">
        <f>IF(ISNUMBER(INDEX('2018'!$I$5:$I$73,MATCH(B59,'2018'!$A$5:$A$73,0))),INDEX('2018'!$I$5:$I$73,MATCH(B59,'2018'!$A$5:$A$73,0)),"N/A")</f>
        <v>1.1200000000000001</v>
      </c>
      <c r="F59" s="59">
        <f>IF(ISNUMBER(INDEX('2017'!$I$5:$I$73,MATCH(B59,'2017'!$A$5:$A$73,0))),INDEX('2017'!$I$5:$I$73,MATCH(B59,'2017'!$A$5:$A$73,0)),"N/A")</f>
        <v>1.04</v>
      </c>
      <c r="G59" s="67">
        <f>IF(ISNUMBER(INDEX('2016'!$I$5:$I$73,MATCH(B59,'2016'!$A$5:$A$73,0))),INDEX('2016'!$I$5:$I$73,MATCH(B59,'2016'!$A$5:$A$73,0)),"N/A")</f>
        <v>0.81</v>
      </c>
      <c r="H59" s="59">
        <v>0.78</v>
      </c>
      <c r="I59" s="59">
        <v>0.75</v>
      </c>
      <c r="J59" s="59">
        <v>0.73</v>
      </c>
      <c r="K59" s="59">
        <v>0.71</v>
      </c>
      <c r="L59" s="59">
        <v>0.69</v>
      </c>
      <c r="M59" s="59">
        <v>0.68</v>
      </c>
      <c r="N59" s="59">
        <v>0.66</v>
      </c>
      <c r="O59" s="59">
        <v>0.64500000000000002</v>
      </c>
      <c r="P59" s="59">
        <v>0.60499999999999998</v>
      </c>
      <c r="Q59" s="59">
        <v>0.56499999999999995</v>
      </c>
    </row>
    <row r="60" spans="1:17" x14ac:dyDescent="0.2">
      <c r="A60" s="59" t="s">
        <v>197</v>
      </c>
      <c r="B60" s="59" t="s">
        <v>198</v>
      </c>
      <c r="C60" s="59">
        <f>IF(ISNUMBER(INDEX('2020'!$I$5:$I$73,MATCH(B60,'2020'!$A$5:$A$73,0))),INDEX('2020'!$I$5:$I$73,MATCH(B60,'2020'!$A$5:$A$73,0)),"N/A")</f>
        <v>1.19</v>
      </c>
      <c r="D60" s="59">
        <f>IF(ISNUMBER(INDEX('2019'!$I$5:$I$73,MATCH(B60,'2019'!$A$5:$A$73,0))),INDEX('2019'!$I$5:$I$73,MATCH(B60,'2019'!$A$5:$A$73,0)),"N/A")</f>
        <v>1.1599999999999999</v>
      </c>
      <c r="E60" s="59">
        <f>IF(ISNUMBER(INDEX('2018'!$I$5:$I$73,MATCH(B60,'2018'!$A$5:$A$73,0))),INDEX('2018'!$I$5:$I$73,MATCH(B60,'2018'!$A$5:$A$73,0)),"N/A")</f>
        <v>1.1299999999999999</v>
      </c>
      <c r="F60" s="59">
        <f>IF(ISNUMBER(INDEX('2017'!$I$5:$I$73,MATCH(B60,'2017'!$A$5:$A$73,0))),INDEX('2017'!$I$5:$I$73,MATCH(B60,'2017'!$A$5:$A$73,0)),"N/A")</f>
        <v>1.1000000000000001</v>
      </c>
      <c r="G60" s="67">
        <f>IF(ISNUMBER(INDEX('2016'!$I$5:$I$73,MATCH(B60,'2016'!$A$5:$A$73,0))),INDEX('2016'!$I$5:$I$73,MATCH(B60,'2016'!$A$5:$A$73,0)),"N/A")</f>
        <v>1.06</v>
      </c>
      <c r="H60" s="59">
        <v>1.02</v>
      </c>
      <c r="I60" s="59">
        <v>0.96</v>
      </c>
      <c r="J60" s="59">
        <v>0.9</v>
      </c>
      <c r="K60" s="59">
        <v>0.82499999999999996</v>
      </c>
      <c r="L60" s="59">
        <v>0.75</v>
      </c>
      <c r="M60" s="59">
        <v>0.68</v>
      </c>
      <c r="N60" s="59">
        <v>0.61</v>
      </c>
      <c r="O60" s="59">
        <v>0.55500000000000005</v>
      </c>
      <c r="P60" s="59">
        <v>0.505</v>
      </c>
      <c r="Q60" s="59">
        <v>0.46</v>
      </c>
    </row>
    <row r="61" spans="1:17" x14ac:dyDescent="0.2">
      <c r="A61" s="59" t="s">
        <v>155</v>
      </c>
      <c r="B61" s="59" t="s">
        <v>38</v>
      </c>
      <c r="C61" s="59">
        <f>IF(ISNUMBER(INDEX('2020'!$I$5:$I$73,MATCH(B61,'2020'!$A$5:$A$73,0))),INDEX('2020'!$I$5:$I$73,MATCH(B61,'2020'!$A$5:$A$73,0)),"N/A")</f>
        <v>2.54</v>
      </c>
      <c r="D61" s="59">
        <f>IF(ISNUMBER(INDEX('2019'!$I$5:$I$73,MATCH(B61,'2019'!$A$5:$A$73,0))),INDEX('2019'!$I$5:$I$73,MATCH(B61,'2019'!$A$5:$A$73,0)),"N/A")</f>
        <v>2.46</v>
      </c>
      <c r="E61" s="59">
        <f>IF(ISNUMBER(INDEX('2018'!$I$5:$I$73,MATCH(B61,'2018'!$A$5:$A$73,0))),INDEX('2018'!$I$5:$I$73,MATCH(B61,'2018'!$A$5:$A$73,0)),"N/A")</f>
        <v>2.38</v>
      </c>
      <c r="F61" s="59">
        <f>IF(ISNUMBER(INDEX('2017'!$I$5:$I$73,MATCH(B61,'2017'!$A$5:$A$73,0))),INDEX('2017'!$I$5:$I$73,MATCH(B61,'2017'!$A$5:$A$73,0)),"N/A")</f>
        <v>2.2999999999999998</v>
      </c>
      <c r="G61" s="67">
        <f>IF(ISNUMBER(INDEX('2016'!$I$5:$I$73,MATCH(B61,'2016'!$A$5:$A$73,0))),INDEX('2016'!$I$5:$I$73,MATCH(B61,'2016'!$A$5:$A$73,0)),"N/A")</f>
        <v>2.2229999999999999</v>
      </c>
      <c r="H61" s="59">
        <v>2.153</v>
      </c>
      <c r="I61" s="59">
        <v>2.0830000000000002</v>
      </c>
      <c r="J61" s="59">
        <v>2.0129999999999999</v>
      </c>
      <c r="K61" s="59">
        <v>1.9430000000000001</v>
      </c>
      <c r="L61" s="59">
        <v>1.873</v>
      </c>
      <c r="M61" s="59">
        <v>1.8029999999999999</v>
      </c>
      <c r="N61" s="59">
        <v>1.7330000000000001</v>
      </c>
      <c r="O61" s="59">
        <v>1.663</v>
      </c>
      <c r="P61" s="59">
        <v>1.595</v>
      </c>
      <c r="Q61" s="59">
        <v>1.5349999999999999</v>
      </c>
    </row>
    <row r="62" spans="1:17" x14ac:dyDescent="0.2">
      <c r="A62" s="59" t="s">
        <v>199</v>
      </c>
      <c r="B62" s="59" t="s">
        <v>200</v>
      </c>
      <c r="C62" s="59">
        <f>IF(ISNUMBER(INDEX('2020'!$I$5:$I$73,MATCH(B62,'2020'!$A$5:$A$73,0))),INDEX('2020'!$I$5:$I$73,MATCH(B62,'2020'!$A$5:$A$73,0)),"N/A")</f>
        <v>2.2799999999999998</v>
      </c>
      <c r="D62" s="59">
        <f>IF(ISNUMBER(INDEX('2019'!$I$5:$I$73,MATCH(B62,'2019'!$A$5:$A$73,0))),INDEX('2019'!$I$5:$I$73,MATCH(B62,'2019'!$A$5:$A$73,0)),"N/A")</f>
        <v>2.1800000000000002</v>
      </c>
      <c r="E62" s="59">
        <f>IF(ISNUMBER(INDEX('2018'!$I$5:$I$73,MATCH(B62,'2018'!$A$5:$A$73,0))),INDEX('2018'!$I$5:$I$73,MATCH(B62,'2018'!$A$5:$A$73,0)),"N/A")</f>
        <v>2.08</v>
      </c>
      <c r="F62" s="59">
        <f>IF(ISNUMBER(INDEX('2017'!$I$5:$I$73,MATCH(B62,'2017'!$A$5:$A$73,0))),INDEX('2017'!$I$5:$I$73,MATCH(B62,'2017'!$A$5:$A$73,0)),"N/A")</f>
        <v>1.98</v>
      </c>
      <c r="G62" s="67">
        <f>IF(ISNUMBER(INDEX('2016'!$I$5:$I$73,MATCH(B62,'2016'!$A$5:$A$73,0))),INDEX('2016'!$I$5:$I$73,MATCH(B62,'2016'!$A$5:$A$73,0)),"N/A")</f>
        <v>1.8</v>
      </c>
      <c r="H62" s="59">
        <v>1.62</v>
      </c>
      <c r="I62" s="59">
        <v>1.46</v>
      </c>
      <c r="J62" s="59">
        <v>1.32</v>
      </c>
      <c r="K62" s="59">
        <v>1.18</v>
      </c>
      <c r="L62" s="59">
        <v>1.06</v>
      </c>
      <c r="M62" s="59">
        <v>1</v>
      </c>
      <c r="N62" s="59">
        <v>0.95</v>
      </c>
      <c r="O62" s="59">
        <v>0.9</v>
      </c>
      <c r="P62" s="59">
        <v>0.86</v>
      </c>
      <c r="Q62" s="59">
        <v>0.82</v>
      </c>
    </row>
    <row r="63" spans="1:17" x14ac:dyDescent="0.2">
      <c r="A63" s="59" t="s">
        <v>243</v>
      </c>
      <c r="B63" s="59" t="s">
        <v>244</v>
      </c>
      <c r="C63" s="59">
        <f>IF(ISNUMBER(INDEX('2020'!$I$5:$I$73,MATCH(B63,'2020'!$A$5:$A$73,0))),INDEX('2020'!$I$5:$I$73,MATCH(B63,'2020'!$A$5:$A$73,0)),"N/A")</f>
        <v>2.4900000000000002</v>
      </c>
      <c r="D63" s="59">
        <f>IF(ISNUMBER(INDEX('2019'!$I$5:$I$73,MATCH(B63,'2019'!$A$5:$A$73,0))),INDEX('2019'!$I$5:$I$73,MATCH(B63,'2019'!$A$5:$A$73,0)),"N/A")</f>
        <v>2.37</v>
      </c>
      <c r="E63" s="59">
        <f>IF(ISNUMBER(INDEX('2018'!$I$5:$I$73,MATCH(B63,'2018'!$A$5:$A$73,0))),INDEX('2018'!$I$5:$I$73,MATCH(B63,'2018'!$A$5:$A$73,0)),"N/A")</f>
        <v>2.25</v>
      </c>
      <c r="F63" s="59">
        <f>IF(ISNUMBER(INDEX('2017'!$I$5:$I$73,MATCH(B63,'2017'!$A$5:$A$73,0))),INDEX('2017'!$I$5:$I$73,MATCH(B63,'2017'!$A$5:$A$73,0)),"N/A")</f>
        <v>2.1</v>
      </c>
      <c r="G63" s="67">
        <f>IF(ISNUMBER(INDEX('2016'!$I$5:$I$73,MATCH(B63,'2016'!$A$5:$A$73,0))),INDEX('2016'!$I$5:$I$73,MATCH(B63,'2016'!$A$5:$A$73,0)),"N/A")</f>
        <v>1.96</v>
      </c>
      <c r="H63" s="59">
        <v>1.84</v>
      </c>
      <c r="I63" s="59">
        <v>1.76</v>
      </c>
      <c r="J63" s="59">
        <v>1.7</v>
      </c>
      <c r="K63" s="59">
        <v>1.66</v>
      </c>
      <c r="L63" s="59">
        <v>1.61</v>
      </c>
      <c r="M63" s="59">
        <v>1.57</v>
      </c>
      <c r="N63" s="59">
        <v>1.53</v>
      </c>
      <c r="O63" s="59">
        <v>1.49</v>
      </c>
      <c r="P63" s="59">
        <v>1.45</v>
      </c>
      <c r="Q63" s="59">
        <v>1.4</v>
      </c>
    </row>
    <row r="64" spans="1:17" x14ac:dyDescent="0.2">
      <c r="A64" s="59" t="s">
        <v>201</v>
      </c>
      <c r="B64" s="59" t="s">
        <v>202</v>
      </c>
      <c r="C64" s="59">
        <f>IF(ISNUMBER(INDEX('2020'!$I$5:$I$73,MATCH(B64,'2020'!$A$5:$A$73,0))),INDEX('2020'!$I$5:$I$73,MATCH(B64,'2020'!$A$5:$A$73,0)),"N/A")</f>
        <v>0.51500000000000001</v>
      </c>
      <c r="D64" s="59">
        <f>IF(ISNUMBER(INDEX('2019'!$I$5:$I$73,MATCH(B64,'2019'!$A$5:$A$73,0))),INDEX('2019'!$I$5:$I$73,MATCH(B64,'2019'!$A$5:$A$73,0)),"N/A")</f>
        <v>0.48499999999999999</v>
      </c>
      <c r="E64" s="59">
        <f>IF(ISNUMBER(INDEX('2018'!$I$5:$I$73,MATCH(B64,'2018'!$A$5:$A$73,0))),INDEX('2018'!$I$5:$I$73,MATCH(B64,'2018'!$A$5:$A$73,0)),"N/A")</f>
        <v>0.45500000000000002</v>
      </c>
      <c r="F64" s="59">
        <f>IF(ISNUMBER(INDEX('2017'!$I$5:$I$73,MATCH(B64,'2017'!$A$5:$A$73,0))),INDEX('2017'!$I$5:$I$73,MATCH(B64,'2017'!$A$5:$A$73,0)),"N/A")</f>
        <v>0.42499999999999999</v>
      </c>
      <c r="G64" s="67">
        <f>IF(ISNUMBER(INDEX('2016'!$I$5:$I$73,MATCH(B64,'2016'!$A$5:$A$73,0))),INDEX('2016'!$I$5:$I$73,MATCH(B64,'2016'!$A$5:$A$73,0)),"N/A")</f>
        <v>0.39500000000000002</v>
      </c>
      <c r="H64" s="59">
        <v>0.36499999999999999</v>
      </c>
      <c r="I64" s="59">
        <v>0.34499999999999997</v>
      </c>
      <c r="J64" s="59">
        <v>0.32500000000000001</v>
      </c>
      <c r="K64" s="59">
        <v>0.31</v>
      </c>
      <c r="L64" s="59">
        <v>0.31</v>
      </c>
      <c r="M64" s="59">
        <v>0.28999999999999998</v>
      </c>
      <c r="N64" s="59">
        <v>0.27</v>
      </c>
      <c r="O64" s="59">
        <v>0</v>
      </c>
      <c r="P64" s="59">
        <v>0</v>
      </c>
      <c r="Q64" s="59">
        <v>0</v>
      </c>
    </row>
    <row r="65" spans="1:17" x14ac:dyDescent="0.2">
      <c r="A65" s="59" t="s">
        <v>203</v>
      </c>
      <c r="B65" s="59" t="s">
        <v>204</v>
      </c>
      <c r="C65" s="59">
        <f>IF(ISNUMBER(INDEX('2020'!$I$5:$I$73,MATCH(B65,'2020'!$A$5:$A$73,0))),INDEX('2020'!$I$5:$I$73,MATCH(B65,'2020'!$A$5:$A$73,0)),"N/A")</f>
        <v>1.31</v>
      </c>
      <c r="D65" s="59">
        <f>IF(ISNUMBER(INDEX('2019'!$I$5:$I$73,MATCH(B65,'2019'!$A$5:$A$73,0))),INDEX('2019'!$I$5:$I$73,MATCH(B65,'2019'!$A$5:$A$73,0)),"N/A")</f>
        <v>1.1499999999999999</v>
      </c>
      <c r="E65" s="59">
        <f>IF(ISNUMBER(INDEX('2018'!$I$5:$I$73,MATCH(B65,'2018'!$A$5:$A$73,0))),INDEX('2018'!$I$5:$I$73,MATCH(B65,'2018'!$A$5:$A$73,0)),"N/A")</f>
        <v>1.02</v>
      </c>
      <c r="F65" s="59">
        <f>IF(ISNUMBER(INDEX('2017'!$I$5:$I$73,MATCH(B65,'2017'!$A$5:$A$73,0))),INDEX('2017'!$I$5:$I$73,MATCH(B65,'2017'!$A$5:$A$73,0)),"N/A")</f>
        <v>0.96</v>
      </c>
      <c r="G65" s="67">
        <f>IF(ISNUMBER(INDEX('2016'!$I$5:$I$73,MATCH(B65,'2016'!$A$5:$A$73,0))),INDEX('2016'!$I$5:$I$73,MATCH(B65,'2016'!$A$5:$A$73,0)),"N/A")</f>
        <v>0.93</v>
      </c>
      <c r="H65" s="59">
        <v>0.89</v>
      </c>
      <c r="I65" s="59">
        <v>0.79100000000000004</v>
      </c>
      <c r="J65" s="59">
        <v>0.74</v>
      </c>
      <c r="K65" s="59">
        <v>0.70699999999999996</v>
      </c>
      <c r="L65" s="59">
        <v>0.68</v>
      </c>
      <c r="M65" s="59">
        <v>0.6</v>
      </c>
      <c r="N65" s="59">
        <v>0.52300000000000002</v>
      </c>
      <c r="O65" s="59">
        <v>0.503</v>
      </c>
      <c r="P65" s="59">
        <v>0.48099999999999998</v>
      </c>
      <c r="Q65" s="59">
        <v>0.45500000000000002</v>
      </c>
    </row>
    <row r="66" spans="1:17" x14ac:dyDescent="0.2">
      <c r="A66" s="59" t="s">
        <v>159</v>
      </c>
      <c r="B66" s="59" t="s">
        <v>83</v>
      </c>
      <c r="C66" s="59">
        <f>IF(ISNUMBER(INDEX('2020'!$I$5:$I$73,MATCH(B66,'2020'!$A$5:$A$73,0))),INDEX('2020'!$I$5:$I$73,MATCH(B66,'2020'!$A$5:$A$73,0)),"N/A")</f>
        <v>1.5</v>
      </c>
      <c r="D66" s="59">
        <f>IF(ISNUMBER(INDEX('2019'!$I$5:$I$73,MATCH(B66,'2019'!$A$5:$A$73,0))),INDEX('2019'!$I$5:$I$73,MATCH(B66,'2019'!$A$5:$A$73,0)),"N/A")</f>
        <v>1.48</v>
      </c>
      <c r="E66" s="59">
        <f>IF(ISNUMBER(INDEX('2018'!$I$5:$I$73,MATCH(B66,'2018'!$A$5:$A$73,0))),INDEX('2018'!$I$5:$I$73,MATCH(B66,'2018'!$A$5:$A$73,0)),"N/A")</f>
        <v>1.46</v>
      </c>
      <c r="F66" s="59">
        <f>IF(ISNUMBER(INDEX('2017'!$I$5:$I$73,MATCH(B66,'2017'!$A$5:$A$73,0))),INDEX('2017'!$I$5:$I$73,MATCH(B66,'2017'!$A$5:$A$73,0)),"N/A")</f>
        <v>1.44</v>
      </c>
      <c r="G66" s="67">
        <f>IF(ISNUMBER(INDEX('2016'!$I$5:$I$73,MATCH(B66,'2016'!$A$5:$A$73,0))),INDEX('2016'!$I$5:$I$73,MATCH(B66,'2016'!$A$5:$A$73,0)),"N/A")</f>
        <v>1.42</v>
      </c>
      <c r="H66" s="59">
        <v>1.4</v>
      </c>
      <c r="I66" s="59">
        <v>1.385</v>
      </c>
      <c r="J66" s="59">
        <v>1.38</v>
      </c>
      <c r="K66" s="59">
        <v>1.38</v>
      </c>
      <c r="L66" s="59">
        <v>1.38</v>
      </c>
      <c r="M66" s="59">
        <v>1.38</v>
      </c>
      <c r="N66" s="59">
        <v>1.38</v>
      </c>
      <c r="O66" s="59">
        <v>1.38</v>
      </c>
      <c r="P66" s="59">
        <v>1.38</v>
      </c>
      <c r="Q66" s="59">
        <v>1.38</v>
      </c>
    </row>
    <row r="67" spans="1:17" x14ac:dyDescent="0.2">
      <c r="A67" s="59" t="s">
        <v>156</v>
      </c>
      <c r="B67" s="59" t="s">
        <v>42</v>
      </c>
      <c r="C67" s="59" t="str">
        <f>IF(ISNUMBER(INDEX('2020'!$I$5:$I$73,MATCH(B67,'2020'!$A$5:$A$73,0))),INDEX('2020'!$I$5:$I$73,MATCH(B67,'2020'!$A$5:$A$73,0)),"N/A")</f>
        <v>N/A</v>
      </c>
      <c r="D67" s="59" t="str">
        <f>IF(ISNUMBER(INDEX('2019'!$I$5:$I$73,MATCH(B67,'2019'!$A$5:$A$73,0))),INDEX('2019'!$I$5:$I$73,MATCH(B67,'2019'!$A$5:$A$73,0)),"N/A")</f>
        <v>N/A</v>
      </c>
      <c r="E67" s="59" t="str">
        <f>IF(ISNUMBER(INDEX('2018'!$I$5:$I$73,MATCH(B67,'2018'!$A$5:$A$73,0))),INDEX('2018'!$I$5:$I$73,MATCH(B67,'2018'!$A$5:$A$73,0)),"N/A")</f>
        <v>N/A</v>
      </c>
      <c r="F67" s="59">
        <f>IF(ISNUMBER(INDEX('2017'!$I$5:$I$73,MATCH(B67,'2017'!$A$5:$A$73,0))),INDEX('2017'!$I$5:$I$73,MATCH(B67,'2017'!$A$5:$A$73,0)),"N/A")</f>
        <v>1.71</v>
      </c>
      <c r="G67" s="67">
        <f>IF(ISNUMBER(INDEX('2016'!$I$5:$I$73,MATCH(B67,'2016'!$A$5:$A$73,0))),INDEX('2016'!$I$5:$I$73,MATCH(B67,'2016'!$A$5:$A$73,0)),"N/A")</f>
        <v>1.62</v>
      </c>
      <c r="H67" s="59">
        <v>1.54</v>
      </c>
      <c r="I67" s="59">
        <v>1.46</v>
      </c>
      <c r="J67" s="59">
        <v>1.425</v>
      </c>
      <c r="K67" s="59">
        <v>1.405</v>
      </c>
      <c r="L67" s="59">
        <v>1.385</v>
      </c>
      <c r="M67" s="59">
        <v>1.37</v>
      </c>
      <c r="N67" s="59">
        <v>1.35</v>
      </c>
      <c r="O67" s="59">
        <v>1.31</v>
      </c>
      <c r="P67" s="59">
        <v>1.27</v>
      </c>
      <c r="Q67" s="59">
        <v>1.23</v>
      </c>
    </row>
    <row r="68" spans="1:17" x14ac:dyDescent="0.2">
      <c r="A68" s="59" t="s">
        <v>217</v>
      </c>
      <c r="B68" s="59" t="s">
        <v>44</v>
      </c>
      <c r="C68" s="59">
        <f>IF(ISNUMBER(INDEX('2020'!$I$5:$I$73,MATCH(B68,'2020'!$A$5:$A$73,0))),INDEX('2020'!$I$5:$I$73,MATCH(B68,'2020'!$A$5:$A$73,0)),"N/A")</f>
        <v>2.5299999999999998</v>
      </c>
      <c r="D68" s="59">
        <f>IF(ISNUMBER(INDEX('2019'!$I$5:$I$73,MATCH(B68,'2019'!$A$5:$A$73,0))),INDEX('2019'!$I$5:$I$73,MATCH(B68,'2019'!$A$5:$A$73,0)),"N/A")</f>
        <v>2.36</v>
      </c>
      <c r="E68" s="59">
        <f>IF(ISNUMBER(INDEX('2018'!$I$5:$I$73,MATCH(B68,'2018'!$A$5:$A$73,0))),INDEX('2018'!$I$5:$I$73,MATCH(B68,'2018'!$A$5:$A$73,0)),"N/A")</f>
        <v>2.21</v>
      </c>
      <c r="F68" s="59">
        <f>IF(ISNUMBER(INDEX('2017'!$I$5:$I$73,MATCH(B68,'2017'!$A$5:$A$73,0))),INDEX('2017'!$I$5:$I$73,MATCH(B68,'2017'!$A$5:$A$73,0)),"N/A")</f>
        <v>2.08</v>
      </c>
      <c r="G68" s="67">
        <f>IF(ISNUMBER(INDEX('2016'!$I$5:$I$73,MATCH(B68,'2016'!$A$5:$A$73,0))),INDEX('2016'!$I$5:$I$73,MATCH(B68,'2016'!$A$5:$A$73,0)),"N/A")</f>
        <v>1.98</v>
      </c>
      <c r="H68" s="59">
        <v>1.74</v>
      </c>
      <c r="I68" s="59">
        <v>1.56</v>
      </c>
      <c r="J68" s="59">
        <v>1.4450000000000001</v>
      </c>
      <c r="K68" s="59">
        <v>1.2</v>
      </c>
      <c r="L68" s="59">
        <v>1.04</v>
      </c>
      <c r="M68" s="59">
        <v>0.8</v>
      </c>
      <c r="N68" s="59">
        <v>0.67500000000000004</v>
      </c>
      <c r="O68" s="59">
        <v>0.54</v>
      </c>
      <c r="P68" s="59">
        <v>0.5</v>
      </c>
      <c r="Q68" s="59">
        <v>0.46</v>
      </c>
    </row>
    <row r="69" spans="1:17" x14ac:dyDescent="0.2">
      <c r="A69" s="59" t="s">
        <v>157</v>
      </c>
      <c r="B69" s="59" t="s">
        <v>43</v>
      </c>
      <c r="C69" s="59" t="str">
        <f>IF(ISNUMBER(INDEX('2020'!$I$5:$I$73,MATCH(B69,'2020'!$A$5:$A$73,0))),INDEX('2020'!$I$5:$I$73,MATCH(B69,'2020'!$A$5:$A$73,0)),"N/A")</f>
        <v>N/A</v>
      </c>
      <c r="D69" s="59" t="str">
        <f>IF(ISNUMBER(INDEX('2019'!$I$5:$I$73,MATCH(B69,'2019'!$A$5:$A$73,0))),INDEX('2019'!$I$5:$I$73,MATCH(B69,'2019'!$A$5:$A$73,0)),"N/A")</f>
        <v>N/A</v>
      </c>
      <c r="E69" s="59" t="str">
        <f>IF(ISNUMBER(INDEX('2018'!$I$5:$I$73,MATCH(B69,'2018'!$A$5:$A$73,0))),INDEX('2018'!$I$5:$I$73,MATCH(B69,'2018'!$A$5:$A$73,0)),"N/A")</f>
        <v>N/A</v>
      </c>
      <c r="F69" s="59">
        <f>IF(ISNUMBER(INDEX('2017'!$I$5:$I$73,MATCH(B69,'2017'!$A$5:$A$73,0))),INDEX('2017'!$I$5:$I$73,MATCH(B69,'2017'!$A$5:$A$73,0)),"N/A")</f>
        <v>1.6</v>
      </c>
      <c r="G69" s="67">
        <f>IF(ISNUMBER(INDEX('2016'!$I$5:$I$73,MATCH(B69,'2016'!$A$5:$A$73,0))),INDEX('2016'!$I$5:$I$73,MATCH(B69,'2016'!$A$5:$A$73,0)),"N/A")</f>
        <v>1.52</v>
      </c>
      <c r="H69" s="59">
        <v>1.44</v>
      </c>
      <c r="I69" s="59">
        <v>1.4</v>
      </c>
      <c r="J69" s="59">
        <v>1.36</v>
      </c>
      <c r="K69" s="59">
        <v>1.32</v>
      </c>
      <c r="L69" s="59">
        <v>1.28</v>
      </c>
      <c r="M69" s="59">
        <v>1.24</v>
      </c>
      <c r="N69" s="59">
        <v>1.2</v>
      </c>
      <c r="O69" s="59">
        <v>1.1599999999999999</v>
      </c>
      <c r="P69" s="59">
        <v>1.08</v>
      </c>
      <c r="Q69" s="59">
        <v>0.98</v>
      </c>
    </row>
    <row r="70" spans="1:17" x14ac:dyDescent="0.2">
      <c r="A70" s="59" t="s">
        <v>205</v>
      </c>
      <c r="B70" s="59" t="s">
        <v>206</v>
      </c>
      <c r="C70" s="59" t="str">
        <f>IF(ISNUMBER(INDEX('2020'!$I$5:$I$73,MATCH(B70,'2020'!$A$5:$A$73,0))),INDEX('2020'!$I$5:$I$73,MATCH(B70,'2020'!$A$5:$A$73,0)),"N/A")</f>
        <v>N/A</v>
      </c>
      <c r="D70" s="59" t="str">
        <f>IF(ISNUMBER(INDEX('2019'!$I$5:$I$73,MATCH(B70,'2019'!$A$5:$A$73,0))),INDEX('2019'!$I$5:$I$73,MATCH(B70,'2019'!$A$5:$A$73,0)),"N/A")</f>
        <v>N/A</v>
      </c>
      <c r="E70" s="59" t="str">
        <f>IF(ISNUMBER(INDEX('2018'!$I$5:$I$73,MATCH(B70,'2018'!$A$5:$A$73,0))),INDEX('2018'!$I$5:$I$73,MATCH(B70,'2018'!$A$5:$A$73,0)),"N/A")</f>
        <v>N/A</v>
      </c>
      <c r="F70" s="59">
        <f>IF(ISNUMBER(INDEX('2017'!$I$5:$I$73,MATCH(B70,'2017'!$A$5:$A$73,0))),INDEX('2017'!$I$5:$I$73,MATCH(B70,'2017'!$A$5:$A$73,0)),"N/A")</f>
        <v>2.02</v>
      </c>
      <c r="G70" s="67">
        <f>IF(ISNUMBER(INDEX('2016'!$I$5:$I$73,MATCH(B70,'2016'!$A$5:$A$73,0))),INDEX('2016'!$I$5:$I$73,MATCH(B70,'2016'!$A$5:$A$73,0)),"N/A")</f>
        <v>1.93</v>
      </c>
      <c r="H70" s="59">
        <v>1.83</v>
      </c>
      <c r="I70" s="59">
        <v>1.72</v>
      </c>
      <c r="J70" s="59">
        <v>1.66</v>
      </c>
      <c r="K70" s="59">
        <v>1.59</v>
      </c>
      <c r="L70" s="59">
        <v>1.55</v>
      </c>
      <c r="M70" s="59">
        <v>1.5</v>
      </c>
      <c r="N70" s="59">
        <v>1.47</v>
      </c>
      <c r="O70" s="59">
        <v>1.4079999999999999</v>
      </c>
      <c r="P70" s="59">
        <v>1.365</v>
      </c>
      <c r="Q70" s="59">
        <v>1.345</v>
      </c>
    </row>
    <row r="71" spans="1:17" x14ac:dyDescent="0.2">
      <c r="A71" s="59" t="s">
        <v>158</v>
      </c>
      <c r="B71" s="59" t="s">
        <v>45</v>
      </c>
      <c r="C71" s="59">
        <f>IF(ISNUMBER(INDEX('2020'!$I$5:$I$73,MATCH(B71,'2020'!$A$5:$A$73,0))),INDEX('2020'!$I$5:$I$73,MATCH(B71,'2020'!$A$5:$A$73,0)),"N/A")</f>
        <v>1.72</v>
      </c>
      <c r="D71" s="59">
        <f>IF(ISNUMBER(INDEX('2019'!$I$5:$I$73,MATCH(B71,'2019'!$A$5:$A$73,0))),INDEX('2019'!$I$5:$I$73,MATCH(B71,'2019'!$A$5:$A$73,0)),"N/A")</f>
        <v>1.62</v>
      </c>
      <c r="E71" s="59">
        <f>IF(ISNUMBER(INDEX('2018'!$I$5:$I$73,MATCH(B71,'2018'!$A$5:$A$73,0))),INDEX('2018'!$I$5:$I$73,MATCH(B71,'2018'!$A$5:$A$73,0)),"N/A")</f>
        <v>1.52</v>
      </c>
      <c r="F71" s="59">
        <f>IF(ISNUMBER(INDEX('2017'!$I$5:$I$73,MATCH(B71,'2017'!$A$5:$A$73,0))),INDEX('2017'!$I$5:$I$73,MATCH(B71,'2017'!$A$5:$A$73,0)),"N/A")</f>
        <v>1.44</v>
      </c>
      <c r="G71" s="67">
        <f>IF(ISNUMBER(INDEX('2016'!$I$5:$I$73,MATCH(B71,'2016'!$A$5:$A$73,0))),INDEX('2016'!$I$5:$I$73,MATCH(B71,'2016'!$A$5:$A$73,0)),"N/A")</f>
        <v>1.36</v>
      </c>
      <c r="H71" s="59">
        <v>1.28</v>
      </c>
      <c r="I71" s="59">
        <v>1.2</v>
      </c>
      <c r="J71" s="59">
        <v>1.1100000000000001</v>
      </c>
      <c r="K71" s="59">
        <v>1.07</v>
      </c>
      <c r="L71" s="59">
        <v>1.03</v>
      </c>
      <c r="M71" s="59">
        <v>1</v>
      </c>
      <c r="N71" s="59">
        <v>0.97</v>
      </c>
      <c r="O71" s="59">
        <v>0.94</v>
      </c>
      <c r="P71" s="59">
        <v>0.91</v>
      </c>
      <c r="Q71" s="59">
        <v>0.88</v>
      </c>
    </row>
    <row r="72" spans="1:17" x14ac:dyDescent="0.2">
      <c r="A72" s="59" t="s">
        <v>207</v>
      </c>
      <c r="B72" s="59" t="s">
        <v>208</v>
      </c>
      <c r="C72" s="59">
        <f>IF(ISNUMBER(INDEX('2020'!$I$5:$I$73,MATCH(B72,'2020'!$A$5:$A$73,0))),INDEX('2020'!$I$5:$I$73,MATCH(B72,'2020'!$A$5:$A$73,0)),"N/A")</f>
        <v>0.73</v>
      </c>
      <c r="D72" s="59">
        <f>IF(ISNUMBER(INDEX('2019'!$I$5:$I$73,MATCH(B72,'2019'!$A$5:$A$73,0))),INDEX('2019'!$I$5:$I$73,MATCH(B72,'2019'!$A$5:$A$73,0)),"N/A")</f>
        <v>0.7</v>
      </c>
      <c r="E72" s="59">
        <f>IF(ISNUMBER(INDEX('2018'!$I$5:$I$73,MATCH(B72,'2018'!$A$5:$A$73,0))),INDEX('2018'!$I$5:$I$73,MATCH(B72,'2018'!$A$5:$A$73,0)),"N/A")</f>
        <v>0.67300000000000004</v>
      </c>
      <c r="F72" s="59">
        <f>IF(ISNUMBER(INDEX('2017'!$I$5:$I$73,MATCH(B72,'2017'!$A$5:$A$73,0))),INDEX('2017'!$I$5:$I$73,MATCH(B72,'2017'!$A$5:$A$73,0)),"N/A")</f>
        <v>0.65</v>
      </c>
      <c r="G72" s="67">
        <f>IF(ISNUMBER(INDEX('2016'!$I$5:$I$73,MATCH(B72,'2016'!$A$5:$A$73,0))),INDEX('2016'!$I$5:$I$73,MATCH(B72,'2016'!$A$5:$A$73,0)),"N/A")</f>
        <v>0.63</v>
      </c>
      <c r="H72" s="59">
        <v>0.6</v>
      </c>
      <c r="I72" s="59">
        <v>0.57199999999999995</v>
      </c>
      <c r="J72" s="59">
        <v>0.55200000000000005</v>
      </c>
      <c r="K72" s="59">
        <v>0.53900000000000003</v>
      </c>
      <c r="L72" s="59">
        <v>0.52700000000000002</v>
      </c>
      <c r="M72" s="59">
        <v>0.51500000000000001</v>
      </c>
      <c r="N72" s="59">
        <v>0.50600000000000001</v>
      </c>
      <c r="O72" s="59">
        <v>0.48899999999999999</v>
      </c>
      <c r="P72" s="59">
        <v>0.47499999999999998</v>
      </c>
      <c r="Q72" s="59">
        <v>0.45400000000000001</v>
      </c>
    </row>
  </sheetData>
  <autoFilter ref="A3:R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72"/>
  <sheetViews>
    <sheetView workbookViewId="0">
      <selection activeCell="D1" sqref="D1"/>
    </sheetView>
  </sheetViews>
  <sheetFormatPr defaultColWidth="8.69921875" defaultRowHeight="10.199999999999999" x14ac:dyDescent="0.2"/>
  <cols>
    <col min="1" max="1" width="19.19921875" style="59" customWidth="1"/>
    <col min="2" max="2" width="5.19921875" style="59" bestFit="1" customWidth="1"/>
    <col min="3" max="4" width="5.19921875" style="59" customWidth="1"/>
    <col min="5" max="6" width="6.8984375" style="59" bestFit="1" customWidth="1"/>
    <col min="7" max="17" width="6.69921875" style="59" customWidth="1"/>
    <col min="18" max="16384" width="8.69921875" style="59"/>
  </cols>
  <sheetData>
    <row r="1" spans="1:18" ht="30.6" x14ac:dyDescent="0.2">
      <c r="A1" s="58" t="s">
        <v>315</v>
      </c>
      <c r="C1" s="59">
        <v>2020</v>
      </c>
      <c r="D1" s="60">
        <v>2019</v>
      </c>
      <c r="E1" s="60">
        <v>2018</v>
      </c>
      <c r="F1" s="60">
        <v>2017</v>
      </c>
      <c r="G1" s="60">
        <v>2016</v>
      </c>
      <c r="H1" s="60">
        <v>2015</v>
      </c>
      <c r="I1" s="60">
        <v>2014</v>
      </c>
      <c r="J1" s="60">
        <v>2013</v>
      </c>
      <c r="K1" s="60">
        <v>2012</v>
      </c>
      <c r="L1" s="60">
        <v>2011</v>
      </c>
      <c r="M1" s="60">
        <v>2010</v>
      </c>
      <c r="N1" s="60">
        <v>2009</v>
      </c>
      <c r="O1" s="60">
        <v>2008</v>
      </c>
      <c r="P1" s="60">
        <v>2007</v>
      </c>
      <c r="Q1" s="60">
        <v>2006</v>
      </c>
    </row>
    <row r="2" spans="1:18" x14ac:dyDescent="0.2">
      <c r="A2" s="67" t="s">
        <v>314</v>
      </c>
      <c r="E2" s="69">
        <f>'2018'!$A$1</f>
        <v>43642</v>
      </c>
      <c r="F2" s="69">
        <f>'2017'!$A$1</f>
        <v>43272</v>
      </c>
      <c r="G2" s="69">
        <f>'2016'!$A$1</f>
        <v>42907</v>
      </c>
      <c r="H2" s="74">
        <v>42840</v>
      </c>
      <c r="I2" s="74">
        <v>42840</v>
      </c>
      <c r="J2" s="74">
        <v>42840</v>
      </c>
      <c r="K2" s="74">
        <v>42840</v>
      </c>
      <c r="L2" s="74">
        <v>42840</v>
      </c>
      <c r="M2" s="74">
        <v>42840</v>
      </c>
      <c r="N2" s="74">
        <v>42840</v>
      </c>
      <c r="O2" s="74">
        <v>42840</v>
      </c>
      <c r="P2" s="74">
        <v>42840</v>
      </c>
      <c r="Q2" s="74">
        <v>42840</v>
      </c>
      <c r="R2" s="59" t="s">
        <v>347</v>
      </c>
    </row>
    <row r="3" spans="1:18" ht="20.399999999999999" x14ac:dyDescent="0.2">
      <c r="A3" s="59" t="s">
        <v>117</v>
      </c>
      <c r="B3" s="59" t="s">
        <v>99</v>
      </c>
      <c r="G3" s="58" t="s">
        <v>306</v>
      </c>
      <c r="H3" s="58" t="s">
        <v>305</v>
      </c>
      <c r="I3" s="58" t="s">
        <v>304</v>
      </c>
      <c r="J3" s="58" t="s">
        <v>303</v>
      </c>
      <c r="K3" s="58" t="s">
        <v>302</v>
      </c>
      <c r="L3" s="58" t="s">
        <v>301</v>
      </c>
      <c r="M3" s="58" t="s">
        <v>300</v>
      </c>
      <c r="N3" s="58" t="s">
        <v>299</v>
      </c>
      <c r="O3" s="58" t="s">
        <v>298</v>
      </c>
      <c r="P3" s="58" t="s">
        <v>297</v>
      </c>
      <c r="Q3" s="58" t="s">
        <v>296</v>
      </c>
    </row>
    <row r="4" spans="1:18" x14ac:dyDescent="0.2">
      <c r="A4" s="59" t="s">
        <v>162</v>
      </c>
      <c r="B4" s="59" t="s">
        <v>163</v>
      </c>
      <c r="C4" s="59">
        <f>IF(IFERROR(INDEX('2020'!$H$5:$H$73,MATCH(B4,'2020'!$A$5:$A$73,0)),0)=0,"N/A",INDEX('2020'!$H$5:$H$73,MATCH(B4,'2020'!$A$5:$A$73,0)))</f>
        <v>1.18</v>
      </c>
      <c r="D4" s="59">
        <f>IF(IFERROR(INDEX('2019'!$H$5:$H$73,MATCH(B4,'2019'!$A$5:$A$73,0)),0)=0,"N/A",INDEX('2019'!$H$5:$H$73,MATCH(B4,'2019'!$A$5:$A$73,0)))</f>
        <v>8.4380000000000006</v>
      </c>
      <c r="E4" s="59">
        <f>IF(IFERROR(INDEX('2018'!$H$5:$H$73,MATCH(B4,'2018'!$A$5:$A$73,0)),0)=0,"N/A",INDEX('2018'!$H$5:$H$73,MATCH(B4,'2018'!$A$5:$A$73,0)))</f>
        <v>2.7810000000000001</v>
      </c>
      <c r="F4" s="59">
        <f>IF(IFERROR(INDEX('2017'!$H$5:$H$73,MATCH(B4,'2017'!$A$5:$A$73,0)),0)=0,"N/A",INDEX('2017'!$H$5:$H$73,MATCH(B4,'2017'!$A$5:$A$73,0)))</f>
        <v>0.627</v>
      </c>
      <c r="G4" s="67">
        <f>IF(IFERROR(INDEX('2016'!$H$5:$H$73,MATCH(B4,'2016'!$A$5:$A$73,0)),0)=0,"N/A",INDEX('2016'!$H$5:$H$73,MATCH(B4,'2016'!$A$5:$A$73,0)))</f>
        <v>2.0110000000000001</v>
      </c>
      <c r="H4" s="59">
        <v>2.625</v>
      </c>
      <c r="I4" s="59">
        <v>7.2370000000000001</v>
      </c>
      <c r="J4" s="59">
        <v>6.5439999999999996</v>
      </c>
      <c r="K4" s="59">
        <v>12.095000000000001</v>
      </c>
      <c r="L4" s="59">
        <v>12.632</v>
      </c>
      <c r="M4" s="59">
        <v>5.3179999999999996</v>
      </c>
      <c r="N4" s="59">
        <v>5.3090000000000002</v>
      </c>
      <c r="O4" s="59">
        <v>4.194</v>
      </c>
      <c r="P4" s="59">
        <v>3.7559999999999998</v>
      </c>
      <c r="Q4" s="59">
        <v>3.4620000000000002</v>
      </c>
    </row>
    <row r="5" spans="1:18" x14ac:dyDescent="0.2">
      <c r="A5" s="59" t="s">
        <v>119</v>
      </c>
      <c r="B5" s="59" t="s">
        <v>0</v>
      </c>
      <c r="C5" s="59">
        <f>IF(IFERROR(INDEX('2020'!$H$5:$H$73,MATCH(B5,'2020'!$A$5:$A$73,0)),0)=0,"N/A",INDEX('2020'!$H$5:$H$73,MATCH(B5,'2020'!$A$5:$A$73,0)))</f>
        <v>13.776999999999999</v>
      </c>
      <c r="D5" s="59">
        <f>IF(IFERROR(INDEX('2019'!$H$5:$H$73,MATCH(B5,'2019'!$A$5:$A$73,0)),0)=0,"N/A",INDEX('2019'!$H$5:$H$73,MATCH(B5,'2019'!$A$5:$A$73,0)))</f>
        <v>11.548999999999999</v>
      </c>
      <c r="E5" s="59">
        <f>IF(IFERROR(INDEX('2018'!$H$5:$H$73,MATCH(B5,'2018'!$A$5:$A$73,0)),0)=0,"N/A",INDEX('2018'!$H$5:$H$73,MATCH(B5,'2018'!$A$5:$A$73,0)))</f>
        <v>6.0659999999999998</v>
      </c>
      <c r="F5" s="59">
        <f>IF(IFERROR(INDEX('2017'!$H$5:$H$73,MATCH(B5,'2017'!$A$5:$A$73,0)),0)=0,"N/A",INDEX('2017'!$H$5:$H$73,MATCH(B5,'2017'!$A$5:$A$73,0)))</f>
        <v>4.08</v>
      </c>
      <c r="G5" s="67">
        <f>IF(IFERROR(INDEX('2016'!$H$5:$H$73,MATCH(B5,'2016'!$A$5:$A$73,0)),0)=0,"N/A",INDEX('2016'!$H$5:$H$73,MATCH(B5,'2016'!$A$5:$A$73,0)))</f>
        <v>5.3550000000000004</v>
      </c>
      <c r="H5" s="59">
        <v>5.8410000000000002</v>
      </c>
      <c r="I5" s="59">
        <v>12.478999999999999</v>
      </c>
      <c r="J5" s="59">
        <v>7.9349999999999996</v>
      </c>
      <c r="K5" s="59">
        <v>10.298999999999999</v>
      </c>
      <c r="L5" s="59">
        <v>6.3789999999999996</v>
      </c>
      <c r="M5" s="59">
        <v>6.9530000000000003</v>
      </c>
      <c r="N5" s="59">
        <v>9.048</v>
      </c>
      <c r="O5" s="59">
        <v>9.2360000000000007</v>
      </c>
      <c r="P5" s="59">
        <v>6.8250000000000002</v>
      </c>
      <c r="Q5" s="59">
        <v>3.3650000000000002</v>
      </c>
    </row>
    <row r="6" spans="1:18" x14ac:dyDescent="0.2">
      <c r="A6" s="59" t="s">
        <v>120</v>
      </c>
      <c r="B6" s="59" t="s">
        <v>1</v>
      </c>
      <c r="C6" s="59" t="str">
        <f>IF(IFERROR(INDEX('2020'!$H$5:$H$73,MATCH(B6,'2020'!$A$5:$A$73,0)),0)=0,"N/A",INDEX('2020'!$H$5:$H$73,MATCH(B6,'2020'!$A$5:$A$73,0)))</f>
        <v>N/A</v>
      </c>
      <c r="D6" s="59" t="str">
        <f>IF(IFERROR(INDEX('2019'!$H$5:$H$73,MATCH(B6,'2019'!$A$5:$A$73,0)),0)=0,"N/A",INDEX('2019'!$H$5:$H$73,MATCH(B6,'2019'!$A$5:$A$73,0)))</f>
        <v>N/A</v>
      </c>
      <c r="E6" s="59" t="str">
        <f>IF(IFERROR(INDEX('2018'!$H$5:$H$73,MATCH(B6,'2018'!$A$5:$A$73,0)),0)=0,"N/A",INDEX('2018'!$H$5:$H$73,MATCH(B6,'2018'!$A$5:$A$73,0)))</f>
        <v>N/A</v>
      </c>
      <c r="F6" s="59">
        <f>IF(IFERROR(INDEX('2017'!$H$5:$H$73,MATCH(B6,'2017'!$A$5:$A$73,0)),0)=0,"N/A",INDEX('2017'!$H$5:$H$73,MATCH(B6,'2017'!$A$5:$A$73,0)))</f>
        <v>6.34</v>
      </c>
      <c r="G6" s="67" t="str">
        <f>IF(IFERROR(INDEX('2016'!$H$5:$H$73,MATCH(B6,'2016'!$A$5:$A$73,0)),0)=0,"N/A",INDEX('2016'!$H$5:$H$73,MATCH(B6,'2016'!$A$5:$A$73,0)))</f>
        <v>N/A</v>
      </c>
      <c r="H6" s="59">
        <v>4.2480000000000002</v>
      </c>
      <c r="I6" s="59">
        <v>3.7810000000000001</v>
      </c>
      <c r="J6" s="59">
        <v>3.3170000000000002</v>
      </c>
      <c r="K6" s="59">
        <v>5.2169999999999996</v>
      </c>
      <c r="L6" s="59">
        <v>3.0329999999999999</v>
      </c>
      <c r="M6" s="59">
        <v>3.9089999999999998</v>
      </c>
      <c r="N6" s="59">
        <v>5.4340000000000002</v>
      </c>
      <c r="O6" s="59">
        <v>3.9790000000000001</v>
      </c>
      <c r="P6" s="59">
        <v>2.456</v>
      </c>
      <c r="Q6" s="59">
        <v>1.7110000000000001</v>
      </c>
    </row>
    <row r="7" spans="1:18" x14ac:dyDescent="0.2">
      <c r="A7" s="59" t="s">
        <v>121</v>
      </c>
      <c r="B7" s="59" t="s">
        <v>2</v>
      </c>
      <c r="C7" s="59">
        <f>IF(IFERROR(INDEX('2020'!$H$5:$H$73,MATCH(B7,'2020'!$A$5:$A$73,0)),0)=0,"N/A",INDEX('2020'!$H$5:$H$73,MATCH(B7,'2020'!$A$5:$A$73,0)))</f>
        <v>12.718</v>
      </c>
      <c r="D7" s="59">
        <f>IF(IFERROR(INDEX('2019'!$H$5:$H$73,MATCH(B7,'2019'!$A$5:$A$73,0)),0)=0,"N/A",INDEX('2019'!$H$5:$H$73,MATCH(B7,'2019'!$A$5:$A$73,0)))</f>
        <v>12.432</v>
      </c>
      <c r="E7" s="59">
        <f>IF(IFERROR(INDEX('2018'!$H$5:$H$73,MATCH(B7,'2018'!$A$5:$A$73,0)),0)=0,"N/A",INDEX('2018'!$H$5:$H$73,MATCH(B7,'2018'!$A$5:$A$73,0)))</f>
        <v>12.888</v>
      </c>
      <c r="F7" s="59">
        <f>IF(IFERROR(INDEX('2017'!$H$5:$H$73,MATCH(B7,'2017'!$A$5:$A$73,0)),0)=0,"N/A",INDEX('2017'!$H$5:$H$73,MATCH(B7,'2017'!$A$5:$A$73,0)))</f>
        <v>11.787000000000001</v>
      </c>
      <c r="G7" s="67">
        <f>IF(IFERROR(INDEX('2016'!$H$5:$H$73,MATCH(B7,'2016'!$A$5:$A$73,0)),0)=0,"N/A",INDEX('2016'!$H$5:$H$73,MATCH(B7,'2016'!$A$5:$A$73,0)))</f>
        <v>9.9849999999999994</v>
      </c>
      <c r="H7" s="59">
        <v>9.3680000000000003</v>
      </c>
      <c r="I7" s="59">
        <v>8.6839999999999993</v>
      </c>
      <c r="J7" s="59">
        <v>7.7450000000000001</v>
      </c>
      <c r="K7" s="59">
        <v>6.4489999999999998</v>
      </c>
      <c r="L7" s="59">
        <v>5.74</v>
      </c>
      <c r="M7" s="59">
        <v>5.0659999999999998</v>
      </c>
      <c r="N7" s="59">
        <v>6.194</v>
      </c>
      <c r="O7" s="59">
        <v>9.8309999999999995</v>
      </c>
      <c r="P7" s="59">
        <v>8.8810000000000002</v>
      </c>
      <c r="Q7" s="59">
        <v>8.8940000000000001</v>
      </c>
    </row>
    <row r="8" spans="1:18" x14ac:dyDescent="0.2">
      <c r="A8" s="59" t="s">
        <v>164</v>
      </c>
      <c r="B8" s="59" t="s">
        <v>165</v>
      </c>
      <c r="C8" s="59">
        <f>IF(IFERROR(INDEX('2020'!$H$5:$H$73,MATCH(B8,'2020'!$A$5:$A$73,0)),0)=0,"N/A",INDEX('2020'!$H$5:$H$73,MATCH(B8,'2020'!$A$5:$A$73,0)))</f>
        <v>3.536</v>
      </c>
      <c r="D8" s="59">
        <f>IF(IFERROR(INDEX('2019'!$H$5:$H$73,MATCH(B8,'2019'!$A$5:$A$73,0)),0)=0,"N/A",INDEX('2019'!$H$5:$H$73,MATCH(B8,'2019'!$A$5:$A$73,0)))</f>
        <v>4.1239999999999997</v>
      </c>
      <c r="E8" s="59">
        <f>IF(IFERROR(INDEX('2018'!$H$5:$H$73,MATCH(B8,'2018'!$A$5:$A$73,0)),0)=0,"N/A",INDEX('2018'!$H$5:$H$73,MATCH(B8,'2018'!$A$5:$A$73,0)))</f>
        <v>3.4430000000000001</v>
      </c>
      <c r="F8" s="59">
        <f>IF(IFERROR(INDEX('2017'!$H$5:$H$73,MATCH(B8,'2017'!$A$5:$A$73,0)),0)=0,"N/A",INDEX('2017'!$H$5:$H$73,MATCH(B8,'2017'!$A$5:$A$73,0)))</f>
        <v>3.0840000000000001</v>
      </c>
      <c r="G8" s="67">
        <f>IF(IFERROR(INDEX('2016'!$H$5:$H$73,MATCH(B8,'2016'!$A$5:$A$73,0)),0)=0,"N/A",INDEX('2016'!$H$5:$H$73,MATCH(B8,'2016'!$A$5:$A$73,0)))</f>
        <v>3.5510000000000002</v>
      </c>
      <c r="H8" s="59">
        <v>2.3919999999999999</v>
      </c>
      <c r="I8" s="59">
        <v>1.8939999999999999</v>
      </c>
      <c r="J8" s="59">
        <v>2.5150000000000001</v>
      </c>
      <c r="K8" s="59">
        <v>1.768</v>
      </c>
      <c r="L8" s="59">
        <v>2.13</v>
      </c>
      <c r="M8" s="59">
        <v>2.121</v>
      </c>
      <c r="N8" s="59">
        <v>2.09</v>
      </c>
      <c r="O8" s="59">
        <v>2.226</v>
      </c>
      <c r="P8" s="59">
        <v>1.4470000000000001</v>
      </c>
      <c r="Q8" s="59">
        <v>1.9530000000000001</v>
      </c>
    </row>
    <row r="9" spans="1:18" x14ac:dyDescent="0.2">
      <c r="A9" s="59" t="s">
        <v>166</v>
      </c>
      <c r="B9" s="59" t="s">
        <v>167</v>
      </c>
      <c r="C9" s="59">
        <f>IF(IFERROR(INDEX('2020'!$H$5:$H$73,MATCH(B9,'2020'!$A$5:$A$73,0)),0)=0,"N/A",INDEX('2020'!$H$5:$H$73,MATCH(B9,'2020'!$A$5:$A$73,0)))</f>
        <v>10.050000000000001</v>
      </c>
      <c r="D9" s="59">
        <f>IF(IFERROR(INDEX('2019'!$H$5:$H$73,MATCH(B9,'2019'!$A$5:$A$73,0)),0)=0,"N/A",INDEX('2019'!$H$5:$H$73,MATCH(B9,'2019'!$A$5:$A$73,0)))</f>
        <v>9.1479999999999997</v>
      </c>
      <c r="E9" s="59">
        <f>IF(IFERROR(INDEX('2018'!$H$5:$H$73,MATCH(B9,'2018'!$A$5:$A$73,0)),0)=0,"N/A",INDEX('2018'!$H$5:$H$73,MATCH(B9,'2018'!$A$5:$A$73,0)))</f>
        <v>8.7780000000000005</v>
      </c>
      <c r="F9" s="59">
        <f>IF(IFERROR(INDEX('2017'!$H$5:$H$73,MATCH(B9,'2017'!$A$5:$A$73,0)),0)=0,"N/A",INDEX('2017'!$H$5:$H$73,MATCH(B9,'2017'!$A$5:$A$73,0)))</f>
        <v>8.0359999999999996</v>
      </c>
      <c r="G9" s="67">
        <f>IF(IFERROR(INDEX('2016'!$H$5:$H$73,MATCH(B9,'2016'!$A$5:$A$73,0)),0)=0,"N/A",INDEX('2016'!$H$5:$H$73,MATCH(B9,'2016'!$A$5:$A$73,0)))</f>
        <v>7.3609999999999998</v>
      </c>
      <c r="H9" s="59">
        <v>6.5069999999999997</v>
      </c>
      <c r="I9" s="59">
        <v>5.3280000000000003</v>
      </c>
      <c r="J9" s="59">
        <v>5.4989999999999997</v>
      </c>
      <c r="K9" s="59">
        <v>5.2469999999999999</v>
      </c>
      <c r="L9" s="59">
        <v>5.2649999999999997</v>
      </c>
      <c r="M9" s="59">
        <v>4.375</v>
      </c>
      <c r="N9" s="59">
        <v>4.4969999999999999</v>
      </c>
      <c r="O9" s="59">
        <v>6.3049999999999997</v>
      </c>
      <c r="P9" s="59">
        <v>4.7409999999999997</v>
      </c>
      <c r="Q9" s="59">
        <v>4.3049999999999997</v>
      </c>
    </row>
    <row r="10" spans="1:18" x14ac:dyDescent="0.2">
      <c r="A10" s="59" t="s">
        <v>122</v>
      </c>
      <c r="B10" s="59" t="s">
        <v>3</v>
      </c>
      <c r="C10" s="59">
        <f>IF(IFERROR(INDEX('2020'!$H$5:$H$73,MATCH(B10,'2020'!$A$5:$A$73,0)),0)=0,"N/A",INDEX('2020'!$H$5:$H$73,MATCH(B10,'2020'!$A$5:$A$73,0)))</f>
        <v>13.023999999999999</v>
      </c>
      <c r="D10" s="59">
        <f>IF(IFERROR(INDEX('2019'!$H$5:$H$73,MATCH(B10,'2019'!$A$5:$A$73,0)),0)=0,"N/A",INDEX('2019'!$H$5:$H$73,MATCH(B10,'2019'!$A$5:$A$73,0)))</f>
        <v>9.9190000000000005</v>
      </c>
      <c r="E10" s="59">
        <f>IF(IFERROR(INDEX('2018'!$H$5:$H$73,MATCH(B10,'2018'!$A$5:$A$73,0)),0)=0,"N/A",INDEX('2018'!$H$5:$H$73,MATCH(B10,'2018'!$A$5:$A$73,0)))</f>
        <v>9.5619999999999994</v>
      </c>
      <c r="F10" s="59">
        <f>IF(IFERROR(INDEX('2017'!$H$5:$H$73,MATCH(B10,'2017'!$A$5:$A$73,0)),0)=0,"N/A",INDEX('2017'!$H$5:$H$73,MATCH(B10,'2017'!$A$5:$A$73,0)))</f>
        <v>9.0470000000000006</v>
      </c>
      <c r="G10" s="67">
        <f>IF(IFERROR(INDEX('2016'!$H$5:$H$73,MATCH(B10,'2016'!$A$5:$A$73,0)),0)=0,"N/A",INDEX('2016'!$H$5:$H$73,MATCH(B10,'2016'!$A$5:$A$73,0)))</f>
        <v>8.7829999999999995</v>
      </c>
      <c r="H10" s="59">
        <v>8.1150000000000002</v>
      </c>
      <c r="I10" s="59">
        <v>7.6619999999999999</v>
      </c>
      <c r="J10" s="59">
        <v>5.8689999999999998</v>
      </c>
      <c r="K10" s="59">
        <v>5.4859999999999998</v>
      </c>
      <c r="L10" s="59">
        <v>4.5010000000000003</v>
      </c>
      <c r="M10" s="59">
        <v>4.6630000000000003</v>
      </c>
      <c r="N10" s="59">
        <v>7.5149999999999997</v>
      </c>
      <c r="O10" s="59">
        <v>9.7460000000000004</v>
      </c>
      <c r="P10" s="59">
        <v>6.9560000000000004</v>
      </c>
      <c r="Q10" s="59">
        <v>4.99</v>
      </c>
    </row>
    <row r="11" spans="1:18" x14ac:dyDescent="0.2">
      <c r="A11" s="59" t="s">
        <v>168</v>
      </c>
      <c r="B11" s="59" t="s">
        <v>169</v>
      </c>
      <c r="C11" s="59" t="str">
        <f>IF(IFERROR(INDEX('2020'!$H$5:$H$73,MATCH(B11,'2020'!$A$5:$A$73,0)),0)=0,"N/A",INDEX('2020'!$H$5:$H$73,MATCH(B11,'2020'!$A$5:$A$73,0)))</f>
        <v>N/A</v>
      </c>
      <c r="D11" s="59" t="str">
        <f>IF(IFERROR(INDEX('2019'!$H$5:$H$73,MATCH(B11,'2019'!$A$5:$A$73,0)),0)=0,"N/A",INDEX('2019'!$H$5:$H$73,MATCH(B11,'2019'!$A$5:$A$73,0)))</f>
        <v>N/A</v>
      </c>
      <c r="E11" s="59">
        <f>IF(IFERROR(INDEX('2018'!$H$5:$H$73,MATCH(B11,'2018'!$A$5:$A$73,0)),0)=0,"N/A",INDEX('2018'!$H$5:$H$73,MATCH(B11,'2018'!$A$5:$A$73,0)))</f>
        <v>1.089</v>
      </c>
      <c r="F11" s="59">
        <f>IF(IFERROR(INDEX('2017'!$H$5:$H$73,MATCH(B11,'2017'!$A$5:$A$73,0)),0)=0,"N/A",INDEX('2017'!$H$5:$H$73,MATCH(B11,'2017'!$A$5:$A$73,0)))</f>
        <v>1.056</v>
      </c>
      <c r="G11" s="67">
        <f>IF(IFERROR(INDEX('2016'!$H$5:$H$73,MATCH(B11,'2016'!$A$5:$A$73,0)),0)=0,"N/A",INDEX('2016'!$H$5:$H$73,MATCH(B11,'2016'!$A$5:$A$73,0)))</f>
        <v>1.0940000000000001</v>
      </c>
      <c r="H11" s="59">
        <v>1.0980000000000001</v>
      </c>
      <c r="I11" s="59">
        <v>1.2270000000000001</v>
      </c>
      <c r="J11" s="59">
        <v>1.196</v>
      </c>
      <c r="K11" s="59">
        <v>1.111</v>
      </c>
      <c r="L11" s="59">
        <v>1.3520000000000001</v>
      </c>
      <c r="M11" s="59">
        <v>1.4570000000000001</v>
      </c>
      <c r="N11" s="59">
        <v>1.38</v>
      </c>
      <c r="O11" s="59">
        <v>1.101</v>
      </c>
      <c r="P11" s="59">
        <v>1.298</v>
      </c>
      <c r="Q11" s="59">
        <v>1.2450000000000001</v>
      </c>
    </row>
    <row r="12" spans="1:18" x14ac:dyDescent="0.2">
      <c r="A12" s="59" t="s">
        <v>170</v>
      </c>
      <c r="B12" s="59" t="s">
        <v>171</v>
      </c>
      <c r="C12" s="59" t="str">
        <f>IF(IFERROR(INDEX('2020'!$H$5:$H$73,MATCH(B12,'2020'!$A$5:$A$73,0)),0)=0,"N/A",INDEX('2020'!$H$5:$H$73,MATCH(B12,'2020'!$A$5:$A$73,0)))</f>
        <v>N/A</v>
      </c>
      <c r="D12" s="59" t="str">
        <f>IF(IFERROR(INDEX('2019'!$H$5:$H$73,MATCH(B12,'2019'!$A$5:$A$73,0)),0)=0,"N/A",INDEX('2019'!$H$5:$H$73,MATCH(B12,'2019'!$A$5:$A$73,0)))</f>
        <v>N/A</v>
      </c>
      <c r="E12" s="59">
        <f>IF(IFERROR(INDEX('2018'!$H$5:$H$73,MATCH(B12,'2018'!$A$5:$A$73,0)),0)=0,"N/A",INDEX('2018'!$H$5:$H$73,MATCH(B12,'2018'!$A$5:$A$73,0)))</f>
        <v>2.7839999999999998</v>
      </c>
      <c r="F12" s="59">
        <f>IF(IFERROR(INDEX('2017'!$H$5:$H$73,MATCH(B12,'2017'!$A$5:$A$73,0)),0)=0,"N/A",INDEX('2017'!$H$5:$H$73,MATCH(B12,'2017'!$A$5:$A$73,0)))</f>
        <v>2.69</v>
      </c>
      <c r="G12" s="67">
        <f>IF(IFERROR(INDEX('2016'!$H$5:$H$73,MATCH(B12,'2016'!$A$5:$A$73,0)),0)=0,"N/A",INDEX('2016'!$H$5:$H$73,MATCH(B12,'2016'!$A$5:$A$73,0)))</f>
        <v>2.1589999999999998</v>
      </c>
      <c r="H12" s="59">
        <v>2.0659999999999998</v>
      </c>
      <c r="I12" s="59">
        <v>1.84</v>
      </c>
      <c r="J12" s="59">
        <v>1.732</v>
      </c>
      <c r="K12" s="59">
        <v>1.984</v>
      </c>
      <c r="L12" s="59">
        <v>1.9039999999999999</v>
      </c>
      <c r="M12" s="59">
        <v>1.8939999999999999</v>
      </c>
      <c r="N12" s="59">
        <v>1.6619999999999999</v>
      </c>
      <c r="O12" s="59">
        <v>1.58</v>
      </c>
      <c r="P12" s="59">
        <v>1.4279999999999999</v>
      </c>
      <c r="Q12" s="59">
        <v>1.643</v>
      </c>
    </row>
    <row r="13" spans="1:18" x14ac:dyDescent="0.2">
      <c r="A13" s="59" t="s">
        <v>172</v>
      </c>
      <c r="B13" s="59" t="s">
        <v>173</v>
      </c>
      <c r="C13" s="59">
        <f>IF(IFERROR(INDEX('2020'!$H$5:$H$73,MATCH(B13,'2020'!$A$5:$A$73,0)),0)=0,"N/A",INDEX('2020'!$H$5:$H$73,MATCH(B13,'2020'!$A$5:$A$73,0)))</f>
        <v>3.6629999999999998</v>
      </c>
      <c r="D13" s="59">
        <f>IF(IFERROR(INDEX('2019'!$H$5:$H$73,MATCH(B13,'2019'!$A$5:$A$73,0)),0)=0,"N/A",INDEX('2019'!$H$5:$H$73,MATCH(B13,'2019'!$A$5:$A$73,0)))</f>
        <v>4.3780000000000001</v>
      </c>
      <c r="E13" s="59">
        <f>IF(IFERROR(INDEX('2018'!$H$5:$H$73,MATCH(B13,'2018'!$A$5:$A$73,0)),0)=0,"N/A",INDEX('2018'!$H$5:$H$73,MATCH(B13,'2018'!$A$5:$A$73,0)))</f>
        <v>5.3029999999999999</v>
      </c>
      <c r="F13" s="59">
        <f>IF(IFERROR(INDEX('2017'!$H$5:$H$73,MATCH(B13,'2017'!$A$5:$A$73,0)),0)=0,"N/A",INDEX('2017'!$H$5:$H$73,MATCH(B13,'2017'!$A$5:$A$73,0)))</f>
        <v>4.4589999999999996</v>
      </c>
      <c r="G13" s="67">
        <f>IF(IFERROR(INDEX('2016'!$H$5:$H$73,MATCH(B13,'2016'!$A$5:$A$73,0)),0)=0,"N/A",INDEX('2016'!$H$5:$H$73,MATCH(B13,'2016'!$A$5:$A$73,0)))</f>
        <v>3.0950000000000002</v>
      </c>
      <c r="H13" s="59">
        <v>2.2850000000000001</v>
      </c>
      <c r="I13" s="59">
        <v>2.6629999999999998</v>
      </c>
      <c r="J13" s="59">
        <v>2.4</v>
      </c>
      <c r="K13" s="59">
        <v>2.359</v>
      </c>
      <c r="L13" s="59">
        <v>1.833</v>
      </c>
      <c r="M13" s="59">
        <v>2.5659999999999998</v>
      </c>
      <c r="N13" s="59">
        <v>2.3170000000000002</v>
      </c>
      <c r="O13" s="59">
        <v>6.0880000000000001</v>
      </c>
      <c r="P13" s="59">
        <v>3.6619999999999999</v>
      </c>
      <c r="Q13" s="59">
        <v>5.0759999999999996</v>
      </c>
    </row>
    <row r="14" spans="1:18" x14ac:dyDescent="0.2">
      <c r="A14" s="59" t="s">
        <v>174</v>
      </c>
      <c r="B14" s="59" t="s">
        <v>175</v>
      </c>
      <c r="C14" s="59">
        <f>IF(IFERROR(INDEX('2020'!$H$5:$H$73,MATCH(B14,'2020'!$A$5:$A$73,0)),0)=0,"N/A",INDEX('2020'!$H$5:$H$73,MATCH(B14,'2020'!$A$5:$A$73,0)))</f>
        <v>15.377000000000001</v>
      </c>
      <c r="D14" s="59">
        <f>IF(IFERROR(INDEX('2019'!$H$5:$H$73,MATCH(B14,'2019'!$A$5:$A$73,0)),0)=0,"N/A",INDEX('2019'!$H$5:$H$73,MATCH(B14,'2019'!$A$5:$A$73,0)))</f>
        <v>14.19</v>
      </c>
      <c r="E14" s="59">
        <f>IF(IFERROR(INDEX('2018'!$H$5:$H$73,MATCH(B14,'2018'!$A$5:$A$73,0)),0)=0,"N/A",INDEX('2018'!$H$5:$H$73,MATCH(B14,'2018'!$A$5:$A$73,0)))</f>
        <v>13.189</v>
      </c>
      <c r="F14" s="59">
        <f>IF(IFERROR(INDEX('2017'!$H$5:$H$73,MATCH(B14,'2017'!$A$5:$A$73,0)),0)=0,"N/A",INDEX('2017'!$H$5:$H$73,MATCH(B14,'2017'!$A$5:$A$73,0)))</f>
        <v>10.717000000000001</v>
      </c>
      <c r="G14" s="67">
        <f>IF(IFERROR(INDEX('2016'!$H$5:$H$73,MATCH(B14,'2016'!$A$5:$A$73,0)),0)=0,"N/A",INDEX('2016'!$H$5:$H$73,MATCH(B14,'2016'!$A$5:$A$73,0)))</f>
        <v>10.458</v>
      </c>
      <c r="H14" s="59">
        <v>9.609</v>
      </c>
      <c r="I14" s="59">
        <v>8.32</v>
      </c>
      <c r="J14" s="59">
        <v>9.3230000000000004</v>
      </c>
      <c r="K14" s="59">
        <v>8.1210000000000004</v>
      </c>
      <c r="L14" s="59">
        <v>6.899</v>
      </c>
      <c r="M14" s="59">
        <v>6.0179999999999998</v>
      </c>
      <c r="N14" s="59">
        <v>5.5049999999999999</v>
      </c>
      <c r="O14" s="59">
        <v>5.2</v>
      </c>
      <c r="P14" s="59">
        <v>4.3929999999999998</v>
      </c>
      <c r="Q14" s="59">
        <v>5.2030000000000003</v>
      </c>
    </row>
    <row r="15" spans="1:18" x14ac:dyDescent="0.2">
      <c r="A15" s="59" t="s">
        <v>263</v>
      </c>
      <c r="B15" s="59" t="s">
        <v>260</v>
      </c>
      <c r="C15" s="59">
        <f>IF(IFERROR(INDEX('2020'!$H$5:$H$73,MATCH(B15,'2020'!$A$5:$A$73,0)),0)=0,"N/A",INDEX('2020'!$H$5:$H$73,MATCH(B15,'2020'!$A$5:$A$73,0)))</f>
        <v>8.9979999999999993</v>
      </c>
      <c r="D15" s="59">
        <f>IF(IFERROR(INDEX('2019'!$H$5:$H$73,MATCH(B15,'2019'!$A$5:$A$73,0)),0)=0,"N/A",INDEX('2019'!$H$5:$H$73,MATCH(B15,'2019'!$A$5:$A$73,0)))</f>
        <v>8.8670000000000009</v>
      </c>
      <c r="E15" s="59">
        <f>IF(IFERROR(INDEX('2018'!$H$5:$H$73,MATCH(B15,'2018'!$A$5:$A$73,0)),0)=0,"N/A",INDEX('2018'!$H$5:$H$73,MATCH(B15,'2018'!$A$5:$A$73,0)))</f>
        <v>5.7830000000000004</v>
      </c>
      <c r="F15" s="59">
        <f>IF(IFERROR(INDEX('2017'!$H$5:$H$73,MATCH(B15,'2017'!$A$5:$A$73,0)),0)=0,"N/A",INDEX('2017'!$H$5:$H$73,MATCH(B15,'2017'!$A$5:$A$73,0)))</f>
        <v>7.819</v>
      </c>
      <c r="G15" s="67">
        <f>IF(IFERROR(INDEX('2016'!$H$5:$H$73,MATCH(B15,'2016'!$A$5:$A$73,0)),0)=0,"N/A",INDEX('2016'!$H$5:$H$73,MATCH(B15,'2016'!$A$5:$A$73,0)))</f>
        <v>5.524</v>
      </c>
      <c r="H15" s="59">
        <v>3.5030000000000001</v>
      </c>
      <c r="I15" s="67" t="s">
        <v>106</v>
      </c>
      <c r="J15" s="67" t="s">
        <v>106</v>
      </c>
      <c r="K15" s="67" t="s">
        <v>106</v>
      </c>
      <c r="L15" s="67" t="s">
        <v>106</v>
      </c>
      <c r="M15" s="67" t="s">
        <v>106</v>
      </c>
      <c r="N15" s="67" t="s">
        <v>106</v>
      </c>
      <c r="O15" s="67" t="s">
        <v>106</v>
      </c>
      <c r="P15" s="67" t="s">
        <v>106</v>
      </c>
      <c r="Q15" s="67" t="s">
        <v>106</v>
      </c>
    </row>
    <row r="16" spans="1:18" x14ac:dyDescent="0.2">
      <c r="A16" s="59" t="s">
        <v>123</v>
      </c>
      <c r="B16" s="59" t="s">
        <v>4</v>
      </c>
      <c r="C16" s="59">
        <f>IF(IFERROR(INDEX('2020'!$H$5:$H$73,MATCH(B16,'2020'!$A$5:$A$73,0)),0)=0,"N/A",INDEX('2020'!$H$5:$H$73,MATCH(B16,'2020'!$A$5:$A$73,0)))</f>
        <v>5.8390000000000004</v>
      </c>
      <c r="D16" s="59">
        <f>IF(IFERROR(INDEX('2019'!$H$5:$H$73,MATCH(B16,'2019'!$A$5:$A$73,0)),0)=0,"N/A",INDEX('2019'!$H$5:$H$73,MATCH(B16,'2019'!$A$5:$A$73,0)))</f>
        <v>6.5869999999999997</v>
      </c>
      <c r="E16" s="59">
        <f>IF(IFERROR(INDEX('2018'!$H$5:$H$73,MATCH(B16,'2018'!$A$5:$A$73,0)),0)=0,"N/A",INDEX('2018'!$H$5:$H$73,MATCH(B16,'2018'!$A$5:$A$73,0)))</f>
        <v>6.46</v>
      </c>
      <c r="F16" s="59">
        <f>IF(IFERROR(INDEX('2017'!$H$5:$H$73,MATCH(B16,'2017'!$A$5:$A$73,0)),0)=0,"N/A",INDEX('2017'!$H$5:$H$73,MATCH(B16,'2017'!$A$5:$A$73,0)))</f>
        <v>6.2960000000000003</v>
      </c>
      <c r="G16" s="67">
        <f>IF(IFERROR(INDEX('2016'!$H$5:$H$73,MATCH(B16,'2016'!$A$5:$A$73,0)),0)=0,"N/A",INDEX('2016'!$H$5:$H$73,MATCH(B16,'2016'!$A$5:$A$73,0)))</f>
        <v>6.3410000000000002</v>
      </c>
      <c r="H16" s="59">
        <v>6.4619999999999997</v>
      </c>
      <c r="I16" s="59">
        <v>5.4740000000000002</v>
      </c>
      <c r="J16" s="59">
        <v>5.0449999999999999</v>
      </c>
      <c r="K16" s="59">
        <v>4.6139999999999999</v>
      </c>
      <c r="L16" s="59">
        <v>4.2039999999999997</v>
      </c>
      <c r="M16" s="59">
        <v>3.6419999999999999</v>
      </c>
      <c r="N16" s="59">
        <v>3.8580000000000001</v>
      </c>
      <c r="O16" s="59">
        <v>4.0869999999999997</v>
      </c>
      <c r="P16" s="59">
        <v>4.0410000000000004</v>
      </c>
      <c r="Q16" s="59">
        <v>3.1440000000000001</v>
      </c>
    </row>
    <row r="17" spans="1:17" x14ac:dyDescent="0.2">
      <c r="A17" s="59" t="s">
        <v>124</v>
      </c>
      <c r="B17" s="59" t="s">
        <v>5</v>
      </c>
      <c r="C17" s="59">
        <f>IF(IFERROR(INDEX('2020'!$H$5:$H$73,MATCH(B17,'2020'!$A$5:$A$73,0)),0)=0,"N/A",INDEX('2020'!$H$5:$H$73,MATCH(B17,'2020'!$A$5:$A$73,0)))</f>
        <v>12.221</v>
      </c>
      <c r="D17" s="59">
        <f>IF(IFERROR(INDEX('2019'!$H$5:$H$73,MATCH(B17,'2019'!$A$5:$A$73,0)),0)=0,"N/A",INDEX('2019'!$H$5:$H$73,MATCH(B17,'2019'!$A$5:$A$73,0)))</f>
        <v>13.311999999999999</v>
      </c>
      <c r="E17" s="59">
        <f>IF(IFERROR(INDEX('2018'!$H$5:$H$73,MATCH(B17,'2018'!$A$5:$A$73,0)),0)=0,"N/A",INDEX('2018'!$H$5:$H$73,MATCH(B17,'2018'!$A$5:$A$73,0)))</f>
        <v>7.625</v>
      </c>
      <c r="F17" s="59">
        <f>IF(IFERROR(INDEX('2017'!$H$5:$H$73,MATCH(B17,'2017'!$A$5:$A$73,0)),0)=0,"N/A",INDEX('2017'!$H$5:$H$73,MATCH(B17,'2017'!$A$5:$A$73,0)))</f>
        <v>6.0890000000000004</v>
      </c>
      <c r="G17" s="67">
        <f>IF(IFERROR(INDEX('2016'!$H$5:$H$73,MATCH(B17,'2016'!$A$5:$A$73,0)),0)=0,"N/A",INDEX('2016'!$H$5:$H$73,MATCH(B17,'2016'!$A$5:$A$73,0)))</f>
        <v>8.8940000000000001</v>
      </c>
      <c r="H17" s="59">
        <v>8.8970000000000002</v>
      </c>
      <c r="I17" s="59">
        <v>8.92</v>
      </c>
      <c r="J17" s="59">
        <v>7.9720000000000004</v>
      </c>
      <c r="K17" s="59">
        <v>7.8979999999999997</v>
      </c>
      <c r="L17" s="59">
        <v>10.032999999999999</v>
      </c>
      <c r="M17" s="59">
        <v>12.037000000000001</v>
      </c>
      <c r="N17" s="59">
        <v>8.9009999999999998</v>
      </c>
      <c r="O17" s="59">
        <v>8.5129999999999999</v>
      </c>
      <c r="P17" s="59">
        <v>6.915</v>
      </c>
      <c r="Q17" s="59">
        <v>9.2439999999999998</v>
      </c>
    </row>
    <row r="18" spans="1:17" x14ac:dyDescent="0.2">
      <c r="A18" s="59" t="s">
        <v>176</v>
      </c>
      <c r="B18" s="59" t="s">
        <v>177</v>
      </c>
      <c r="C18" s="59">
        <f>IF(IFERROR(INDEX('2020'!$H$5:$H$73,MATCH(B18,'2020'!$A$5:$A$73,0)),0)=0,"N/A",INDEX('2020'!$H$5:$H$73,MATCH(B18,'2020'!$A$5:$A$73,0)))</f>
        <v>5.9329999999999998</v>
      </c>
      <c r="D18" s="59">
        <f>IF(IFERROR(INDEX('2019'!$H$5:$H$73,MATCH(B18,'2019'!$A$5:$A$73,0)),0)=0,"N/A",INDEX('2019'!$H$5:$H$73,MATCH(B18,'2019'!$A$5:$A$73,0)))</f>
        <v>5.641</v>
      </c>
      <c r="E18" s="59">
        <f>IF(IFERROR(INDEX('2018'!$H$5:$H$73,MATCH(B18,'2018'!$A$5:$A$73,0)),0)=0,"N/A",INDEX('2018'!$H$5:$H$73,MATCH(B18,'2018'!$A$5:$A$73,0)))</f>
        <v>5.6529999999999996</v>
      </c>
      <c r="F18" s="59">
        <f>IF(IFERROR(INDEX('2017'!$H$5:$H$73,MATCH(B18,'2017'!$A$5:$A$73,0)),0)=0,"N/A",INDEX('2017'!$H$5:$H$73,MATCH(B18,'2017'!$A$5:$A$73,0)))</f>
        <v>5.399</v>
      </c>
      <c r="G18" s="67">
        <f>IF(IFERROR(INDEX('2016'!$H$5:$H$73,MATCH(B18,'2016'!$A$5:$A$73,0)),0)=0,"N/A",INDEX('2016'!$H$5:$H$73,MATCH(B18,'2016'!$A$5:$A$73,0)))</f>
        <v>4.7729999999999997</v>
      </c>
      <c r="H18" s="59">
        <v>3.694</v>
      </c>
      <c r="I18" s="59">
        <v>2.7610000000000001</v>
      </c>
      <c r="J18" s="59">
        <v>2.5760000000000001</v>
      </c>
      <c r="K18" s="59">
        <v>3.0409999999999999</v>
      </c>
      <c r="L18" s="59">
        <v>2.8330000000000002</v>
      </c>
      <c r="M18" s="59">
        <v>2.9740000000000002</v>
      </c>
      <c r="N18" s="59">
        <v>2.6629999999999998</v>
      </c>
      <c r="O18" s="59">
        <v>2.411</v>
      </c>
      <c r="P18" s="59">
        <v>1.839</v>
      </c>
      <c r="Q18" s="59">
        <v>2.1389999999999998</v>
      </c>
    </row>
    <row r="19" spans="1:17" x14ac:dyDescent="0.2">
      <c r="A19" s="59" t="s">
        <v>125</v>
      </c>
      <c r="B19" s="59" t="s">
        <v>6</v>
      </c>
      <c r="C19" s="59">
        <f>IF(IFERROR(INDEX('2020'!$H$5:$H$73,MATCH(B19,'2020'!$A$5:$A$73,0)),0)=0,"N/A",INDEX('2020'!$H$5:$H$73,MATCH(B19,'2020'!$A$5:$A$73,0)))</f>
        <v>4.7080000000000002</v>
      </c>
      <c r="D19" s="59">
        <f>IF(IFERROR(INDEX('2019'!$H$5:$H$73,MATCH(B19,'2019'!$A$5:$A$73,0)),0)=0,"N/A",INDEX('2019'!$H$5:$H$73,MATCH(B19,'2019'!$A$5:$A$73,0)))</f>
        <v>4.99</v>
      </c>
      <c r="E19" s="59">
        <f>IF(IFERROR(INDEX('2018'!$H$5:$H$73,MATCH(B19,'2018'!$A$5:$A$73,0)),0)=0,"N/A",INDEX('2018'!$H$5:$H$73,MATCH(B19,'2018'!$A$5:$A$73,0)))</f>
        <v>3.294</v>
      </c>
      <c r="F19" s="59">
        <f>IF(IFERROR(INDEX('2017'!$H$5:$H$73,MATCH(B19,'2017'!$A$5:$A$73,0)),0)=0,"N/A",INDEX('2017'!$H$5:$H$73,MATCH(B19,'2017'!$A$5:$A$73,0)))</f>
        <v>3.3079999999999998</v>
      </c>
      <c r="G19" s="67">
        <f>IF(IFERROR(INDEX('2016'!$H$5:$H$73,MATCH(B19,'2016'!$A$5:$A$73,0)),0)=0,"N/A",INDEX('2016'!$H$5:$H$73,MATCH(B19,'2016'!$A$5:$A$73,0)))</f>
        <v>3.2829999999999999</v>
      </c>
      <c r="H19" s="59">
        <v>3.6840000000000002</v>
      </c>
      <c r="I19" s="59">
        <v>3.198</v>
      </c>
      <c r="J19" s="59">
        <v>2.9980000000000002</v>
      </c>
      <c r="K19" s="59">
        <v>2.835</v>
      </c>
      <c r="L19" s="59">
        <v>3.0579999999999998</v>
      </c>
      <c r="M19" s="59">
        <v>3.5529999999999999</v>
      </c>
      <c r="N19" s="59">
        <v>2.9609999999999999</v>
      </c>
      <c r="O19" s="59">
        <v>2.9470000000000001</v>
      </c>
      <c r="P19" s="59">
        <v>3.452</v>
      </c>
      <c r="Q19" s="59">
        <v>3.2109999999999999</v>
      </c>
    </row>
    <row r="20" spans="1:17" x14ac:dyDescent="0.2">
      <c r="A20" s="59" t="s">
        <v>215</v>
      </c>
      <c r="B20" s="59" t="s">
        <v>178</v>
      </c>
      <c r="C20" s="59">
        <f>IF(IFERROR(INDEX('2020'!$H$5:$H$73,MATCH(B20,'2020'!$A$5:$A$73,0)),0)=0,"N/A",INDEX('2020'!$H$5:$H$73,MATCH(B20,'2020'!$A$5:$A$73,0)))</f>
        <v>9.4779999999999998</v>
      </c>
      <c r="D20" s="59">
        <f>IF(IFERROR(INDEX('2019'!$H$5:$H$73,MATCH(B20,'2019'!$A$5:$A$73,0)),0)=0,"N/A",INDEX('2019'!$H$5:$H$73,MATCH(B20,'2019'!$A$5:$A$73,0)))</f>
        <v>11.260999999999999</v>
      </c>
      <c r="E20" s="59">
        <f>IF(IFERROR(INDEX('2018'!$H$5:$H$73,MATCH(B20,'2018'!$A$5:$A$73,0)),0)=0,"N/A",INDEX('2018'!$H$5:$H$73,MATCH(B20,'2018'!$A$5:$A$73,0)))</f>
        <v>16.471</v>
      </c>
      <c r="F20" s="59">
        <f>IF(IFERROR(INDEX('2017'!$H$5:$H$73,MATCH(B20,'2017'!$A$5:$A$73,0)),0)=0,"N/A",INDEX('2017'!$H$5:$H$73,MATCH(B20,'2017'!$A$5:$A$73,0)))</f>
        <v>10.727</v>
      </c>
      <c r="G20" s="67">
        <f>IF(IFERROR(INDEX('2016'!$H$5:$H$73,MATCH(B20,'2016'!$A$5:$A$73,0)),0)=0,"N/A",INDEX('2016'!$H$5:$H$73,MATCH(B20,'2016'!$A$5:$A$73,0)))</f>
        <v>10.419</v>
      </c>
      <c r="H20" s="59">
        <v>9.4700000000000006</v>
      </c>
      <c r="I20" s="59">
        <v>6.66</v>
      </c>
      <c r="J20" s="59">
        <v>6.718</v>
      </c>
      <c r="K20" s="59">
        <v>5.0019999999999998</v>
      </c>
      <c r="L20" s="59">
        <v>3.278</v>
      </c>
      <c r="M20" s="59">
        <v>3.1789999999999998</v>
      </c>
      <c r="N20" s="59">
        <v>1.8879999999999999</v>
      </c>
      <c r="O20" s="59">
        <v>3.0030000000000001</v>
      </c>
      <c r="P20" s="59">
        <v>3.077</v>
      </c>
      <c r="Q20" s="59">
        <v>4.8689999999999998</v>
      </c>
    </row>
    <row r="21" spans="1:17" x14ac:dyDescent="0.2">
      <c r="A21" s="59" t="s">
        <v>126</v>
      </c>
      <c r="B21" s="59" t="s">
        <v>9</v>
      </c>
      <c r="C21" s="59">
        <f>IF(IFERROR(INDEX('2020'!$H$5:$H$73,MATCH(B21,'2020'!$A$5:$A$73,0)),0)=0,"N/A",INDEX('2020'!$H$5:$H$73,MATCH(B21,'2020'!$A$5:$A$73,0)))</f>
        <v>8.0190000000000001</v>
      </c>
      <c r="D21" s="59">
        <f>IF(IFERROR(INDEX('2019'!$H$5:$H$73,MATCH(B21,'2019'!$A$5:$A$73,0)),0)=0,"N/A",INDEX('2019'!$H$5:$H$73,MATCH(B21,'2019'!$A$5:$A$73,0)))</f>
        <v>7.4119999999999999</v>
      </c>
      <c r="E21" s="59">
        <f>IF(IFERROR(INDEX('2018'!$H$5:$H$73,MATCH(B21,'2018'!$A$5:$A$73,0)),0)=0,"N/A",INDEX('2018'!$H$5:$H$73,MATCH(B21,'2018'!$A$5:$A$73,0)))</f>
        <v>7.319</v>
      </c>
      <c r="F21" s="59">
        <f>IF(IFERROR(INDEX('2017'!$H$5:$H$73,MATCH(B21,'2017'!$A$5:$A$73,0)),0)=0,"N/A",INDEX('2017'!$H$5:$H$73,MATCH(B21,'2017'!$A$5:$A$73,0)))</f>
        <v>5.9119999999999999</v>
      </c>
      <c r="G21" s="67">
        <f>IF(IFERROR(INDEX('2016'!$H$5:$H$73,MATCH(B21,'2016'!$A$5:$A$73,0)),0)=0,"N/A",INDEX('2016'!$H$5:$H$73,MATCH(B21,'2016'!$A$5:$A$73,0)))</f>
        <v>5.9880000000000004</v>
      </c>
      <c r="H21" s="59">
        <v>5.6429999999999998</v>
      </c>
      <c r="I21" s="59">
        <v>5.73</v>
      </c>
      <c r="J21" s="59">
        <v>4.9790000000000001</v>
      </c>
      <c r="K21" s="59">
        <v>4.6459999999999999</v>
      </c>
      <c r="L21" s="59">
        <v>3.4710000000000001</v>
      </c>
      <c r="M21" s="59">
        <v>3.2890000000000001</v>
      </c>
      <c r="N21" s="59">
        <v>3.589</v>
      </c>
      <c r="O21" s="59">
        <v>3.4980000000000002</v>
      </c>
      <c r="P21" s="59">
        <v>5.61</v>
      </c>
      <c r="Q21" s="59">
        <v>3.0070000000000001</v>
      </c>
    </row>
    <row r="22" spans="1:17" x14ac:dyDescent="0.2">
      <c r="A22" s="59" t="s">
        <v>179</v>
      </c>
      <c r="B22" s="59" t="s">
        <v>180</v>
      </c>
      <c r="C22" s="59" t="str">
        <f>IF(IFERROR(INDEX('2020'!$H$5:$H$73,MATCH(B22,'2020'!$A$5:$A$73,0)),0)=0,"N/A",INDEX('2020'!$H$5:$H$73,MATCH(B22,'2020'!$A$5:$A$73,0)))</f>
        <v>N/A</v>
      </c>
      <c r="D22" s="59" t="str">
        <f>IF(IFERROR(INDEX('2019'!$H$5:$H$73,MATCH(B22,'2019'!$A$5:$A$73,0)),0)=0,"N/A",INDEX('2019'!$H$5:$H$73,MATCH(B22,'2019'!$A$5:$A$73,0)))</f>
        <v>N/A</v>
      </c>
      <c r="E22" s="59">
        <f>IF(IFERROR(INDEX('2018'!$H$5:$H$73,MATCH(B22,'2018'!$A$5:$A$73,0)),0)=0,"N/A",INDEX('2018'!$H$5:$H$73,MATCH(B22,'2018'!$A$5:$A$73,0)))</f>
        <v>4.7309999999999999</v>
      </c>
      <c r="F22" s="59">
        <f>IF(IFERROR(INDEX('2017'!$H$5:$H$73,MATCH(B22,'2017'!$A$5:$A$73,0)),0)=0,"N/A",INDEX('2017'!$H$5:$H$73,MATCH(B22,'2017'!$A$5:$A$73,0)))</f>
        <v>4.3949999999999996</v>
      </c>
      <c r="G22" s="67">
        <f>IF(IFERROR(INDEX('2016'!$H$5:$H$73,MATCH(B22,'2016'!$A$5:$A$73,0)),0)=0,"N/A",INDEX('2016'!$H$5:$H$73,MATCH(B22,'2016'!$A$5:$A$73,0)))</f>
        <v>5.9290000000000003</v>
      </c>
      <c r="H22" s="59">
        <v>4.2910000000000004</v>
      </c>
      <c r="I22" s="59">
        <v>4.1050000000000004</v>
      </c>
      <c r="J22" s="59">
        <v>3.0169999999999999</v>
      </c>
      <c r="K22" s="59">
        <v>2.786</v>
      </c>
      <c r="L22" s="59">
        <v>2.6110000000000002</v>
      </c>
      <c r="M22" s="59">
        <v>3.0569999999999999</v>
      </c>
      <c r="N22" s="59">
        <v>3.2789999999999999</v>
      </c>
      <c r="O22" s="59">
        <v>2.4359999999999999</v>
      </c>
      <c r="P22" s="59">
        <v>2.238</v>
      </c>
      <c r="Q22" s="59">
        <v>1.9590000000000001</v>
      </c>
    </row>
    <row r="23" spans="1:17" x14ac:dyDescent="0.2">
      <c r="A23" s="59" t="s">
        <v>127</v>
      </c>
      <c r="B23" s="59" t="s">
        <v>10</v>
      </c>
      <c r="C23" s="59">
        <f>IF(IFERROR(INDEX('2020'!$H$5:$H$73,MATCH(B23,'2020'!$A$5:$A$73,0)),0)=0,"N/A",INDEX('2020'!$H$5:$H$73,MATCH(B23,'2020'!$A$5:$A$73,0)))</f>
        <v>11.42</v>
      </c>
      <c r="D23" s="59">
        <f>IF(IFERROR(INDEX('2019'!$H$5:$H$73,MATCH(B23,'2019'!$A$5:$A$73,0)),0)=0,"N/A",INDEX('2019'!$H$5:$H$73,MATCH(B23,'2019'!$A$5:$A$73,0)))</f>
        <v>10.48</v>
      </c>
      <c r="E23" s="59">
        <f>IF(IFERROR(INDEX('2018'!$H$5:$H$73,MATCH(B23,'2018'!$A$5:$A$73,0)),0)=0,"N/A",INDEX('2018'!$H$5:$H$73,MATCH(B23,'2018'!$A$5:$A$73,0)))</f>
        <v>10.894</v>
      </c>
      <c r="F23" s="59">
        <f>IF(IFERROR(INDEX('2017'!$H$5:$H$73,MATCH(B23,'2017'!$A$5:$A$73,0)),0)=0,"N/A",INDEX('2017'!$H$5:$H$73,MATCH(B23,'2017'!$A$5:$A$73,0)))</f>
        <v>11.106</v>
      </c>
      <c r="G23" s="67">
        <f>IF(IFERROR(INDEX('2016'!$H$5:$H$73,MATCH(B23,'2016'!$A$5:$A$73,0)),0)=0,"N/A",INDEX('2016'!$H$5:$H$73,MATCH(B23,'2016'!$A$5:$A$73,0)))</f>
        <v>12.066000000000001</v>
      </c>
      <c r="H23" s="59">
        <v>10.423</v>
      </c>
      <c r="I23" s="59">
        <v>8.2590000000000003</v>
      </c>
      <c r="J23" s="59">
        <v>8.6660000000000004</v>
      </c>
      <c r="K23" s="59">
        <v>7.0650000000000004</v>
      </c>
      <c r="L23" s="59">
        <v>6.7160000000000002</v>
      </c>
      <c r="M23" s="59">
        <v>6.9580000000000002</v>
      </c>
      <c r="N23" s="59">
        <v>7.8010000000000002</v>
      </c>
      <c r="O23" s="59">
        <v>8.4979999999999993</v>
      </c>
      <c r="P23" s="59">
        <v>7.0880000000000001</v>
      </c>
      <c r="Q23" s="59">
        <v>7.1740000000000004</v>
      </c>
    </row>
    <row r="24" spans="1:17" x14ac:dyDescent="0.2">
      <c r="A24" s="59" t="s">
        <v>181</v>
      </c>
      <c r="B24" s="59" t="s">
        <v>182</v>
      </c>
      <c r="C24" s="59">
        <f>IF(IFERROR(INDEX('2020'!$H$5:$H$73,MATCH(B24,'2020'!$A$5:$A$73,0)),0)=0,"N/A",INDEX('2020'!$H$5:$H$73,MATCH(B24,'2020'!$A$5:$A$73,0)))</f>
        <v>0.114</v>
      </c>
      <c r="D24" s="59">
        <f>IF(IFERROR(INDEX('2019'!$H$5:$H$73,MATCH(B24,'2019'!$A$5:$A$73,0)),0)=0,"N/A",INDEX('2019'!$H$5:$H$73,MATCH(B24,'2019'!$A$5:$A$73,0)))</f>
        <v>0.23400000000000001</v>
      </c>
      <c r="E24" s="59">
        <f>IF(IFERROR(INDEX('2018'!$H$5:$H$73,MATCH(B24,'2018'!$A$5:$A$73,0)),0)=0,"N/A",INDEX('2018'!$H$5:$H$73,MATCH(B24,'2018'!$A$5:$A$73,0)))</f>
        <v>1.081</v>
      </c>
      <c r="F24" s="59">
        <f>IF(IFERROR(INDEX('2017'!$H$5:$H$73,MATCH(B24,'2017'!$A$5:$A$73,0)),0)=0,"N/A",INDEX('2017'!$H$5:$H$73,MATCH(B24,'2017'!$A$5:$A$73,0)))</f>
        <v>0.307</v>
      </c>
      <c r="G24" s="67">
        <f>IF(IFERROR(INDEX('2016'!$H$5:$H$73,MATCH(B24,'2016'!$A$5:$A$73,0)),0)=0,"N/A",INDEX('2016'!$H$5:$H$73,MATCH(B24,'2016'!$A$5:$A$73,0)))</f>
        <v>0.23300000000000001</v>
      </c>
      <c r="H24" s="59">
        <v>0.21099999999999999</v>
      </c>
      <c r="I24" s="59">
        <v>0.32100000000000001</v>
      </c>
      <c r="J24" s="59">
        <v>0.29399999999999998</v>
      </c>
      <c r="K24" s="59">
        <v>0.313</v>
      </c>
      <c r="L24" s="59">
        <v>0.95799999999999996</v>
      </c>
      <c r="M24" s="59">
        <v>8.6999999999999994E-2</v>
      </c>
      <c r="N24" s="59">
        <v>0.17599999999999999</v>
      </c>
      <c r="O24" s="59">
        <v>0.45700000000000002</v>
      </c>
      <c r="P24" s="59">
        <v>0.53900000000000003</v>
      </c>
      <c r="Q24" s="59">
        <v>1.8320000000000001</v>
      </c>
    </row>
    <row r="25" spans="1:17" x14ac:dyDescent="0.2">
      <c r="A25" s="59" t="s">
        <v>183</v>
      </c>
      <c r="B25" s="59" t="s">
        <v>184</v>
      </c>
      <c r="C25" s="59" t="str">
        <f>IF(IFERROR(INDEX('2020'!$H$5:$H$73,MATCH(B25,'2020'!$A$5:$A$73,0)),0)=0,"N/A",INDEX('2020'!$H$5:$H$73,MATCH(B25,'2020'!$A$5:$A$73,0)))</f>
        <v>N/A</v>
      </c>
      <c r="D25" s="59" t="str">
        <f>IF(IFERROR(INDEX('2019'!$H$5:$H$73,MATCH(B25,'2019'!$A$5:$A$73,0)),0)=0,"N/A",INDEX('2019'!$H$5:$H$73,MATCH(B25,'2019'!$A$5:$A$73,0)))</f>
        <v>N/A</v>
      </c>
      <c r="E25" s="59" t="str">
        <f>IF(IFERROR(INDEX('2018'!$H$5:$H$73,MATCH(B25,'2018'!$A$5:$A$73,0)),0)=0,"N/A",INDEX('2018'!$H$5:$H$73,MATCH(B25,'2018'!$A$5:$A$73,0)))</f>
        <v>N/A</v>
      </c>
      <c r="F25" s="59" t="str">
        <f>IF(IFERROR(INDEX('2017'!$H$5:$H$73,MATCH(B25,'2017'!$A$5:$A$73,0)),0)=0,"N/A",INDEX('2017'!$H$5:$H$73,MATCH(B25,'2017'!$A$5:$A$73,0)))</f>
        <v>N/A</v>
      </c>
      <c r="G25" s="67">
        <f>IF(IFERROR(INDEX('2016'!$H$5:$H$73,MATCH(B25,'2016'!$A$5:$A$73,0)),0)=0,"N/A",INDEX('2016'!$H$5:$H$73,MATCH(B25,'2016'!$A$5:$A$73,0)))</f>
        <v>0.88900000000000001</v>
      </c>
      <c r="H25" s="59">
        <v>1.282</v>
      </c>
      <c r="I25" s="59">
        <v>1.163</v>
      </c>
      <c r="J25" s="59">
        <v>1.046</v>
      </c>
      <c r="K25" s="59">
        <v>1.0780000000000001</v>
      </c>
      <c r="L25" s="59">
        <v>1.2070000000000001</v>
      </c>
      <c r="M25" s="59">
        <v>0.79100000000000004</v>
      </c>
      <c r="N25" s="59">
        <v>1.2689999999999999</v>
      </c>
      <c r="O25" s="59">
        <v>0.84399999999999997</v>
      </c>
      <c r="P25" s="59">
        <v>1.2330000000000001</v>
      </c>
      <c r="Q25" s="59">
        <v>1.1950000000000001</v>
      </c>
    </row>
    <row r="26" spans="1:17" x14ac:dyDescent="0.2">
      <c r="A26" s="59" t="s">
        <v>128</v>
      </c>
      <c r="B26" s="59" t="s">
        <v>11</v>
      </c>
      <c r="C26" s="59">
        <f>IF(IFERROR(INDEX('2020'!$H$5:$H$73,MATCH(B26,'2020'!$A$5:$A$73,0)),0)=0,"N/A",INDEX('2020'!$H$5:$H$73,MATCH(B26,'2020'!$A$5:$A$73,0)))</f>
        <v>7.4690000000000003</v>
      </c>
      <c r="D26" s="59">
        <f>IF(IFERROR(INDEX('2019'!$H$5:$H$73,MATCH(B26,'2019'!$A$5:$A$73,0)),0)=0,"N/A",INDEX('2019'!$H$5:$H$73,MATCH(B26,'2019'!$A$5:$A$73,0)))</f>
        <v>5.9429999999999996</v>
      </c>
      <c r="E26" s="59">
        <f>IF(IFERROR(INDEX('2018'!$H$5:$H$73,MATCH(B26,'2018'!$A$5:$A$73,0)),0)=0,"N/A",INDEX('2018'!$H$5:$H$73,MATCH(B26,'2018'!$A$5:$A$73,0)))</f>
        <v>6.2480000000000002</v>
      </c>
      <c r="F26" s="59">
        <f>IF(IFERROR(INDEX('2017'!$H$5:$H$73,MATCH(B26,'2017'!$A$5:$A$73,0)),0)=0,"N/A",INDEX('2017'!$H$5:$H$73,MATCH(B26,'2017'!$A$5:$A$73,0)))</f>
        <v>8.5389999999999997</v>
      </c>
      <c r="G26" s="67">
        <f>IF(IFERROR(INDEX('2016'!$H$5:$H$73,MATCH(B26,'2016'!$A$5:$A$73,0)),0)=0,"N/A",INDEX('2016'!$H$5:$H$73,MATCH(B26,'2016'!$A$5:$A$73,0)))</f>
        <v>9.6929999999999996</v>
      </c>
      <c r="H26" s="59">
        <v>9.3490000000000002</v>
      </c>
      <c r="I26" s="59">
        <v>9.1319999999999997</v>
      </c>
      <c r="J26" s="59">
        <v>7.0579999999999998</v>
      </c>
      <c r="K26" s="59">
        <v>7.1950000000000003</v>
      </c>
      <c r="L26" s="59">
        <v>6.41</v>
      </c>
      <c r="M26" s="59">
        <v>5.8920000000000003</v>
      </c>
      <c r="N26" s="59">
        <v>6.4009999999999998</v>
      </c>
      <c r="O26" s="59">
        <v>6.0940000000000003</v>
      </c>
      <c r="P26" s="59">
        <v>6.8860000000000001</v>
      </c>
      <c r="Q26" s="59">
        <v>5.8049999999999997</v>
      </c>
    </row>
    <row r="27" spans="1:17" x14ac:dyDescent="0.2">
      <c r="A27" s="59" t="s">
        <v>129</v>
      </c>
      <c r="B27" s="59" t="s">
        <v>12</v>
      </c>
      <c r="C27" s="59">
        <f>IF(IFERROR(INDEX('2020'!$H$5:$H$73,MATCH(B27,'2020'!$A$5:$A$73,0)),0)=0,"N/A",INDEX('2020'!$H$5:$H$73,MATCH(B27,'2020'!$A$5:$A$73,0)))</f>
        <v>19.905000000000001</v>
      </c>
      <c r="D27" s="59">
        <f>IF(IFERROR(INDEX('2019'!$H$5:$H$73,MATCH(B27,'2019'!$A$5:$A$73,0)),0)=0,"N/A",INDEX('2019'!$H$5:$H$73,MATCH(B27,'2019'!$A$5:$A$73,0)))</f>
        <v>15.592000000000001</v>
      </c>
      <c r="E27" s="59">
        <f>IF(IFERROR(INDEX('2018'!$H$5:$H$73,MATCH(B27,'2018'!$A$5:$A$73,0)),0)=0,"N/A",INDEX('2018'!$H$5:$H$73,MATCH(B27,'2018'!$A$5:$A$73,0)))</f>
        <v>14.913</v>
      </c>
      <c r="F27" s="59">
        <f>IF(IFERROR(INDEX('2017'!$H$5:$H$73,MATCH(B27,'2017'!$A$5:$A$73,0)),0)=0,"N/A",INDEX('2017'!$H$5:$H$73,MATCH(B27,'2017'!$A$5:$A$73,0)))</f>
        <v>12.542999999999999</v>
      </c>
      <c r="G27" s="67">
        <f>IF(IFERROR(INDEX('2016'!$H$5:$H$73,MATCH(B27,'2016'!$A$5:$A$73,0)),0)=0,"N/A",INDEX('2016'!$H$5:$H$73,MATCH(B27,'2016'!$A$5:$A$73,0)))</f>
        <v>11.397</v>
      </c>
      <c r="H27" s="59">
        <v>11.255000000000001</v>
      </c>
      <c r="I27" s="59">
        <v>11.577</v>
      </c>
      <c r="J27" s="59">
        <v>10.593999999999999</v>
      </c>
      <c r="K27" s="59">
        <v>10.56</v>
      </c>
      <c r="L27" s="59">
        <v>8.7680000000000007</v>
      </c>
      <c r="M27" s="59">
        <v>6.4870000000000001</v>
      </c>
      <c r="N27" s="59">
        <v>6.258</v>
      </c>
      <c r="O27" s="59">
        <v>8.4220000000000006</v>
      </c>
      <c r="P27" s="59">
        <v>7.9580000000000002</v>
      </c>
      <c r="Q27" s="59">
        <v>7.92</v>
      </c>
    </row>
    <row r="28" spans="1:17" x14ac:dyDescent="0.2">
      <c r="A28" s="59" t="s">
        <v>130</v>
      </c>
      <c r="B28" s="59" t="s">
        <v>13</v>
      </c>
      <c r="C28" s="59">
        <f>IF(IFERROR(INDEX('2020'!$H$5:$H$73,MATCH(B28,'2020'!$A$5:$A$73,0)),0)=0,"N/A",INDEX('2020'!$H$5:$H$73,MATCH(B28,'2020'!$A$5:$A$73,0)))</f>
        <v>12.882999999999999</v>
      </c>
      <c r="D28" s="59">
        <f>IF(IFERROR(INDEX('2019'!$H$5:$H$73,MATCH(B28,'2019'!$A$5:$A$73,0)),0)=0,"N/A",INDEX('2019'!$H$5:$H$73,MATCH(B28,'2019'!$A$5:$A$73,0)))</f>
        <v>15.173</v>
      </c>
      <c r="E28" s="59">
        <f>IF(IFERROR(INDEX('2018'!$H$5:$H$73,MATCH(B28,'2018'!$A$5:$A$73,0)),0)=0,"N/A",INDEX('2018'!$H$5:$H$73,MATCH(B28,'2018'!$A$5:$A$73,0)))</f>
        <v>12.914999999999999</v>
      </c>
      <c r="F28" s="59">
        <f>IF(IFERROR(INDEX('2017'!$H$5:$H$73,MATCH(B28,'2017'!$A$5:$A$73,0)),0)=0,"N/A",INDEX('2017'!$H$5:$H$73,MATCH(B28,'2017'!$A$5:$A$73,0)))</f>
        <v>11.503</v>
      </c>
      <c r="G28" s="67">
        <f>IF(IFERROR(INDEX('2016'!$H$5:$H$73,MATCH(B28,'2016'!$A$5:$A$73,0)),0)=0,"N/A",INDEX('2016'!$H$5:$H$73,MATCH(B28,'2016'!$A$5:$A$73,0)))</f>
        <v>11.287000000000001</v>
      </c>
      <c r="H28" s="59">
        <v>9.8339999999999996</v>
      </c>
      <c r="I28" s="59">
        <v>7.6150000000000002</v>
      </c>
      <c r="J28" s="59">
        <v>7.827</v>
      </c>
      <c r="K28" s="59">
        <v>7.8140000000000001</v>
      </c>
      <c r="L28" s="59">
        <v>9.798</v>
      </c>
      <c r="M28" s="59">
        <v>10.843</v>
      </c>
      <c r="N28" s="59">
        <v>9.8469999999999995</v>
      </c>
      <c r="O28" s="59">
        <v>10.345000000000001</v>
      </c>
      <c r="P28" s="59">
        <v>7.4290000000000003</v>
      </c>
      <c r="Q28" s="59">
        <v>8.07</v>
      </c>
    </row>
    <row r="29" spans="1:17" x14ac:dyDescent="0.2">
      <c r="A29" s="59" t="s">
        <v>131</v>
      </c>
      <c r="B29" s="59" t="s">
        <v>14</v>
      </c>
      <c r="C29" s="59">
        <f>IF(IFERROR(INDEX('2020'!$H$5:$H$73,MATCH(B29,'2020'!$A$5:$A$73,0)),0)=0,"N/A",INDEX('2020'!$H$5:$H$73,MATCH(B29,'2020'!$A$5:$A$73,0)))</f>
        <v>14.473000000000001</v>
      </c>
      <c r="D29" s="59">
        <f>IF(IFERROR(INDEX('2019'!$H$5:$H$73,MATCH(B29,'2019'!$A$5:$A$73,0)),0)=0,"N/A",INDEX('2019'!$H$5:$H$73,MATCH(B29,'2019'!$A$5:$A$73,0)))</f>
        <v>13.473000000000001</v>
      </c>
      <c r="E29" s="59">
        <f>IF(IFERROR(INDEX('2018'!$H$5:$H$73,MATCH(B29,'2018'!$A$5:$A$73,0)),0)=0,"N/A",INDEX('2018'!$H$5:$H$73,MATCH(B29,'2018'!$A$5:$A$73,0)))</f>
        <v>13.839</v>
      </c>
      <c r="F29" s="59">
        <f>IF(IFERROR(INDEX('2017'!$H$5:$H$73,MATCH(B29,'2017'!$A$5:$A$73,0)),0)=0,"N/A",INDEX('2017'!$H$5:$H$73,MATCH(B29,'2017'!$A$5:$A$73,0)))</f>
        <v>11.749000000000001</v>
      </c>
      <c r="G29" s="67">
        <f>IF(IFERROR(INDEX('2016'!$H$5:$H$73,MATCH(B29,'2016'!$A$5:$A$73,0)),0)=0,"N/A",INDEX('2016'!$H$5:$H$73,MATCH(B29,'2016'!$A$5:$A$73,0)))</f>
        <v>11.461</v>
      </c>
      <c r="H29" s="59">
        <v>12.968</v>
      </c>
      <c r="I29" s="59">
        <v>11.989000000000001</v>
      </c>
      <c r="J29" s="59">
        <v>11.045999999999999</v>
      </c>
      <c r="K29" s="59">
        <v>12.734</v>
      </c>
      <c r="L29" s="59">
        <v>14.757</v>
      </c>
      <c r="M29" s="59">
        <v>13.944000000000001</v>
      </c>
      <c r="N29" s="59">
        <v>10.073</v>
      </c>
      <c r="O29" s="59">
        <v>8.6679999999999993</v>
      </c>
      <c r="P29" s="59">
        <v>8.6739999999999995</v>
      </c>
      <c r="Q29" s="59">
        <v>7.7839999999999998</v>
      </c>
    </row>
    <row r="30" spans="1:17" x14ac:dyDescent="0.2">
      <c r="A30" s="59" t="s">
        <v>132</v>
      </c>
      <c r="B30" s="59" t="s">
        <v>15</v>
      </c>
      <c r="C30" s="59" t="str">
        <f>IF(IFERROR(INDEX('2020'!$H$5:$H$73,MATCH(B30,'2020'!$A$5:$A$73,0)),0)=0,"N/A",INDEX('2020'!$H$5:$H$73,MATCH(B30,'2020'!$A$5:$A$73,0)))</f>
        <v>N/A</v>
      </c>
      <c r="D30" s="59" t="str">
        <f>IF(IFERROR(INDEX('2019'!$H$5:$H$73,MATCH(B30,'2019'!$A$5:$A$73,0)),0)=0,"N/A",INDEX('2019'!$H$5:$H$73,MATCH(B30,'2019'!$A$5:$A$73,0)))</f>
        <v>N/A</v>
      </c>
      <c r="E30" s="59">
        <f>IF(IFERROR(INDEX('2018'!$H$5:$H$73,MATCH(B30,'2018'!$A$5:$A$73,0)),0)=0,"N/A",INDEX('2018'!$H$5:$H$73,MATCH(B30,'2018'!$A$5:$A$73,0)))</f>
        <v>6.843</v>
      </c>
      <c r="F30" s="59">
        <f>IF(IFERROR(INDEX('2017'!$H$5:$H$73,MATCH(B30,'2017'!$A$5:$A$73,0)),0)=0,"N/A",INDEX('2017'!$H$5:$H$73,MATCH(B30,'2017'!$A$5:$A$73,0)))</f>
        <v>5.9089999999999998</v>
      </c>
      <c r="G30" s="67">
        <f>IF(IFERROR(INDEX('2016'!$H$5:$H$73,MATCH(B30,'2016'!$A$5:$A$73,0)),0)=0,"N/A",INDEX('2016'!$H$5:$H$73,MATCH(B30,'2016'!$A$5:$A$73,0)))</f>
        <v>7.0279999999999996</v>
      </c>
      <c r="H30" s="59">
        <v>8.5540000000000003</v>
      </c>
      <c r="I30" s="59">
        <v>8.5009999999999994</v>
      </c>
      <c r="J30" s="59">
        <v>7.1849999999999996</v>
      </c>
      <c r="K30" s="59">
        <v>6.6989999999999998</v>
      </c>
      <c r="L30" s="59">
        <v>5.9</v>
      </c>
      <c r="M30" s="59">
        <v>5.2670000000000003</v>
      </c>
      <c r="N30" s="59">
        <v>5.9459999999999997</v>
      </c>
      <c r="O30" s="59">
        <v>5.3550000000000004</v>
      </c>
      <c r="P30" s="59">
        <v>4.6269999999999998</v>
      </c>
      <c r="Q30" s="59">
        <v>2.7330000000000001</v>
      </c>
    </row>
    <row r="31" spans="1:17" x14ac:dyDescent="0.2">
      <c r="A31" s="59" t="s">
        <v>134</v>
      </c>
      <c r="B31" s="59" t="s">
        <v>17</v>
      </c>
      <c r="C31" s="59">
        <f>IF(IFERROR(INDEX('2020'!$H$5:$H$73,MATCH(B31,'2020'!$A$5:$A$73,0)),0)=0,"N/A",INDEX('2020'!$H$5:$H$73,MATCH(B31,'2020'!$A$5:$A$73,0)))</f>
        <v>24.518999999999998</v>
      </c>
      <c r="D31" s="59">
        <f>IF(IFERROR(INDEX('2019'!$H$5:$H$73,MATCH(B31,'2019'!$A$5:$A$73,0)),0)=0,"N/A",INDEX('2019'!$H$5:$H$73,MATCH(B31,'2019'!$A$5:$A$73,0)))</f>
        <v>21.722999999999999</v>
      </c>
      <c r="E31" s="59">
        <f>IF(IFERROR(INDEX('2018'!$H$5:$H$73,MATCH(B31,'2018'!$A$5:$A$73,0)),0)=0,"N/A",INDEX('2018'!$H$5:$H$73,MATCH(B31,'2018'!$A$5:$A$73,0)))</f>
        <v>22.452000000000002</v>
      </c>
      <c r="F31" s="59">
        <f>IF(IFERROR(INDEX('2017'!$H$5:$H$73,MATCH(B31,'2017'!$A$5:$A$73,0)),0)=0,"N/A",INDEX('2017'!$H$5:$H$73,MATCH(B31,'2017'!$A$5:$A$73,0)))</f>
        <v>22.074999999999999</v>
      </c>
      <c r="G31" s="67">
        <f>IF(IFERROR(INDEX('2016'!$H$5:$H$73,MATCH(B31,'2016'!$A$5:$A$73,0)),0)=0,"N/A",INDEX('2016'!$H$5:$H$73,MATCH(B31,'2016'!$A$5:$A$73,0)))</f>
        <v>17.277999999999999</v>
      </c>
      <c r="H31" s="59">
        <v>16.786000000000001</v>
      </c>
      <c r="I31" s="59">
        <v>14.821999999999999</v>
      </c>
      <c r="J31" s="59">
        <v>15.728</v>
      </c>
      <c r="K31" s="59">
        <v>18.18</v>
      </c>
      <c r="L31" s="59">
        <v>15.205</v>
      </c>
      <c r="M31" s="59">
        <v>13.326000000000001</v>
      </c>
      <c r="N31" s="59">
        <v>12.99</v>
      </c>
      <c r="O31" s="59">
        <v>13.922000000000001</v>
      </c>
      <c r="P31" s="59">
        <v>10.288</v>
      </c>
      <c r="Q31" s="59">
        <v>9.4350000000000005</v>
      </c>
    </row>
    <row r="32" spans="1:17" x14ac:dyDescent="0.2">
      <c r="A32" s="59" t="s">
        <v>210</v>
      </c>
      <c r="B32" s="59" t="s">
        <v>211</v>
      </c>
      <c r="C32" s="59">
        <f>IF(IFERROR(INDEX('2020'!$H$5:$H$73,MATCH(B32,'2020'!$A$5:$A$73,0)),0)=0,"N/A",INDEX('2020'!$H$5:$H$73,MATCH(B32,'2020'!$A$5:$A$73,0)))</f>
        <v>8.5809999999999995</v>
      </c>
      <c r="D32" s="59">
        <f>IF(IFERROR(INDEX('2019'!$H$5:$H$73,MATCH(B32,'2019'!$A$5:$A$73,0)),0)=0,"N/A",INDEX('2019'!$H$5:$H$73,MATCH(B32,'2019'!$A$5:$A$73,0)))</f>
        <v>8.8260000000000005</v>
      </c>
      <c r="E32" s="59">
        <f>IF(IFERROR(INDEX('2018'!$H$5:$H$73,MATCH(B32,'2018'!$A$5:$A$73,0)),0)=0,"N/A",INDEX('2018'!$H$5:$H$73,MATCH(B32,'2018'!$A$5:$A$73,0)))</f>
        <v>7.9630000000000001</v>
      </c>
      <c r="F32" s="59">
        <f>IF(IFERROR(INDEX('2017'!$H$5:$H$73,MATCH(B32,'2017'!$A$5:$A$73,0)),0)=0,"N/A",INDEX('2017'!$H$5:$H$73,MATCH(B32,'2017'!$A$5:$A$73,0)))</f>
        <v>7.41</v>
      </c>
      <c r="G32" s="67">
        <f>IF(IFERROR(INDEX('2016'!$H$5:$H$73,MATCH(B32,'2016'!$A$5:$A$73,0)),0)=0,"N/A",INDEX('2016'!$H$5:$H$73,MATCH(B32,'2016'!$A$5:$A$73,0)))</f>
        <v>6.2380000000000004</v>
      </c>
      <c r="H32" s="59">
        <v>5.4359999999999999</v>
      </c>
      <c r="I32" s="59">
        <v>5.0590000000000002</v>
      </c>
      <c r="J32" s="59">
        <v>4.6210000000000004</v>
      </c>
      <c r="K32" s="59">
        <v>4.6879999999999997</v>
      </c>
      <c r="L32" s="59">
        <v>6.0780000000000003</v>
      </c>
      <c r="M32" s="59">
        <v>5.4089999999999998</v>
      </c>
      <c r="N32" s="59">
        <v>5.1710000000000003</v>
      </c>
      <c r="O32" s="59">
        <v>8.0559999999999992</v>
      </c>
      <c r="P32" s="59">
        <v>7.1360000000000001</v>
      </c>
      <c r="Q32" s="59">
        <v>5.4880000000000004</v>
      </c>
    </row>
    <row r="33" spans="1:17" x14ac:dyDescent="0.2">
      <c r="A33" s="59" t="s">
        <v>135</v>
      </c>
      <c r="B33" s="59" t="s">
        <v>18</v>
      </c>
      <c r="C33" s="59">
        <f>IF(IFERROR(INDEX('2020'!$H$5:$H$73,MATCH(B33,'2020'!$A$5:$A$73,0)),0)=0,"N/A",INDEX('2020'!$H$5:$H$73,MATCH(B33,'2020'!$A$5:$A$73,0)))</f>
        <v>8.2460000000000004</v>
      </c>
      <c r="D33" s="59">
        <f>IF(IFERROR(INDEX('2019'!$H$5:$H$73,MATCH(B33,'2019'!$A$5:$A$73,0)),0)=0,"N/A",INDEX('2019'!$H$5:$H$73,MATCH(B33,'2019'!$A$5:$A$73,0)))</f>
        <v>7.4489999999999998</v>
      </c>
      <c r="E33" s="59">
        <f>IF(IFERROR(INDEX('2018'!$H$5:$H$73,MATCH(B33,'2018'!$A$5:$A$73,0)),0)=0,"N/A",INDEX('2018'!$H$5:$H$73,MATCH(B33,'2018'!$A$5:$A$73,0)))</f>
        <v>7.8440000000000003</v>
      </c>
      <c r="F33" s="59">
        <f>IF(IFERROR(INDEX('2017'!$H$5:$H$73,MATCH(B33,'2017'!$A$5:$A$73,0)),0)=0,"N/A",INDEX('2017'!$H$5:$H$73,MATCH(B33,'2017'!$A$5:$A$73,0)))</f>
        <v>7.8730000000000002</v>
      </c>
      <c r="G33" s="67">
        <f>IF(IFERROR(INDEX('2016'!$H$5:$H$73,MATCH(B33,'2016'!$A$5:$A$73,0)),0)=0,"N/A",INDEX('2016'!$H$5:$H$73,MATCH(B33,'2016'!$A$5:$A$73,0)))</f>
        <v>9.2560000000000002</v>
      </c>
      <c r="H33" s="59">
        <v>8.2880000000000003</v>
      </c>
      <c r="I33" s="59">
        <v>7.0679999999999996</v>
      </c>
      <c r="J33" s="59">
        <v>6.2930000000000001</v>
      </c>
      <c r="K33" s="59">
        <v>6.7720000000000002</v>
      </c>
      <c r="L33" s="59">
        <v>6.093</v>
      </c>
      <c r="M33" s="59">
        <v>5.0250000000000004</v>
      </c>
      <c r="N33" s="59">
        <v>4.9610000000000003</v>
      </c>
      <c r="O33" s="59">
        <v>4.7359999999999998</v>
      </c>
      <c r="P33" s="59">
        <v>4.0460000000000003</v>
      </c>
      <c r="Q33" s="59">
        <v>3.61</v>
      </c>
    </row>
    <row r="34" spans="1:17" x14ac:dyDescent="0.2">
      <c r="A34" s="59" t="s">
        <v>136</v>
      </c>
      <c r="B34" s="59" t="s">
        <v>19</v>
      </c>
      <c r="C34" s="59">
        <f>IF(IFERROR(INDEX('2020'!$H$5:$H$73,MATCH(B34,'2020'!$A$5:$A$73,0)),0)=0,"N/A",INDEX('2020'!$H$5:$H$73,MATCH(B34,'2020'!$A$5:$A$73,0)))</f>
        <v>4.8920000000000003</v>
      </c>
      <c r="D34" s="59">
        <f>IF(IFERROR(INDEX('2019'!$H$5:$H$73,MATCH(B34,'2019'!$A$5:$A$73,0)),0)=0,"N/A",INDEX('2019'!$H$5:$H$73,MATCH(B34,'2019'!$A$5:$A$73,0)))</f>
        <v>4.9290000000000003</v>
      </c>
      <c r="E34" s="59">
        <f>IF(IFERROR(INDEX('2018'!$H$5:$H$73,MATCH(B34,'2018'!$A$5:$A$73,0)),0)=0,"N/A",INDEX('2018'!$H$5:$H$73,MATCH(B34,'2018'!$A$5:$A$73,0)))</f>
        <v>5.2249999999999996</v>
      </c>
      <c r="F34" s="59">
        <f>IF(IFERROR(INDEX('2017'!$H$5:$H$73,MATCH(B34,'2017'!$A$5:$A$73,0)),0)=0,"N/A",INDEX('2017'!$H$5:$H$73,MATCH(B34,'2017'!$A$5:$A$73,0)))</f>
        <v>6.3789999999999996</v>
      </c>
      <c r="G34" s="67">
        <f>IF(IFERROR(INDEX('2016'!$H$5:$H$73,MATCH(B34,'2016'!$A$5:$A$73,0)),0)=0,"N/A",INDEX('2016'!$H$5:$H$73,MATCH(B34,'2016'!$A$5:$A$73,0)))</f>
        <v>6.9340000000000002</v>
      </c>
      <c r="H34" s="59">
        <v>6.8330000000000002</v>
      </c>
      <c r="I34" s="59">
        <v>8.4179999999999993</v>
      </c>
      <c r="J34" s="59">
        <v>6.899</v>
      </c>
      <c r="K34" s="59">
        <v>7.0869999999999997</v>
      </c>
      <c r="L34" s="59">
        <v>5.4470000000000001</v>
      </c>
      <c r="M34" s="59">
        <v>6.44</v>
      </c>
      <c r="N34" s="59">
        <v>7.2270000000000003</v>
      </c>
      <c r="O34" s="59">
        <v>9.4740000000000002</v>
      </c>
      <c r="P34" s="59">
        <v>5.3570000000000002</v>
      </c>
      <c r="Q34" s="59">
        <v>4.12</v>
      </c>
    </row>
    <row r="35" spans="1:17" x14ac:dyDescent="0.2">
      <c r="A35" s="59" t="s">
        <v>265</v>
      </c>
      <c r="B35" s="59" t="s">
        <v>266</v>
      </c>
      <c r="C35" s="59">
        <f>IF(IFERROR(INDEX('2020'!$H$5:$H$73,MATCH(B35,'2020'!$A$5:$A$73,0)),0)=0,"N/A",INDEX('2020'!$H$5:$H$73,MATCH(B35,'2020'!$A$5:$A$73,0)))</f>
        <v>8.6530000000000005</v>
      </c>
      <c r="D35" s="59">
        <f>IF(IFERROR(INDEX('2019'!$H$5:$H$73,MATCH(B35,'2019'!$A$5:$A$73,0)),0)=0,"N/A",INDEX('2019'!$H$5:$H$73,MATCH(B35,'2019'!$A$5:$A$73,0)))</f>
        <v>8.0289999999999999</v>
      </c>
      <c r="E35" s="59">
        <f>IF(IFERROR(INDEX('2018'!$H$5:$H$73,MATCH(B35,'2018'!$A$5:$A$73,0)),0)=0,"N/A",INDEX('2018'!$H$5:$H$73,MATCH(B35,'2018'!$A$5:$A$73,0)))</f>
        <v>7.51</v>
      </c>
      <c r="F35" s="59">
        <f>IF(IFERROR(INDEX('2017'!$H$5:$H$73,MATCH(B35,'2017'!$A$5:$A$73,0)),0)=0,"N/A",INDEX('2017'!$H$5:$H$73,MATCH(B35,'2017'!$A$5:$A$73,0)))</f>
        <v>7.181</v>
      </c>
      <c r="G35" s="67">
        <f>IF(IFERROR(INDEX('2016'!$H$5:$H$73,MATCH(B35,'2016'!$A$5:$A$73,0)),0)=0,"N/A",INDEX('2016'!$H$5:$H$73,MATCH(B35,'2016'!$A$5:$A$73,0)))</f>
        <v>5.133</v>
      </c>
      <c r="H35" s="59">
        <v>7.9660000000000002</v>
      </c>
      <c r="I35" s="59">
        <v>6</v>
      </c>
      <c r="J35" s="59">
        <v>5.3250000000000002</v>
      </c>
      <c r="K35" s="59">
        <v>5.68</v>
      </c>
      <c r="L35" s="59">
        <v>5.91</v>
      </c>
      <c r="M35" s="59">
        <v>5.8890000000000002</v>
      </c>
      <c r="N35" s="59">
        <v>5.7919999999999998</v>
      </c>
      <c r="O35" s="59">
        <v>5.343</v>
      </c>
      <c r="P35" s="59">
        <v>5.1630000000000003</v>
      </c>
      <c r="Q35" s="59">
        <v>4.8029999999999999</v>
      </c>
    </row>
    <row r="36" spans="1:17" x14ac:dyDescent="0.2">
      <c r="A36" s="59" t="s">
        <v>185</v>
      </c>
      <c r="B36" s="59" t="s">
        <v>186</v>
      </c>
      <c r="C36" s="59" t="str">
        <f>IF(IFERROR(INDEX('2020'!$H$5:$H$73,MATCH(B36,'2020'!$A$5:$A$73,0)),0)=0,"N/A",INDEX('2020'!$H$5:$H$73,MATCH(B36,'2020'!$A$5:$A$73,0)))</f>
        <v>N/A</v>
      </c>
      <c r="D36" s="59" t="str">
        <f>IF(IFERROR(INDEX('2019'!$H$5:$H$73,MATCH(B36,'2019'!$A$5:$A$73,0)),0)=0,"N/A",INDEX('2019'!$H$5:$H$73,MATCH(B36,'2019'!$A$5:$A$73,0)))</f>
        <v>N/A</v>
      </c>
      <c r="E36" s="59" t="str">
        <f>IF(IFERROR(INDEX('2018'!$H$5:$H$73,MATCH(B36,'2018'!$A$5:$A$73,0)),0)=0,"N/A",INDEX('2018'!$H$5:$H$73,MATCH(B36,'2018'!$A$5:$A$73,0)))</f>
        <v>N/A</v>
      </c>
      <c r="F36" s="59" t="str">
        <f>IF(IFERROR(INDEX('2017'!$H$5:$H$73,MATCH(B36,'2017'!$A$5:$A$73,0)),0)=0,"N/A",INDEX('2017'!$H$5:$H$73,MATCH(B36,'2017'!$A$5:$A$73,0)))</f>
        <v>N/A</v>
      </c>
      <c r="G36" s="67">
        <f>IF(IFERROR(INDEX('2016'!$H$5:$H$73,MATCH(B36,'2016'!$A$5:$A$73,0)),0)=0,"N/A",INDEX('2016'!$H$5:$H$73,MATCH(B36,'2016'!$A$5:$A$73,0)))</f>
        <v>0.71499999999999997</v>
      </c>
      <c r="H36" s="59">
        <v>0.91100000000000003</v>
      </c>
      <c r="I36" s="59">
        <v>2.0609999999999999</v>
      </c>
      <c r="J36" s="59">
        <v>2.306</v>
      </c>
      <c r="K36" s="59">
        <v>2.4740000000000002</v>
      </c>
      <c r="L36" s="59">
        <v>2.8460000000000001</v>
      </c>
      <c r="M36" s="59">
        <v>1.046</v>
      </c>
      <c r="N36" s="59">
        <v>2.0299999999999998</v>
      </c>
      <c r="O36" s="59">
        <v>0.89</v>
      </c>
      <c r="P36" s="59">
        <v>0.56100000000000005</v>
      </c>
      <c r="Q36" s="59">
        <v>0.56200000000000006</v>
      </c>
    </row>
    <row r="37" spans="1:17" x14ac:dyDescent="0.2">
      <c r="A37" s="59" t="s">
        <v>137</v>
      </c>
      <c r="B37" s="59" t="s">
        <v>20</v>
      </c>
      <c r="C37" s="59" t="str">
        <f>IF(IFERROR(INDEX('2020'!$H$5:$H$73,MATCH(B37,'2020'!$A$5:$A$73,0)),0)=0,"N/A",INDEX('2020'!$H$5:$H$73,MATCH(B37,'2020'!$A$5:$A$73,0)))</f>
        <v>N/A</v>
      </c>
      <c r="D37" s="59" t="str">
        <f>IF(IFERROR(INDEX('2019'!$H$5:$H$73,MATCH(B37,'2019'!$A$5:$A$73,0)),0)=0,"N/A",INDEX('2019'!$H$5:$H$73,MATCH(B37,'2019'!$A$5:$A$73,0)))</f>
        <v>N/A</v>
      </c>
      <c r="E37" s="59" t="str">
        <f>IF(IFERROR(INDEX('2018'!$H$5:$H$73,MATCH(B37,'2018'!$A$5:$A$73,0)),0)=0,"N/A",INDEX('2018'!$H$5:$H$73,MATCH(B37,'2018'!$A$5:$A$73,0)))</f>
        <v>N/A</v>
      </c>
      <c r="F37" s="59">
        <f>IF(IFERROR(INDEX('2017'!$H$5:$H$73,MATCH(B37,'2017'!$A$5:$A$73,0)),0)=0,"N/A",INDEX('2017'!$H$5:$H$73,MATCH(B37,'2017'!$A$5:$A$73,0)))</f>
        <v>2.69</v>
      </c>
      <c r="G37" s="67">
        <f>IF(IFERROR(INDEX('2016'!$H$5:$H$73,MATCH(B37,'2016'!$A$5:$A$73,0)),0)=0,"N/A",INDEX('2016'!$H$5:$H$73,MATCH(B37,'2016'!$A$5:$A$73,0)))</f>
        <v>2.8610000000000002</v>
      </c>
      <c r="H37" s="59">
        <v>4.423</v>
      </c>
      <c r="I37" s="59">
        <v>5.1029999999999998</v>
      </c>
      <c r="J37" s="59">
        <v>4.4249999999999998</v>
      </c>
      <c r="K37" s="59">
        <v>4.0090000000000003</v>
      </c>
      <c r="L37" s="59">
        <v>3.3959999999999999</v>
      </c>
      <c r="M37" s="59">
        <v>4.7640000000000002</v>
      </c>
      <c r="N37" s="59">
        <v>6.4889999999999999</v>
      </c>
      <c r="O37" s="59">
        <v>8.86</v>
      </c>
      <c r="P37" s="59">
        <v>6.1509999999999998</v>
      </c>
      <c r="Q37" s="59">
        <v>6.0460000000000003</v>
      </c>
    </row>
    <row r="38" spans="1:17" x14ac:dyDescent="0.2">
      <c r="A38" s="59" t="s">
        <v>138</v>
      </c>
      <c r="B38" s="59" t="s">
        <v>21</v>
      </c>
      <c r="C38" s="59">
        <f>IF(IFERROR(INDEX('2020'!$H$5:$H$73,MATCH(B38,'2020'!$A$5:$A$73,0)),0)=0,"N/A",INDEX('2020'!$H$5:$H$73,MATCH(B38,'2020'!$A$5:$A$73,0)))</f>
        <v>3.516</v>
      </c>
      <c r="D38" s="59">
        <f>IF(IFERROR(INDEX('2019'!$H$5:$H$73,MATCH(B38,'2019'!$A$5:$A$73,0)),0)=0,"N/A",INDEX('2019'!$H$5:$H$73,MATCH(B38,'2019'!$A$5:$A$73,0)))</f>
        <v>4.1980000000000004</v>
      </c>
      <c r="E38" s="59">
        <f>IF(IFERROR(INDEX('2018'!$H$5:$H$73,MATCH(B38,'2018'!$A$5:$A$73,0)),0)=0,"N/A",INDEX('2018'!$H$5:$H$73,MATCH(B38,'2018'!$A$5:$A$73,0)))</f>
        <v>4.9349999999999996</v>
      </c>
      <c r="F38" s="59">
        <f>IF(IFERROR(INDEX('2017'!$H$5:$H$73,MATCH(B38,'2017'!$A$5:$A$73,0)),0)=0,"N/A",INDEX('2017'!$H$5:$H$73,MATCH(B38,'2017'!$A$5:$A$73,0)))</f>
        <v>4.5519999999999996</v>
      </c>
      <c r="G38" s="67">
        <f>IF(IFERROR(INDEX('2016'!$H$5:$H$73,MATCH(B38,'2016'!$A$5:$A$73,0)),0)=0,"N/A",INDEX('2016'!$H$5:$H$73,MATCH(B38,'2016'!$A$5:$A$73,0)))</f>
        <v>3.04</v>
      </c>
      <c r="H38" s="59">
        <v>3.3849999999999998</v>
      </c>
      <c r="I38" s="59">
        <v>3.3119999999999998</v>
      </c>
      <c r="J38" s="59">
        <v>3.4950000000000001</v>
      </c>
      <c r="K38" s="59">
        <v>3.3239999999999998</v>
      </c>
      <c r="L38" s="59">
        <v>2.448</v>
      </c>
      <c r="M38" s="59">
        <v>1.923</v>
      </c>
      <c r="N38" s="59">
        <v>3.294</v>
      </c>
      <c r="O38" s="59">
        <v>3.1160000000000001</v>
      </c>
      <c r="P38" s="59">
        <v>2.6160000000000001</v>
      </c>
      <c r="Q38" s="59">
        <v>2.5840000000000001</v>
      </c>
    </row>
    <row r="39" spans="1:17" x14ac:dyDescent="0.2">
      <c r="A39" s="59" t="s">
        <v>216</v>
      </c>
      <c r="B39" s="59" t="s">
        <v>22</v>
      </c>
      <c r="C39" s="59">
        <f>IF(IFERROR(INDEX('2020'!$H$5:$H$73,MATCH(B39,'2020'!$A$5:$A$73,0)),0)=0,"N/A",INDEX('2020'!$H$5:$H$73,MATCH(B39,'2020'!$A$5:$A$73,0)))</f>
        <v>6.1619999999999999</v>
      </c>
      <c r="D39" s="59">
        <f>IF(IFERROR(INDEX('2019'!$H$5:$H$73,MATCH(B39,'2019'!$A$5:$A$73,0)),0)=0,"N/A",INDEX('2019'!$H$5:$H$73,MATCH(B39,'2019'!$A$5:$A$73,0)))</f>
        <v>5.5279999999999996</v>
      </c>
      <c r="E39" s="59">
        <f>IF(IFERROR(INDEX('2018'!$H$5:$H$73,MATCH(B39,'2018'!$A$5:$A$73,0)),0)=0,"N/A",INDEX('2018'!$H$5:$H$73,MATCH(B39,'2018'!$A$5:$A$73,0)))</f>
        <v>5.5110000000000001</v>
      </c>
      <c r="F39" s="59">
        <f>IF(IFERROR(INDEX('2017'!$H$5:$H$73,MATCH(B39,'2017'!$A$5:$A$73,0)),0)=0,"N/A",INDEX('2017'!$H$5:$H$73,MATCH(B39,'2017'!$A$5:$A$73,0)))</f>
        <v>5.6619999999999999</v>
      </c>
      <c r="G39" s="67">
        <f>IF(IFERROR(INDEX('2016'!$H$5:$H$73,MATCH(B39,'2016'!$A$5:$A$73,0)),0)=0,"N/A",INDEX('2016'!$H$5:$H$73,MATCH(B39,'2016'!$A$5:$A$73,0)))</f>
        <v>5.8920000000000003</v>
      </c>
      <c r="H39" s="59">
        <v>5.8410000000000002</v>
      </c>
      <c r="I39" s="59">
        <v>5.452</v>
      </c>
      <c r="J39" s="59">
        <v>4.6840000000000002</v>
      </c>
      <c r="K39" s="59">
        <v>4.78</v>
      </c>
      <c r="L39" s="59">
        <v>6.7619999999999996</v>
      </c>
      <c r="M39" s="59">
        <v>6.8460000000000001</v>
      </c>
      <c r="N39" s="59">
        <v>5.26</v>
      </c>
      <c r="O39" s="59">
        <v>5.1909999999999998</v>
      </c>
      <c r="P39" s="59">
        <v>6.3860000000000001</v>
      </c>
      <c r="Q39" s="59">
        <v>5.1580000000000004</v>
      </c>
    </row>
    <row r="40" spans="1:17" x14ac:dyDescent="0.2">
      <c r="A40" s="59" t="s">
        <v>139</v>
      </c>
      <c r="B40" s="59" t="s">
        <v>25</v>
      </c>
      <c r="C40" s="59">
        <f>IF(IFERROR(INDEX('2020'!$H$5:$H$73,MATCH(B40,'2020'!$A$5:$A$73,0)),0)=0,"N/A",INDEX('2020'!$H$5:$H$73,MATCH(B40,'2020'!$A$5:$A$73,0)))</f>
        <v>5.617</v>
      </c>
      <c r="D40" s="59">
        <f>IF(IFERROR(INDEX('2019'!$H$5:$H$73,MATCH(B40,'2019'!$A$5:$A$73,0)),0)=0,"N/A",INDEX('2019'!$H$5:$H$73,MATCH(B40,'2019'!$A$5:$A$73,0)))</f>
        <v>4.7320000000000002</v>
      </c>
      <c r="E40" s="59">
        <f>IF(IFERROR(INDEX('2018'!$H$5:$H$73,MATCH(B40,'2018'!$A$5:$A$73,0)),0)=0,"N/A",INDEX('2018'!$H$5:$H$73,MATCH(B40,'2018'!$A$5:$A$73,0)))</f>
        <v>6.1210000000000004</v>
      </c>
      <c r="F40" s="59">
        <f>IF(IFERROR(INDEX('2017'!$H$5:$H$73,MATCH(B40,'2017'!$A$5:$A$73,0)),0)=0,"N/A",INDEX('2017'!$H$5:$H$73,MATCH(B40,'2017'!$A$5:$A$73,0)))</f>
        <v>3.1190000000000002</v>
      </c>
      <c r="G40" s="67">
        <f>IF(IFERROR(INDEX('2016'!$H$5:$H$73,MATCH(B40,'2016'!$A$5:$A$73,0)),0)=0,"N/A",INDEX('2016'!$H$5:$H$73,MATCH(B40,'2016'!$A$5:$A$73,0)))</f>
        <v>2.4129999999999998</v>
      </c>
      <c r="H40" s="59">
        <v>2.0779999999999998</v>
      </c>
      <c r="I40" s="59">
        <v>2.673</v>
      </c>
      <c r="J40" s="59">
        <v>3.4340000000000002</v>
      </c>
      <c r="K40" s="59">
        <v>2.839</v>
      </c>
      <c r="L40" s="59">
        <v>1.88</v>
      </c>
      <c r="M40" s="59">
        <v>1.756</v>
      </c>
      <c r="N40" s="59">
        <v>2.3540000000000001</v>
      </c>
      <c r="O40" s="59">
        <v>3.0790000000000002</v>
      </c>
      <c r="P40" s="59">
        <v>4.1379999999999999</v>
      </c>
      <c r="Q40" s="59">
        <v>2.9420000000000002</v>
      </c>
    </row>
    <row r="41" spans="1:17" x14ac:dyDescent="0.2">
      <c r="A41" s="59" t="s">
        <v>187</v>
      </c>
      <c r="B41" s="59" t="s">
        <v>188</v>
      </c>
      <c r="C41" s="59">
        <f>IF(IFERROR(INDEX('2020'!$H$5:$H$73,MATCH(B41,'2020'!$A$5:$A$73,0)),0)=0,"N/A",INDEX('2020'!$H$5:$H$73,MATCH(B41,'2020'!$A$5:$A$73,0)))</f>
        <v>6.0449999999999999</v>
      </c>
      <c r="D41" s="59">
        <f>IF(IFERROR(INDEX('2019'!$H$5:$H$73,MATCH(B41,'2019'!$A$5:$A$73,0)),0)=0,"N/A",INDEX('2019'!$H$5:$H$73,MATCH(B41,'2019'!$A$5:$A$73,0)))</f>
        <v>5.1120000000000001</v>
      </c>
      <c r="E41" s="59">
        <f>IF(IFERROR(INDEX('2018'!$H$5:$H$73,MATCH(B41,'2018'!$A$5:$A$73,0)),0)=0,"N/A",INDEX('2018'!$H$5:$H$73,MATCH(B41,'2018'!$A$5:$A$73,0)))</f>
        <v>4.3949999999999996</v>
      </c>
      <c r="F41" s="59">
        <f>IF(IFERROR(INDEX('2017'!$H$5:$H$73,MATCH(B41,'2017'!$A$5:$A$73,0)),0)=0,"N/A",INDEX('2017'!$H$5:$H$73,MATCH(B41,'2017'!$A$5:$A$73,0)))</f>
        <v>3.0760000000000001</v>
      </c>
      <c r="G41" s="67">
        <f>IF(IFERROR(INDEX('2016'!$H$5:$H$73,MATCH(B41,'2016'!$A$5:$A$73,0)),0)=0,"N/A",INDEX('2016'!$H$5:$H$73,MATCH(B41,'2016'!$A$5:$A$73,0)))</f>
        <v>2.907</v>
      </c>
      <c r="H41" s="59">
        <v>1.5880000000000001</v>
      </c>
      <c r="I41" s="59">
        <v>1.401</v>
      </c>
      <c r="J41" s="59">
        <v>1.258</v>
      </c>
      <c r="K41" s="59">
        <v>1.3640000000000001</v>
      </c>
      <c r="L41" s="59">
        <v>1.5</v>
      </c>
      <c r="M41" s="59">
        <v>1.9019999999999999</v>
      </c>
      <c r="N41" s="59">
        <v>1.4890000000000001</v>
      </c>
      <c r="O41" s="59">
        <v>2.121</v>
      </c>
      <c r="P41" s="59">
        <v>1.6559999999999999</v>
      </c>
      <c r="Q41" s="59">
        <v>2.306</v>
      </c>
    </row>
    <row r="42" spans="1:17" x14ac:dyDescent="0.2">
      <c r="A42" s="59" t="s">
        <v>189</v>
      </c>
      <c r="B42" s="59" t="s">
        <v>190</v>
      </c>
      <c r="C42" s="59">
        <f>IF(IFERROR(INDEX('2020'!$H$5:$H$73,MATCH(B42,'2020'!$A$5:$A$73,0)),0)=0,"N/A",INDEX('2020'!$H$5:$H$73,MATCH(B42,'2020'!$A$5:$A$73,0)))</f>
        <v>4.6550000000000002</v>
      </c>
      <c r="D42" s="59">
        <f>IF(IFERROR(INDEX('2019'!$H$5:$H$73,MATCH(B42,'2019'!$A$5:$A$73,0)),0)=0,"N/A",INDEX('2019'!$H$5:$H$73,MATCH(B42,'2019'!$A$5:$A$73,0)))</f>
        <v>5.8339999999999996</v>
      </c>
      <c r="E42" s="59">
        <f>IF(IFERROR(INDEX('2018'!$H$5:$H$73,MATCH(B42,'2018'!$A$5:$A$73,0)),0)=0,"N/A",INDEX('2018'!$H$5:$H$73,MATCH(B42,'2018'!$A$5:$A$73,0)))</f>
        <v>4.3860000000000001</v>
      </c>
      <c r="F42" s="59">
        <f>IF(IFERROR(INDEX('2017'!$H$5:$H$73,MATCH(B42,'2017'!$A$5:$A$73,0)),0)=0,"N/A",INDEX('2017'!$H$5:$H$73,MATCH(B42,'2017'!$A$5:$A$73,0)))</f>
        <v>3.8010000000000002</v>
      </c>
      <c r="G42" s="67">
        <f>IF(IFERROR(INDEX('2016'!$H$5:$H$73,MATCH(B42,'2016'!$A$5:$A$73,0)),0)=0,"N/A",INDEX('2016'!$H$5:$H$73,MATCH(B42,'2016'!$A$5:$A$73,0)))</f>
        <v>4.1459999999999999</v>
      </c>
      <c r="H42" s="59">
        <v>3.7570000000000001</v>
      </c>
      <c r="I42" s="59">
        <v>1.5229999999999999</v>
      </c>
      <c r="J42" s="59">
        <v>1.3260000000000001</v>
      </c>
      <c r="K42" s="59">
        <v>1.256</v>
      </c>
      <c r="L42" s="59">
        <v>1.129</v>
      </c>
      <c r="M42" s="59">
        <v>1.052</v>
      </c>
      <c r="N42" s="59">
        <v>0.90300000000000002</v>
      </c>
      <c r="O42" s="59">
        <v>0.86</v>
      </c>
      <c r="P42" s="59">
        <v>0.73</v>
      </c>
      <c r="Q42" s="59">
        <v>0.64</v>
      </c>
    </row>
    <row r="43" spans="1:17" x14ac:dyDescent="0.2">
      <c r="A43" s="59" t="s">
        <v>140</v>
      </c>
      <c r="B43" s="59" t="s">
        <v>141</v>
      </c>
      <c r="C43" s="59">
        <f>IF(IFERROR(INDEX('2020'!$H$5:$H$73,MATCH(B43,'2020'!$A$5:$A$73,0)),0)=0,"N/A",INDEX('2020'!$H$5:$H$73,MATCH(B43,'2020'!$A$5:$A$73,0)))</f>
        <v>7.4539999999999997</v>
      </c>
      <c r="D43" s="59">
        <f>IF(IFERROR(INDEX('2019'!$H$5:$H$73,MATCH(B43,'2019'!$A$5:$A$73,0)),0)=0,"N/A",INDEX('2019'!$H$5:$H$73,MATCH(B43,'2019'!$A$5:$A$73,0)))</f>
        <v>6.2869999999999999</v>
      </c>
      <c r="E43" s="59">
        <v>6.8</v>
      </c>
      <c r="F43" s="59">
        <v>5.7</v>
      </c>
      <c r="G43" s="67">
        <v>5.15</v>
      </c>
      <c r="H43" s="59">
        <v>4.54</v>
      </c>
      <c r="I43" s="59">
        <v>3.96</v>
      </c>
      <c r="J43" s="59">
        <v>3.84</v>
      </c>
      <c r="K43" s="59">
        <v>5.58</v>
      </c>
      <c r="L43" s="59">
        <v>3.98</v>
      </c>
      <c r="M43" s="59">
        <v>3.47</v>
      </c>
      <c r="N43" s="59">
        <v>3.63</v>
      </c>
      <c r="O43" s="59">
        <v>3.2</v>
      </c>
      <c r="P43" s="59">
        <v>3.08</v>
      </c>
      <c r="Q43" s="59">
        <v>2.31</v>
      </c>
    </row>
    <row r="44" spans="1:17" x14ac:dyDescent="0.2">
      <c r="A44" s="59" t="s">
        <v>142</v>
      </c>
      <c r="B44" s="59" t="s">
        <v>26</v>
      </c>
      <c r="C44" s="59">
        <f>IF(IFERROR(INDEX('2020'!$H$5:$H$73,MATCH(B44,'2020'!$A$5:$A$73,0)),0)=0,"N/A",INDEX('2020'!$H$5:$H$73,MATCH(B44,'2020'!$A$5:$A$73,0)))</f>
        <v>4.4880000000000004</v>
      </c>
      <c r="D44" s="59">
        <f>IF(IFERROR(INDEX('2019'!$H$5:$H$73,MATCH(B44,'2019'!$A$5:$A$73,0)),0)=0,"N/A",INDEX('2019'!$H$5:$H$73,MATCH(B44,'2019'!$A$5:$A$73,0)))</f>
        <v>4.7169999999999996</v>
      </c>
      <c r="E44" s="59">
        <f>IF(IFERROR(INDEX('2018'!$H$5:$H$73,MATCH(B44,'2018'!$A$5:$A$73,0)),0)=0,"N/A",INDEX('2018'!$H$5:$H$73,MATCH(B44,'2018'!$A$5:$A$73,0)))</f>
        <v>4.883</v>
      </c>
      <c r="F44" s="59">
        <f>IF(IFERROR(INDEX('2017'!$H$5:$H$73,MATCH(B44,'2017'!$A$5:$A$73,0)),0)=0,"N/A",INDEX('2017'!$H$5:$H$73,MATCH(B44,'2017'!$A$5:$A$73,0)))</f>
        <v>5.032</v>
      </c>
      <c r="G44" s="67">
        <f>IF(IFERROR(INDEX('2016'!$H$5:$H$73,MATCH(B44,'2016'!$A$5:$A$73,0)),0)=0,"N/A",INDEX('2016'!$H$5:$H$73,MATCH(B44,'2016'!$A$5:$A$73,0)))</f>
        <v>4.5650000000000004</v>
      </c>
      <c r="H44" s="59">
        <v>4.2640000000000002</v>
      </c>
      <c r="I44" s="59">
        <v>6.4189999999999996</v>
      </c>
      <c r="J44" s="59">
        <v>5.9930000000000003</v>
      </c>
      <c r="K44" s="59">
        <v>4.83</v>
      </c>
      <c r="L44" s="59">
        <v>3.988</v>
      </c>
      <c r="M44" s="59">
        <v>2.8780000000000001</v>
      </c>
      <c r="N44" s="59">
        <v>2.8079999999999998</v>
      </c>
      <c r="O44" s="59">
        <v>3.536</v>
      </c>
      <c r="P44" s="59">
        <v>2.875</v>
      </c>
      <c r="Q44" s="59">
        <v>2.3290000000000002</v>
      </c>
    </row>
    <row r="45" spans="1:17" x14ac:dyDescent="0.2">
      <c r="A45" s="59" t="s">
        <v>191</v>
      </c>
      <c r="B45" s="59" t="s">
        <v>192</v>
      </c>
      <c r="C45" s="59">
        <f>IF(IFERROR(INDEX('2020'!$H$5:$H$73,MATCH(B45,'2020'!$A$5:$A$73,0)),0)=0,"N/A",INDEX('2020'!$H$5:$H$73,MATCH(B45,'2020'!$A$5:$A$73,0)))</f>
        <v>9.1829999999999998</v>
      </c>
      <c r="D45" s="59">
        <f>IF(IFERROR(INDEX('2019'!$H$5:$H$73,MATCH(B45,'2019'!$A$5:$A$73,0)),0)=0,"N/A",INDEX('2019'!$H$5:$H$73,MATCH(B45,'2019'!$A$5:$A$73,0)))</f>
        <v>7.9509999999999996</v>
      </c>
      <c r="E45" s="59">
        <f>IF(IFERROR(INDEX('2018'!$H$5:$H$73,MATCH(B45,'2018'!$A$5:$A$73,0)),0)=0,"N/A",INDEX('2018'!$H$5:$H$73,MATCH(B45,'2018'!$A$5:$A$73,0)))</f>
        <v>7.4320000000000004</v>
      </c>
      <c r="F45" s="59">
        <f>IF(IFERROR(INDEX('2017'!$H$5:$H$73,MATCH(B45,'2017'!$A$5:$A$73,0)),0)=0,"N/A",INDEX('2017'!$H$5:$H$73,MATCH(B45,'2017'!$A$5:$A$73,0)))</f>
        <v>7.4329999999999998</v>
      </c>
      <c r="G45" s="67">
        <f>IF(IFERROR(INDEX('2016'!$H$5:$H$73,MATCH(B45,'2016'!$A$5:$A$73,0)),0)=0,"N/A",INDEX('2016'!$H$5:$H$73,MATCH(B45,'2016'!$A$5:$A$73,0)))</f>
        <v>4.8730000000000002</v>
      </c>
      <c r="H45" s="59">
        <v>4.37</v>
      </c>
      <c r="I45" s="59">
        <v>4.4020000000000001</v>
      </c>
      <c r="J45" s="59">
        <v>5.1310000000000002</v>
      </c>
      <c r="K45" s="59">
        <v>4.9050000000000002</v>
      </c>
      <c r="L45" s="59">
        <v>3.7570000000000001</v>
      </c>
      <c r="M45" s="59">
        <v>9.3510000000000009</v>
      </c>
      <c r="N45" s="59">
        <v>5.093</v>
      </c>
      <c r="O45" s="59">
        <v>3.9239999999999999</v>
      </c>
      <c r="P45" s="59">
        <v>4.4770000000000003</v>
      </c>
      <c r="Q45" s="59">
        <v>3.5640000000000001</v>
      </c>
    </row>
    <row r="46" spans="1:17" x14ac:dyDescent="0.2">
      <c r="A46" s="59" t="s">
        <v>143</v>
      </c>
      <c r="B46" s="59" t="s">
        <v>144</v>
      </c>
      <c r="C46" s="59">
        <f>IF(IFERROR(INDEX('2020'!$H$5:$H$73,MATCH(B46,'2020'!$A$5:$A$73,0)),0)=0,"N/A",INDEX('2020'!$H$5:$H$73,MATCH(B46,'2020'!$A$5:$A$73,0)))</f>
        <v>8.0210000000000008</v>
      </c>
      <c r="D46" s="59">
        <f>IF(IFERROR(INDEX('2019'!$H$5:$H$73,MATCH(B46,'2019'!$A$5:$A$73,0)),0)=0,"N/A",INDEX('2019'!$H$5:$H$73,MATCH(B46,'2019'!$A$5:$A$73,0)))</f>
        <v>6.2640000000000002</v>
      </c>
      <c r="E46" s="59">
        <f>IF(IFERROR(INDEX('2018'!$H$5:$H$73,MATCH(B46,'2018'!$A$5:$A$73,0)),0)=0,"N/A",INDEX('2018'!$H$5:$H$73,MATCH(B46,'2018'!$A$5:$A$73,0)))</f>
        <v>5.6429999999999998</v>
      </c>
      <c r="F46" s="59">
        <f>IF(IFERROR(INDEX('2017'!$H$5:$H$73,MATCH(B46,'2017'!$A$5:$A$73,0)),0)=0,"N/A",INDEX('2017'!$H$5:$H$73,MATCH(B46,'2017'!$A$5:$A$73,0)))</f>
        <v>5.5990000000000002</v>
      </c>
      <c r="G46" s="67">
        <f>IF(IFERROR(INDEX('2016'!$H$5:$H$73,MATCH(B46,'2016'!$A$5:$A$73,0)),0)=0,"N/A",INDEX('2016'!$H$5:$H$73,MATCH(B46,'2016'!$A$5:$A$73,0)))</f>
        <v>5.9569999999999999</v>
      </c>
      <c r="H46" s="59">
        <v>5.8890000000000002</v>
      </c>
      <c r="I46" s="59">
        <v>5.7629999999999999</v>
      </c>
      <c r="J46" s="59">
        <v>5.9480000000000004</v>
      </c>
      <c r="K46" s="59">
        <v>5.89</v>
      </c>
      <c r="L46" s="59">
        <v>5.202</v>
      </c>
      <c r="M46" s="59">
        <v>6.3029999999999999</v>
      </c>
      <c r="N46" s="59">
        <v>5.2590000000000003</v>
      </c>
      <c r="O46" s="59">
        <v>3.4670000000000001</v>
      </c>
      <c r="P46" s="59">
        <v>3.004</v>
      </c>
      <c r="Q46" s="59">
        <v>2.8090000000000002</v>
      </c>
    </row>
    <row r="47" spans="1:17" x14ac:dyDescent="0.2">
      <c r="A47" s="59" t="s">
        <v>145</v>
      </c>
      <c r="B47" s="59" t="s">
        <v>27</v>
      </c>
      <c r="C47" s="59">
        <f>IF(IFERROR(INDEX('2020'!$H$5:$H$73,MATCH(B47,'2020'!$A$5:$A$73,0)),0)=0,"N/A",INDEX('2020'!$H$5:$H$73,MATCH(B47,'2020'!$A$5:$A$73,0)))</f>
        <v>3.2509999999999999</v>
      </c>
      <c r="D47" s="59">
        <f>IF(IFERROR(INDEX('2019'!$H$5:$H$73,MATCH(B47,'2019'!$A$5:$A$73,0)),0)=0,"N/A",INDEX('2019'!$H$5:$H$73,MATCH(B47,'2019'!$A$5:$A$73,0)))</f>
        <v>3.1760000000000002</v>
      </c>
      <c r="E47" s="59">
        <f>IF(IFERROR(INDEX('2018'!$H$5:$H$73,MATCH(B47,'2018'!$A$5:$A$73,0)),0)=0,"N/A",INDEX('2018'!$H$5:$H$73,MATCH(B47,'2018'!$A$5:$A$73,0)))</f>
        <v>2.8719999999999999</v>
      </c>
      <c r="F47" s="59">
        <f>IF(IFERROR(INDEX('2017'!$H$5:$H$73,MATCH(B47,'2017'!$A$5:$A$73,0)),0)=0,"N/A",INDEX('2017'!$H$5:$H$73,MATCH(B47,'2017'!$A$5:$A$73,0)))</f>
        <v>4.1269999999999998</v>
      </c>
      <c r="G47" s="67">
        <f>IF(IFERROR(INDEX('2016'!$H$5:$H$73,MATCH(B47,'2016'!$A$5:$A$73,0)),0)=0,"N/A",INDEX('2016'!$H$5:$H$73,MATCH(B47,'2016'!$A$5:$A$73,0)))</f>
        <v>3.3050000000000002</v>
      </c>
      <c r="H47" s="59">
        <v>2.7429999999999999</v>
      </c>
      <c r="I47" s="59">
        <v>2.855</v>
      </c>
      <c r="J47" s="59">
        <v>4.99</v>
      </c>
      <c r="K47" s="59">
        <v>5.8540000000000001</v>
      </c>
      <c r="L47" s="59">
        <v>6.4749999999999996</v>
      </c>
      <c r="M47" s="59">
        <v>4.3630000000000004</v>
      </c>
      <c r="N47" s="59">
        <v>4.37</v>
      </c>
      <c r="O47" s="59">
        <v>4.0110000000000001</v>
      </c>
      <c r="P47" s="59">
        <v>3.0379999999999998</v>
      </c>
      <c r="Q47" s="59">
        <v>2.6680000000000001</v>
      </c>
    </row>
    <row r="48" spans="1:17" x14ac:dyDescent="0.2">
      <c r="A48" s="59" t="s">
        <v>348</v>
      </c>
      <c r="B48" s="59" t="s">
        <v>345</v>
      </c>
      <c r="C48" s="59">
        <f>IF(IFERROR(INDEX('2020'!$H$5:$H$73,MATCH(B48,'2020'!$A$5:$A$73,0)),0)=0,"N/A",INDEX('2020'!$H$5:$H$73,MATCH(B48,'2020'!$A$5:$A$73,0)))</f>
        <v>8.8650000000000002</v>
      </c>
      <c r="D48" s="59">
        <f>IF(IFERROR(INDEX('2019'!$H$5:$H$73,MATCH(B48,'2019'!$A$5:$A$73,0)),0)=0,"N/A",INDEX('2019'!$H$5:$H$73,MATCH(B48,'2019'!$A$5:$A$73,0)))</f>
        <v>7.9080000000000004</v>
      </c>
      <c r="E48" s="59">
        <f>IF(IFERROR(INDEX('2018'!$H$5:$H$73,MATCH(B48,'2018'!$A$5:$A$73,0)),0)=0,"N/A",INDEX('2018'!$H$5:$H$73,MATCH(B48,'2018'!$A$5:$A$73,0)))</f>
        <v>7.5039999999999996</v>
      </c>
      <c r="F48" s="59">
        <f>IF(IFERROR(INDEX('2017'!$H$5:$H$73,MATCH(B48,'2017'!$A$5:$A$73,0)),0)=0,"N/A",INDEX('2017'!$H$5:$H$73,MATCH(B48,'2017'!$A$5:$A$73,0)))</f>
        <v>6.8120000000000003</v>
      </c>
      <c r="G48" s="67">
        <f>IF(IFERROR(INDEX('2016'!$H$5:$H$73,MATCH(B48,'2016'!$A$5:$A$73,0)),0)=0,"N/A",INDEX('2016'!$H$5:$H$73,MATCH(B48,'2016'!$A$5:$A$73,0)))</f>
        <v>5.9119999999999999</v>
      </c>
      <c r="H48" s="59">
        <v>5.6319999999999997</v>
      </c>
      <c r="I48" s="59">
        <v>5.7039999999999997</v>
      </c>
    </row>
    <row r="49" spans="1:17" x14ac:dyDescent="0.2">
      <c r="A49" s="59" t="s">
        <v>146</v>
      </c>
      <c r="B49" s="59" t="s">
        <v>28</v>
      </c>
      <c r="C49" s="59">
        <f>IF(IFERROR(INDEX('2020'!$H$5:$H$73,MATCH(B49,'2020'!$A$5:$A$73,0)),0)=0,"N/A",INDEX('2020'!$H$5:$H$73,MATCH(B49,'2020'!$A$5:$A$73,0)))</f>
        <v>8.9600000000000009</v>
      </c>
      <c r="D49" s="59">
        <f>IF(IFERROR(INDEX('2019'!$H$5:$H$73,MATCH(B49,'2019'!$A$5:$A$73,0)),0)=0,"N/A",INDEX('2019'!$H$5:$H$73,MATCH(B49,'2019'!$A$5:$A$73,0)))</f>
        <v>5.1639999999999997</v>
      </c>
      <c r="E49" s="59">
        <f>IF(IFERROR(INDEX('2018'!$H$5:$H$73,MATCH(B49,'2018'!$A$5:$A$73,0)),0)=0,"N/A",INDEX('2018'!$H$5:$H$73,MATCH(B49,'2018'!$A$5:$A$73,0)))</f>
        <v>2.6579999999999999</v>
      </c>
      <c r="F49" s="59">
        <f>IF(IFERROR(INDEX('2017'!$H$5:$H$73,MATCH(B49,'2017'!$A$5:$A$73,0)),0)=0,"N/A",INDEX('2017'!$H$5:$H$73,MATCH(B49,'2017'!$A$5:$A$73,0)))</f>
        <v>3.36</v>
      </c>
      <c r="G49" s="67">
        <f>IF(IFERROR(INDEX('2016'!$H$5:$H$73,MATCH(B49,'2016'!$A$5:$A$73,0)),0)=0,"N/A",INDEX('2016'!$H$5:$H$73,MATCH(B49,'2016'!$A$5:$A$73,0)))</f>
        <v>4.0979999999999999</v>
      </c>
      <c r="H49" s="59">
        <v>4.2290000000000001</v>
      </c>
      <c r="I49" s="59">
        <v>4.3949999999999996</v>
      </c>
      <c r="J49" s="59">
        <v>4.5339999999999998</v>
      </c>
      <c r="K49" s="59">
        <v>3.2010000000000001</v>
      </c>
      <c r="L49" s="59">
        <v>2.0409999999999999</v>
      </c>
      <c r="M49" s="59">
        <v>2.3769999999999998</v>
      </c>
      <c r="N49" s="59">
        <v>4.9459999999999997</v>
      </c>
      <c r="O49" s="59">
        <v>7.5140000000000002</v>
      </c>
      <c r="P49" s="59">
        <v>5.4269999999999996</v>
      </c>
      <c r="Q49" s="59">
        <v>2.3519999999999999</v>
      </c>
    </row>
    <row r="50" spans="1:17" x14ac:dyDescent="0.2">
      <c r="A50" s="59" t="s">
        <v>147</v>
      </c>
      <c r="B50" s="59" t="s">
        <v>30</v>
      </c>
      <c r="C50" s="59">
        <f>IF(IFERROR(INDEX('2020'!$H$5:$H$73,MATCH(B50,'2020'!$A$5:$A$73,0)),0)=0,"N/A",INDEX('2020'!$H$5:$H$73,MATCH(B50,'2020'!$A$5:$A$73,0)))</f>
        <v>3.875</v>
      </c>
      <c r="D50" s="59">
        <f>IF(IFERROR(INDEX('2019'!$H$5:$H$73,MATCH(B50,'2019'!$A$5:$A$73,0)),0)=0,"N/A",INDEX('2019'!$H$5:$H$73,MATCH(B50,'2019'!$A$5:$A$73,0)))</f>
        <v>11.928000000000001</v>
      </c>
      <c r="E50" s="59">
        <f>IF(IFERROR(INDEX('2018'!$H$5:$H$73,MATCH(B50,'2018'!$A$5:$A$73,0)),0)=0,"N/A",INDEX('2018'!$H$5:$H$73,MATCH(B50,'2018'!$A$5:$A$73,0)))</f>
        <v>12.519</v>
      </c>
      <c r="F50" s="59">
        <f>IF(IFERROR(INDEX('2017'!$H$5:$H$73,MATCH(B50,'2017'!$A$5:$A$73,0)),0)=0,"N/A",INDEX('2017'!$H$5:$H$73,MATCH(B50,'2017'!$A$5:$A$73,0)))</f>
        <v>10.959</v>
      </c>
      <c r="G50" s="67">
        <f>IF(IFERROR(INDEX('2016'!$H$5:$H$73,MATCH(B50,'2016'!$A$5:$A$73,0)),0)=0,"N/A",INDEX('2016'!$H$5:$H$73,MATCH(B50,'2016'!$A$5:$A$73,0)))</f>
        <v>11.263</v>
      </c>
      <c r="H50" s="59">
        <v>10.513999999999999</v>
      </c>
      <c r="I50" s="59">
        <v>10.154999999999999</v>
      </c>
      <c r="J50" s="59">
        <v>11.401999999999999</v>
      </c>
      <c r="K50" s="59">
        <v>10.736000000000001</v>
      </c>
      <c r="L50" s="59">
        <v>9.7949999999999999</v>
      </c>
      <c r="M50" s="59">
        <v>9.6199999999999992</v>
      </c>
      <c r="N50" s="59">
        <v>10.68</v>
      </c>
      <c r="O50" s="59">
        <v>10.048</v>
      </c>
      <c r="P50" s="59">
        <v>7.8280000000000003</v>
      </c>
      <c r="Q50" s="59">
        <v>6.9</v>
      </c>
    </row>
    <row r="51" spans="1:17" x14ac:dyDescent="0.2">
      <c r="A51" s="59" t="s">
        <v>148</v>
      </c>
      <c r="B51" s="59" t="s">
        <v>31</v>
      </c>
      <c r="C51" s="59">
        <f>IF(IFERROR(INDEX('2020'!$H$5:$H$73,MATCH(B51,'2020'!$A$5:$A$73,0)),0)=0,"N/A",INDEX('2020'!$H$5:$H$73,MATCH(B51,'2020'!$A$5:$A$73,0)))</f>
        <v>11.929</v>
      </c>
      <c r="D51" s="59">
        <f>IF(IFERROR(INDEX('2019'!$H$5:$H$73,MATCH(B51,'2019'!$A$5:$A$73,0)),0)=0,"N/A",INDEX('2019'!$H$5:$H$73,MATCH(B51,'2019'!$A$5:$A$73,0)))</f>
        <v>10.760999999999999</v>
      </c>
      <c r="E51" s="59">
        <f>IF(IFERROR(INDEX('2018'!$H$5:$H$73,MATCH(B51,'2018'!$A$5:$A$73,0)),0)=0,"N/A",INDEX('2018'!$H$5:$H$73,MATCH(B51,'2018'!$A$5:$A$73,0)))</f>
        <v>10.734</v>
      </c>
      <c r="F51" s="59">
        <f>IF(IFERROR(INDEX('2017'!$H$5:$H$73,MATCH(B51,'2017'!$A$5:$A$73,0)),0)=0,"N/A",INDEX('2017'!$H$5:$H$73,MATCH(B51,'2017'!$A$5:$A$73,0)))</f>
        <v>12.804</v>
      </c>
      <c r="G51" s="67">
        <f>IF(IFERROR(INDEX('2016'!$H$5:$H$73,MATCH(B51,'2016'!$A$5:$A$73,0)),0)=0,"N/A",INDEX('2016'!$H$5:$H$73,MATCH(B51,'2016'!$A$5:$A$73,0)))</f>
        <v>11.635</v>
      </c>
      <c r="H51" s="59">
        <v>9.843</v>
      </c>
      <c r="I51" s="59">
        <v>8.3759999999999994</v>
      </c>
      <c r="J51" s="59">
        <v>9.359</v>
      </c>
      <c r="K51" s="59">
        <v>8.2420000000000009</v>
      </c>
      <c r="L51" s="59">
        <v>8.2629999999999999</v>
      </c>
      <c r="M51" s="59">
        <v>7.0350000000000001</v>
      </c>
      <c r="N51" s="59">
        <v>7.6440000000000001</v>
      </c>
      <c r="O51" s="59">
        <v>9.4600000000000009</v>
      </c>
      <c r="P51" s="59">
        <v>9.3710000000000004</v>
      </c>
      <c r="Q51" s="59">
        <v>7.5910000000000002</v>
      </c>
    </row>
    <row r="52" spans="1:17" x14ac:dyDescent="0.2">
      <c r="A52" s="59" t="s">
        <v>149</v>
      </c>
      <c r="B52" s="59" t="s">
        <v>32</v>
      </c>
      <c r="C52" s="59">
        <f>IF(IFERROR(INDEX('2020'!$H$5:$H$73,MATCH(B52,'2020'!$A$5:$A$73,0)),0)=0,"N/A",INDEX('2020'!$H$5:$H$73,MATCH(B52,'2020'!$A$5:$A$73,0)))</f>
        <v>7.9109999999999996</v>
      </c>
      <c r="D52" s="59">
        <f>IF(IFERROR(INDEX('2019'!$H$5:$H$73,MATCH(B52,'2019'!$A$5:$A$73,0)),0)=0,"N/A",INDEX('2019'!$H$5:$H$73,MATCH(B52,'2019'!$A$5:$A$73,0)))</f>
        <v>7.7370000000000001</v>
      </c>
      <c r="E52" s="59">
        <f>IF(IFERROR(INDEX('2018'!$H$5:$H$73,MATCH(B52,'2018'!$A$5:$A$73,0)),0)=0,"N/A",INDEX('2018'!$H$5:$H$73,MATCH(B52,'2018'!$A$5:$A$73,0)))</f>
        <v>6.2919999999999998</v>
      </c>
      <c r="F52" s="59">
        <f>IF(IFERROR(INDEX('2017'!$H$5:$H$73,MATCH(B52,'2017'!$A$5:$A$73,0)),0)=0,"N/A",INDEX('2017'!$H$5:$H$73,MATCH(B52,'2017'!$A$5:$A$73,0)))</f>
        <v>6.2830000000000004</v>
      </c>
      <c r="G52" s="67">
        <f>IF(IFERROR(INDEX('2016'!$H$5:$H$73,MATCH(B52,'2016'!$A$5:$A$73,0)),0)=0,"N/A",INDEX('2016'!$H$5:$H$73,MATCH(B52,'2016'!$A$5:$A$73,0)))</f>
        <v>7.5339999999999998</v>
      </c>
      <c r="H52" s="59">
        <v>7.0129999999999999</v>
      </c>
      <c r="I52" s="59">
        <v>5.7830000000000004</v>
      </c>
      <c r="J52" s="59">
        <v>4.3689999999999998</v>
      </c>
      <c r="K52" s="59">
        <v>3.8780000000000001</v>
      </c>
      <c r="L52" s="59">
        <v>4.1040000000000001</v>
      </c>
      <c r="M52" s="59">
        <v>3.2480000000000002</v>
      </c>
      <c r="N52" s="59">
        <v>3.323</v>
      </c>
      <c r="O52" s="59">
        <v>3.9860000000000002</v>
      </c>
      <c r="P52" s="59">
        <v>5.9359999999999999</v>
      </c>
      <c r="Q52" s="59">
        <v>4.0350000000000001</v>
      </c>
    </row>
    <row r="53" spans="1:17" x14ac:dyDescent="0.2">
      <c r="A53" s="59" t="s">
        <v>150</v>
      </c>
      <c r="B53" s="59" t="s">
        <v>33</v>
      </c>
      <c r="C53" s="59">
        <f>IF(IFERROR(INDEX('2020'!$H$5:$H$73,MATCH(B53,'2020'!$A$5:$A$73,0)),0)=0,"N/A",INDEX('2020'!$H$5:$H$73,MATCH(B53,'2020'!$A$5:$A$73,0)))</f>
        <v>8.7560000000000002</v>
      </c>
      <c r="D53" s="59">
        <f>IF(IFERROR(INDEX('2019'!$H$5:$H$73,MATCH(B53,'2019'!$A$5:$A$73,0)),0)=0,"N/A",INDEX('2019'!$H$5:$H$73,MATCH(B53,'2019'!$A$5:$A$73,0)))</f>
        <v>6.7789999999999999</v>
      </c>
      <c r="E53" s="59">
        <f>IF(IFERROR(INDEX('2018'!$H$5:$H$73,MATCH(B53,'2018'!$A$5:$A$73,0)),0)=0,"N/A",INDEX('2018'!$H$5:$H$73,MATCH(B53,'2018'!$A$5:$A$73,0)))</f>
        <v>6.665</v>
      </c>
      <c r="F53" s="59">
        <f>IF(IFERROR(INDEX('2017'!$H$5:$H$73,MATCH(B53,'2017'!$A$5:$A$73,0)),0)=0,"N/A",INDEX('2017'!$H$5:$H$73,MATCH(B53,'2017'!$A$5:$A$73,0)))</f>
        <v>5.7679999999999998</v>
      </c>
      <c r="G53" s="67">
        <f>IF(IFERROR(INDEX('2016'!$H$5:$H$73,MATCH(B53,'2016'!$A$5:$A$73,0)),0)=0,"N/A",INDEX('2016'!$H$5:$H$73,MATCH(B53,'2016'!$A$5:$A$73,0)))</f>
        <v>6.5659999999999998</v>
      </c>
      <c r="H53" s="59">
        <v>6.7350000000000003</v>
      </c>
      <c r="I53" s="59">
        <v>12.872999999999999</v>
      </c>
      <c r="J53" s="59">
        <v>8.4009999999999998</v>
      </c>
      <c r="K53" s="59">
        <v>4.01</v>
      </c>
      <c r="L53" s="59">
        <v>3.9809999999999999</v>
      </c>
      <c r="M53" s="59">
        <v>5.9749999999999996</v>
      </c>
      <c r="N53" s="59">
        <v>9.2539999999999996</v>
      </c>
      <c r="O53" s="59">
        <v>6.1210000000000004</v>
      </c>
      <c r="P53" s="59">
        <v>7.2770000000000001</v>
      </c>
      <c r="Q53" s="59">
        <v>5.9359999999999999</v>
      </c>
    </row>
    <row r="54" spans="1:17" x14ac:dyDescent="0.2">
      <c r="A54" s="59" t="s">
        <v>151</v>
      </c>
      <c r="B54" s="59" t="s">
        <v>34</v>
      </c>
      <c r="C54" s="59">
        <f>IF(IFERROR(INDEX('2020'!$H$5:$H$73,MATCH(B54,'2020'!$A$5:$A$73,0)),0)=0,"N/A",INDEX('2020'!$H$5:$H$73,MATCH(B54,'2020'!$A$5:$A$73,0)))</f>
        <v>4.2249999999999996</v>
      </c>
      <c r="D54" s="59">
        <f>IF(IFERROR(INDEX('2019'!$H$5:$H$73,MATCH(B54,'2019'!$A$5:$A$73,0)),0)=0,"N/A",INDEX('2019'!$H$5:$H$73,MATCH(B54,'2019'!$A$5:$A$73,0)))</f>
        <v>4.0179999999999998</v>
      </c>
      <c r="E54" s="59">
        <f>IF(IFERROR(INDEX('2018'!$H$5:$H$73,MATCH(B54,'2018'!$A$5:$A$73,0)),0)=0,"N/A",INDEX('2018'!$H$5:$H$73,MATCH(B54,'2018'!$A$5:$A$73,0)))</f>
        <v>4.4950000000000001</v>
      </c>
      <c r="F54" s="59">
        <f>IF(IFERROR(INDEX('2017'!$H$5:$H$73,MATCH(B54,'2017'!$A$5:$A$73,0)),0)=0,"N/A",INDEX('2017'!$H$5:$H$73,MATCH(B54,'2017'!$A$5:$A$73,0)))</f>
        <v>4.5179999999999998</v>
      </c>
      <c r="G54" s="67">
        <f>IF(IFERROR(INDEX('2016'!$H$5:$H$73,MATCH(B54,'2016'!$A$5:$A$73,0)),0)=0,"N/A",INDEX('2016'!$H$5:$H$73,MATCH(B54,'2016'!$A$5:$A$73,0)))</f>
        <v>4.2960000000000003</v>
      </c>
      <c r="H54" s="59">
        <v>5.2430000000000003</v>
      </c>
      <c r="I54" s="59">
        <v>6.1429999999999998</v>
      </c>
      <c r="J54" s="59">
        <v>6.6820000000000004</v>
      </c>
      <c r="K54" s="59">
        <v>5.3360000000000003</v>
      </c>
      <c r="L54" s="59">
        <v>4.3</v>
      </c>
      <c r="M54" s="59">
        <v>3.3039999999999998</v>
      </c>
      <c r="N54" s="59">
        <v>3.2480000000000002</v>
      </c>
      <c r="O54" s="59">
        <v>3.786</v>
      </c>
      <c r="P54" s="59">
        <v>4.5140000000000002</v>
      </c>
      <c r="Q54" s="59">
        <v>3.62</v>
      </c>
    </row>
    <row r="55" spans="1:17" x14ac:dyDescent="0.2">
      <c r="A55" s="59" t="s">
        <v>152</v>
      </c>
      <c r="B55" s="59" t="s">
        <v>35</v>
      </c>
      <c r="C55" s="59">
        <f>IF(IFERROR(INDEX('2020'!$H$5:$H$73,MATCH(B55,'2020'!$A$5:$A$73,0)),0)=0,"N/A",INDEX('2020'!$H$5:$H$73,MATCH(B55,'2020'!$A$5:$A$73,0)))</f>
        <v>5.8</v>
      </c>
      <c r="D55" s="59">
        <f>IF(IFERROR(INDEX('2019'!$H$5:$H$73,MATCH(B55,'2019'!$A$5:$A$73,0)),0)=0,"N/A",INDEX('2019'!$H$5:$H$73,MATCH(B55,'2019'!$A$5:$A$73,0)))</f>
        <v>6.282</v>
      </c>
      <c r="E55" s="59">
        <f>IF(IFERROR(INDEX('2018'!$H$5:$H$73,MATCH(B55,'2018'!$A$5:$A$73,0)),0)=0,"N/A",INDEX('2018'!$H$5:$H$73,MATCH(B55,'2018'!$A$5:$A$73,0)))</f>
        <v>7.7619999999999996</v>
      </c>
      <c r="F55" s="59">
        <f>IF(IFERROR(INDEX('2017'!$H$5:$H$73,MATCH(B55,'2017'!$A$5:$A$73,0)),0)=0,"N/A",INDEX('2017'!$H$5:$H$73,MATCH(B55,'2017'!$A$5:$A$73,0)))</f>
        <v>8.2970000000000006</v>
      </c>
      <c r="G55" s="67">
        <f>IF(IFERROR(INDEX('2016'!$H$5:$H$73,MATCH(B55,'2016'!$A$5:$A$73,0)),0)=0,"N/A",INDEX('2016'!$H$5:$H$73,MATCH(B55,'2016'!$A$5:$A$73,0)))</f>
        <v>8.3170000000000002</v>
      </c>
      <c r="H55" s="59">
        <v>7.6449999999999996</v>
      </c>
      <c r="I55" s="59">
        <v>5.5750000000000002</v>
      </c>
      <c r="J55" s="59">
        <v>5.5570000000000004</v>
      </c>
      <c r="K55" s="59">
        <v>5.0880000000000001</v>
      </c>
      <c r="L55" s="59">
        <v>4.117</v>
      </c>
      <c r="M55" s="59">
        <v>4.2690000000000001</v>
      </c>
      <c r="N55" s="59">
        <v>3.5459999999999998</v>
      </c>
      <c r="O55" s="59">
        <v>3.5</v>
      </c>
      <c r="P55" s="59">
        <v>2.6509999999999998</v>
      </c>
      <c r="Q55" s="59">
        <v>2.0089999999999999</v>
      </c>
    </row>
    <row r="56" spans="1:17" x14ac:dyDescent="0.2">
      <c r="A56" s="59" t="s">
        <v>193</v>
      </c>
      <c r="B56" s="59" t="s">
        <v>194</v>
      </c>
      <c r="C56" s="59">
        <f>IF(IFERROR(INDEX('2020'!$H$5:$H$73,MATCH(B56,'2020'!$A$5:$A$73,0)),0)=0,"N/A",INDEX('2020'!$H$5:$H$73,MATCH(B56,'2020'!$A$5:$A$73,0)))</f>
        <v>2.8079999999999998</v>
      </c>
      <c r="D56" s="59">
        <f>IF(IFERROR(INDEX('2019'!$H$5:$H$73,MATCH(B56,'2019'!$A$5:$A$73,0)),0)=0,"N/A",INDEX('2019'!$H$5:$H$73,MATCH(B56,'2019'!$A$5:$A$73,0)))</f>
        <v>2.7109999999999999</v>
      </c>
      <c r="E56" s="59">
        <f>IF(IFERROR(INDEX('2018'!$H$5:$H$73,MATCH(B56,'2018'!$A$5:$A$73,0)),0)=0,"N/A",INDEX('2018'!$H$5:$H$73,MATCH(B56,'2018'!$A$5:$A$73,0)))</f>
        <v>2.9129999999999998</v>
      </c>
      <c r="F56" s="59">
        <f>IF(IFERROR(INDEX('2017'!$H$5:$H$73,MATCH(B56,'2017'!$A$5:$A$73,0)),0)=0,"N/A",INDEX('2017'!$H$5:$H$73,MATCH(B56,'2017'!$A$5:$A$73,0)))</f>
        <v>2.8660000000000001</v>
      </c>
      <c r="G56" s="67">
        <f>IF(IFERROR(INDEX('2016'!$H$5:$H$73,MATCH(B56,'2016'!$A$5:$A$73,0)),0)=0,"N/A",INDEX('2016'!$H$5:$H$73,MATCH(B56,'2016'!$A$5:$A$73,0)))</f>
        <v>2.4990000000000001</v>
      </c>
      <c r="H56" s="59">
        <v>1.9379999999999999</v>
      </c>
      <c r="I56" s="59">
        <v>2.0779999999999998</v>
      </c>
      <c r="J56" s="59">
        <v>1.4119999999999999</v>
      </c>
      <c r="K56" s="59">
        <v>1.24</v>
      </c>
      <c r="L56" s="59">
        <v>1.0940000000000001</v>
      </c>
      <c r="M56" s="59">
        <v>0.876</v>
      </c>
      <c r="N56" s="59">
        <v>0.85599999999999998</v>
      </c>
      <c r="O56" s="59">
        <v>0.98699999999999999</v>
      </c>
      <c r="P56" s="59">
        <v>0.91600000000000004</v>
      </c>
      <c r="Q56" s="59">
        <v>1.218</v>
      </c>
    </row>
    <row r="57" spans="1:17" x14ac:dyDescent="0.2">
      <c r="A57" s="59" t="s">
        <v>153</v>
      </c>
      <c r="B57" s="59" t="s">
        <v>36</v>
      </c>
      <c r="C57" s="59" t="str">
        <f>IF(IFERROR(INDEX('2020'!$H$5:$H$73,MATCH(B57,'2020'!$A$5:$A$73,0)),0)=0,"N/A",INDEX('2020'!$H$5:$H$73,MATCH(B57,'2020'!$A$5:$A$73,0)))</f>
        <v>N/A</v>
      </c>
      <c r="D57" s="59" t="str">
        <f>IF(IFERROR(INDEX('2019'!$H$5:$H$73,MATCH(B57,'2019'!$A$5:$A$73,0)),0)=0,"N/A",INDEX('2019'!$H$5:$H$73,MATCH(B57,'2019'!$A$5:$A$73,0)))</f>
        <v>N/A</v>
      </c>
      <c r="E57" s="59" t="str">
        <f>IF(IFERROR(INDEX('2018'!$H$5:$H$73,MATCH(B57,'2018'!$A$5:$A$73,0)),0)=0,"N/A",INDEX('2018'!$H$5:$H$73,MATCH(B57,'2018'!$A$5:$A$73,0)))</f>
        <v>N/A</v>
      </c>
      <c r="F57" s="59">
        <f>IF(IFERROR(INDEX('2017'!$H$5:$H$73,MATCH(B57,'2017'!$A$5:$A$73,0)),0)=0,"N/A",INDEX('2017'!$H$5:$H$73,MATCH(B57,'2017'!$A$5:$A$73,0)))</f>
        <v>8.5660000000000007</v>
      </c>
      <c r="G57" s="67">
        <f>IF(IFERROR(INDEX('2016'!$H$5:$H$73,MATCH(B57,'2016'!$A$5:$A$73,0)),0)=0,"N/A",INDEX('2016'!$H$5:$H$73,MATCH(B57,'2016'!$A$5:$A$73,0)))</f>
        <v>11.05</v>
      </c>
      <c r="H57" s="59">
        <v>8.0690000000000008</v>
      </c>
      <c r="I57" s="59">
        <v>7.6520000000000001</v>
      </c>
      <c r="J57" s="59">
        <v>7.8440000000000003</v>
      </c>
      <c r="K57" s="59">
        <v>8.1579999999999995</v>
      </c>
      <c r="L57" s="59">
        <v>6.806</v>
      </c>
      <c r="M57" s="59">
        <v>6.8739999999999997</v>
      </c>
      <c r="N57" s="59">
        <v>7.41</v>
      </c>
      <c r="O57" s="59">
        <v>7.6749999999999998</v>
      </c>
      <c r="P57" s="59">
        <v>6.2140000000000004</v>
      </c>
      <c r="Q57" s="59">
        <v>4.5170000000000003</v>
      </c>
    </row>
    <row r="58" spans="1:17" x14ac:dyDescent="0.2">
      <c r="A58" s="59" t="s">
        <v>154</v>
      </c>
      <c r="B58" s="59" t="s">
        <v>37</v>
      </c>
      <c r="C58" s="59">
        <f>IF(IFERROR(INDEX('2020'!$H$5:$H$73,MATCH(B58,'2020'!$A$5:$A$73,0)),0)=0,"N/A",INDEX('2020'!$H$5:$H$73,MATCH(B58,'2020'!$A$5:$A$73,0)))</f>
        <v>16.21</v>
      </c>
      <c r="D58" s="59">
        <f>IF(IFERROR(INDEX('2019'!$H$5:$H$73,MATCH(B58,'2019'!$A$5:$A$73,0)),0)=0,"N/A",INDEX('2019'!$H$5:$H$73,MATCH(B58,'2019'!$A$5:$A$73,0)))</f>
        <v>12.711</v>
      </c>
      <c r="E58" s="59">
        <f>IF(IFERROR(INDEX('2018'!$H$5:$H$73,MATCH(B58,'2018'!$A$5:$A$73,0)),0)=0,"N/A",INDEX('2018'!$H$5:$H$73,MATCH(B58,'2018'!$A$5:$A$73,0)))</f>
        <v>13.821999999999999</v>
      </c>
      <c r="F58" s="59">
        <f>IF(IFERROR(INDEX('2017'!$H$5:$H$73,MATCH(B58,'2017'!$A$5:$A$73,0)),0)=0,"N/A",INDEX('2017'!$H$5:$H$73,MATCH(B58,'2017'!$A$5:$A$73,0)))</f>
        <v>15.711</v>
      </c>
      <c r="G58" s="67">
        <f>IF(IFERROR(INDEX('2016'!$H$5:$H$73,MATCH(B58,'2016'!$A$5:$A$73,0)),0)=0,"N/A",INDEX('2016'!$H$5:$H$73,MATCH(B58,'2016'!$A$5:$A$73,0)))</f>
        <v>16.846</v>
      </c>
      <c r="H58" s="59">
        <v>12.711</v>
      </c>
      <c r="I58" s="59">
        <v>12.678000000000001</v>
      </c>
      <c r="J58" s="59">
        <v>10.521000000000001</v>
      </c>
      <c r="K58" s="59">
        <v>12.196</v>
      </c>
      <c r="L58" s="59">
        <v>11.853</v>
      </c>
      <c r="M58" s="59">
        <v>8.5760000000000005</v>
      </c>
      <c r="N58" s="59">
        <v>7.7560000000000002</v>
      </c>
      <c r="O58" s="59">
        <v>8.4700000000000006</v>
      </c>
      <c r="P58" s="59">
        <v>7.6989999999999998</v>
      </c>
      <c r="Q58" s="59">
        <v>7.2779999999999996</v>
      </c>
    </row>
    <row r="59" spans="1:17" x14ac:dyDescent="0.2">
      <c r="A59" s="59" t="s">
        <v>195</v>
      </c>
      <c r="B59" s="59" t="s">
        <v>196</v>
      </c>
      <c r="C59" s="59">
        <f>IF(IFERROR(INDEX('2020'!$H$5:$H$73,MATCH(B59,'2020'!$A$5:$A$73,0)),0)=0,"N/A",INDEX('2020'!$H$5:$H$73,MATCH(B59,'2020'!$A$5:$A$73,0)))</f>
        <v>7.4379999999999997</v>
      </c>
      <c r="D59" s="59">
        <f>IF(IFERROR(INDEX('2019'!$H$5:$H$73,MATCH(B59,'2019'!$A$5:$A$73,0)),0)=0,"N/A",INDEX('2019'!$H$5:$H$73,MATCH(B59,'2019'!$A$5:$A$73,0)))</f>
        <v>6.2510000000000003</v>
      </c>
      <c r="E59" s="59">
        <f>IF(IFERROR(INDEX('2018'!$H$5:$H$73,MATCH(B59,'2018'!$A$5:$A$73,0)),0)=0,"N/A",INDEX('2018'!$H$5:$H$73,MATCH(B59,'2018'!$A$5:$A$73,0)))</f>
        <v>5.085</v>
      </c>
      <c r="F59" s="59">
        <f>IF(IFERROR(INDEX('2017'!$H$5:$H$73,MATCH(B59,'2017'!$A$5:$A$73,0)),0)=0,"N/A",INDEX('2017'!$H$5:$H$73,MATCH(B59,'2017'!$A$5:$A$73,0)))</f>
        <v>7.2640000000000002</v>
      </c>
      <c r="G59" s="67">
        <f>IF(IFERROR(INDEX('2016'!$H$5:$H$73,MATCH(B59,'2016'!$A$5:$A$73,0)),0)=0,"N/A",INDEX('2016'!$H$5:$H$73,MATCH(B59,'2016'!$A$5:$A$73,0)))</f>
        <v>6.952</v>
      </c>
      <c r="H59" s="59">
        <v>5.2389999999999999</v>
      </c>
      <c r="I59" s="59">
        <v>5.0199999999999996</v>
      </c>
      <c r="J59" s="59">
        <v>4.6769999999999996</v>
      </c>
      <c r="K59" s="59">
        <v>5.6680000000000001</v>
      </c>
      <c r="L59" s="59">
        <v>3.7509999999999999</v>
      </c>
      <c r="M59" s="59">
        <v>5.6479999999999997</v>
      </c>
      <c r="N59" s="59">
        <v>3.17</v>
      </c>
      <c r="O59" s="59">
        <v>3.7930000000000001</v>
      </c>
      <c r="P59" s="59">
        <v>6.6150000000000002</v>
      </c>
      <c r="Q59" s="59">
        <v>3.87</v>
      </c>
    </row>
    <row r="60" spans="1:17" x14ac:dyDescent="0.2">
      <c r="A60" s="59" t="s">
        <v>197</v>
      </c>
      <c r="B60" s="59" t="s">
        <v>198</v>
      </c>
      <c r="C60" s="59">
        <f>IF(IFERROR(INDEX('2020'!$H$5:$H$73,MATCH(B60,'2020'!$A$5:$A$73,0)),0)=0,"N/A",INDEX('2020'!$H$5:$H$73,MATCH(B60,'2020'!$A$5:$A$73,0)))</f>
        <v>4.8360000000000003</v>
      </c>
      <c r="D60" s="59">
        <f>IF(IFERROR(INDEX('2019'!$H$5:$H$73,MATCH(B60,'2019'!$A$5:$A$73,0)),0)=0,"N/A",INDEX('2019'!$H$5:$H$73,MATCH(B60,'2019'!$A$5:$A$73,0)))</f>
        <v>5.4569999999999999</v>
      </c>
      <c r="E60" s="59">
        <f>IF(IFERROR(INDEX('2018'!$H$5:$H$73,MATCH(B60,'2018'!$A$5:$A$73,0)),0)=0,"N/A",INDEX('2018'!$H$5:$H$73,MATCH(B60,'2018'!$A$5:$A$73,0)))</f>
        <v>3.9889999999999999</v>
      </c>
      <c r="F60" s="59">
        <f>IF(IFERROR(INDEX('2017'!$H$5:$H$73,MATCH(B60,'2017'!$A$5:$A$73,0)),0)=0,"N/A",INDEX('2017'!$H$5:$H$73,MATCH(B60,'2017'!$A$5:$A$73,0)))</f>
        <v>3.431</v>
      </c>
      <c r="G60" s="67">
        <f>IF(IFERROR(INDEX('2016'!$H$5:$H$73,MATCH(B60,'2016'!$A$5:$A$73,0)),0)=0,"N/A",INDEX('2016'!$H$5:$H$73,MATCH(B60,'2016'!$A$5:$A$73,0)))</f>
        <v>3.4980000000000002</v>
      </c>
      <c r="H60" s="59">
        <v>4.87</v>
      </c>
      <c r="I60" s="59">
        <v>5.0129999999999999</v>
      </c>
      <c r="J60" s="59">
        <v>4.8390000000000004</v>
      </c>
      <c r="K60" s="59">
        <v>4.01</v>
      </c>
      <c r="L60" s="59">
        <v>3.1960000000000002</v>
      </c>
      <c r="M60" s="59">
        <v>2.794</v>
      </c>
      <c r="N60" s="59">
        <v>1.8340000000000001</v>
      </c>
      <c r="O60" s="59">
        <v>1.042</v>
      </c>
      <c r="P60" s="59">
        <v>0.93799999999999994</v>
      </c>
      <c r="Q60" s="59">
        <v>1.256</v>
      </c>
    </row>
    <row r="61" spans="1:17" x14ac:dyDescent="0.2">
      <c r="A61" s="59" t="s">
        <v>155</v>
      </c>
      <c r="B61" s="59" t="s">
        <v>38</v>
      </c>
      <c r="C61" s="59">
        <f>IF(IFERROR(INDEX('2020'!$H$5:$H$73,MATCH(B61,'2020'!$A$5:$A$73,0)),0)=0,"N/A",INDEX('2020'!$H$5:$H$73,MATCH(B61,'2020'!$A$5:$A$73,0)))</f>
        <v>7.0430000000000001</v>
      </c>
      <c r="D61" s="59">
        <f>IF(IFERROR(INDEX('2019'!$H$5:$H$73,MATCH(B61,'2019'!$A$5:$A$73,0)),0)=0,"N/A",INDEX('2019'!$H$5:$H$73,MATCH(B61,'2019'!$A$5:$A$73,0)))</f>
        <v>7.173</v>
      </c>
      <c r="E61" s="59">
        <f>IF(IFERROR(INDEX('2018'!$H$5:$H$73,MATCH(B61,'2018'!$A$5:$A$73,0)),0)=0,"N/A",INDEX('2018'!$H$5:$H$73,MATCH(B61,'2018'!$A$5:$A$73,0)))</f>
        <v>7.7389999999999999</v>
      </c>
      <c r="F61" s="59">
        <f>IF(IFERROR(INDEX('2017'!$H$5:$H$73,MATCH(B61,'2017'!$A$5:$A$73,0)),0)=0,"N/A",INDEX('2017'!$H$5:$H$73,MATCH(B61,'2017'!$A$5:$A$73,0)))</f>
        <v>7.367</v>
      </c>
      <c r="G61" s="67">
        <f>IF(IFERROR(INDEX('2016'!$H$5:$H$73,MATCH(B61,'2016'!$A$5:$A$73,0)),0)=0,"N/A",INDEX('2016'!$H$5:$H$73,MATCH(B61,'2016'!$A$5:$A$73,0)))</f>
        <v>7.3810000000000002</v>
      </c>
      <c r="H61" s="59">
        <v>6.2229999999999999</v>
      </c>
      <c r="I61" s="59">
        <v>6.5839999999999996</v>
      </c>
      <c r="J61" s="59">
        <v>6.1580000000000004</v>
      </c>
      <c r="K61" s="59">
        <v>5.5419999999999998</v>
      </c>
      <c r="L61" s="59">
        <v>5.23</v>
      </c>
      <c r="M61" s="59">
        <v>4.8449999999999998</v>
      </c>
      <c r="N61" s="59">
        <v>5.6980000000000004</v>
      </c>
      <c r="O61" s="59">
        <v>5.0970000000000004</v>
      </c>
      <c r="P61" s="59">
        <v>4.6459999999999999</v>
      </c>
      <c r="Q61" s="59">
        <v>4.0119999999999996</v>
      </c>
    </row>
    <row r="62" spans="1:17" x14ac:dyDescent="0.2">
      <c r="A62" s="59" t="s">
        <v>199</v>
      </c>
      <c r="B62" s="59" t="s">
        <v>200</v>
      </c>
      <c r="C62" s="59">
        <f>IF(IFERROR(INDEX('2020'!$H$5:$H$73,MATCH(B62,'2020'!$A$5:$A$73,0)),0)=0,"N/A",INDEX('2020'!$H$5:$H$73,MATCH(B62,'2020'!$A$5:$A$73,0)))</f>
        <v>14.427</v>
      </c>
      <c r="D62" s="59">
        <f>IF(IFERROR(INDEX('2019'!$H$5:$H$73,MATCH(B62,'2019'!$A$5:$A$73,0)),0)=0,"N/A",INDEX('2019'!$H$5:$H$73,MATCH(B62,'2019'!$A$5:$A$73,0)))</f>
        <v>17.055</v>
      </c>
      <c r="E62" s="59">
        <f>IF(IFERROR(INDEX('2018'!$H$5:$H$73,MATCH(B62,'2018'!$A$5:$A$73,0)),0)=0,"N/A",INDEX('2018'!$H$5:$H$73,MATCH(B62,'2018'!$A$5:$A$73,0)))</f>
        <v>14.444000000000001</v>
      </c>
      <c r="F62" s="59">
        <f>IF(IFERROR(INDEX('2017'!$H$5:$H$73,MATCH(B62,'2017'!$A$5:$A$73,0)),0)=0,"N/A",INDEX('2017'!$H$5:$H$73,MATCH(B62,'2017'!$A$5:$A$73,0)))</f>
        <v>12.968</v>
      </c>
      <c r="G62" s="67">
        <f>IF(IFERROR(INDEX('2016'!$H$5:$H$73,MATCH(B62,'2016'!$A$5:$A$73,0)),0)=0,"N/A",INDEX('2016'!$H$5:$H$73,MATCH(B62,'2016'!$A$5:$A$73,0)))</f>
        <v>11.151999999999999</v>
      </c>
      <c r="H62" s="59">
        <v>10.3</v>
      </c>
      <c r="I62" s="59">
        <v>8.5310000000000006</v>
      </c>
      <c r="J62" s="59">
        <v>7.8579999999999997</v>
      </c>
      <c r="K62" s="59">
        <v>8.5749999999999993</v>
      </c>
      <c r="L62" s="59">
        <v>8.2899999999999991</v>
      </c>
      <c r="M62" s="59">
        <v>4.7290000000000001</v>
      </c>
      <c r="N62" s="59">
        <v>4.8120000000000003</v>
      </c>
      <c r="O62" s="59">
        <v>6.7939999999999996</v>
      </c>
      <c r="P62" s="59">
        <v>7.9630000000000001</v>
      </c>
      <c r="Q62" s="59">
        <v>8.2669999999999995</v>
      </c>
    </row>
    <row r="63" spans="1:17" x14ac:dyDescent="0.2">
      <c r="A63" s="59" t="s">
        <v>243</v>
      </c>
      <c r="B63" s="59" t="s">
        <v>244</v>
      </c>
      <c r="C63" s="59">
        <f>IF(IFERROR(INDEX('2020'!$H$5:$H$73,MATCH(B63,'2020'!$A$5:$A$73,0)),0)=0,"N/A",INDEX('2020'!$H$5:$H$73,MATCH(B63,'2020'!$A$5:$A$73,0)))</f>
        <v>12.372</v>
      </c>
      <c r="D63" s="59">
        <f>IF(IFERROR(INDEX('2019'!$H$5:$H$73,MATCH(B63,'2019'!$A$5:$A$73,0)),0)=0,"N/A",INDEX('2019'!$H$5:$H$73,MATCH(B63,'2019'!$A$5:$A$73,0)))</f>
        <v>16.152000000000001</v>
      </c>
      <c r="E63" s="59">
        <f>IF(IFERROR(INDEX('2018'!$H$5:$H$73,MATCH(B63,'2018'!$A$5:$A$73,0)),0)=0,"N/A",INDEX('2018'!$H$5:$H$73,MATCH(B63,'2018'!$A$5:$A$73,0)))</f>
        <v>9.8559999999999999</v>
      </c>
      <c r="F63" s="59">
        <f>IF(IFERROR(INDEX('2017'!$H$5:$H$73,MATCH(B63,'2017'!$A$5:$A$73,0)),0)=0,"N/A",INDEX('2017'!$H$5:$H$73,MATCH(B63,'2017'!$A$5:$A$73,0)))</f>
        <v>9.077</v>
      </c>
      <c r="G63" s="67">
        <f>IF(IFERROR(INDEX('2016'!$H$5:$H$73,MATCH(B63,'2016'!$A$5:$A$73,0)),0)=0,"N/A",INDEX('2016'!$H$5:$H$73,MATCH(B63,'2016'!$A$5:$A$73,0)))</f>
        <v>6.4249999999999998</v>
      </c>
      <c r="H63" s="59">
        <v>6.6840000000000002</v>
      </c>
      <c r="I63" s="59">
        <v>3.96</v>
      </c>
      <c r="J63" s="59">
        <v>4</v>
      </c>
      <c r="K63" s="59">
        <v>4.8259999999999996</v>
      </c>
      <c r="L63" s="59">
        <v>3.0150000000000001</v>
      </c>
      <c r="M63" s="59">
        <v>2.5569999999999999</v>
      </c>
      <c r="N63" s="59">
        <v>2.363</v>
      </c>
      <c r="O63" s="59">
        <v>2.5739999999999998</v>
      </c>
      <c r="P63" s="59">
        <v>2.72</v>
      </c>
      <c r="Q63" s="59">
        <v>2.9689999999999999</v>
      </c>
    </row>
    <row r="64" spans="1:17" x14ac:dyDescent="0.2">
      <c r="A64" s="59" t="s">
        <v>201</v>
      </c>
      <c r="B64" s="59" t="s">
        <v>202</v>
      </c>
      <c r="C64" s="59">
        <f>IF(IFERROR(INDEX('2020'!$H$5:$H$73,MATCH(B64,'2020'!$A$5:$A$73,0)),0)=0,"N/A",INDEX('2020'!$H$5:$H$73,MATCH(B64,'2020'!$A$5:$A$73,0)))</f>
        <v>0.34100000000000003</v>
      </c>
      <c r="D64" s="59">
        <f>IF(IFERROR(INDEX('2019'!$H$5:$H$73,MATCH(B64,'2019'!$A$5:$A$73,0)),0)=0,"N/A",INDEX('2019'!$H$5:$H$73,MATCH(B64,'2019'!$A$5:$A$73,0)))</f>
        <v>0.23899999999999999</v>
      </c>
      <c r="E64" s="59">
        <f>IF(IFERROR(INDEX('2018'!$H$5:$H$73,MATCH(B64,'2018'!$A$5:$A$73,0)),0)=0,"N/A",INDEX('2018'!$H$5:$H$73,MATCH(B64,'2018'!$A$5:$A$73,0)))</f>
        <v>0.254</v>
      </c>
      <c r="F64" s="59">
        <f>IF(IFERROR(INDEX('2017'!$H$5:$H$73,MATCH(B64,'2017'!$A$5:$A$73,0)),0)=0,"N/A",INDEX('2017'!$H$5:$H$73,MATCH(B64,'2017'!$A$5:$A$73,0)))</f>
        <v>0.216</v>
      </c>
      <c r="G64" s="67">
        <f>IF(IFERROR(INDEX('2016'!$H$5:$H$73,MATCH(B64,'2016'!$A$5:$A$73,0)),0)=0,"N/A",INDEX('2016'!$H$5:$H$73,MATCH(B64,'2016'!$A$5:$A$73,0)))</f>
        <v>0.18</v>
      </c>
      <c r="H64" s="59">
        <v>0.16600000000000001</v>
      </c>
      <c r="I64" s="59">
        <v>0.159</v>
      </c>
      <c r="J64" s="59">
        <v>0.104</v>
      </c>
      <c r="K64" s="59">
        <v>9.5000000000000001E-2</v>
      </c>
      <c r="L64" s="59">
        <v>9.8000000000000004E-2</v>
      </c>
      <c r="M64" s="59">
        <v>8.3000000000000004E-2</v>
      </c>
      <c r="N64" s="59">
        <v>5.8000000000000003E-2</v>
      </c>
      <c r="O64" s="59">
        <v>5.5E-2</v>
      </c>
      <c r="P64" s="59">
        <v>6.4000000000000001E-2</v>
      </c>
      <c r="Q64" s="59">
        <v>7.1999999999999995E-2</v>
      </c>
    </row>
    <row r="65" spans="1:17" x14ac:dyDescent="0.2">
      <c r="A65" s="59" t="s">
        <v>203</v>
      </c>
      <c r="B65" s="59" t="s">
        <v>204</v>
      </c>
      <c r="C65" s="59">
        <f>IF(IFERROR(INDEX('2020'!$H$5:$H$73,MATCH(B65,'2020'!$A$5:$A$73,0)),0)=0,"N/A",INDEX('2020'!$H$5:$H$73,MATCH(B65,'2020'!$A$5:$A$73,0)))</f>
        <v>3.1259999999999999</v>
      </c>
      <c r="D65" s="59">
        <f>IF(IFERROR(INDEX('2019'!$H$5:$H$73,MATCH(B65,'2019'!$A$5:$A$73,0)),0)=0,"N/A",INDEX('2019'!$H$5:$H$73,MATCH(B65,'2019'!$A$5:$A$73,0)))</f>
        <v>3.371</v>
      </c>
      <c r="E65" s="59">
        <f>IF(IFERROR(INDEX('2018'!$H$5:$H$73,MATCH(B65,'2018'!$A$5:$A$73,0)),0)=0,"N/A",INDEX('2018'!$H$5:$H$73,MATCH(B65,'2018'!$A$5:$A$73,0)))</f>
        <v>3.298</v>
      </c>
      <c r="F65" s="59">
        <f>IF(IFERROR(INDEX('2017'!$H$5:$H$73,MATCH(B65,'2017'!$A$5:$A$73,0)),0)=0,"N/A",INDEX('2017'!$H$5:$H$73,MATCH(B65,'2017'!$A$5:$A$73,0)))</f>
        <v>3.6720000000000002</v>
      </c>
      <c r="G65" s="67">
        <f>IF(IFERROR(INDEX('2016'!$H$5:$H$73,MATCH(B65,'2016'!$A$5:$A$73,0)),0)=0,"N/A",INDEX('2016'!$H$5:$H$73,MATCH(B65,'2016'!$A$5:$A$73,0)))</f>
        <v>3.2559999999999998</v>
      </c>
      <c r="H65" s="59">
        <v>2.8340000000000001</v>
      </c>
      <c r="I65" s="59">
        <v>2.645</v>
      </c>
      <c r="J65" s="59">
        <v>2.8439999999999999</v>
      </c>
      <c r="K65" s="59">
        <v>2.008</v>
      </c>
      <c r="L65" s="59">
        <v>2.15</v>
      </c>
      <c r="M65" s="59">
        <v>2.113</v>
      </c>
      <c r="N65" s="59">
        <v>1.853</v>
      </c>
      <c r="O65" s="59">
        <v>1.4410000000000001</v>
      </c>
      <c r="P65" s="59">
        <v>1.395</v>
      </c>
      <c r="Q65" s="59">
        <v>1.212</v>
      </c>
    </row>
    <row r="66" spans="1:17" x14ac:dyDescent="0.2">
      <c r="A66" s="59" t="s">
        <v>159</v>
      </c>
      <c r="B66" s="59" t="s">
        <v>83</v>
      </c>
      <c r="C66" s="59">
        <f>IF(IFERROR(INDEX('2020'!$H$5:$H$73,MATCH(B66,'2020'!$A$5:$A$73,0)),0)=0,"N/A",INDEX('2020'!$H$5:$H$73,MATCH(B66,'2020'!$A$5:$A$73,0)))</f>
        <v>8.1669999999999998</v>
      </c>
      <c r="D66" s="59">
        <f>IF(IFERROR(INDEX('2019'!$H$5:$H$73,MATCH(B66,'2019'!$A$5:$A$73,0)),0)=0,"N/A",INDEX('2019'!$H$5:$H$73,MATCH(B66,'2019'!$A$5:$A$73,0)))</f>
        <v>7.984</v>
      </c>
      <c r="E66" s="59">
        <f>IF(IFERROR(INDEX('2018'!$H$5:$H$73,MATCH(B66,'2018'!$A$5:$A$73,0)),0)=0,"N/A",INDEX('2018'!$H$5:$H$73,MATCH(B66,'2018'!$A$5:$A$73,0)))</f>
        <v>6.883</v>
      </c>
      <c r="F66" s="59">
        <f>IF(IFERROR(INDEX('2017'!$H$5:$H$73,MATCH(B66,'2017'!$A$5:$A$73,0)),0)=0,"N/A",INDEX('2017'!$H$5:$H$73,MATCH(B66,'2017'!$A$5:$A$73,0)))</f>
        <v>8.0519999999999996</v>
      </c>
      <c r="G66" s="67">
        <f>IF(IFERROR(INDEX('2016'!$H$5:$H$73,MATCH(B66,'2016'!$A$5:$A$73,0)),0)=0,"N/A",INDEX('2016'!$H$5:$H$73,MATCH(B66,'2016'!$A$5:$A$73,0)))</f>
        <v>6.9749999999999996</v>
      </c>
      <c r="H66" s="59">
        <v>7.4260000000000002</v>
      </c>
      <c r="I66" s="59">
        <v>6.6539999999999999</v>
      </c>
      <c r="J66" s="59">
        <v>6.4660000000000002</v>
      </c>
      <c r="K66" s="59">
        <v>4.9710000000000001</v>
      </c>
      <c r="L66" s="59">
        <v>5.2130000000000001</v>
      </c>
      <c r="M66" s="59">
        <v>4.5549999999999997</v>
      </c>
      <c r="N66" s="59">
        <v>5.4169999999999998</v>
      </c>
      <c r="O66" s="59">
        <v>3.6320000000000001</v>
      </c>
      <c r="P66" s="59">
        <v>5.6619999999999999</v>
      </c>
      <c r="Q66" s="59">
        <v>5.9539999999999997</v>
      </c>
    </row>
    <row r="67" spans="1:17" x14ac:dyDescent="0.2">
      <c r="A67" s="59" t="s">
        <v>156</v>
      </c>
      <c r="B67" s="59" t="s">
        <v>42</v>
      </c>
      <c r="C67" s="59" t="str">
        <f>IF(IFERROR(INDEX('2020'!$H$5:$H$73,MATCH(B67,'2020'!$A$5:$A$73,0)),0)=0,"N/A",INDEX('2020'!$H$5:$H$73,MATCH(B67,'2020'!$A$5:$A$73,0)))</f>
        <v>N/A</v>
      </c>
      <c r="D67" s="59" t="str">
        <f>IF(IFERROR(INDEX('2019'!$H$5:$H$73,MATCH(B67,'2019'!$A$5:$A$73,0)),0)=0,"N/A",INDEX('2019'!$H$5:$H$73,MATCH(B67,'2019'!$A$5:$A$73,0)))</f>
        <v>N/A</v>
      </c>
      <c r="E67" s="59" t="str">
        <f>IF(IFERROR(INDEX('2018'!$H$5:$H$73,MATCH(B67,'2018'!$A$5:$A$73,0)),0)=0,"N/A",INDEX('2018'!$H$5:$H$73,MATCH(B67,'2018'!$A$5:$A$73,0)))</f>
        <v>N/A</v>
      </c>
      <c r="F67" s="59">
        <f>IF(IFERROR(INDEX('2017'!$H$5:$H$73,MATCH(B67,'2017'!$A$5:$A$73,0)),0)=0,"N/A",INDEX('2017'!$H$5:$H$73,MATCH(B67,'2017'!$A$5:$A$73,0)))</f>
        <v>7.26</v>
      </c>
      <c r="G67" s="67">
        <f>IF(IFERROR(INDEX('2016'!$H$5:$H$73,MATCH(B67,'2016'!$A$5:$A$73,0)),0)=0,"N/A",INDEX('2016'!$H$5:$H$73,MATCH(B67,'2016'!$A$5:$A$73,0)))</f>
        <v>6.5380000000000003</v>
      </c>
      <c r="H67" s="59">
        <v>5.76</v>
      </c>
      <c r="I67" s="59">
        <v>5.4269999999999996</v>
      </c>
      <c r="J67" s="59">
        <v>4.774</v>
      </c>
      <c r="K67" s="59">
        <v>4.45</v>
      </c>
      <c r="L67" s="59">
        <v>3.923</v>
      </c>
      <c r="M67" s="59">
        <v>3.3929999999999998</v>
      </c>
      <c r="N67" s="59">
        <v>5.327</v>
      </c>
      <c r="O67" s="59">
        <v>4.8259999999999996</v>
      </c>
      <c r="P67" s="59">
        <v>4.3810000000000002</v>
      </c>
      <c r="Q67" s="59">
        <v>3.698</v>
      </c>
    </row>
    <row r="68" spans="1:17" x14ac:dyDescent="0.2">
      <c r="A68" s="59" t="s">
        <v>217</v>
      </c>
      <c r="B68" s="59" t="s">
        <v>44</v>
      </c>
      <c r="C68" s="59">
        <f>IF(IFERROR(INDEX('2020'!$H$5:$H$73,MATCH(B68,'2020'!$A$5:$A$73,0)),0)=0,"N/A",INDEX('2020'!$H$5:$H$73,MATCH(B68,'2020'!$A$5:$A$73,0)))</f>
        <v>7.0979999999999999</v>
      </c>
      <c r="D68" s="59">
        <f>IF(IFERROR(INDEX('2019'!$H$5:$H$73,MATCH(B68,'2019'!$A$5:$A$73,0)),0)=0,"N/A",INDEX('2019'!$H$5:$H$73,MATCH(B68,'2019'!$A$5:$A$73,0)))</f>
        <v>7.1669999999999998</v>
      </c>
      <c r="E68" s="59">
        <f>IF(IFERROR(INDEX('2018'!$H$5:$H$73,MATCH(B68,'2018'!$A$5:$A$73,0)),0)=0,"N/A",INDEX('2018'!$H$5:$H$73,MATCH(B68,'2018'!$A$5:$A$73,0)))</f>
        <v>6.7050000000000001</v>
      </c>
      <c r="F68" s="59">
        <f>IF(IFERROR(INDEX('2017'!$H$5:$H$73,MATCH(B68,'2017'!$A$5:$A$73,0)),0)=0,"N/A",INDEX('2017'!$H$5:$H$73,MATCH(B68,'2017'!$A$5:$A$73,0)))</f>
        <v>6.2089999999999996</v>
      </c>
      <c r="G68" s="67">
        <f>IF(IFERROR(INDEX('2016'!$H$5:$H$73,MATCH(B68,'2016'!$A$5:$A$73,0)),0)=0,"N/A",INDEX('2016'!$H$5:$H$73,MATCH(B68,'2016'!$A$5:$A$73,0)))</f>
        <v>4.5110000000000001</v>
      </c>
      <c r="H68" s="59">
        <v>4.0110000000000001</v>
      </c>
      <c r="I68" s="59">
        <v>3.2639999999999998</v>
      </c>
      <c r="J68" s="59">
        <v>3.0419999999999998</v>
      </c>
      <c r="K68" s="59">
        <v>3.0870000000000002</v>
      </c>
      <c r="L68" s="59">
        <v>3.605</v>
      </c>
      <c r="M68" s="59">
        <v>3.4140000000000001</v>
      </c>
      <c r="N68" s="59">
        <v>3.4969999999999999</v>
      </c>
      <c r="O68" s="59">
        <v>4.8630000000000004</v>
      </c>
      <c r="P68" s="59">
        <v>5.282</v>
      </c>
      <c r="Q68" s="59">
        <v>4.1740000000000004</v>
      </c>
    </row>
    <row r="69" spans="1:17" x14ac:dyDescent="0.2">
      <c r="A69" s="59" t="s">
        <v>157</v>
      </c>
      <c r="B69" s="59" t="s">
        <v>43</v>
      </c>
      <c r="C69" s="59" t="str">
        <f>IF(IFERROR(INDEX('2020'!$H$5:$H$73,MATCH(B69,'2020'!$A$5:$A$73,0)),0)=0,"N/A",INDEX('2020'!$H$5:$H$73,MATCH(B69,'2020'!$A$5:$A$73,0)))</f>
        <v>N/A</v>
      </c>
      <c r="D69" s="59" t="str">
        <f>IF(IFERROR(INDEX('2019'!$H$5:$H$73,MATCH(B69,'2019'!$A$5:$A$73,0)),0)=0,"N/A",INDEX('2019'!$H$5:$H$73,MATCH(B69,'2019'!$A$5:$A$73,0)))</f>
        <v>N/A</v>
      </c>
      <c r="E69" s="59" t="str">
        <f>IF(IFERROR(INDEX('2018'!$H$5:$H$73,MATCH(B69,'2018'!$A$5:$A$73,0)),0)=0,"N/A",INDEX('2018'!$H$5:$H$73,MATCH(B69,'2018'!$A$5:$A$73,0)))</f>
        <v>N/A</v>
      </c>
      <c r="F69" s="59">
        <f>IF(IFERROR(INDEX('2017'!$H$5:$H$73,MATCH(B69,'2017'!$A$5:$A$73,0)),0)=0,"N/A",INDEX('2017'!$H$5:$H$73,MATCH(B69,'2017'!$A$5:$A$73,0)))</f>
        <v>5.38</v>
      </c>
      <c r="G69" s="67">
        <f>IF(IFERROR(INDEX('2016'!$H$5:$H$73,MATCH(B69,'2016'!$A$5:$A$73,0)),0)=0,"N/A",INDEX('2016'!$H$5:$H$73,MATCH(B69,'2016'!$A$5:$A$73,0)))</f>
        <v>7.6660000000000004</v>
      </c>
      <c r="H69" s="59">
        <v>4.9539999999999997</v>
      </c>
      <c r="I69" s="59">
        <v>6.47</v>
      </c>
      <c r="J69" s="59">
        <v>6.0819999999999999</v>
      </c>
      <c r="K69" s="59">
        <v>6.4050000000000002</v>
      </c>
      <c r="L69" s="59">
        <v>5.5490000000000004</v>
      </c>
      <c r="M69" s="59">
        <v>4.8170000000000002</v>
      </c>
      <c r="N69" s="59">
        <v>5.2569999999999997</v>
      </c>
      <c r="O69" s="59">
        <v>8.6530000000000005</v>
      </c>
      <c r="P69" s="59">
        <v>7.8369999999999997</v>
      </c>
      <c r="Q69" s="59">
        <v>3.9460000000000002</v>
      </c>
    </row>
    <row r="70" spans="1:17" x14ac:dyDescent="0.2">
      <c r="A70" s="59" t="s">
        <v>205</v>
      </c>
      <c r="B70" s="59" t="s">
        <v>206</v>
      </c>
      <c r="C70" s="59" t="str">
        <f>IF(IFERROR(INDEX('2020'!$H$5:$H$73,MATCH(B70,'2020'!$A$5:$A$73,0)),0)=0,"N/A",INDEX('2020'!$H$5:$H$73,MATCH(B70,'2020'!$A$5:$A$73,0)))</f>
        <v>N/A</v>
      </c>
      <c r="D70" s="59" t="str">
        <f>IF(IFERROR(INDEX('2019'!$H$5:$H$73,MATCH(B70,'2019'!$A$5:$A$73,0)),0)=0,"N/A",INDEX('2019'!$H$5:$H$73,MATCH(B70,'2019'!$A$5:$A$73,0)))</f>
        <v>N/A</v>
      </c>
      <c r="E70" s="59" t="str">
        <f>IF(IFERROR(INDEX('2018'!$H$5:$H$73,MATCH(B70,'2018'!$A$5:$A$73,0)),0)=0,"N/A",INDEX('2018'!$H$5:$H$73,MATCH(B70,'2018'!$A$5:$A$73,0)))</f>
        <v>N/A</v>
      </c>
      <c r="F70" s="59">
        <f>IF(IFERROR(INDEX('2017'!$H$5:$H$73,MATCH(B70,'2017'!$A$5:$A$73,0)),0)=0,"N/A",INDEX('2017'!$H$5:$H$73,MATCH(B70,'2017'!$A$5:$A$73,0)))</f>
        <v>10.087999999999999</v>
      </c>
      <c r="G70" s="67">
        <f>IF(IFERROR(INDEX('2016'!$H$5:$H$73,MATCH(B70,'2016'!$A$5:$A$73,0)),0)=0,"N/A",INDEX('2016'!$H$5:$H$73,MATCH(B70,'2016'!$A$5:$A$73,0)))</f>
        <v>10.324999999999999</v>
      </c>
      <c r="H70" s="59">
        <v>9.3260000000000005</v>
      </c>
      <c r="I70" s="59">
        <v>7.6269999999999998</v>
      </c>
      <c r="J70" s="59">
        <v>6.0419999999999998</v>
      </c>
      <c r="K70" s="59">
        <v>4.8739999999999997</v>
      </c>
      <c r="L70" s="59">
        <v>3.9369999999999998</v>
      </c>
      <c r="M70" s="59">
        <v>2.5739999999999998</v>
      </c>
      <c r="N70" s="59">
        <v>2.77</v>
      </c>
      <c r="O70" s="59">
        <v>2.7040000000000002</v>
      </c>
      <c r="P70" s="59">
        <v>3.327</v>
      </c>
      <c r="Q70" s="59">
        <v>3.2679999999999998</v>
      </c>
    </row>
    <row r="71" spans="1:17" x14ac:dyDescent="0.2">
      <c r="A71" s="59" t="s">
        <v>158</v>
      </c>
      <c r="B71" s="59" t="s">
        <v>45</v>
      </c>
      <c r="C71" s="59">
        <f>IF(IFERROR(INDEX('2020'!$H$5:$H$73,MATCH(B71,'2020'!$A$5:$A$73,0)),0)=0,"N/A",INDEX('2020'!$H$5:$H$73,MATCH(B71,'2020'!$A$5:$A$73,0)))</f>
        <v>9.99</v>
      </c>
      <c r="D71" s="59">
        <f>IF(IFERROR(INDEX('2019'!$H$5:$H$73,MATCH(B71,'2019'!$A$5:$A$73,0)),0)=0,"N/A",INDEX('2019'!$H$5:$H$73,MATCH(B71,'2019'!$A$5:$A$73,0)))</f>
        <v>8.0549999999999997</v>
      </c>
      <c r="E71" s="59">
        <f>IF(IFERROR(INDEX('2018'!$H$5:$H$73,MATCH(B71,'2018'!$A$5:$A$73,0)),0)=0,"N/A",INDEX('2018'!$H$5:$H$73,MATCH(B71,'2018'!$A$5:$A$73,0)))</f>
        <v>7.6980000000000004</v>
      </c>
      <c r="F71" s="59">
        <f>IF(IFERROR(INDEX('2017'!$H$5:$H$73,MATCH(B71,'2017'!$A$5:$A$73,0)),0)=0,"N/A",INDEX('2017'!$H$5:$H$73,MATCH(B71,'2017'!$A$5:$A$73,0)))</f>
        <v>6.5369999999999999</v>
      </c>
      <c r="G71" s="67">
        <f>IF(IFERROR(INDEX('2016'!$H$5:$H$73,MATCH(B71,'2016'!$A$5:$A$73,0)),0)=0,"N/A",INDEX('2016'!$H$5:$H$73,MATCH(B71,'2016'!$A$5:$A$73,0)))</f>
        <v>6.4180000000000001</v>
      </c>
      <c r="H71" s="59">
        <v>7.2569999999999997</v>
      </c>
      <c r="I71" s="59">
        <v>6.327</v>
      </c>
      <c r="J71" s="59">
        <v>6.8179999999999996</v>
      </c>
      <c r="K71" s="59">
        <v>5.2670000000000003</v>
      </c>
      <c r="L71" s="59">
        <v>4.5339999999999998</v>
      </c>
      <c r="M71" s="59">
        <v>4.5970000000000004</v>
      </c>
      <c r="N71" s="59">
        <v>3.9060000000000001</v>
      </c>
      <c r="O71" s="59">
        <v>4.657</v>
      </c>
      <c r="P71" s="59">
        <v>4.8899999999999997</v>
      </c>
      <c r="Q71" s="59">
        <v>3.996</v>
      </c>
    </row>
    <row r="72" spans="1:17" x14ac:dyDescent="0.2">
      <c r="A72" s="59" t="s">
        <v>207</v>
      </c>
      <c r="B72" s="59" t="s">
        <v>208</v>
      </c>
      <c r="C72" s="59">
        <f>IF(IFERROR(INDEX('2020'!$H$5:$H$73,MATCH(B72,'2020'!$A$5:$A$73,0)),0)=0,"N/A",INDEX('2020'!$H$5:$H$73,MATCH(B72,'2020'!$A$5:$A$73,0)))</f>
        <v>0.09</v>
      </c>
      <c r="D72" s="59">
        <f>IF(IFERROR(INDEX('2019'!$H$5:$H$73,MATCH(B72,'2019'!$A$5:$A$73,0)),0)=0,"N/A",INDEX('2019'!$H$5:$H$73,MATCH(B72,'2019'!$A$5:$A$73,0)))</f>
        <v>0.16200000000000001</v>
      </c>
      <c r="E72" s="59" t="str">
        <f>IF(IFERROR(INDEX('2018'!$H$5:$H$73,MATCH(B72,'2018'!$A$5:$A$73,0)),0)=0,"N/A",INDEX('2018'!$H$5:$H$73,MATCH(B72,'2018'!$A$5:$A$73,0)))</f>
        <v>N/A</v>
      </c>
      <c r="F72" s="59">
        <f>IF(IFERROR(INDEX('2017'!$H$5:$H$73,MATCH(B72,'2017'!$A$5:$A$73,0)),0)=0,"N/A",INDEX('2017'!$H$5:$H$73,MATCH(B72,'2017'!$A$5:$A$73,0)))</f>
        <v>1.948</v>
      </c>
      <c r="G72" s="67">
        <f>IF(IFERROR(INDEX('2016'!$H$5:$H$73,MATCH(B72,'2016'!$A$5:$A$73,0)),0)=0,"N/A",INDEX('2016'!$H$5:$H$73,MATCH(B72,'2016'!$A$5:$A$73,0)))</f>
        <v>1.028</v>
      </c>
      <c r="H72" s="59">
        <v>1.1080000000000001</v>
      </c>
      <c r="I72" s="59">
        <v>1.1020000000000001</v>
      </c>
      <c r="J72" s="59">
        <v>0.75900000000000001</v>
      </c>
      <c r="K72" s="59">
        <v>0.94499999999999995</v>
      </c>
      <c r="L72" s="59">
        <v>0.74</v>
      </c>
      <c r="M72" s="59">
        <v>0.83099999999999996</v>
      </c>
      <c r="N72" s="59">
        <v>1.1759999999999999</v>
      </c>
      <c r="O72" s="59">
        <v>2.173</v>
      </c>
      <c r="P72" s="59">
        <v>1.6910000000000001</v>
      </c>
      <c r="Q72" s="59">
        <v>1.8460000000000001</v>
      </c>
    </row>
  </sheetData>
  <autoFilter ref="A3:R72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R73"/>
  <sheetViews>
    <sheetView zoomScale="102" zoomScaleNormal="102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" sqref="D1:F1"/>
    </sheetView>
  </sheetViews>
  <sheetFormatPr defaultColWidth="8.69921875" defaultRowHeight="10.199999999999999" x14ac:dyDescent="0.2"/>
  <cols>
    <col min="1" max="1" width="19.19921875" style="59" customWidth="1"/>
    <col min="2" max="2" width="5.69921875" style="59" bestFit="1" customWidth="1"/>
    <col min="3" max="4" width="5.69921875" style="59" customWidth="1"/>
    <col min="5" max="6" width="6.8984375" style="59" bestFit="1" customWidth="1"/>
    <col min="7" max="17" width="7.69921875" style="59" customWidth="1"/>
    <col min="18" max="16384" width="8.69921875" style="59"/>
  </cols>
  <sheetData>
    <row r="1" spans="1:18" ht="30.6" x14ac:dyDescent="0.2">
      <c r="A1" s="58" t="s">
        <v>218</v>
      </c>
      <c r="C1" s="59">
        <v>2020</v>
      </c>
      <c r="D1" s="60">
        <v>2019</v>
      </c>
      <c r="E1" s="60">
        <v>2018</v>
      </c>
      <c r="F1" s="60">
        <v>2017</v>
      </c>
      <c r="G1" s="60">
        <f>VALUE(RIGHT(G3,4))</f>
        <v>2016</v>
      </c>
      <c r="H1" s="60">
        <f t="shared" ref="H1:Q1" si="0">VALUE(RIGHT(H3,4))</f>
        <v>2015</v>
      </c>
      <c r="I1" s="60">
        <f t="shared" si="0"/>
        <v>2014</v>
      </c>
      <c r="J1" s="60">
        <f t="shared" si="0"/>
        <v>2013</v>
      </c>
      <c r="K1" s="60">
        <f t="shared" si="0"/>
        <v>2012</v>
      </c>
      <c r="L1" s="60">
        <f t="shared" si="0"/>
        <v>2011</v>
      </c>
      <c r="M1" s="60">
        <f t="shared" si="0"/>
        <v>2010</v>
      </c>
      <c r="N1" s="60">
        <f t="shared" si="0"/>
        <v>2009</v>
      </c>
      <c r="O1" s="60">
        <f t="shared" si="0"/>
        <v>2008</v>
      </c>
      <c r="P1" s="60">
        <f t="shared" si="0"/>
        <v>2007</v>
      </c>
      <c r="Q1" s="60">
        <f t="shared" si="0"/>
        <v>2006</v>
      </c>
    </row>
    <row r="2" spans="1:18" x14ac:dyDescent="0.2">
      <c r="A2" s="67" t="s">
        <v>314</v>
      </c>
      <c r="B2" s="61"/>
      <c r="C2" s="61"/>
      <c r="D2" s="61"/>
      <c r="E2" s="69">
        <f>'2018'!$A$1</f>
        <v>43642</v>
      </c>
      <c r="F2" s="69">
        <f>'2017'!$A$1</f>
        <v>43272</v>
      </c>
      <c r="G2" s="69">
        <f>'2016'!$A$1</f>
        <v>42907</v>
      </c>
      <c r="H2" s="69">
        <v>42718</v>
      </c>
      <c r="I2" s="69">
        <v>42718</v>
      </c>
      <c r="J2" s="69">
        <v>42718</v>
      </c>
      <c r="K2" s="69">
        <v>42718</v>
      </c>
      <c r="L2" s="69">
        <v>42718</v>
      </c>
      <c r="M2" s="69">
        <v>42718</v>
      </c>
      <c r="N2" s="69">
        <v>42718</v>
      </c>
      <c r="O2" s="69">
        <v>42718</v>
      </c>
      <c r="P2" s="69">
        <v>42718</v>
      </c>
      <c r="Q2" s="69">
        <v>42718</v>
      </c>
      <c r="R2" s="59" t="s">
        <v>347</v>
      </c>
    </row>
    <row r="3" spans="1:18" ht="20.399999999999999" x14ac:dyDescent="0.2">
      <c r="A3" s="59" t="s">
        <v>117</v>
      </c>
      <c r="B3" s="59" t="s">
        <v>99</v>
      </c>
      <c r="G3" s="58" t="s">
        <v>264</v>
      </c>
      <c r="H3" s="58" t="s">
        <v>246</v>
      </c>
      <c r="I3" s="58" t="s">
        <v>247</v>
      </c>
      <c r="J3" s="58" t="s">
        <v>248</v>
      </c>
      <c r="K3" s="58" t="s">
        <v>249</v>
      </c>
      <c r="L3" s="58" t="s">
        <v>250</v>
      </c>
      <c r="M3" s="58" t="s">
        <v>251</v>
      </c>
      <c r="N3" s="58" t="s">
        <v>252</v>
      </c>
      <c r="O3" s="58" t="s">
        <v>253</v>
      </c>
      <c r="P3" s="58" t="s">
        <v>254</v>
      </c>
      <c r="Q3" s="58" t="s">
        <v>255</v>
      </c>
    </row>
    <row r="4" spans="1:18" x14ac:dyDescent="0.2">
      <c r="A4" s="59" t="s">
        <v>162</v>
      </c>
      <c r="B4" s="59" t="s">
        <v>163</v>
      </c>
      <c r="C4" s="59">
        <f>IF(IFERROR(INDEX('2020'!$D$5:$D$73,MATCH(B4,'2020'!$A$5:$A$73,0)),0)=0,"N/A",INDEX('2020'!$D$5:$D$73,MATCH(B4,'2020'!$A$5:$A$73,0)))</f>
        <v>35.130000000000003</v>
      </c>
      <c r="D4" s="59">
        <f>IF(IFERROR(INDEX('2019'!$D$5:$D$73,MATCH(B4,'2019'!$A$5:$A$73,0)),0)=0,"N/A",INDEX('2019'!$D$5:$D$73,MATCH(B4,'2019'!$A$5:$A$73,0)))</f>
        <v>35.798000000000002</v>
      </c>
      <c r="E4" s="59">
        <f>IF(IFERROR(INDEX('2018'!$D$5:$D$73,MATCH(B4,'2018'!$A$5:$A$73,0)),0)=0,"N/A",INDEX('2018'!$D$5:$D$73,MATCH(B4,'2018'!$A$5:$A$73,0)))</f>
        <v>34.755000000000003</v>
      </c>
      <c r="F4" s="59">
        <f>IF(IFERROR(INDEX('2017'!$D$5:$D$73,MATCH(B4,'2017'!$A$5:$A$73,0)),0)=0,"N/A",INDEX('2017'!$D$5:$D$73,MATCH(B4,'2017'!$A$5:$A$73,0)))</f>
        <v>34.878999999999998</v>
      </c>
      <c r="G4" s="67">
        <f>IF(IFERROR(INDEX('2016'!$D$5:$D$73,MATCH(B4,'2016'!$A$5:$A$73,0)),0)=0,"N/A",INDEX('2016'!$D$5:$D$73,MATCH(B4,'2016'!$A$5:$A$73,0)))</f>
        <v>35.872999999999998</v>
      </c>
      <c r="H4" s="59">
        <v>36.156999999999996</v>
      </c>
      <c r="I4" s="59">
        <v>37.343000000000004</v>
      </c>
      <c r="J4" s="59">
        <v>36.676000000000002</v>
      </c>
      <c r="K4" s="59">
        <v>32.212000000000003</v>
      </c>
      <c r="L4" s="59">
        <v>26.242999999999999</v>
      </c>
      <c r="M4" s="59">
        <v>21.376999999999999</v>
      </c>
      <c r="N4" s="59">
        <v>19.869</v>
      </c>
      <c r="O4" s="59">
        <v>19.385999999999999</v>
      </c>
      <c r="P4" s="59">
        <v>21.207000000000001</v>
      </c>
      <c r="Q4" s="59">
        <v>17.632999999999999</v>
      </c>
    </row>
    <row r="5" spans="1:18" x14ac:dyDescent="0.2">
      <c r="A5" s="59" t="s">
        <v>119</v>
      </c>
      <c r="B5" s="59" t="s">
        <v>0</v>
      </c>
      <c r="C5" s="59">
        <f>IF(IFERROR(INDEX('2020'!$D$5:$D$73,MATCH(B5,'2020'!$A$5:$A$73,0)),0)=0,"N/A",INDEX('2020'!$D$5:$D$73,MATCH(B5,'2020'!$A$5:$A$73,0)))</f>
        <v>44.042000000000002</v>
      </c>
      <c r="D5" s="59">
        <f>IF(IFERROR(INDEX('2019'!$D$5:$D$73,MATCH(B5,'2019'!$A$5:$A$73,0)),0)=0,"N/A",INDEX('2019'!$D$5:$D$73,MATCH(B5,'2019'!$A$5:$A$73,0)))</f>
        <v>43.17</v>
      </c>
      <c r="E5" s="59">
        <f>IF(IFERROR(INDEX('2018'!$D$5:$D$73,MATCH(B5,'2018'!$A$5:$A$73,0)),0)=0,"N/A",INDEX('2018'!$D$5:$D$73,MATCH(B5,'2018'!$A$5:$A$73,0)))</f>
        <v>41.86</v>
      </c>
      <c r="F5" s="59">
        <f>IF(IFERROR(INDEX('2017'!$D$5:$D$73,MATCH(B5,'2017'!$A$5:$A$73,0)),0)=0,"N/A",INDEX('2017'!$D$5:$D$73,MATCH(B5,'2017'!$A$5:$A$73,0)))</f>
        <v>40.473999999999997</v>
      </c>
      <c r="G5" s="67">
        <f>IF(IFERROR(INDEX('2016'!$D$5:$D$73,MATCH(B5,'2016'!$A$5:$A$73,0)),0)=0,"N/A",INDEX('2016'!$D$5:$D$73,MATCH(B5,'2016'!$A$5:$A$73,0)))</f>
        <v>38.164999999999999</v>
      </c>
      <c r="H5" s="59">
        <v>37.070999999999998</v>
      </c>
      <c r="I5" s="59">
        <v>35.063000000000002</v>
      </c>
      <c r="J5" s="59">
        <v>32.436999999999998</v>
      </c>
      <c r="K5" s="59">
        <v>30.481999999999999</v>
      </c>
      <c r="L5" s="59">
        <v>28.780999999999999</v>
      </c>
      <c r="M5" s="59">
        <v>27.263000000000002</v>
      </c>
      <c r="N5" s="59">
        <v>26.405999999999999</v>
      </c>
      <c r="O5" s="59">
        <v>25.370999999999999</v>
      </c>
      <c r="P5" s="59">
        <v>24.11</v>
      </c>
      <c r="Q5" s="59">
        <v>21.901</v>
      </c>
    </row>
    <row r="6" spans="1:18" x14ac:dyDescent="0.2">
      <c r="A6" s="59" t="s">
        <v>120</v>
      </c>
      <c r="B6" s="59" t="s">
        <v>1</v>
      </c>
      <c r="C6" s="59">
        <f>IF(IFERROR(INDEX('2020'!$D$5:$D$73,MATCH(B6,'2020'!$A$5:$A$73,0)),0)=0,"N/A",INDEX('2020'!$D$5:$D$73,MATCH(B6,'2020'!$A$5:$A$73,0)))</f>
        <v>22.763999999999999</v>
      </c>
      <c r="D6" s="59">
        <f>IF(IFERROR(INDEX('2019'!$D$5:$D$73,MATCH(B6,'2019'!$A$5:$A$73,0)),0)=0,"N/A",INDEX('2019'!$D$5:$D$73,MATCH(B6,'2019'!$A$5:$A$73,0)))</f>
        <v>21.242999999999999</v>
      </c>
      <c r="E6" s="59">
        <f>IF(IFERROR(INDEX('2018'!$D$5:$D$73,MATCH(B6,'2018'!$A$5:$A$73,0)),0)=0,"N/A",INDEX('2018'!$D$5:$D$73,MATCH(B6,'2018'!$A$5:$A$73,0)))</f>
        <v>19.425999999999998</v>
      </c>
      <c r="F6" s="59">
        <f>IF(IFERROR(INDEX('2017'!$D$5:$D$73,MATCH(B6,'2017'!$A$5:$A$73,0)),0)=0,"N/A",INDEX('2017'!$D$5:$D$73,MATCH(B6,'2017'!$A$5:$A$73,0)))</f>
        <v>17.213000000000001</v>
      </c>
      <c r="G6" s="67">
        <f>IF(IFERROR(INDEX('2016'!$D$5:$D$73,MATCH(B6,'2016'!$A$5:$A$73,0)),0)=0,"N/A",INDEX('2016'!$D$5:$D$73,MATCH(B6,'2016'!$A$5:$A$73,0)))</f>
        <v>16.963000000000001</v>
      </c>
      <c r="H6" s="59">
        <v>16.411999999999999</v>
      </c>
      <c r="I6" s="59">
        <v>15.544</v>
      </c>
      <c r="J6" s="59">
        <v>14.789</v>
      </c>
      <c r="K6" s="59">
        <v>14.122999999999999</v>
      </c>
      <c r="L6" s="59">
        <v>13.57</v>
      </c>
      <c r="M6" s="59">
        <v>13.047000000000001</v>
      </c>
      <c r="N6" s="59">
        <v>12.537000000000001</v>
      </c>
      <c r="O6" s="59">
        <v>12.782</v>
      </c>
      <c r="P6" s="59">
        <v>12.148</v>
      </c>
      <c r="Q6" s="59">
        <v>11.416</v>
      </c>
    </row>
    <row r="7" spans="1:18" x14ac:dyDescent="0.2">
      <c r="A7" s="59" t="s">
        <v>121</v>
      </c>
      <c r="B7" s="59" t="s">
        <v>2</v>
      </c>
      <c r="C7" s="59">
        <f>IF(IFERROR(INDEX('2020'!$D$5:$D$73,MATCH(B7,'2020'!$A$5:$A$73,0)),0)=0,"N/A",INDEX('2020'!$D$5:$D$73,MATCH(B7,'2020'!$A$5:$A$73,0)))</f>
        <v>41.383000000000003</v>
      </c>
      <c r="D7" s="59">
        <f>IF(IFERROR(INDEX('2019'!$D$5:$D$73,MATCH(B7,'2019'!$A$5:$A$73,0)),0)=0,"N/A",INDEX('2019'!$D$5:$D$73,MATCH(B7,'2019'!$A$5:$A$73,0)))</f>
        <v>39.728000000000002</v>
      </c>
      <c r="E7" s="59">
        <f>IF(IFERROR(INDEX('2018'!$D$5:$D$73,MATCH(B7,'2018'!$A$5:$A$73,0)),0)=0,"N/A",INDEX('2018'!$D$5:$D$73,MATCH(B7,'2018'!$A$5:$A$73,0)))</f>
        <v>38.578000000000003</v>
      </c>
      <c r="F7" s="59">
        <f>IF(IFERROR(INDEX('2017'!$D$5:$D$73,MATCH(B7,'2017'!$A$5:$A$73,0)),0)=0,"N/A",INDEX('2017'!$D$5:$D$73,MATCH(B7,'2017'!$A$5:$A$73,0)))</f>
        <v>37.167999999999999</v>
      </c>
      <c r="G7" s="67">
        <f>IF(IFERROR(INDEX('2016'!$D$5:$D$73,MATCH(B7,'2016'!$A$5:$A$73,0)),0)=0,"N/A",INDEX('2016'!$D$5:$D$73,MATCH(B7,'2016'!$A$5:$A$73,0)))</f>
        <v>35.380000000000003</v>
      </c>
      <c r="H7" s="59">
        <v>36.435000000000002</v>
      </c>
      <c r="I7" s="59">
        <v>34.368000000000002</v>
      </c>
      <c r="J7" s="59">
        <v>32.975999999999999</v>
      </c>
      <c r="K7" s="59">
        <v>31.373000000000001</v>
      </c>
      <c r="L7" s="59">
        <v>30.334</v>
      </c>
      <c r="M7" s="59">
        <v>28.332000000000001</v>
      </c>
      <c r="N7" s="59">
        <v>27.486000000000001</v>
      </c>
      <c r="O7" s="59">
        <v>26.332999999999998</v>
      </c>
      <c r="P7" s="59">
        <v>25.170999999999999</v>
      </c>
      <c r="Q7" s="59">
        <v>23.727</v>
      </c>
    </row>
    <row r="8" spans="1:18" x14ac:dyDescent="0.2">
      <c r="A8" s="59" t="s">
        <v>164</v>
      </c>
      <c r="B8" s="59" t="s">
        <v>165</v>
      </c>
      <c r="C8" s="59">
        <f>IF(IFERROR(INDEX('2020'!$D$5:$D$73,MATCH(B8,'2020'!$A$5:$A$73,0)),0)=0,"N/A",INDEX('2020'!$D$5:$D$73,MATCH(B8,'2020'!$A$5:$A$73,0)))</f>
        <v>17.395</v>
      </c>
      <c r="D8" s="59">
        <f>IF(IFERROR(INDEX('2019'!$D$5:$D$73,MATCH(B8,'2019'!$A$5:$A$73,0)),0)=0,"N/A",INDEX('2019'!$D$5:$D$73,MATCH(B8,'2019'!$A$5:$A$73,0)))</f>
        <v>16.324999999999999</v>
      </c>
      <c r="E8" s="59">
        <f>IF(IFERROR(INDEX('2018'!$D$5:$D$73,MATCH(B8,'2018'!$A$5:$A$73,0)),0)=0,"N/A",INDEX('2018'!$D$5:$D$73,MATCH(B8,'2018'!$A$5:$A$73,0)))</f>
        <v>15.186</v>
      </c>
      <c r="F8" s="59">
        <f>IF(IFERROR(INDEX('2017'!$D$5:$D$73,MATCH(B8,'2017'!$A$5:$A$73,0)),0)=0,"N/A",INDEX('2017'!$D$5:$D$73,MATCH(B8,'2017'!$A$5:$A$73,0)))</f>
        <v>14.446999999999999</v>
      </c>
      <c r="G8" s="67">
        <f>IF(IFERROR(INDEX('2016'!$D$5:$D$73,MATCH(B8,'2016'!$A$5:$A$73,0)),0)=0,"N/A",INDEX('2016'!$D$5:$D$73,MATCH(B8,'2016'!$A$5:$A$73,0)))</f>
        <v>13.516</v>
      </c>
      <c r="H8" s="59">
        <v>12.765000000000001</v>
      </c>
      <c r="I8" s="59">
        <v>13.237</v>
      </c>
      <c r="J8" s="59">
        <v>12.717000000000001</v>
      </c>
      <c r="K8" s="59">
        <v>11.798999999999999</v>
      </c>
      <c r="L8" s="59">
        <v>10.840999999999999</v>
      </c>
      <c r="M8" s="59">
        <v>10.132</v>
      </c>
      <c r="N8" s="59">
        <v>9.6969999999999992</v>
      </c>
      <c r="O8" s="59">
        <v>8.9740000000000002</v>
      </c>
      <c r="P8" s="59">
        <v>8.7669999999999995</v>
      </c>
      <c r="Q8" s="59">
        <v>8.3209999999999997</v>
      </c>
    </row>
    <row r="9" spans="1:18" x14ac:dyDescent="0.2">
      <c r="A9" s="59" t="s">
        <v>166</v>
      </c>
      <c r="B9" s="59" t="s">
        <v>167</v>
      </c>
      <c r="C9" s="59">
        <f>IF(IFERROR(INDEX('2020'!$D$5:$D$73,MATCH(B9,'2020'!$A$5:$A$73,0)),0)=0,"N/A",INDEX('2020'!$D$5:$D$73,MATCH(B9,'2020'!$A$5:$A$73,0)))</f>
        <v>35.576999999999998</v>
      </c>
      <c r="D9" s="59">
        <f>IF(IFERROR(INDEX('2019'!$D$5:$D$73,MATCH(B9,'2019'!$A$5:$A$73,0)),0)=0,"N/A",INDEX('2019'!$D$5:$D$73,MATCH(B9,'2019'!$A$5:$A$73,0)))</f>
        <v>33.825000000000003</v>
      </c>
      <c r="E9" s="59">
        <f>IF(IFERROR(INDEX('2018'!$D$5:$D$73,MATCH(B9,'2018'!$A$5:$A$73,0)),0)=0,"N/A",INDEX('2018'!$D$5:$D$73,MATCH(B9,'2018'!$A$5:$A$73,0)))</f>
        <v>32.415999999999997</v>
      </c>
      <c r="F9" s="59">
        <f>IF(IFERROR(INDEX('2017'!$D$5:$D$73,MATCH(B9,'2017'!$A$5:$A$73,0)),0)=0,"N/A",INDEX('2017'!$D$5:$D$73,MATCH(B9,'2017'!$A$5:$A$73,0)))</f>
        <v>30.132999999999999</v>
      </c>
      <c r="G9" s="67">
        <f>IF(IFERROR(INDEX('2016'!$D$5:$D$73,MATCH(B9,'2016'!$A$5:$A$73,0)),0)=0,"N/A",INDEX('2016'!$D$5:$D$73,MATCH(B9,'2016'!$A$5:$A$73,0)))</f>
        <v>29.242999999999999</v>
      </c>
      <c r="H9" s="59">
        <v>28.253</v>
      </c>
      <c r="I9" s="59">
        <v>27.390999999999998</v>
      </c>
      <c r="J9" s="59">
        <v>26.524000000000001</v>
      </c>
      <c r="K9" s="59">
        <v>25.105</v>
      </c>
      <c r="L9" s="59">
        <v>24.113</v>
      </c>
      <c r="M9" s="59">
        <v>23.588000000000001</v>
      </c>
      <c r="N9" s="59">
        <v>22.91</v>
      </c>
      <c r="O9" s="59">
        <v>25.638000000000002</v>
      </c>
      <c r="P9" s="59">
        <v>28.388000000000002</v>
      </c>
      <c r="Q9" s="59">
        <v>23.859000000000002</v>
      </c>
    </row>
    <row r="10" spans="1:18" x14ac:dyDescent="0.2">
      <c r="A10" s="59" t="s">
        <v>122</v>
      </c>
      <c r="B10" s="59" t="s">
        <v>3</v>
      </c>
      <c r="C10" s="59">
        <f>IF(IFERROR(INDEX('2020'!$D$5:$D$73,MATCH(B10,'2020'!$A$5:$A$73,0)),0)=0,"N/A",INDEX('2020'!$D$5:$D$73,MATCH(B10,'2020'!$A$5:$A$73,0)))</f>
        <v>35.286000000000001</v>
      </c>
      <c r="D10" s="59">
        <f>IF(IFERROR(INDEX('2019'!$D$5:$D$73,MATCH(B10,'2019'!$A$5:$A$73,0)),0)=0,"N/A",INDEX('2019'!$D$5:$D$73,MATCH(B10,'2019'!$A$5:$A$73,0)))</f>
        <v>32.734000000000002</v>
      </c>
      <c r="E10" s="59">
        <f>IF(IFERROR(INDEX('2018'!$D$5:$D$73,MATCH(B10,'2018'!$A$5:$A$73,0)),0)=0,"N/A",INDEX('2018'!$D$5:$D$73,MATCH(B10,'2018'!$A$5:$A$73,0)))</f>
        <v>31.210999999999999</v>
      </c>
      <c r="F10" s="59">
        <f>IF(IFERROR(INDEX('2017'!$D$5:$D$73,MATCH(B10,'2017'!$A$5:$A$73,0)),0)=0,"N/A",INDEX('2017'!$D$5:$D$73,MATCH(B10,'2017'!$A$5:$A$73,0)))</f>
        <v>29.608000000000001</v>
      </c>
      <c r="G10" s="67">
        <f>IF(IFERROR(INDEX('2016'!$D$5:$D$73,MATCH(B10,'2016'!$A$5:$A$73,0)),0)=0,"N/A",INDEX('2016'!$D$5:$D$73,MATCH(B10,'2016'!$A$5:$A$73,0)))</f>
        <v>29.274000000000001</v>
      </c>
      <c r="H10" s="59">
        <v>28.626999999999999</v>
      </c>
      <c r="I10" s="59">
        <v>27.667000000000002</v>
      </c>
      <c r="J10" s="59">
        <v>26.971</v>
      </c>
      <c r="K10" s="59">
        <v>27.266999999999999</v>
      </c>
      <c r="L10" s="59">
        <v>32.642000000000003</v>
      </c>
      <c r="M10" s="59">
        <v>32.155000000000001</v>
      </c>
      <c r="N10" s="59">
        <v>33.079000000000001</v>
      </c>
      <c r="O10" s="59">
        <v>32.798000000000002</v>
      </c>
      <c r="P10" s="59">
        <v>32.414999999999999</v>
      </c>
      <c r="Q10" s="59">
        <v>31.864000000000001</v>
      </c>
    </row>
    <row r="11" spans="1:18" x14ac:dyDescent="0.2">
      <c r="A11" s="59" t="s">
        <v>168</v>
      </c>
      <c r="B11" s="59" t="s">
        <v>169</v>
      </c>
      <c r="C11" s="59" t="str">
        <f>IF(IFERROR(INDEX('2020'!$D$5:$D$73,MATCH(B11,'2020'!$A$5:$A$73,0)),0)=0,"N/A",INDEX('2020'!$D$5:$D$73,MATCH(B11,'2020'!$A$5:$A$73,0)))</f>
        <v>N/A</v>
      </c>
      <c r="D11" s="59" t="str">
        <f>IF(IFERROR(INDEX('2019'!$D$5:$D$73,MATCH(B11,'2019'!$A$5:$A$73,0)),0)=0,"N/A",INDEX('2019'!$D$5:$D$73,MATCH(B11,'2019'!$A$5:$A$73,0)))</f>
        <v>N/A</v>
      </c>
      <c r="E11" s="59">
        <f>IF(IFERROR(INDEX('2018'!$D$5:$D$73,MATCH(B11,'2018'!$A$5:$A$73,0)),0)=0,"N/A",INDEX('2018'!$D$5:$D$73,MATCH(B11,'2018'!$A$5:$A$73,0)))</f>
        <v>5.7709999999999999</v>
      </c>
      <c r="F11" s="59">
        <f>IF(IFERROR(INDEX('2017'!$D$5:$D$73,MATCH(B11,'2017'!$A$5:$A$73,0)),0)=0,"N/A",INDEX('2017'!$D$5:$D$73,MATCH(B11,'2017'!$A$5:$A$73,0)))</f>
        <v>8.0459999999999994</v>
      </c>
      <c r="G11" s="67">
        <f>IF(IFERROR(INDEX('2016'!$D$5:$D$73,MATCH(B11,'2016'!$A$5:$A$73,0)),0)=0,"N/A",INDEX('2016'!$D$5:$D$73,MATCH(B11,'2016'!$A$5:$A$73,0)))</f>
        <v>10.592000000000001</v>
      </c>
      <c r="H11" s="59">
        <v>12.532999999999999</v>
      </c>
      <c r="I11" s="59">
        <v>14.021000000000001</v>
      </c>
      <c r="J11" s="59">
        <v>14.75</v>
      </c>
      <c r="K11" s="59">
        <v>15.217000000000001</v>
      </c>
      <c r="L11" s="59">
        <v>5.8680000000000003</v>
      </c>
      <c r="M11" s="59">
        <v>6.6050000000000004</v>
      </c>
      <c r="N11" s="59">
        <v>6.3239999999999998</v>
      </c>
      <c r="O11" s="59">
        <v>4.2850000000000001</v>
      </c>
      <c r="P11" s="59">
        <v>5.4249999999999998</v>
      </c>
      <c r="Q11" s="59">
        <v>3.9</v>
      </c>
    </row>
    <row r="12" spans="1:18" x14ac:dyDescent="0.2">
      <c r="A12" s="59" t="s">
        <v>170</v>
      </c>
      <c r="B12" s="59" t="s">
        <v>171</v>
      </c>
      <c r="C12" s="59" t="str">
        <f>IF(IFERROR(INDEX('2020'!$D$5:$D$73,MATCH(B12,'2020'!$A$5:$A$73,0)),0)=0,"N/A",INDEX('2020'!$D$5:$D$73,MATCH(B12,'2020'!$A$5:$A$73,0)))</f>
        <v>N/A</v>
      </c>
      <c r="D12" s="59" t="str">
        <f>IF(IFERROR(INDEX('2019'!$D$5:$D$73,MATCH(B12,'2019'!$A$5:$A$73,0)),0)=0,"N/A",INDEX('2019'!$D$5:$D$73,MATCH(B12,'2019'!$A$5:$A$73,0)))</f>
        <v>N/A</v>
      </c>
      <c r="E12" s="59">
        <f>IF(IFERROR(INDEX('2018'!$D$5:$D$73,MATCH(B12,'2018'!$A$5:$A$73,0)),0)=0,"N/A",INDEX('2018'!$D$5:$D$73,MATCH(B12,'2018'!$A$5:$A$73,0)))</f>
        <v>11.282999999999999</v>
      </c>
      <c r="F12" s="59">
        <f>IF(IFERROR(INDEX('2017'!$D$5:$D$73,MATCH(B12,'2017'!$A$5:$A$73,0)),0)=0,"N/A",INDEX('2017'!$D$5:$D$73,MATCH(B12,'2017'!$A$5:$A$73,0)))</f>
        <v>11.016</v>
      </c>
      <c r="G12" s="67">
        <f>IF(IFERROR(INDEX('2016'!$D$5:$D$73,MATCH(B12,'2016'!$A$5:$A$73,0)),0)=0,"N/A",INDEX('2016'!$D$5:$D$73,MATCH(B12,'2016'!$A$5:$A$73,0)))</f>
        <v>10.429</v>
      </c>
      <c r="H12" s="59">
        <v>9.7759999999999998</v>
      </c>
      <c r="I12" s="59">
        <v>9.2690000000000001</v>
      </c>
      <c r="J12" s="59">
        <v>8.6270000000000007</v>
      </c>
      <c r="K12" s="59">
        <v>7.899</v>
      </c>
      <c r="L12" s="59">
        <v>7.2080000000000002</v>
      </c>
      <c r="M12" s="59">
        <v>6.8090000000000002</v>
      </c>
      <c r="N12" s="59">
        <v>6.5</v>
      </c>
      <c r="O12" s="59">
        <v>6.2549999999999999</v>
      </c>
      <c r="P12" s="59">
        <v>5.8550000000000004</v>
      </c>
      <c r="Q12" s="59">
        <v>5.5720000000000001</v>
      </c>
    </row>
    <row r="13" spans="1:18" x14ac:dyDescent="0.2">
      <c r="A13" s="59" t="s">
        <v>172</v>
      </c>
      <c r="B13" s="59" t="s">
        <v>173</v>
      </c>
      <c r="C13" s="59">
        <f>IF(IFERROR(INDEX('2020'!$D$5:$D$73,MATCH(B13,'2020'!$A$5:$A$73,0)),0)=0,"N/A",INDEX('2020'!$D$5:$D$73,MATCH(B13,'2020'!$A$5:$A$73,0)))</f>
        <v>18.106999999999999</v>
      </c>
      <c r="D13" s="59">
        <f>IF(IFERROR(INDEX('2019'!$D$5:$D$73,MATCH(B13,'2019'!$A$5:$A$73,0)),0)=0,"N/A",INDEX('2019'!$D$5:$D$73,MATCH(B13,'2019'!$A$5:$A$73,0)))</f>
        <v>17.248000000000001</v>
      </c>
      <c r="E13" s="59">
        <f>IF(IFERROR(INDEX('2018'!$D$5:$D$73,MATCH(B13,'2018'!$A$5:$A$73,0)),0)=0,"N/A",INDEX('2018'!$D$5:$D$73,MATCH(B13,'2018'!$A$5:$A$73,0)))</f>
        <v>16.568000000000001</v>
      </c>
      <c r="F13" s="59">
        <f>IF(IFERROR(INDEX('2017'!$D$5:$D$73,MATCH(B13,'2017'!$A$5:$A$73,0)),0)=0,"N/A",INDEX('2017'!$D$5:$D$73,MATCH(B13,'2017'!$A$5:$A$73,0)))</f>
        <v>15.914</v>
      </c>
      <c r="G13" s="67">
        <f>IF(IFERROR(INDEX('2016'!$D$5:$D$73,MATCH(B13,'2016'!$A$5:$A$73,0)),0)=0,"N/A",INDEX('2016'!$D$5:$D$73,MATCH(B13,'2016'!$A$5:$A$73,0)))</f>
        <v>15.231999999999999</v>
      </c>
      <c r="H13" s="59">
        <v>14.609</v>
      </c>
      <c r="I13" s="59">
        <v>14.093999999999999</v>
      </c>
      <c r="J13" s="59">
        <v>13.798</v>
      </c>
      <c r="K13" s="59">
        <v>13.568</v>
      </c>
      <c r="L13" s="59">
        <v>13.122</v>
      </c>
      <c r="M13" s="59">
        <v>12.438000000000001</v>
      </c>
      <c r="N13" s="59">
        <v>12.145</v>
      </c>
      <c r="O13" s="59">
        <v>11.862</v>
      </c>
      <c r="P13" s="59">
        <v>11.662000000000001</v>
      </c>
      <c r="Q13" s="59">
        <v>10.154</v>
      </c>
    </row>
    <row r="14" spans="1:18" x14ac:dyDescent="0.2">
      <c r="A14" s="59" t="s">
        <v>174</v>
      </c>
      <c r="B14" s="59" t="s">
        <v>175</v>
      </c>
      <c r="C14" s="59">
        <f>IF(IFERROR(INDEX('2020'!$D$5:$D$73,MATCH(B14,'2020'!$A$5:$A$73,0)),0)=0,"N/A",INDEX('2020'!$D$5:$D$73,MATCH(B14,'2020'!$A$5:$A$73,0)))</f>
        <v>53.948999999999998</v>
      </c>
      <c r="D14" s="59">
        <f>IF(IFERROR(INDEX('2019'!$D$5:$D$73,MATCH(B14,'2019'!$A$5:$A$73,0)),0)=0,"N/A",INDEX('2019'!$D$5:$D$73,MATCH(B14,'2019'!$A$5:$A$73,0)))</f>
        <v>48.183999999999997</v>
      </c>
      <c r="E14" s="59">
        <f>IF(IFERROR(INDEX('2018'!$D$5:$D$73,MATCH(B14,'2018'!$A$5:$A$73,0)),0)=0,"N/A",INDEX('2018'!$D$5:$D$73,MATCH(B14,'2018'!$A$5:$A$73,0)))</f>
        <v>42.866999999999997</v>
      </c>
      <c r="F14" s="59">
        <f>IF(IFERROR(INDEX('2017'!$D$5:$D$73,MATCH(B14,'2017'!$A$5:$A$73,0)),0)=0,"N/A",INDEX('2017'!$D$5:$D$73,MATCH(B14,'2017'!$A$5:$A$73,0)))</f>
        <v>36.744</v>
      </c>
      <c r="G14" s="67">
        <f>IF(IFERROR(INDEX('2016'!$D$5:$D$73,MATCH(B14,'2016'!$A$5:$A$73,0)),0)=0,"N/A",INDEX('2016'!$D$5:$D$73,MATCH(B14,'2016'!$A$5:$A$73,0)))</f>
        <v>33.320999999999998</v>
      </c>
      <c r="H14" s="59">
        <v>31.481999999999999</v>
      </c>
      <c r="I14" s="59">
        <v>30.742999999999999</v>
      </c>
      <c r="J14" s="59">
        <v>28.469000000000001</v>
      </c>
      <c r="K14" s="59">
        <v>26.143999999999998</v>
      </c>
      <c r="L14" s="59">
        <v>24.978000000000002</v>
      </c>
      <c r="M14" s="59">
        <v>24.16</v>
      </c>
      <c r="N14" s="59">
        <v>23.518999999999998</v>
      </c>
      <c r="O14" s="59">
        <v>22.600999999999999</v>
      </c>
      <c r="P14" s="59">
        <v>22.006</v>
      </c>
      <c r="Q14" s="59">
        <v>20.163</v>
      </c>
    </row>
    <row r="15" spans="1:18" x14ac:dyDescent="0.2">
      <c r="A15" s="59" t="s">
        <v>263</v>
      </c>
      <c r="B15" s="59" t="s">
        <v>260</v>
      </c>
      <c r="C15" s="59">
        <f>IF(IFERROR(INDEX('2020'!$D$5:$D$73,MATCH(B15,'2020'!$A$5:$A$73,0)),0)=0,"N/A",INDEX('2020'!$D$5:$D$73,MATCH(B15,'2020'!$A$5:$A$73,0)))</f>
        <v>49.207999999999998</v>
      </c>
      <c r="D15" s="59">
        <f>IF(IFERROR(INDEX('2019'!$D$5:$D$73,MATCH(B15,'2019'!$A$5:$A$73,0)),0)=0,"N/A",INDEX('2019'!$D$5:$D$73,MATCH(B15,'2019'!$A$5:$A$73,0)))</f>
        <v>49.31</v>
      </c>
      <c r="E15" s="59">
        <f>IF(IFERROR(INDEX('2018'!$D$5:$D$73,MATCH(B15,'2018'!$A$5:$A$73,0)),0)=0,"N/A",INDEX('2018'!$D$5:$D$73,MATCH(B15,'2018'!$A$5:$A$73,0)))</f>
        <v>48.878999999999998</v>
      </c>
      <c r="F15" s="59">
        <f>IF(IFERROR(INDEX('2017'!$D$5:$D$73,MATCH(B15,'2017'!$A$5:$A$73,0)),0)=0,"N/A",INDEX('2017'!$D$5:$D$73,MATCH(B15,'2017'!$A$5:$A$73,0)))</f>
        <v>48.792000000000002</v>
      </c>
      <c r="G15" s="67">
        <f>IF(IFERROR(INDEX('2016'!$D$5:$D$73,MATCH(B15,'2016'!$A$5:$A$73,0)),0)=0,"N/A",INDEX('2016'!$D$5:$D$73,MATCH(B15,'2016'!$A$5:$A$73,0)))</f>
        <v>48.898000000000003</v>
      </c>
      <c r="H15" s="59">
        <v>48.737000000000002</v>
      </c>
      <c r="I15" s="67" t="s">
        <v>106</v>
      </c>
      <c r="J15" s="67" t="s">
        <v>106</v>
      </c>
      <c r="K15" s="67" t="s">
        <v>106</v>
      </c>
      <c r="L15" s="67" t="s">
        <v>106</v>
      </c>
      <c r="M15" s="67" t="s">
        <v>106</v>
      </c>
      <c r="N15" s="67" t="s">
        <v>106</v>
      </c>
      <c r="O15" s="67" t="s">
        <v>106</v>
      </c>
      <c r="P15" s="67" t="s">
        <v>106</v>
      </c>
      <c r="Q15" s="67" t="s">
        <v>106</v>
      </c>
    </row>
    <row r="16" spans="1:18" x14ac:dyDescent="0.2">
      <c r="A16" s="59" t="s">
        <v>123</v>
      </c>
      <c r="B16" s="59" t="s">
        <v>4</v>
      </c>
      <c r="C16" s="59">
        <f>IF(IFERROR(INDEX('2020'!$D$5:$D$73,MATCH(B16,'2020'!$A$5:$A$73,0)),0)=0,"N/A",INDEX('2020'!$D$5:$D$73,MATCH(B16,'2020'!$A$5:$A$73,0)))</f>
        <v>29.315000000000001</v>
      </c>
      <c r="D16" s="59">
        <f>IF(IFERROR(INDEX('2019'!$D$5:$D$73,MATCH(B16,'2019'!$A$5:$A$73,0)),0)=0,"N/A",INDEX('2019'!$D$5:$D$73,MATCH(B16,'2019'!$A$5:$A$73,0)))</f>
        <v>28.867999999999999</v>
      </c>
      <c r="E16" s="59">
        <f>IF(IFERROR(INDEX('2018'!$D$5:$D$73,MATCH(B16,'2018'!$A$5:$A$73,0)),0)=0,"N/A",INDEX('2018'!$D$5:$D$73,MATCH(B16,'2018'!$A$5:$A$73,0)))</f>
        <v>26.994</v>
      </c>
      <c r="F16" s="59">
        <f>IF(IFERROR(INDEX('2017'!$D$5:$D$73,MATCH(B16,'2017'!$A$5:$A$73,0)),0)=0,"N/A",INDEX('2017'!$D$5:$D$73,MATCH(B16,'2017'!$A$5:$A$73,0)))</f>
        <v>26.411999999999999</v>
      </c>
      <c r="G16" s="67">
        <f>IF(IFERROR(INDEX('2016'!$D$5:$D$73,MATCH(B16,'2016'!$A$5:$A$73,0)),0)=0,"N/A",INDEX('2016'!$D$5:$D$73,MATCH(B16,'2016'!$A$5:$A$73,0)))</f>
        <v>25.686</v>
      </c>
      <c r="H16" s="59">
        <v>24.532</v>
      </c>
      <c r="I16" s="59">
        <v>23.837</v>
      </c>
      <c r="J16" s="59">
        <v>21.61</v>
      </c>
      <c r="K16" s="59">
        <v>21.056999999999999</v>
      </c>
      <c r="L16" s="59">
        <v>20.295000000000002</v>
      </c>
      <c r="M16" s="59">
        <v>19.709</v>
      </c>
      <c r="N16" s="59">
        <v>19.170999999999999</v>
      </c>
      <c r="O16" s="59">
        <v>18.295999999999999</v>
      </c>
      <c r="P16" s="59">
        <v>17.274000000000001</v>
      </c>
      <c r="Q16" s="59">
        <v>17.459</v>
      </c>
    </row>
    <row r="17" spans="1:17" x14ac:dyDescent="0.2">
      <c r="A17" s="59" t="s">
        <v>124</v>
      </c>
      <c r="B17" s="59" t="s">
        <v>5</v>
      </c>
      <c r="C17" s="59">
        <f>IF(IFERROR(INDEX('2020'!$D$5:$D$73,MATCH(B17,'2020'!$A$5:$A$73,0)),0)=0,"N/A",INDEX('2020'!$D$5:$D$73,MATCH(B17,'2020'!$A$5:$A$73,0)))</f>
        <v>40.79</v>
      </c>
      <c r="D17" s="59">
        <f>IF(IFERROR(INDEX('2019'!$D$5:$D$73,MATCH(B17,'2019'!$A$5:$A$73,0)),0)=0,"N/A",INDEX('2019'!$D$5:$D$73,MATCH(B17,'2019'!$A$5:$A$73,0)))</f>
        <v>38.423000000000002</v>
      </c>
      <c r="E17" s="59">
        <f>IF(IFERROR(INDEX('2018'!$D$5:$D$73,MATCH(B17,'2018'!$A$5:$A$73,0)),0)=0,"N/A",INDEX('2018'!$D$5:$D$73,MATCH(B17,'2018'!$A$5:$A$73,0)))</f>
        <v>36.356999999999999</v>
      </c>
      <c r="F17" s="59">
        <f>IF(IFERROR(INDEX('2017'!$D$5:$D$73,MATCH(B17,'2017'!$A$5:$A$73,0)),0)=0,"N/A",INDEX('2017'!$D$5:$D$73,MATCH(B17,'2017'!$A$5:$A$73,0)))</f>
        <v>31.919</v>
      </c>
      <c r="G17" s="67">
        <f>IF(IFERROR(INDEX('2016'!$D$5:$D$73,MATCH(B17,'2016'!$A$5:$A$73,0)),0)=0,"N/A",INDEX('2016'!$D$5:$D$73,MATCH(B17,'2016'!$A$5:$A$73,0)))</f>
        <v>30.247</v>
      </c>
      <c r="H17" s="59">
        <v>28.635000000000002</v>
      </c>
      <c r="I17" s="59">
        <v>30.803000000000001</v>
      </c>
      <c r="J17" s="59">
        <v>29.388000000000002</v>
      </c>
      <c r="K17" s="59">
        <v>27.881</v>
      </c>
      <c r="L17" s="59">
        <v>27.532</v>
      </c>
      <c r="M17" s="59">
        <v>28.018999999999998</v>
      </c>
      <c r="N17" s="59">
        <v>27.838999999999999</v>
      </c>
      <c r="O17" s="59">
        <v>27.190999999999999</v>
      </c>
      <c r="P17" s="59">
        <v>25.66</v>
      </c>
      <c r="Q17" s="59">
        <v>23.675999999999998</v>
      </c>
    </row>
    <row r="18" spans="1:17" x14ac:dyDescent="0.2">
      <c r="A18" s="59" t="s">
        <v>176</v>
      </c>
      <c r="B18" s="59" t="s">
        <v>177</v>
      </c>
      <c r="C18" s="59">
        <f>IF(IFERROR(INDEX('2020'!$D$5:$D$73,MATCH(B18,'2020'!$A$5:$A$73,0)),0)=0,"N/A",INDEX('2020'!$D$5:$D$73,MATCH(B18,'2020'!$A$5:$A$73,0)))</f>
        <v>18.305</v>
      </c>
      <c r="D18" s="59">
        <f>IF(IFERROR(INDEX('2019'!$D$5:$D$73,MATCH(B18,'2019'!$A$5:$A$73,0)),0)=0,"N/A",INDEX('2019'!$D$5:$D$73,MATCH(B18,'2019'!$A$5:$A$73,0)))</f>
        <v>16.07</v>
      </c>
      <c r="E18" s="59">
        <f>IF(IFERROR(INDEX('2018'!$D$5:$D$73,MATCH(B18,'2018'!$A$5:$A$73,0)),0)=0,"N/A",INDEX('2018'!$D$5:$D$73,MATCH(B18,'2018'!$A$5:$A$73,0)))</f>
        <v>15.191000000000001</v>
      </c>
      <c r="F18" s="59">
        <f>IF(IFERROR(INDEX('2017'!$D$5:$D$73,MATCH(B18,'2017'!$A$5:$A$73,0)),0)=0,"N/A",INDEX('2017'!$D$5:$D$73,MATCH(B18,'2017'!$A$5:$A$73,0)))</f>
        <v>14.444000000000001</v>
      </c>
      <c r="G18" s="67">
        <f>IF(IFERROR(INDEX('2016'!$D$5:$D$73,MATCH(B18,'2016'!$A$5:$A$73,0)),0)=0,"N/A",INDEX('2016'!$D$5:$D$73,MATCH(B18,'2016'!$A$5:$A$73,0)))</f>
        <v>13.749000000000001</v>
      </c>
      <c r="H18" s="59">
        <v>13.413</v>
      </c>
      <c r="I18" s="59">
        <v>13.108000000000001</v>
      </c>
      <c r="J18" s="59">
        <v>12.542</v>
      </c>
      <c r="K18" s="59">
        <v>11.284000000000001</v>
      </c>
      <c r="L18" s="59">
        <v>10.757</v>
      </c>
      <c r="M18" s="59">
        <v>10.452999999999999</v>
      </c>
      <c r="N18" s="59">
        <v>10.128</v>
      </c>
      <c r="O18" s="59">
        <v>9.7219999999999995</v>
      </c>
      <c r="P18" s="59">
        <v>9.2479999999999993</v>
      </c>
      <c r="Q18" s="59">
        <v>9.0730000000000004</v>
      </c>
    </row>
    <row r="19" spans="1:17" x14ac:dyDescent="0.2">
      <c r="A19" s="59" t="s">
        <v>125</v>
      </c>
      <c r="B19" s="59" t="s">
        <v>6</v>
      </c>
      <c r="C19" s="59">
        <f>IF(IFERROR(INDEX('2020'!$D$5:$D$73,MATCH(B19,'2020'!$A$5:$A$73,0)),0)=0,"N/A",INDEX('2020'!$D$5:$D$73,MATCH(B19,'2020'!$A$5:$A$73,0)))</f>
        <v>10.784000000000001</v>
      </c>
      <c r="D19" s="59">
        <f>IF(IFERROR(INDEX('2019'!$D$5:$D$73,MATCH(B19,'2019'!$A$5:$A$73,0)),0)=0,"N/A",INDEX('2019'!$D$5:$D$73,MATCH(B19,'2019'!$A$5:$A$73,0)))</f>
        <v>13.103</v>
      </c>
      <c r="E19" s="59">
        <f>IF(IFERROR(INDEX('2018'!$D$5:$D$73,MATCH(B19,'2018'!$A$5:$A$73,0)),0)=0,"N/A",INDEX('2018'!$D$5:$D$73,MATCH(B19,'2018'!$A$5:$A$73,0)))</f>
        <v>12.53</v>
      </c>
      <c r="F19" s="59">
        <f>IF(IFERROR(INDEX('2017'!$D$5:$D$73,MATCH(B19,'2017'!$A$5:$A$73,0)),0)=0,"N/A",INDEX('2017'!$D$5:$D$73,MATCH(B19,'2017'!$A$5:$A$73,0)))</f>
        <v>10.875999999999999</v>
      </c>
      <c r="G19" s="67">
        <f>IF(IFERROR(INDEX('2016'!$D$5:$D$73,MATCH(B19,'2016'!$A$5:$A$73,0)),0)=0,"N/A",INDEX('2016'!$D$5:$D$73,MATCH(B19,'2016'!$A$5:$A$73,0)))</f>
        <v>8.0340000000000007</v>
      </c>
      <c r="H19" s="59">
        <v>8.0489999999999995</v>
      </c>
      <c r="I19" s="59">
        <v>10.601000000000001</v>
      </c>
      <c r="J19" s="59">
        <v>10.090999999999999</v>
      </c>
      <c r="K19" s="59">
        <v>10.061999999999999</v>
      </c>
      <c r="L19" s="59">
        <v>9.91</v>
      </c>
      <c r="M19" s="59">
        <v>7.53</v>
      </c>
      <c r="N19" s="59">
        <v>6.7359999999999998</v>
      </c>
      <c r="O19" s="59">
        <v>5.8860000000000001</v>
      </c>
      <c r="P19" s="59">
        <v>5.609</v>
      </c>
      <c r="Q19" s="59">
        <v>4.9610000000000003</v>
      </c>
    </row>
    <row r="20" spans="1:17" x14ac:dyDescent="0.2">
      <c r="A20" s="59" t="s">
        <v>215</v>
      </c>
      <c r="B20" s="59" t="s">
        <v>178</v>
      </c>
      <c r="C20" s="59">
        <f>IF(IFERROR(INDEX('2020'!$D$5:$D$73,MATCH(B20,'2020'!$A$5:$A$73,0)),0)=0,"N/A",INDEX('2020'!$D$5:$D$73,MATCH(B20,'2020'!$A$5:$A$73,0)))</f>
        <v>39.92</v>
      </c>
      <c r="D20" s="59">
        <f>IF(IFERROR(INDEX('2019'!$D$5:$D$73,MATCH(B20,'2019'!$A$5:$A$73,0)),0)=0,"N/A",INDEX('2019'!$D$5:$D$73,MATCH(B20,'2019'!$A$5:$A$73,0)))</f>
        <v>34.234999999999999</v>
      </c>
      <c r="E20" s="59">
        <f>IF(IFERROR(INDEX('2018'!$D$5:$D$73,MATCH(B20,'2018'!$A$5:$A$73,0)),0)=0,"N/A",INDEX('2018'!$D$5:$D$73,MATCH(B20,'2018'!$A$5:$A$73,0)))</f>
        <v>31.654</v>
      </c>
      <c r="F20" s="59">
        <f>IF(IFERROR(INDEX('2017'!$D$5:$D$73,MATCH(B20,'2017'!$A$5:$A$73,0)),0)=0,"N/A",INDEX('2017'!$D$5:$D$73,MATCH(B20,'2017'!$A$5:$A$73,0)))</f>
        <v>29.753</v>
      </c>
      <c r="G20" s="67">
        <f>IF(IFERROR(INDEX('2016'!$D$5:$D$73,MATCH(B20,'2016'!$A$5:$A$73,0)),0)=0,"N/A",INDEX('2016'!$D$5:$D$73,MATCH(B20,'2016'!$A$5:$A$73,0)))</f>
        <v>27.361000000000001</v>
      </c>
      <c r="H20" s="59">
        <v>23.452999999999999</v>
      </c>
      <c r="I20" s="59">
        <v>20.585999999999999</v>
      </c>
      <c r="J20" s="59">
        <v>19.282</v>
      </c>
      <c r="K20" s="59">
        <v>17.824000000000002</v>
      </c>
      <c r="L20" s="59">
        <v>16.777999999999999</v>
      </c>
      <c r="M20" s="59">
        <v>15.836</v>
      </c>
      <c r="N20" s="59">
        <v>14.887</v>
      </c>
      <c r="O20" s="59">
        <v>12.018000000000001</v>
      </c>
      <c r="P20" s="59">
        <v>11.762</v>
      </c>
      <c r="Q20" s="59">
        <v>11.08</v>
      </c>
    </row>
    <row r="21" spans="1:17" x14ac:dyDescent="0.2">
      <c r="A21" s="59" t="s">
        <v>126</v>
      </c>
      <c r="B21" s="59" t="s">
        <v>9</v>
      </c>
      <c r="C21" s="59">
        <f>IF(IFERROR(INDEX('2020'!$D$5:$D$73,MATCH(B21,'2020'!$A$5:$A$73,0)),0)=0,"N/A",INDEX('2020'!$D$5:$D$73,MATCH(B21,'2020'!$A$5:$A$73,0)))</f>
        <v>19.021000000000001</v>
      </c>
      <c r="D21" s="59">
        <f>IF(IFERROR(INDEX('2019'!$D$5:$D$73,MATCH(B21,'2019'!$A$5:$A$73,0)),0)=0,"N/A",INDEX('2019'!$D$5:$D$73,MATCH(B21,'2019'!$A$5:$A$73,0)))</f>
        <v>17.677</v>
      </c>
      <c r="E21" s="59">
        <f>IF(IFERROR(INDEX('2018'!$D$5:$D$73,MATCH(B21,'2018'!$A$5:$A$73,0)),0)=0,"N/A",INDEX('2018'!$D$5:$D$73,MATCH(B21,'2018'!$A$5:$A$73,0)))</f>
        <v>16.78</v>
      </c>
      <c r="F21" s="59">
        <f>IF(IFERROR(INDEX('2017'!$D$5:$D$73,MATCH(B21,'2017'!$A$5:$A$73,0)),0)=0,"N/A",INDEX('2017'!$D$5:$D$73,MATCH(B21,'2017'!$A$5:$A$73,0)))</f>
        <v>15.768000000000001</v>
      </c>
      <c r="G21" s="67">
        <f>IF(IFERROR(INDEX('2016'!$D$5:$D$73,MATCH(B21,'2016'!$A$5:$A$73,0)),0)=0,"N/A",INDEX('2016'!$D$5:$D$73,MATCH(B21,'2016'!$A$5:$A$73,0)))</f>
        <v>15.231999999999999</v>
      </c>
      <c r="H21" s="59">
        <v>14.208</v>
      </c>
      <c r="I21" s="59">
        <v>13.336</v>
      </c>
      <c r="J21" s="59">
        <v>12.98</v>
      </c>
      <c r="K21" s="59">
        <v>12.093999999999999</v>
      </c>
      <c r="L21" s="59">
        <v>11.917</v>
      </c>
      <c r="M21" s="59">
        <v>11.19</v>
      </c>
      <c r="N21" s="59">
        <v>11.417999999999999</v>
      </c>
      <c r="O21" s="59">
        <v>10.878</v>
      </c>
      <c r="P21" s="59">
        <v>9.4610000000000003</v>
      </c>
      <c r="Q21" s="59">
        <v>10.028</v>
      </c>
    </row>
    <row r="22" spans="1:17" x14ac:dyDescent="0.2">
      <c r="A22" s="59" t="s">
        <v>179</v>
      </c>
      <c r="B22" s="59" t="s">
        <v>180</v>
      </c>
      <c r="C22" s="59" t="str">
        <f>IF(IFERROR(INDEX('2020'!$D$5:$D$73,MATCH(B22,'2020'!$A$5:$A$73,0)),0)=0,"N/A",INDEX('2020'!$D$5:$D$73,MATCH(B22,'2020'!$A$5:$A$73,0)))</f>
        <v>N/A</v>
      </c>
      <c r="D22" s="59" t="str">
        <f>IF(IFERROR(INDEX('2019'!$D$5:$D$73,MATCH(B22,'2019'!$A$5:$A$73,0)),0)=0,"N/A",INDEX('2019'!$D$5:$D$73,MATCH(B22,'2019'!$A$5:$A$73,0)))</f>
        <v>N/A</v>
      </c>
      <c r="E22" s="59">
        <f>IF(IFERROR(INDEX('2018'!$D$5:$D$73,MATCH(B22,'2018'!$A$5:$A$73,0)),0)=0,"N/A",INDEX('2018'!$D$5:$D$73,MATCH(B22,'2018'!$A$5:$A$73,0)))</f>
        <v>24.402000000000001</v>
      </c>
      <c r="F22" s="59">
        <f>IF(IFERROR(INDEX('2017'!$D$5:$D$73,MATCH(B22,'2017'!$A$5:$A$73,0)),0)=0,"N/A",INDEX('2017'!$D$5:$D$73,MATCH(B22,'2017'!$A$5:$A$73,0)))</f>
        <v>24.337</v>
      </c>
      <c r="G22" s="67">
        <f>IF(IFERROR(INDEX('2016'!$D$5:$D$73,MATCH(B22,'2016'!$A$5:$A$73,0)),0)=0,"N/A",INDEX('2016'!$D$5:$D$73,MATCH(B22,'2016'!$A$5:$A$73,0)))</f>
        <v>20.983000000000001</v>
      </c>
      <c r="H22" s="59">
        <v>20.010000000000002</v>
      </c>
      <c r="I22" s="59">
        <v>18.829000000000001</v>
      </c>
      <c r="J22" s="59">
        <v>17.914999999999999</v>
      </c>
      <c r="K22" s="59">
        <v>20.946000000000002</v>
      </c>
      <c r="L22" s="59">
        <v>13.497</v>
      </c>
      <c r="M22" s="59">
        <v>13.045</v>
      </c>
      <c r="N22" s="59">
        <v>12.67</v>
      </c>
      <c r="O22" s="59">
        <v>12.233000000000001</v>
      </c>
      <c r="P22" s="59">
        <v>11.95</v>
      </c>
      <c r="Q22" s="59">
        <v>11.598000000000001</v>
      </c>
    </row>
    <row r="23" spans="1:17" x14ac:dyDescent="0.2">
      <c r="A23" s="59" t="s">
        <v>127</v>
      </c>
      <c r="B23" s="59" t="s">
        <v>10</v>
      </c>
      <c r="C23" s="59">
        <f>IF(IFERROR(INDEX('2020'!$D$5:$D$73,MATCH(B23,'2020'!$A$5:$A$73,0)),0)=0,"N/A",INDEX('2020'!$D$5:$D$73,MATCH(B23,'2020'!$A$5:$A$73,0)))</f>
        <v>55.06</v>
      </c>
      <c r="D23" s="59">
        <f>IF(IFERROR(INDEX('2019'!$D$5:$D$73,MATCH(B23,'2019'!$A$5:$A$73,0)),0)=0,"N/A",INDEX('2019'!$D$5:$D$73,MATCH(B23,'2019'!$A$5:$A$73,0)))</f>
        <v>54.18</v>
      </c>
      <c r="E23" s="59">
        <f>IF(IFERROR(INDEX('2018'!$D$5:$D$73,MATCH(B23,'2018'!$A$5:$A$73,0)),0)=0,"N/A",INDEX('2018'!$D$5:$D$73,MATCH(B23,'2018'!$A$5:$A$73,0)))</f>
        <v>52.106000000000002</v>
      </c>
      <c r="F23" s="59">
        <f>IF(IFERROR(INDEX('2017'!$D$5:$D$73,MATCH(B23,'2017'!$A$5:$A$73,0)),0)=0,"N/A",INDEX('2017'!$D$5:$D$73,MATCH(B23,'2017'!$A$5:$A$73,0)))</f>
        <v>49.734999999999999</v>
      </c>
      <c r="G23" s="67">
        <f>IF(IFERROR(INDEX('2016'!$D$5:$D$73,MATCH(B23,'2016'!$A$5:$A$73,0)),0)=0,"N/A",INDEX('2016'!$D$5:$D$73,MATCH(B23,'2016'!$A$5:$A$73,0)))</f>
        <v>46.878999999999998</v>
      </c>
      <c r="H23" s="59">
        <v>44.545999999999999</v>
      </c>
      <c r="I23" s="59">
        <v>42.94</v>
      </c>
      <c r="J23" s="59">
        <v>41.81</v>
      </c>
      <c r="K23" s="59">
        <v>40.526000000000003</v>
      </c>
      <c r="L23" s="59">
        <v>39.045999999999999</v>
      </c>
      <c r="M23" s="59">
        <v>37.93</v>
      </c>
      <c r="N23" s="59">
        <v>36.457000000000001</v>
      </c>
      <c r="O23" s="59">
        <v>35.43</v>
      </c>
      <c r="P23" s="59">
        <v>32.582000000000001</v>
      </c>
      <c r="Q23" s="59">
        <v>31.088999999999999</v>
      </c>
    </row>
    <row r="24" spans="1:17" x14ac:dyDescent="0.2">
      <c r="A24" s="59" t="s">
        <v>181</v>
      </c>
      <c r="B24" s="59" t="s">
        <v>182</v>
      </c>
      <c r="C24" s="59">
        <f>IF(IFERROR(INDEX('2020'!$D$5:$D$73,MATCH(B24,'2020'!$A$5:$A$73,0)),0)=0,"N/A",INDEX('2020'!$D$5:$D$73,MATCH(B24,'2020'!$A$5:$A$73,0)))</f>
        <v>10.624000000000001</v>
      </c>
      <c r="D24" s="59">
        <f>IF(IFERROR(INDEX('2019'!$D$5:$D$73,MATCH(B24,'2019'!$A$5:$A$73,0)),0)=0,"N/A",INDEX('2019'!$D$5:$D$73,MATCH(B24,'2019'!$A$5:$A$73,0)))</f>
        <v>10.88</v>
      </c>
      <c r="E24" s="59">
        <f>IF(IFERROR(INDEX('2018'!$D$5:$D$73,MATCH(B24,'2018'!$A$5:$A$73,0)),0)=0,"N/A",INDEX('2018'!$D$5:$D$73,MATCH(B24,'2018'!$A$5:$A$73,0)))</f>
        <v>10.342000000000001</v>
      </c>
      <c r="F24" s="59">
        <f>IF(IFERROR(INDEX('2017'!$D$5:$D$73,MATCH(B24,'2017'!$A$5:$A$73,0)),0)=0,"N/A",INDEX('2017'!$D$5:$D$73,MATCH(B24,'2017'!$A$5:$A$73,0)))</f>
        <v>9.9139999999999997</v>
      </c>
      <c r="G24" s="67">
        <f>IF(IFERROR(INDEX('2016'!$D$5:$D$73,MATCH(B24,'2016'!$A$5:$A$73,0)),0)=0,"N/A",INDEX('2016'!$D$5:$D$73,MATCH(B24,'2016'!$A$5:$A$73,0)))</f>
        <v>9.7889999999999997</v>
      </c>
      <c r="H24" s="59">
        <v>9.8109999999999999</v>
      </c>
      <c r="I24" s="59">
        <v>9.577</v>
      </c>
      <c r="J24" s="59">
        <v>9.4429999999999996</v>
      </c>
      <c r="K24" s="59">
        <v>9.1950000000000003</v>
      </c>
      <c r="L24" s="59">
        <v>8.8350000000000009</v>
      </c>
      <c r="M24" s="59">
        <v>8.6869999999999994</v>
      </c>
      <c r="N24" s="59">
        <v>8.5329999999999995</v>
      </c>
      <c r="O24" s="59">
        <v>8.3640000000000008</v>
      </c>
      <c r="P24" s="59">
        <v>8.2149999999999999</v>
      </c>
      <c r="Q24" s="59">
        <v>7.4880000000000004</v>
      </c>
    </row>
    <row r="25" spans="1:17" x14ac:dyDescent="0.2">
      <c r="A25" s="59" t="s">
        <v>183</v>
      </c>
      <c r="B25" s="59" t="s">
        <v>184</v>
      </c>
      <c r="C25" s="59" t="str">
        <f>IF(IFERROR(INDEX('2020'!$D$5:$D$73,MATCH(B25,'2020'!$A$5:$A$73,0)),0)=0,"N/A",INDEX('2020'!$D$5:$D$73,MATCH(B25,'2020'!$A$5:$A$73,0)))</f>
        <v>N/A</v>
      </c>
      <c r="D25" s="59" t="str">
        <f>IF(IFERROR(INDEX('2019'!$D$5:$D$73,MATCH(B25,'2019'!$A$5:$A$73,0)),0)=0,"N/A",INDEX('2019'!$D$5:$D$73,MATCH(B25,'2019'!$A$5:$A$73,0)))</f>
        <v>N/A</v>
      </c>
      <c r="E25" s="59" t="str">
        <f>IF(IFERROR(INDEX('2018'!$D$5:$D$73,MATCH(B25,'2018'!$A$5:$A$73,0)),0)=0,"N/A",INDEX('2018'!$D$5:$D$73,MATCH(B25,'2018'!$A$5:$A$73,0)))</f>
        <v>N/A</v>
      </c>
      <c r="F25" s="59" t="str">
        <f>IF(IFERROR(INDEX('2017'!$D$5:$D$73,MATCH(B25,'2017'!$A$5:$A$73,0)),0)=0,"N/A",INDEX('2017'!$D$5:$D$73,MATCH(B25,'2017'!$A$5:$A$73,0)))</f>
        <v>N/A</v>
      </c>
      <c r="G25" s="67">
        <f>IF(IFERROR(INDEX('2016'!$D$5:$D$73,MATCH(B25,'2016'!$A$5:$A$73,0)),0)=0,"N/A",INDEX('2016'!$D$5:$D$73,MATCH(B25,'2016'!$A$5:$A$73,0)))</f>
        <v>10.965999999999999</v>
      </c>
      <c r="H25" s="59">
        <v>10.99</v>
      </c>
      <c r="I25" s="59">
        <v>10.763</v>
      </c>
      <c r="J25" s="59">
        <v>10.198</v>
      </c>
      <c r="K25" s="59">
        <v>9.7330000000000005</v>
      </c>
      <c r="L25" s="59">
        <v>9.4719999999999995</v>
      </c>
      <c r="M25" s="59">
        <v>9.11</v>
      </c>
      <c r="N25" s="59">
        <v>8.891</v>
      </c>
      <c r="O25" s="59">
        <v>8.7379999999999995</v>
      </c>
      <c r="P25" s="59">
        <v>8.3040000000000003</v>
      </c>
      <c r="Q25" s="59">
        <v>8.0790000000000006</v>
      </c>
    </row>
    <row r="26" spans="1:17" x14ac:dyDescent="0.2">
      <c r="A26" s="59" t="s">
        <v>128</v>
      </c>
      <c r="B26" s="59" t="s">
        <v>11</v>
      </c>
      <c r="C26" s="59">
        <f>IF(IFERROR(INDEX('2020'!$D$5:$D$73,MATCH(B26,'2020'!$A$5:$A$73,0)),0)=0,"N/A",INDEX('2020'!$D$5:$D$73,MATCH(B26,'2020'!$A$5:$A$73,0)))</f>
        <v>29.442</v>
      </c>
      <c r="D26" s="59">
        <f>IF(IFERROR(INDEX('2019'!$D$5:$D$73,MATCH(B26,'2019'!$A$5:$A$73,0)),0)=0,"N/A",INDEX('2019'!$D$5:$D$73,MATCH(B26,'2019'!$A$5:$A$73,0)))</f>
        <v>35.331000000000003</v>
      </c>
      <c r="E26" s="59">
        <f>IF(IFERROR(INDEX('2018'!$D$5:$D$73,MATCH(B26,'2018'!$A$5:$A$73,0)),0)=0,"N/A",INDEX('2018'!$D$5:$D$73,MATCH(B26,'2018'!$A$5:$A$73,0)))</f>
        <v>29.53</v>
      </c>
      <c r="F26" s="59">
        <f>IF(IFERROR(INDEX('2017'!$D$5:$D$73,MATCH(B26,'2017'!$A$5:$A$73,0)),0)=0,"N/A",INDEX('2017'!$D$5:$D$73,MATCH(B26,'2017'!$A$5:$A$73,0)))</f>
        <v>26.593</v>
      </c>
      <c r="G26" s="67">
        <f>IF(IFERROR(INDEX('2016'!$D$5:$D$73,MATCH(B26,'2016'!$A$5:$A$73,0)),0)=0,"N/A",INDEX('2016'!$D$5:$D$73,MATCH(B26,'2016'!$A$5:$A$73,0)))</f>
        <v>23.263999999999999</v>
      </c>
      <c r="H26" s="59">
        <v>21.238</v>
      </c>
      <c r="I26" s="59">
        <v>19.742000000000001</v>
      </c>
      <c r="J26" s="59">
        <v>20.021000000000001</v>
      </c>
      <c r="K26" s="59">
        <v>18.344000000000001</v>
      </c>
      <c r="L26" s="59">
        <v>20.091000000000001</v>
      </c>
      <c r="M26" s="59">
        <v>20.655999999999999</v>
      </c>
      <c r="N26" s="59">
        <v>18.66</v>
      </c>
      <c r="O26" s="59">
        <v>17.279</v>
      </c>
      <c r="P26" s="59">
        <v>16.306999999999999</v>
      </c>
      <c r="Q26" s="59">
        <v>18.5</v>
      </c>
    </row>
    <row r="27" spans="1:17" x14ac:dyDescent="0.2">
      <c r="A27" s="59" t="s">
        <v>129</v>
      </c>
      <c r="B27" s="59" t="s">
        <v>12</v>
      </c>
      <c r="C27" s="59">
        <f>IF(IFERROR(INDEX('2020'!$D$5:$D$73,MATCH(B27,'2020'!$A$5:$A$73,0)),0)=0,"N/A",INDEX('2020'!$D$5:$D$73,MATCH(B27,'2020'!$A$5:$A$73,0)))</f>
        <v>64.122</v>
      </c>
      <c r="D27" s="59">
        <f>IF(IFERROR(INDEX('2019'!$D$5:$D$73,MATCH(B27,'2019'!$A$5:$A$73,0)),0)=0,"N/A",INDEX('2019'!$D$5:$D$73,MATCH(B27,'2019'!$A$5:$A$73,0)))</f>
        <v>60.725999999999999</v>
      </c>
      <c r="E27" s="59">
        <f>IF(IFERROR(INDEX('2018'!$D$5:$D$73,MATCH(B27,'2018'!$A$5:$A$73,0)),0)=0,"N/A",INDEX('2018'!$D$5:$D$73,MATCH(B27,'2018'!$A$5:$A$73,0)))</f>
        <v>56.27</v>
      </c>
      <c r="F27" s="59">
        <f>IF(IFERROR(INDEX('2017'!$D$5:$D$73,MATCH(B27,'2017'!$A$5:$A$73,0)),0)=0,"N/A",INDEX('2017'!$D$5:$D$73,MATCH(B27,'2017'!$A$5:$A$73,0)))</f>
        <v>53.024999999999999</v>
      </c>
      <c r="G27" s="67">
        <f>IF(IFERROR(INDEX('2016'!$D$5:$D$73,MATCH(B27,'2016'!$A$5:$A$73,0)),0)=0,"N/A",INDEX('2016'!$D$5:$D$73,MATCH(B27,'2016'!$A$5:$A$73,0)))</f>
        <v>50.219000000000001</v>
      </c>
      <c r="H27" s="59">
        <v>48.877000000000002</v>
      </c>
      <c r="I27" s="59">
        <v>47.048000000000002</v>
      </c>
      <c r="J27" s="59">
        <v>44.728999999999999</v>
      </c>
      <c r="K27" s="59">
        <v>42.779000000000003</v>
      </c>
      <c r="L27" s="59">
        <v>41.412999999999997</v>
      </c>
      <c r="M27" s="59">
        <v>39.674999999999997</v>
      </c>
      <c r="N27" s="59">
        <v>37.956000000000003</v>
      </c>
      <c r="O27" s="59">
        <v>36.774999999999999</v>
      </c>
      <c r="P27" s="59">
        <v>35.856999999999999</v>
      </c>
      <c r="Q27" s="59">
        <v>33.018999999999998</v>
      </c>
    </row>
    <row r="28" spans="1:17" x14ac:dyDescent="0.2">
      <c r="A28" s="59" t="s">
        <v>130</v>
      </c>
      <c r="B28" s="59" t="s">
        <v>13</v>
      </c>
      <c r="C28" s="59">
        <f>IF(IFERROR(INDEX('2020'!$D$5:$D$73,MATCH(B28,'2020'!$A$5:$A$73,0)),0)=0,"N/A",INDEX('2020'!$D$5:$D$73,MATCH(B28,'2020'!$A$5:$A$73,0)))</f>
        <v>59.820999999999998</v>
      </c>
      <c r="D28" s="59">
        <f>IF(IFERROR(INDEX('2019'!$D$5:$D$73,MATCH(B28,'2019'!$A$5:$A$73,0)),0)=0,"N/A",INDEX('2019'!$D$5:$D$73,MATCH(B28,'2019'!$A$5:$A$73,0)))</f>
        <v>61.201000000000001</v>
      </c>
      <c r="E28" s="59">
        <f>IF(IFERROR(INDEX('2018'!$D$5:$D$73,MATCH(B28,'2018'!$A$5:$A$73,0)),0)=0,"N/A",INDEX('2018'!$D$5:$D$73,MATCH(B28,'2018'!$A$5:$A$73,0)))</f>
        <v>60.271000000000001</v>
      </c>
      <c r="F28" s="59">
        <f>IF(IFERROR(INDEX('2017'!$D$5:$D$73,MATCH(B28,'2017'!$A$5:$A$73,0)),0)=0,"N/A",INDEX('2017'!$D$5:$D$73,MATCH(B28,'2017'!$A$5:$A$73,0)))</f>
        <v>59.627000000000002</v>
      </c>
      <c r="G28" s="67">
        <f>IF(IFERROR(INDEX('2016'!$D$5:$D$73,MATCH(B28,'2016'!$A$5:$A$73,0)),0)=0,"N/A",INDEX('2016'!$D$5:$D$73,MATCH(B28,'2016'!$A$5:$A$73,0)))</f>
        <v>58.619</v>
      </c>
      <c r="H28" s="59">
        <v>57.743000000000002</v>
      </c>
      <c r="I28" s="59">
        <v>57.814999999999998</v>
      </c>
      <c r="J28" s="59">
        <v>58.540999999999997</v>
      </c>
      <c r="K28" s="59">
        <v>58.043999999999997</v>
      </c>
      <c r="L28" s="59">
        <v>51.14</v>
      </c>
      <c r="M28" s="59">
        <v>50.844999999999999</v>
      </c>
      <c r="N28" s="59">
        <v>49.851999999999997</v>
      </c>
      <c r="O28" s="59">
        <v>49.505000000000003</v>
      </c>
      <c r="P28" s="59">
        <v>50.399000000000001</v>
      </c>
      <c r="Q28" s="59">
        <v>62.302</v>
      </c>
    </row>
    <row r="29" spans="1:17" x14ac:dyDescent="0.2">
      <c r="A29" s="59" t="s">
        <v>131</v>
      </c>
      <c r="B29" s="59" t="s">
        <v>14</v>
      </c>
      <c r="C29" s="59">
        <f>IF(IFERROR(INDEX('2020'!$D$5:$D$73,MATCH(B29,'2020'!$A$5:$A$73,0)),0)=0,"N/A",INDEX('2020'!$D$5:$D$73,MATCH(B29,'2020'!$A$5:$A$73,0)))</f>
        <v>37.075000000000003</v>
      </c>
      <c r="D29" s="59">
        <f>IF(IFERROR(INDEX('2019'!$D$5:$D$73,MATCH(B29,'2019'!$A$5:$A$73,0)),0)=0,"N/A",INDEX('2019'!$D$5:$D$73,MATCH(B29,'2019'!$A$5:$A$73,0)))</f>
        <v>36.75</v>
      </c>
      <c r="E29" s="59">
        <f>IF(IFERROR(INDEX('2018'!$D$5:$D$73,MATCH(B29,'2018'!$A$5:$A$73,0)),0)=0,"N/A",INDEX('2018'!$D$5:$D$73,MATCH(B29,'2018'!$A$5:$A$73,0)))</f>
        <v>32.100999999999999</v>
      </c>
      <c r="F29" s="59">
        <f>IF(IFERROR(INDEX('2017'!$D$5:$D$73,MATCH(B29,'2017'!$A$5:$A$73,0)),0)=0,"N/A",INDEX('2017'!$D$5:$D$73,MATCH(B29,'2017'!$A$5:$A$73,0)))</f>
        <v>35.820999999999998</v>
      </c>
      <c r="G29" s="67">
        <f>IF(IFERROR(INDEX('2016'!$D$5:$D$73,MATCH(B29,'2016'!$A$5:$A$73,0)),0)=0,"N/A",INDEX('2016'!$D$5:$D$73,MATCH(B29,'2016'!$A$5:$A$73,0)))</f>
        <v>36.819000000000003</v>
      </c>
      <c r="H29" s="59">
        <v>34.890999999999998</v>
      </c>
      <c r="I29" s="59">
        <v>33.639000000000003</v>
      </c>
      <c r="J29" s="59">
        <v>30.501999999999999</v>
      </c>
      <c r="K29" s="59">
        <v>28.949000000000002</v>
      </c>
      <c r="L29" s="59">
        <v>30.861000000000001</v>
      </c>
      <c r="M29" s="59">
        <v>32.442</v>
      </c>
      <c r="N29" s="59">
        <v>30.204999999999998</v>
      </c>
      <c r="O29" s="59">
        <v>29.21</v>
      </c>
      <c r="P29" s="59">
        <v>25.917000000000002</v>
      </c>
      <c r="Q29" s="59">
        <v>23.661000000000001</v>
      </c>
    </row>
    <row r="30" spans="1:17" x14ac:dyDescent="0.2">
      <c r="A30" s="59" t="s">
        <v>132</v>
      </c>
      <c r="B30" s="59" t="s">
        <v>15</v>
      </c>
      <c r="C30" s="59" t="str">
        <f>IF(IFERROR(INDEX('2020'!$D$5:$D$73,MATCH(B30,'2020'!$A$5:$A$73,0)),0)=0,"N/A",INDEX('2020'!$D$5:$D$73,MATCH(B30,'2020'!$A$5:$A$73,0)))</f>
        <v>N/A</v>
      </c>
      <c r="D30" s="59" t="str">
        <f>IF(IFERROR(INDEX('2019'!$D$5:$D$73,MATCH(B30,'2019'!$A$5:$A$73,0)),0)=0,"N/A",INDEX('2019'!$D$5:$D$73,MATCH(B30,'2019'!$A$5:$A$73,0)))</f>
        <v>N/A</v>
      </c>
      <c r="E30" s="59">
        <f>IF(IFERROR(INDEX('2018'!$D$5:$D$73,MATCH(B30,'2018'!$A$5:$A$73,0)),0)=0,"N/A",INDEX('2018'!$D$5:$D$73,MATCH(B30,'2018'!$A$5:$A$73,0)))</f>
        <v>28.614999999999998</v>
      </c>
      <c r="F30" s="59">
        <f>IF(IFERROR(INDEX('2017'!$D$5:$D$73,MATCH(B30,'2017'!$A$5:$A$73,0)),0)=0,"N/A",INDEX('2017'!$D$5:$D$73,MATCH(B30,'2017'!$A$5:$A$73,0)))</f>
        <v>28.143000000000001</v>
      </c>
      <c r="G30" s="67">
        <f>IF(IFERROR(INDEX('2016'!$D$5:$D$73,MATCH(B30,'2016'!$A$5:$A$73,0)),0)=0,"N/A",INDEX('2016'!$D$5:$D$73,MATCH(B30,'2016'!$A$5:$A$73,0)))</f>
        <v>26.516999999999999</v>
      </c>
      <c r="H30" s="59">
        <v>25.135000000000002</v>
      </c>
      <c r="I30" s="59">
        <v>24.388999999999999</v>
      </c>
      <c r="J30" s="59">
        <v>23.44</v>
      </c>
      <c r="K30" s="59">
        <v>20.567</v>
      </c>
      <c r="L30" s="59">
        <v>19.026</v>
      </c>
      <c r="M30" s="59">
        <v>19.036000000000001</v>
      </c>
      <c r="N30" s="59">
        <v>16.454000000000001</v>
      </c>
      <c r="O30" s="59">
        <v>15.467000000000001</v>
      </c>
      <c r="P30" s="59">
        <v>14.760999999999999</v>
      </c>
      <c r="Q30" s="59">
        <v>12.603</v>
      </c>
    </row>
    <row r="31" spans="1:17" x14ac:dyDescent="0.2">
      <c r="A31" s="59" t="s">
        <v>133</v>
      </c>
      <c r="B31" s="59" t="s">
        <v>16</v>
      </c>
      <c r="C31" s="59" t="str">
        <f>IF(IFERROR(INDEX('2020'!$D$5:$D$73,MATCH(B31,'2020'!$A$5:$A$73,0)),0)=0,"N/A",INDEX('2020'!$D$5:$D$73,MATCH(B31,'2020'!$A$5:$A$73,0)))</f>
        <v>N/A</v>
      </c>
      <c r="D31" s="59" t="str">
        <f>IF(IFERROR(INDEX('2019'!$D$5:$D$73,MATCH(B31,'2019'!$A$5:$A$73,0)),0)=0,"N/A",INDEX('2019'!$D$5:$D$73,MATCH(B31,'2019'!$A$5:$A$73,0)))</f>
        <v>N/A</v>
      </c>
      <c r="E31" s="59" t="str">
        <f>IF(IFERROR(INDEX('2018'!$D$5:$D$73,MATCH(B31,'2018'!$A$5:$A$73,0)),0)=0,"N/A",INDEX('2018'!$D$5:$D$73,MATCH(B31,'2018'!$A$5:$A$73,0)))</f>
        <v>N/A</v>
      </c>
      <c r="F31" s="59" t="str">
        <f>IF(IFERROR(INDEX('2017'!$D$5:$D$73,MATCH(B31,'2017'!$A$5:$A$73,0)),0)=0,"N/A",INDEX('2017'!$D$5:$D$73,MATCH(B31,'2017'!$A$5:$A$73,0)))</f>
        <v>N/A</v>
      </c>
      <c r="G31" s="67" t="str">
        <f>IF(IFERROR(INDEX('2016'!$D$5:$D$73,MATCH(B31,'2016'!$A$5:$A$73,0)),0)=0,"N/A",INDEX('2016'!$D$5:$D$73,MATCH(B31,'2016'!$A$5:$A$73,0)))</f>
        <v>N/A</v>
      </c>
      <c r="H31" s="59">
        <v>18.318999999999999</v>
      </c>
      <c r="I31" s="59">
        <v>18.015000000000001</v>
      </c>
      <c r="J31" s="59">
        <v>17.427</v>
      </c>
      <c r="K31" s="59">
        <v>16.896000000000001</v>
      </c>
      <c r="L31" s="59">
        <v>16.532</v>
      </c>
      <c r="M31" s="59">
        <v>15.817</v>
      </c>
      <c r="N31" s="59">
        <v>15.747</v>
      </c>
      <c r="O31" s="59">
        <v>15.563000000000001</v>
      </c>
      <c r="P31" s="59">
        <v>16.044</v>
      </c>
      <c r="Q31" s="59">
        <v>15.491</v>
      </c>
    </row>
    <row r="32" spans="1:17" x14ac:dyDescent="0.2">
      <c r="A32" s="59" t="s">
        <v>134</v>
      </c>
      <c r="B32" s="59" t="s">
        <v>17</v>
      </c>
      <c r="C32" s="59">
        <f>IF(IFERROR(INDEX('2020'!$D$5:$D$73,MATCH(B32,'2020'!$A$5:$A$73,0)),0)=0,"N/A",INDEX('2020'!$D$5:$D$73,MATCH(B32,'2020'!$A$5:$A$73,0)))</f>
        <v>54.564</v>
      </c>
      <c r="D32" s="59">
        <f>IF(IFERROR(INDEX('2019'!$D$5:$D$73,MATCH(B32,'2019'!$A$5:$A$73,0)),0)=0,"N/A",INDEX('2019'!$D$5:$D$73,MATCH(B32,'2019'!$A$5:$A$73,0)))</f>
        <v>51.337000000000003</v>
      </c>
      <c r="E32" s="59">
        <f>IF(IFERROR(INDEX('2018'!$D$5:$D$73,MATCH(B32,'2018'!$A$5:$A$73,0)),0)=0,"N/A",INDEX('2018'!$D$5:$D$73,MATCH(B32,'2018'!$A$5:$A$73,0)))</f>
        <v>46.780999999999999</v>
      </c>
      <c r="F32" s="59">
        <f>IF(IFERROR(INDEX('2017'!$D$5:$D$73,MATCH(B32,'2017'!$A$5:$A$73,0)),0)=0,"N/A",INDEX('2017'!$D$5:$D$73,MATCH(B32,'2017'!$A$5:$A$73,0)))</f>
        <v>44.276000000000003</v>
      </c>
      <c r="G32" s="67">
        <f>IF(IFERROR(INDEX('2016'!$D$5:$D$73,MATCH(B32,'2016'!$A$5:$A$73,0)),0)=0,"N/A",INDEX('2016'!$D$5:$D$73,MATCH(B32,'2016'!$A$5:$A$73,0)))</f>
        <v>45.116999999999997</v>
      </c>
      <c r="H32" s="59">
        <v>51.890999999999998</v>
      </c>
      <c r="I32" s="59">
        <v>55.834000000000003</v>
      </c>
      <c r="J32" s="59">
        <v>54.002000000000002</v>
      </c>
      <c r="K32" s="59">
        <v>51.725000000000001</v>
      </c>
      <c r="L32" s="59">
        <v>50.814</v>
      </c>
      <c r="M32" s="59">
        <v>47.533000000000001</v>
      </c>
      <c r="N32" s="59">
        <v>45.545000000000002</v>
      </c>
      <c r="O32" s="59">
        <v>42.070999999999998</v>
      </c>
      <c r="P32" s="59">
        <v>40.713999999999999</v>
      </c>
      <c r="Q32" s="59">
        <v>40.450000000000003</v>
      </c>
    </row>
    <row r="33" spans="1:17" x14ac:dyDescent="0.2">
      <c r="A33" s="59" t="s">
        <v>210</v>
      </c>
      <c r="B33" s="59" t="s">
        <v>211</v>
      </c>
      <c r="C33" s="59">
        <f>IF(IFERROR(INDEX('2020'!$D$5:$D$73,MATCH(B33,'2020'!$A$5:$A$73,0)),0)=0,"N/A",INDEX('2020'!$D$5:$D$73,MATCH(B33,'2020'!$A$5:$A$73,0)))</f>
        <v>41.006999999999998</v>
      </c>
      <c r="D33" s="59">
        <f>IF(IFERROR(INDEX('2019'!$D$5:$D$73,MATCH(B33,'2019'!$A$5:$A$73,0)),0)=0,"N/A",INDEX('2019'!$D$5:$D$73,MATCH(B33,'2019'!$A$5:$A$73,0)))</f>
        <v>38.286999999999999</v>
      </c>
      <c r="E33" s="59">
        <f>IF(IFERROR(INDEX('2018'!$D$5:$D$73,MATCH(B33,'2018'!$A$5:$A$73,0)),0)=0,"N/A",INDEX('2018'!$D$5:$D$73,MATCH(B33,'2018'!$A$5:$A$73,0)))</f>
        <v>36.249000000000002</v>
      </c>
      <c r="F33" s="59">
        <f>IF(IFERROR(INDEX('2017'!$D$5:$D$73,MATCH(B33,'2017'!$A$5:$A$73,0)),0)=0,"N/A",INDEX('2017'!$D$5:$D$73,MATCH(B33,'2017'!$A$5:$A$73,0)))</f>
        <v>34.984999999999999</v>
      </c>
      <c r="G33" s="67">
        <f>IF(IFERROR(INDEX('2016'!$D$5:$D$73,MATCH(B33,'2016'!$A$5:$A$73,0)),0)=0,"N/A",INDEX('2016'!$D$5:$D$73,MATCH(B33,'2016'!$A$5:$A$73,0)))</f>
        <v>33.802999999999997</v>
      </c>
      <c r="H33" s="59">
        <v>32.637</v>
      </c>
      <c r="I33" s="59">
        <v>31.474</v>
      </c>
      <c r="J33" s="59">
        <v>30.486000000000001</v>
      </c>
      <c r="K33" s="59">
        <v>29.411999999999999</v>
      </c>
      <c r="L33" s="59">
        <v>22.65</v>
      </c>
      <c r="M33" s="59">
        <v>21.599</v>
      </c>
      <c r="N33" s="59">
        <v>20.373000000000001</v>
      </c>
      <c r="O33" s="59">
        <v>19.382000000000001</v>
      </c>
      <c r="P33" s="59">
        <v>18.652000000000001</v>
      </c>
      <c r="Q33" s="59">
        <v>18.143000000000001</v>
      </c>
    </row>
    <row r="34" spans="1:17" x14ac:dyDescent="0.2">
      <c r="A34" s="59" t="s">
        <v>135</v>
      </c>
      <c r="B34" s="59" t="s">
        <v>18</v>
      </c>
      <c r="C34" s="59">
        <f>IF(IFERROR(INDEX('2020'!$D$5:$D$73,MATCH(B34,'2020'!$A$5:$A$73,0)),0)=0,"N/A",INDEX('2020'!$D$5:$D$73,MATCH(B34,'2020'!$A$5:$A$73,0)))</f>
        <v>33.386000000000003</v>
      </c>
      <c r="D34" s="59">
        <f>IF(IFERROR(INDEX('2019'!$D$5:$D$73,MATCH(B34,'2019'!$A$5:$A$73,0)),0)=0,"N/A",INDEX('2019'!$D$5:$D$73,MATCH(B34,'2019'!$A$5:$A$73,0)))</f>
        <v>33.118000000000002</v>
      </c>
      <c r="E34" s="59">
        <f>IF(IFERROR(INDEX('2018'!$D$5:$D$73,MATCH(B34,'2018'!$A$5:$A$73,0)),0)=0,"N/A",INDEX('2018'!$D$5:$D$73,MATCH(B34,'2018'!$A$5:$A$73,0)))</f>
        <v>31.774999999999999</v>
      </c>
      <c r="F34" s="59">
        <f>IF(IFERROR(INDEX('2017'!$D$5:$D$73,MATCH(B34,'2017'!$A$5:$A$73,0)),0)=0,"N/A",INDEX('2017'!$D$5:$D$73,MATCH(B34,'2017'!$A$5:$A$73,0)))</f>
        <v>30.992999999999999</v>
      </c>
      <c r="G34" s="67">
        <f>IF(IFERROR(INDEX('2016'!$D$5:$D$73,MATCH(B34,'2016'!$A$5:$A$73,0)),0)=0,"N/A",INDEX('2016'!$D$5:$D$73,MATCH(B34,'2016'!$A$5:$A$73,0)))</f>
        <v>27.960999999999999</v>
      </c>
      <c r="H34" s="59">
        <v>28.038</v>
      </c>
      <c r="I34" s="59">
        <v>26.292999999999999</v>
      </c>
      <c r="J34" s="59">
        <v>26.515999999999998</v>
      </c>
      <c r="K34" s="59">
        <v>25.071999999999999</v>
      </c>
      <c r="L34" s="59">
        <v>21.684999999999999</v>
      </c>
      <c r="M34" s="59">
        <v>20.488</v>
      </c>
      <c r="N34" s="59">
        <v>19.158999999999999</v>
      </c>
      <c r="O34" s="59">
        <v>16.785</v>
      </c>
      <c r="P34" s="59">
        <v>15.339</v>
      </c>
      <c r="Q34" s="59">
        <v>14.888</v>
      </c>
    </row>
    <row r="35" spans="1:17" x14ac:dyDescent="0.2">
      <c r="A35" s="59" t="s">
        <v>136</v>
      </c>
      <c r="B35" s="59" t="s">
        <v>19</v>
      </c>
      <c r="C35" s="59">
        <f>IF(IFERROR(INDEX('2020'!$D$5:$D$73,MATCH(B35,'2020'!$A$5:$A$73,0)),0)=0,"N/A",INDEX('2020'!$D$5:$D$73,MATCH(B35,'2020'!$A$5:$A$73,0)))</f>
        <v>13.324999999999999</v>
      </c>
      <c r="D35" s="59">
        <f>IF(IFERROR(INDEX('2019'!$D$5:$D$73,MATCH(B35,'2019'!$A$5:$A$73,0)),0)=0,"N/A",INDEX('2019'!$D$5:$D$73,MATCH(B35,'2019'!$A$5:$A$73,0)))</f>
        <v>12.901</v>
      </c>
      <c r="E35" s="59">
        <f>IF(IFERROR(INDEX('2018'!$D$5:$D$73,MATCH(B35,'2018'!$A$5:$A$73,0)),0)=0,"N/A",INDEX('2018'!$D$5:$D$73,MATCH(B35,'2018'!$A$5:$A$73,0)))</f>
        <v>13.172000000000001</v>
      </c>
      <c r="F35" s="59">
        <f>IF(IFERROR(INDEX('2017'!$D$5:$D$73,MATCH(B35,'2017'!$A$5:$A$73,0)),0)=0,"N/A",INDEX('2017'!$D$5:$D$73,MATCH(B35,'2017'!$A$5:$A$73,0)))</f>
        <v>8.8140000000000001</v>
      </c>
      <c r="G35" s="67">
        <f>IF(IFERROR(INDEX('2016'!$D$5:$D$73,MATCH(B35,'2016'!$A$5:$A$73,0)),0)=0,"N/A",INDEX('2016'!$D$5:$D$73,MATCH(B35,'2016'!$A$5:$A$73,0)))</f>
        <v>14.109</v>
      </c>
      <c r="H35" s="59">
        <v>29.324999999999999</v>
      </c>
      <c r="I35" s="59">
        <v>29.494</v>
      </c>
      <c r="J35" s="59">
        <v>30.318000000000001</v>
      </c>
      <c r="K35" s="59">
        <v>31.285</v>
      </c>
      <c r="L35" s="59">
        <v>31.754000000000001</v>
      </c>
      <c r="M35" s="59">
        <v>28.032</v>
      </c>
      <c r="N35" s="59">
        <v>28.077000000000002</v>
      </c>
      <c r="O35" s="59">
        <v>27.172000000000001</v>
      </c>
      <c r="P35" s="59">
        <v>29.449000000000002</v>
      </c>
      <c r="Q35" s="59">
        <v>28.305</v>
      </c>
    </row>
    <row r="36" spans="1:17" x14ac:dyDescent="0.2">
      <c r="A36" s="59" t="s">
        <v>265</v>
      </c>
      <c r="B36" s="59" t="s">
        <v>266</v>
      </c>
      <c r="C36" s="59">
        <f>IF(IFERROR(INDEX('2020'!$D$5:$D$73,MATCH(B36,'2020'!$A$5:$A$73,0)),0)=0,"N/A",INDEX('2020'!$D$5:$D$73,MATCH(B36,'2020'!$A$5:$A$73,0)))</f>
        <v>36.576999999999998</v>
      </c>
      <c r="D36" s="59">
        <f>IF(IFERROR(INDEX('2019'!$D$5:$D$73,MATCH(B36,'2019'!$A$5:$A$73,0)),0)=0,"N/A",INDEX('2019'!$D$5:$D$73,MATCH(B36,'2019'!$A$5:$A$73,0)))</f>
        <v>36.494999999999997</v>
      </c>
      <c r="E36" s="59">
        <f>IF(IFERROR(INDEX('2018'!$D$5:$D$73,MATCH(B36,'2018'!$A$5:$A$73,0)),0)=0,"N/A",INDEX('2018'!$D$5:$D$73,MATCH(B36,'2018'!$A$5:$A$73,0)))</f>
        <v>34.795999999999999</v>
      </c>
      <c r="F36" s="59">
        <f>IF(IFERROR(INDEX('2017'!$D$5:$D$73,MATCH(B36,'2017'!$A$5:$A$73,0)),0)=0,"N/A",INDEX('2017'!$D$5:$D$73,MATCH(B36,'2017'!$A$5:$A$73,0)))</f>
        <v>31.774000000000001</v>
      </c>
      <c r="G36" s="67">
        <f>IF(IFERROR(INDEX('2016'!$D$5:$D$73,MATCH(B36,'2016'!$A$5:$A$73,0)),0)=0,"N/A",INDEX('2016'!$D$5:$D$73,MATCH(B36,'2016'!$A$5:$A$73,0)))</f>
        <v>32.314999999999998</v>
      </c>
      <c r="H36" s="59">
        <v>28.626000000000001</v>
      </c>
      <c r="I36" s="59">
        <v>24.895</v>
      </c>
      <c r="J36" s="59">
        <v>22.385999999999999</v>
      </c>
      <c r="K36" s="59">
        <v>20.838999999999999</v>
      </c>
      <c r="L36" s="59">
        <v>20.532</v>
      </c>
      <c r="M36" s="59">
        <v>18.951000000000001</v>
      </c>
      <c r="N36" s="59">
        <v>18.568999999999999</v>
      </c>
      <c r="O36" s="59">
        <v>18.003</v>
      </c>
      <c r="P36" s="59">
        <v>16.724</v>
      </c>
      <c r="Q36" s="59">
        <v>12.255000000000001</v>
      </c>
    </row>
    <row r="37" spans="1:17" x14ac:dyDescent="0.2">
      <c r="A37" s="59" t="s">
        <v>185</v>
      </c>
      <c r="B37" s="59" t="s">
        <v>186</v>
      </c>
      <c r="C37" s="59" t="str">
        <f>IF(IFERROR(INDEX('2020'!$D$5:$D$73,MATCH(B37,'2020'!$A$5:$A$73,0)),0)=0,"N/A",INDEX('2020'!$D$5:$D$73,MATCH(B37,'2020'!$A$5:$A$73,0)))</f>
        <v>N/A</v>
      </c>
      <c r="D37" s="59" t="str">
        <f>IF(IFERROR(INDEX('2019'!$D$5:$D$73,MATCH(B37,'2019'!$A$5:$A$73,0)),0)=0,"N/A",INDEX('2019'!$D$5:$D$73,MATCH(B37,'2019'!$A$5:$A$73,0)))</f>
        <v>N/A</v>
      </c>
      <c r="E37" s="59" t="str">
        <f>IF(IFERROR(INDEX('2018'!$D$5:$D$73,MATCH(B37,'2018'!$A$5:$A$73,0)),0)=0,"N/A",INDEX('2018'!$D$5:$D$73,MATCH(B37,'2018'!$A$5:$A$73,0)))</f>
        <v>N/A</v>
      </c>
      <c r="F37" s="59" t="str">
        <f>IF(IFERROR(INDEX('2017'!$D$5:$D$73,MATCH(B37,'2017'!$A$5:$A$73,0)),0)=0,"N/A",INDEX('2017'!$D$5:$D$73,MATCH(B37,'2017'!$A$5:$A$73,0)))</f>
        <v>N/A</v>
      </c>
      <c r="G37" s="67">
        <f>IF(IFERROR(INDEX('2016'!$D$5:$D$73,MATCH(B37,'2016'!$A$5:$A$73,0)),0)=0,"N/A",INDEX('2016'!$D$5:$D$73,MATCH(B37,'2016'!$A$5:$A$73,0)))</f>
        <v>8.8360000000000003</v>
      </c>
      <c r="H37" s="59">
        <v>9.09</v>
      </c>
      <c r="I37" s="59">
        <v>9.1829999999999998</v>
      </c>
      <c r="J37" s="59">
        <v>9.327</v>
      </c>
      <c r="K37" s="59">
        <v>9.1210000000000004</v>
      </c>
      <c r="L37" s="59">
        <v>9.17</v>
      </c>
      <c r="M37" s="59">
        <v>9.0429999999999993</v>
      </c>
      <c r="N37" s="59">
        <v>8.1590000000000007</v>
      </c>
      <c r="O37" s="59">
        <v>7.0490000000000004</v>
      </c>
      <c r="P37" s="59">
        <v>5.1989999999999998</v>
      </c>
      <c r="Q37" s="59">
        <v>4.3540000000000001</v>
      </c>
    </row>
    <row r="38" spans="1:17" x14ac:dyDescent="0.2">
      <c r="A38" s="59" t="s">
        <v>137</v>
      </c>
      <c r="B38" s="59" t="s">
        <v>20</v>
      </c>
      <c r="C38" s="59" t="str">
        <f>IF(IFERROR(INDEX('2020'!$D$5:$D$73,MATCH(B38,'2020'!$A$5:$A$73,0)),0)=0,"N/A",INDEX('2020'!$D$5:$D$73,MATCH(B38,'2020'!$A$5:$A$73,0)))</f>
        <v>N/A</v>
      </c>
      <c r="D38" s="59" t="str">
        <f>IF(IFERROR(INDEX('2019'!$D$5:$D$73,MATCH(B38,'2019'!$A$5:$A$73,0)),0)=0,"N/A",INDEX('2019'!$D$5:$D$73,MATCH(B38,'2019'!$A$5:$A$73,0)))</f>
        <v>N/A</v>
      </c>
      <c r="E38" s="59" t="str">
        <f>IF(IFERROR(INDEX('2018'!$D$5:$D$73,MATCH(B38,'2018'!$A$5:$A$73,0)),0)=0,"N/A",INDEX('2018'!$D$5:$D$73,MATCH(B38,'2018'!$A$5:$A$73,0)))</f>
        <v>N/A</v>
      </c>
      <c r="F38" s="59">
        <f>IF(IFERROR(INDEX('2017'!$D$5:$D$73,MATCH(B38,'2017'!$A$5:$A$73,0)),0)=0,"N/A",INDEX('2017'!$D$5:$D$73,MATCH(B38,'2017'!$A$5:$A$73,0)))</f>
        <v>23.02</v>
      </c>
      <c r="G38" s="67">
        <f>IF(IFERROR(INDEX('2016'!$D$5:$D$73,MATCH(B38,'2016'!$A$5:$A$73,0)),0)=0,"N/A",INDEX('2016'!$D$5:$D$73,MATCH(B38,'2016'!$A$5:$A$73,0)))</f>
        <v>24.731000000000002</v>
      </c>
      <c r="H38" s="59">
        <v>23.681000000000001</v>
      </c>
      <c r="I38" s="59">
        <v>23.262</v>
      </c>
      <c r="J38" s="59">
        <v>22.581</v>
      </c>
      <c r="K38" s="59">
        <v>21.754999999999999</v>
      </c>
      <c r="L38" s="59">
        <v>21.741</v>
      </c>
      <c r="M38" s="59">
        <v>21.265000000000001</v>
      </c>
      <c r="N38" s="59">
        <v>20.620999999999999</v>
      </c>
      <c r="O38" s="59">
        <v>21.388000000000002</v>
      </c>
      <c r="P38" s="59">
        <v>18.181999999999999</v>
      </c>
      <c r="Q38" s="59">
        <v>16.701000000000001</v>
      </c>
    </row>
    <row r="39" spans="1:17" x14ac:dyDescent="0.2">
      <c r="A39" s="59" t="s">
        <v>138</v>
      </c>
      <c r="B39" s="59" t="s">
        <v>21</v>
      </c>
      <c r="C39" s="59">
        <f>IF(IFERROR(INDEX('2020'!$D$5:$D$73,MATCH(B39,'2020'!$A$5:$A$73,0)),0)=0,"N/A",INDEX('2020'!$D$5:$D$73,MATCH(B39,'2020'!$A$5:$A$73,0)))</f>
        <v>21.408999999999999</v>
      </c>
      <c r="D39" s="59">
        <f>IF(IFERROR(INDEX('2019'!$D$5:$D$73,MATCH(B39,'2019'!$A$5:$A$73,0)),0)=0,"N/A",INDEX('2019'!$D$5:$D$73,MATCH(B39,'2019'!$A$5:$A$73,0)))</f>
        <v>20.925000000000001</v>
      </c>
      <c r="E39" s="59">
        <f>IF(IFERROR(INDEX('2018'!$D$5:$D$73,MATCH(B39,'2018'!$A$5:$A$73,0)),0)=0,"N/A",INDEX('2018'!$D$5:$D$73,MATCH(B39,'2018'!$A$5:$A$73,0)))</f>
        <v>19.859000000000002</v>
      </c>
      <c r="F39" s="59">
        <f>IF(IFERROR(INDEX('2017'!$D$5:$D$73,MATCH(B39,'2017'!$A$5:$A$73,0)),0)=0,"N/A",INDEX('2017'!$D$5:$D$73,MATCH(B39,'2017'!$A$5:$A$73,0)))</f>
        <v>19.28</v>
      </c>
      <c r="G39" s="67">
        <f>IF(IFERROR(INDEX('2016'!$D$5:$D$73,MATCH(B39,'2016'!$A$5:$A$73,0)),0)=0,"N/A",INDEX('2016'!$D$5:$D$73,MATCH(B39,'2016'!$A$5:$A$73,0)))</f>
        <v>19.033999999999999</v>
      </c>
      <c r="H39" s="59">
        <v>17.937999999999999</v>
      </c>
      <c r="I39" s="59">
        <v>17.466000000000001</v>
      </c>
      <c r="J39" s="59">
        <v>17.056000000000001</v>
      </c>
      <c r="K39" s="59">
        <v>16.276</v>
      </c>
      <c r="L39" s="59">
        <v>15.951000000000001</v>
      </c>
      <c r="M39" s="59">
        <v>15.667999999999999</v>
      </c>
      <c r="N39" s="59">
        <v>15.582000000000001</v>
      </c>
      <c r="O39" s="59">
        <v>15.35</v>
      </c>
      <c r="P39" s="59">
        <v>15.287000000000001</v>
      </c>
      <c r="Q39" s="59">
        <v>13.445</v>
      </c>
    </row>
    <row r="40" spans="1:17" x14ac:dyDescent="0.2">
      <c r="A40" s="59" t="s">
        <v>216</v>
      </c>
      <c r="B40" s="59" t="s">
        <v>22</v>
      </c>
      <c r="C40" s="59">
        <f>IF(IFERROR(INDEX('2020'!$D$5:$D$73,MATCH(B40,'2020'!$A$5:$A$73,0)),0)=0,"N/A",INDEX('2020'!$D$5:$D$73,MATCH(B40,'2020'!$A$5:$A$73,0)))</f>
        <v>50.731000000000002</v>
      </c>
      <c r="D40" s="59">
        <f>IF(IFERROR(INDEX('2019'!$D$5:$D$73,MATCH(B40,'2019'!$A$5:$A$73,0)),0)=0,"N/A",INDEX('2019'!$D$5:$D$73,MATCH(B40,'2019'!$A$5:$A$73,0)))</f>
        <v>48.881999999999998</v>
      </c>
      <c r="E40" s="59">
        <f>IF(IFERROR(INDEX('2018'!$D$5:$D$73,MATCH(B40,'2018'!$A$5:$A$73,0)),0)=0,"N/A",INDEX('2018'!$D$5:$D$73,MATCH(B40,'2018'!$A$5:$A$73,0)))</f>
        <v>47.012</v>
      </c>
      <c r="F40" s="59">
        <f>IF(IFERROR(INDEX('2017'!$D$5:$D$73,MATCH(B40,'2017'!$A$5:$A$73,0)),0)=0,"N/A",INDEX('2017'!$D$5:$D$73,MATCH(B40,'2017'!$A$5:$A$73,0)))</f>
        <v>44.652999999999999</v>
      </c>
      <c r="G40" s="67">
        <f>IF(IFERROR(INDEX('2016'!$D$5:$D$73,MATCH(B40,'2016'!$A$5:$A$73,0)),0)=0,"N/A",INDEX('2016'!$D$5:$D$73,MATCH(B40,'2016'!$A$5:$A$73,0)))</f>
        <v>42.738999999999997</v>
      </c>
      <c r="H40" s="59">
        <v>40.878999999999998</v>
      </c>
      <c r="I40" s="59">
        <v>38.853999999999999</v>
      </c>
      <c r="J40" s="59">
        <v>36.841999999999999</v>
      </c>
      <c r="K40" s="59">
        <v>35.064999999999998</v>
      </c>
      <c r="L40" s="59">
        <v>33.185000000000002</v>
      </c>
      <c r="M40" s="59">
        <v>31.010999999999999</v>
      </c>
      <c r="N40" s="59">
        <v>29.173999999999999</v>
      </c>
      <c r="O40" s="59">
        <v>27.759</v>
      </c>
      <c r="P40" s="59">
        <v>26.792000000000002</v>
      </c>
      <c r="Q40" s="59">
        <v>25.765999999999998</v>
      </c>
    </row>
    <row r="41" spans="1:17" x14ac:dyDescent="0.2">
      <c r="A41" s="59" t="s">
        <v>139</v>
      </c>
      <c r="B41" s="59" t="s">
        <v>25</v>
      </c>
      <c r="C41" s="59">
        <f>IF(IFERROR(INDEX('2020'!$D$5:$D$73,MATCH(B41,'2020'!$A$5:$A$73,0)),0)=0,"N/A",INDEX('2020'!$D$5:$D$73,MATCH(B41,'2020'!$A$5:$A$73,0)))</f>
        <v>26.989000000000001</v>
      </c>
      <c r="D41" s="59">
        <f>IF(IFERROR(INDEX('2019'!$D$5:$D$73,MATCH(B41,'2019'!$A$5:$A$73,0)),0)=0,"N/A",INDEX('2019'!$D$5:$D$73,MATCH(B41,'2019'!$A$5:$A$73,0)))</f>
        <v>24.681999999999999</v>
      </c>
      <c r="E41" s="59">
        <f>IF(IFERROR(INDEX('2018'!$D$5:$D$73,MATCH(B41,'2018'!$A$5:$A$73,0)),0)=0,"N/A",INDEX('2018'!$D$5:$D$73,MATCH(B41,'2018'!$A$5:$A$73,0)))</f>
        <v>23.556000000000001</v>
      </c>
      <c r="F41" s="59">
        <f>IF(IFERROR(INDEX('2017'!$D$5:$D$73,MATCH(B41,'2017'!$A$5:$A$73,0)),0)=0,"N/A",INDEX('2017'!$D$5:$D$73,MATCH(B41,'2017'!$A$5:$A$73,0)))</f>
        <v>22.446999999999999</v>
      </c>
      <c r="G41" s="67">
        <f>IF(IFERROR(INDEX('2016'!$D$5:$D$73,MATCH(B41,'2016'!$A$5:$A$73,0)),0)=0,"N/A",INDEX('2016'!$D$5:$D$73,MATCH(B41,'2016'!$A$5:$A$73,0)))</f>
        <v>20.885999999999999</v>
      </c>
      <c r="H41" s="59">
        <v>19.916</v>
      </c>
      <c r="I41" s="59">
        <v>19.02</v>
      </c>
      <c r="J41" s="59">
        <v>17.812000000000001</v>
      </c>
      <c r="K41" s="59">
        <v>16.712</v>
      </c>
      <c r="L41" s="59">
        <v>15.89</v>
      </c>
      <c r="M41" s="59">
        <v>15.144</v>
      </c>
      <c r="N41" s="59">
        <v>14.473000000000001</v>
      </c>
      <c r="O41" s="59">
        <v>13.917999999999999</v>
      </c>
      <c r="P41" s="59">
        <v>12.99</v>
      </c>
      <c r="Q41" s="59">
        <v>11.929</v>
      </c>
    </row>
    <row r="42" spans="1:17" x14ac:dyDescent="0.2">
      <c r="A42" s="59" t="s">
        <v>187</v>
      </c>
      <c r="B42" s="59" t="s">
        <v>188</v>
      </c>
      <c r="C42" s="59">
        <f>IF(IFERROR(INDEX('2020'!$D$5:$D$73,MATCH(B42,'2020'!$A$5:$A$73,0)),0)=0,"N/A",INDEX('2020'!$D$5:$D$73,MATCH(B42,'2020'!$A$5:$A$73,0)))</f>
        <v>19.814</v>
      </c>
      <c r="D42" s="59">
        <f>IF(IFERROR(INDEX('2019'!$D$5:$D$73,MATCH(B42,'2019'!$A$5:$A$73,0)),0)=0,"N/A",INDEX('2019'!$D$5:$D$73,MATCH(B42,'2019'!$A$5:$A$73,0)))</f>
        <v>18.571999999999999</v>
      </c>
      <c r="E42" s="59">
        <f>IF(IFERROR(INDEX('2018'!$D$5:$D$73,MATCH(B42,'2018'!$A$5:$A$73,0)),0)=0,"N/A",INDEX('2018'!$D$5:$D$73,MATCH(B42,'2018'!$A$5:$A$73,0)))</f>
        <v>15.167</v>
      </c>
      <c r="F42" s="59">
        <f>IF(IFERROR(INDEX('2017'!$D$5:$D$73,MATCH(B42,'2017'!$A$5:$A$73,0)),0)=0,"N/A",INDEX('2017'!$D$5:$D$73,MATCH(B42,'2017'!$A$5:$A$73,0)))</f>
        <v>14.015000000000001</v>
      </c>
      <c r="G42" s="67">
        <f>IF(IFERROR(INDEX('2016'!$D$5:$D$73,MATCH(B42,'2016'!$A$5:$A$73,0)),0)=0,"N/A",INDEX('2016'!$D$5:$D$73,MATCH(B42,'2016'!$A$5:$A$73,0)))</f>
        <v>13.404</v>
      </c>
      <c r="H42" s="59">
        <v>12.739000000000001</v>
      </c>
      <c r="I42" s="59">
        <v>12.236000000000001</v>
      </c>
      <c r="J42" s="59">
        <v>11.824</v>
      </c>
      <c r="K42" s="59">
        <v>11.484</v>
      </c>
      <c r="L42" s="59">
        <v>11.27</v>
      </c>
      <c r="M42" s="59">
        <v>11.132</v>
      </c>
      <c r="N42" s="59">
        <v>10.329000000000001</v>
      </c>
      <c r="O42" s="59">
        <v>10.029</v>
      </c>
      <c r="P42" s="59">
        <v>10.054</v>
      </c>
      <c r="Q42" s="59">
        <v>9.5220000000000002</v>
      </c>
    </row>
    <row r="43" spans="1:17" x14ac:dyDescent="0.2">
      <c r="A43" s="59" t="s">
        <v>189</v>
      </c>
      <c r="B43" s="59" t="s">
        <v>190</v>
      </c>
      <c r="C43" s="59">
        <f>IF(IFERROR(INDEX('2020'!$D$5:$D$73,MATCH(B43,'2020'!$A$5:$A$73,0)),0)=0,"N/A",INDEX('2020'!$D$5:$D$73,MATCH(B43,'2020'!$A$5:$A$73,0)))</f>
        <v>19.254999999999999</v>
      </c>
      <c r="D43" s="59">
        <f>IF(IFERROR(INDEX('2019'!$D$5:$D$73,MATCH(B43,'2019'!$A$5:$A$73,0)),0)=0,"N/A",INDEX('2019'!$D$5:$D$73,MATCH(B43,'2019'!$A$5:$A$73,0)))</f>
        <v>17.369</v>
      </c>
      <c r="E43" s="59">
        <f>IF(IFERROR(INDEX('2018'!$D$5:$D$73,MATCH(B43,'2018'!$A$5:$A$73,0)),0)=0,"N/A",INDEX('2018'!$D$5:$D$73,MATCH(B43,'2018'!$A$5:$A$73,0)))</f>
        <v>16.181999999999999</v>
      </c>
      <c r="F43" s="59">
        <f>IF(IFERROR(INDEX('2017'!$D$5:$D$73,MATCH(B43,'2017'!$A$5:$A$73,0)),0)=0,"N/A",INDEX('2017'!$D$5:$D$73,MATCH(B43,'2017'!$A$5:$A$73,0)))</f>
        <v>14.326000000000001</v>
      </c>
      <c r="G43" s="67">
        <f>IF(IFERROR(INDEX('2016'!$D$5:$D$73,MATCH(B43,'2016'!$A$5:$A$73,0)),0)=0,"N/A",INDEX('2016'!$D$5:$D$73,MATCH(B43,'2016'!$A$5:$A$73,0)))</f>
        <v>13.583</v>
      </c>
      <c r="H43" s="59">
        <v>12.994999999999999</v>
      </c>
      <c r="I43" s="59">
        <v>11.475</v>
      </c>
      <c r="J43" s="59">
        <v>10.651</v>
      </c>
      <c r="K43" s="59">
        <v>9.7989999999999995</v>
      </c>
      <c r="L43" s="59">
        <v>9.3650000000000002</v>
      </c>
      <c r="M43" s="59">
        <v>8.81</v>
      </c>
      <c r="N43" s="59">
        <v>8.2929999999999993</v>
      </c>
      <c r="O43" s="59">
        <v>8.6419999999999995</v>
      </c>
      <c r="P43" s="59">
        <v>7.7480000000000002</v>
      </c>
      <c r="Q43" s="59">
        <v>7.5010000000000003</v>
      </c>
    </row>
    <row r="44" spans="1:17" x14ac:dyDescent="0.2">
      <c r="A44" s="59" t="s">
        <v>140</v>
      </c>
      <c r="B44" s="59" t="s">
        <v>141</v>
      </c>
      <c r="C44" s="59">
        <f>IF(IFERROR(INDEX('2020'!$D$5:$D$73,MATCH(B44,'2020'!$A$5:$A$73,0)),0)=0,"N/A",INDEX('2020'!$D$5:$D$73,MATCH(B44,'2020'!$A$5:$A$73,0)))</f>
        <v>18.629000000000001</v>
      </c>
      <c r="D44" s="59">
        <f>IF(IFERROR(INDEX('2019'!$D$5:$D$73,MATCH(B44,'2019'!$A$5:$A$73,0)),0)=0,"N/A",INDEX('2019'!$D$5:$D$73,MATCH(B44,'2019'!$A$5:$A$73,0)))</f>
        <v>18.919</v>
      </c>
      <c r="E44" s="59">
        <v>17.86</v>
      </c>
      <c r="F44" s="59">
        <v>14.97</v>
      </c>
      <c r="G44" s="67">
        <v>13</v>
      </c>
      <c r="H44" s="59">
        <v>12.24</v>
      </c>
      <c r="I44" s="59">
        <v>11.24</v>
      </c>
      <c r="J44" s="59">
        <v>10.37</v>
      </c>
      <c r="K44" s="59">
        <v>9.4700000000000006</v>
      </c>
      <c r="L44" s="59">
        <v>8.98</v>
      </c>
      <c r="M44" s="59">
        <v>8.59</v>
      </c>
      <c r="N44" s="59">
        <v>7.84</v>
      </c>
      <c r="O44" s="59">
        <v>7.14</v>
      </c>
      <c r="P44" s="59">
        <v>6.59</v>
      </c>
      <c r="Q44" s="59">
        <v>6.12</v>
      </c>
    </row>
    <row r="45" spans="1:17" x14ac:dyDescent="0.2">
      <c r="A45" s="59" t="s">
        <v>142</v>
      </c>
      <c r="B45" s="59" t="s">
        <v>26</v>
      </c>
      <c r="C45" s="59">
        <f>IF(IFERROR(INDEX('2020'!$D$5:$D$73,MATCH(B45,'2020'!$A$5:$A$73,0)),0)=0,"N/A",INDEX('2020'!$D$5:$D$73,MATCH(B45,'2020'!$A$5:$A$73,0)))</f>
        <v>12.654999999999999</v>
      </c>
      <c r="D45" s="59">
        <f>IF(IFERROR(INDEX('2019'!$D$5:$D$73,MATCH(B45,'2019'!$A$5:$A$73,0)),0)=0,"N/A",INDEX('2019'!$D$5:$D$73,MATCH(B45,'2019'!$A$5:$A$73,0)))</f>
        <v>13.364000000000001</v>
      </c>
      <c r="E45" s="59">
        <f>IF(IFERROR(INDEX('2018'!$D$5:$D$73,MATCH(B45,'2018'!$A$5:$A$73,0)),0)=0,"N/A",INDEX('2018'!$D$5:$D$73,MATCH(B45,'2018'!$A$5:$A$73,0)))</f>
        <v>13.081</v>
      </c>
      <c r="F45" s="59">
        <f>IF(IFERROR(INDEX('2017'!$D$5:$D$73,MATCH(B45,'2017'!$A$5:$A$73,0)),0)=0,"N/A",INDEX('2017'!$D$5:$D$73,MATCH(B45,'2017'!$A$5:$A$73,0)))</f>
        <v>12.819000000000001</v>
      </c>
      <c r="G45" s="67">
        <f>IF(IFERROR(INDEX('2016'!$D$5:$D$73,MATCH(B45,'2016'!$A$5:$A$73,0)),0)=0,"N/A",INDEX('2016'!$D$5:$D$73,MATCH(B45,'2016'!$A$5:$A$73,0)))</f>
        <v>12.598000000000001</v>
      </c>
      <c r="H45" s="59">
        <v>12.044</v>
      </c>
      <c r="I45" s="59">
        <v>19.54</v>
      </c>
      <c r="J45" s="59">
        <v>18.766999999999999</v>
      </c>
      <c r="K45" s="59">
        <v>17.901</v>
      </c>
      <c r="L45" s="59">
        <v>17.71</v>
      </c>
      <c r="M45" s="59">
        <v>17.626999999999999</v>
      </c>
      <c r="N45" s="59">
        <v>17.536999999999999</v>
      </c>
      <c r="O45" s="59">
        <v>17.242000000000001</v>
      </c>
      <c r="P45" s="59">
        <v>18.515999999999998</v>
      </c>
      <c r="Q45" s="59">
        <v>18.321000000000002</v>
      </c>
    </row>
    <row r="46" spans="1:17" x14ac:dyDescent="0.2">
      <c r="A46" s="59" t="s">
        <v>191</v>
      </c>
      <c r="B46" s="59" t="s">
        <v>192</v>
      </c>
      <c r="C46" s="59">
        <f>IF(IFERROR(INDEX('2020'!$D$5:$D$73,MATCH(B46,'2020'!$A$5:$A$73,0)),0)=0,"N/A",INDEX('2020'!$D$5:$D$73,MATCH(B46,'2020'!$A$5:$A$73,0)))</f>
        <v>29.053999999999998</v>
      </c>
      <c r="D46" s="59">
        <f>IF(IFERROR(INDEX('2019'!$D$5:$D$73,MATCH(B46,'2019'!$A$5:$A$73,0)),0)=0,"N/A",INDEX('2019'!$D$5:$D$73,MATCH(B46,'2019'!$A$5:$A$73,0)))</f>
        <v>28.419</v>
      </c>
      <c r="E46" s="59">
        <f>IF(IFERROR(INDEX('2018'!$D$5:$D$73,MATCH(B46,'2018'!$A$5:$A$73,0)),0)=0,"N/A",INDEX('2018'!$D$5:$D$73,MATCH(B46,'2018'!$A$5:$A$73,0)))</f>
        <v>26.407</v>
      </c>
      <c r="F46" s="59">
        <f>IF(IFERROR(INDEX('2017'!$D$5:$D$73,MATCH(B46,'2017'!$A$5:$A$73,0)),0)=0,"N/A",INDEX('2017'!$D$5:$D$73,MATCH(B46,'2017'!$A$5:$A$73,0)))</f>
        <v>25.847999999999999</v>
      </c>
      <c r="G46" s="67">
        <f>IF(IFERROR(INDEX('2016'!$D$5:$D$73,MATCH(B46,'2016'!$A$5:$A$73,0)),0)=0,"N/A",INDEX('2016'!$D$5:$D$73,MATCH(B46,'2016'!$A$5:$A$73,0)))</f>
        <v>29.706</v>
      </c>
      <c r="H46" s="59">
        <v>28.475000000000001</v>
      </c>
      <c r="I46" s="59">
        <v>28.123000000000001</v>
      </c>
      <c r="J46" s="59">
        <v>27.77</v>
      </c>
      <c r="K46" s="59">
        <v>27.233000000000001</v>
      </c>
      <c r="L46" s="59">
        <v>26.704000000000001</v>
      </c>
      <c r="M46" s="59">
        <v>26.08</v>
      </c>
      <c r="N46" s="59">
        <v>24.879000000000001</v>
      </c>
      <c r="O46" s="59">
        <v>23.710999999999999</v>
      </c>
      <c r="P46" s="59">
        <v>22.521999999999998</v>
      </c>
      <c r="Q46" s="59">
        <v>22.010999999999999</v>
      </c>
    </row>
    <row r="47" spans="1:17" x14ac:dyDescent="0.2">
      <c r="A47" s="59" t="s">
        <v>143</v>
      </c>
      <c r="B47" s="59" t="s">
        <v>144</v>
      </c>
      <c r="C47" s="59">
        <f>IF(IFERROR(INDEX('2020'!$D$5:$D$73,MATCH(B47,'2020'!$A$5:$A$73,0)),0)=0,"N/A",INDEX('2020'!$D$5:$D$73,MATCH(B47,'2020'!$A$5:$A$73,0)))</f>
        <v>41.098999999999997</v>
      </c>
      <c r="D47" s="59">
        <f>IF(IFERROR(INDEX('2019'!$D$5:$D$73,MATCH(B47,'2019'!$A$5:$A$73,0)),0)=0,"N/A",INDEX('2019'!$D$5:$D$73,MATCH(B47,'2019'!$A$5:$A$73,0)))</f>
        <v>40.415999999999997</v>
      </c>
      <c r="E47" s="59">
        <f>IF(IFERROR(INDEX('2018'!$D$5:$D$73,MATCH(B47,'2018'!$A$5:$A$73,0)),0)=0,"N/A",INDEX('2018'!$D$5:$D$73,MATCH(B47,'2018'!$A$5:$A$73,0)))</f>
        <v>38.597999999999999</v>
      </c>
      <c r="F47" s="59">
        <f>IF(IFERROR(INDEX('2017'!$D$5:$D$73,MATCH(B47,'2017'!$A$5:$A$73,0)),0)=0,"N/A",INDEX('2017'!$D$5:$D$73,MATCH(B47,'2017'!$A$5:$A$73,0)))</f>
        <v>36.436</v>
      </c>
      <c r="G47" s="67">
        <f>IF(IFERROR(INDEX('2016'!$D$5:$D$73,MATCH(B47,'2016'!$A$5:$A$73,0)),0)=0,"N/A",INDEX('2016'!$D$5:$D$73,MATCH(B47,'2016'!$A$5:$A$73,0)))</f>
        <v>34.682000000000002</v>
      </c>
      <c r="H47" s="59">
        <v>33.218000000000004</v>
      </c>
      <c r="I47" s="59">
        <v>31.498999999999999</v>
      </c>
      <c r="J47" s="59">
        <v>26.600999999999999</v>
      </c>
      <c r="K47" s="59">
        <v>25.094000000000001</v>
      </c>
      <c r="L47" s="59">
        <v>23.681000000000001</v>
      </c>
      <c r="M47" s="59">
        <v>22.643000000000001</v>
      </c>
      <c r="N47" s="59">
        <v>21.86</v>
      </c>
      <c r="O47" s="59">
        <v>21.251000000000001</v>
      </c>
      <c r="P47" s="59">
        <v>21.119</v>
      </c>
      <c r="Q47" s="59">
        <v>20.651</v>
      </c>
    </row>
    <row r="48" spans="1:17" x14ac:dyDescent="0.2">
      <c r="A48" s="59" t="s">
        <v>145</v>
      </c>
      <c r="B48" s="59" t="s">
        <v>27</v>
      </c>
      <c r="C48" s="59">
        <f>IF(IFERROR(INDEX('2020'!$D$5:$D$73,MATCH(B48,'2020'!$A$5:$A$73,0)),0)=0,"N/A",INDEX('2020'!$D$5:$D$73,MATCH(B48,'2020'!$A$5:$A$73,0)))</f>
        <v>18.149999999999999</v>
      </c>
      <c r="D48" s="59">
        <f>IF(IFERROR(INDEX('2019'!$D$5:$D$73,MATCH(B48,'2019'!$A$5:$A$73,0)),0)=0,"N/A",INDEX('2019'!$D$5:$D$73,MATCH(B48,'2019'!$A$5:$A$73,0)))</f>
        <v>20.687000000000001</v>
      </c>
      <c r="E48" s="59">
        <f>IF(IFERROR(INDEX('2018'!$D$5:$D$73,MATCH(B48,'2018'!$A$5:$A$73,0)),0)=0,"N/A",INDEX('2018'!$D$5:$D$73,MATCH(B48,'2018'!$A$5:$A$73,0)))</f>
        <v>20.056000000000001</v>
      </c>
      <c r="F48" s="59">
        <f>IF(IFERROR(INDEX('2017'!$D$5:$D$73,MATCH(B48,'2017'!$A$5:$A$73,0)),0)=0,"N/A",INDEX('2017'!$D$5:$D$73,MATCH(B48,'2017'!$A$5:$A$73,0)))</f>
        <v>19.283999999999999</v>
      </c>
      <c r="G48" s="67">
        <f>IF(IFERROR(INDEX('2016'!$D$5:$D$73,MATCH(B48,'2016'!$A$5:$A$73,0)),0)=0,"N/A",INDEX('2016'!$D$5:$D$73,MATCH(B48,'2016'!$A$5:$A$73,0)))</f>
        <v>17.245000000000001</v>
      </c>
      <c r="H48" s="59">
        <v>16.655000000000001</v>
      </c>
      <c r="I48" s="59">
        <v>16.271000000000001</v>
      </c>
      <c r="J48" s="59">
        <v>15.3</v>
      </c>
      <c r="K48" s="59">
        <v>14.004</v>
      </c>
      <c r="L48" s="59">
        <v>13.065</v>
      </c>
      <c r="M48" s="59">
        <v>11.73</v>
      </c>
      <c r="N48" s="59">
        <v>10.52</v>
      </c>
      <c r="O48" s="59">
        <v>10.143000000000001</v>
      </c>
      <c r="P48" s="59">
        <v>9.1549999999999994</v>
      </c>
      <c r="Q48" s="59">
        <v>8.7929999999999993</v>
      </c>
    </row>
    <row r="49" spans="1:17" x14ac:dyDescent="0.2">
      <c r="A49" s="59" t="s">
        <v>348</v>
      </c>
      <c r="B49" s="59" t="s">
        <v>345</v>
      </c>
      <c r="C49" s="59">
        <f>IF(IFERROR(INDEX('2020'!$D$5:$D$73,MATCH(B49,'2020'!$A$5:$A$73,0)),0)=0,"N/A",INDEX('2020'!$D$5:$D$73,MATCH(B49,'2020'!$A$5:$A$73,0)))</f>
        <v>42.006</v>
      </c>
      <c r="D49" s="59">
        <f>IF(IFERROR(INDEX('2019'!$D$5:$D$73,MATCH(B49,'2019'!$A$5:$A$73,0)),0)=0,"N/A",INDEX('2019'!$D$5:$D$73,MATCH(B49,'2019'!$A$5:$A$73,0)))</f>
        <v>40.350999999999999</v>
      </c>
      <c r="E49" s="59">
        <f>IF(IFERROR(INDEX('2018'!$D$5:$D$73,MATCH(B49,'2018'!$A$5:$A$73,0)),0)=0,"N/A",INDEX('2018'!$D$5:$D$73,MATCH(B49,'2018'!$A$5:$A$73,0)))</f>
        <v>38.86</v>
      </c>
      <c r="F49" s="59">
        <f>IF(IFERROR(INDEX('2017'!$D$5:$D$73,MATCH(B49,'2017'!$A$5:$A$73,0)),0)=0,"N/A",INDEX('2017'!$D$5:$D$73,MATCH(B49,'2017'!$A$5:$A$73,0)))</f>
        <v>37.470999999999997</v>
      </c>
      <c r="G49" s="67">
        <f>IF(IFERROR(INDEX('2016'!$D$5:$D$73,MATCH(B49,'2016'!$A$5:$A$73,0)),0)=0,"N/A",INDEX('2016'!$D$5:$D$73,MATCH(B49,'2016'!$A$5:$A$73,0)))</f>
        <v>36.116999999999997</v>
      </c>
      <c r="H49" s="59">
        <v>35.238999999999997</v>
      </c>
      <c r="I49" s="59">
        <v>34.445</v>
      </c>
    </row>
    <row r="50" spans="1:17" x14ac:dyDescent="0.2">
      <c r="A50" s="59" t="s">
        <v>146</v>
      </c>
      <c r="B50" s="59" t="s">
        <v>28</v>
      </c>
      <c r="C50" s="59">
        <f>IF(IFERROR(INDEX('2020'!$D$5:$D$73,MATCH(B50,'2020'!$A$5:$A$73,0)),0)=0,"N/A",INDEX('2020'!$D$5:$D$73,MATCH(B50,'2020'!$A$5:$A$73,0)))</f>
        <v>21.001999999999999</v>
      </c>
      <c r="D50" s="59">
        <f>IF(IFERROR(INDEX('2019'!$D$5:$D$73,MATCH(B50,'2019'!$A$5:$A$73,0)),0)=0,"N/A",INDEX('2019'!$D$5:$D$73,MATCH(B50,'2019'!$A$5:$A$73,0)))</f>
        <v>19.46</v>
      </c>
      <c r="E50" s="59">
        <f>IF(IFERROR(INDEX('2018'!$D$5:$D$73,MATCH(B50,'2018'!$A$5:$A$73,0)),0)=0,"N/A",INDEX('2018'!$D$5:$D$73,MATCH(B50,'2018'!$A$5:$A$73,0)))</f>
        <v>18.376000000000001</v>
      </c>
      <c r="F50" s="59">
        <f>IF(IFERROR(INDEX('2017'!$D$5:$D$73,MATCH(B50,'2017'!$A$5:$A$73,0)),0)=0,"N/A",INDEX('2017'!$D$5:$D$73,MATCH(B50,'2017'!$A$5:$A$73,0)))</f>
        <v>17.617000000000001</v>
      </c>
      <c r="G50" s="67">
        <f>IF(IFERROR(INDEX('2016'!$D$5:$D$73,MATCH(B50,'2016'!$A$5:$A$73,0)),0)=0,"N/A",INDEX('2016'!$D$5:$D$73,MATCH(B50,'2016'!$A$5:$A$73,0)))</f>
        <v>17.03</v>
      </c>
      <c r="H50" s="59">
        <v>15.981999999999999</v>
      </c>
      <c r="I50" s="59">
        <v>15.388999999999999</v>
      </c>
      <c r="J50" s="59">
        <v>14.744999999999999</v>
      </c>
      <c r="K50" s="59">
        <v>14.432</v>
      </c>
      <c r="L50" s="59">
        <v>15.829000000000001</v>
      </c>
      <c r="M50" s="59">
        <v>17.565000000000001</v>
      </c>
      <c r="N50" s="59">
        <v>18.785</v>
      </c>
      <c r="O50" s="59">
        <v>19.138999999999999</v>
      </c>
      <c r="P50" s="59">
        <v>17.550999999999998</v>
      </c>
      <c r="Q50" s="59">
        <v>16.667000000000002</v>
      </c>
    </row>
    <row r="51" spans="1:17" x14ac:dyDescent="0.2">
      <c r="A51" s="59" t="s">
        <v>147</v>
      </c>
      <c r="B51" s="59" t="s">
        <v>30</v>
      </c>
      <c r="C51" s="59">
        <f>IF(IFERROR(INDEX('2020'!$D$5:$D$73,MATCH(B51,'2020'!$A$5:$A$73,0)),0)=0,"N/A",INDEX('2020'!$D$5:$D$73,MATCH(B51,'2020'!$A$5:$A$73,0)))</f>
        <v>10.582000000000001</v>
      </c>
      <c r="D51" s="59">
        <f>IF(IFERROR(INDEX('2019'!$D$5:$D$73,MATCH(B51,'2019'!$A$5:$A$73,0)),0)=0,"N/A",INDEX('2019'!$D$5:$D$73,MATCH(B51,'2019'!$A$5:$A$73,0)))</f>
        <v>9.7050000000000001</v>
      </c>
      <c r="E51" s="59">
        <f>IF(IFERROR(INDEX('2018'!$D$5:$D$73,MATCH(B51,'2018'!$A$5:$A$73,0)),0)=0,"N/A",INDEX('2018'!$D$5:$D$73,MATCH(B51,'2018'!$A$5:$A$73,0)))</f>
        <v>24.312999999999999</v>
      </c>
      <c r="F51" s="59">
        <f>IF(IFERROR(INDEX('2017'!$D$5:$D$73,MATCH(B51,'2017'!$A$5:$A$73,0)),0)=0,"N/A",INDEX('2017'!$D$5:$D$73,MATCH(B51,'2017'!$A$5:$A$73,0)))</f>
        <v>37.338000000000001</v>
      </c>
      <c r="G51" s="67">
        <f>IF(IFERROR(INDEX('2016'!$D$5:$D$73,MATCH(B51,'2016'!$A$5:$A$73,0)),0)=0,"N/A",INDEX('2016'!$D$5:$D$73,MATCH(B51,'2016'!$A$5:$A$73,0)))</f>
        <v>35.392000000000003</v>
      </c>
      <c r="H51" s="59">
        <v>33.689</v>
      </c>
      <c r="I51" s="59">
        <v>33.090000000000003</v>
      </c>
      <c r="J51" s="59">
        <v>31.405999999999999</v>
      </c>
      <c r="K51" s="59">
        <v>30.353999999999999</v>
      </c>
      <c r="L51" s="59">
        <v>29.353000000000002</v>
      </c>
      <c r="M51" s="59">
        <v>28.545999999999999</v>
      </c>
      <c r="N51" s="59">
        <v>27.882000000000001</v>
      </c>
      <c r="O51" s="59">
        <v>25.971</v>
      </c>
      <c r="P51" s="59">
        <v>24.18</v>
      </c>
      <c r="Q51" s="59">
        <v>22.437000000000001</v>
      </c>
    </row>
    <row r="52" spans="1:17" x14ac:dyDescent="0.2">
      <c r="A52" s="59" t="s">
        <v>148</v>
      </c>
      <c r="B52" s="59" t="s">
        <v>31</v>
      </c>
      <c r="C52" s="59">
        <f>IF(IFERROR(INDEX('2020'!$D$5:$D$73,MATCH(B52,'2020'!$A$5:$A$73,0)),0)=0,"N/A",INDEX('2020'!$D$5:$D$73,MATCH(B52,'2020'!$A$5:$A$73,0)))</f>
        <v>49.96</v>
      </c>
      <c r="D52" s="59">
        <f>IF(IFERROR(INDEX('2019'!$D$5:$D$73,MATCH(B52,'2019'!$A$5:$A$73,0)),0)=0,"N/A",INDEX('2019'!$D$5:$D$73,MATCH(B52,'2019'!$A$5:$A$73,0)))</f>
        <v>48.3</v>
      </c>
      <c r="E52" s="59">
        <f>IF(IFERROR(INDEX('2018'!$D$5:$D$73,MATCH(B52,'2018'!$A$5:$A$73,0)),0)=0,"N/A",INDEX('2018'!$D$5:$D$73,MATCH(B52,'2018'!$A$5:$A$73,0)))</f>
        <v>46.591000000000001</v>
      </c>
      <c r="F52" s="59">
        <f>IF(IFERROR(INDEX('2017'!$D$5:$D$73,MATCH(B52,'2017'!$A$5:$A$73,0)),0)=0,"N/A",INDEX('2017'!$D$5:$D$73,MATCH(B52,'2017'!$A$5:$A$73,0)))</f>
        <v>44.802</v>
      </c>
      <c r="G52" s="67">
        <f>IF(IFERROR(INDEX('2016'!$D$5:$D$73,MATCH(B52,'2016'!$A$5:$A$73,0)),0)=0,"N/A",INDEX('2016'!$D$5:$D$73,MATCH(B52,'2016'!$A$5:$A$73,0)))</f>
        <v>43.145000000000003</v>
      </c>
      <c r="H52" s="59">
        <v>41.304000000000002</v>
      </c>
      <c r="I52" s="59">
        <v>39.499000000000002</v>
      </c>
      <c r="J52" s="59">
        <v>38.069000000000003</v>
      </c>
      <c r="K52" s="59">
        <v>36.201000000000001</v>
      </c>
      <c r="L52" s="59">
        <v>34.984000000000002</v>
      </c>
      <c r="M52" s="59">
        <v>33.863999999999997</v>
      </c>
      <c r="N52" s="59">
        <v>32.692</v>
      </c>
      <c r="O52" s="59">
        <v>34.155999999999999</v>
      </c>
      <c r="P52" s="59">
        <v>35.145000000000003</v>
      </c>
      <c r="Q52" s="59">
        <v>34.475000000000001</v>
      </c>
    </row>
    <row r="53" spans="1:17" x14ac:dyDescent="0.2">
      <c r="A53" s="59" t="s">
        <v>149</v>
      </c>
      <c r="B53" s="59" t="s">
        <v>32</v>
      </c>
      <c r="C53" s="59">
        <f>IF(IFERROR(INDEX('2020'!$D$5:$D$73,MATCH(B53,'2020'!$A$5:$A$73,0)),0)=0,"N/A",INDEX('2020'!$D$5:$D$73,MATCH(B53,'2020'!$A$5:$A$73,0)))</f>
        <v>23.876999999999999</v>
      </c>
      <c r="D53" s="59">
        <f>IF(IFERROR(INDEX('2019'!$D$5:$D$73,MATCH(B53,'2019'!$A$5:$A$73,0)),0)=0,"N/A",INDEX('2019'!$D$5:$D$73,MATCH(B53,'2019'!$A$5:$A$73,0)))</f>
        <v>21.074999999999999</v>
      </c>
      <c r="E53" s="59">
        <f>IF(IFERROR(INDEX('2018'!$D$5:$D$73,MATCH(B53,'2018'!$A$5:$A$73,0)),0)=0,"N/A",INDEX('2018'!$D$5:$D$73,MATCH(B53,'2018'!$A$5:$A$73,0)))</f>
        <v>21.196999999999999</v>
      </c>
      <c r="F53" s="59">
        <f>IF(IFERROR(INDEX('2017'!$D$5:$D$73,MATCH(B53,'2017'!$A$5:$A$73,0)),0)=0,"N/A",INDEX('2017'!$D$5:$D$73,MATCH(B53,'2017'!$A$5:$A$73,0)))</f>
        <v>21.283000000000001</v>
      </c>
      <c r="G53" s="67">
        <f>IF(IFERROR(INDEX('2016'!$D$5:$D$73,MATCH(B53,'2016'!$A$5:$A$73,0)),0)=0,"N/A",INDEX('2016'!$D$5:$D$73,MATCH(B53,'2016'!$A$5:$A$73,0)))</f>
        <v>21.04</v>
      </c>
      <c r="H53" s="59">
        <v>20.774999999999999</v>
      </c>
      <c r="I53" s="59">
        <v>22.390999999999998</v>
      </c>
      <c r="J53" s="59">
        <v>20.866</v>
      </c>
      <c r="K53" s="59">
        <v>20.045000000000002</v>
      </c>
      <c r="L53" s="59">
        <v>19.616</v>
      </c>
      <c r="M53" s="59">
        <v>17.597000000000001</v>
      </c>
      <c r="N53" s="59">
        <v>18.901</v>
      </c>
      <c r="O53" s="59">
        <v>18.893000000000001</v>
      </c>
      <c r="P53" s="59">
        <v>22.032</v>
      </c>
      <c r="Q53" s="59">
        <v>22.091999999999999</v>
      </c>
    </row>
    <row r="54" spans="1:17" x14ac:dyDescent="0.2">
      <c r="A54" s="59" t="s">
        <v>150</v>
      </c>
      <c r="B54" s="59" t="s">
        <v>33</v>
      </c>
      <c r="C54" s="59">
        <f>IF(IFERROR(INDEX('2020'!$D$5:$D$73,MATCH(B54,'2020'!$A$5:$A$73,0)),0)=0,"N/A",INDEX('2020'!$D$5:$D$73,MATCH(B54,'2020'!$A$5:$A$73,0)))</f>
        <v>29.183</v>
      </c>
      <c r="D54" s="59">
        <f>IF(IFERROR(INDEX('2019'!$D$5:$D$73,MATCH(B54,'2019'!$A$5:$A$73,0)),0)=0,"N/A",INDEX('2019'!$D$5:$D$73,MATCH(B54,'2019'!$A$5:$A$73,0)))</f>
        <v>28.986000000000001</v>
      </c>
      <c r="E54" s="59">
        <f>IF(IFERROR(INDEX('2018'!$D$5:$D$73,MATCH(B54,'2018'!$A$5:$A$73,0)),0)=0,"N/A",INDEX('2018'!$D$5:$D$73,MATCH(B54,'2018'!$A$5:$A$73,0)))</f>
        <v>28.073</v>
      </c>
      <c r="F54" s="59">
        <f>IF(IFERROR(INDEX('2017'!$D$5:$D$73,MATCH(B54,'2017'!$A$5:$A$73,0)),0)=0,"N/A",INDEX('2017'!$D$5:$D$73,MATCH(B54,'2017'!$A$5:$A$73,0)))</f>
        <v>27.111000000000001</v>
      </c>
      <c r="G54" s="67">
        <f>IF(IFERROR(INDEX('2016'!$D$5:$D$73,MATCH(B54,'2016'!$A$5:$A$73,0)),0)=0,"N/A",INDEX('2016'!$D$5:$D$73,MATCH(B54,'2016'!$A$5:$A$73,0)))</f>
        <v>26.353000000000002</v>
      </c>
      <c r="H54" s="59">
        <v>25.43</v>
      </c>
      <c r="I54" s="59">
        <v>24.428000000000001</v>
      </c>
      <c r="J54" s="59">
        <v>23.295000000000002</v>
      </c>
      <c r="K54" s="59">
        <v>22.87</v>
      </c>
      <c r="L54" s="59">
        <v>22.067</v>
      </c>
      <c r="M54" s="59">
        <v>21.137</v>
      </c>
      <c r="N54" s="59">
        <v>20.501999999999999</v>
      </c>
      <c r="O54" s="59">
        <v>21.638000000000002</v>
      </c>
      <c r="P54" s="59">
        <v>21.045999999999999</v>
      </c>
      <c r="Q54" s="59">
        <v>19.582999999999998</v>
      </c>
    </row>
    <row r="55" spans="1:17" x14ac:dyDescent="0.2">
      <c r="A55" s="59" t="s">
        <v>151</v>
      </c>
      <c r="B55" s="59" t="s">
        <v>34</v>
      </c>
      <c r="C55" s="59">
        <f>IF(IFERROR(INDEX('2020'!$D$5:$D$73,MATCH(B55,'2020'!$A$5:$A$73,0)),0)=0,"N/A",INDEX('2020'!$D$5:$D$73,MATCH(B55,'2020'!$A$5:$A$73,0)))</f>
        <v>17.391999999999999</v>
      </c>
      <c r="D55" s="59">
        <f>IF(IFERROR(INDEX('2019'!$D$5:$D$73,MATCH(B55,'2019'!$A$5:$A$73,0)),0)=0,"N/A",INDEX('2019'!$D$5:$D$73,MATCH(B55,'2019'!$A$5:$A$73,0)))</f>
        <v>16.931999999999999</v>
      </c>
      <c r="E55" s="59">
        <f>IF(IFERROR(INDEX('2018'!$D$5:$D$73,MATCH(B55,'2018'!$A$5:$A$73,0)),0)=0,"N/A",INDEX('2018'!$D$5:$D$73,MATCH(B55,'2018'!$A$5:$A$73,0)))</f>
        <v>16.183</v>
      </c>
      <c r="F55" s="59">
        <f>IF(IFERROR(INDEX('2017'!$D$5:$D$73,MATCH(B55,'2017'!$A$5:$A$73,0)),0)=0,"N/A",INDEX('2017'!$D$5:$D$73,MATCH(B55,'2017'!$A$5:$A$73,0)))</f>
        <v>15.519</v>
      </c>
      <c r="G55" s="67">
        <f>IF(IFERROR(INDEX('2016'!$D$5:$D$73,MATCH(B55,'2016'!$A$5:$A$73,0)),0)=0,"N/A",INDEX('2016'!$D$5:$D$73,MATCH(B55,'2016'!$A$5:$A$73,0)))</f>
        <v>14.563000000000001</v>
      </c>
      <c r="H55" s="59">
        <v>14.72</v>
      </c>
      <c r="I55" s="59">
        <v>20.466999999999999</v>
      </c>
      <c r="J55" s="59">
        <v>19.777000000000001</v>
      </c>
      <c r="K55" s="59">
        <v>18.009</v>
      </c>
      <c r="L55" s="59">
        <v>18.72</v>
      </c>
      <c r="M55" s="59">
        <v>16.984000000000002</v>
      </c>
      <c r="N55" s="59">
        <v>14.571</v>
      </c>
      <c r="O55" s="59">
        <v>13.554</v>
      </c>
      <c r="P55" s="59">
        <v>14.885</v>
      </c>
      <c r="Q55" s="59">
        <v>13.303000000000001</v>
      </c>
    </row>
    <row r="56" spans="1:17" x14ac:dyDescent="0.2">
      <c r="A56" s="59" t="s">
        <v>152</v>
      </c>
      <c r="B56" s="59" t="s">
        <v>35</v>
      </c>
      <c r="C56" s="59">
        <f>IF(IFERROR(INDEX('2020'!$D$5:$D$73,MATCH(B56,'2020'!$A$5:$A$73,0)),0)=0,"N/A",INDEX('2020'!$D$5:$D$73,MATCH(B56,'2020'!$A$5:$A$73,0)))</f>
        <v>31.713999999999999</v>
      </c>
      <c r="D56" s="59">
        <f>IF(IFERROR(INDEX('2019'!$D$5:$D$73,MATCH(B56,'2019'!$A$5:$A$73,0)),0)=0,"N/A",INDEX('2019'!$D$5:$D$73,MATCH(B56,'2019'!$A$5:$A$73,0)))</f>
        <v>29.937999999999999</v>
      </c>
      <c r="E56" s="59">
        <f>IF(IFERROR(INDEX('2018'!$D$5:$D$73,MATCH(B56,'2018'!$A$5:$A$73,0)),0)=0,"N/A",INDEX('2018'!$D$5:$D$73,MATCH(B56,'2018'!$A$5:$A$73,0)))</f>
        <v>28.526</v>
      </c>
      <c r="F56" s="59">
        <f>IF(IFERROR(INDEX('2017'!$D$5:$D$73,MATCH(B56,'2017'!$A$5:$A$73,0)),0)=0,"N/A",INDEX('2017'!$D$5:$D$73,MATCH(B56,'2017'!$A$5:$A$73,0)))</f>
        <v>27.42</v>
      </c>
      <c r="G56" s="67">
        <f>IF(IFERROR(INDEX('2016'!$D$5:$D$73,MATCH(B56,'2016'!$A$5:$A$73,0)),0)=0,"N/A",INDEX('2016'!$D$5:$D$73,MATCH(B56,'2016'!$A$5:$A$73,0)))</f>
        <v>26.007000000000001</v>
      </c>
      <c r="H56" s="59">
        <v>25.859000000000002</v>
      </c>
      <c r="I56" s="59">
        <v>24.088999999999999</v>
      </c>
      <c r="J56" s="59">
        <v>22.946999999999999</v>
      </c>
      <c r="K56" s="59">
        <v>21.309000000000001</v>
      </c>
      <c r="L56" s="59">
        <v>20.298999999999999</v>
      </c>
      <c r="M56" s="59">
        <v>19.039000000000001</v>
      </c>
      <c r="N56" s="59">
        <v>17.367999999999999</v>
      </c>
      <c r="O56" s="59">
        <v>15.356999999999999</v>
      </c>
      <c r="P56" s="59">
        <v>14.353</v>
      </c>
      <c r="Q56" s="59">
        <v>13.353</v>
      </c>
    </row>
    <row r="57" spans="1:17" x14ac:dyDescent="0.2">
      <c r="A57" s="59" t="s">
        <v>193</v>
      </c>
      <c r="B57" s="59" t="s">
        <v>194</v>
      </c>
      <c r="C57" s="59">
        <f>IF(IFERROR(INDEX('2020'!$D$5:$D$73,MATCH(B57,'2020'!$A$5:$A$73,0)),0)=0,"N/A",INDEX('2020'!$D$5:$D$73,MATCH(B57,'2020'!$A$5:$A$73,0)))</f>
        <v>10.893000000000001</v>
      </c>
      <c r="D57" s="59">
        <f>IF(IFERROR(INDEX('2019'!$D$5:$D$73,MATCH(B57,'2019'!$A$5:$A$73,0)),0)=0,"N/A",INDEX('2019'!$D$5:$D$73,MATCH(B57,'2019'!$A$5:$A$73,0)))</f>
        <v>10.292999999999999</v>
      </c>
      <c r="E57" s="59">
        <f>IF(IFERROR(INDEX('2018'!$D$5:$D$73,MATCH(B57,'2018'!$A$5:$A$73,0)),0)=0,"N/A",INDEX('2018'!$D$5:$D$73,MATCH(B57,'2018'!$A$5:$A$73,0)))</f>
        <v>9.9540000000000006</v>
      </c>
      <c r="F57" s="59">
        <f>IF(IFERROR(INDEX('2017'!$D$5:$D$73,MATCH(B57,'2017'!$A$5:$A$73,0)),0)=0,"N/A",INDEX('2017'!$D$5:$D$73,MATCH(B57,'2017'!$A$5:$A$73,0)))</f>
        <v>8.2919999999999998</v>
      </c>
      <c r="G57" s="67">
        <f>IF(IFERROR(INDEX('2016'!$D$5:$D$73,MATCH(B57,'2016'!$A$5:$A$73,0)),0)=0,"N/A",INDEX('2016'!$D$5:$D$73,MATCH(B57,'2016'!$A$5:$A$73,0)))</f>
        <v>7.7510000000000003</v>
      </c>
      <c r="H57" s="59">
        <v>11.145</v>
      </c>
      <c r="I57" s="59">
        <v>11.021000000000001</v>
      </c>
      <c r="J57" s="59">
        <v>10.510999999999999</v>
      </c>
      <c r="K57" s="59">
        <v>10.852</v>
      </c>
      <c r="L57" s="59">
        <v>10.548999999999999</v>
      </c>
      <c r="M57" s="59">
        <v>10.182</v>
      </c>
      <c r="N57" s="59">
        <v>10.004</v>
      </c>
      <c r="O57" s="59">
        <v>9.8940000000000001</v>
      </c>
      <c r="P57" s="59">
        <v>9.69</v>
      </c>
      <c r="Q57" s="59">
        <v>9.4659999999999993</v>
      </c>
    </row>
    <row r="58" spans="1:17" x14ac:dyDescent="0.2">
      <c r="A58" s="59" t="s">
        <v>153</v>
      </c>
      <c r="B58" s="59" t="s">
        <v>36</v>
      </c>
      <c r="C58" s="59" t="str">
        <f>IF(IFERROR(INDEX('2020'!$D$5:$D$73,MATCH(B58,'2020'!$A$5:$A$73,0)),0)=0,"N/A",INDEX('2020'!$D$5:$D$73,MATCH(B58,'2020'!$A$5:$A$73,0)))</f>
        <v>N/A</v>
      </c>
      <c r="D58" s="59" t="str">
        <f>IF(IFERROR(INDEX('2019'!$D$5:$D$73,MATCH(B58,'2019'!$A$5:$A$73,0)),0)=0,"N/A",INDEX('2019'!$D$5:$D$73,MATCH(B58,'2019'!$A$5:$A$73,0)))</f>
        <v>N/A</v>
      </c>
      <c r="E58" s="59" t="str">
        <f>IF(IFERROR(INDEX('2018'!$D$5:$D$73,MATCH(B58,'2018'!$A$5:$A$73,0)),0)=0,"N/A",INDEX('2018'!$D$5:$D$73,MATCH(B58,'2018'!$A$5:$A$73,0)))</f>
        <v>N/A</v>
      </c>
      <c r="F58" s="59">
        <f>IF(IFERROR(INDEX('2017'!$D$5:$D$73,MATCH(B58,'2017'!$A$5:$A$73,0)),0)=0,"N/A",INDEX('2017'!$D$5:$D$73,MATCH(B58,'2017'!$A$5:$A$73,0)))</f>
        <v>36.747999999999998</v>
      </c>
      <c r="G58" s="67">
        <f>IF(IFERROR(INDEX('2016'!$D$5:$D$73,MATCH(B58,'2016'!$A$5:$A$73,0)),0)=0,"N/A",INDEX('2016'!$D$5:$D$73,MATCH(B58,'2016'!$A$5:$A$73,0)))</f>
        <v>40.063000000000002</v>
      </c>
      <c r="H58" s="59">
        <v>38.090000000000003</v>
      </c>
      <c r="I58" s="59">
        <v>34.947000000000003</v>
      </c>
      <c r="J58" s="59">
        <v>33.078000000000003</v>
      </c>
      <c r="K58" s="59">
        <v>31.466999999999999</v>
      </c>
      <c r="L58" s="59">
        <v>29.943000000000001</v>
      </c>
      <c r="M58" s="59">
        <v>29.047999999999998</v>
      </c>
      <c r="N58" s="59">
        <v>27.631</v>
      </c>
      <c r="O58" s="59">
        <v>25.853000000000002</v>
      </c>
      <c r="P58" s="59">
        <v>25.372</v>
      </c>
      <c r="Q58" s="59">
        <v>24.395</v>
      </c>
    </row>
    <row r="59" spans="1:17" x14ac:dyDescent="0.2">
      <c r="A59" s="59" t="s">
        <v>154</v>
      </c>
      <c r="B59" s="59" t="s">
        <v>37</v>
      </c>
      <c r="C59" s="59">
        <f>IF(IFERROR(INDEX('2020'!$D$5:$D$73,MATCH(B59,'2020'!$A$5:$A$73,0)),0)=0,"N/A",INDEX('2020'!$D$5:$D$73,MATCH(B59,'2020'!$A$5:$A$73,0)))</f>
        <v>70.114999999999995</v>
      </c>
      <c r="D59" s="59">
        <f>IF(IFERROR(INDEX('2019'!$D$5:$D$73,MATCH(B59,'2019'!$A$5:$A$73,0)),0)=0,"N/A",INDEX('2019'!$D$5:$D$73,MATCH(B59,'2019'!$A$5:$A$73,0)))</f>
        <v>60.576999999999998</v>
      </c>
      <c r="E59" s="59">
        <f>IF(IFERROR(INDEX('2018'!$D$5:$D$73,MATCH(B59,'2018'!$A$5:$A$73,0)),0)=0,"N/A",INDEX('2018'!$D$5:$D$73,MATCH(B59,'2018'!$A$5:$A$73,0)))</f>
        <v>54.351999999999997</v>
      </c>
      <c r="F59" s="59">
        <f>IF(IFERROR(INDEX('2017'!$D$5:$D$73,MATCH(B59,'2017'!$A$5:$A$73,0)),0)=0,"N/A",INDEX('2017'!$D$5:$D$73,MATCH(B59,'2017'!$A$5:$A$73,0)))</f>
        <v>50.405999999999999</v>
      </c>
      <c r="G59" s="67">
        <f>IF(IFERROR(INDEX('2016'!$D$5:$D$73,MATCH(B59,'2016'!$A$5:$A$73,0)),0)=0,"N/A",INDEX('2016'!$D$5:$D$73,MATCH(B59,'2016'!$A$5:$A$73,0)))</f>
        <v>51.771999999999998</v>
      </c>
      <c r="H59" s="59">
        <v>47.56</v>
      </c>
      <c r="I59" s="59">
        <v>45.978999999999999</v>
      </c>
      <c r="J59" s="59">
        <v>45.03</v>
      </c>
      <c r="K59" s="59">
        <v>42.423000000000002</v>
      </c>
      <c r="L59" s="59">
        <v>41.003</v>
      </c>
      <c r="M59" s="59">
        <v>37.542999999999999</v>
      </c>
      <c r="N59" s="59">
        <v>36.537999999999997</v>
      </c>
      <c r="O59" s="59">
        <v>32.750999999999998</v>
      </c>
      <c r="P59" s="59">
        <v>31.87</v>
      </c>
      <c r="Q59" s="59">
        <v>28.655999999999999</v>
      </c>
    </row>
    <row r="60" spans="1:17" x14ac:dyDescent="0.2">
      <c r="A60" s="59" t="s">
        <v>195</v>
      </c>
      <c r="B60" s="59" t="s">
        <v>196</v>
      </c>
      <c r="C60" s="59">
        <f>IF(IFERROR(INDEX('2020'!$D$5:$D$73,MATCH(B60,'2020'!$A$5:$A$73,0)),0)=0,"N/A",INDEX('2020'!$D$5:$D$73,MATCH(B60,'2020'!$A$5:$A$73,0)))</f>
        <v>32.116999999999997</v>
      </c>
      <c r="D60" s="59">
        <f>IF(IFERROR(INDEX('2019'!$D$5:$D$73,MATCH(B60,'2019'!$A$5:$A$73,0)),0)=0,"N/A",INDEX('2019'!$D$5:$D$73,MATCH(B60,'2019'!$A$5:$A$73,0)))</f>
        <v>31.274999999999999</v>
      </c>
      <c r="E60" s="59">
        <f>IF(IFERROR(INDEX('2018'!$D$5:$D$73,MATCH(B60,'2018'!$A$5:$A$73,0)),0)=0,"N/A",INDEX('2018'!$D$5:$D$73,MATCH(B60,'2018'!$A$5:$A$73,0)))</f>
        <v>31.309000000000001</v>
      </c>
      <c r="F60" s="59">
        <f>IF(IFERROR(INDEX('2017'!$D$5:$D$73,MATCH(B60,'2017'!$A$5:$A$73,0)),0)=0,"N/A",INDEX('2017'!$D$5:$D$73,MATCH(B60,'2017'!$A$5:$A$73,0)))</f>
        <v>22.571999999999999</v>
      </c>
      <c r="G60" s="67">
        <f>IF(IFERROR(INDEX('2016'!$D$5:$D$73,MATCH(B60,'2016'!$A$5:$A$73,0)),0)=0,"N/A",INDEX('2016'!$D$5:$D$73,MATCH(B60,'2016'!$A$5:$A$73,0)))</f>
        <v>20.611999999999998</v>
      </c>
      <c r="H60" s="59">
        <v>18.829999999999998</v>
      </c>
      <c r="I60" s="59">
        <v>17.753</v>
      </c>
      <c r="J60" s="59">
        <v>15.923999999999999</v>
      </c>
      <c r="K60" s="59">
        <v>14.708</v>
      </c>
      <c r="L60" s="59">
        <v>14.199</v>
      </c>
      <c r="M60" s="59">
        <v>13.747</v>
      </c>
      <c r="N60" s="59">
        <v>13.662000000000001</v>
      </c>
      <c r="O60" s="59">
        <v>13.993</v>
      </c>
      <c r="P60" s="59">
        <v>12.904</v>
      </c>
      <c r="Q60" s="59">
        <v>12.481</v>
      </c>
    </row>
    <row r="61" spans="1:17" x14ac:dyDescent="0.2">
      <c r="A61" s="59" t="s">
        <v>197</v>
      </c>
      <c r="B61" s="59" t="s">
        <v>198</v>
      </c>
      <c r="C61" s="59">
        <f>IF(IFERROR(INDEX('2020'!$D$5:$D$73,MATCH(B61,'2020'!$A$5:$A$73,0)),0)=0,"N/A",INDEX('2020'!$D$5:$D$73,MATCH(B61,'2020'!$A$5:$A$73,0)))</f>
        <v>16.510999999999999</v>
      </c>
      <c r="D61" s="59">
        <f>IF(IFERROR(INDEX('2019'!$D$5:$D$73,MATCH(B61,'2019'!$A$5:$A$73,0)),0)=0,"N/A",INDEX('2019'!$D$5:$D$73,MATCH(B61,'2019'!$A$5:$A$73,0)))</f>
        <v>15.41</v>
      </c>
      <c r="E61" s="59">
        <f>IF(IFERROR(INDEX('2018'!$D$5:$D$73,MATCH(B61,'2018'!$A$5:$A$73,0)),0)=0,"N/A",INDEX('2018'!$D$5:$D$73,MATCH(B61,'2018'!$A$5:$A$73,0)))</f>
        <v>14.818</v>
      </c>
      <c r="F61" s="59">
        <f>IF(IFERROR(INDEX('2017'!$D$5:$D$73,MATCH(B61,'2017'!$A$5:$A$73,0)),0)=0,"N/A",INDEX('2017'!$D$5:$D$73,MATCH(B61,'2017'!$A$5:$A$73,0)))</f>
        <v>14.99</v>
      </c>
      <c r="G61" s="67">
        <f>IF(IFERROR(INDEX('2016'!$D$5:$D$73,MATCH(B61,'2016'!$A$5:$A$73,0)),0)=0,"N/A",INDEX('2016'!$D$5:$D$73,MATCH(B61,'2016'!$A$5:$A$73,0)))</f>
        <v>16.221</v>
      </c>
      <c r="H61" s="59">
        <v>14.62</v>
      </c>
      <c r="I61" s="59">
        <v>13.645</v>
      </c>
      <c r="J61" s="59">
        <v>12.638999999999999</v>
      </c>
      <c r="K61" s="59">
        <v>11.629</v>
      </c>
      <c r="L61" s="59">
        <v>10.329000000000001</v>
      </c>
      <c r="M61" s="59">
        <v>9.5419999999999998</v>
      </c>
      <c r="N61" s="59">
        <v>9.1219999999999999</v>
      </c>
      <c r="O61" s="59">
        <v>8.6660000000000004</v>
      </c>
      <c r="P61" s="59">
        <v>8.1240000000000006</v>
      </c>
      <c r="Q61" s="59">
        <v>7.5540000000000003</v>
      </c>
    </row>
    <row r="62" spans="1:17" x14ac:dyDescent="0.2">
      <c r="A62" s="59" t="s">
        <v>155</v>
      </c>
      <c r="B62" s="59" t="s">
        <v>38</v>
      </c>
      <c r="C62" s="59">
        <f>IF(IFERROR(INDEX('2020'!$D$5:$D$73,MATCH(B62,'2020'!$A$5:$A$73,0)),0)=0,"N/A",INDEX('2020'!$D$5:$D$73,MATCH(B62,'2020'!$A$5:$A$73,0)))</f>
        <v>26.477</v>
      </c>
      <c r="D62" s="59">
        <f>IF(IFERROR(INDEX('2019'!$D$5:$D$73,MATCH(B62,'2019'!$A$5:$A$73,0)),0)=0,"N/A",INDEX('2019'!$D$5:$D$73,MATCH(B62,'2019'!$A$5:$A$73,0)))</f>
        <v>26.114000000000001</v>
      </c>
      <c r="E62" s="59">
        <f>IF(IFERROR(INDEX('2018'!$D$5:$D$73,MATCH(B62,'2018'!$A$5:$A$73,0)),0)=0,"N/A",INDEX('2018'!$D$5:$D$73,MATCH(B62,'2018'!$A$5:$A$73,0)))</f>
        <v>23.914999999999999</v>
      </c>
      <c r="F62" s="59">
        <f>IF(IFERROR(INDEX('2017'!$D$5:$D$73,MATCH(B62,'2017'!$A$5:$A$73,0)),0)=0,"N/A",INDEX('2017'!$D$5:$D$73,MATCH(B62,'2017'!$A$5:$A$73,0)))</f>
        <v>23.984999999999999</v>
      </c>
      <c r="G62" s="67">
        <f>IF(IFERROR(INDEX('2016'!$D$5:$D$73,MATCH(B62,'2016'!$A$5:$A$73,0)),0)=0,"N/A",INDEX('2016'!$D$5:$D$73,MATCH(B62,'2016'!$A$5:$A$73,0)))</f>
        <v>24.998000000000001</v>
      </c>
      <c r="H62" s="59">
        <v>22.585999999999999</v>
      </c>
      <c r="I62" s="59">
        <v>21.975999999999999</v>
      </c>
      <c r="J62" s="59">
        <v>21.427</v>
      </c>
      <c r="K62" s="59">
        <v>21.085000000000001</v>
      </c>
      <c r="L62" s="59">
        <v>20.318000000000001</v>
      </c>
      <c r="M62" s="59">
        <v>19.212</v>
      </c>
      <c r="N62" s="59">
        <v>18.152000000000001</v>
      </c>
      <c r="O62" s="59">
        <v>17.082000000000001</v>
      </c>
      <c r="P62" s="59">
        <v>16.23</v>
      </c>
      <c r="Q62" s="59">
        <v>15.237</v>
      </c>
    </row>
    <row r="63" spans="1:17" x14ac:dyDescent="0.2">
      <c r="A63" s="59" t="s">
        <v>199</v>
      </c>
      <c r="B63" s="59" t="s">
        <v>200</v>
      </c>
      <c r="C63" s="59">
        <f>IF(IFERROR(INDEX('2020'!$D$5:$D$73,MATCH(B63,'2020'!$A$5:$A$73,0)),0)=0,"N/A",INDEX('2020'!$D$5:$D$73,MATCH(B63,'2020'!$A$5:$A$73,0)))</f>
        <v>46.771000000000001</v>
      </c>
      <c r="D63" s="59">
        <f>IF(IFERROR(INDEX('2019'!$D$5:$D$73,MATCH(B63,'2019'!$A$5:$A$73,0)),0)=0,"N/A",INDEX('2019'!$D$5:$D$73,MATCH(B63,'2019'!$A$5:$A$73,0)))</f>
        <v>45.555999999999997</v>
      </c>
      <c r="E63" s="59">
        <f>IF(IFERROR(INDEX('2018'!$D$5:$D$73,MATCH(B63,'2018'!$A$5:$A$73,0)),0)=0,"N/A",INDEX('2018'!$D$5:$D$73,MATCH(B63,'2018'!$A$5:$A$73,0)))</f>
        <v>42.47</v>
      </c>
      <c r="F63" s="59">
        <f>IF(IFERROR(INDEX('2017'!$D$5:$D$73,MATCH(B63,'2017'!$A$5:$A$73,0)),0)=0,"N/A",INDEX('2017'!$D$5:$D$73,MATCH(B63,'2017'!$A$5:$A$73,0)))</f>
        <v>37.737000000000002</v>
      </c>
      <c r="G63" s="67">
        <f>IF(IFERROR(INDEX('2016'!$D$5:$D$73,MATCH(B63,'2016'!$A$5:$A$73,0)),0)=0,"N/A",INDEX('2016'!$D$5:$D$73,MATCH(B63,'2016'!$A$5:$A$73,0)))</f>
        <v>35.033999999999999</v>
      </c>
      <c r="H63" s="59">
        <v>33.609000000000002</v>
      </c>
      <c r="I63" s="59">
        <v>31.946999999999999</v>
      </c>
      <c r="J63" s="59">
        <v>30.468</v>
      </c>
      <c r="K63" s="59">
        <v>28.355</v>
      </c>
      <c r="L63" s="59">
        <v>26.657</v>
      </c>
      <c r="M63" s="59">
        <v>25.614999999999998</v>
      </c>
      <c r="N63" s="59">
        <v>24.440999999999999</v>
      </c>
      <c r="O63" s="59">
        <v>23.484999999999999</v>
      </c>
      <c r="P63" s="59">
        <v>22.98</v>
      </c>
      <c r="Q63" s="59">
        <v>21.581</v>
      </c>
    </row>
    <row r="64" spans="1:17" x14ac:dyDescent="0.2">
      <c r="A64" s="59" t="s">
        <v>243</v>
      </c>
      <c r="B64" s="59" t="s">
        <v>244</v>
      </c>
      <c r="C64" s="59">
        <f>IF(IFERROR(INDEX('2020'!$D$5:$D$73,MATCH(B64,'2020'!$A$5:$A$73,0)),0)=0,"N/A",INDEX('2020'!$D$5:$D$73,MATCH(B64,'2020'!$A$5:$A$73,0)))</f>
        <v>44.192</v>
      </c>
      <c r="D64" s="59">
        <f>IF(IFERROR(INDEX('2019'!$D$5:$D$73,MATCH(B64,'2019'!$A$5:$A$73,0)),0)=0,"N/A",INDEX('2019'!$D$5:$D$73,MATCH(B64,'2019'!$A$5:$A$73,0)))</f>
        <v>45.140999999999998</v>
      </c>
      <c r="E64" s="59">
        <f>IF(IFERROR(INDEX('2018'!$D$5:$D$73,MATCH(B64,'2018'!$A$5:$A$73,0)),0)=0,"N/A",INDEX('2018'!$D$5:$D$73,MATCH(B64,'2018'!$A$5:$A$73,0)))</f>
        <v>44.51</v>
      </c>
      <c r="F64" s="59">
        <f>IF(IFERROR(INDEX('2017'!$D$5:$D$73,MATCH(B64,'2017'!$A$5:$A$73,0)),0)=0,"N/A",INDEX('2017'!$D$5:$D$73,MATCH(B64,'2017'!$A$5:$A$73,0)))</f>
        <v>41.259</v>
      </c>
      <c r="G64" s="67">
        <f>IF(IFERROR(INDEX('2016'!$D$5:$D$73,MATCH(B64,'2016'!$A$5:$A$73,0)),0)=0,"N/A",INDEX('2016'!$D$5:$D$73,MATCH(B64,'2016'!$A$5:$A$73,0)))</f>
        <v>38.732999999999997</v>
      </c>
      <c r="H64" s="59">
        <v>36.295999999999999</v>
      </c>
      <c r="I64" s="59">
        <v>34.93</v>
      </c>
      <c r="J64" s="59">
        <v>31.998999999999999</v>
      </c>
      <c r="K64" s="59">
        <v>26.673999999999999</v>
      </c>
      <c r="L64" s="59">
        <v>25.56</v>
      </c>
      <c r="M64" s="59">
        <v>24.024999999999999</v>
      </c>
      <c r="N64" s="59">
        <v>23.323</v>
      </c>
      <c r="O64" s="59">
        <v>22.119</v>
      </c>
      <c r="P64" s="59">
        <v>19.788</v>
      </c>
      <c r="Q64" s="59">
        <v>18.849</v>
      </c>
    </row>
    <row r="65" spans="1:17" x14ac:dyDescent="0.2">
      <c r="A65" s="59" t="s">
        <v>201</v>
      </c>
      <c r="B65" s="59" t="s">
        <v>202</v>
      </c>
      <c r="C65" s="59">
        <f>IF(IFERROR(INDEX('2020'!$D$5:$D$73,MATCH(B65,'2020'!$A$5:$A$73,0)),0)=0,"N/A",INDEX('2020'!$D$5:$D$73,MATCH(B65,'2020'!$A$5:$A$73,0)))</f>
        <v>6.1689999999999996</v>
      </c>
      <c r="D65" s="59">
        <f>IF(IFERROR(INDEX('2019'!$D$5:$D$73,MATCH(B65,'2019'!$A$5:$A$73,0)),0)=0,"N/A",INDEX('2019'!$D$5:$D$73,MATCH(B65,'2019'!$A$5:$A$73,0)))</f>
        <v>5.5259999999999998</v>
      </c>
      <c r="E65" s="59">
        <f>IF(IFERROR(INDEX('2018'!$D$5:$D$73,MATCH(B65,'2018'!$A$5:$A$73,0)),0)=0,"N/A",INDEX('2018'!$D$5:$D$73,MATCH(B65,'2018'!$A$5:$A$73,0)))</f>
        <v>5.8</v>
      </c>
      <c r="F65" s="59">
        <f>IF(IFERROR(INDEX('2017'!$D$5:$D$73,MATCH(B65,'2017'!$A$5:$A$73,0)),0)=0,"N/A",INDEX('2017'!$D$5:$D$73,MATCH(B65,'2017'!$A$5:$A$73,0)))</f>
        <v>5.4450000000000003</v>
      </c>
      <c r="G65" s="67">
        <f>IF(IFERROR(INDEX('2016'!$D$5:$D$73,MATCH(B65,'2016'!$A$5:$A$73,0)),0)=0,"N/A",INDEX('2016'!$D$5:$D$73,MATCH(B65,'2016'!$A$5:$A$73,0)))</f>
        <v>5.3630000000000004</v>
      </c>
      <c r="H65" s="59">
        <v>5.032</v>
      </c>
      <c r="I65" s="59">
        <v>4.7539999999999996</v>
      </c>
      <c r="J65" s="59">
        <v>4.492</v>
      </c>
      <c r="K65" s="59">
        <v>4.2629999999999999</v>
      </c>
      <c r="L65" s="59">
        <v>4.1929999999999996</v>
      </c>
      <c r="M65" s="59">
        <v>4.1689999999999996</v>
      </c>
      <c r="N65" s="59">
        <v>4.077</v>
      </c>
      <c r="O65" s="59">
        <v>2.6389999999999998</v>
      </c>
      <c r="P65" s="59">
        <v>2.855</v>
      </c>
      <c r="Q65" s="59">
        <v>2.2869999999999999</v>
      </c>
    </row>
    <row r="66" spans="1:17" x14ac:dyDescent="0.2">
      <c r="A66" s="59" t="s">
        <v>203</v>
      </c>
      <c r="B66" s="59" t="s">
        <v>204</v>
      </c>
      <c r="C66" s="59">
        <f>IF(IFERROR(INDEX('2020'!$D$5:$D$73,MATCH(B66,'2020'!$A$5:$A$73,0)),0)=0,"N/A",INDEX('2020'!$D$5:$D$73,MATCH(B66,'2020'!$A$5:$A$73,0)))</f>
        <v>19.702999999999999</v>
      </c>
      <c r="D66" s="59">
        <f>IF(IFERROR(INDEX('2019'!$D$5:$D$73,MATCH(B66,'2019'!$A$5:$A$73,0)),0)=0,"N/A",INDEX('2019'!$D$5:$D$73,MATCH(B66,'2019'!$A$5:$A$73,0)))</f>
        <v>18.265000000000001</v>
      </c>
      <c r="E66" s="59">
        <f>IF(IFERROR(INDEX('2018'!$D$5:$D$73,MATCH(B66,'2018'!$A$5:$A$73,0)),0)=0,"N/A",INDEX('2018'!$D$5:$D$73,MATCH(B66,'2018'!$A$5:$A$73,0)))</f>
        <v>21.14</v>
      </c>
      <c r="F66" s="59">
        <f>IF(IFERROR(INDEX('2017'!$D$5:$D$73,MATCH(B66,'2017'!$A$5:$A$73,0)),0)=0,"N/A",INDEX('2017'!$D$5:$D$73,MATCH(B66,'2017'!$A$5:$A$73,0)))</f>
        <v>18.181000000000001</v>
      </c>
      <c r="G66" s="67">
        <f>IF(IFERROR(INDEX('2016'!$D$5:$D$73,MATCH(B66,'2016'!$A$5:$A$73,0)),0)=0,"N/A",INDEX('2016'!$D$5:$D$73,MATCH(B66,'2016'!$A$5:$A$73,0)))</f>
        <v>16.465</v>
      </c>
      <c r="H66" s="59">
        <v>15.55</v>
      </c>
      <c r="I66" s="59">
        <v>15.394</v>
      </c>
      <c r="J66" s="59">
        <v>14.586</v>
      </c>
      <c r="K66" s="59">
        <v>13.209</v>
      </c>
      <c r="L66" s="59">
        <v>11.789</v>
      </c>
      <c r="M66" s="59">
        <v>11.099</v>
      </c>
      <c r="N66" s="59">
        <v>9.7759999999999998</v>
      </c>
      <c r="O66" s="59">
        <v>8.8000000000000007</v>
      </c>
      <c r="P66" s="59">
        <v>8.2629999999999999</v>
      </c>
      <c r="Q66" s="59">
        <v>6.952</v>
      </c>
    </row>
    <row r="67" spans="1:17" x14ac:dyDescent="0.2">
      <c r="A67" s="59" t="s">
        <v>159</v>
      </c>
      <c r="B67" s="59" t="s">
        <v>83</v>
      </c>
      <c r="C67" s="59">
        <f>IF(IFERROR(INDEX('2020'!$D$5:$D$73,MATCH(B67,'2020'!$A$5:$A$73,0)),0)=0,"N/A",INDEX('2020'!$D$5:$D$73,MATCH(B67,'2020'!$A$5:$A$73,0)))</f>
        <v>25.913</v>
      </c>
      <c r="D67" s="59">
        <f>IF(IFERROR(INDEX('2019'!$D$5:$D$73,MATCH(B67,'2019'!$A$5:$A$73,0)),0)=0,"N/A",INDEX('2019'!$D$5:$D$73,MATCH(B67,'2019'!$A$5:$A$73,0)))</f>
        <v>25.224</v>
      </c>
      <c r="E67" s="59">
        <f>IF(IFERROR(INDEX('2018'!$D$5:$D$73,MATCH(B67,'2018'!$A$5:$A$73,0)),0)=0,"N/A",INDEX('2018'!$D$5:$D$73,MATCH(B67,'2018'!$A$5:$A$73,0)))</f>
        <v>23.6</v>
      </c>
      <c r="F67" s="59">
        <f>IF(IFERROR(INDEX('2017'!$D$5:$D$73,MATCH(B67,'2017'!$A$5:$A$73,0)),0)=0,"N/A",INDEX('2017'!$D$5:$D$73,MATCH(B67,'2017'!$A$5:$A$73,0)))</f>
        <v>22.719000000000001</v>
      </c>
      <c r="G67" s="67">
        <f>IF(IFERROR(INDEX('2016'!$D$5:$D$73,MATCH(B67,'2016'!$A$5:$A$73,0)),0)=0,"N/A",INDEX('2016'!$D$5:$D$73,MATCH(B67,'2016'!$A$5:$A$73,0)))</f>
        <v>20.824999999999999</v>
      </c>
      <c r="H67" s="59">
        <v>20.199000000000002</v>
      </c>
      <c r="I67" s="59">
        <v>19.625</v>
      </c>
      <c r="J67" s="59">
        <v>19.145</v>
      </c>
      <c r="K67" s="59">
        <v>18.896000000000001</v>
      </c>
      <c r="L67" s="59">
        <v>17.5</v>
      </c>
      <c r="M67" s="59">
        <v>17.355</v>
      </c>
      <c r="N67" s="59">
        <v>17.818999999999999</v>
      </c>
      <c r="O67" s="59">
        <v>17.904</v>
      </c>
      <c r="P67" s="59">
        <v>17.491</v>
      </c>
      <c r="Q67" s="59">
        <v>17.305</v>
      </c>
    </row>
    <row r="68" spans="1:17" x14ac:dyDescent="0.2">
      <c r="A68" s="59" t="s">
        <v>156</v>
      </c>
      <c r="B68" s="59" t="s">
        <v>42</v>
      </c>
      <c r="C68" s="59" t="str">
        <f>IF(IFERROR(INDEX('2020'!$D$5:$D$73,MATCH(B68,'2020'!$A$5:$A$73,0)),0)=0,"N/A",INDEX('2020'!$D$5:$D$73,MATCH(B68,'2020'!$A$5:$A$73,0)))</f>
        <v>N/A</v>
      </c>
      <c r="D68" s="59" t="str">
        <f>IF(IFERROR(INDEX('2019'!$D$5:$D$73,MATCH(B68,'2019'!$A$5:$A$73,0)),0)=0,"N/A",INDEX('2019'!$D$5:$D$73,MATCH(B68,'2019'!$A$5:$A$73,0)))</f>
        <v>N/A</v>
      </c>
      <c r="E68" s="59" t="str">
        <f>IF(IFERROR(INDEX('2018'!$D$5:$D$73,MATCH(B68,'2018'!$A$5:$A$73,0)),0)=0,"N/A",INDEX('2018'!$D$5:$D$73,MATCH(B68,'2018'!$A$5:$A$73,0)))</f>
        <v>N/A</v>
      </c>
      <c r="F68" s="59">
        <f>IF(IFERROR(INDEX('2017'!$D$5:$D$73,MATCH(B68,'2017'!$A$5:$A$73,0)),0)=0,"N/A",INDEX('2017'!$D$5:$D$73,MATCH(B68,'2017'!$A$5:$A$73,0)))</f>
        <v>22.280999999999999</v>
      </c>
      <c r="G68" s="67">
        <f>IF(IFERROR(INDEX('2016'!$D$5:$D$73,MATCH(B68,'2016'!$A$5:$A$73,0)),0)=0,"N/A",INDEX('2016'!$D$5:$D$73,MATCH(B68,'2016'!$A$5:$A$73,0)))</f>
        <v>21.327999999999999</v>
      </c>
      <c r="H68" s="59">
        <v>20.335999999999999</v>
      </c>
      <c r="I68" s="59">
        <v>19.45</v>
      </c>
      <c r="J68" s="59">
        <v>18.863</v>
      </c>
      <c r="K68" s="59">
        <v>18.565999999999999</v>
      </c>
      <c r="L68" s="59">
        <v>17.893999999999998</v>
      </c>
      <c r="M68" s="59">
        <v>17.611999999999998</v>
      </c>
      <c r="N68" s="59">
        <v>17.228000000000002</v>
      </c>
      <c r="O68" s="59">
        <v>16.681000000000001</v>
      </c>
      <c r="P68" s="59">
        <v>16.157</v>
      </c>
      <c r="Q68" s="59">
        <v>15.43</v>
      </c>
    </row>
    <row r="69" spans="1:17" x14ac:dyDescent="0.2">
      <c r="A69" s="59" t="s">
        <v>217</v>
      </c>
      <c r="B69" s="59" t="s">
        <v>44</v>
      </c>
      <c r="C69" s="59">
        <f>IF(IFERROR(INDEX('2020'!$D$5:$D$73,MATCH(B69,'2020'!$A$5:$A$73,0)),0)=0,"N/A",INDEX('2020'!$D$5:$D$73,MATCH(B69,'2020'!$A$5:$A$73,0)))</f>
        <v>33.191000000000003</v>
      </c>
      <c r="D69" s="59">
        <f>IF(IFERROR(INDEX('2019'!$D$5:$D$73,MATCH(B69,'2019'!$A$5:$A$73,0)),0)=0,"N/A",INDEX('2019'!$D$5:$D$73,MATCH(B69,'2019'!$A$5:$A$73,0)))</f>
        <v>32.061999999999998</v>
      </c>
      <c r="E69" s="59">
        <f>IF(IFERROR(INDEX('2018'!$D$5:$D$73,MATCH(B69,'2018'!$A$5:$A$73,0)),0)=0,"N/A",INDEX('2018'!$D$5:$D$73,MATCH(B69,'2018'!$A$5:$A$73,0)))</f>
        <v>31.024000000000001</v>
      </c>
      <c r="F69" s="59">
        <f>IF(IFERROR(INDEX('2017'!$D$5:$D$73,MATCH(B69,'2017'!$A$5:$A$73,0)),0)=0,"N/A",INDEX('2017'!$D$5:$D$73,MATCH(B69,'2017'!$A$5:$A$73,0)))</f>
        <v>29.981000000000002</v>
      </c>
      <c r="G69" s="67">
        <f>IF(IFERROR(INDEX('2016'!$D$5:$D$73,MATCH(B69,'2016'!$A$5:$A$73,0)),0)=0,"N/A",INDEX('2016'!$D$5:$D$73,MATCH(B69,'2016'!$A$5:$A$73,0)))</f>
        <v>28.292999999999999</v>
      </c>
      <c r="H69" s="59">
        <v>27.416</v>
      </c>
      <c r="I69" s="59">
        <v>19.597999999999999</v>
      </c>
      <c r="J69" s="59">
        <v>18.733000000000001</v>
      </c>
      <c r="K69" s="59">
        <v>18.053999999999998</v>
      </c>
      <c r="L69" s="59">
        <v>17.195</v>
      </c>
      <c r="M69" s="59">
        <v>16.263999999999999</v>
      </c>
      <c r="N69" s="59">
        <v>15.255000000000001</v>
      </c>
      <c r="O69" s="59">
        <v>14.27</v>
      </c>
      <c r="P69" s="59">
        <v>13.250999999999999</v>
      </c>
      <c r="Q69" s="59">
        <v>12.349</v>
      </c>
    </row>
    <row r="70" spans="1:17" x14ac:dyDescent="0.2">
      <c r="A70" s="59" t="s">
        <v>157</v>
      </c>
      <c r="B70" s="59" t="s">
        <v>43</v>
      </c>
      <c r="C70" s="59" t="str">
        <f>IF(IFERROR(INDEX('2020'!$D$5:$D$73,MATCH(B70,'2020'!$A$5:$A$73,0)),0)=0,"N/A",INDEX('2020'!$D$5:$D$73,MATCH(B70,'2020'!$A$5:$A$73,0)))</f>
        <v>N/A</v>
      </c>
      <c r="D70" s="59" t="str">
        <f>IF(IFERROR(INDEX('2019'!$D$5:$D$73,MATCH(B70,'2019'!$A$5:$A$73,0)),0)=0,"N/A",INDEX('2019'!$D$5:$D$73,MATCH(B70,'2019'!$A$5:$A$73,0)))</f>
        <v>N/A</v>
      </c>
      <c r="E70" s="59" t="str">
        <f>IF(IFERROR(INDEX('2018'!$D$5:$D$73,MATCH(B70,'2018'!$A$5:$A$73,0)),0)=0,"N/A",INDEX('2018'!$D$5:$D$73,MATCH(B70,'2018'!$A$5:$A$73,0)))</f>
        <v>N/A</v>
      </c>
      <c r="F70" s="59">
        <f>IF(IFERROR(INDEX('2017'!$D$5:$D$73,MATCH(B70,'2017'!$A$5:$A$73,0)),0)=0,"N/A",INDEX('2017'!$D$5:$D$73,MATCH(B70,'2017'!$A$5:$A$73,0)))</f>
        <v>27.5</v>
      </c>
      <c r="G70" s="67">
        <f>IF(IFERROR(INDEX('2016'!$D$5:$D$73,MATCH(B70,'2016'!$A$5:$A$73,0)),0)=0,"N/A",INDEX('2016'!$D$5:$D$73,MATCH(B70,'2016'!$A$5:$A$73,0)))</f>
        <v>26.841000000000001</v>
      </c>
      <c r="H70" s="59">
        <v>25.869</v>
      </c>
      <c r="I70" s="59">
        <v>25.02</v>
      </c>
      <c r="J70" s="59">
        <v>23.879000000000001</v>
      </c>
      <c r="K70" s="59">
        <v>22.893999999999998</v>
      </c>
      <c r="L70" s="59">
        <v>22.030999999999999</v>
      </c>
      <c r="M70" s="59">
        <v>21.251000000000001</v>
      </c>
      <c r="N70" s="59">
        <v>20.585999999999999</v>
      </c>
      <c r="O70" s="59">
        <v>20.184000000000001</v>
      </c>
      <c r="P70" s="59">
        <v>19.138999999999999</v>
      </c>
      <c r="Q70" s="59">
        <v>17.614999999999998</v>
      </c>
    </row>
    <row r="71" spans="1:17" x14ac:dyDescent="0.2">
      <c r="A71" s="59" t="s">
        <v>205</v>
      </c>
      <c r="B71" s="59" t="s">
        <v>206</v>
      </c>
      <c r="C71" s="59" t="str">
        <f>IF(IFERROR(INDEX('2020'!$D$5:$D$73,MATCH(B71,'2020'!$A$5:$A$73,0)),0)=0,"N/A",INDEX('2020'!$D$5:$D$73,MATCH(B71,'2020'!$A$5:$A$73,0)))</f>
        <v>N/A</v>
      </c>
      <c r="D71" s="59" t="str">
        <f>IF(IFERROR(INDEX('2019'!$D$5:$D$73,MATCH(B71,'2019'!$A$5:$A$73,0)),0)=0,"N/A",INDEX('2019'!$D$5:$D$73,MATCH(B71,'2019'!$A$5:$A$73,0)))</f>
        <v>N/A</v>
      </c>
      <c r="E71" s="59" t="str">
        <f>IF(IFERROR(INDEX('2018'!$D$5:$D$73,MATCH(B71,'2018'!$A$5:$A$73,0)),0)=0,"N/A",INDEX('2018'!$D$5:$D$73,MATCH(B71,'2018'!$A$5:$A$73,0)))</f>
        <v>N/A</v>
      </c>
      <c r="F71" s="59">
        <f>IF(IFERROR(INDEX('2017'!$D$5:$D$73,MATCH(B71,'2017'!$A$5:$A$73,0)),0)=0,"N/A",INDEX('2017'!$D$5:$D$73,MATCH(B71,'2017'!$A$5:$A$73,0)))</f>
        <v>29.347000000000001</v>
      </c>
      <c r="G71" s="67">
        <f>IF(IFERROR(INDEX('2016'!$D$5:$D$73,MATCH(B71,'2016'!$A$5:$A$73,0)),0)=0,"N/A",INDEX('2016'!$D$5:$D$73,MATCH(B71,'2016'!$A$5:$A$73,0)))</f>
        <v>26.777999999999999</v>
      </c>
      <c r="H71" s="59">
        <v>24.972999999999999</v>
      </c>
      <c r="I71" s="59">
        <v>24.084</v>
      </c>
      <c r="J71" s="59">
        <v>24.654</v>
      </c>
      <c r="K71" s="59">
        <v>24.640999999999998</v>
      </c>
      <c r="L71" s="59">
        <v>23.492999999999999</v>
      </c>
      <c r="M71" s="59">
        <v>22.821999999999999</v>
      </c>
      <c r="N71" s="59">
        <v>21.890999999999998</v>
      </c>
      <c r="O71" s="59">
        <v>20.986000000000001</v>
      </c>
      <c r="P71" s="59">
        <v>19.834</v>
      </c>
      <c r="Q71" s="59">
        <v>18.856000000000002</v>
      </c>
    </row>
    <row r="72" spans="1:17" x14ac:dyDescent="0.2">
      <c r="A72" s="59" t="s">
        <v>158</v>
      </c>
      <c r="B72" s="59" t="s">
        <v>45</v>
      </c>
      <c r="C72" s="59">
        <f>IF(IFERROR(INDEX('2020'!$D$5:$D$73,MATCH(B72,'2020'!$A$5:$A$73,0)),0)=0,"N/A",INDEX('2020'!$D$5:$D$73,MATCH(B72,'2020'!$A$5:$A$73,0)))</f>
        <v>27.119</v>
      </c>
      <c r="D72" s="59">
        <f>IF(IFERROR(INDEX('2019'!$D$5:$D$73,MATCH(B72,'2019'!$A$5:$A$73,0)),0)=0,"N/A",INDEX('2019'!$D$5:$D$73,MATCH(B72,'2019'!$A$5:$A$73,0)))</f>
        <v>25.239000000000001</v>
      </c>
      <c r="E72" s="59">
        <f>IF(IFERROR(INDEX('2018'!$D$5:$D$73,MATCH(B72,'2018'!$A$5:$A$73,0)),0)=0,"N/A",INDEX('2018'!$D$5:$D$73,MATCH(B72,'2018'!$A$5:$A$73,0)))</f>
        <v>23.777000000000001</v>
      </c>
      <c r="F72" s="59">
        <f>IF(IFERROR(INDEX('2017'!$D$5:$D$73,MATCH(B72,'2017'!$A$5:$A$73,0)),0)=0,"N/A",INDEX('2017'!$D$5:$D$73,MATCH(B72,'2017'!$A$5:$A$73,0)))</f>
        <v>22.56</v>
      </c>
      <c r="G72" s="67">
        <f>IF(IFERROR(INDEX('2016'!$D$5:$D$73,MATCH(B72,'2016'!$A$5:$A$73,0)),0)=0,"N/A",INDEX('2016'!$D$5:$D$73,MATCH(B72,'2016'!$A$5:$A$73,0)))</f>
        <v>21.728000000000002</v>
      </c>
      <c r="H72" s="59">
        <v>20.887</v>
      </c>
      <c r="I72" s="59">
        <v>20.196999999999999</v>
      </c>
      <c r="J72" s="59">
        <v>19.21</v>
      </c>
      <c r="K72" s="59">
        <v>18.186</v>
      </c>
      <c r="L72" s="59">
        <v>17.434999999999999</v>
      </c>
      <c r="M72" s="59">
        <v>16.759</v>
      </c>
      <c r="N72" s="59">
        <v>15.919</v>
      </c>
      <c r="O72" s="59">
        <v>15.346</v>
      </c>
      <c r="P72" s="59">
        <v>14.695</v>
      </c>
      <c r="Q72" s="59">
        <v>14.282</v>
      </c>
    </row>
    <row r="73" spans="1:17" x14ac:dyDescent="0.2">
      <c r="A73" s="59" t="s">
        <v>207</v>
      </c>
      <c r="B73" s="59" t="s">
        <v>208</v>
      </c>
      <c r="C73" s="59">
        <f>IF(IFERROR(INDEX('2020'!$D$5:$D$73,MATCH(B73,'2020'!$A$5:$A$73,0)),0)=0,"N/A",INDEX('2020'!$D$5:$D$73,MATCH(B73,'2020'!$A$5:$A$73,0)))</f>
        <v>10.968</v>
      </c>
      <c r="D73" s="59">
        <f>IF(IFERROR(INDEX('2019'!$D$5:$D$73,MATCH(B73,'2019'!$A$5:$A$73,0)),0)=0,"N/A",INDEX('2019'!$D$5:$D$73,MATCH(B73,'2019'!$A$5:$A$73,0)))</f>
        <v>10.31</v>
      </c>
      <c r="E73" s="59">
        <f>IF(IFERROR(INDEX('2018'!$D$5:$D$73,MATCH(B73,'2018'!$A$5:$A$73,0)),0)=0,"N/A",INDEX('2018'!$D$5:$D$73,MATCH(B73,'2018'!$A$5:$A$73,0)))</f>
        <v>9.7490000000000006</v>
      </c>
      <c r="F73" s="59">
        <f>IF(IFERROR(INDEX('2017'!$D$5:$D$73,MATCH(B73,'2017'!$A$5:$A$73,0)),0)=0,"N/A",INDEX('2017'!$D$5:$D$73,MATCH(B73,'2017'!$A$5:$A$73,0)))</f>
        <v>9.2759999999999998</v>
      </c>
      <c r="G73" s="67">
        <f>IF(IFERROR(INDEX('2016'!$D$5:$D$73,MATCH(B73,'2016'!$A$5:$A$73,0)),0)=0,"N/A",INDEX('2016'!$D$5:$D$73,MATCH(B73,'2016'!$A$5:$A$73,0)))</f>
        <v>8.875</v>
      </c>
      <c r="H73" s="59">
        <v>8.5129999999999999</v>
      </c>
      <c r="I73" s="59">
        <v>8.15</v>
      </c>
      <c r="J73" s="59">
        <v>7.9749999999999996</v>
      </c>
      <c r="K73" s="59">
        <v>7.7270000000000003</v>
      </c>
      <c r="L73" s="59">
        <v>7.4470000000000001</v>
      </c>
      <c r="M73" s="59">
        <v>7.19</v>
      </c>
      <c r="N73" s="59">
        <v>6.9210000000000003</v>
      </c>
      <c r="O73" s="59">
        <v>6.1369999999999996</v>
      </c>
      <c r="P73" s="59">
        <v>5.9720000000000004</v>
      </c>
      <c r="Q73" s="59">
        <v>5.835</v>
      </c>
    </row>
  </sheetData>
  <autoFilter ref="A3:R73"/>
  <printOptions headings="1"/>
  <pageMargins left="0.3" right="0.3" top="0.75" bottom="0.75" header="0.3" footer="0.3"/>
  <pageSetup fitToHeight="0" orientation="landscape" r:id="rId1"/>
  <headerFooter>
    <oddHeader>&amp;R&amp;A
&amp;P/&amp;N</oddHead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B1:E50"/>
  <sheetViews>
    <sheetView zoomScaleNormal="100" workbookViewId="0">
      <pane ySplit="3" topLeftCell="A25" activePane="bottomLeft" state="frozen"/>
      <selection activeCell="C50" sqref="C50"/>
      <selection pane="bottomLeft" activeCell="E51" sqref="E51"/>
    </sheetView>
  </sheetViews>
  <sheetFormatPr defaultRowHeight="13.8" x14ac:dyDescent="0.25"/>
  <cols>
    <col min="1" max="1" width="2.09765625" customWidth="1"/>
    <col min="2" max="2" width="11" customWidth="1"/>
    <col min="3" max="3" width="12.8984375" customWidth="1"/>
    <col min="4" max="4" width="7.5" bestFit="1" customWidth="1"/>
    <col min="5" max="5" width="9.8984375" bestFit="1" customWidth="1"/>
  </cols>
  <sheetData>
    <row r="1" spans="2:5" x14ac:dyDescent="0.25">
      <c r="E1" s="129" t="str">
        <f>TEXT(E49,"mmmm d, yyyy")</f>
        <v>December 31, 2023</v>
      </c>
    </row>
    <row r="2" spans="2:5" x14ac:dyDescent="0.25">
      <c r="B2" s="286" t="s">
        <v>358</v>
      </c>
      <c r="C2" s="286"/>
    </row>
    <row r="3" spans="2:5" x14ac:dyDescent="0.25">
      <c r="B3" s="24" t="s">
        <v>359</v>
      </c>
      <c r="C3" s="24" t="s">
        <v>360</v>
      </c>
    </row>
    <row r="6" spans="2:5" x14ac:dyDescent="0.25">
      <c r="B6" s="1">
        <v>1980</v>
      </c>
      <c r="C6" s="96">
        <v>0.13339999999999999</v>
      </c>
    </row>
    <row r="7" spans="2:5" x14ac:dyDescent="0.25">
      <c r="B7" s="1">
        <v>1981</v>
      </c>
      <c r="C7" s="96">
        <v>0.1595</v>
      </c>
    </row>
    <row r="8" spans="2:5" x14ac:dyDescent="0.25">
      <c r="B8" s="1">
        <v>1982</v>
      </c>
      <c r="C8" s="96">
        <v>0.15859999999999999</v>
      </c>
    </row>
    <row r="9" spans="2:5" x14ac:dyDescent="0.25">
      <c r="B9" s="1">
        <v>1983</v>
      </c>
      <c r="C9" s="96">
        <v>0.1366</v>
      </c>
    </row>
    <row r="10" spans="2:5" x14ac:dyDescent="0.25">
      <c r="B10" s="1">
        <v>1984</v>
      </c>
      <c r="C10" s="96">
        <v>0.14030000000000001</v>
      </c>
    </row>
    <row r="11" spans="2:5" x14ac:dyDescent="0.25">
      <c r="B11" s="1">
        <v>1985</v>
      </c>
      <c r="C11" s="96">
        <v>0.12470000000000001</v>
      </c>
    </row>
    <row r="12" spans="2:5" x14ac:dyDescent="0.25">
      <c r="B12" s="1">
        <v>1986</v>
      </c>
      <c r="C12" s="96">
        <v>9.5799999999999996E-2</v>
      </c>
    </row>
    <row r="13" spans="2:5" x14ac:dyDescent="0.25">
      <c r="B13" s="1">
        <v>1987</v>
      </c>
      <c r="C13" s="96">
        <v>0.10100000000000001</v>
      </c>
    </row>
    <row r="14" spans="2:5" x14ac:dyDescent="0.25">
      <c r="B14" s="1">
        <v>1988</v>
      </c>
      <c r="C14" s="96">
        <v>0.10489999999999999</v>
      </c>
    </row>
    <row r="15" spans="2:5" x14ac:dyDescent="0.25">
      <c r="B15" s="1">
        <v>1989</v>
      </c>
      <c r="C15" s="96">
        <v>9.7699999999999995E-2</v>
      </c>
    </row>
    <row r="16" spans="2:5" x14ac:dyDescent="0.25">
      <c r="B16" s="1">
        <v>1990</v>
      </c>
      <c r="C16" s="96">
        <v>9.8599999999999993E-2</v>
      </c>
    </row>
    <row r="17" spans="2:3" x14ac:dyDescent="0.25">
      <c r="B17" s="1">
        <v>1991</v>
      </c>
      <c r="C17" s="96">
        <v>9.3600000000000003E-2</v>
      </c>
    </row>
    <row r="18" spans="2:3" x14ac:dyDescent="0.25">
      <c r="B18" s="1">
        <v>1992</v>
      </c>
      <c r="C18" s="96">
        <v>8.6900000000000005E-2</v>
      </c>
    </row>
    <row r="19" spans="2:3" x14ac:dyDescent="0.25">
      <c r="B19" s="1">
        <v>1993</v>
      </c>
      <c r="C19" s="96">
        <v>7.5899999999999995E-2</v>
      </c>
    </row>
    <row r="20" spans="2:3" x14ac:dyDescent="0.25">
      <c r="B20" s="1">
        <v>1994</v>
      </c>
      <c r="C20" s="96">
        <v>8.3099999999999993E-2</v>
      </c>
    </row>
    <row r="21" spans="2:3" x14ac:dyDescent="0.25">
      <c r="B21" s="1">
        <v>1995</v>
      </c>
      <c r="C21" s="96">
        <v>7.8899999999999998E-2</v>
      </c>
    </row>
    <row r="22" spans="2:3" x14ac:dyDescent="0.25">
      <c r="B22" s="1">
        <v>1996</v>
      </c>
      <c r="C22" s="96">
        <v>7.7499999999999999E-2</v>
      </c>
    </row>
    <row r="23" spans="2:3" x14ac:dyDescent="0.25">
      <c r="B23" s="1">
        <v>1997</v>
      </c>
      <c r="C23" s="96">
        <v>7.5999999999999998E-2</v>
      </c>
    </row>
    <row r="24" spans="2:3" x14ac:dyDescent="0.25">
      <c r="B24" s="1">
        <v>1998</v>
      </c>
      <c r="C24" s="96">
        <v>7.0400000000000004E-2</v>
      </c>
    </row>
    <row r="25" spans="2:3" x14ac:dyDescent="0.25">
      <c r="B25" s="1">
        <v>1999</v>
      </c>
      <c r="C25" s="96">
        <v>7.6200000000000004E-2</v>
      </c>
    </row>
    <row r="26" spans="2:3" x14ac:dyDescent="0.25">
      <c r="B26" s="1">
        <v>2000</v>
      </c>
      <c r="C26" s="96">
        <v>8.2441666666666663E-2</v>
      </c>
    </row>
    <row r="27" spans="2:3" x14ac:dyDescent="0.25">
      <c r="B27" s="1">
        <v>2001</v>
      </c>
      <c r="C27" s="77">
        <v>7.7625E-2</v>
      </c>
    </row>
    <row r="28" spans="2:3" x14ac:dyDescent="0.25">
      <c r="B28" s="1">
        <v>2002</v>
      </c>
      <c r="C28" s="77">
        <v>7.3724999999999999E-2</v>
      </c>
    </row>
    <row r="29" spans="2:3" x14ac:dyDescent="0.25">
      <c r="B29" s="1">
        <v>2003</v>
      </c>
      <c r="C29" s="77">
        <v>6.580833333333333E-2</v>
      </c>
    </row>
    <row r="30" spans="2:3" x14ac:dyDescent="0.25">
      <c r="B30" s="1">
        <v>2004</v>
      </c>
      <c r="C30" s="77">
        <v>6.1599999999999995E-2</v>
      </c>
    </row>
    <row r="31" spans="2:3" x14ac:dyDescent="0.25">
      <c r="B31" s="1">
        <v>2005</v>
      </c>
      <c r="C31" s="77">
        <v>5.6491666666666662E-2</v>
      </c>
    </row>
    <row r="32" spans="2:3" x14ac:dyDescent="0.25">
      <c r="B32" s="1">
        <v>2006</v>
      </c>
      <c r="C32" s="77">
        <v>6.0683333333333332E-2</v>
      </c>
    </row>
    <row r="33" spans="2:5" x14ac:dyDescent="0.25">
      <c r="B33" s="1">
        <v>2007</v>
      </c>
      <c r="C33" s="77">
        <v>6.0733333333333334E-2</v>
      </c>
    </row>
    <row r="34" spans="2:5" x14ac:dyDescent="0.25">
      <c r="B34" s="1">
        <v>2008</v>
      </c>
      <c r="C34" s="77">
        <v>6.5283333333333332E-2</v>
      </c>
    </row>
    <row r="35" spans="2:5" x14ac:dyDescent="0.25">
      <c r="B35" s="1">
        <v>2009</v>
      </c>
      <c r="C35" s="77">
        <v>6.0391666666666656E-2</v>
      </c>
    </row>
    <row r="36" spans="2:5" x14ac:dyDescent="0.25">
      <c r="B36" s="1">
        <v>2010</v>
      </c>
      <c r="C36" s="77">
        <v>5.4644377733549555E-2</v>
      </c>
    </row>
    <row r="37" spans="2:5" x14ac:dyDescent="0.25">
      <c r="B37" s="1">
        <v>2011</v>
      </c>
      <c r="C37" s="77">
        <v>5.0407157265811221E-2</v>
      </c>
    </row>
    <row r="38" spans="2:5" x14ac:dyDescent="0.25">
      <c r="B38" s="1">
        <v>2012</v>
      </c>
      <c r="C38" s="77">
        <v>4.1308564221010043E-2</v>
      </c>
    </row>
    <row r="39" spans="2:5" x14ac:dyDescent="0.25">
      <c r="B39" s="1">
        <v>2013</v>
      </c>
      <c r="C39" s="77">
        <v>4.4759707479483019E-2</v>
      </c>
    </row>
    <row r="40" spans="2:5" x14ac:dyDescent="0.25">
      <c r="B40" s="1">
        <v>2014</v>
      </c>
      <c r="C40" s="77">
        <v>4.2774094021446961E-2</v>
      </c>
    </row>
    <row r="41" spans="2:5" x14ac:dyDescent="0.25">
      <c r="B41" s="1">
        <v>2015</v>
      </c>
      <c r="C41" s="77">
        <v>4.1153967589428117E-2</v>
      </c>
    </row>
    <row r="42" spans="2:5" x14ac:dyDescent="0.25">
      <c r="B42" s="1">
        <v>2016</v>
      </c>
      <c r="C42" s="77">
        <v>3.930199127182251E-2</v>
      </c>
      <c r="D42" s="129"/>
    </row>
    <row r="43" spans="2:5" x14ac:dyDescent="0.25">
      <c r="B43" s="1">
        <v>2017</v>
      </c>
      <c r="C43" s="77">
        <v>3.9988761663160968E-2</v>
      </c>
      <c r="E43" s="129"/>
    </row>
    <row r="44" spans="2:5" x14ac:dyDescent="0.25">
      <c r="B44" s="1">
        <v>2018</v>
      </c>
      <c r="C44" s="77">
        <v>4.2502293815071278E-2</v>
      </c>
    </row>
    <row r="45" spans="2:5" x14ac:dyDescent="0.25">
      <c r="B45" s="1">
        <v>2019</v>
      </c>
      <c r="C45" s="77">
        <v>3.7674047524113317E-2</v>
      </c>
    </row>
    <row r="46" spans="2:5" x14ac:dyDescent="0.25">
      <c r="B46" s="1">
        <v>2020</v>
      </c>
      <c r="C46" s="77">
        <v>3.0525263490164798E-2</v>
      </c>
    </row>
    <row r="47" spans="2:5" x14ac:dyDescent="0.25">
      <c r="B47" s="1">
        <v>2021</v>
      </c>
      <c r="C47" s="77">
        <v>3.102870206881524E-2</v>
      </c>
      <c r="D47" t="s">
        <v>408</v>
      </c>
      <c r="E47" s="29">
        <v>44561</v>
      </c>
    </row>
    <row r="48" spans="2:5" x14ac:dyDescent="0.25">
      <c r="B48" s="1">
        <v>2022</v>
      </c>
      <c r="C48" s="77">
        <v>4.7399999999999998E-2</v>
      </c>
      <c r="D48" t="s">
        <v>408</v>
      </c>
      <c r="E48" s="29">
        <v>44926</v>
      </c>
    </row>
    <row r="49" spans="2:5" x14ac:dyDescent="0.25">
      <c r="B49" s="1">
        <v>2023</v>
      </c>
      <c r="C49" s="77">
        <v>5.5500000000000001E-2</v>
      </c>
      <c r="D49" s="269" t="s">
        <v>408</v>
      </c>
      <c r="E49" s="29">
        <v>45291</v>
      </c>
    </row>
    <row r="50" spans="2:5" x14ac:dyDescent="0.25">
      <c r="B50" s="1">
        <v>2024</v>
      </c>
      <c r="C50" s="77">
        <v>5.62E-2</v>
      </c>
      <c r="D50" s="272" t="s">
        <v>408</v>
      </c>
      <c r="E50" s="29">
        <v>45422</v>
      </c>
    </row>
  </sheetData>
  <mergeCells count="1">
    <mergeCell ref="B2:C2"/>
  </mergeCells>
  <printOptions headings="1"/>
  <pageMargins left="0.7" right="0.7" top="0.75" bottom="0.75" header="0.3" footer="0.3"/>
  <pageSetup orientation="portrait" r:id="rId1"/>
  <headerFooter>
    <oddHeader>&amp;R&amp;Z&amp;F - &amp;A
&amp;P/&amp;N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  <pageSetUpPr fitToPage="1"/>
  </sheetPr>
  <dimension ref="A1:L55"/>
  <sheetViews>
    <sheetView topLeftCell="A7" zoomScale="80" zoomScaleNormal="80" zoomScaleSheetLayoutView="80" zoomScalePageLayoutView="80" workbookViewId="0">
      <selection activeCell="D33" sqref="D33"/>
    </sheetView>
  </sheetViews>
  <sheetFormatPr defaultColWidth="9" defaultRowHeight="13.8" x14ac:dyDescent="0.25"/>
  <cols>
    <col min="1" max="1" width="10.69921875" style="5" customWidth="1"/>
    <col min="2" max="2" width="8" style="5" customWidth="1"/>
    <col min="3" max="3" width="3.8984375" style="5" customWidth="1"/>
    <col min="4" max="6" width="17.59765625" style="5" customWidth="1"/>
    <col min="7" max="10" width="9" style="5"/>
    <col min="11" max="11" width="10.8984375" style="5" bestFit="1" customWidth="1"/>
    <col min="12" max="16384" width="9" style="5"/>
  </cols>
  <sheetData>
    <row r="1" spans="1:12" ht="27" customHeight="1" x14ac:dyDescent="0.4">
      <c r="A1" s="287"/>
      <c r="B1" s="287"/>
      <c r="C1" s="287"/>
      <c r="D1" s="287"/>
      <c r="E1" s="287"/>
      <c r="F1" s="287"/>
    </row>
    <row r="2" spans="1:12" x14ac:dyDescent="0.25">
      <c r="A2" s="130"/>
      <c r="B2" s="131"/>
      <c r="C2" s="131"/>
    </row>
    <row r="3" spans="1:12" x14ac:dyDescent="0.25">
      <c r="A3" s="130"/>
      <c r="B3" s="131"/>
      <c r="C3" s="131"/>
    </row>
    <row r="4" spans="1:12" x14ac:dyDescent="0.25">
      <c r="A4" s="130"/>
      <c r="B4" s="131"/>
      <c r="C4" s="131"/>
    </row>
    <row r="5" spans="1:12" ht="21" x14ac:dyDescent="0.4">
      <c r="A5" s="288" t="s">
        <v>378</v>
      </c>
      <c r="B5" s="288"/>
      <c r="C5" s="288"/>
      <c r="D5" s="288"/>
      <c r="E5" s="288"/>
      <c r="F5" s="288"/>
    </row>
    <row r="6" spans="1:12" x14ac:dyDescent="0.25">
      <c r="A6" s="130"/>
      <c r="B6" s="131"/>
      <c r="C6" s="131"/>
    </row>
    <row r="7" spans="1:12" x14ac:dyDescent="0.25">
      <c r="A7" s="130"/>
      <c r="B7" s="131"/>
      <c r="C7" s="131"/>
    </row>
    <row r="8" spans="1:12" x14ac:dyDescent="0.25">
      <c r="A8" s="130"/>
      <c r="B8" s="132"/>
      <c r="C8" s="132"/>
      <c r="D8" s="132"/>
      <c r="E8" s="132"/>
      <c r="F8" s="132"/>
    </row>
    <row r="9" spans="1:12" x14ac:dyDescent="0.25">
      <c r="A9" s="133"/>
      <c r="B9" s="134"/>
      <c r="C9" s="134"/>
      <c r="D9" s="134" t="s">
        <v>379</v>
      </c>
      <c r="E9" s="134"/>
      <c r="F9" s="135"/>
    </row>
    <row r="10" spans="1:12" x14ac:dyDescent="0.25">
      <c r="A10" s="136" t="s">
        <v>96</v>
      </c>
      <c r="B10" s="137" t="s">
        <v>380</v>
      </c>
      <c r="C10" s="138"/>
      <c r="D10" s="137" t="s">
        <v>381</v>
      </c>
      <c r="E10" s="137" t="s">
        <v>382</v>
      </c>
      <c r="F10" s="138" t="s">
        <v>383</v>
      </c>
    </row>
    <row r="11" spans="1:12" x14ac:dyDescent="0.25">
      <c r="A11" s="136"/>
      <c r="B11" s="137"/>
      <c r="C11" s="139"/>
      <c r="D11" s="139">
        <v>-1</v>
      </c>
      <c r="E11" s="139">
        <v>-2</v>
      </c>
      <c r="F11" s="139">
        <v>-3</v>
      </c>
    </row>
    <row r="12" spans="1:12" x14ac:dyDescent="0.25">
      <c r="A12" s="136"/>
      <c r="B12" s="137"/>
      <c r="C12" s="137"/>
      <c r="D12" s="132"/>
      <c r="F12" s="137"/>
      <c r="J12" s="140"/>
      <c r="K12" s="140"/>
      <c r="L12" s="140"/>
    </row>
    <row r="13" spans="1:12" s="145" customFormat="1" ht="15.75" customHeight="1" x14ac:dyDescent="0.25">
      <c r="A13" s="4">
        <f>MAX($A$12:A12)+1</f>
        <v>1</v>
      </c>
      <c r="B13" s="141">
        <v>2004</v>
      </c>
      <c r="C13" s="77"/>
      <c r="D13" s="142">
        <f>AVERAGEIF('Treas 20 yr'!$E$8:$E$785,'Implied Inflation'!B13,'Treas 20 yr'!$G$8:$G$785)/100</f>
        <v>4.9699999999999994E-2</v>
      </c>
      <c r="E13" s="142">
        <f>AVERAGEIF('FRED 20 yr TIPS monthly'!$E$8:$E$170,'Implied Inflation'!B13,'FRED 20 yr TIPS monthly'!$G$8:$G$170)/100</f>
        <v>2.1783333333333332E-2</v>
      </c>
      <c r="F13" s="77">
        <f>(1+D13)/(1+E13)-1</f>
        <v>2.7321513040925227E-2</v>
      </c>
      <c r="G13" s="143"/>
      <c r="H13" s="144"/>
      <c r="I13" s="145" t="s">
        <v>384</v>
      </c>
      <c r="J13" s="146"/>
      <c r="K13" s="147"/>
      <c r="L13" s="140"/>
    </row>
    <row r="14" spans="1:12" ht="15.75" customHeight="1" x14ac:dyDescent="0.25">
      <c r="A14" s="4">
        <f>MAX($A$12:A13)+1</f>
        <v>2</v>
      </c>
      <c r="B14" s="141">
        <v>2005</v>
      </c>
      <c r="C14" s="77"/>
      <c r="D14" s="142">
        <f>AVERAGEIF('Treas 20 yr'!$E$8:$E$785,'Implied Inflation'!B14,'Treas 20 yr'!$G$8:$G$785)/100</f>
        <v>4.6458333333333331E-2</v>
      </c>
      <c r="E14" s="142">
        <f>AVERAGEIF('FRED 20 yr TIPS monthly'!$E$8:$E$170,'Implied Inflation'!B14,'FRED 20 yr TIPS monthly'!$G$8:$G$170)/100</f>
        <v>1.9675000000000002E-2</v>
      </c>
      <c r="F14" s="77">
        <f t="shared" ref="F14:F26" si="0">(1+D14)/(1+E14)-1</f>
        <v>2.626653917506383E-2</v>
      </c>
      <c r="G14" s="143"/>
      <c r="H14" s="144"/>
      <c r="J14" s="146"/>
      <c r="K14" s="147"/>
      <c r="L14" s="140"/>
    </row>
    <row r="15" spans="1:12" ht="15.75" customHeight="1" x14ac:dyDescent="0.25">
      <c r="A15" s="4">
        <f>MAX($A$12:A14)+1</f>
        <v>3</v>
      </c>
      <c r="B15" s="141">
        <v>2006</v>
      </c>
      <c r="C15" s="77"/>
      <c r="D15" s="142">
        <f>AVERAGEIF('Treas 20 yr'!$E$8:$E$785,'Implied Inflation'!B15,'Treas 20 yr'!$G$8:$G$785)/100</f>
        <v>4.9924999999999997E-2</v>
      </c>
      <c r="E15" s="142">
        <f>AVERAGEIF('FRED 20 yr TIPS monthly'!$E$8:$E$170,'Implied Inflation'!B15,'FRED 20 yr TIPS monthly'!$G$8:$G$170)/100</f>
        <v>2.3074999999999998E-2</v>
      </c>
      <c r="F15" s="77">
        <f t="shared" si="0"/>
        <v>2.6244410233853932E-2</v>
      </c>
      <c r="G15" s="143"/>
      <c r="H15" s="144"/>
      <c r="J15" s="146"/>
      <c r="K15" s="147"/>
      <c r="L15" s="140"/>
    </row>
    <row r="16" spans="1:12" ht="15.75" customHeight="1" x14ac:dyDescent="0.25">
      <c r="A16" s="4">
        <f>MAX($A$12:A15)+1</f>
        <v>4</v>
      </c>
      <c r="B16" s="141">
        <v>2007</v>
      </c>
      <c r="C16" s="77"/>
      <c r="D16" s="142">
        <f>AVERAGEIF('Treas 20 yr'!$E$8:$E$785,'Implied Inflation'!B16,'Treas 20 yr'!$G$8:$G$785)/100</f>
        <v>4.9083333333333333E-2</v>
      </c>
      <c r="E16" s="142">
        <f>AVERAGEIF('FRED 20 yr TIPS monthly'!$E$8:$E$170,'Implied Inflation'!B16,'FRED 20 yr TIPS monthly'!$G$8:$G$170)/100</f>
        <v>2.3550000000000001E-2</v>
      </c>
      <c r="F16" s="77">
        <f t="shared" si="0"/>
        <v>2.4945858368749407E-2</v>
      </c>
      <c r="G16" s="143"/>
      <c r="H16" s="144"/>
      <c r="J16" s="146"/>
      <c r="K16" s="147"/>
      <c r="L16" s="140"/>
    </row>
    <row r="17" spans="1:12" ht="15.75" customHeight="1" x14ac:dyDescent="0.25">
      <c r="A17" s="4">
        <f>MAX($A$12:A16)+1</f>
        <v>5</v>
      </c>
      <c r="B17" s="141">
        <v>2008</v>
      </c>
      <c r="C17" s="77"/>
      <c r="D17" s="142">
        <f>AVERAGEIF('Treas 20 yr'!$E$8:$E$785,'Implied Inflation'!B17,'Treas 20 yr'!$G$8:$G$785)/100</f>
        <v>4.3624999999999997E-2</v>
      </c>
      <c r="E17" s="142">
        <f>AVERAGEIF('FRED 20 yr TIPS monthly'!$E$8:$E$170,'Implied Inflation'!B17,'FRED 20 yr TIPS monthly'!$G$8:$G$170)/100</f>
        <v>2.1850000000000001E-2</v>
      </c>
      <c r="F17" s="77">
        <f t="shared" si="0"/>
        <v>2.1309389832167236E-2</v>
      </c>
      <c r="G17" s="143"/>
      <c r="H17" s="144"/>
      <c r="J17" s="146"/>
      <c r="K17" s="147"/>
      <c r="L17" s="140"/>
    </row>
    <row r="18" spans="1:12" ht="15.75" customHeight="1" x14ac:dyDescent="0.25">
      <c r="A18" s="4">
        <f>MAX($A$12:A17)+1</f>
        <v>6</v>
      </c>
      <c r="B18" s="141">
        <v>2009</v>
      </c>
      <c r="C18" s="77"/>
      <c r="D18" s="142">
        <f>AVERAGEIF('Treas 20 yr'!$E$8:$E$785,'Implied Inflation'!B18,'Treas 20 yr'!$G$8:$G$785)/100</f>
        <v>4.1075000000000007E-2</v>
      </c>
      <c r="E18" s="142">
        <f>AVERAGEIF('FRED 20 yr TIPS monthly'!$E$8:$E$170,'Implied Inflation'!B18,'FRED 20 yr TIPS monthly'!$G$8:$G$170)/100</f>
        <v>2.2133333333333324E-2</v>
      </c>
      <c r="F18" s="77">
        <f t="shared" si="0"/>
        <v>1.8531502739368655E-2</v>
      </c>
      <c r="G18" s="143"/>
      <c r="H18" s="144"/>
      <c r="J18" s="146"/>
      <c r="K18" s="147"/>
      <c r="L18" s="140"/>
    </row>
    <row r="19" spans="1:12" ht="15.75" customHeight="1" x14ac:dyDescent="0.25">
      <c r="A19" s="4">
        <f>MAX($A$12:A18)+1</f>
        <v>7</v>
      </c>
      <c r="B19" s="141">
        <v>2010</v>
      </c>
      <c r="C19" s="77"/>
      <c r="D19" s="142">
        <f>AVERAGEIF('Treas 20 yr'!$E$8:$E$785,'Implied Inflation'!B19,'Treas 20 yr'!$G$8:$G$785)/100</f>
        <v>4.0300000000000002E-2</v>
      </c>
      <c r="E19" s="142">
        <f>AVERAGEIF('FRED 20 yr TIPS monthly'!$E$8:$E$170,'Implied Inflation'!B19,'FRED 20 yr TIPS monthly'!$G$8:$G$170)/100</f>
        <v>1.7316666666666668E-2</v>
      </c>
      <c r="F19" s="77">
        <f t="shared" si="0"/>
        <v>2.2592113239076728E-2</v>
      </c>
      <c r="G19" s="143"/>
      <c r="H19" s="144"/>
      <c r="J19" s="146"/>
      <c r="K19" s="147"/>
      <c r="L19" s="140"/>
    </row>
    <row r="20" spans="1:12" ht="15.75" customHeight="1" x14ac:dyDescent="0.25">
      <c r="A20" s="4">
        <f>MAX($A$12:A19)+1</f>
        <v>8</v>
      </c>
      <c r="B20" s="141">
        <v>2011</v>
      </c>
      <c r="C20" s="77"/>
      <c r="D20" s="142">
        <f>AVERAGEIF('Treas 20 yr'!$E$8:$E$785,'Implied Inflation'!B20,'Treas 20 yr'!$G$8:$G$785)/100</f>
        <v>3.6208333333333328E-2</v>
      </c>
      <c r="E20" s="142">
        <f>AVERAGEIF('FRED 20 yr TIPS monthly'!$E$8:$E$170,'Implied Inflation'!B20,'FRED 20 yr TIPS monthly'!$G$8:$G$170)/100</f>
        <v>1.1916666666666666E-2</v>
      </c>
      <c r="F20" s="77">
        <f t="shared" si="0"/>
        <v>2.400559993411866E-2</v>
      </c>
      <c r="G20" s="143"/>
      <c r="H20" s="144"/>
      <c r="J20" s="146"/>
      <c r="K20" s="147"/>
      <c r="L20" s="140"/>
    </row>
    <row r="21" spans="1:12" ht="15.75" customHeight="1" x14ac:dyDescent="0.25">
      <c r="A21" s="4">
        <f>MAX($A$12:A20)+1</f>
        <v>9</v>
      </c>
      <c r="B21" s="141">
        <v>2012</v>
      </c>
      <c r="C21" s="77"/>
      <c r="D21" s="142">
        <f>AVERAGEIF('Treas 20 yr'!$E$8:$E$785,'Implied Inflation'!B21,'Treas 20 yr'!$G$8:$G$785)/100</f>
        <v>2.5441666666666661E-2</v>
      </c>
      <c r="E21" s="142">
        <f>AVERAGEIF('FRED 20 yr TIPS monthly'!$E$8:$E$170,'Implied Inflation'!B21,'FRED 20 yr TIPS monthly'!$G$8:$G$170)/100</f>
        <v>2.1333333333333339E-3</v>
      </c>
      <c r="F21" s="77">
        <f t="shared" si="0"/>
        <v>2.3258714741883901E-2</v>
      </c>
      <c r="G21" s="143"/>
      <c r="H21" s="144"/>
      <c r="J21" s="146"/>
      <c r="K21" s="147"/>
      <c r="L21" s="140"/>
    </row>
    <row r="22" spans="1:12" ht="15.75" customHeight="1" x14ac:dyDescent="0.25">
      <c r="A22" s="4">
        <f>MAX($A$12:A21)+1</f>
        <v>10</v>
      </c>
      <c r="B22" s="141">
        <v>2013</v>
      </c>
      <c r="C22" s="77"/>
      <c r="D22" s="142">
        <f>AVERAGEIF('Treas 20 yr'!$E$8:$E$785,'Implied Inflation'!B22,'Treas 20 yr'!$G$8:$G$785)/100</f>
        <v>3.1191666666666666E-2</v>
      </c>
      <c r="E22" s="142">
        <f>AVERAGEIF('FRED 20 yr TIPS monthly'!$E$8:$E$170,'Implied Inflation'!B22,'FRED 20 yr TIPS monthly'!$G$8:$G$170)/100</f>
        <v>7.5166666666666663E-3</v>
      </c>
      <c r="F22" s="77">
        <f t="shared" si="0"/>
        <v>2.3498370581132022E-2</v>
      </c>
      <c r="G22" s="143"/>
      <c r="H22" s="144"/>
      <c r="J22" s="146"/>
      <c r="K22" s="147"/>
      <c r="L22" s="140"/>
    </row>
    <row r="23" spans="1:12" ht="15.75" customHeight="1" x14ac:dyDescent="0.25">
      <c r="A23" s="4">
        <f>MAX($A$12:A22)+1</f>
        <v>11</v>
      </c>
      <c r="B23" s="141">
        <v>2014</v>
      </c>
      <c r="C23" s="77"/>
      <c r="D23" s="142">
        <f>AVERAGEIF('Treas 20 yr'!$E$8:$E$785,'Implied Inflation'!B23,'Treas 20 yr'!$G$8:$G$785)/100</f>
        <v>3.0741666666666667E-2</v>
      </c>
      <c r="E23" s="142">
        <f>AVERAGEIF('FRED 20 yr TIPS monthly'!$E$8:$E$170,'Implied Inflation'!B23,'FRED 20 yr TIPS monthly'!$G$8:$G$170)/100</f>
        <v>8.6583333333333339E-3</v>
      </c>
      <c r="F23" s="77">
        <f t="shared" si="0"/>
        <v>2.1893769776683447E-2</v>
      </c>
      <c r="G23" s="143"/>
      <c r="H23" s="144"/>
      <c r="J23" s="146"/>
      <c r="K23" s="147"/>
      <c r="L23" s="140"/>
    </row>
    <row r="24" spans="1:12" ht="15.75" customHeight="1" x14ac:dyDescent="0.25">
      <c r="A24" s="4">
        <f>MAX($A$12:A23)+1</f>
        <v>12</v>
      </c>
      <c r="B24" s="141">
        <v>2015</v>
      </c>
      <c r="C24" s="77"/>
      <c r="D24" s="142">
        <f>AVERAGEIF('Treas 20 yr'!$E$8:$E$785,'Implied Inflation'!B24,'Treas 20 yr'!$G$8:$G$785)/100</f>
        <v>2.5466666666666669E-2</v>
      </c>
      <c r="E24" s="142">
        <f>AVERAGEIF('FRED 20 yr TIPS monthly'!$E$8:$E$170,'Implied Inflation'!B24,'FRED 20 yr TIPS monthly'!$G$8:$G$170)/100</f>
        <v>7.8333333333333328E-3</v>
      </c>
      <c r="F24" s="77">
        <f t="shared" si="0"/>
        <v>1.749627914668439E-2</v>
      </c>
      <c r="G24" s="143"/>
      <c r="H24" s="144"/>
      <c r="J24" s="146"/>
      <c r="K24" s="147"/>
      <c r="L24" s="140"/>
    </row>
    <row r="25" spans="1:12" ht="15.75" customHeight="1" x14ac:dyDescent="0.25">
      <c r="A25" s="4">
        <f>MAX($A$12:A24)+1</f>
        <v>13</v>
      </c>
      <c r="B25" s="141">
        <v>2016</v>
      </c>
      <c r="C25" s="77"/>
      <c r="D25" s="142">
        <f>AVERAGEIF('Treas 20 yr'!$E$8:$E$785,'Implied Inflation'!B25,'Treas 20 yr'!$G$8:$G$785)/100</f>
        <v>2.2250000000000002E-2</v>
      </c>
      <c r="E25" s="142">
        <f>AVERAGEIF('FRED 20 yr TIPS monthly'!$E$8:$E$170,'Implied Inflation'!B25,'FRED 20 yr TIPS monthly'!$G$8:$G$170)/100</f>
        <v>6.5750000000000001E-3</v>
      </c>
      <c r="F25" s="77">
        <f t="shared" si="0"/>
        <v>1.557261008866706E-2</v>
      </c>
      <c r="G25" s="143"/>
      <c r="H25" s="144"/>
      <c r="J25" s="146"/>
      <c r="K25" s="147"/>
      <c r="L25" s="140"/>
    </row>
    <row r="26" spans="1:12" ht="15.75" customHeight="1" x14ac:dyDescent="0.25">
      <c r="A26" s="4">
        <f>MAX($A$12:A25)+1</f>
        <v>14</v>
      </c>
      <c r="B26" s="141">
        <v>2017</v>
      </c>
      <c r="C26" s="77"/>
      <c r="D26" s="142">
        <f>AVERAGEIF('Treas 20 yr'!$E$8:$E$785,'Implied Inflation'!B26,'Treas 20 yr'!$G$8:$G$785)/100</f>
        <v>2.6525000000000003E-2</v>
      </c>
      <c r="E26" s="142">
        <f>AVERAGEIF('FRED 20 yr TIPS monthly'!$E$8:$E$170,'Implied Inflation'!B26,'FRED 20 yr TIPS monthly'!$G$8:$G$170)/100</f>
        <v>7.4583333333333324E-3</v>
      </c>
      <c r="F26" s="77">
        <f t="shared" si="0"/>
        <v>1.8925513875677202E-2</v>
      </c>
      <c r="G26" s="143"/>
      <c r="H26" s="144"/>
      <c r="J26" s="146"/>
      <c r="K26" s="147"/>
      <c r="L26" s="140"/>
    </row>
    <row r="27" spans="1:12" ht="15.75" customHeight="1" x14ac:dyDescent="0.25">
      <c r="A27" s="4">
        <f>MAX($A$12:A26)+1</f>
        <v>15</v>
      </c>
      <c r="B27" s="141">
        <v>2018</v>
      </c>
      <c r="C27" s="77"/>
      <c r="D27" s="142">
        <f>AVERAGEIF('Treas 20 yr'!$E$8:$E$800,'Implied Inflation'!B27,'Treas 20 yr'!$G$8:$G$800)/100</f>
        <v>3.0183333333333329E-2</v>
      </c>
      <c r="E27" s="142">
        <f>AVERAGEIF('FRED 20 yr TIPS monthly'!$E$8:$E$200,'Implied Inflation'!B27,'FRED 20 yr TIPS monthly'!$G$8:$G$200)/100</f>
        <v>9.3499999999999989E-3</v>
      </c>
      <c r="F27" s="77">
        <f t="shared" ref="F27:F32" si="1">(1+D27)/(1+E27)-1</f>
        <v>2.0640346097323237E-2</v>
      </c>
      <c r="G27" s="143"/>
      <c r="H27" s="144"/>
      <c r="J27" s="146"/>
      <c r="K27" s="147"/>
      <c r="L27" s="140"/>
    </row>
    <row r="28" spans="1:12" ht="15.75" customHeight="1" x14ac:dyDescent="0.25">
      <c r="A28" s="4">
        <f>MAX($A$12:A27)+1</f>
        <v>16</v>
      </c>
      <c r="B28" s="141">
        <v>2019</v>
      </c>
      <c r="C28" s="77"/>
      <c r="D28" s="142">
        <f>AVERAGEIF('Treas 20 yr'!$E$8:$E$900,'Implied Inflation'!B28,'Treas 20 yr'!$G$8:$G$900)/100</f>
        <v>2.403333333333333E-2</v>
      </c>
      <c r="E28" s="142">
        <f>AVERAGEIF('FRED 20 yr TIPS monthly'!$E$8:$E$200,'Implied Inflation'!B28,'FRED 20 yr TIPS monthly'!$G$8:$G$200)/100</f>
        <v>6.0000000000000001E-3</v>
      </c>
      <c r="F28" s="77">
        <f t="shared" si="1"/>
        <v>1.7925778661365133E-2</v>
      </c>
      <c r="G28" s="143"/>
      <c r="H28" s="144"/>
      <c r="J28" s="146"/>
      <c r="K28" s="147"/>
      <c r="L28" s="140"/>
    </row>
    <row r="29" spans="1:12" ht="15.75" customHeight="1" x14ac:dyDescent="0.25">
      <c r="A29" s="4">
        <f>MAX($A$12:A28)+1</f>
        <v>17</v>
      </c>
      <c r="B29" s="141">
        <v>2020</v>
      </c>
      <c r="C29" s="77"/>
      <c r="D29" s="142">
        <f>AVERAGEIF('Treas 20 yr'!$E$8:$E$900,'Implied Inflation'!B29,'Treas 20 yr'!$G$8:$G$900)/100</f>
        <v>1.3533333333333335E-2</v>
      </c>
      <c r="E29" s="142">
        <f>AVERAGEIF('FRED 20 yr TIPS monthly'!$E$8:$E$300,'Implied Inflation'!B29,'FRED 20 yr TIPS monthly'!$G$8:$G$300)/100</f>
        <v>-3.0333333333333336E-3</v>
      </c>
      <c r="F29" s="77">
        <f t="shared" si="1"/>
        <v>1.661707178441274E-2</v>
      </c>
      <c r="G29" s="143"/>
      <c r="H29" s="144"/>
      <c r="J29" s="146"/>
      <c r="K29" s="147"/>
      <c r="L29" s="140"/>
    </row>
    <row r="30" spans="1:12" ht="15.75" customHeight="1" x14ac:dyDescent="0.25">
      <c r="A30" s="4">
        <f>MAX($A$12:A29)+1</f>
        <v>18</v>
      </c>
      <c r="B30" s="141">
        <v>2021</v>
      </c>
      <c r="C30" s="77"/>
      <c r="D30" s="142">
        <f>AVERAGEIF('Treas 20 yr'!$E$8:$E$900,'Implied Inflation'!B30,'Treas 20 yr'!$G$8:$G$900)/100</f>
        <v>1.9774999999999997E-2</v>
      </c>
      <c r="E30" s="142">
        <f>AVERAGEIF('FRED 20 yr TIPS monthly'!$E$8:$E$300,'Implied Inflation'!B30,'FRED 20 yr TIPS monthly'!$G$8:$G$300)/100</f>
        <v>-4.3083333333333333E-3</v>
      </c>
      <c r="F30" s="77">
        <f t="shared" si="1"/>
        <v>2.4187541323870576E-2</v>
      </c>
      <c r="G30" s="143"/>
      <c r="H30" s="144"/>
      <c r="J30" s="146"/>
      <c r="K30" s="147"/>
      <c r="L30" s="140"/>
    </row>
    <row r="31" spans="1:12" ht="15.75" customHeight="1" x14ac:dyDescent="0.25">
      <c r="A31" s="4">
        <f>MAX($A$12:A30)+1</f>
        <v>19</v>
      </c>
      <c r="B31" s="141">
        <v>2022</v>
      </c>
      <c r="C31" s="77"/>
      <c r="D31" s="142">
        <f>AVERAGEIF('Treas 20 yr'!$E$8:$E$900,'Implied Inflation'!B31,'Treas 20 yr'!$G$8:$G$900)/100</f>
        <v>3.2991666666666669E-2</v>
      </c>
      <c r="E31" s="142">
        <f>AVERAGEIF('FRED 20 yr TIPS monthly'!$E$8:$E$300,'Implied Inflation'!B31,'FRED 20 yr TIPS monthly'!$G$8:$G$300)/100</f>
        <v>6.4416666666666667E-3</v>
      </c>
      <c r="F31" s="77">
        <f t="shared" si="1"/>
        <v>2.6380068392769962E-2</v>
      </c>
      <c r="G31" s="143"/>
      <c r="H31" s="144"/>
      <c r="J31" s="146"/>
      <c r="K31" s="147"/>
      <c r="L31" s="140"/>
    </row>
    <row r="32" spans="1:12" ht="15.75" customHeight="1" x14ac:dyDescent="0.25">
      <c r="A32" s="4">
        <f>MAX($A$12:A31)+1</f>
        <v>20</v>
      </c>
      <c r="B32" s="141">
        <v>2023</v>
      </c>
      <c r="C32" s="77"/>
      <c r="D32" s="142">
        <f>AVERAGEIF('Treas 20 yr'!$E$8:$E$900,'Implied Inflation'!B32,'Treas 20 yr'!$G$8:$G$900)/100</f>
        <v>4.2541666666666672E-2</v>
      </c>
      <c r="E32" s="142">
        <f>AVERAGEIF('FRED 20 yr TIPS monthly'!$E$8:$E$300,'Implied Inflation'!B32,'FRED 20 yr TIPS monthly'!$G$8:$G$300)/100</f>
        <v>1.7283333333333331E-2</v>
      </c>
      <c r="F32" s="77">
        <f t="shared" si="1"/>
        <v>2.4829201959467362E-2</v>
      </c>
      <c r="G32" s="143"/>
      <c r="H32" s="144"/>
      <c r="J32" s="146"/>
      <c r="K32" s="147"/>
      <c r="L32" s="140"/>
    </row>
    <row r="33" spans="1:12" ht="15.75" customHeight="1" x14ac:dyDescent="0.25">
      <c r="A33" s="4">
        <f>MAX($A$12:A32)+1</f>
        <v>21</v>
      </c>
      <c r="B33" s="141">
        <v>2024</v>
      </c>
      <c r="C33" s="77"/>
      <c r="D33" s="142">
        <f>AVERAGEIF('Treas 20 yr'!$E$8:$E$900,'Implied Inflation'!B33,'Treas 20 yr'!$G$8:$G$900)/100</f>
        <v>4.5274999999999996E-2</v>
      </c>
      <c r="E33" s="142">
        <f>AVERAGEIF('FRED 20 yr TIPS monthly'!$E$8:$E$300,'Implied Inflation'!B33,'FRED 20 yr TIPS monthly'!$G$8:$G$300)/100</f>
        <v>2.0525000000000002E-2</v>
      </c>
      <c r="F33" s="77">
        <f t="shared" ref="F33" si="2">(1+D33)/(1+E33)-1</f>
        <v>2.4252223120452721E-2</v>
      </c>
      <c r="G33" s="143"/>
      <c r="H33" s="144"/>
      <c r="J33" s="146"/>
      <c r="K33" s="147"/>
      <c r="L33" s="140"/>
    </row>
    <row r="34" spans="1:12" ht="15.75" customHeight="1" x14ac:dyDescent="0.25">
      <c r="A34" s="4"/>
      <c r="B34" s="148"/>
      <c r="C34" s="149"/>
    </row>
    <row r="35" spans="1:12" ht="15.75" customHeight="1" x14ac:dyDescent="0.25">
      <c r="A35" s="4">
        <f>MAX($A$12:A34)+1</f>
        <v>22</v>
      </c>
      <c r="B35" s="150" t="s">
        <v>385</v>
      </c>
      <c r="C35" s="151"/>
      <c r="D35" s="151">
        <f>AVERAGE(D13:D33)</f>
        <v>3.4586904761904756E-2</v>
      </c>
      <c r="E35" s="151">
        <f t="shared" ref="E35:F35" si="3">AVERAGE(E13:E33)</f>
        <v>1.2082539682539684E-2</v>
      </c>
      <c r="F35" s="151">
        <f t="shared" si="3"/>
        <v>2.2223543624462543E-2</v>
      </c>
      <c r="H35" s="152"/>
      <c r="I35" s="152"/>
      <c r="J35" s="152"/>
    </row>
    <row r="36" spans="1:12" ht="15.75" customHeight="1" x14ac:dyDescent="0.25">
      <c r="A36" s="4"/>
      <c r="B36" s="150"/>
      <c r="C36" s="151"/>
      <c r="D36" s="151"/>
      <c r="E36" s="151"/>
      <c r="F36" s="151"/>
    </row>
    <row r="37" spans="1:12" ht="15.75" customHeight="1" x14ac:dyDescent="0.25">
      <c r="A37" s="4"/>
      <c r="B37" s="153"/>
      <c r="C37" s="153"/>
      <c r="D37" s="151"/>
      <c r="E37" s="151"/>
      <c r="F37" s="151"/>
    </row>
    <row r="38" spans="1:12" x14ac:dyDescent="0.25">
      <c r="A38" s="130"/>
      <c r="B38" s="154"/>
      <c r="C38" s="155"/>
      <c r="D38" s="151"/>
      <c r="E38" s="151"/>
      <c r="F38" s="151"/>
    </row>
    <row r="39" spans="1:12" x14ac:dyDescent="0.25">
      <c r="B39" s="20" t="s">
        <v>107</v>
      </c>
      <c r="C39" s="20"/>
    </row>
    <row r="40" spans="1:12" ht="16.2" x14ac:dyDescent="0.25">
      <c r="B40" s="22" t="s">
        <v>386</v>
      </c>
      <c r="C40" s="22"/>
    </row>
    <row r="41" spans="1:12" x14ac:dyDescent="0.25">
      <c r="B41" s="22" t="s">
        <v>108</v>
      </c>
    </row>
    <row r="42" spans="1:12" x14ac:dyDescent="0.25">
      <c r="B42" s="5" t="s">
        <v>387</v>
      </c>
    </row>
    <row r="43" spans="1:12" x14ac:dyDescent="0.25">
      <c r="B43" s="5" t="s">
        <v>388</v>
      </c>
    </row>
    <row r="44" spans="1:12" x14ac:dyDescent="0.25">
      <c r="B44" s="5" t="s">
        <v>389</v>
      </c>
    </row>
    <row r="55" spans="1:1" ht="16.2" x14ac:dyDescent="0.25">
      <c r="A55" s="156"/>
    </row>
  </sheetData>
  <mergeCells count="2">
    <mergeCell ref="A1:F1"/>
    <mergeCell ref="A5:F5"/>
  </mergeCells>
  <printOptions horizontalCentered="1"/>
  <pageMargins left="0.7" right="0.7" top="1" bottom="0.75" header="0.55000000000000004" footer="0.51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50"/>
  </sheetPr>
  <dimension ref="A1:L5171"/>
  <sheetViews>
    <sheetView workbookViewId="0">
      <pane ySplit="7" topLeftCell="A5136" activePane="bottomLeft" state="frozen"/>
      <selection activeCell="C50" sqref="C50"/>
      <selection pane="bottomLeft" activeCell="A5171" sqref="A5171"/>
    </sheetView>
  </sheetViews>
  <sheetFormatPr defaultColWidth="11.8984375" defaultRowHeight="13.2" x14ac:dyDescent="0.25"/>
  <cols>
    <col min="1" max="1" width="11.8984375" style="157"/>
    <col min="2" max="2" width="11.8984375" style="158"/>
    <col min="3" max="5" width="11.8984375" style="159"/>
    <col min="6" max="6" width="11.8984375" style="157"/>
    <col min="7" max="7" width="11.8984375" style="158"/>
    <col min="8" max="10" width="11.8984375" style="159"/>
    <col min="11" max="11" width="11.8984375" style="157"/>
    <col min="12" max="12" width="11.8984375" style="158"/>
    <col min="13" max="16384" width="11.8984375" style="159"/>
  </cols>
  <sheetData>
    <row r="1" spans="1:12" x14ac:dyDescent="0.25">
      <c r="A1" s="157" t="s">
        <v>390</v>
      </c>
      <c r="F1" s="157" t="s">
        <v>391</v>
      </c>
      <c r="K1" s="157" t="s">
        <v>392</v>
      </c>
    </row>
    <row r="2" spans="1:12" ht="13.8" x14ac:dyDescent="0.25">
      <c r="A2" s="157" t="s">
        <v>393</v>
      </c>
      <c r="B2" s="33" t="s">
        <v>394</v>
      </c>
      <c r="F2" s="157" t="s">
        <v>393</v>
      </c>
      <c r="G2" s="33" t="s">
        <v>394</v>
      </c>
      <c r="K2" s="157" t="s">
        <v>393</v>
      </c>
      <c r="L2" s="33" t="s">
        <v>394</v>
      </c>
    </row>
    <row r="3" spans="1:12" x14ac:dyDescent="0.25">
      <c r="A3" s="157" t="s">
        <v>11</v>
      </c>
      <c r="B3" s="158" t="s">
        <v>395</v>
      </c>
      <c r="F3" s="157" t="s">
        <v>396</v>
      </c>
      <c r="G3" s="158" t="s">
        <v>397</v>
      </c>
      <c r="K3" s="157" t="s">
        <v>398</v>
      </c>
      <c r="L3" s="158" t="s">
        <v>399</v>
      </c>
    </row>
    <row r="4" spans="1:12" x14ac:dyDescent="0.25">
      <c r="A4" s="157">
        <v>1</v>
      </c>
      <c r="B4" s="158" t="s">
        <v>579</v>
      </c>
      <c r="F4" s="157">
        <v>1</v>
      </c>
      <c r="G4" s="158" t="s">
        <v>580</v>
      </c>
      <c r="K4" s="157">
        <v>1</v>
      </c>
      <c r="L4" s="158" t="s">
        <v>581</v>
      </c>
    </row>
    <row r="5" spans="1:12" ht="13.8" x14ac:dyDescent="0.25">
      <c r="A5" s="160" t="s">
        <v>547</v>
      </c>
      <c r="F5" s="160" t="s">
        <v>547</v>
      </c>
      <c r="K5" s="160" t="s">
        <v>547</v>
      </c>
    </row>
    <row r="6" spans="1:12" x14ac:dyDescent="0.25">
      <c r="A6" s="157" t="s">
        <v>400</v>
      </c>
      <c r="F6" s="157" t="s">
        <v>400</v>
      </c>
      <c r="K6" s="157" t="s">
        <v>400</v>
      </c>
    </row>
    <row r="7" spans="1:12" x14ac:dyDescent="0.25">
      <c r="A7" s="157" t="s">
        <v>401</v>
      </c>
      <c r="B7" s="158" t="s">
        <v>402</v>
      </c>
      <c r="E7" s="161">
        <f>MATCH(9.99999999999999E+307,$A:$A)</f>
        <v>5171</v>
      </c>
      <c r="F7" s="157" t="s">
        <v>401</v>
      </c>
      <c r="G7" s="158" t="s">
        <v>402</v>
      </c>
      <c r="K7" s="157" t="s">
        <v>401</v>
      </c>
      <c r="L7" s="158" t="s">
        <v>402</v>
      </c>
    </row>
    <row r="8" spans="1:12" x14ac:dyDescent="0.25">
      <c r="A8" s="157">
        <v>38195</v>
      </c>
      <c r="B8" s="158">
        <v>2.4900000000000002</v>
      </c>
      <c r="E8" s="159">
        <f>YEAR(F8)</f>
        <v>2004</v>
      </c>
      <c r="F8" s="157">
        <v>38169</v>
      </c>
      <c r="G8" s="158">
        <v>2.44</v>
      </c>
      <c r="K8" s="157">
        <v>38198</v>
      </c>
      <c r="L8" s="158">
        <v>2.44</v>
      </c>
    </row>
    <row r="9" spans="1:12" x14ac:dyDescent="0.25">
      <c r="A9" s="157">
        <v>38196</v>
      </c>
      <c r="B9" s="158">
        <v>2.46</v>
      </c>
      <c r="E9" s="159">
        <f t="shared" ref="E9:E72" si="0">YEAR(F9)</f>
        <v>2004</v>
      </c>
      <c r="F9" s="157">
        <v>38200</v>
      </c>
      <c r="G9" s="158">
        <v>2.23</v>
      </c>
      <c r="K9" s="157">
        <v>38205</v>
      </c>
      <c r="L9" s="158">
        <v>2.3199999999999998</v>
      </c>
    </row>
    <row r="10" spans="1:12" x14ac:dyDescent="0.25">
      <c r="A10" s="157">
        <v>38197</v>
      </c>
      <c r="B10" s="158">
        <v>2.44</v>
      </c>
      <c r="E10" s="159">
        <f t="shared" si="0"/>
        <v>2004</v>
      </c>
      <c r="F10" s="157">
        <v>38231</v>
      </c>
      <c r="G10" s="158">
        <v>2.16</v>
      </c>
      <c r="K10" s="157">
        <v>38212</v>
      </c>
      <c r="L10" s="158">
        <v>2.21</v>
      </c>
    </row>
    <row r="11" spans="1:12" x14ac:dyDescent="0.25">
      <c r="A11" s="157">
        <v>38198</v>
      </c>
      <c r="B11" s="158">
        <v>2.38</v>
      </c>
      <c r="E11" s="159">
        <f t="shared" si="0"/>
        <v>2004</v>
      </c>
      <c r="F11" s="157">
        <v>38261</v>
      </c>
      <c r="G11" s="158">
        <v>2.13</v>
      </c>
      <c r="K11" s="157">
        <v>38219</v>
      </c>
      <c r="L11" s="158">
        <v>2.19</v>
      </c>
    </row>
    <row r="12" spans="1:12" x14ac:dyDescent="0.25">
      <c r="A12" s="162">
        <v>38201</v>
      </c>
      <c r="B12" s="163">
        <v>2.37</v>
      </c>
      <c r="E12" s="159">
        <f t="shared" si="0"/>
        <v>2004</v>
      </c>
      <c r="F12" s="157">
        <v>38292</v>
      </c>
      <c r="G12" s="158">
        <v>2.09</v>
      </c>
      <c r="K12" s="157">
        <v>38226</v>
      </c>
      <c r="L12" s="158">
        <v>2.23</v>
      </c>
    </row>
    <row r="13" spans="1:12" x14ac:dyDescent="0.25">
      <c r="A13" s="162">
        <v>38202</v>
      </c>
      <c r="B13" s="163">
        <v>2.36</v>
      </c>
      <c r="E13" s="159">
        <f t="shared" si="0"/>
        <v>2004</v>
      </c>
      <c r="F13" s="157">
        <v>38322</v>
      </c>
      <c r="G13" s="158">
        <v>2.02</v>
      </c>
      <c r="K13" s="157">
        <v>38233</v>
      </c>
      <c r="L13" s="158">
        <v>2.1800000000000002</v>
      </c>
    </row>
    <row r="14" spans="1:12" x14ac:dyDescent="0.25">
      <c r="A14" s="162">
        <v>38203</v>
      </c>
      <c r="B14" s="163">
        <v>2.35</v>
      </c>
      <c r="E14" s="159">
        <f t="shared" si="0"/>
        <v>2005</v>
      </c>
      <c r="F14" s="157">
        <v>38353</v>
      </c>
      <c r="G14" s="158">
        <v>1.98</v>
      </c>
      <c r="K14" s="157">
        <v>38240</v>
      </c>
      <c r="L14" s="158">
        <v>2.2000000000000002</v>
      </c>
    </row>
    <row r="15" spans="1:12" x14ac:dyDescent="0.25">
      <c r="A15" s="162">
        <v>38204</v>
      </c>
      <c r="B15" s="163">
        <v>2.3199999999999998</v>
      </c>
      <c r="E15" s="159">
        <f t="shared" si="0"/>
        <v>2005</v>
      </c>
      <c r="F15" s="157">
        <v>38384</v>
      </c>
      <c r="G15" s="158">
        <v>1.85</v>
      </c>
      <c r="K15" s="157">
        <v>38247</v>
      </c>
      <c r="L15" s="158">
        <v>2.1800000000000002</v>
      </c>
    </row>
    <row r="16" spans="1:12" x14ac:dyDescent="0.25">
      <c r="A16" s="162">
        <v>38205</v>
      </c>
      <c r="B16" s="163">
        <v>2.2200000000000002</v>
      </c>
      <c r="E16" s="159">
        <f t="shared" si="0"/>
        <v>2005</v>
      </c>
      <c r="F16" s="157">
        <v>38412</v>
      </c>
      <c r="G16" s="158">
        <v>1.95</v>
      </c>
      <c r="K16" s="157">
        <v>38254</v>
      </c>
      <c r="L16" s="158">
        <v>2.13</v>
      </c>
    </row>
    <row r="17" spans="1:12" x14ac:dyDescent="0.25">
      <c r="A17" s="162">
        <v>38208</v>
      </c>
      <c r="B17" s="163">
        <v>2.23</v>
      </c>
      <c r="E17" s="159">
        <f t="shared" si="0"/>
        <v>2005</v>
      </c>
      <c r="F17" s="157">
        <v>38443</v>
      </c>
      <c r="G17" s="158">
        <v>1.87</v>
      </c>
      <c r="K17" s="157">
        <v>38261</v>
      </c>
      <c r="L17" s="158">
        <v>2.12</v>
      </c>
    </row>
    <row r="18" spans="1:12" x14ac:dyDescent="0.25">
      <c r="A18" s="162">
        <v>38209</v>
      </c>
      <c r="B18" s="163">
        <v>2.2599999999999998</v>
      </c>
      <c r="E18" s="159">
        <f t="shared" si="0"/>
        <v>2005</v>
      </c>
      <c r="F18" s="157">
        <v>38473</v>
      </c>
      <c r="G18" s="158">
        <v>1.82</v>
      </c>
      <c r="K18" s="157">
        <v>38268</v>
      </c>
      <c r="L18" s="158">
        <v>2.21</v>
      </c>
    </row>
    <row r="19" spans="1:12" x14ac:dyDescent="0.25">
      <c r="A19" s="162">
        <v>38210</v>
      </c>
      <c r="B19" s="163">
        <v>2.23</v>
      </c>
      <c r="E19" s="159">
        <f t="shared" si="0"/>
        <v>2005</v>
      </c>
      <c r="F19" s="157">
        <v>38504</v>
      </c>
      <c r="G19" s="158">
        <v>1.8</v>
      </c>
      <c r="K19" s="157">
        <v>38275</v>
      </c>
      <c r="L19" s="158">
        <v>2.12</v>
      </c>
    </row>
    <row r="20" spans="1:12" x14ac:dyDescent="0.25">
      <c r="A20" s="162">
        <v>38211</v>
      </c>
      <c r="B20" s="163">
        <v>2.1800000000000002</v>
      </c>
      <c r="E20" s="159">
        <f t="shared" si="0"/>
        <v>2005</v>
      </c>
      <c r="F20" s="157">
        <v>38534</v>
      </c>
      <c r="G20" s="158">
        <v>2</v>
      </c>
      <c r="K20" s="157">
        <v>38282</v>
      </c>
      <c r="L20" s="158">
        <v>2.0699999999999998</v>
      </c>
    </row>
    <row r="21" spans="1:12" x14ac:dyDescent="0.25">
      <c r="A21" s="162">
        <v>38212</v>
      </c>
      <c r="B21" s="163">
        <v>2.14</v>
      </c>
      <c r="E21" s="159">
        <f t="shared" si="0"/>
        <v>2005</v>
      </c>
      <c r="F21" s="157">
        <v>38565</v>
      </c>
      <c r="G21" s="158">
        <v>2.02</v>
      </c>
      <c r="K21" s="157">
        <v>38289</v>
      </c>
      <c r="L21" s="158">
        <v>2.1</v>
      </c>
    </row>
    <row r="22" spans="1:12" x14ac:dyDescent="0.25">
      <c r="A22" s="162">
        <v>38215</v>
      </c>
      <c r="B22" s="163">
        <v>2.19</v>
      </c>
      <c r="E22" s="159">
        <f t="shared" si="0"/>
        <v>2005</v>
      </c>
      <c r="F22" s="157">
        <v>38596</v>
      </c>
      <c r="G22" s="158">
        <v>1.93</v>
      </c>
      <c r="K22" s="157">
        <v>38296</v>
      </c>
      <c r="L22" s="158">
        <v>2.09</v>
      </c>
    </row>
    <row r="23" spans="1:12" x14ac:dyDescent="0.25">
      <c r="A23" s="162">
        <v>38216</v>
      </c>
      <c r="B23" s="163">
        <v>2.1800000000000002</v>
      </c>
      <c r="E23" s="159">
        <f t="shared" si="0"/>
        <v>2005</v>
      </c>
      <c r="F23" s="157">
        <v>38626</v>
      </c>
      <c r="G23" s="158">
        <v>2.09</v>
      </c>
      <c r="K23" s="157">
        <v>38303</v>
      </c>
      <c r="L23" s="158">
        <v>2.16</v>
      </c>
    </row>
    <row r="24" spans="1:12" x14ac:dyDescent="0.25">
      <c r="A24" s="162">
        <v>38217</v>
      </c>
      <c r="B24" s="163">
        <v>2.2200000000000002</v>
      </c>
      <c r="E24" s="159">
        <f t="shared" si="0"/>
        <v>2005</v>
      </c>
      <c r="F24" s="157">
        <v>38657</v>
      </c>
      <c r="G24" s="158">
        <v>2.16</v>
      </c>
      <c r="K24" s="157">
        <v>38310</v>
      </c>
      <c r="L24" s="158">
        <v>2.0699999999999998</v>
      </c>
    </row>
    <row r="25" spans="1:12" x14ac:dyDescent="0.25">
      <c r="A25" s="162">
        <v>38218</v>
      </c>
      <c r="B25" s="163">
        <v>2.17</v>
      </c>
      <c r="E25" s="159">
        <f t="shared" si="0"/>
        <v>2005</v>
      </c>
      <c r="F25" s="157">
        <v>38687</v>
      </c>
      <c r="G25" s="158">
        <v>2.14</v>
      </c>
      <c r="K25" s="157">
        <v>38317</v>
      </c>
      <c r="L25" s="158">
        <v>2.04</v>
      </c>
    </row>
    <row r="26" spans="1:12" x14ac:dyDescent="0.25">
      <c r="A26" s="162">
        <v>38219</v>
      </c>
      <c r="B26" s="163">
        <v>2.17</v>
      </c>
      <c r="E26" s="159">
        <f t="shared" si="0"/>
        <v>2006</v>
      </c>
      <c r="F26" s="157">
        <v>38718</v>
      </c>
      <c r="G26" s="158">
        <v>2.0499999999999998</v>
      </c>
      <c r="K26" s="157">
        <v>38324</v>
      </c>
      <c r="L26" s="158">
        <v>2.15</v>
      </c>
    </row>
    <row r="27" spans="1:12" x14ac:dyDescent="0.25">
      <c r="A27" s="162">
        <v>38222</v>
      </c>
      <c r="B27" s="163">
        <v>2.23</v>
      </c>
      <c r="E27" s="159">
        <f t="shared" si="0"/>
        <v>2006</v>
      </c>
      <c r="F27" s="157">
        <v>38749</v>
      </c>
      <c r="G27" s="158">
        <v>2.0099999999999998</v>
      </c>
      <c r="K27" s="157">
        <v>38331</v>
      </c>
      <c r="L27" s="158">
        <v>2.0499999999999998</v>
      </c>
    </row>
    <row r="28" spans="1:12" x14ac:dyDescent="0.25">
      <c r="A28" s="162">
        <v>38223</v>
      </c>
      <c r="B28" s="163">
        <v>2.2400000000000002</v>
      </c>
      <c r="E28" s="159">
        <f t="shared" si="0"/>
        <v>2006</v>
      </c>
      <c r="F28" s="157">
        <v>38777</v>
      </c>
      <c r="G28" s="158">
        <v>2.17</v>
      </c>
      <c r="K28" s="157">
        <v>38338</v>
      </c>
      <c r="L28" s="158">
        <v>1.99</v>
      </c>
    </row>
    <row r="29" spans="1:12" x14ac:dyDescent="0.25">
      <c r="A29" s="162">
        <v>38224</v>
      </c>
      <c r="B29" s="163">
        <v>2.25</v>
      </c>
      <c r="E29" s="159">
        <f t="shared" si="0"/>
        <v>2006</v>
      </c>
      <c r="F29" s="157">
        <v>38808</v>
      </c>
      <c r="G29" s="158">
        <v>2.4300000000000002</v>
      </c>
      <c r="K29" s="157">
        <v>38345</v>
      </c>
      <c r="L29" s="158">
        <v>1.94</v>
      </c>
    </row>
    <row r="30" spans="1:12" x14ac:dyDescent="0.25">
      <c r="A30" s="162">
        <v>38225</v>
      </c>
      <c r="B30" s="163">
        <v>2.23</v>
      </c>
      <c r="E30" s="159">
        <f t="shared" si="0"/>
        <v>2006</v>
      </c>
      <c r="F30" s="157">
        <v>38838</v>
      </c>
      <c r="G30" s="158">
        <v>2.48</v>
      </c>
      <c r="K30" s="157">
        <v>38352</v>
      </c>
      <c r="L30" s="158">
        <v>1.99</v>
      </c>
    </row>
    <row r="31" spans="1:12" x14ac:dyDescent="0.25">
      <c r="A31" s="162">
        <v>38226</v>
      </c>
      <c r="B31" s="163">
        <v>2.2200000000000002</v>
      </c>
      <c r="E31" s="159">
        <f t="shared" si="0"/>
        <v>2006</v>
      </c>
      <c r="F31" s="157">
        <v>38869</v>
      </c>
      <c r="G31" s="158">
        <v>2.54</v>
      </c>
      <c r="K31" s="157">
        <v>38359</v>
      </c>
      <c r="L31" s="158">
        <v>2.02</v>
      </c>
    </row>
    <row r="32" spans="1:12" x14ac:dyDescent="0.25">
      <c r="A32" s="162">
        <v>38229</v>
      </c>
      <c r="B32" s="163">
        <v>2.2000000000000002</v>
      </c>
      <c r="E32" s="159">
        <f t="shared" si="0"/>
        <v>2006</v>
      </c>
      <c r="F32" s="157">
        <v>38899</v>
      </c>
      <c r="G32" s="158">
        <v>2.52</v>
      </c>
      <c r="K32" s="157">
        <v>38366</v>
      </c>
      <c r="L32" s="158">
        <v>2</v>
      </c>
    </row>
    <row r="33" spans="1:12" x14ac:dyDescent="0.25">
      <c r="A33" s="162">
        <v>38230</v>
      </c>
      <c r="B33" s="163">
        <v>2.14</v>
      </c>
      <c r="E33" s="159">
        <f t="shared" si="0"/>
        <v>2006</v>
      </c>
      <c r="F33" s="157">
        <v>38930</v>
      </c>
      <c r="G33" s="158">
        <v>2.31</v>
      </c>
      <c r="K33" s="157">
        <v>38373</v>
      </c>
      <c r="L33" s="158">
        <v>1.94</v>
      </c>
    </row>
    <row r="34" spans="1:12" x14ac:dyDescent="0.25">
      <c r="A34" s="162">
        <v>38231</v>
      </c>
      <c r="B34" s="163">
        <v>2.14</v>
      </c>
      <c r="E34" s="159">
        <f t="shared" si="0"/>
        <v>2006</v>
      </c>
      <c r="F34" s="157">
        <v>38961</v>
      </c>
      <c r="G34" s="158">
        <v>2.31</v>
      </c>
      <c r="K34" s="157">
        <v>38380</v>
      </c>
      <c r="L34" s="158">
        <v>1.96</v>
      </c>
    </row>
    <row r="35" spans="1:12" x14ac:dyDescent="0.25">
      <c r="A35" s="162">
        <v>38232</v>
      </c>
      <c r="B35" s="163">
        <v>2.1800000000000002</v>
      </c>
      <c r="E35" s="159">
        <f t="shared" si="0"/>
        <v>2006</v>
      </c>
      <c r="F35" s="157">
        <v>38991</v>
      </c>
      <c r="G35" s="158">
        <v>2.38</v>
      </c>
      <c r="K35" s="157">
        <v>38387</v>
      </c>
      <c r="L35" s="158">
        <v>1.93</v>
      </c>
    </row>
    <row r="36" spans="1:12" x14ac:dyDescent="0.25">
      <c r="A36" s="162">
        <v>38233</v>
      </c>
      <c r="B36" s="163">
        <v>2.23</v>
      </c>
      <c r="E36" s="159">
        <f t="shared" si="0"/>
        <v>2006</v>
      </c>
      <c r="F36" s="157">
        <v>39022</v>
      </c>
      <c r="G36" s="158">
        <v>2.23</v>
      </c>
      <c r="K36" s="157">
        <v>38394</v>
      </c>
      <c r="L36" s="158">
        <v>1.79</v>
      </c>
    </row>
    <row r="37" spans="1:12" x14ac:dyDescent="0.25">
      <c r="A37" s="162">
        <v>38236</v>
      </c>
      <c r="B37" s="163" t="e">
        <f>NA()</f>
        <v>#N/A</v>
      </c>
      <c r="E37" s="159">
        <f t="shared" si="0"/>
        <v>2006</v>
      </c>
      <c r="F37" s="157">
        <v>39052</v>
      </c>
      <c r="G37" s="158">
        <v>2.2599999999999998</v>
      </c>
      <c r="K37" s="157">
        <v>38401</v>
      </c>
      <c r="L37" s="158">
        <v>1.8</v>
      </c>
    </row>
    <row r="38" spans="1:12" x14ac:dyDescent="0.25">
      <c r="A38" s="162">
        <v>38237</v>
      </c>
      <c r="B38" s="163">
        <v>2.2200000000000002</v>
      </c>
      <c r="E38" s="159">
        <f t="shared" si="0"/>
        <v>2007</v>
      </c>
      <c r="F38" s="157">
        <v>39083</v>
      </c>
      <c r="G38" s="158">
        <v>2.42</v>
      </c>
      <c r="K38" s="157">
        <v>38408</v>
      </c>
      <c r="L38" s="158">
        <v>1.9</v>
      </c>
    </row>
    <row r="39" spans="1:12" x14ac:dyDescent="0.25">
      <c r="A39" s="162">
        <v>38238</v>
      </c>
      <c r="B39" s="163">
        <v>2.1800000000000002</v>
      </c>
      <c r="E39" s="159">
        <f t="shared" si="0"/>
        <v>2007</v>
      </c>
      <c r="F39" s="157">
        <v>39114</v>
      </c>
      <c r="G39" s="158">
        <v>2.38</v>
      </c>
      <c r="K39" s="157">
        <v>38415</v>
      </c>
      <c r="L39" s="158">
        <v>1.93</v>
      </c>
    </row>
    <row r="40" spans="1:12" x14ac:dyDescent="0.25">
      <c r="A40" s="162">
        <v>38239</v>
      </c>
      <c r="B40" s="163">
        <v>2.19</v>
      </c>
      <c r="E40" s="159">
        <f t="shared" si="0"/>
        <v>2007</v>
      </c>
      <c r="F40" s="157">
        <v>39142</v>
      </c>
      <c r="G40" s="158">
        <v>2.27</v>
      </c>
      <c r="K40" s="157">
        <v>38422</v>
      </c>
      <c r="L40" s="158">
        <v>1.9</v>
      </c>
    </row>
    <row r="41" spans="1:12" x14ac:dyDescent="0.25">
      <c r="A41" s="162">
        <v>38240</v>
      </c>
      <c r="B41" s="164">
        <v>2.19</v>
      </c>
      <c r="E41" s="159">
        <f t="shared" si="0"/>
        <v>2007</v>
      </c>
      <c r="F41" s="157">
        <v>39173</v>
      </c>
      <c r="G41" s="158">
        <v>2.35</v>
      </c>
      <c r="K41" s="157">
        <v>38429</v>
      </c>
      <c r="L41" s="158">
        <v>1.95</v>
      </c>
    </row>
    <row r="42" spans="1:12" x14ac:dyDescent="0.25">
      <c r="A42" s="162">
        <v>38243</v>
      </c>
      <c r="B42" s="163">
        <v>2.16</v>
      </c>
      <c r="E42" s="159">
        <f t="shared" si="0"/>
        <v>2007</v>
      </c>
      <c r="F42" s="157">
        <v>39203</v>
      </c>
      <c r="G42" s="158">
        <v>2.4500000000000002</v>
      </c>
      <c r="K42" s="157">
        <v>38436</v>
      </c>
      <c r="L42" s="158">
        <v>2.0099999999999998</v>
      </c>
    </row>
    <row r="43" spans="1:12" x14ac:dyDescent="0.25">
      <c r="A43" s="162">
        <v>38244</v>
      </c>
      <c r="B43" s="163">
        <v>2.17</v>
      </c>
      <c r="E43" s="159">
        <f t="shared" si="0"/>
        <v>2007</v>
      </c>
      <c r="F43" s="157">
        <v>39234</v>
      </c>
      <c r="G43" s="158">
        <v>2.67</v>
      </c>
      <c r="K43" s="157">
        <v>38443</v>
      </c>
      <c r="L43" s="158">
        <v>1.97</v>
      </c>
    </row>
    <row r="44" spans="1:12" x14ac:dyDescent="0.25">
      <c r="A44" s="162">
        <v>38245</v>
      </c>
      <c r="B44" s="163">
        <v>2.21</v>
      </c>
      <c r="E44" s="159">
        <f t="shared" si="0"/>
        <v>2007</v>
      </c>
      <c r="F44" s="157">
        <v>39264</v>
      </c>
      <c r="G44" s="158">
        <v>2.62</v>
      </c>
      <c r="K44" s="157">
        <v>38450</v>
      </c>
      <c r="L44" s="158">
        <v>1.94</v>
      </c>
    </row>
    <row r="45" spans="1:12" x14ac:dyDescent="0.25">
      <c r="A45" s="162">
        <v>38246</v>
      </c>
      <c r="B45" s="163">
        <v>2.17</v>
      </c>
      <c r="E45" s="159">
        <f t="shared" si="0"/>
        <v>2007</v>
      </c>
      <c r="F45" s="157">
        <v>39295</v>
      </c>
      <c r="G45" s="158">
        <v>2.4700000000000002</v>
      </c>
      <c r="K45" s="157">
        <v>38457</v>
      </c>
      <c r="L45" s="158">
        <v>1.9</v>
      </c>
    </row>
    <row r="46" spans="1:12" x14ac:dyDescent="0.25">
      <c r="A46" s="162">
        <v>38247</v>
      </c>
      <c r="B46" s="163">
        <v>2.2000000000000002</v>
      </c>
      <c r="E46" s="159">
        <f t="shared" si="0"/>
        <v>2007</v>
      </c>
      <c r="F46" s="157">
        <v>39326</v>
      </c>
      <c r="G46" s="158">
        <v>2.2999999999999998</v>
      </c>
      <c r="K46" s="157">
        <v>38464</v>
      </c>
      <c r="L46" s="158">
        <v>1.81</v>
      </c>
    </row>
    <row r="47" spans="1:12" x14ac:dyDescent="0.25">
      <c r="A47" s="162">
        <v>38250</v>
      </c>
      <c r="B47" s="163">
        <v>2.17</v>
      </c>
      <c r="E47" s="159">
        <f t="shared" si="0"/>
        <v>2007</v>
      </c>
      <c r="F47" s="157">
        <v>39356</v>
      </c>
      <c r="G47" s="158">
        <v>2.2599999999999998</v>
      </c>
      <c r="K47" s="157">
        <v>38471</v>
      </c>
      <c r="L47" s="158">
        <v>1.84</v>
      </c>
    </row>
    <row r="48" spans="1:12" x14ac:dyDescent="0.25">
      <c r="A48" s="162">
        <v>38251</v>
      </c>
      <c r="B48" s="163">
        <v>2.16</v>
      </c>
      <c r="E48" s="159">
        <f t="shared" si="0"/>
        <v>2007</v>
      </c>
      <c r="F48" s="157">
        <v>39387</v>
      </c>
      <c r="G48" s="158">
        <v>1.99</v>
      </c>
      <c r="K48" s="157">
        <v>38478</v>
      </c>
      <c r="L48" s="158">
        <v>1.85</v>
      </c>
    </row>
    <row r="49" spans="1:12" x14ac:dyDescent="0.25">
      <c r="A49" s="162">
        <v>38252</v>
      </c>
      <c r="B49" s="163">
        <v>2.09</v>
      </c>
      <c r="E49" s="159">
        <f t="shared" si="0"/>
        <v>2007</v>
      </c>
      <c r="F49" s="157">
        <v>39417</v>
      </c>
      <c r="G49" s="158">
        <v>2.08</v>
      </c>
      <c r="K49" s="157">
        <v>38485</v>
      </c>
      <c r="L49" s="158">
        <v>1.84</v>
      </c>
    </row>
    <row r="50" spans="1:12" x14ac:dyDescent="0.25">
      <c r="A50" s="162">
        <v>38253</v>
      </c>
      <c r="B50" s="163">
        <v>2.12</v>
      </c>
      <c r="E50" s="159">
        <f t="shared" si="0"/>
        <v>2008</v>
      </c>
      <c r="F50" s="157">
        <v>39448</v>
      </c>
      <c r="G50" s="158">
        <v>1.81</v>
      </c>
      <c r="K50" s="157">
        <v>38492</v>
      </c>
      <c r="L50" s="158">
        <v>1.81</v>
      </c>
    </row>
    <row r="51" spans="1:12" x14ac:dyDescent="0.25">
      <c r="A51" s="162">
        <v>38254</v>
      </c>
      <c r="B51" s="163">
        <v>2.12</v>
      </c>
      <c r="E51" s="159">
        <f t="shared" si="0"/>
        <v>2008</v>
      </c>
      <c r="F51" s="157">
        <v>39479</v>
      </c>
      <c r="G51" s="158">
        <v>1.87</v>
      </c>
      <c r="K51" s="157">
        <v>38499</v>
      </c>
      <c r="L51" s="158">
        <v>1.8</v>
      </c>
    </row>
    <row r="52" spans="1:12" x14ac:dyDescent="0.25">
      <c r="A52" s="162">
        <v>38257</v>
      </c>
      <c r="B52" s="163">
        <v>2.09</v>
      </c>
      <c r="E52" s="159">
        <f t="shared" si="0"/>
        <v>2008</v>
      </c>
      <c r="F52" s="157">
        <v>39508</v>
      </c>
      <c r="G52" s="158">
        <v>1.76</v>
      </c>
      <c r="K52" s="157">
        <v>38506</v>
      </c>
      <c r="L52" s="158">
        <v>1.72</v>
      </c>
    </row>
    <row r="53" spans="1:12" x14ac:dyDescent="0.25">
      <c r="A53" s="162">
        <v>38258</v>
      </c>
      <c r="B53" s="163">
        <v>2.0699999999999998</v>
      </c>
      <c r="E53" s="159">
        <f t="shared" si="0"/>
        <v>2008</v>
      </c>
      <c r="F53" s="157">
        <v>39539</v>
      </c>
      <c r="G53" s="158">
        <v>1.91</v>
      </c>
      <c r="K53" s="157">
        <v>38513</v>
      </c>
      <c r="L53" s="158">
        <v>1.75</v>
      </c>
    </row>
    <row r="54" spans="1:12" x14ac:dyDescent="0.25">
      <c r="A54" s="162">
        <v>38259</v>
      </c>
      <c r="B54" s="163">
        <v>2.12</v>
      </c>
      <c r="E54" s="159">
        <f t="shared" si="0"/>
        <v>2008</v>
      </c>
      <c r="F54" s="157">
        <v>39569</v>
      </c>
      <c r="G54" s="158">
        <v>2</v>
      </c>
      <c r="K54" s="157">
        <v>38520</v>
      </c>
      <c r="L54" s="158">
        <v>1.88</v>
      </c>
    </row>
    <row r="55" spans="1:12" x14ac:dyDescent="0.25">
      <c r="A55" s="162">
        <v>38260</v>
      </c>
      <c r="B55" s="163">
        <v>2.12</v>
      </c>
      <c r="E55" s="159">
        <f t="shared" si="0"/>
        <v>2008</v>
      </c>
      <c r="F55" s="157">
        <v>39600</v>
      </c>
      <c r="G55" s="158">
        <v>2.19</v>
      </c>
      <c r="K55" s="157">
        <v>38527</v>
      </c>
      <c r="L55" s="158">
        <v>1.84</v>
      </c>
    </row>
    <row r="56" spans="1:12" x14ac:dyDescent="0.25">
      <c r="A56" s="162">
        <v>38261</v>
      </c>
      <c r="B56" s="163">
        <v>2.1800000000000002</v>
      </c>
      <c r="E56" s="159">
        <f t="shared" si="0"/>
        <v>2008</v>
      </c>
      <c r="F56" s="157">
        <v>39630</v>
      </c>
      <c r="G56" s="158">
        <v>2.09</v>
      </c>
      <c r="K56" s="157">
        <v>38534</v>
      </c>
      <c r="L56" s="158">
        <v>1.81</v>
      </c>
    </row>
    <row r="57" spans="1:12" x14ac:dyDescent="0.25">
      <c r="A57" s="162">
        <v>38264</v>
      </c>
      <c r="B57" s="163">
        <v>2.19</v>
      </c>
      <c r="E57" s="159">
        <f t="shared" si="0"/>
        <v>2008</v>
      </c>
      <c r="F57" s="157">
        <v>39661</v>
      </c>
      <c r="G57" s="158">
        <v>2.15</v>
      </c>
      <c r="K57" s="157">
        <v>38541</v>
      </c>
      <c r="L57" s="158">
        <v>1.91</v>
      </c>
    </row>
    <row r="58" spans="1:12" x14ac:dyDescent="0.25">
      <c r="A58" s="162">
        <v>38265</v>
      </c>
      <c r="B58" s="163">
        <v>2.1800000000000002</v>
      </c>
      <c r="E58" s="159">
        <f t="shared" si="0"/>
        <v>2008</v>
      </c>
      <c r="F58" s="157">
        <v>39692</v>
      </c>
      <c r="G58" s="158">
        <v>2.25</v>
      </c>
      <c r="K58" s="157">
        <v>38548</v>
      </c>
      <c r="L58" s="158">
        <v>1.99</v>
      </c>
    </row>
    <row r="59" spans="1:12" x14ac:dyDescent="0.25">
      <c r="A59" s="162">
        <v>38266</v>
      </c>
      <c r="B59" s="163">
        <v>2.2400000000000002</v>
      </c>
      <c r="E59" s="159">
        <f t="shared" si="0"/>
        <v>2008</v>
      </c>
      <c r="F59" s="157">
        <v>39722</v>
      </c>
      <c r="G59" s="158">
        <v>2.87</v>
      </c>
      <c r="K59" s="157">
        <v>38555</v>
      </c>
      <c r="L59" s="158">
        <v>2.0499999999999998</v>
      </c>
    </row>
    <row r="60" spans="1:12" x14ac:dyDescent="0.25">
      <c r="A60" s="162">
        <v>38267</v>
      </c>
      <c r="B60" s="163">
        <v>2.25</v>
      </c>
      <c r="E60" s="159">
        <f t="shared" si="0"/>
        <v>2008</v>
      </c>
      <c r="F60" s="157">
        <v>39753</v>
      </c>
      <c r="G60" s="158">
        <v>3</v>
      </c>
      <c r="K60" s="157">
        <v>38562</v>
      </c>
      <c r="L60" s="158">
        <v>2.0499999999999998</v>
      </c>
    </row>
    <row r="61" spans="1:12" x14ac:dyDescent="0.25">
      <c r="A61" s="162">
        <v>38268</v>
      </c>
      <c r="B61" s="163">
        <v>2.17</v>
      </c>
      <c r="E61" s="159">
        <f t="shared" si="0"/>
        <v>2008</v>
      </c>
      <c r="F61" s="157">
        <v>39783</v>
      </c>
      <c r="G61" s="158">
        <v>2.3199999999999998</v>
      </c>
      <c r="K61" s="157">
        <v>38569</v>
      </c>
      <c r="L61" s="158">
        <v>2.08</v>
      </c>
    </row>
    <row r="62" spans="1:12" x14ac:dyDescent="0.25">
      <c r="A62" s="162">
        <v>38271</v>
      </c>
      <c r="B62" s="163" t="e">
        <f>NA()</f>
        <v>#N/A</v>
      </c>
      <c r="E62" s="159">
        <f t="shared" si="0"/>
        <v>2009</v>
      </c>
      <c r="F62" s="157">
        <v>39814</v>
      </c>
      <c r="G62" s="158">
        <v>2.46</v>
      </c>
      <c r="K62" s="157">
        <v>38576</v>
      </c>
      <c r="L62" s="158">
        <v>2.08</v>
      </c>
    </row>
    <row r="63" spans="1:12" x14ac:dyDescent="0.25">
      <c r="A63" s="162">
        <v>38272</v>
      </c>
      <c r="B63" s="163">
        <v>2.14</v>
      </c>
      <c r="E63" s="159">
        <f t="shared" si="0"/>
        <v>2009</v>
      </c>
      <c r="F63" s="157">
        <v>39845</v>
      </c>
      <c r="G63" s="158">
        <v>2.31</v>
      </c>
      <c r="K63" s="157">
        <v>38583</v>
      </c>
      <c r="L63" s="158">
        <v>2.0099999999999998</v>
      </c>
    </row>
    <row r="64" spans="1:12" x14ac:dyDescent="0.25">
      <c r="A64" s="162">
        <v>38273</v>
      </c>
      <c r="B64" s="163">
        <v>2.12</v>
      </c>
      <c r="E64" s="159">
        <f t="shared" si="0"/>
        <v>2009</v>
      </c>
      <c r="F64" s="157">
        <v>39873</v>
      </c>
      <c r="G64" s="158">
        <v>2.2599999999999998</v>
      </c>
      <c r="K64" s="157">
        <v>38590</v>
      </c>
      <c r="L64" s="158">
        <v>1.97</v>
      </c>
    </row>
    <row r="65" spans="1:12" x14ac:dyDescent="0.25">
      <c r="A65" s="162">
        <v>38274</v>
      </c>
      <c r="B65" s="163">
        <v>2.1</v>
      </c>
      <c r="E65" s="159">
        <f t="shared" si="0"/>
        <v>2009</v>
      </c>
      <c r="F65" s="157">
        <v>39904</v>
      </c>
      <c r="G65" s="158">
        <v>2.2200000000000002</v>
      </c>
      <c r="K65" s="157">
        <v>38597</v>
      </c>
      <c r="L65" s="158">
        <v>1.88</v>
      </c>
    </row>
    <row r="66" spans="1:12" x14ac:dyDescent="0.25">
      <c r="A66" s="162">
        <v>38275</v>
      </c>
      <c r="B66" s="164">
        <v>2.1</v>
      </c>
      <c r="E66" s="159">
        <f t="shared" si="0"/>
        <v>2009</v>
      </c>
      <c r="F66" s="157">
        <v>39934</v>
      </c>
      <c r="G66" s="158">
        <v>2.36</v>
      </c>
      <c r="K66" s="157">
        <v>38604</v>
      </c>
      <c r="L66" s="158">
        <v>1.93</v>
      </c>
    </row>
    <row r="67" spans="1:12" x14ac:dyDescent="0.25">
      <c r="A67" s="162">
        <v>38278</v>
      </c>
      <c r="B67" s="163">
        <v>2.1</v>
      </c>
      <c r="E67" s="159">
        <f t="shared" si="0"/>
        <v>2009</v>
      </c>
      <c r="F67" s="157">
        <v>39965</v>
      </c>
      <c r="G67" s="158">
        <v>2.36</v>
      </c>
      <c r="K67" s="157">
        <v>38611</v>
      </c>
      <c r="L67" s="158">
        <v>1.94</v>
      </c>
    </row>
    <row r="68" spans="1:12" x14ac:dyDescent="0.25">
      <c r="A68" s="162">
        <v>38279</v>
      </c>
      <c r="B68" s="163">
        <v>2.1</v>
      </c>
      <c r="E68" s="159">
        <f t="shared" si="0"/>
        <v>2009</v>
      </c>
      <c r="F68" s="157">
        <v>39995</v>
      </c>
      <c r="G68" s="158">
        <v>2.31</v>
      </c>
      <c r="K68" s="157">
        <v>38618</v>
      </c>
      <c r="L68" s="158">
        <v>1.93</v>
      </c>
    </row>
    <row r="69" spans="1:12" x14ac:dyDescent="0.25">
      <c r="A69" s="162">
        <v>38280</v>
      </c>
      <c r="B69" s="163">
        <v>2.06</v>
      </c>
      <c r="E69" s="159">
        <f t="shared" si="0"/>
        <v>2009</v>
      </c>
      <c r="F69" s="157">
        <v>40026</v>
      </c>
      <c r="G69" s="158">
        <v>2.2200000000000002</v>
      </c>
      <c r="K69" s="157">
        <v>38625</v>
      </c>
      <c r="L69" s="158">
        <v>1.94</v>
      </c>
    </row>
    <row r="70" spans="1:12" x14ac:dyDescent="0.25">
      <c r="A70" s="162">
        <v>38281</v>
      </c>
      <c r="B70" s="163">
        <v>2.04</v>
      </c>
      <c r="E70" s="159">
        <f t="shared" si="0"/>
        <v>2009</v>
      </c>
      <c r="F70" s="157">
        <v>40057</v>
      </c>
      <c r="G70" s="158">
        <v>2.13</v>
      </c>
      <c r="K70" s="157">
        <v>38632</v>
      </c>
      <c r="L70" s="158">
        <v>2.02</v>
      </c>
    </row>
    <row r="71" spans="1:12" x14ac:dyDescent="0.25">
      <c r="A71" s="162">
        <v>38282</v>
      </c>
      <c r="B71" s="163">
        <v>2.06</v>
      </c>
      <c r="E71" s="159">
        <f t="shared" si="0"/>
        <v>2009</v>
      </c>
      <c r="F71" s="157">
        <v>40087</v>
      </c>
      <c r="G71" s="158">
        <v>2.04</v>
      </c>
      <c r="K71" s="157">
        <v>38639</v>
      </c>
      <c r="L71" s="158">
        <v>2.09</v>
      </c>
    </row>
    <row r="72" spans="1:12" x14ac:dyDescent="0.25">
      <c r="A72" s="162">
        <v>38285</v>
      </c>
      <c r="B72" s="163">
        <v>2.0499999999999998</v>
      </c>
      <c r="E72" s="159">
        <f t="shared" si="0"/>
        <v>2009</v>
      </c>
      <c r="F72" s="157">
        <v>40118</v>
      </c>
      <c r="G72" s="158">
        <v>1.9</v>
      </c>
      <c r="K72" s="157">
        <v>38646</v>
      </c>
      <c r="L72" s="158">
        <v>2.09</v>
      </c>
    </row>
    <row r="73" spans="1:12" x14ac:dyDescent="0.25">
      <c r="A73" s="162">
        <v>38286</v>
      </c>
      <c r="B73" s="163">
        <v>2.0699999999999998</v>
      </c>
      <c r="E73" s="159">
        <f t="shared" ref="E73:E136" si="1">YEAR(F73)</f>
        <v>2009</v>
      </c>
      <c r="F73" s="157">
        <v>40148</v>
      </c>
      <c r="G73" s="158">
        <v>1.99</v>
      </c>
      <c r="K73" s="157">
        <v>38653</v>
      </c>
      <c r="L73" s="158">
        <v>2.16</v>
      </c>
    </row>
    <row r="74" spans="1:12" x14ac:dyDescent="0.25">
      <c r="A74" s="162">
        <v>38287</v>
      </c>
      <c r="B74" s="163">
        <v>2.17</v>
      </c>
      <c r="E74" s="159">
        <f t="shared" si="1"/>
        <v>2010</v>
      </c>
      <c r="F74" s="157">
        <v>40179</v>
      </c>
      <c r="G74" s="158">
        <v>2</v>
      </c>
      <c r="K74" s="157">
        <v>38660</v>
      </c>
      <c r="L74" s="158">
        <v>2.16</v>
      </c>
    </row>
    <row r="75" spans="1:12" x14ac:dyDescent="0.25">
      <c r="A75" s="162">
        <v>38288</v>
      </c>
      <c r="B75" s="163">
        <v>2.12</v>
      </c>
      <c r="E75" s="159">
        <f t="shared" si="1"/>
        <v>2010</v>
      </c>
      <c r="F75" s="157">
        <v>40210</v>
      </c>
      <c r="G75" s="158">
        <v>2.0299999999999998</v>
      </c>
      <c r="K75" s="157">
        <v>38667</v>
      </c>
      <c r="L75" s="158">
        <v>2.16</v>
      </c>
    </row>
    <row r="76" spans="1:12" x14ac:dyDescent="0.25">
      <c r="A76" s="162">
        <v>38289</v>
      </c>
      <c r="B76" s="163">
        <v>2.09</v>
      </c>
      <c r="E76" s="159">
        <f t="shared" si="1"/>
        <v>2010</v>
      </c>
      <c r="F76" s="157">
        <v>40238</v>
      </c>
      <c r="G76" s="158">
        <v>1.98</v>
      </c>
      <c r="K76" s="157">
        <v>38674</v>
      </c>
      <c r="L76" s="158">
        <v>2.15</v>
      </c>
    </row>
    <row r="77" spans="1:12" x14ac:dyDescent="0.25">
      <c r="A77" s="162">
        <v>38292</v>
      </c>
      <c r="B77" s="163">
        <v>2.13</v>
      </c>
      <c r="E77" s="159">
        <f t="shared" si="1"/>
        <v>2010</v>
      </c>
      <c r="F77" s="157">
        <v>40269</v>
      </c>
      <c r="G77" s="158">
        <v>1.9</v>
      </c>
      <c r="K77" s="157">
        <v>38681</v>
      </c>
      <c r="L77" s="158">
        <v>2.15</v>
      </c>
    </row>
    <row r="78" spans="1:12" x14ac:dyDescent="0.25">
      <c r="A78" s="162">
        <v>38293</v>
      </c>
      <c r="B78" s="163">
        <v>2.0699999999999998</v>
      </c>
      <c r="E78" s="159">
        <f t="shared" si="1"/>
        <v>2010</v>
      </c>
      <c r="F78" s="157">
        <v>40299</v>
      </c>
      <c r="G78" s="158">
        <v>1.72</v>
      </c>
      <c r="K78" s="157">
        <v>38688</v>
      </c>
      <c r="L78" s="158">
        <v>2.1800000000000002</v>
      </c>
    </row>
    <row r="79" spans="1:12" x14ac:dyDescent="0.25">
      <c r="A79" s="162">
        <v>38294</v>
      </c>
      <c r="B79" s="163">
        <v>2.0499999999999998</v>
      </c>
      <c r="E79" s="159">
        <f t="shared" si="1"/>
        <v>2010</v>
      </c>
      <c r="F79" s="157">
        <v>40330</v>
      </c>
      <c r="G79" s="158">
        <v>1.69</v>
      </c>
      <c r="K79" s="157">
        <v>38695</v>
      </c>
      <c r="L79" s="158">
        <v>2.21</v>
      </c>
    </row>
    <row r="80" spans="1:12" x14ac:dyDescent="0.25">
      <c r="A80" s="162">
        <v>38295</v>
      </c>
      <c r="B80" s="163">
        <v>2.08</v>
      </c>
      <c r="E80" s="159">
        <f t="shared" si="1"/>
        <v>2010</v>
      </c>
      <c r="F80" s="157">
        <v>40360</v>
      </c>
      <c r="G80" s="158">
        <v>1.8</v>
      </c>
      <c r="K80" s="157">
        <v>38702</v>
      </c>
      <c r="L80" s="158">
        <v>2.1800000000000002</v>
      </c>
    </row>
    <row r="81" spans="1:12" x14ac:dyDescent="0.25">
      <c r="A81" s="162">
        <v>38296</v>
      </c>
      <c r="B81" s="163">
        <v>2.14</v>
      </c>
      <c r="E81" s="159">
        <f t="shared" si="1"/>
        <v>2010</v>
      </c>
      <c r="F81" s="157">
        <v>40391</v>
      </c>
      <c r="G81" s="158">
        <v>1.65</v>
      </c>
      <c r="K81" s="157">
        <v>38709</v>
      </c>
      <c r="L81" s="158">
        <v>2.1</v>
      </c>
    </row>
    <row r="82" spans="1:12" x14ac:dyDescent="0.25">
      <c r="A82" s="162">
        <v>38299</v>
      </c>
      <c r="B82" s="163">
        <v>2.16</v>
      </c>
      <c r="E82" s="159">
        <f t="shared" si="1"/>
        <v>2010</v>
      </c>
      <c r="F82" s="157">
        <v>40422</v>
      </c>
      <c r="G82" s="158">
        <v>1.58</v>
      </c>
      <c r="K82" s="157">
        <v>38716</v>
      </c>
      <c r="L82" s="158">
        <v>2.04</v>
      </c>
    </row>
    <row r="83" spans="1:12" x14ac:dyDescent="0.25">
      <c r="A83" s="162">
        <v>38300</v>
      </c>
      <c r="B83" s="163">
        <v>2.17</v>
      </c>
      <c r="E83" s="159">
        <f t="shared" si="1"/>
        <v>2010</v>
      </c>
      <c r="F83" s="157">
        <v>40452</v>
      </c>
      <c r="G83" s="158">
        <v>1.32</v>
      </c>
      <c r="K83" s="157">
        <v>38723</v>
      </c>
      <c r="L83" s="158">
        <v>2.0499999999999998</v>
      </c>
    </row>
    <row r="84" spans="1:12" x14ac:dyDescent="0.25">
      <c r="A84" s="162">
        <v>38301</v>
      </c>
      <c r="B84" s="163">
        <v>2.19</v>
      </c>
      <c r="E84" s="159">
        <f t="shared" si="1"/>
        <v>2010</v>
      </c>
      <c r="F84" s="157">
        <v>40483</v>
      </c>
      <c r="G84" s="158">
        <v>1.44</v>
      </c>
      <c r="K84" s="157">
        <v>38730</v>
      </c>
      <c r="L84" s="158">
        <v>2.08</v>
      </c>
    </row>
    <row r="85" spans="1:12" x14ac:dyDescent="0.25">
      <c r="A85" s="162">
        <v>38302</v>
      </c>
      <c r="B85" s="163" t="e">
        <f>NA()</f>
        <v>#N/A</v>
      </c>
      <c r="E85" s="159">
        <f t="shared" si="1"/>
        <v>2010</v>
      </c>
      <c r="F85" s="157">
        <v>40513</v>
      </c>
      <c r="G85" s="158">
        <v>1.67</v>
      </c>
      <c r="K85" s="157">
        <v>38737</v>
      </c>
      <c r="L85" s="158">
        <v>2.02</v>
      </c>
    </row>
    <row r="86" spans="1:12" x14ac:dyDescent="0.25">
      <c r="A86" s="162">
        <v>38303</v>
      </c>
      <c r="B86" s="163">
        <v>2.13</v>
      </c>
      <c r="E86" s="159">
        <f t="shared" si="1"/>
        <v>2011</v>
      </c>
      <c r="F86" s="157">
        <v>40544</v>
      </c>
      <c r="G86" s="158">
        <v>1.7</v>
      </c>
      <c r="K86" s="157">
        <v>38744</v>
      </c>
      <c r="L86" s="158">
        <v>2.04</v>
      </c>
    </row>
    <row r="87" spans="1:12" x14ac:dyDescent="0.25">
      <c r="A87" s="162">
        <v>38306</v>
      </c>
      <c r="B87" s="163">
        <v>2.09</v>
      </c>
      <c r="E87" s="159">
        <f t="shared" si="1"/>
        <v>2011</v>
      </c>
      <c r="F87" s="157">
        <v>40575</v>
      </c>
      <c r="G87" s="158">
        <v>1.85</v>
      </c>
      <c r="K87" s="157">
        <v>38751</v>
      </c>
      <c r="L87" s="158">
        <v>2.02</v>
      </c>
    </row>
    <row r="88" spans="1:12" x14ac:dyDescent="0.25">
      <c r="A88" s="162">
        <v>38307</v>
      </c>
      <c r="B88" s="163">
        <v>2.1</v>
      </c>
      <c r="E88" s="159">
        <f t="shared" si="1"/>
        <v>2011</v>
      </c>
      <c r="F88" s="157">
        <v>40603</v>
      </c>
      <c r="G88" s="158">
        <v>1.58</v>
      </c>
      <c r="K88" s="157">
        <v>38758</v>
      </c>
      <c r="L88" s="158">
        <v>1.99</v>
      </c>
    </row>
    <row r="89" spans="1:12" x14ac:dyDescent="0.25">
      <c r="A89" s="162">
        <v>38308</v>
      </c>
      <c r="B89" s="164">
        <v>2.0499999999999998</v>
      </c>
      <c r="E89" s="159">
        <f t="shared" si="1"/>
        <v>2011</v>
      </c>
      <c r="F89" s="157">
        <v>40634</v>
      </c>
      <c r="G89" s="158">
        <v>1.48</v>
      </c>
      <c r="K89" s="157">
        <v>38765</v>
      </c>
      <c r="L89" s="158">
        <v>2.04</v>
      </c>
    </row>
    <row r="90" spans="1:12" x14ac:dyDescent="0.25">
      <c r="A90" s="162">
        <v>38309</v>
      </c>
      <c r="B90" s="163">
        <v>2.0299999999999998</v>
      </c>
      <c r="E90" s="159">
        <f t="shared" si="1"/>
        <v>2011</v>
      </c>
      <c r="F90" s="157">
        <v>40664</v>
      </c>
      <c r="G90" s="158">
        <v>1.47</v>
      </c>
      <c r="K90" s="157">
        <v>38772</v>
      </c>
      <c r="L90" s="158">
        <v>1.99</v>
      </c>
    </row>
    <row r="91" spans="1:12" x14ac:dyDescent="0.25">
      <c r="A91" s="162">
        <v>38310</v>
      </c>
      <c r="B91" s="163">
        <v>2.06</v>
      </c>
      <c r="E91" s="159">
        <f t="shared" si="1"/>
        <v>2011</v>
      </c>
      <c r="F91" s="157">
        <v>40695</v>
      </c>
      <c r="G91" s="158">
        <v>1.53</v>
      </c>
      <c r="K91" s="157">
        <v>38779</v>
      </c>
      <c r="L91" s="158">
        <v>2.0099999999999998</v>
      </c>
    </row>
    <row r="92" spans="1:12" x14ac:dyDescent="0.25">
      <c r="A92" s="162">
        <v>38313</v>
      </c>
      <c r="B92" s="163">
        <v>2.0099999999999998</v>
      </c>
      <c r="E92" s="159">
        <f t="shared" si="1"/>
        <v>2011</v>
      </c>
      <c r="F92" s="157">
        <v>40725</v>
      </c>
      <c r="G92" s="158">
        <v>1.36</v>
      </c>
      <c r="K92" s="157">
        <v>38786</v>
      </c>
      <c r="L92" s="158">
        <v>2.14</v>
      </c>
    </row>
    <row r="93" spans="1:12" x14ac:dyDescent="0.25">
      <c r="A93" s="162">
        <v>38314</v>
      </c>
      <c r="B93" s="163">
        <v>2.04</v>
      </c>
      <c r="E93" s="159">
        <f t="shared" si="1"/>
        <v>2011</v>
      </c>
      <c r="F93" s="157">
        <v>40756</v>
      </c>
      <c r="G93" s="158">
        <v>0.81</v>
      </c>
      <c r="K93" s="157">
        <v>38793</v>
      </c>
      <c r="L93" s="158">
        <v>2.16</v>
      </c>
    </row>
    <row r="94" spans="1:12" x14ac:dyDescent="0.25">
      <c r="A94" s="162">
        <v>38315</v>
      </c>
      <c r="B94" s="163">
        <v>2.0299999999999998</v>
      </c>
      <c r="E94" s="159">
        <f t="shared" si="1"/>
        <v>2011</v>
      </c>
      <c r="F94" s="157">
        <v>40787</v>
      </c>
      <c r="G94" s="158">
        <v>0.69</v>
      </c>
      <c r="K94" s="157">
        <v>38800</v>
      </c>
      <c r="L94" s="158">
        <v>2.19</v>
      </c>
    </row>
    <row r="95" spans="1:12" x14ac:dyDescent="0.25">
      <c r="A95" s="162">
        <v>38316</v>
      </c>
      <c r="B95" s="163" t="e">
        <f>NA()</f>
        <v>#N/A</v>
      </c>
      <c r="E95" s="159">
        <f t="shared" si="1"/>
        <v>2011</v>
      </c>
      <c r="F95" s="157">
        <v>40817</v>
      </c>
      <c r="G95" s="158">
        <v>0.72</v>
      </c>
      <c r="K95" s="157">
        <v>38807</v>
      </c>
      <c r="L95" s="158">
        <v>2.29</v>
      </c>
    </row>
    <row r="96" spans="1:12" x14ac:dyDescent="0.25">
      <c r="A96" s="162">
        <v>38317</v>
      </c>
      <c r="B96" s="163">
        <v>2.06</v>
      </c>
      <c r="E96" s="159">
        <f t="shared" si="1"/>
        <v>2011</v>
      </c>
      <c r="F96" s="157">
        <v>40848</v>
      </c>
      <c r="G96" s="158">
        <v>0.55000000000000004</v>
      </c>
      <c r="K96" s="157">
        <v>38814</v>
      </c>
      <c r="L96" s="158">
        <v>2.37</v>
      </c>
    </row>
    <row r="97" spans="1:12" x14ac:dyDescent="0.25">
      <c r="A97" s="162">
        <v>38320</v>
      </c>
      <c r="B97" s="163">
        <v>2.11</v>
      </c>
      <c r="E97" s="159">
        <f t="shared" si="1"/>
        <v>2011</v>
      </c>
      <c r="F97" s="157">
        <v>40878</v>
      </c>
      <c r="G97" s="158">
        <v>0.56000000000000005</v>
      </c>
      <c r="K97" s="157">
        <v>38821</v>
      </c>
      <c r="L97" s="158">
        <v>2.44</v>
      </c>
    </row>
    <row r="98" spans="1:12" x14ac:dyDescent="0.25">
      <c r="A98" s="162">
        <v>38321</v>
      </c>
      <c r="B98" s="163">
        <v>2.15</v>
      </c>
      <c r="E98" s="159">
        <f t="shared" si="1"/>
        <v>2012</v>
      </c>
      <c r="F98" s="157">
        <v>40909</v>
      </c>
      <c r="G98" s="158">
        <v>0.51</v>
      </c>
      <c r="K98" s="157">
        <v>38828</v>
      </c>
      <c r="L98" s="158">
        <v>2.44</v>
      </c>
    </row>
    <row r="99" spans="1:12" x14ac:dyDescent="0.25">
      <c r="A99" s="162">
        <v>38322</v>
      </c>
      <c r="B99" s="164">
        <v>2.1800000000000002</v>
      </c>
      <c r="E99" s="159">
        <f t="shared" si="1"/>
        <v>2012</v>
      </c>
      <c r="F99" s="157">
        <v>40940</v>
      </c>
      <c r="G99" s="158">
        <v>0.45</v>
      </c>
      <c r="K99" s="157">
        <v>38835</v>
      </c>
      <c r="L99" s="158">
        <v>2.48</v>
      </c>
    </row>
    <row r="100" spans="1:12" x14ac:dyDescent="0.25">
      <c r="A100" s="162">
        <v>38323</v>
      </c>
      <c r="B100" s="163">
        <v>2.2000000000000002</v>
      </c>
      <c r="E100" s="159">
        <f t="shared" si="1"/>
        <v>2012</v>
      </c>
      <c r="F100" s="157">
        <v>40969</v>
      </c>
      <c r="G100" s="158">
        <v>0.56000000000000005</v>
      </c>
      <c r="K100" s="157">
        <v>38842</v>
      </c>
      <c r="L100" s="158">
        <v>2.5099999999999998</v>
      </c>
    </row>
    <row r="101" spans="1:12" x14ac:dyDescent="0.25">
      <c r="A101" s="162">
        <v>38324</v>
      </c>
      <c r="B101" s="163">
        <v>2.1</v>
      </c>
      <c r="E101" s="159">
        <f t="shared" si="1"/>
        <v>2012</v>
      </c>
      <c r="F101" s="157">
        <v>41000</v>
      </c>
      <c r="G101" s="158">
        <v>0.5</v>
      </c>
      <c r="K101" s="157">
        <v>38849</v>
      </c>
      <c r="L101" s="158">
        <v>2.48</v>
      </c>
    </row>
    <row r="102" spans="1:12" x14ac:dyDescent="0.25">
      <c r="A102" s="162">
        <v>38327</v>
      </c>
      <c r="B102" s="163">
        <v>2.08</v>
      </c>
      <c r="E102" s="159">
        <f t="shared" si="1"/>
        <v>2012</v>
      </c>
      <c r="F102" s="157">
        <v>41030</v>
      </c>
      <c r="G102" s="158">
        <v>0.44</v>
      </c>
      <c r="K102" s="157">
        <v>38856</v>
      </c>
      <c r="L102" s="158">
        <v>2.48</v>
      </c>
    </row>
    <row r="103" spans="1:12" x14ac:dyDescent="0.25">
      <c r="A103" s="162">
        <v>38328</v>
      </c>
      <c r="B103" s="163">
        <v>2.08</v>
      </c>
      <c r="E103" s="159">
        <f t="shared" si="1"/>
        <v>2012</v>
      </c>
      <c r="F103" s="157">
        <v>41061</v>
      </c>
      <c r="G103" s="158">
        <v>0.1</v>
      </c>
      <c r="K103" s="157">
        <v>38863</v>
      </c>
      <c r="L103" s="158">
        <v>2.46</v>
      </c>
    </row>
    <row r="104" spans="1:12" x14ac:dyDescent="0.25">
      <c r="A104" s="162">
        <v>38329</v>
      </c>
      <c r="B104" s="163">
        <v>2</v>
      </c>
      <c r="E104" s="159">
        <f t="shared" si="1"/>
        <v>2012</v>
      </c>
      <c r="F104" s="157">
        <v>41091</v>
      </c>
      <c r="G104" s="158">
        <v>-0.01</v>
      </c>
      <c r="K104" s="157">
        <v>38870</v>
      </c>
      <c r="L104" s="158">
        <v>2.4700000000000002</v>
      </c>
    </row>
    <row r="105" spans="1:12" x14ac:dyDescent="0.25">
      <c r="A105" s="162">
        <v>38330</v>
      </c>
      <c r="B105" s="163">
        <v>2.0299999999999998</v>
      </c>
      <c r="E105" s="159">
        <f t="shared" si="1"/>
        <v>2012</v>
      </c>
      <c r="F105" s="157">
        <v>41122</v>
      </c>
      <c r="G105" s="158">
        <v>0.06</v>
      </c>
      <c r="K105" s="157">
        <v>38877</v>
      </c>
      <c r="L105" s="158">
        <v>2.4700000000000002</v>
      </c>
    </row>
    <row r="106" spans="1:12" x14ac:dyDescent="0.25">
      <c r="A106" s="162">
        <v>38331</v>
      </c>
      <c r="B106" s="163">
        <v>2.0499999999999998</v>
      </c>
      <c r="E106" s="159">
        <f t="shared" si="1"/>
        <v>2012</v>
      </c>
      <c r="F106" s="157">
        <v>41153</v>
      </c>
      <c r="G106" s="158">
        <v>0.02</v>
      </c>
      <c r="K106" s="157">
        <v>38884</v>
      </c>
      <c r="L106" s="158">
        <v>2.4900000000000002</v>
      </c>
    </row>
    <row r="107" spans="1:12" x14ac:dyDescent="0.25">
      <c r="A107" s="162">
        <v>38334</v>
      </c>
      <c r="B107" s="163">
        <v>2.0299999999999998</v>
      </c>
      <c r="E107" s="159">
        <f t="shared" si="1"/>
        <v>2012</v>
      </c>
      <c r="F107" s="157">
        <v>41183</v>
      </c>
      <c r="G107" s="158">
        <v>-0.01</v>
      </c>
      <c r="K107" s="157">
        <v>38891</v>
      </c>
      <c r="L107" s="158">
        <v>2.59</v>
      </c>
    </row>
    <row r="108" spans="1:12" x14ac:dyDescent="0.25">
      <c r="A108" s="162">
        <v>38335</v>
      </c>
      <c r="B108" s="163">
        <v>2</v>
      </c>
      <c r="E108" s="159">
        <f t="shared" si="1"/>
        <v>2012</v>
      </c>
      <c r="F108" s="157">
        <v>41214</v>
      </c>
      <c r="G108" s="158">
        <v>-0.06</v>
      </c>
      <c r="K108" s="157">
        <v>38898</v>
      </c>
      <c r="L108" s="158">
        <v>2.63</v>
      </c>
    </row>
    <row r="109" spans="1:12" x14ac:dyDescent="0.25">
      <c r="A109" s="162">
        <v>38336</v>
      </c>
      <c r="B109" s="163">
        <v>1.93</v>
      </c>
      <c r="E109" s="159">
        <f t="shared" si="1"/>
        <v>2012</v>
      </c>
      <c r="F109" s="157">
        <v>41244</v>
      </c>
      <c r="G109" s="158">
        <v>0</v>
      </c>
      <c r="K109" s="157">
        <v>38905</v>
      </c>
      <c r="L109" s="158">
        <v>2.6</v>
      </c>
    </row>
    <row r="110" spans="1:12" x14ac:dyDescent="0.25">
      <c r="A110" s="162">
        <v>38337</v>
      </c>
      <c r="B110" s="163">
        <v>2</v>
      </c>
      <c r="E110" s="159">
        <f t="shared" si="1"/>
        <v>2013</v>
      </c>
      <c r="F110" s="157">
        <v>41275</v>
      </c>
      <c r="G110" s="158">
        <v>0.2</v>
      </c>
      <c r="K110" s="157">
        <v>38912</v>
      </c>
      <c r="L110" s="158">
        <v>2.54</v>
      </c>
    </row>
    <row r="111" spans="1:12" x14ac:dyDescent="0.25">
      <c r="A111" s="162">
        <v>38338</v>
      </c>
      <c r="B111" s="163">
        <v>2</v>
      </c>
      <c r="E111" s="159">
        <f t="shared" si="1"/>
        <v>2013</v>
      </c>
      <c r="F111" s="157">
        <v>41306</v>
      </c>
      <c r="G111" s="158">
        <v>0.19</v>
      </c>
      <c r="K111" s="157">
        <v>38919</v>
      </c>
      <c r="L111" s="158">
        <v>2.5099999999999998</v>
      </c>
    </row>
    <row r="112" spans="1:12" x14ac:dyDescent="0.25">
      <c r="A112" s="162">
        <v>38341</v>
      </c>
      <c r="B112" s="163">
        <v>1.97</v>
      </c>
      <c r="E112" s="159">
        <f t="shared" si="1"/>
        <v>2013</v>
      </c>
      <c r="F112" s="157">
        <v>41334</v>
      </c>
      <c r="G112" s="158">
        <v>0.19</v>
      </c>
      <c r="K112" s="157">
        <v>38926</v>
      </c>
      <c r="L112" s="158">
        <v>2.46</v>
      </c>
    </row>
    <row r="113" spans="1:12" x14ac:dyDescent="0.25">
      <c r="A113" s="162">
        <v>38342</v>
      </c>
      <c r="B113" s="163">
        <v>1.89</v>
      </c>
      <c r="E113" s="159">
        <f t="shared" si="1"/>
        <v>2013</v>
      </c>
      <c r="F113" s="157">
        <v>41365</v>
      </c>
      <c r="G113" s="158">
        <v>7.0000000000000007E-2</v>
      </c>
      <c r="K113" s="157">
        <v>38933</v>
      </c>
      <c r="L113" s="158">
        <v>2.39</v>
      </c>
    </row>
    <row r="114" spans="1:12" x14ac:dyDescent="0.25">
      <c r="A114" s="162">
        <v>38343</v>
      </c>
      <c r="B114" s="163">
        <v>1.94</v>
      </c>
      <c r="E114" s="159">
        <f t="shared" si="1"/>
        <v>2013</v>
      </c>
      <c r="F114" s="157">
        <v>41395</v>
      </c>
      <c r="G114" s="158">
        <v>0.35</v>
      </c>
      <c r="K114" s="157">
        <v>38940</v>
      </c>
      <c r="L114" s="158">
        <v>2.3199999999999998</v>
      </c>
    </row>
    <row r="115" spans="1:12" x14ac:dyDescent="0.25">
      <c r="A115" s="162">
        <v>38344</v>
      </c>
      <c r="B115" s="163">
        <v>1.95</v>
      </c>
      <c r="E115" s="159">
        <f t="shared" si="1"/>
        <v>2013</v>
      </c>
      <c r="F115" s="157">
        <v>41426</v>
      </c>
      <c r="G115" s="158">
        <v>0.98</v>
      </c>
      <c r="K115" s="157">
        <v>38947</v>
      </c>
      <c r="L115" s="158">
        <v>2.34</v>
      </c>
    </row>
    <row r="116" spans="1:12" x14ac:dyDescent="0.25">
      <c r="A116" s="162">
        <v>38345</v>
      </c>
      <c r="B116" s="163" t="e">
        <f>NA()</f>
        <v>#N/A</v>
      </c>
      <c r="E116" s="159">
        <f t="shared" si="1"/>
        <v>2013</v>
      </c>
      <c r="F116" s="157">
        <v>41456</v>
      </c>
      <c r="G116" s="158">
        <v>1.0900000000000001</v>
      </c>
      <c r="K116" s="157">
        <v>38954</v>
      </c>
      <c r="L116" s="158">
        <v>2.2599999999999998</v>
      </c>
    </row>
    <row r="117" spans="1:12" x14ac:dyDescent="0.25">
      <c r="A117" s="162">
        <v>38348</v>
      </c>
      <c r="B117" s="163">
        <v>1.98</v>
      </c>
      <c r="E117" s="159">
        <f t="shared" si="1"/>
        <v>2013</v>
      </c>
      <c r="F117" s="157">
        <v>41487</v>
      </c>
      <c r="G117" s="158">
        <v>1.1599999999999999</v>
      </c>
      <c r="K117" s="157">
        <v>38961</v>
      </c>
      <c r="L117" s="158">
        <v>2.2599999999999998</v>
      </c>
    </row>
    <row r="118" spans="1:12" x14ac:dyDescent="0.25">
      <c r="A118" s="162">
        <v>38349</v>
      </c>
      <c r="B118" s="163">
        <v>2</v>
      </c>
      <c r="E118" s="159">
        <f t="shared" si="1"/>
        <v>2013</v>
      </c>
      <c r="F118" s="157">
        <v>41518</v>
      </c>
      <c r="G118" s="158">
        <v>1.22</v>
      </c>
      <c r="K118" s="157">
        <v>38968</v>
      </c>
      <c r="L118" s="158">
        <v>2.33</v>
      </c>
    </row>
    <row r="119" spans="1:12" x14ac:dyDescent="0.25">
      <c r="A119" s="162">
        <v>38350</v>
      </c>
      <c r="B119" s="163">
        <v>2.0299999999999998</v>
      </c>
      <c r="E119" s="159">
        <f t="shared" si="1"/>
        <v>2013</v>
      </c>
      <c r="F119" s="157">
        <v>41548</v>
      </c>
      <c r="G119" s="158">
        <v>1.05</v>
      </c>
      <c r="K119" s="157">
        <v>38975</v>
      </c>
      <c r="L119" s="158">
        <v>2.34</v>
      </c>
    </row>
    <row r="120" spans="1:12" x14ac:dyDescent="0.25">
      <c r="A120" s="162">
        <v>38351</v>
      </c>
      <c r="B120" s="164">
        <v>2</v>
      </c>
      <c r="E120" s="159">
        <f t="shared" si="1"/>
        <v>2013</v>
      </c>
      <c r="F120" s="157">
        <v>41579</v>
      </c>
      <c r="G120" s="158">
        <v>1.2</v>
      </c>
      <c r="K120" s="157">
        <v>38982</v>
      </c>
      <c r="L120" s="158">
        <v>2.3199999999999998</v>
      </c>
    </row>
    <row r="121" spans="1:12" x14ac:dyDescent="0.25">
      <c r="A121" s="162">
        <v>38352</v>
      </c>
      <c r="B121" s="163">
        <v>1.96</v>
      </c>
      <c r="E121" s="159">
        <f t="shared" si="1"/>
        <v>2013</v>
      </c>
      <c r="F121" s="157">
        <v>41609</v>
      </c>
      <c r="G121" s="158">
        <v>1.32</v>
      </c>
      <c r="K121" s="157">
        <v>38989</v>
      </c>
      <c r="L121" s="158">
        <v>2.25</v>
      </c>
    </row>
    <row r="122" spans="1:12" x14ac:dyDescent="0.25">
      <c r="A122" s="162">
        <v>38355</v>
      </c>
      <c r="B122" s="163">
        <v>1.96</v>
      </c>
      <c r="E122" s="159">
        <f t="shared" si="1"/>
        <v>2014</v>
      </c>
      <c r="F122" s="157">
        <v>41640</v>
      </c>
      <c r="G122" s="158">
        <v>1.17</v>
      </c>
      <c r="K122" s="157">
        <v>38996</v>
      </c>
      <c r="L122" s="158">
        <v>2.27</v>
      </c>
    </row>
    <row r="123" spans="1:12" x14ac:dyDescent="0.25">
      <c r="A123" s="162">
        <v>38356</v>
      </c>
      <c r="B123" s="163">
        <v>2.02</v>
      </c>
      <c r="E123" s="159">
        <f t="shared" si="1"/>
        <v>2014</v>
      </c>
      <c r="F123" s="157">
        <v>41671</v>
      </c>
      <c r="G123" s="158">
        <v>1.1200000000000001</v>
      </c>
      <c r="K123" s="157">
        <v>39003</v>
      </c>
      <c r="L123" s="158">
        <v>2.41</v>
      </c>
    </row>
    <row r="124" spans="1:12" x14ac:dyDescent="0.25">
      <c r="A124" s="162">
        <v>38357</v>
      </c>
      <c r="B124" s="163">
        <v>2.04</v>
      </c>
      <c r="E124" s="159">
        <f t="shared" si="1"/>
        <v>2014</v>
      </c>
      <c r="F124" s="157">
        <v>41699</v>
      </c>
      <c r="G124" s="158">
        <v>1.05</v>
      </c>
      <c r="K124" s="157">
        <v>39010</v>
      </c>
      <c r="L124" s="158">
        <v>2.44</v>
      </c>
    </row>
    <row r="125" spans="1:12" x14ac:dyDescent="0.25">
      <c r="A125" s="162">
        <v>38358</v>
      </c>
      <c r="B125" s="163">
        <v>2.0299999999999998</v>
      </c>
      <c r="E125" s="159">
        <f t="shared" si="1"/>
        <v>2014</v>
      </c>
      <c r="F125" s="157">
        <v>41730</v>
      </c>
      <c r="G125" s="158">
        <v>0.98</v>
      </c>
      <c r="K125" s="157">
        <v>39017</v>
      </c>
      <c r="L125" s="158">
        <v>2.42</v>
      </c>
    </row>
    <row r="126" spans="1:12" x14ac:dyDescent="0.25">
      <c r="A126" s="162">
        <v>38359</v>
      </c>
      <c r="B126" s="163">
        <v>2.06</v>
      </c>
      <c r="E126" s="159">
        <f t="shared" si="1"/>
        <v>2014</v>
      </c>
      <c r="F126" s="157">
        <v>41760</v>
      </c>
      <c r="G126" s="158">
        <v>0.82</v>
      </c>
      <c r="K126" s="157">
        <v>39024</v>
      </c>
      <c r="L126" s="158">
        <v>2.2999999999999998</v>
      </c>
    </row>
    <row r="127" spans="1:12" x14ac:dyDescent="0.25">
      <c r="A127" s="162">
        <v>38362</v>
      </c>
      <c r="B127" s="163">
        <v>2.0499999999999998</v>
      </c>
      <c r="E127" s="159">
        <f t="shared" si="1"/>
        <v>2014</v>
      </c>
      <c r="F127" s="157">
        <v>41791</v>
      </c>
      <c r="G127" s="158">
        <v>0.84</v>
      </c>
      <c r="K127" s="157">
        <v>39031</v>
      </c>
      <c r="L127" s="158">
        <v>2.2400000000000002</v>
      </c>
    </row>
    <row r="128" spans="1:12" x14ac:dyDescent="0.25">
      <c r="A128" s="162">
        <v>38363</v>
      </c>
      <c r="B128" s="163">
        <v>2.0299999999999998</v>
      </c>
      <c r="E128" s="159">
        <f t="shared" si="1"/>
        <v>2014</v>
      </c>
      <c r="F128" s="157">
        <v>41821</v>
      </c>
      <c r="G128" s="158">
        <v>0.72</v>
      </c>
      <c r="K128" s="157">
        <v>39038</v>
      </c>
      <c r="L128" s="158">
        <v>2.23</v>
      </c>
    </row>
    <row r="129" spans="1:12" x14ac:dyDescent="0.25">
      <c r="A129" s="162">
        <v>38364</v>
      </c>
      <c r="B129" s="163">
        <v>2</v>
      </c>
      <c r="E129" s="159">
        <f t="shared" si="1"/>
        <v>2014</v>
      </c>
      <c r="F129" s="157">
        <v>41852</v>
      </c>
      <c r="G129" s="158">
        <v>0.64</v>
      </c>
      <c r="K129" s="157">
        <v>39045</v>
      </c>
      <c r="L129" s="158">
        <v>2.2400000000000002</v>
      </c>
    </row>
    <row r="130" spans="1:12" x14ac:dyDescent="0.25">
      <c r="A130" s="162">
        <v>38365</v>
      </c>
      <c r="B130" s="163">
        <v>1.97</v>
      </c>
      <c r="E130" s="159">
        <f t="shared" si="1"/>
        <v>2014</v>
      </c>
      <c r="F130" s="157">
        <v>41883</v>
      </c>
      <c r="G130" s="158">
        <v>0.81</v>
      </c>
      <c r="K130" s="157">
        <v>39052</v>
      </c>
      <c r="L130" s="158">
        <v>2.15</v>
      </c>
    </row>
    <row r="131" spans="1:12" x14ac:dyDescent="0.25">
      <c r="A131" s="162">
        <v>38366</v>
      </c>
      <c r="B131" s="163">
        <v>1.97</v>
      </c>
      <c r="E131" s="159">
        <f t="shared" si="1"/>
        <v>2014</v>
      </c>
      <c r="F131" s="157">
        <v>41913</v>
      </c>
      <c r="G131" s="158">
        <v>0.74</v>
      </c>
      <c r="K131" s="157">
        <v>39059</v>
      </c>
      <c r="L131" s="158">
        <v>2.15</v>
      </c>
    </row>
    <row r="132" spans="1:12" x14ac:dyDescent="0.25">
      <c r="A132" s="162">
        <v>38369</v>
      </c>
      <c r="B132" s="163" t="e">
        <f>NA()</f>
        <v>#N/A</v>
      </c>
      <c r="E132" s="159">
        <f t="shared" si="1"/>
        <v>2014</v>
      </c>
      <c r="F132" s="157">
        <v>41944</v>
      </c>
      <c r="G132" s="158">
        <v>0.77</v>
      </c>
      <c r="K132" s="157">
        <v>39066</v>
      </c>
      <c r="L132" s="158">
        <v>2.2200000000000002</v>
      </c>
    </row>
    <row r="133" spans="1:12" x14ac:dyDescent="0.25">
      <c r="A133" s="162">
        <v>38370</v>
      </c>
      <c r="B133" s="163">
        <v>1.93</v>
      </c>
      <c r="E133" s="159">
        <f t="shared" si="1"/>
        <v>2014</v>
      </c>
      <c r="F133" s="157">
        <v>41974</v>
      </c>
      <c r="G133" s="158">
        <v>0.73</v>
      </c>
      <c r="K133" s="157">
        <v>39073</v>
      </c>
      <c r="L133" s="158">
        <v>2.33</v>
      </c>
    </row>
    <row r="134" spans="1:12" x14ac:dyDescent="0.25">
      <c r="A134" s="162">
        <v>38371</v>
      </c>
      <c r="B134" s="163">
        <v>1.95</v>
      </c>
      <c r="E134" s="159">
        <f t="shared" si="1"/>
        <v>2015</v>
      </c>
      <c r="F134" s="157">
        <v>42005</v>
      </c>
      <c r="G134" s="158">
        <v>0.5</v>
      </c>
      <c r="K134" s="157">
        <v>39080</v>
      </c>
      <c r="L134" s="158">
        <v>2.38</v>
      </c>
    </row>
    <row r="135" spans="1:12" x14ac:dyDescent="0.25">
      <c r="A135" s="162">
        <v>38372</v>
      </c>
      <c r="B135" s="163">
        <v>1.94</v>
      </c>
      <c r="E135" s="159">
        <f t="shared" si="1"/>
        <v>2015</v>
      </c>
      <c r="F135" s="157">
        <v>42036</v>
      </c>
      <c r="G135" s="158">
        <v>0.52</v>
      </c>
      <c r="K135" s="157">
        <v>39087</v>
      </c>
      <c r="L135" s="158">
        <v>2.35</v>
      </c>
    </row>
    <row r="136" spans="1:12" x14ac:dyDescent="0.25">
      <c r="A136" s="162">
        <v>38373</v>
      </c>
      <c r="B136" s="164">
        <v>1.93</v>
      </c>
      <c r="E136" s="159">
        <f t="shared" si="1"/>
        <v>2015</v>
      </c>
      <c r="F136" s="157">
        <v>42064</v>
      </c>
      <c r="G136" s="158">
        <v>0.55000000000000004</v>
      </c>
      <c r="K136" s="157">
        <v>39094</v>
      </c>
      <c r="L136" s="158">
        <v>2.42</v>
      </c>
    </row>
    <row r="137" spans="1:12" x14ac:dyDescent="0.25">
      <c r="A137" s="162">
        <v>38376</v>
      </c>
      <c r="B137" s="163">
        <v>1.9</v>
      </c>
      <c r="E137" s="159">
        <f t="shared" ref="E137:E200" si="2">YEAR(F137)</f>
        <v>2015</v>
      </c>
      <c r="F137" s="157">
        <v>42095</v>
      </c>
      <c r="G137" s="158">
        <v>0.42</v>
      </c>
      <c r="K137" s="157">
        <v>39101</v>
      </c>
      <c r="L137" s="158">
        <v>2.4700000000000002</v>
      </c>
    </row>
    <row r="138" spans="1:12" x14ac:dyDescent="0.25">
      <c r="A138" s="162">
        <v>38377</v>
      </c>
      <c r="B138" s="163">
        <v>2</v>
      </c>
      <c r="E138" s="159">
        <f t="shared" si="2"/>
        <v>2015</v>
      </c>
      <c r="F138" s="157">
        <v>42125</v>
      </c>
      <c r="G138" s="158">
        <v>0.7</v>
      </c>
      <c r="K138" s="157">
        <v>39108</v>
      </c>
      <c r="L138" s="158">
        <v>2.4300000000000002</v>
      </c>
    </row>
    <row r="139" spans="1:12" x14ac:dyDescent="0.25">
      <c r="A139" s="162">
        <v>38378</v>
      </c>
      <c r="B139" s="163">
        <v>1.99</v>
      </c>
      <c r="E139" s="159">
        <f t="shared" si="2"/>
        <v>2015</v>
      </c>
      <c r="F139" s="157">
        <v>42156</v>
      </c>
      <c r="G139" s="158">
        <v>0.89</v>
      </c>
      <c r="K139" s="157">
        <v>39115</v>
      </c>
      <c r="L139" s="158">
        <v>2.44</v>
      </c>
    </row>
    <row r="140" spans="1:12" x14ac:dyDescent="0.25">
      <c r="A140" s="162">
        <v>38379</v>
      </c>
      <c r="B140" s="163">
        <v>1.99</v>
      </c>
      <c r="E140" s="159">
        <f t="shared" si="2"/>
        <v>2015</v>
      </c>
      <c r="F140" s="157">
        <v>42186</v>
      </c>
      <c r="G140" s="158">
        <v>0.87</v>
      </c>
      <c r="K140" s="157">
        <v>39122</v>
      </c>
      <c r="L140" s="158">
        <v>2.41</v>
      </c>
    </row>
    <row r="141" spans="1:12" x14ac:dyDescent="0.25">
      <c r="A141" s="162">
        <v>38380</v>
      </c>
      <c r="B141" s="163">
        <v>1.94</v>
      </c>
      <c r="E141" s="159">
        <f t="shared" si="2"/>
        <v>2015</v>
      </c>
      <c r="F141" s="157">
        <v>42217</v>
      </c>
      <c r="G141" s="158">
        <v>0.87</v>
      </c>
      <c r="K141" s="157">
        <v>39129</v>
      </c>
      <c r="L141" s="158">
        <v>2.42</v>
      </c>
    </row>
    <row r="142" spans="1:12" x14ac:dyDescent="0.25">
      <c r="A142" s="162">
        <v>38383</v>
      </c>
      <c r="B142" s="163">
        <v>1.92</v>
      </c>
      <c r="E142" s="159">
        <f t="shared" si="2"/>
        <v>2015</v>
      </c>
      <c r="F142" s="157">
        <v>42248</v>
      </c>
      <c r="G142" s="158">
        <v>1.01</v>
      </c>
      <c r="K142" s="157">
        <v>39136</v>
      </c>
      <c r="L142" s="158">
        <v>2.36</v>
      </c>
    </row>
    <row r="143" spans="1:12" x14ac:dyDescent="0.25">
      <c r="A143" s="162">
        <v>38384</v>
      </c>
      <c r="B143" s="163">
        <v>1.94</v>
      </c>
      <c r="E143" s="159">
        <f t="shared" si="2"/>
        <v>2015</v>
      </c>
      <c r="F143" s="157">
        <v>42278</v>
      </c>
      <c r="G143" s="158">
        <v>0.98</v>
      </c>
      <c r="K143" s="157">
        <v>39143</v>
      </c>
      <c r="L143" s="158">
        <v>2.23</v>
      </c>
    </row>
    <row r="144" spans="1:12" x14ac:dyDescent="0.25">
      <c r="A144" s="162">
        <v>38385</v>
      </c>
      <c r="B144" s="163">
        <v>1.96</v>
      </c>
      <c r="E144" s="159">
        <f t="shared" si="2"/>
        <v>2015</v>
      </c>
      <c r="F144" s="157">
        <v>42309</v>
      </c>
      <c r="G144" s="158">
        <v>1.03</v>
      </c>
      <c r="K144" s="157">
        <v>39150</v>
      </c>
      <c r="L144" s="158">
        <v>2.25</v>
      </c>
    </row>
    <row r="145" spans="1:12" x14ac:dyDescent="0.25">
      <c r="A145" s="162">
        <v>38386</v>
      </c>
      <c r="B145" s="163">
        <v>1.97</v>
      </c>
      <c r="E145" s="159">
        <f t="shared" si="2"/>
        <v>2015</v>
      </c>
      <c r="F145" s="157">
        <v>42339</v>
      </c>
      <c r="G145" s="158">
        <v>1.06</v>
      </c>
      <c r="K145" s="157">
        <v>39157</v>
      </c>
      <c r="L145" s="158">
        <v>2.27</v>
      </c>
    </row>
    <row r="146" spans="1:12" x14ac:dyDescent="0.25">
      <c r="A146" s="162">
        <v>38387</v>
      </c>
      <c r="B146" s="163">
        <v>1.88</v>
      </c>
      <c r="E146" s="159">
        <f t="shared" si="2"/>
        <v>2016</v>
      </c>
      <c r="F146" s="157">
        <v>42370</v>
      </c>
      <c r="G146" s="158">
        <v>1.05</v>
      </c>
      <c r="K146" s="157">
        <v>39164</v>
      </c>
      <c r="L146" s="158">
        <v>2.2799999999999998</v>
      </c>
    </row>
    <row r="147" spans="1:12" x14ac:dyDescent="0.25">
      <c r="A147" s="162">
        <v>38390</v>
      </c>
      <c r="B147" s="163">
        <v>1.84</v>
      </c>
      <c r="E147" s="159">
        <f t="shared" si="2"/>
        <v>2016</v>
      </c>
      <c r="F147" s="157">
        <v>42401</v>
      </c>
      <c r="G147" s="158">
        <v>0.85</v>
      </c>
      <c r="K147" s="157">
        <v>39171</v>
      </c>
      <c r="L147" s="158">
        <v>2.29</v>
      </c>
    </row>
    <row r="148" spans="1:12" x14ac:dyDescent="0.25">
      <c r="A148" s="162">
        <v>38391</v>
      </c>
      <c r="B148" s="163">
        <v>1.79</v>
      </c>
      <c r="E148" s="159">
        <f t="shared" si="2"/>
        <v>2016</v>
      </c>
      <c r="F148" s="157">
        <v>42430</v>
      </c>
      <c r="G148" s="158">
        <v>0.73</v>
      </c>
      <c r="K148" s="157">
        <v>39178</v>
      </c>
      <c r="L148" s="158">
        <v>2.34</v>
      </c>
    </row>
    <row r="149" spans="1:12" x14ac:dyDescent="0.25">
      <c r="A149" s="162">
        <v>38392</v>
      </c>
      <c r="B149" s="163">
        <v>1.73</v>
      </c>
      <c r="E149" s="159">
        <f t="shared" si="2"/>
        <v>2016</v>
      </c>
      <c r="F149" s="157">
        <v>42461</v>
      </c>
      <c r="G149" s="158">
        <v>0.6</v>
      </c>
      <c r="K149" s="157">
        <v>39185</v>
      </c>
      <c r="L149" s="158">
        <v>2.39</v>
      </c>
    </row>
    <row r="150" spans="1:12" x14ac:dyDescent="0.25">
      <c r="A150" s="162">
        <v>38393</v>
      </c>
      <c r="B150" s="163">
        <v>1.8</v>
      </c>
      <c r="E150" s="159">
        <f t="shared" si="2"/>
        <v>2016</v>
      </c>
      <c r="F150" s="157">
        <v>42491</v>
      </c>
      <c r="G150" s="158">
        <v>0.64</v>
      </c>
      <c r="K150" s="157">
        <v>39192</v>
      </c>
      <c r="L150" s="158">
        <v>2.36</v>
      </c>
    </row>
    <row r="151" spans="1:12" x14ac:dyDescent="0.25">
      <c r="A151" s="162">
        <v>38394</v>
      </c>
      <c r="B151" s="163">
        <v>1.78</v>
      </c>
      <c r="E151" s="159">
        <f t="shared" si="2"/>
        <v>2016</v>
      </c>
      <c r="F151" s="157">
        <v>42522</v>
      </c>
      <c r="G151" s="158">
        <v>0.63</v>
      </c>
      <c r="K151" s="157">
        <v>39199</v>
      </c>
      <c r="L151" s="158">
        <v>2.35</v>
      </c>
    </row>
    <row r="152" spans="1:12" x14ac:dyDescent="0.25">
      <c r="A152" s="162">
        <v>38397</v>
      </c>
      <c r="B152" s="163">
        <v>1.73</v>
      </c>
      <c r="E152" s="159">
        <f t="shared" si="2"/>
        <v>2016</v>
      </c>
      <c r="F152" s="157">
        <v>42552</v>
      </c>
      <c r="G152" s="158">
        <v>0.42</v>
      </c>
      <c r="K152" s="157">
        <v>39206</v>
      </c>
      <c r="L152" s="158">
        <v>2.33</v>
      </c>
    </row>
    <row r="153" spans="1:12" x14ac:dyDescent="0.25">
      <c r="A153" s="162">
        <v>38398</v>
      </c>
      <c r="B153" s="163">
        <v>1.78</v>
      </c>
      <c r="E153" s="159">
        <f t="shared" si="2"/>
        <v>2016</v>
      </c>
      <c r="F153" s="157">
        <v>42583</v>
      </c>
      <c r="G153" s="158">
        <v>0.43</v>
      </c>
      <c r="K153" s="157">
        <v>39213</v>
      </c>
      <c r="L153" s="158">
        <v>2.38</v>
      </c>
    </row>
    <row r="154" spans="1:12" x14ac:dyDescent="0.25">
      <c r="A154" s="162">
        <v>38399</v>
      </c>
      <c r="B154" s="163">
        <v>1.81</v>
      </c>
      <c r="E154" s="159">
        <f t="shared" si="2"/>
        <v>2016</v>
      </c>
      <c r="F154" s="157">
        <v>42614</v>
      </c>
      <c r="G154" s="158">
        <v>0.47</v>
      </c>
      <c r="K154" s="157">
        <v>39220</v>
      </c>
      <c r="L154" s="158">
        <v>2.4700000000000002</v>
      </c>
    </row>
    <row r="155" spans="1:12" x14ac:dyDescent="0.25">
      <c r="A155" s="162">
        <v>38400</v>
      </c>
      <c r="B155" s="163">
        <v>1.83</v>
      </c>
      <c r="E155" s="159">
        <f t="shared" si="2"/>
        <v>2016</v>
      </c>
      <c r="F155" s="157">
        <v>42644</v>
      </c>
      <c r="G155" s="158">
        <v>0.49</v>
      </c>
      <c r="K155" s="157">
        <v>39227</v>
      </c>
      <c r="L155" s="158">
        <v>2.52</v>
      </c>
    </row>
    <row r="156" spans="1:12" x14ac:dyDescent="0.25">
      <c r="A156" s="162">
        <v>38401</v>
      </c>
      <c r="B156" s="163">
        <v>1.86</v>
      </c>
      <c r="E156" s="159">
        <f t="shared" si="2"/>
        <v>2016</v>
      </c>
      <c r="F156" s="157">
        <v>42675</v>
      </c>
      <c r="G156" s="158">
        <v>0.69</v>
      </c>
      <c r="K156" s="157">
        <v>39234</v>
      </c>
      <c r="L156" s="158">
        <v>2.5499999999999998</v>
      </c>
    </row>
    <row r="157" spans="1:12" x14ac:dyDescent="0.25">
      <c r="A157" s="162">
        <v>38404</v>
      </c>
      <c r="B157" s="163" t="e">
        <f>NA()</f>
        <v>#N/A</v>
      </c>
      <c r="E157" s="159">
        <f t="shared" si="2"/>
        <v>2016</v>
      </c>
      <c r="F157" s="157">
        <v>42705</v>
      </c>
      <c r="G157" s="158">
        <v>0.89</v>
      </c>
      <c r="K157" s="157">
        <v>39241</v>
      </c>
      <c r="L157" s="158">
        <v>2.61</v>
      </c>
    </row>
    <row r="158" spans="1:12" x14ac:dyDescent="0.25">
      <c r="A158" s="162">
        <v>38405</v>
      </c>
      <c r="B158" s="163">
        <v>1.9</v>
      </c>
      <c r="E158" s="159">
        <f t="shared" si="2"/>
        <v>2017</v>
      </c>
      <c r="F158" s="157">
        <v>42736</v>
      </c>
      <c r="G158" s="158">
        <v>0.74</v>
      </c>
      <c r="K158" s="157">
        <v>39248</v>
      </c>
      <c r="L158" s="158">
        <v>2.73</v>
      </c>
    </row>
    <row r="159" spans="1:12" x14ac:dyDescent="0.25">
      <c r="A159" s="162">
        <v>38406</v>
      </c>
      <c r="B159" s="163">
        <v>1.88</v>
      </c>
      <c r="E159" s="159">
        <f t="shared" si="2"/>
        <v>2017</v>
      </c>
      <c r="F159" s="157">
        <v>42767</v>
      </c>
      <c r="G159" s="158">
        <v>0.73</v>
      </c>
      <c r="K159" s="157">
        <v>39255</v>
      </c>
      <c r="L159" s="158">
        <v>2.7</v>
      </c>
    </row>
    <row r="160" spans="1:12" x14ac:dyDescent="0.25">
      <c r="A160" s="162">
        <v>38407</v>
      </c>
      <c r="B160" s="163">
        <v>1.9</v>
      </c>
      <c r="E160" s="159">
        <f t="shared" si="2"/>
        <v>2017</v>
      </c>
      <c r="F160" s="157">
        <v>42795</v>
      </c>
      <c r="G160" s="158">
        <v>0.79</v>
      </c>
      <c r="K160" s="157">
        <v>39262</v>
      </c>
      <c r="L160" s="158">
        <v>2.67</v>
      </c>
    </row>
    <row r="161" spans="1:12" x14ac:dyDescent="0.25">
      <c r="A161" s="162">
        <v>38408</v>
      </c>
      <c r="B161" s="164">
        <v>1.9</v>
      </c>
      <c r="E161" s="159">
        <f t="shared" si="2"/>
        <v>2017</v>
      </c>
      <c r="F161" s="157">
        <v>42826</v>
      </c>
      <c r="G161" s="158">
        <v>0.72</v>
      </c>
      <c r="K161" s="157">
        <v>39269</v>
      </c>
      <c r="L161" s="158">
        <v>2.69</v>
      </c>
    </row>
    <row r="162" spans="1:12" x14ac:dyDescent="0.25">
      <c r="A162" s="162">
        <v>38411</v>
      </c>
      <c r="B162" s="163">
        <v>1.96</v>
      </c>
      <c r="E162" s="159">
        <f t="shared" si="2"/>
        <v>2017</v>
      </c>
      <c r="F162" s="157">
        <v>42856</v>
      </c>
      <c r="G162" s="158">
        <v>0.8</v>
      </c>
      <c r="K162" s="157">
        <v>39276</v>
      </c>
      <c r="L162" s="158">
        <v>2.68</v>
      </c>
    </row>
    <row r="163" spans="1:12" x14ac:dyDescent="0.25">
      <c r="A163" s="162">
        <v>38412</v>
      </c>
      <c r="B163" s="163">
        <v>1.95</v>
      </c>
      <c r="E163" s="159">
        <f t="shared" si="2"/>
        <v>2017</v>
      </c>
      <c r="F163" s="157">
        <v>42887</v>
      </c>
      <c r="G163" s="158">
        <v>0.75</v>
      </c>
      <c r="K163" s="157">
        <v>39283</v>
      </c>
      <c r="L163" s="158">
        <v>2.64</v>
      </c>
    </row>
    <row r="164" spans="1:12" x14ac:dyDescent="0.25">
      <c r="A164" s="162">
        <v>38413</v>
      </c>
      <c r="B164" s="163">
        <v>1.95</v>
      </c>
      <c r="E164" s="159">
        <f t="shared" si="2"/>
        <v>2017</v>
      </c>
      <c r="F164" s="157">
        <v>42917</v>
      </c>
      <c r="G164" s="158">
        <v>0.84</v>
      </c>
      <c r="K164" s="157">
        <v>39290</v>
      </c>
      <c r="L164" s="158">
        <v>2.54</v>
      </c>
    </row>
    <row r="165" spans="1:12" x14ac:dyDescent="0.25">
      <c r="A165" s="162">
        <v>38414</v>
      </c>
      <c r="B165" s="163">
        <v>1.93</v>
      </c>
      <c r="E165" s="159">
        <f t="shared" si="2"/>
        <v>2017</v>
      </c>
      <c r="F165" s="157">
        <v>42948</v>
      </c>
      <c r="G165" s="158">
        <v>0.74</v>
      </c>
      <c r="K165" s="157">
        <v>39297</v>
      </c>
      <c r="L165" s="158">
        <v>2.4500000000000002</v>
      </c>
    </row>
    <row r="166" spans="1:12" x14ac:dyDescent="0.25">
      <c r="A166" s="162">
        <v>38415</v>
      </c>
      <c r="B166" s="163">
        <v>1.86</v>
      </c>
      <c r="E166" s="159">
        <f t="shared" si="2"/>
        <v>2017</v>
      </c>
      <c r="F166" s="157">
        <v>42979</v>
      </c>
      <c r="G166" s="158">
        <v>0.67</v>
      </c>
      <c r="K166" s="157">
        <v>39304</v>
      </c>
      <c r="L166" s="158">
        <v>2.52</v>
      </c>
    </row>
    <row r="167" spans="1:12" x14ac:dyDescent="0.25">
      <c r="A167" s="162">
        <v>38418</v>
      </c>
      <c r="B167" s="163">
        <v>1.81</v>
      </c>
      <c r="E167" s="159">
        <f t="shared" si="2"/>
        <v>2017</v>
      </c>
      <c r="F167" s="157">
        <v>43009</v>
      </c>
      <c r="G167" s="158">
        <v>0.77</v>
      </c>
      <c r="K167" s="157">
        <v>39311</v>
      </c>
      <c r="L167" s="158">
        <v>2.52</v>
      </c>
    </row>
    <row r="168" spans="1:12" x14ac:dyDescent="0.25">
      <c r="A168" s="162">
        <v>38419</v>
      </c>
      <c r="B168" s="163">
        <v>1.84</v>
      </c>
      <c r="E168" s="159">
        <f t="shared" si="2"/>
        <v>2017</v>
      </c>
      <c r="F168" s="157">
        <v>43040</v>
      </c>
      <c r="G168" s="158">
        <v>0.72</v>
      </c>
      <c r="K168" s="157">
        <v>39318</v>
      </c>
      <c r="L168" s="158">
        <v>2.46</v>
      </c>
    </row>
    <row r="169" spans="1:12" x14ac:dyDescent="0.25">
      <c r="A169" s="162">
        <v>38420</v>
      </c>
      <c r="B169" s="163">
        <v>1.93</v>
      </c>
      <c r="E169" s="159">
        <f t="shared" si="2"/>
        <v>2017</v>
      </c>
      <c r="F169" s="157">
        <v>43070</v>
      </c>
      <c r="G169" s="158">
        <v>0.68</v>
      </c>
      <c r="K169" s="157">
        <v>39325</v>
      </c>
      <c r="L169" s="158">
        <v>2.42</v>
      </c>
    </row>
    <row r="170" spans="1:12" x14ac:dyDescent="0.25">
      <c r="A170" s="162">
        <v>38421</v>
      </c>
      <c r="B170" s="163">
        <v>1.93</v>
      </c>
      <c r="E170" s="159">
        <f t="shared" si="2"/>
        <v>2018</v>
      </c>
      <c r="F170" s="157">
        <v>43101</v>
      </c>
      <c r="G170" s="158">
        <v>0.69</v>
      </c>
      <c r="K170" s="157">
        <v>39332</v>
      </c>
      <c r="L170" s="158">
        <v>2.36</v>
      </c>
    </row>
    <row r="171" spans="1:12" x14ac:dyDescent="0.25">
      <c r="A171" s="162">
        <v>38422</v>
      </c>
      <c r="B171" s="163">
        <v>1.99</v>
      </c>
      <c r="E171" s="159">
        <f t="shared" si="2"/>
        <v>2018</v>
      </c>
      <c r="F171" s="157">
        <v>43132</v>
      </c>
      <c r="G171" s="158">
        <v>0.89</v>
      </c>
      <c r="K171" s="157">
        <v>39339</v>
      </c>
      <c r="L171" s="158">
        <v>2.23</v>
      </c>
    </row>
    <row r="172" spans="1:12" x14ac:dyDescent="0.25">
      <c r="A172" s="162">
        <v>38425</v>
      </c>
      <c r="B172" s="163">
        <v>1.98</v>
      </c>
      <c r="E172" s="159">
        <f t="shared" si="2"/>
        <v>2018</v>
      </c>
      <c r="F172" s="157">
        <v>43160</v>
      </c>
      <c r="G172" s="158">
        <v>0.89</v>
      </c>
      <c r="K172" s="157">
        <v>39346</v>
      </c>
      <c r="L172" s="158">
        <v>2.2799999999999998</v>
      </c>
    </row>
    <row r="173" spans="1:12" x14ac:dyDescent="0.25">
      <c r="A173" s="162">
        <v>38426</v>
      </c>
      <c r="B173" s="163">
        <v>1.99</v>
      </c>
      <c r="E173" s="159">
        <f t="shared" si="2"/>
        <v>2018</v>
      </c>
      <c r="F173" s="157">
        <v>43191</v>
      </c>
      <c r="G173" s="158">
        <v>0.85</v>
      </c>
      <c r="K173" s="157">
        <v>39353</v>
      </c>
      <c r="L173" s="158">
        <v>2.34</v>
      </c>
    </row>
    <row r="174" spans="1:12" x14ac:dyDescent="0.25">
      <c r="A174" s="162">
        <v>38427</v>
      </c>
      <c r="B174" s="163">
        <v>1.96</v>
      </c>
      <c r="E174" s="159">
        <f t="shared" si="2"/>
        <v>2018</v>
      </c>
      <c r="F174" s="157">
        <v>43221</v>
      </c>
      <c r="G174" s="158">
        <v>0.92</v>
      </c>
      <c r="K174" s="157">
        <v>39360</v>
      </c>
      <c r="L174" s="158">
        <v>2.2799999999999998</v>
      </c>
    </row>
    <row r="175" spans="1:12" x14ac:dyDescent="0.25">
      <c r="A175" s="162">
        <v>38428</v>
      </c>
      <c r="B175" s="163">
        <v>1.9</v>
      </c>
      <c r="E175" s="159">
        <f t="shared" si="2"/>
        <v>2018</v>
      </c>
      <c r="F175" s="157">
        <v>43252</v>
      </c>
      <c r="G175" s="158">
        <v>0.87</v>
      </c>
      <c r="K175" s="157">
        <v>39367</v>
      </c>
      <c r="L175" s="158">
        <v>2.37</v>
      </c>
    </row>
    <row r="176" spans="1:12" x14ac:dyDescent="0.25">
      <c r="A176" s="162">
        <v>38429</v>
      </c>
      <c r="B176" s="163">
        <v>1.94</v>
      </c>
      <c r="E176" s="159">
        <f t="shared" si="2"/>
        <v>2018</v>
      </c>
      <c r="F176" s="157">
        <v>43282</v>
      </c>
      <c r="G176" s="158">
        <v>0.84</v>
      </c>
      <c r="K176" s="157">
        <v>39374</v>
      </c>
      <c r="L176" s="158">
        <v>2.31</v>
      </c>
    </row>
    <row r="177" spans="1:12" x14ac:dyDescent="0.25">
      <c r="A177" s="162">
        <v>38432</v>
      </c>
      <c r="B177" s="163">
        <v>1.95</v>
      </c>
      <c r="E177" s="159">
        <f t="shared" si="2"/>
        <v>2018</v>
      </c>
      <c r="F177" s="157">
        <v>43313</v>
      </c>
      <c r="G177" s="158">
        <v>0.86</v>
      </c>
      <c r="K177" s="157">
        <v>39381</v>
      </c>
      <c r="L177" s="158">
        <v>2.17</v>
      </c>
    </row>
    <row r="178" spans="1:12" x14ac:dyDescent="0.25">
      <c r="A178" s="162">
        <v>38433</v>
      </c>
      <c r="B178" s="163">
        <v>2.02</v>
      </c>
      <c r="E178" s="159">
        <f t="shared" si="2"/>
        <v>2018</v>
      </c>
      <c r="F178" s="157">
        <v>43344</v>
      </c>
      <c r="G178" s="158">
        <v>0.95</v>
      </c>
      <c r="K178" s="157">
        <v>39388</v>
      </c>
      <c r="L178" s="158">
        <v>2.14</v>
      </c>
    </row>
    <row r="179" spans="1:12" x14ac:dyDescent="0.25">
      <c r="A179" s="162">
        <v>38434</v>
      </c>
      <c r="B179" s="163">
        <v>2.04</v>
      </c>
      <c r="E179" s="159">
        <f t="shared" si="2"/>
        <v>2018</v>
      </c>
      <c r="F179" s="157">
        <v>43374</v>
      </c>
      <c r="G179" s="158">
        <v>1.1399999999999999</v>
      </c>
      <c r="K179" s="157">
        <v>39395</v>
      </c>
      <c r="L179" s="158">
        <v>2.0699999999999998</v>
      </c>
    </row>
    <row r="180" spans="1:12" x14ac:dyDescent="0.25">
      <c r="A180" s="162">
        <v>38435</v>
      </c>
      <c r="B180" s="163">
        <v>2.0299999999999998</v>
      </c>
      <c r="E180" s="159">
        <f t="shared" si="2"/>
        <v>2018</v>
      </c>
      <c r="F180" s="157">
        <v>43405</v>
      </c>
      <c r="G180" s="158">
        <v>1.21</v>
      </c>
      <c r="K180" s="157">
        <v>39402</v>
      </c>
      <c r="L180" s="158">
        <v>2.0499999999999998</v>
      </c>
    </row>
    <row r="181" spans="1:12" x14ac:dyDescent="0.25">
      <c r="A181" s="162">
        <v>38436</v>
      </c>
      <c r="B181" s="163" t="e">
        <f>NA()</f>
        <v>#N/A</v>
      </c>
      <c r="E181" s="159">
        <f t="shared" si="2"/>
        <v>2018</v>
      </c>
      <c r="F181" s="203">
        <v>43435</v>
      </c>
      <c r="G181" s="202">
        <v>1.1100000000000001</v>
      </c>
      <c r="K181" s="157">
        <v>39409</v>
      </c>
      <c r="L181" s="158">
        <v>1.95</v>
      </c>
    </row>
    <row r="182" spans="1:12" x14ac:dyDescent="0.25">
      <c r="A182" s="162">
        <v>38439</v>
      </c>
      <c r="B182" s="163">
        <v>2.0499999999999998</v>
      </c>
      <c r="E182" s="159">
        <f t="shared" si="2"/>
        <v>2019</v>
      </c>
      <c r="F182" s="203">
        <v>43466</v>
      </c>
      <c r="G182" s="202">
        <v>1.07</v>
      </c>
      <c r="K182" s="157">
        <v>39416</v>
      </c>
      <c r="L182" s="158">
        <v>1.87</v>
      </c>
    </row>
    <row r="183" spans="1:12" x14ac:dyDescent="0.25">
      <c r="A183" s="162">
        <v>38440</v>
      </c>
      <c r="B183" s="163">
        <v>2.0299999999999998</v>
      </c>
      <c r="E183" s="159">
        <f t="shared" si="2"/>
        <v>2019</v>
      </c>
      <c r="F183" s="203">
        <v>43497</v>
      </c>
      <c r="G183" s="202">
        <v>0.96</v>
      </c>
      <c r="K183" s="157">
        <v>39423</v>
      </c>
      <c r="L183" s="158">
        <v>2.0099999999999998</v>
      </c>
    </row>
    <row r="184" spans="1:12" x14ac:dyDescent="0.25">
      <c r="A184" s="162">
        <v>38441</v>
      </c>
      <c r="B184" s="163">
        <v>1.98</v>
      </c>
      <c r="E184" s="159">
        <f t="shared" si="2"/>
        <v>2019</v>
      </c>
      <c r="F184" s="203">
        <v>43525</v>
      </c>
      <c r="G184" s="202">
        <v>0.85</v>
      </c>
      <c r="K184" s="157">
        <v>39430</v>
      </c>
      <c r="L184" s="158">
        <v>2.13</v>
      </c>
    </row>
    <row r="185" spans="1:12" x14ac:dyDescent="0.25">
      <c r="A185" s="162">
        <v>38442</v>
      </c>
      <c r="B185" s="164">
        <v>1.91</v>
      </c>
      <c r="E185" s="159">
        <f t="shared" si="2"/>
        <v>2019</v>
      </c>
      <c r="F185" s="203">
        <v>43556</v>
      </c>
      <c r="G185" s="202">
        <v>0.79</v>
      </c>
      <c r="K185" s="157">
        <v>39437</v>
      </c>
      <c r="L185" s="158">
        <v>2.06</v>
      </c>
    </row>
    <row r="186" spans="1:12" x14ac:dyDescent="0.25">
      <c r="A186" s="162">
        <v>38443</v>
      </c>
      <c r="B186" s="163">
        <v>1.88</v>
      </c>
      <c r="E186" s="159">
        <f t="shared" si="2"/>
        <v>2019</v>
      </c>
      <c r="F186" s="203">
        <v>43586</v>
      </c>
      <c r="G186" s="202">
        <v>0.75</v>
      </c>
      <c r="K186" s="157">
        <v>39444</v>
      </c>
      <c r="L186" s="158">
        <v>2.13</v>
      </c>
    </row>
    <row r="187" spans="1:12" x14ac:dyDescent="0.25">
      <c r="A187" s="162">
        <v>38446</v>
      </c>
      <c r="B187" s="163">
        <v>1.9</v>
      </c>
      <c r="E187" s="159">
        <f t="shared" si="2"/>
        <v>2019</v>
      </c>
      <c r="F187" s="203">
        <v>43617</v>
      </c>
      <c r="G187" s="202">
        <v>0.59</v>
      </c>
      <c r="K187" s="157">
        <v>39451</v>
      </c>
      <c r="L187" s="158">
        <v>1.91</v>
      </c>
    </row>
    <row r="188" spans="1:12" x14ac:dyDescent="0.25">
      <c r="A188" s="162">
        <v>38447</v>
      </c>
      <c r="B188" s="163">
        <v>1.93</v>
      </c>
      <c r="E188" s="159">
        <f t="shared" si="2"/>
        <v>2019</v>
      </c>
      <c r="F188" s="157">
        <v>43647</v>
      </c>
      <c r="G188" s="158">
        <v>0.54</v>
      </c>
      <c r="K188" s="157">
        <v>39458</v>
      </c>
      <c r="L188" s="158">
        <v>1.89</v>
      </c>
    </row>
    <row r="189" spans="1:12" x14ac:dyDescent="0.25">
      <c r="A189" s="162">
        <v>38448</v>
      </c>
      <c r="B189" s="163">
        <v>1.93</v>
      </c>
      <c r="E189" s="159">
        <f t="shared" si="2"/>
        <v>2019</v>
      </c>
      <c r="F189" s="157">
        <v>43678</v>
      </c>
      <c r="G189" s="158">
        <v>0.25</v>
      </c>
      <c r="K189" s="157">
        <v>39465</v>
      </c>
      <c r="L189" s="158">
        <v>1.8</v>
      </c>
    </row>
    <row r="190" spans="1:12" x14ac:dyDescent="0.25">
      <c r="A190" s="162">
        <v>38449</v>
      </c>
      <c r="B190" s="163">
        <v>1.99</v>
      </c>
      <c r="E190" s="159">
        <f t="shared" si="2"/>
        <v>2019</v>
      </c>
      <c r="F190" s="157">
        <v>43709</v>
      </c>
      <c r="G190" s="158">
        <v>0.32</v>
      </c>
      <c r="K190" s="157">
        <v>39472</v>
      </c>
      <c r="L190" s="158">
        <v>1.73</v>
      </c>
    </row>
    <row r="191" spans="1:12" x14ac:dyDescent="0.25">
      <c r="A191" s="162">
        <v>38450</v>
      </c>
      <c r="B191" s="163">
        <v>1.97</v>
      </c>
      <c r="E191" s="159">
        <f t="shared" si="2"/>
        <v>2019</v>
      </c>
      <c r="F191" s="157">
        <v>43739</v>
      </c>
      <c r="G191" s="158">
        <v>0.36</v>
      </c>
      <c r="K191" s="157">
        <v>39479</v>
      </c>
      <c r="L191" s="158">
        <v>1.74</v>
      </c>
    </row>
    <row r="192" spans="1:12" x14ac:dyDescent="0.25">
      <c r="A192" s="162">
        <v>38453</v>
      </c>
      <c r="B192" s="163">
        <v>1.94</v>
      </c>
      <c r="E192" s="159">
        <f t="shared" si="2"/>
        <v>2019</v>
      </c>
      <c r="F192" s="157">
        <v>43770</v>
      </c>
      <c r="G192" s="158">
        <v>0.37</v>
      </c>
      <c r="K192" s="157">
        <v>39486</v>
      </c>
      <c r="L192" s="158">
        <v>1.77</v>
      </c>
    </row>
    <row r="193" spans="1:12" x14ac:dyDescent="0.25">
      <c r="A193" s="162">
        <v>38454</v>
      </c>
      <c r="B193" s="163">
        <v>1.89</v>
      </c>
      <c r="E193" s="159">
        <f t="shared" si="2"/>
        <v>2019</v>
      </c>
      <c r="F193" s="157">
        <v>43800</v>
      </c>
      <c r="G193" s="158">
        <v>0.35</v>
      </c>
      <c r="K193" s="157">
        <v>39493</v>
      </c>
      <c r="L193" s="158">
        <v>1.89</v>
      </c>
    </row>
    <row r="194" spans="1:12" x14ac:dyDescent="0.25">
      <c r="A194" s="162">
        <v>38455</v>
      </c>
      <c r="B194" s="163">
        <v>1.9</v>
      </c>
      <c r="E194" s="159">
        <f t="shared" si="2"/>
        <v>2020</v>
      </c>
      <c r="F194" s="157">
        <v>43831</v>
      </c>
      <c r="G194" s="158">
        <v>0.26</v>
      </c>
      <c r="K194" s="157">
        <v>39500</v>
      </c>
      <c r="L194" s="158">
        <v>1.97</v>
      </c>
    </row>
    <row r="195" spans="1:12" x14ac:dyDescent="0.25">
      <c r="A195" s="162">
        <v>38456</v>
      </c>
      <c r="B195" s="163">
        <v>1.9</v>
      </c>
      <c r="E195" s="159">
        <f t="shared" si="2"/>
        <v>2020</v>
      </c>
      <c r="F195" s="157">
        <v>43862</v>
      </c>
      <c r="G195" s="158">
        <v>0.12</v>
      </c>
      <c r="K195" s="157">
        <v>39507</v>
      </c>
      <c r="L195" s="158">
        <v>1.9</v>
      </c>
    </row>
    <row r="196" spans="1:12" x14ac:dyDescent="0.25">
      <c r="A196" s="162">
        <v>38457</v>
      </c>
      <c r="B196" s="163">
        <v>1.85</v>
      </c>
      <c r="E196" s="159">
        <f t="shared" si="2"/>
        <v>2020</v>
      </c>
      <c r="F196" s="157">
        <v>43891</v>
      </c>
      <c r="G196" s="158">
        <v>0.03</v>
      </c>
      <c r="K196" s="157">
        <v>39514</v>
      </c>
      <c r="L196" s="158">
        <v>1.74</v>
      </c>
    </row>
    <row r="197" spans="1:12" x14ac:dyDescent="0.25">
      <c r="A197" s="162">
        <v>38460</v>
      </c>
      <c r="B197" s="163">
        <v>1.83</v>
      </c>
      <c r="E197" s="159">
        <f t="shared" si="2"/>
        <v>2020</v>
      </c>
      <c r="F197" s="157">
        <v>43922</v>
      </c>
      <c r="G197" s="158">
        <v>-0.28000000000000003</v>
      </c>
      <c r="K197" s="157">
        <v>39521</v>
      </c>
      <c r="L197" s="158">
        <v>1.64</v>
      </c>
    </row>
    <row r="198" spans="1:12" x14ac:dyDescent="0.25">
      <c r="A198" s="162">
        <v>38461</v>
      </c>
      <c r="B198" s="163">
        <v>1.78</v>
      </c>
      <c r="E198" s="159">
        <f t="shared" si="2"/>
        <v>2020</v>
      </c>
      <c r="F198" s="157">
        <v>43952</v>
      </c>
      <c r="G198" s="158">
        <v>-0.26</v>
      </c>
      <c r="K198" s="157">
        <v>39528</v>
      </c>
      <c r="L198" s="158">
        <v>1.76</v>
      </c>
    </row>
    <row r="199" spans="1:12" x14ac:dyDescent="0.25">
      <c r="A199" s="162">
        <v>38462</v>
      </c>
      <c r="B199" s="163">
        <v>1.79</v>
      </c>
      <c r="E199" s="159">
        <f t="shared" si="2"/>
        <v>2020</v>
      </c>
      <c r="F199" s="157">
        <v>43983</v>
      </c>
      <c r="G199" s="158">
        <v>-0.28000000000000003</v>
      </c>
      <c r="K199" s="157">
        <v>39535</v>
      </c>
      <c r="L199" s="158">
        <v>1.9</v>
      </c>
    </row>
    <row r="200" spans="1:12" x14ac:dyDescent="0.25">
      <c r="A200" s="162">
        <v>38463</v>
      </c>
      <c r="B200" s="163">
        <v>1.84</v>
      </c>
      <c r="E200" s="159">
        <f t="shared" si="2"/>
        <v>2020</v>
      </c>
      <c r="F200" s="157">
        <v>44013</v>
      </c>
      <c r="G200" s="158">
        <v>-0.53</v>
      </c>
      <c r="K200" s="157">
        <v>39542</v>
      </c>
      <c r="L200" s="158">
        <v>1.85</v>
      </c>
    </row>
    <row r="201" spans="1:12" x14ac:dyDescent="0.25">
      <c r="A201" s="162">
        <v>38464</v>
      </c>
      <c r="B201" s="163">
        <v>1.8</v>
      </c>
      <c r="E201" s="159">
        <f>YEAR(F201)</f>
        <v>2020</v>
      </c>
      <c r="F201" s="157">
        <v>44044</v>
      </c>
      <c r="G201" s="158">
        <v>-0.62</v>
      </c>
      <c r="K201" s="157">
        <v>39549</v>
      </c>
      <c r="L201" s="158">
        <v>1.79</v>
      </c>
    </row>
    <row r="202" spans="1:12" x14ac:dyDescent="0.25">
      <c r="A202" s="162">
        <v>38467</v>
      </c>
      <c r="B202" s="163">
        <v>1.83</v>
      </c>
      <c r="E202" s="159">
        <f>YEAR(F202)</f>
        <v>2020</v>
      </c>
      <c r="F202" s="157">
        <v>44075</v>
      </c>
      <c r="G202" s="158">
        <v>-0.59</v>
      </c>
      <c r="K202" s="157">
        <v>39556</v>
      </c>
      <c r="L202" s="158">
        <v>1.89</v>
      </c>
    </row>
    <row r="203" spans="1:12" x14ac:dyDescent="0.25">
      <c r="A203" s="162">
        <v>38468</v>
      </c>
      <c r="B203" s="163">
        <v>1.86</v>
      </c>
      <c r="E203" s="159">
        <f>YEAR(F203)</f>
        <v>2020</v>
      </c>
      <c r="F203" s="157">
        <v>44105</v>
      </c>
      <c r="G203" s="158">
        <v>-0.51</v>
      </c>
      <c r="K203" s="157">
        <v>39563</v>
      </c>
      <c r="L203" s="158">
        <v>1.99</v>
      </c>
    </row>
    <row r="204" spans="1:12" x14ac:dyDescent="0.25">
      <c r="A204" s="162">
        <v>38469</v>
      </c>
      <c r="B204" s="163">
        <v>1.87</v>
      </c>
      <c r="E204" s="159">
        <f>YEAR(F204)</f>
        <v>2020</v>
      </c>
      <c r="F204" s="157">
        <v>44136</v>
      </c>
      <c r="G204" s="158">
        <v>-0.44</v>
      </c>
      <c r="K204" s="157">
        <v>39570</v>
      </c>
      <c r="L204" s="158">
        <v>2.0299999999999998</v>
      </c>
    </row>
    <row r="205" spans="1:12" x14ac:dyDescent="0.25">
      <c r="A205" s="162">
        <v>38470</v>
      </c>
      <c r="B205" s="163">
        <v>1.8</v>
      </c>
      <c r="E205" s="159">
        <f>YEAR(F205)</f>
        <v>2020</v>
      </c>
      <c r="F205" s="157">
        <v>44166</v>
      </c>
      <c r="G205" s="158">
        <v>-0.54</v>
      </c>
      <c r="K205" s="157">
        <v>39577</v>
      </c>
      <c r="L205" s="158">
        <v>2.02</v>
      </c>
    </row>
    <row r="206" spans="1:12" x14ac:dyDescent="0.25">
      <c r="A206" s="162">
        <v>38471</v>
      </c>
      <c r="B206" s="163">
        <v>1.82</v>
      </c>
      <c r="E206" s="159">
        <f t="shared" ref="E206:E244" si="3">YEAR(F206)</f>
        <v>2021</v>
      </c>
      <c r="F206" s="157">
        <v>44197</v>
      </c>
      <c r="G206" s="158">
        <v>-0.53</v>
      </c>
      <c r="K206" s="157">
        <v>39584</v>
      </c>
      <c r="L206" s="158">
        <v>1.99</v>
      </c>
    </row>
    <row r="207" spans="1:12" x14ac:dyDescent="0.25">
      <c r="A207" s="162">
        <v>38474</v>
      </c>
      <c r="B207" s="163">
        <v>1.82</v>
      </c>
      <c r="E207" s="159">
        <f t="shared" si="3"/>
        <v>2021</v>
      </c>
      <c r="F207" s="157">
        <v>44228</v>
      </c>
      <c r="G207" s="158">
        <v>-0.35</v>
      </c>
      <c r="K207" s="157">
        <v>39591</v>
      </c>
      <c r="L207" s="158">
        <v>1.9</v>
      </c>
    </row>
    <row r="208" spans="1:12" x14ac:dyDescent="0.25">
      <c r="A208" s="162">
        <v>38475</v>
      </c>
      <c r="B208" s="163">
        <v>1.84</v>
      </c>
      <c r="E208" s="159">
        <f t="shared" si="3"/>
        <v>2021</v>
      </c>
      <c r="F208" s="157">
        <v>44256</v>
      </c>
      <c r="G208" s="158">
        <v>-0.14000000000000001</v>
      </c>
      <c r="K208" s="157">
        <v>39598</v>
      </c>
      <c r="L208" s="158">
        <v>2.1</v>
      </c>
    </row>
    <row r="209" spans="1:12" x14ac:dyDescent="0.25">
      <c r="A209" s="162">
        <v>38476</v>
      </c>
      <c r="B209" s="163">
        <v>1.86</v>
      </c>
      <c r="E209" s="159">
        <f t="shared" si="3"/>
        <v>2021</v>
      </c>
      <c r="F209" s="157">
        <v>44287</v>
      </c>
      <c r="G209" s="158">
        <v>-0.2</v>
      </c>
      <c r="K209" s="157">
        <v>39605</v>
      </c>
      <c r="L209" s="158">
        <v>2.17</v>
      </c>
    </row>
    <row r="210" spans="1:12" x14ac:dyDescent="0.25">
      <c r="A210" s="162">
        <v>38477</v>
      </c>
      <c r="B210" s="163">
        <v>1.86</v>
      </c>
      <c r="E210" s="159">
        <f t="shared" si="3"/>
        <v>2021</v>
      </c>
      <c r="F210" s="157">
        <v>44317</v>
      </c>
      <c r="G210" s="158">
        <v>-0.27</v>
      </c>
      <c r="K210" s="157">
        <v>39612</v>
      </c>
      <c r="L210" s="158">
        <v>2.2400000000000002</v>
      </c>
    </row>
    <row r="211" spans="1:12" x14ac:dyDescent="0.25">
      <c r="A211" s="162">
        <v>38478</v>
      </c>
      <c r="B211" s="163">
        <v>1.89</v>
      </c>
      <c r="E211" s="159">
        <f t="shared" si="3"/>
        <v>2021</v>
      </c>
      <c r="F211" s="157">
        <v>44348</v>
      </c>
      <c r="G211" s="158">
        <v>-0.34</v>
      </c>
      <c r="K211" s="157">
        <v>39619</v>
      </c>
      <c r="L211" s="158">
        <v>2.2400000000000002</v>
      </c>
    </row>
    <row r="212" spans="1:12" x14ac:dyDescent="0.25">
      <c r="A212" s="162">
        <v>38481</v>
      </c>
      <c r="B212" s="163">
        <v>1.88</v>
      </c>
      <c r="E212" s="159">
        <f t="shared" si="3"/>
        <v>2021</v>
      </c>
      <c r="F212" s="157">
        <v>44378</v>
      </c>
      <c r="G212" s="158">
        <v>-0.52</v>
      </c>
      <c r="K212" s="157">
        <v>39626</v>
      </c>
      <c r="L212" s="158">
        <v>2.15</v>
      </c>
    </row>
    <row r="213" spans="1:12" x14ac:dyDescent="0.25">
      <c r="A213" s="162">
        <v>38482</v>
      </c>
      <c r="B213" s="163">
        <v>1.85</v>
      </c>
      <c r="E213" s="159">
        <f t="shared" si="3"/>
        <v>2021</v>
      </c>
      <c r="F213" s="157">
        <v>44409</v>
      </c>
      <c r="G213" s="158">
        <v>-0.56000000000000005</v>
      </c>
      <c r="K213" s="157">
        <v>39633</v>
      </c>
      <c r="L213" s="158">
        <v>2.02</v>
      </c>
    </row>
    <row r="214" spans="1:12" x14ac:dyDescent="0.25">
      <c r="A214" s="162">
        <v>38483</v>
      </c>
      <c r="B214" s="163">
        <v>1.82</v>
      </c>
      <c r="E214" s="159">
        <f t="shared" si="3"/>
        <v>2021</v>
      </c>
      <c r="F214" s="157">
        <v>44440</v>
      </c>
      <c r="G214" s="158">
        <v>-0.51</v>
      </c>
      <c r="K214" s="157">
        <v>39640</v>
      </c>
      <c r="L214" s="158">
        <v>1.97</v>
      </c>
    </row>
    <row r="215" spans="1:12" x14ac:dyDescent="0.25">
      <c r="A215" s="162">
        <v>38484</v>
      </c>
      <c r="B215" s="163">
        <v>1.83</v>
      </c>
      <c r="E215" s="159">
        <f t="shared" si="3"/>
        <v>2021</v>
      </c>
      <c r="F215" s="157">
        <v>44470</v>
      </c>
      <c r="G215" s="158">
        <v>-0.51</v>
      </c>
      <c r="K215" s="157">
        <v>39647</v>
      </c>
      <c r="L215" s="158">
        <v>2.06</v>
      </c>
    </row>
    <row r="216" spans="1:12" x14ac:dyDescent="0.25">
      <c r="A216" s="162">
        <v>38485</v>
      </c>
      <c r="B216" s="163">
        <v>1.83</v>
      </c>
      <c r="E216" s="159">
        <f t="shared" si="3"/>
        <v>2021</v>
      </c>
      <c r="F216" s="157">
        <v>44501</v>
      </c>
      <c r="G216" s="158">
        <v>-0.63</v>
      </c>
      <c r="K216" s="157">
        <v>39654</v>
      </c>
      <c r="L216" s="158">
        <v>2.2200000000000002</v>
      </c>
    </row>
    <row r="217" spans="1:12" x14ac:dyDescent="0.25">
      <c r="A217" s="162">
        <v>38488</v>
      </c>
      <c r="B217" s="163">
        <v>1.83</v>
      </c>
      <c r="E217" s="159">
        <f t="shared" si="3"/>
        <v>2021</v>
      </c>
      <c r="F217" s="157">
        <v>44531</v>
      </c>
      <c r="G217" s="158">
        <v>-0.61</v>
      </c>
      <c r="K217" s="157">
        <v>39661</v>
      </c>
      <c r="L217" s="158">
        <v>2.1800000000000002</v>
      </c>
    </row>
    <row r="218" spans="1:12" x14ac:dyDescent="0.25">
      <c r="A218" s="162">
        <v>38489</v>
      </c>
      <c r="B218" s="163">
        <v>1.8</v>
      </c>
      <c r="E218" s="159">
        <f t="shared" si="3"/>
        <v>2022</v>
      </c>
      <c r="F218" s="157">
        <v>44562</v>
      </c>
      <c r="G218" s="158">
        <v>-0.31</v>
      </c>
      <c r="K218" s="157">
        <v>39668</v>
      </c>
      <c r="L218" s="158">
        <v>2.17</v>
      </c>
    </row>
    <row r="219" spans="1:12" x14ac:dyDescent="0.25">
      <c r="A219" s="162">
        <v>38490</v>
      </c>
      <c r="B219" s="163">
        <v>1.8</v>
      </c>
      <c r="E219" s="159">
        <f t="shared" si="3"/>
        <v>2022</v>
      </c>
      <c r="F219" s="157">
        <v>44593</v>
      </c>
      <c r="G219" s="158">
        <v>-0.13</v>
      </c>
      <c r="K219" s="157">
        <v>39675</v>
      </c>
      <c r="L219" s="158">
        <v>2.19</v>
      </c>
    </row>
    <row r="220" spans="1:12" x14ac:dyDescent="0.25">
      <c r="A220" s="162">
        <v>38491</v>
      </c>
      <c r="B220" s="163">
        <v>1.83</v>
      </c>
      <c r="E220" s="159">
        <f t="shared" si="3"/>
        <v>2022</v>
      </c>
      <c r="F220" s="157">
        <v>44621</v>
      </c>
      <c r="G220" s="158">
        <v>-0.3</v>
      </c>
      <c r="K220" s="157">
        <v>39682</v>
      </c>
      <c r="L220" s="158">
        <v>2.12</v>
      </c>
    </row>
    <row r="221" spans="1:12" x14ac:dyDescent="0.25">
      <c r="A221" s="162">
        <v>38492</v>
      </c>
      <c r="B221" s="163">
        <v>1.8</v>
      </c>
      <c r="E221" s="159">
        <f t="shared" si="3"/>
        <v>2022</v>
      </c>
      <c r="F221" s="157">
        <v>44652</v>
      </c>
      <c r="G221" s="158">
        <v>0.13</v>
      </c>
      <c r="K221" s="157">
        <v>39689</v>
      </c>
      <c r="L221" s="158">
        <v>2.1</v>
      </c>
    </row>
    <row r="222" spans="1:12" x14ac:dyDescent="0.25">
      <c r="A222" s="162">
        <v>38495</v>
      </c>
      <c r="B222" s="163">
        <v>1.76</v>
      </c>
      <c r="E222" s="159">
        <f t="shared" si="3"/>
        <v>2022</v>
      </c>
      <c r="F222" s="157">
        <v>44682</v>
      </c>
      <c r="G222" s="158">
        <v>0.47</v>
      </c>
      <c r="K222" s="157">
        <v>39696</v>
      </c>
      <c r="L222" s="158">
        <v>2.19</v>
      </c>
    </row>
    <row r="223" spans="1:12" x14ac:dyDescent="0.25">
      <c r="A223" s="162">
        <v>38496</v>
      </c>
      <c r="B223" s="163">
        <v>1.74</v>
      </c>
      <c r="E223" s="159">
        <f t="shared" si="3"/>
        <v>2022</v>
      </c>
      <c r="F223" s="157">
        <v>44713</v>
      </c>
      <c r="G223" s="158">
        <v>0.7</v>
      </c>
      <c r="K223" s="157">
        <v>39703</v>
      </c>
      <c r="L223" s="158">
        <v>2.12</v>
      </c>
    </row>
    <row r="224" spans="1:12" x14ac:dyDescent="0.25">
      <c r="A224" s="162">
        <v>38497</v>
      </c>
      <c r="B224" s="163">
        <v>1.8</v>
      </c>
      <c r="E224" s="159">
        <f t="shared" si="3"/>
        <v>2022</v>
      </c>
      <c r="F224" s="157">
        <v>44743</v>
      </c>
      <c r="G224" s="158">
        <v>0.75</v>
      </c>
      <c r="K224" s="157">
        <v>39710</v>
      </c>
      <c r="L224" s="158">
        <v>2.2000000000000002</v>
      </c>
    </row>
    <row r="225" spans="1:12" x14ac:dyDescent="0.25">
      <c r="A225" s="162">
        <v>38498</v>
      </c>
      <c r="B225" s="163">
        <v>1.85</v>
      </c>
      <c r="E225" s="159">
        <f t="shared" si="3"/>
        <v>2022</v>
      </c>
      <c r="F225" s="157">
        <v>44774</v>
      </c>
      <c r="G225" s="158">
        <v>0.65</v>
      </c>
      <c r="K225" s="157">
        <v>39717</v>
      </c>
      <c r="L225" s="158">
        <v>2.4</v>
      </c>
    </row>
    <row r="226" spans="1:12" x14ac:dyDescent="0.25">
      <c r="A226" s="162">
        <v>38499</v>
      </c>
      <c r="B226" s="163">
        <v>1.83</v>
      </c>
      <c r="E226" s="159">
        <f t="shared" si="3"/>
        <v>2022</v>
      </c>
      <c r="F226" s="157">
        <v>44805</v>
      </c>
      <c r="G226" s="158">
        <v>1.21</v>
      </c>
      <c r="K226" s="157">
        <v>39724</v>
      </c>
      <c r="L226" s="158">
        <v>2.5</v>
      </c>
    </row>
    <row r="227" spans="1:12" x14ac:dyDescent="0.25">
      <c r="A227" s="162">
        <v>38502</v>
      </c>
      <c r="B227" s="163" t="e">
        <f>NA()</f>
        <v>#N/A</v>
      </c>
      <c r="E227" s="159">
        <f t="shared" si="3"/>
        <v>2022</v>
      </c>
      <c r="F227" s="157">
        <v>44835</v>
      </c>
      <c r="G227" s="158">
        <v>1.64</v>
      </c>
      <c r="K227" s="157">
        <v>39731</v>
      </c>
      <c r="L227" s="158">
        <v>2.75</v>
      </c>
    </row>
    <row r="228" spans="1:12" x14ac:dyDescent="0.25">
      <c r="A228" s="162">
        <v>38503</v>
      </c>
      <c r="B228" s="163">
        <v>1.78</v>
      </c>
      <c r="E228" s="159">
        <f t="shared" si="3"/>
        <v>2022</v>
      </c>
      <c r="F228" s="157">
        <v>44866</v>
      </c>
      <c r="G228" s="158">
        <v>1.55</v>
      </c>
      <c r="K228" s="157">
        <v>39738</v>
      </c>
      <c r="L228" s="158">
        <v>2.94</v>
      </c>
    </row>
    <row r="229" spans="1:12" x14ac:dyDescent="0.25">
      <c r="A229" s="162">
        <v>38504</v>
      </c>
      <c r="B229" s="163">
        <v>1.69</v>
      </c>
      <c r="E229" s="159">
        <f t="shared" si="3"/>
        <v>2022</v>
      </c>
      <c r="F229" s="157">
        <v>44896</v>
      </c>
      <c r="G229" s="158">
        <v>1.37</v>
      </c>
      <c r="K229" s="157">
        <v>39745</v>
      </c>
      <c r="L229" s="158">
        <v>2.82</v>
      </c>
    </row>
    <row r="230" spans="1:12" x14ac:dyDescent="0.25">
      <c r="A230" s="162">
        <v>38505</v>
      </c>
      <c r="B230" s="163">
        <v>1.69</v>
      </c>
      <c r="E230" s="159">
        <f t="shared" si="3"/>
        <v>2023</v>
      </c>
      <c r="F230" s="157">
        <v>44927</v>
      </c>
      <c r="G230" s="158">
        <v>1.35</v>
      </c>
      <c r="K230" s="157">
        <v>39752</v>
      </c>
      <c r="L230" s="158">
        <v>3.2</v>
      </c>
    </row>
    <row r="231" spans="1:12" x14ac:dyDescent="0.25">
      <c r="A231" s="162">
        <v>38506</v>
      </c>
      <c r="B231" s="164">
        <v>1.73</v>
      </c>
      <c r="E231" s="159">
        <f t="shared" si="3"/>
        <v>2023</v>
      </c>
      <c r="F231" s="157">
        <v>44958</v>
      </c>
      <c r="G231" s="158">
        <v>1.46</v>
      </c>
      <c r="K231" s="157">
        <v>39759</v>
      </c>
      <c r="L231" s="158">
        <v>3.07</v>
      </c>
    </row>
    <row r="232" spans="1:12" x14ac:dyDescent="0.25">
      <c r="A232" s="162">
        <v>38509</v>
      </c>
      <c r="B232" s="163">
        <v>1.71</v>
      </c>
      <c r="E232" s="159">
        <f t="shared" si="3"/>
        <v>2023</v>
      </c>
      <c r="F232" s="157">
        <v>44986</v>
      </c>
      <c r="G232" s="158">
        <v>1.43</v>
      </c>
      <c r="K232" s="157">
        <v>39766</v>
      </c>
      <c r="L232" s="158">
        <v>2.89</v>
      </c>
    </row>
    <row r="233" spans="1:12" x14ac:dyDescent="0.25">
      <c r="A233" s="162">
        <v>38510</v>
      </c>
      <c r="B233" s="163">
        <v>1.71</v>
      </c>
      <c r="E233" s="159">
        <f t="shared" si="3"/>
        <v>2023</v>
      </c>
      <c r="F233" s="157">
        <v>45017</v>
      </c>
      <c r="G233" s="158">
        <v>1.33</v>
      </c>
      <c r="K233" s="157">
        <v>39773</v>
      </c>
      <c r="L233" s="158">
        <v>2.91</v>
      </c>
    </row>
    <row r="234" spans="1:12" x14ac:dyDescent="0.25">
      <c r="A234" s="162">
        <v>38511</v>
      </c>
      <c r="B234" s="163">
        <v>1.73</v>
      </c>
      <c r="E234" s="159">
        <f t="shared" si="3"/>
        <v>2023</v>
      </c>
      <c r="F234" s="157">
        <v>45047</v>
      </c>
      <c r="G234" s="158">
        <v>1.48</v>
      </c>
      <c r="K234" s="157">
        <v>39780</v>
      </c>
      <c r="L234" s="158">
        <v>3.14</v>
      </c>
    </row>
    <row r="235" spans="1:12" x14ac:dyDescent="0.25">
      <c r="A235" s="162">
        <v>38512</v>
      </c>
      <c r="B235" s="163">
        <v>1.75</v>
      </c>
      <c r="E235" s="159">
        <f t="shared" si="3"/>
        <v>2023</v>
      </c>
      <c r="F235" s="157">
        <v>45078</v>
      </c>
      <c r="G235" s="158">
        <v>1.56</v>
      </c>
      <c r="K235" s="157">
        <v>39787</v>
      </c>
      <c r="L235" s="158">
        <v>2.5099999999999998</v>
      </c>
    </row>
    <row r="236" spans="1:12" x14ac:dyDescent="0.25">
      <c r="A236" s="162">
        <v>38513</v>
      </c>
      <c r="B236" s="163">
        <v>1.83</v>
      </c>
      <c r="E236" s="159">
        <f t="shared" si="3"/>
        <v>2023</v>
      </c>
      <c r="F236" s="157">
        <v>45108</v>
      </c>
      <c r="G236" s="158">
        <v>1.6</v>
      </c>
      <c r="K236" s="157">
        <v>39794</v>
      </c>
      <c r="L236" s="158">
        <v>2.44</v>
      </c>
    </row>
    <row r="237" spans="1:12" x14ac:dyDescent="0.25">
      <c r="A237" s="162">
        <v>38516</v>
      </c>
      <c r="B237" s="163">
        <v>1.88</v>
      </c>
      <c r="E237" s="159">
        <f t="shared" si="3"/>
        <v>2023</v>
      </c>
      <c r="F237" s="157">
        <v>45139</v>
      </c>
      <c r="G237" s="158">
        <v>1.88</v>
      </c>
      <c r="K237" s="157">
        <v>39801</v>
      </c>
      <c r="L237" s="158">
        <v>2.17</v>
      </c>
    </row>
    <row r="238" spans="1:12" x14ac:dyDescent="0.25">
      <c r="A238" s="162">
        <v>38517</v>
      </c>
      <c r="B238" s="163">
        <v>1.91</v>
      </c>
      <c r="E238" s="159">
        <f t="shared" si="3"/>
        <v>2023</v>
      </c>
      <c r="F238" s="157">
        <v>45170</v>
      </c>
      <c r="G238" s="158">
        <v>2.0699999999999998</v>
      </c>
      <c r="K238" s="157">
        <v>39808</v>
      </c>
      <c r="L238" s="158">
        <v>2.16</v>
      </c>
    </row>
    <row r="239" spans="1:12" x14ac:dyDescent="0.25">
      <c r="A239" s="162">
        <v>38518</v>
      </c>
      <c r="B239" s="163">
        <v>1.91</v>
      </c>
      <c r="E239" s="159">
        <f t="shared" si="3"/>
        <v>2023</v>
      </c>
      <c r="F239" s="157">
        <v>45200</v>
      </c>
      <c r="G239" s="158">
        <v>2.4500000000000002</v>
      </c>
      <c r="K239" s="157">
        <v>39815</v>
      </c>
      <c r="L239" s="158">
        <v>2.3199999999999998</v>
      </c>
    </row>
    <row r="240" spans="1:12" x14ac:dyDescent="0.25">
      <c r="A240" s="162">
        <v>38519</v>
      </c>
      <c r="B240" s="163">
        <v>1.86</v>
      </c>
      <c r="E240" s="159">
        <f t="shared" si="3"/>
        <v>2023</v>
      </c>
      <c r="F240" s="157">
        <v>45231</v>
      </c>
      <c r="G240" s="158">
        <v>2.23</v>
      </c>
      <c r="K240" s="157">
        <v>39822</v>
      </c>
      <c r="L240" s="158">
        <v>2.57</v>
      </c>
    </row>
    <row r="241" spans="1:12" x14ac:dyDescent="0.25">
      <c r="A241" s="162">
        <v>38520</v>
      </c>
      <c r="B241" s="163">
        <v>1.86</v>
      </c>
      <c r="E241" s="159">
        <f t="shared" si="3"/>
        <v>2023</v>
      </c>
      <c r="F241" s="157">
        <v>45261</v>
      </c>
      <c r="G241" s="158">
        <v>1.9</v>
      </c>
      <c r="K241" s="157">
        <v>39829</v>
      </c>
      <c r="L241" s="158">
        <v>2.29</v>
      </c>
    </row>
    <row r="242" spans="1:12" x14ac:dyDescent="0.25">
      <c r="A242" s="162">
        <v>38523</v>
      </c>
      <c r="B242" s="163">
        <v>1.88</v>
      </c>
      <c r="E242" s="159">
        <f t="shared" si="3"/>
        <v>2024</v>
      </c>
      <c r="F242" s="157">
        <v>45292</v>
      </c>
      <c r="G242" s="158">
        <v>1.92</v>
      </c>
      <c r="K242" s="157">
        <v>39836</v>
      </c>
      <c r="L242" s="158">
        <v>2.54</v>
      </c>
    </row>
    <row r="243" spans="1:12" x14ac:dyDescent="0.25">
      <c r="A243" s="162">
        <v>38524</v>
      </c>
      <c r="B243" s="163">
        <v>1.86</v>
      </c>
      <c r="E243" s="159">
        <f t="shared" si="3"/>
        <v>2024</v>
      </c>
      <c r="F243" s="157">
        <v>45323</v>
      </c>
      <c r="G243" s="158">
        <v>2.04</v>
      </c>
      <c r="K243" s="157">
        <v>39843</v>
      </c>
      <c r="L243" s="158">
        <v>2.4300000000000002</v>
      </c>
    </row>
    <row r="244" spans="1:12" x14ac:dyDescent="0.25">
      <c r="A244" s="162">
        <v>38525</v>
      </c>
      <c r="B244" s="163">
        <v>1.82</v>
      </c>
      <c r="E244" s="159">
        <f t="shared" si="3"/>
        <v>2024</v>
      </c>
      <c r="F244" s="157">
        <v>45352</v>
      </c>
      <c r="G244" s="158">
        <v>2.0099999999999998</v>
      </c>
      <c r="K244" s="157">
        <v>39850</v>
      </c>
      <c r="L244" s="158">
        <v>2.4</v>
      </c>
    </row>
    <row r="245" spans="1:12" x14ac:dyDescent="0.25">
      <c r="A245" s="162">
        <v>38526</v>
      </c>
      <c r="B245" s="163">
        <v>1.82</v>
      </c>
      <c r="E245" s="159">
        <f t="shared" ref="E245" si="4">YEAR(F245)</f>
        <v>2024</v>
      </c>
      <c r="F245" s="157">
        <v>45383</v>
      </c>
      <c r="G245" s="158">
        <v>2.2400000000000002</v>
      </c>
      <c r="K245" s="157">
        <v>39857</v>
      </c>
      <c r="L245" s="158">
        <v>2.25</v>
      </c>
    </row>
    <row r="246" spans="1:12" x14ac:dyDescent="0.25">
      <c r="A246" s="162">
        <v>38527</v>
      </c>
      <c r="B246" s="163">
        <v>1.8</v>
      </c>
      <c r="K246" s="157">
        <v>39864</v>
      </c>
      <c r="L246" s="158">
        <v>2.2400000000000002</v>
      </c>
    </row>
    <row r="247" spans="1:12" x14ac:dyDescent="0.25">
      <c r="A247" s="162">
        <v>38530</v>
      </c>
      <c r="B247" s="163">
        <v>1.77</v>
      </c>
      <c r="K247" s="157">
        <v>39871</v>
      </c>
      <c r="L247" s="158">
        <v>2.35</v>
      </c>
    </row>
    <row r="248" spans="1:12" x14ac:dyDescent="0.25">
      <c r="A248" s="162">
        <v>38531</v>
      </c>
      <c r="B248" s="163">
        <v>1.81</v>
      </c>
      <c r="K248" s="157">
        <v>39878</v>
      </c>
      <c r="L248" s="158">
        <v>2.4700000000000002</v>
      </c>
    </row>
    <row r="249" spans="1:12" x14ac:dyDescent="0.25">
      <c r="A249" s="162">
        <v>38532</v>
      </c>
      <c r="B249" s="163">
        <v>1.83</v>
      </c>
      <c r="K249" s="157">
        <v>39885</v>
      </c>
      <c r="L249" s="158">
        <v>2.4900000000000002</v>
      </c>
    </row>
    <row r="250" spans="1:12" x14ac:dyDescent="0.25">
      <c r="A250" s="162">
        <v>38533</v>
      </c>
      <c r="B250" s="163">
        <v>1.79</v>
      </c>
      <c r="K250" s="157">
        <v>39892</v>
      </c>
      <c r="L250" s="158">
        <v>2.21</v>
      </c>
    </row>
    <row r="251" spans="1:12" x14ac:dyDescent="0.25">
      <c r="A251" s="162">
        <v>38534</v>
      </c>
      <c r="B251" s="163">
        <v>1.84</v>
      </c>
      <c r="K251" s="157">
        <v>39899</v>
      </c>
      <c r="L251" s="158">
        <v>2</v>
      </c>
    </row>
    <row r="252" spans="1:12" x14ac:dyDescent="0.25">
      <c r="A252" s="162">
        <v>38537</v>
      </c>
      <c r="B252" s="163" t="e">
        <f>NA()</f>
        <v>#N/A</v>
      </c>
      <c r="K252" s="157">
        <v>39906</v>
      </c>
      <c r="L252" s="158">
        <v>2.0299999999999998</v>
      </c>
    </row>
    <row r="253" spans="1:12" x14ac:dyDescent="0.25">
      <c r="A253" s="162">
        <v>38538</v>
      </c>
      <c r="B253" s="163">
        <v>1.9</v>
      </c>
      <c r="K253" s="157">
        <v>39913</v>
      </c>
      <c r="L253" s="158">
        <v>2.2000000000000002</v>
      </c>
    </row>
    <row r="254" spans="1:12" x14ac:dyDescent="0.25">
      <c r="A254" s="162">
        <v>38539</v>
      </c>
      <c r="B254" s="163">
        <v>1.9</v>
      </c>
      <c r="K254" s="157">
        <v>39920</v>
      </c>
      <c r="L254" s="158">
        <v>2.21</v>
      </c>
    </row>
    <row r="255" spans="1:12" x14ac:dyDescent="0.25">
      <c r="A255" s="162">
        <v>38540</v>
      </c>
      <c r="B255" s="163">
        <v>1.89</v>
      </c>
      <c r="K255" s="157">
        <v>39927</v>
      </c>
      <c r="L255" s="158">
        <v>2.2999999999999998</v>
      </c>
    </row>
    <row r="256" spans="1:12" x14ac:dyDescent="0.25">
      <c r="A256" s="162">
        <v>38541</v>
      </c>
      <c r="B256" s="164">
        <v>1.95</v>
      </c>
      <c r="K256" s="157">
        <v>39934</v>
      </c>
      <c r="L256" s="158">
        <v>2.33</v>
      </c>
    </row>
    <row r="257" spans="1:12" x14ac:dyDescent="0.25">
      <c r="A257" s="162">
        <v>38544</v>
      </c>
      <c r="B257" s="163">
        <v>1.93</v>
      </c>
      <c r="K257" s="157">
        <v>39941</v>
      </c>
      <c r="L257" s="158">
        <v>2.46</v>
      </c>
    </row>
    <row r="258" spans="1:12" x14ac:dyDescent="0.25">
      <c r="A258" s="162">
        <v>38545</v>
      </c>
      <c r="B258" s="163">
        <v>1.95</v>
      </c>
      <c r="K258" s="157">
        <v>39948</v>
      </c>
      <c r="L258" s="158">
        <v>2.31</v>
      </c>
    </row>
    <row r="259" spans="1:12" x14ac:dyDescent="0.25">
      <c r="A259" s="162">
        <v>38546</v>
      </c>
      <c r="B259" s="163">
        <v>1.98</v>
      </c>
      <c r="K259" s="157">
        <v>39955</v>
      </c>
      <c r="L259" s="158">
        <v>2.2599999999999998</v>
      </c>
    </row>
    <row r="260" spans="1:12" x14ac:dyDescent="0.25">
      <c r="A260" s="162">
        <v>38547</v>
      </c>
      <c r="B260" s="163">
        <v>2.0499999999999998</v>
      </c>
      <c r="K260" s="157">
        <v>39962</v>
      </c>
      <c r="L260" s="158">
        <v>2.36</v>
      </c>
    </row>
    <row r="261" spans="1:12" x14ac:dyDescent="0.25">
      <c r="A261" s="162">
        <v>38548</v>
      </c>
      <c r="B261" s="163">
        <v>2.06</v>
      </c>
      <c r="K261" s="157">
        <v>39969</v>
      </c>
      <c r="L261" s="158">
        <v>2.38</v>
      </c>
    </row>
    <row r="262" spans="1:12" x14ac:dyDescent="0.25">
      <c r="A262" s="162">
        <v>38551</v>
      </c>
      <c r="B262" s="163">
        <v>2.1</v>
      </c>
      <c r="K262" s="157">
        <v>39976</v>
      </c>
      <c r="L262" s="158">
        <v>2.44</v>
      </c>
    </row>
    <row r="263" spans="1:12" x14ac:dyDescent="0.25">
      <c r="A263" s="162">
        <v>38552</v>
      </c>
      <c r="B263" s="163">
        <v>2.0499999999999998</v>
      </c>
      <c r="K263" s="157">
        <v>39983</v>
      </c>
      <c r="L263" s="158">
        <v>2.44</v>
      </c>
    </row>
    <row r="264" spans="1:12" x14ac:dyDescent="0.25">
      <c r="A264" s="162">
        <v>38553</v>
      </c>
      <c r="B264" s="163">
        <v>2.0099999999999998</v>
      </c>
      <c r="K264" s="157">
        <v>39990</v>
      </c>
      <c r="L264" s="158">
        <v>2.2599999999999998</v>
      </c>
    </row>
    <row r="265" spans="1:12" x14ac:dyDescent="0.25">
      <c r="A265" s="162">
        <v>38554</v>
      </c>
      <c r="B265" s="163">
        <v>2.0699999999999998</v>
      </c>
      <c r="K265" s="157">
        <v>39997</v>
      </c>
      <c r="L265" s="158">
        <v>2.17</v>
      </c>
    </row>
    <row r="266" spans="1:12" x14ac:dyDescent="0.25">
      <c r="A266" s="162">
        <v>38555</v>
      </c>
      <c r="B266" s="163">
        <v>2.0099999999999998</v>
      </c>
      <c r="K266" s="157">
        <v>40004</v>
      </c>
      <c r="L266" s="158">
        <v>2.27</v>
      </c>
    </row>
    <row r="267" spans="1:12" x14ac:dyDescent="0.25">
      <c r="A267" s="162">
        <v>38558</v>
      </c>
      <c r="B267" s="163">
        <v>2.0699999999999998</v>
      </c>
      <c r="K267" s="157">
        <v>40011</v>
      </c>
      <c r="L267" s="158">
        <v>2.37</v>
      </c>
    </row>
    <row r="268" spans="1:12" x14ac:dyDescent="0.25">
      <c r="A268" s="162">
        <v>38559</v>
      </c>
      <c r="B268" s="163">
        <v>2.0499999999999998</v>
      </c>
      <c r="K268" s="157">
        <v>40018</v>
      </c>
      <c r="L268" s="158">
        <v>2.31</v>
      </c>
    </row>
    <row r="269" spans="1:12" x14ac:dyDescent="0.25">
      <c r="A269" s="162">
        <v>38560</v>
      </c>
      <c r="B269" s="163">
        <v>2.06</v>
      </c>
      <c r="K269" s="157">
        <v>40025</v>
      </c>
      <c r="L269" s="158">
        <v>2.3199999999999998</v>
      </c>
    </row>
    <row r="270" spans="1:12" x14ac:dyDescent="0.25">
      <c r="A270" s="162">
        <v>38561</v>
      </c>
      <c r="B270" s="163">
        <v>2.02</v>
      </c>
      <c r="K270" s="157">
        <v>40032</v>
      </c>
      <c r="L270" s="158">
        <v>2.34</v>
      </c>
    </row>
    <row r="271" spans="1:12" x14ac:dyDescent="0.25">
      <c r="A271" s="162">
        <v>38562</v>
      </c>
      <c r="B271" s="163">
        <v>2.0299999999999998</v>
      </c>
      <c r="K271" s="157">
        <v>40039</v>
      </c>
      <c r="L271" s="158">
        <v>2.27</v>
      </c>
    </row>
    <row r="272" spans="1:12" x14ac:dyDescent="0.25">
      <c r="A272" s="162">
        <v>38565</v>
      </c>
      <c r="B272" s="163">
        <v>2.08</v>
      </c>
      <c r="K272" s="157">
        <v>40046</v>
      </c>
      <c r="L272" s="158">
        <v>2.15</v>
      </c>
    </row>
    <row r="273" spans="1:12" x14ac:dyDescent="0.25">
      <c r="A273" s="162">
        <v>38566</v>
      </c>
      <c r="B273" s="163">
        <v>2.12</v>
      </c>
      <c r="K273" s="157">
        <v>40053</v>
      </c>
      <c r="L273" s="158">
        <v>2.13</v>
      </c>
    </row>
    <row r="274" spans="1:12" x14ac:dyDescent="0.25">
      <c r="A274" s="162">
        <v>38567</v>
      </c>
      <c r="B274" s="163">
        <v>2.06</v>
      </c>
      <c r="K274" s="157">
        <v>40060</v>
      </c>
      <c r="L274" s="158">
        <v>2.19</v>
      </c>
    </row>
    <row r="275" spans="1:12" x14ac:dyDescent="0.25">
      <c r="A275" s="162">
        <v>38568</v>
      </c>
      <c r="B275" s="163">
        <v>2.0499999999999998</v>
      </c>
      <c r="K275" s="157">
        <v>40067</v>
      </c>
      <c r="L275" s="158">
        <v>2.15</v>
      </c>
    </row>
    <row r="276" spans="1:12" x14ac:dyDescent="0.25">
      <c r="A276" s="162">
        <v>38569</v>
      </c>
      <c r="B276" s="163">
        <v>2.1</v>
      </c>
      <c r="K276" s="157">
        <v>40074</v>
      </c>
      <c r="L276" s="158">
        <v>2.14</v>
      </c>
    </row>
    <row r="277" spans="1:12" x14ac:dyDescent="0.25">
      <c r="A277" s="162">
        <v>38572</v>
      </c>
      <c r="B277" s="163">
        <v>2.11</v>
      </c>
      <c r="K277" s="157">
        <v>40081</v>
      </c>
      <c r="L277" s="158">
        <v>2.11</v>
      </c>
    </row>
    <row r="278" spans="1:12" x14ac:dyDescent="0.25">
      <c r="A278" s="162">
        <v>38573</v>
      </c>
      <c r="B278" s="163">
        <v>2.1</v>
      </c>
      <c r="K278" s="157">
        <v>40088</v>
      </c>
      <c r="L278" s="158">
        <v>2.0299999999999998</v>
      </c>
    </row>
    <row r="279" spans="1:12" x14ac:dyDescent="0.25">
      <c r="A279" s="162">
        <v>38574</v>
      </c>
      <c r="B279" s="163">
        <v>2.11</v>
      </c>
      <c r="K279" s="157">
        <v>40095</v>
      </c>
      <c r="L279" s="158">
        <v>2.04</v>
      </c>
    </row>
    <row r="280" spans="1:12" x14ac:dyDescent="0.25">
      <c r="A280" s="162">
        <v>38575</v>
      </c>
      <c r="B280" s="163">
        <v>2.0699999999999998</v>
      </c>
      <c r="K280" s="157">
        <v>40102</v>
      </c>
      <c r="L280" s="158">
        <v>2.04</v>
      </c>
    </row>
    <row r="281" spans="1:12" x14ac:dyDescent="0.25">
      <c r="A281" s="162">
        <v>38576</v>
      </c>
      <c r="B281" s="163">
        <v>2.0099999999999998</v>
      </c>
      <c r="K281" s="157">
        <v>40109</v>
      </c>
      <c r="L281" s="158">
        <v>2.0099999999999998</v>
      </c>
    </row>
    <row r="282" spans="1:12" x14ac:dyDescent="0.25">
      <c r="A282" s="162">
        <v>38579</v>
      </c>
      <c r="B282" s="163">
        <v>2.04</v>
      </c>
      <c r="K282" s="157">
        <v>40116</v>
      </c>
      <c r="L282" s="158">
        <v>2.09</v>
      </c>
    </row>
    <row r="283" spans="1:12" x14ac:dyDescent="0.25">
      <c r="A283" s="162">
        <v>38580</v>
      </c>
      <c r="B283" s="163">
        <v>2</v>
      </c>
      <c r="K283" s="157">
        <v>40123</v>
      </c>
      <c r="L283" s="158">
        <v>2.0099999999999998</v>
      </c>
    </row>
    <row r="284" spans="1:12" x14ac:dyDescent="0.25">
      <c r="A284" s="162">
        <v>38581</v>
      </c>
      <c r="B284" s="163">
        <v>2.0299999999999998</v>
      </c>
      <c r="K284" s="157">
        <v>40130</v>
      </c>
      <c r="L284" s="158">
        <v>1.97</v>
      </c>
    </row>
    <row r="285" spans="1:12" x14ac:dyDescent="0.25">
      <c r="A285" s="162">
        <v>38582</v>
      </c>
      <c r="B285" s="163">
        <v>1.99</v>
      </c>
      <c r="K285" s="157">
        <v>40137</v>
      </c>
      <c r="L285" s="158">
        <v>1.84</v>
      </c>
    </row>
    <row r="286" spans="1:12" x14ac:dyDescent="0.25">
      <c r="A286" s="162">
        <v>38583</v>
      </c>
      <c r="B286" s="163">
        <v>1.99</v>
      </c>
      <c r="K286" s="157">
        <v>40144</v>
      </c>
      <c r="L286" s="158">
        <v>1.8</v>
      </c>
    </row>
    <row r="287" spans="1:12" x14ac:dyDescent="0.25">
      <c r="A287" s="162">
        <v>38586</v>
      </c>
      <c r="B287" s="163">
        <v>2</v>
      </c>
      <c r="K287" s="157">
        <v>40151</v>
      </c>
      <c r="L287" s="158">
        <v>1.83</v>
      </c>
    </row>
    <row r="288" spans="1:12" x14ac:dyDescent="0.25">
      <c r="A288" s="162">
        <v>38587</v>
      </c>
      <c r="B288" s="163">
        <v>1.99</v>
      </c>
      <c r="K288" s="157">
        <v>40158</v>
      </c>
      <c r="L288" s="158">
        <v>2</v>
      </c>
    </row>
    <row r="289" spans="1:12" x14ac:dyDescent="0.25">
      <c r="A289" s="162">
        <v>38588</v>
      </c>
      <c r="B289" s="163">
        <v>1.97</v>
      </c>
      <c r="K289" s="157">
        <v>40165</v>
      </c>
      <c r="L289" s="158">
        <v>1.98</v>
      </c>
    </row>
    <row r="290" spans="1:12" x14ac:dyDescent="0.25">
      <c r="A290" s="162">
        <v>38589</v>
      </c>
      <c r="B290" s="163">
        <v>1.94</v>
      </c>
      <c r="K290" s="157">
        <v>40172</v>
      </c>
      <c r="L290" s="158">
        <v>2.08</v>
      </c>
    </row>
    <row r="291" spans="1:12" x14ac:dyDescent="0.25">
      <c r="A291" s="162">
        <v>38590</v>
      </c>
      <c r="B291" s="163">
        <v>1.94</v>
      </c>
      <c r="K291" s="157">
        <v>40179</v>
      </c>
      <c r="L291" s="158">
        <v>2.06</v>
      </c>
    </row>
    <row r="292" spans="1:12" x14ac:dyDescent="0.25">
      <c r="A292" s="162">
        <v>38593</v>
      </c>
      <c r="B292" s="163">
        <v>1.92</v>
      </c>
      <c r="K292" s="157">
        <v>40186</v>
      </c>
      <c r="L292" s="158">
        <v>2.0099999999999998</v>
      </c>
    </row>
    <row r="293" spans="1:12" x14ac:dyDescent="0.25">
      <c r="A293" s="162">
        <v>38594</v>
      </c>
      <c r="B293" s="163">
        <v>1.9</v>
      </c>
      <c r="K293" s="157">
        <v>40193</v>
      </c>
      <c r="L293" s="158">
        <v>2.0099999999999998</v>
      </c>
    </row>
    <row r="294" spans="1:12" x14ac:dyDescent="0.25">
      <c r="A294" s="162">
        <v>38595</v>
      </c>
      <c r="B294" s="163">
        <v>1.87</v>
      </c>
      <c r="K294" s="157">
        <v>40200</v>
      </c>
      <c r="L294" s="158">
        <v>1.98</v>
      </c>
    </row>
    <row r="295" spans="1:12" x14ac:dyDescent="0.25">
      <c r="A295" s="162">
        <v>38596</v>
      </c>
      <c r="B295" s="163">
        <v>1.85</v>
      </c>
      <c r="K295" s="157">
        <v>40207</v>
      </c>
      <c r="L295" s="158">
        <v>1.98</v>
      </c>
    </row>
    <row r="296" spans="1:12" x14ac:dyDescent="0.25">
      <c r="A296" s="162">
        <v>38597</v>
      </c>
      <c r="B296" s="163">
        <v>1.84</v>
      </c>
      <c r="K296" s="157">
        <v>40214</v>
      </c>
      <c r="L296" s="158">
        <v>1.94</v>
      </c>
    </row>
    <row r="297" spans="1:12" x14ac:dyDescent="0.25">
      <c r="A297" s="162">
        <v>38600</v>
      </c>
      <c r="B297" s="163" t="e">
        <f>NA()</f>
        <v>#N/A</v>
      </c>
      <c r="K297" s="157">
        <v>40221</v>
      </c>
      <c r="L297" s="158">
        <v>2.06</v>
      </c>
    </row>
    <row r="298" spans="1:12" x14ac:dyDescent="0.25">
      <c r="A298" s="162">
        <v>38601</v>
      </c>
      <c r="B298" s="163">
        <v>1.92</v>
      </c>
      <c r="K298" s="157">
        <v>40228</v>
      </c>
      <c r="L298" s="158">
        <v>2.12</v>
      </c>
    </row>
    <row r="299" spans="1:12" x14ac:dyDescent="0.25">
      <c r="A299" s="162">
        <v>38602</v>
      </c>
      <c r="B299" s="163">
        <v>1.96</v>
      </c>
      <c r="K299" s="157">
        <v>40235</v>
      </c>
      <c r="L299" s="158">
        <v>2.0099999999999998</v>
      </c>
    </row>
    <row r="300" spans="1:12" x14ac:dyDescent="0.25">
      <c r="A300" s="162">
        <v>38603</v>
      </c>
      <c r="B300" s="163">
        <v>1.94</v>
      </c>
      <c r="K300" s="157">
        <v>40242</v>
      </c>
      <c r="L300" s="158">
        <v>1.98</v>
      </c>
    </row>
    <row r="301" spans="1:12" x14ac:dyDescent="0.25">
      <c r="A301" s="162">
        <v>38604</v>
      </c>
      <c r="B301" s="164">
        <v>1.91</v>
      </c>
      <c r="K301" s="157">
        <v>40249</v>
      </c>
      <c r="L301" s="158">
        <v>1.99</v>
      </c>
    </row>
    <row r="302" spans="1:12" x14ac:dyDescent="0.25">
      <c r="A302" s="162">
        <v>38607</v>
      </c>
      <c r="B302" s="163">
        <v>1.94</v>
      </c>
      <c r="K302" s="157">
        <v>40256</v>
      </c>
      <c r="L302" s="158">
        <v>1.92</v>
      </c>
    </row>
    <row r="303" spans="1:12" x14ac:dyDescent="0.25">
      <c r="A303" s="162">
        <v>38608</v>
      </c>
      <c r="B303" s="163">
        <v>1.91</v>
      </c>
      <c r="K303" s="157">
        <v>40263</v>
      </c>
      <c r="L303" s="158">
        <v>1.99</v>
      </c>
    </row>
    <row r="304" spans="1:12" x14ac:dyDescent="0.25">
      <c r="A304" s="162">
        <v>38609</v>
      </c>
      <c r="B304" s="163">
        <v>1.92</v>
      </c>
      <c r="K304" s="157">
        <v>40270</v>
      </c>
      <c r="L304" s="158">
        <v>2.04</v>
      </c>
    </row>
    <row r="305" spans="1:12" x14ac:dyDescent="0.25">
      <c r="A305" s="162">
        <v>38610</v>
      </c>
      <c r="B305" s="163">
        <v>1.96</v>
      </c>
      <c r="K305" s="157">
        <v>40277</v>
      </c>
      <c r="L305" s="158">
        <v>2.04</v>
      </c>
    </row>
    <row r="306" spans="1:12" x14ac:dyDescent="0.25">
      <c r="A306" s="162">
        <v>38611</v>
      </c>
      <c r="B306" s="163">
        <v>1.97</v>
      </c>
      <c r="K306" s="157">
        <v>40284</v>
      </c>
      <c r="L306" s="158">
        <v>1.89</v>
      </c>
    </row>
    <row r="307" spans="1:12" x14ac:dyDescent="0.25">
      <c r="A307" s="162">
        <v>38614</v>
      </c>
      <c r="B307" s="163">
        <v>1.94</v>
      </c>
      <c r="K307" s="157">
        <v>40291</v>
      </c>
      <c r="L307" s="158">
        <v>1.85</v>
      </c>
    </row>
    <row r="308" spans="1:12" x14ac:dyDescent="0.25">
      <c r="A308" s="162">
        <v>38615</v>
      </c>
      <c r="B308" s="163">
        <v>1.95</v>
      </c>
      <c r="K308" s="157">
        <v>40298</v>
      </c>
      <c r="L308" s="158">
        <v>1.76</v>
      </c>
    </row>
    <row r="309" spans="1:12" x14ac:dyDescent="0.25">
      <c r="A309" s="162">
        <v>38616</v>
      </c>
      <c r="B309" s="163">
        <v>1.91</v>
      </c>
      <c r="K309" s="157">
        <v>40305</v>
      </c>
      <c r="L309" s="158">
        <v>1.68</v>
      </c>
    </row>
    <row r="310" spans="1:12" x14ac:dyDescent="0.25">
      <c r="A310" s="162">
        <v>38617</v>
      </c>
      <c r="B310" s="163">
        <v>1.9</v>
      </c>
      <c r="K310" s="157">
        <v>40312</v>
      </c>
      <c r="L310" s="158">
        <v>1.72</v>
      </c>
    </row>
    <row r="311" spans="1:12" x14ac:dyDescent="0.25">
      <c r="A311" s="162">
        <v>38618</v>
      </c>
      <c r="B311" s="163">
        <v>1.95</v>
      </c>
      <c r="K311" s="157">
        <v>40319</v>
      </c>
      <c r="L311" s="158">
        <v>1.74</v>
      </c>
    </row>
    <row r="312" spans="1:12" x14ac:dyDescent="0.25">
      <c r="A312" s="162">
        <v>38621</v>
      </c>
      <c r="B312" s="163">
        <v>1.99</v>
      </c>
      <c r="K312" s="157">
        <v>40326</v>
      </c>
      <c r="L312" s="158">
        <v>1.76</v>
      </c>
    </row>
    <row r="313" spans="1:12" x14ac:dyDescent="0.25">
      <c r="A313" s="162">
        <v>38622</v>
      </c>
      <c r="B313" s="163">
        <v>1.95</v>
      </c>
      <c r="K313" s="157">
        <v>40333</v>
      </c>
      <c r="L313" s="158">
        <v>1.73</v>
      </c>
    </row>
    <row r="314" spans="1:12" x14ac:dyDescent="0.25">
      <c r="A314" s="162">
        <v>38623</v>
      </c>
      <c r="B314" s="163">
        <v>1.9</v>
      </c>
      <c r="K314" s="157">
        <v>40340</v>
      </c>
      <c r="L314" s="158">
        <v>1.69</v>
      </c>
    </row>
    <row r="315" spans="1:12" x14ac:dyDescent="0.25">
      <c r="A315" s="162">
        <v>38624</v>
      </c>
      <c r="B315" s="163">
        <v>1.93</v>
      </c>
      <c r="K315" s="157">
        <v>40347</v>
      </c>
      <c r="L315" s="158">
        <v>1.7</v>
      </c>
    </row>
    <row r="316" spans="1:12" x14ac:dyDescent="0.25">
      <c r="A316" s="162">
        <v>38625</v>
      </c>
      <c r="B316" s="163">
        <v>1.95</v>
      </c>
      <c r="K316" s="157">
        <v>40354</v>
      </c>
      <c r="L316" s="158">
        <v>1.67</v>
      </c>
    </row>
    <row r="317" spans="1:12" x14ac:dyDescent="0.25">
      <c r="A317" s="162">
        <v>38628</v>
      </c>
      <c r="B317" s="163">
        <v>2.02</v>
      </c>
      <c r="K317" s="157">
        <v>40361</v>
      </c>
      <c r="L317" s="158">
        <v>1.67</v>
      </c>
    </row>
    <row r="318" spans="1:12" x14ac:dyDescent="0.25">
      <c r="A318" s="162">
        <v>38629</v>
      </c>
      <c r="B318" s="163">
        <v>2.0099999999999998</v>
      </c>
      <c r="K318" s="157">
        <v>40368</v>
      </c>
      <c r="L318" s="158">
        <v>1.76</v>
      </c>
    </row>
    <row r="319" spans="1:12" x14ac:dyDescent="0.25">
      <c r="A319" s="162">
        <v>38630</v>
      </c>
      <c r="B319" s="163">
        <v>2</v>
      </c>
      <c r="K319" s="157">
        <v>40375</v>
      </c>
      <c r="L319" s="158">
        <v>1.79</v>
      </c>
    </row>
    <row r="320" spans="1:12" x14ac:dyDescent="0.25">
      <c r="A320" s="162">
        <v>38631</v>
      </c>
      <c r="B320" s="163">
        <v>2.06</v>
      </c>
      <c r="K320" s="157">
        <v>40382</v>
      </c>
      <c r="L320" s="158">
        <v>1.82</v>
      </c>
    </row>
    <row r="321" spans="1:12" x14ac:dyDescent="0.25">
      <c r="A321" s="162">
        <v>38632</v>
      </c>
      <c r="B321" s="163">
        <v>2.0299999999999998</v>
      </c>
      <c r="K321" s="157">
        <v>40389</v>
      </c>
      <c r="L321" s="158">
        <v>1.84</v>
      </c>
    </row>
    <row r="322" spans="1:12" x14ac:dyDescent="0.25">
      <c r="A322" s="162">
        <v>38635</v>
      </c>
      <c r="B322" s="163" t="e">
        <f>NA()</f>
        <v>#N/A</v>
      </c>
      <c r="K322" s="157">
        <v>40396</v>
      </c>
      <c r="L322" s="158">
        <v>1.74</v>
      </c>
    </row>
    <row r="323" spans="1:12" x14ac:dyDescent="0.25">
      <c r="A323" s="162">
        <v>38636</v>
      </c>
      <c r="B323" s="163">
        <v>2.0499999999999998</v>
      </c>
      <c r="K323" s="157">
        <v>40403</v>
      </c>
      <c r="L323" s="158">
        <v>1.69</v>
      </c>
    </row>
    <row r="324" spans="1:12" x14ac:dyDescent="0.25">
      <c r="A324" s="162">
        <v>38637</v>
      </c>
      <c r="B324" s="163">
        <v>2.1</v>
      </c>
      <c r="K324" s="157">
        <v>40410</v>
      </c>
      <c r="L324" s="158">
        <v>1.66</v>
      </c>
    </row>
    <row r="325" spans="1:12" x14ac:dyDescent="0.25">
      <c r="A325" s="162">
        <v>38638</v>
      </c>
      <c r="B325" s="163">
        <v>2.12</v>
      </c>
      <c r="K325" s="157">
        <v>40417</v>
      </c>
      <c r="L325" s="158">
        <v>1.57</v>
      </c>
    </row>
    <row r="326" spans="1:12" x14ac:dyDescent="0.25">
      <c r="A326" s="162">
        <v>38639</v>
      </c>
      <c r="B326" s="164">
        <v>2.1</v>
      </c>
      <c r="K326" s="157">
        <v>40424</v>
      </c>
      <c r="L326" s="158">
        <v>1.59</v>
      </c>
    </row>
    <row r="327" spans="1:12" x14ac:dyDescent="0.25">
      <c r="A327" s="162">
        <v>38642</v>
      </c>
      <c r="B327" s="163">
        <v>2.11</v>
      </c>
      <c r="K327" s="157">
        <v>40431</v>
      </c>
      <c r="L327" s="158">
        <v>1.65</v>
      </c>
    </row>
    <row r="328" spans="1:12" x14ac:dyDescent="0.25">
      <c r="A328" s="162">
        <v>38643</v>
      </c>
      <c r="B328" s="163">
        <v>2.08</v>
      </c>
      <c r="K328" s="157">
        <v>40438</v>
      </c>
      <c r="L328" s="158">
        <v>1.67</v>
      </c>
    </row>
    <row r="329" spans="1:12" x14ac:dyDescent="0.25">
      <c r="A329" s="162">
        <v>38644</v>
      </c>
      <c r="B329" s="163">
        <v>2.11</v>
      </c>
      <c r="K329" s="157">
        <v>40445</v>
      </c>
      <c r="L329" s="158">
        <v>1.49</v>
      </c>
    </row>
    <row r="330" spans="1:12" x14ac:dyDescent="0.25">
      <c r="A330" s="162">
        <v>38645</v>
      </c>
      <c r="B330" s="163">
        <v>2.09</v>
      </c>
      <c r="K330" s="157">
        <v>40452</v>
      </c>
      <c r="L330" s="158">
        <v>1.49</v>
      </c>
    </row>
    <row r="331" spans="1:12" x14ac:dyDescent="0.25">
      <c r="A331" s="162">
        <v>38646</v>
      </c>
      <c r="B331" s="163">
        <v>2.0699999999999998</v>
      </c>
      <c r="K331" s="157">
        <v>40459</v>
      </c>
      <c r="L331" s="158">
        <v>1.36</v>
      </c>
    </row>
    <row r="332" spans="1:12" x14ac:dyDescent="0.25">
      <c r="A332" s="162">
        <v>38649</v>
      </c>
      <c r="B332" s="163">
        <v>2.11</v>
      </c>
      <c r="K332" s="157">
        <v>40466</v>
      </c>
      <c r="L332" s="158">
        <v>1.28</v>
      </c>
    </row>
    <row r="333" spans="1:12" x14ac:dyDescent="0.25">
      <c r="A333" s="162">
        <v>38650</v>
      </c>
      <c r="B333" s="163">
        <v>2.1800000000000002</v>
      </c>
      <c r="K333" s="157">
        <v>40473</v>
      </c>
      <c r="L333" s="158">
        <v>1.28</v>
      </c>
    </row>
    <row r="334" spans="1:12" x14ac:dyDescent="0.25">
      <c r="A334" s="162">
        <v>38651</v>
      </c>
      <c r="B334" s="163">
        <v>2.21</v>
      </c>
      <c r="K334" s="157">
        <v>40480</v>
      </c>
      <c r="L334" s="158">
        <v>1.33</v>
      </c>
    </row>
    <row r="335" spans="1:12" x14ac:dyDescent="0.25">
      <c r="A335" s="162">
        <v>38652</v>
      </c>
      <c r="B335" s="163">
        <v>2.15</v>
      </c>
      <c r="K335" s="157">
        <v>40487</v>
      </c>
      <c r="L335" s="158">
        <v>1.22</v>
      </c>
    </row>
    <row r="336" spans="1:12" x14ac:dyDescent="0.25">
      <c r="A336" s="162">
        <v>38653</v>
      </c>
      <c r="B336" s="163">
        <v>2.14</v>
      </c>
      <c r="K336" s="157">
        <v>40494</v>
      </c>
      <c r="L336" s="158">
        <v>1.37</v>
      </c>
    </row>
    <row r="337" spans="1:12" x14ac:dyDescent="0.25">
      <c r="A337" s="162">
        <v>38656</v>
      </c>
      <c r="B337" s="163">
        <v>2.13</v>
      </c>
      <c r="K337" s="157">
        <v>40501</v>
      </c>
      <c r="L337" s="158">
        <v>1.64</v>
      </c>
    </row>
    <row r="338" spans="1:12" x14ac:dyDescent="0.25">
      <c r="A338" s="162">
        <v>38657</v>
      </c>
      <c r="B338" s="163">
        <v>2.14</v>
      </c>
      <c r="K338" s="157">
        <v>40508</v>
      </c>
      <c r="L338" s="158">
        <v>1.5</v>
      </c>
    </row>
    <row r="339" spans="1:12" x14ac:dyDescent="0.25">
      <c r="A339" s="162">
        <v>38658</v>
      </c>
      <c r="B339" s="163">
        <v>2.15</v>
      </c>
      <c r="K339" s="157">
        <v>40515</v>
      </c>
      <c r="L339" s="158">
        <v>1.53</v>
      </c>
    </row>
    <row r="340" spans="1:12" x14ac:dyDescent="0.25">
      <c r="A340" s="162">
        <v>38659</v>
      </c>
      <c r="B340" s="163">
        <v>2.1800000000000002</v>
      </c>
      <c r="K340" s="157">
        <v>40522</v>
      </c>
      <c r="L340" s="158">
        <v>1.68</v>
      </c>
    </row>
    <row r="341" spans="1:12" x14ac:dyDescent="0.25">
      <c r="A341" s="162">
        <v>38660</v>
      </c>
      <c r="B341" s="163">
        <v>2.2000000000000002</v>
      </c>
      <c r="K341" s="157">
        <v>40529</v>
      </c>
      <c r="L341" s="158">
        <v>1.74</v>
      </c>
    </row>
    <row r="342" spans="1:12" x14ac:dyDescent="0.25">
      <c r="A342" s="162">
        <v>38663</v>
      </c>
      <c r="B342" s="163">
        <v>2.16</v>
      </c>
      <c r="K342" s="157">
        <v>40536</v>
      </c>
      <c r="L342" s="158">
        <v>1.65</v>
      </c>
    </row>
    <row r="343" spans="1:12" x14ac:dyDescent="0.25">
      <c r="A343" s="162">
        <v>38664</v>
      </c>
      <c r="B343" s="163">
        <v>2.13</v>
      </c>
      <c r="K343" s="157">
        <v>40543</v>
      </c>
      <c r="L343" s="158">
        <v>1.66</v>
      </c>
    </row>
    <row r="344" spans="1:12" x14ac:dyDescent="0.25">
      <c r="A344" s="162">
        <v>38665</v>
      </c>
      <c r="B344" s="163">
        <v>2.19</v>
      </c>
      <c r="K344" s="157">
        <v>40550</v>
      </c>
      <c r="L344" s="158">
        <v>1.65</v>
      </c>
    </row>
    <row r="345" spans="1:12" x14ac:dyDescent="0.25">
      <c r="A345" s="162">
        <v>38666</v>
      </c>
      <c r="B345" s="163">
        <v>2.15</v>
      </c>
      <c r="K345" s="157">
        <v>40557</v>
      </c>
      <c r="L345" s="158">
        <v>1.63</v>
      </c>
    </row>
    <row r="346" spans="1:12" x14ac:dyDescent="0.25">
      <c r="A346" s="162">
        <v>38667</v>
      </c>
      <c r="B346" s="163" t="e">
        <f>NA()</f>
        <v>#N/A</v>
      </c>
      <c r="K346" s="157">
        <v>40564</v>
      </c>
      <c r="L346" s="158">
        <v>1.72</v>
      </c>
    </row>
    <row r="347" spans="1:12" x14ac:dyDescent="0.25">
      <c r="A347" s="162">
        <v>38670</v>
      </c>
      <c r="B347" s="163">
        <v>2.21</v>
      </c>
      <c r="K347" s="157">
        <v>40571</v>
      </c>
      <c r="L347" s="158">
        <v>1.79</v>
      </c>
    </row>
    <row r="348" spans="1:12" x14ac:dyDescent="0.25">
      <c r="A348" s="162">
        <v>38671</v>
      </c>
      <c r="B348" s="163">
        <v>2.16</v>
      </c>
      <c r="K348" s="157">
        <v>40578</v>
      </c>
      <c r="L348" s="158">
        <v>1.84</v>
      </c>
    </row>
    <row r="349" spans="1:12" x14ac:dyDescent="0.25">
      <c r="A349" s="162">
        <v>38672</v>
      </c>
      <c r="B349" s="163">
        <v>2.12</v>
      </c>
      <c r="K349" s="157">
        <v>40585</v>
      </c>
      <c r="L349" s="158">
        <v>1.94</v>
      </c>
    </row>
    <row r="350" spans="1:12" x14ac:dyDescent="0.25">
      <c r="A350" s="162">
        <v>38673</v>
      </c>
      <c r="B350" s="164">
        <v>2.1</v>
      </c>
      <c r="K350" s="157">
        <v>40592</v>
      </c>
      <c r="L350" s="158">
        <v>1.91</v>
      </c>
    </row>
    <row r="351" spans="1:12" x14ac:dyDescent="0.25">
      <c r="A351" s="162">
        <v>38674</v>
      </c>
      <c r="B351" s="163">
        <v>2.15</v>
      </c>
      <c r="K351" s="157">
        <v>40599</v>
      </c>
      <c r="L351" s="158">
        <v>1.72</v>
      </c>
    </row>
    <row r="352" spans="1:12" x14ac:dyDescent="0.25">
      <c r="A352" s="162">
        <v>38677</v>
      </c>
      <c r="B352" s="163">
        <v>2.14</v>
      </c>
      <c r="K352" s="157">
        <v>40606</v>
      </c>
      <c r="L352" s="158">
        <v>1.65</v>
      </c>
    </row>
    <row r="353" spans="1:12" x14ac:dyDescent="0.25">
      <c r="A353" s="162">
        <v>38678</v>
      </c>
      <c r="B353" s="163">
        <v>2.13</v>
      </c>
      <c r="K353" s="157">
        <v>40613</v>
      </c>
      <c r="L353" s="158">
        <v>1.6</v>
      </c>
    </row>
    <row r="354" spans="1:12" x14ac:dyDescent="0.25">
      <c r="A354" s="162">
        <v>38679</v>
      </c>
      <c r="B354" s="163">
        <v>2.1800000000000002</v>
      </c>
      <c r="K354" s="157">
        <v>40620</v>
      </c>
      <c r="L354" s="158">
        <v>1.52</v>
      </c>
    </row>
    <row r="355" spans="1:12" x14ac:dyDescent="0.25">
      <c r="A355" s="162">
        <v>38680</v>
      </c>
      <c r="B355" s="163" t="e">
        <f>NA()</f>
        <v>#N/A</v>
      </c>
      <c r="K355" s="157">
        <v>40627</v>
      </c>
      <c r="L355" s="158">
        <v>1.56</v>
      </c>
    </row>
    <row r="356" spans="1:12" x14ac:dyDescent="0.25">
      <c r="A356" s="162">
        <v>38681</v>
      </c>
      <c r="B356" s="163">
        <v>2.15</v>
      </c>
      <c r="K356" s="157">
        <v>40634</v>
      </c>
      <c r="L356" s="158">
        <v>1.58</v>
      </c>
    </row>
    <row r="357" spans="1:12" x14ac:dyDescent="0.25">
      <c r="A357" s="162">
        <v>38684</v>
      </c>
      <c r="B357" s="163">
        <v>2.13</v>
      </c>
      <c r="K357" s="157">
        <v>40641</v>
      </c>
      <c r="L357" s="158">
        <v>1.56</v>
      </c>
    </row>
    <row r="358" spans="1:12" x14ac:dyDescent="0.25">
      <c r="A358" s="162">
        <v>38685</v>
      </c>
      <c r="B358" s="163">
        <v>2.1800000000000002</v>
      </c>
      <c r="K358" s="157">
        <v>40648</v>
      </c>
      <c r="L358" s="158">
        <v>1.48</v>
      </c>
    </row>
    <row r="359" spans="1:12" x14ac:dyDescent="0.25">
      <c r="A359" s="162">
        <v>38686</v>
      </c>
      <c r="B359" s="164">
        <v>2.17</v>
      </c>
      <c r="K359" s="157">
        <v>40655</v>
      </c>
      <c r="L359" s="158">
        <v>1.41</v>
      </c>
    </row>
    <row r="360" spans="1:12" x14ac:dyDescent="0.25">
      <c r="A360" s="162">
        <v>38687</v>
      </c>
      <c r="B360" s="163">
        <v>2.21</v>
      </c>
      <c r="K360" s="157">
        <v>40662</v>
      </c>
      <c r="L360" s="158">
        <v>1.44</v>
      </c>
    </row>
    <row r="361" spans="1:12" x14ac:dyDescent="0.25">
      <c r="A361" s="162">
        <v>38688</v>
      </c>
      <c r="B361" s="163">
        <v>2.21</v>
      </c>
      <c r="K361" s="157">
        <v>40669</v>
      </c>
      <c r="L361" s="158">
        <v>1.4</v>
      </c>
    </row>
    <row r="362" spans="1:12" x14ac:dyDescent="0.25">
      <c r="A362" s="162">
        <v>38691</v>
      </c>
      <c r="B362" s="163">
        <v>2.2200000000000002</v>
      </c>
      <c r="K362" s="157">
        <v>40676</v>
      </c>
      <c r="L362" s="158">
        <v>1.44</v>
      </c>
    </row>
    <row r="363" spans="1:12" x14ac:dyDescent="0.25">
      <c r="A363" s="162">
        <v>38692</v>
      </c>
      <c r="B363" s="163">
        <v>2.1800000000000002</v>
      </c>
      <c r="K363" s="157">
        <v>40683</v>
      </c>
      <c r="L363" s="158">
        <v>1.53</v>
      </c>
    </row>
    <row r="364" spans="1:12" x14ac:dyDescent="0.25">
      <c r="A364" s="162">
        <v>38693</v>
      </c>
      <c r="B364" s="163">
        <v>2.23</v>
      </c>
      <c r="K364" s="157">
        <v>40690</v>
      </c>
      <c r="L364" s="158">
        <v>1.51</v>
      </c>
    </row>
    <row r="365" spans="1:12" x14ac:dyDescent="0.25">
      <c r="A365" s="162">
        <v>38694</v>
      </c>
      <c r="B365" s="163">
        <v>2.19</v>
      </c>
      <c r="K365" s="157">
        <v>40697</v>
      </c>
      <c r="L365" s="158">
        <v>1.52</v>
      </c>
    </row>
    <row r="366" spans="1:12" x14ac:dyDescent="0.25">
      <c r="A366" s="162">
        <v>38695</v>
      </c>
      <c r="B366" s="163">
        <v>2.23</v>
      </c>
      <c r="K366" s="157">
        <v>40704</v>
      </c>
      <c r="L366" s="158">
        <v>1.61</v>
      </c>
    </row>
    <row r="367" spans="1:12" x14ac:dyDescent="0.25">
      <c r="A367" s="162">
        <v>38698</v>
      </c>
      <c r="B367" s="163">
        <v>2.2200000000000002</v>
      </c>
      <c r="K367" s="157">
        <v>40711</v>
      </c>
      <c r="L367" s="158">
        <v>1.55</v>
      </c>
    </row>
    <row r="368" spans="1:12" x14ac:dyDescent="0.25">
      <c r="A368" s="162">
        <v>38699</v>
      </c>
      <c r="B368" s="163">
        <v>2.21</v>
      </c>
      <c r="K368" s="157">
        <v>40718</v>
      </c>
      <c r="L368" s="158">
        <v>1.49</v>
      </c>
    </row>
    <row r="369" spans="1:12" x14ac:dyDescent="0.25">
      <c r="A369" s="162">
        <v>38700</v>
      </c>
      <c r="B369" s="163">
        <v>2.15</v>
      </c>
      <c r="K369" s="157">
        <v>40725</v>
      </c>
      <c r="L369" s="158">
        <v>1.46</v>
      </c>
    </row>
    <row r="370" spans="1:12" x14ac:dyDescent="0.25">
      <c r="A370" s="162">
        <v>38701</v>
      </c>
      <c r="B370" s="163">
        <v>2.16</v>
      </c>
      <c r="K370" s="157">
        <v>40732</v>
      </c>
      <c r="L370" s="158">
        <v>1.48</v>
      </c>
    </row>
    <row r="371" spans="1:12" x14ac:dyDescent="0.25">
      <c r="A371" s="162">
        <v>38702</v>
      </c>
      <c r="B371" s="163">
        <v>2.14</v>
      </c>
      <c r="K371" s="157">
        <v>40739</v>
      </c>
      <c r="L371" s="158">
        <v>1.35</v>
      </c>
    </row>
    <row r="372" spans="1:12" x14ac:dyDescent="0.25">
      <c r="A372" s="162">
        <v>38705</v>
      </c>
      <c r="B372" s="163">
        <v>2.12</v>
      </c>
      <c r="K372" s="157">
        <v>40746</v>
      </c>
      <c r="L372" s="158">
        <v>1.35</v>
      </c>
    </row>
    <row r="373" spans="1:12" x14ac:dyDescent="0.25">
      <c r="A373" s="162">
        <v>38706</v>
      </c>
      <c r="B373" s="163">
        <v>2.12</v>
      </c>
      <c r="K373" s="157">
        <v>40753</v>
      </c>
      <c r="L373" s="158">
        <v>1.27</v>
      </c>
    </row>
    <row r="374" spans="1:12" x14ac:dyDescent="0.25">
      <c r="A374" s="162">
        <v>38707</v>
      </c>
      <c r="B374" s="163">
        <v>2.12</v>
      </c>
      <c r="K374" s="157">
        <v>40760</v>
      </c>
      <c r="L374" s="158">
        <v>1</v>
      </c>
    </row>
    <row r="375" spans="1:12" x14ac:dyDescent="0.25">
      <c r="A375" s="162">
        <v>38708</v>
      </c>
      <c r="B375" s="163">
        <v>2.09</v>
      </c>
      <c r="K375" s="157">
        <v>40767</v>
      </c>
      <c r="L375" s="158">
        <v>0.8</v>
      </c>
    </row>
    <row r="376" spans="1:12" x14ac:dyDescent="0.25">
      <c r="A376" s="162">
        <v>38709</v>
      </c>
      <c r="B376" s="163">
        <v>2.04</v>
      </c>
      <c r="K376" s="157">
        <v>40774</v>
      </c>
      <c r="L376" s="158">
        <v>0.69</v>
      </c>
    </row>
    <row r="377" spans="1:12" x14ac:dyDescent="0.25">
      <c r="A377" s="162">
        <v>38712</v>
      </c>
      <c r="B377" s="163" t="e">
        <f>NA()</f>
        <v>#N/A</v>
      </c>
      <c r="K377" s="157">
        <v>40781</v>
      </c>
      <c r="L377" s="158">
        <v>0.75</v>
      </c>
    </row>
    <row r="378" spans="1:12" x14ac:dyDescent="0.25">
      <c r="A378" s="162">
        <v>38713</v>
      </c>
      <c r="B378" s="163">
        <v>2.0099999999999998</v>
      </c>
      <c r="K378" s="157">
        <v>40788</v>
      </c>
      <c r="L378" s="158">
        <v>0.75</v>
      </c>
    </row>
    <row r="379" spans="1:12" x14ac:dyDescent="0.25">
      <c r="A379" s="162">
        <v>38714</v>
      </c>
      <c r="B379" s="163">
        <v>2.0499999999999998</v>
      </c>
      <c r="K379" s="157">
        <v>40795</v>
      </c>
      <c r="L379" s="158">
        <v>0.66</v>
      </c>
    </row>
    <row r="380" spans="1:12" x14ac:dyDescent="0.25">
      <c r="A380" s="162">
        <v>38715</v>
      </c>
      <c r="B380" s="163">
        <v>2.04</v>
      </c>
      <c r="K380" s="157">
        <v>40802</v>
      </c>
      <c r="L380" s="158">
        <v>0.72</v>
      </c>
    </row>
    <row r="381" spans="1:12" x14ac:dyDescent="0.25">
      <c r="A381" s="162">
        <v>38716</v>
      </c>
      <c r="B381" s="164">
        <v>2.04</v>
      </c>
      <c r="K381" s="157">
        <v>40809</v>
      </c>
      <c r="L381" s="158">
        <v>0.66</v>
      </c>
    </row>
    <row r="382" spans="1:12" x14ac:dyDescent="0.25">
      <c r="A382" s="162">
        <v>38719</v>
      </c>
      <c r="B382" s="163" t="e">
        <f>NA()</f>
        <v>#N/A</v>
      </c>
      <c r="K382" s="157">
        <v>40816</v>
      </c>
      <c r="L382" s="158">
        <v>0.73</v>
      </c>
    </row>
    <row r="383" spans="1:12" x14ac:dyDescent="0.25">
      <c r="A383" s="162">
        <v>38720</v>
      </c>
      <c r="B383" s="163">
        <v>2.06</v>
      </c>
      <c r="K383" s="157">
        <v>40823</v>
      </c>
      <c r="L383" s="158">
        <v>0.62</v>
      </c>
    </row>
    <row r="384" spans="1:12" x14ac:dyDescent="0.25">
      <c r="A384" s="162">
        <v>38721</v>
      </c>
      <c r="B384" s="163">
        <v>2.02</v>
      </c>
      <c r="K384" s="157">
        <v>40830</v>
      </c>
      <c r="L384" s="158">
        <v>0.8</v>
      </c>
    </row>
    <row r="385" spans="1:12" x14ac:dyDescent="0.25">
      <c r="A385" s="162">
        <v>38722</v>
      </c>
      <c r="B385" s="163">
        <v>2.06</v>
      </c>
      <c r="K385" s="157">
        <v>40837</v>
      </c>
      <c r="L385" s="158">
        <v>0.77</v>
      </c>
    </row>
    <row r="386" spans="1:12" x14ac:dyDescent="0.25">
      <c r="A386" s="162">
        <v>38723</v>
      </c>
      <c r="B386" s="164">
        <v>2.0699999999999998</v>
      </c>
      <c r="K386" s="157">
        <v>40844</v>
      </c>
      <c r="L386" s="158">
        <v>0.74</v>
      </c>
    </row>
    <row r="387" spans="1:12" x14ac:dyDescent="0.25">
      <c r="A387" s="162">
        <v>38726</v>
      </c>
      <c r="B387" s="163">
        <v>2.09</v>
      </c>
      <c r="K387" s="157">
        <v>40851</v>
      </c>
      <c r="L387" s="158">
        <v>0.52</v>
      </c>
    </row>
    <row r="388" spans="1:12" x14ac:dyDescent="0.25">
      <c r="A388" s="162">
        <v>38727</v>
      </c>
      <c r="B388" s="163">
        <v>2.1</v>
      </c>
      <c r="K388" s="157">
        <v>40858</v>
      </c>
      <c r="L388" s="158">
        <v>0.51</v>
      </c>
    </row>
    <row r="389" spans="1:12" x14ac:dyDescent="0.25">
      <c r="A389" s="162">
        <v>38728</v>
      </c>
      <c r="B389" s="163">
        <v>2.11</v>
      </c>
      <c r="K389" s="157">
        <v>40865</v>
      </c>
      <c r="L389" s="158">
        <v>0.59</v>
      </c>
    </row>
    <row r="390" spans="1:12" x14ac:dyDescent="0.25">
      <c r="A390" s="162">
        <v>38729</v>
      </c>
      <c r="B390" s="163">
        <v>2.06</v>
      </c>
      <c r="K390" s="157">
        <v>40872</v>
      </c>
      <c r="L390" s="158">
        <v>0.57999999999999996</v>
      </c>
    </row>
    <row r="391" spans="1:12" x14ac:dyDescent="0.25">
      <c r="A391" s="162">
        <v>38730</v>
      </c>
      <c r="B391" s="163">
        <v>2.0299999999999998</v>
      </c>
      <c r="K391" s="157">
        <v>40879</v>
      </c>
      <c r="L391" s="158">
        <v>0.56999999999999995</v>
      </c>
    </row>
    <row r="392" spans="1:12" x14ac:dyDescent="0.25">
      <c r="A392" s="162">
        <v>38733</v>
      </c>
      <c r="B392" s="163" t="e">
        <f>NA()</f>
        <v>#N/A</v>
      </c>
      <c r="K392" s="157">
        <v>40886</v>
      </c>
      <c r="L392" s="158">
        <v>0.63</v>
      </c>
    </row>
    <row r="393" spans="1:12" x14ac:dyDescent="0.25">
      <c r="A393" s="162">
        <v>38734</v>
      </c>
      <c r="B393" s="163">
        <v>2.0099999999999998</v>
      </c>
      <c r="K393" s="157">
        <v>40893</v>
      </c>
      <c r="L393" s="158">
        <v>0.55000000000000004</v>
      </c>
    </row>
    <row r="394" spans="1:12" x14ac:dyDescent="0.25">
      <c r="A394" s="162">
        <v>38735</v>
      </c>
      <c r="B394" s="163">
        <v>2.02</v>
      </c>
      <c r="K394" s="157">
        <v>40900</v>
      </c>
      <c r="L394" s="158">
        <v>0.51</v>
      </c>
    </row>
    <row r="395" spans="1:12" x14ac:dyDescent="0.25">
      <c r="A395" s="162">
        <v>38736</v>
      </c>
      <c r="B395" s="163">
        <v>2.04</v>
      </c>
      <c r="K395" s="157">
        <v>40907</v>
      </c>
      <c r="L395" s="158">
        <v>0.54</v>
      </c>
    </row>
    <row r="396" spans="1:12" x14ac:dyDescent="0.25">
      <c r="A396" s="162">
        <v>38737</v>
      </c>
      <c r="B396" s="164">
        <v>1.99</v>
      </c>
      <c r="K396" s="157">
        <v>40914</v>
      </c>
      <c r="L396" s="158">
        <v>0.52</v>
      </c>
    </row>
    <row r="397" spans="1:12" x14ac:dyDescent="0.25">
      <c r="A397" s="162">
        <v>38740</v>
      </c>
      <c r="B397" s="163">
        <v>2</v>
      </c>
      <c r="K397" s="157">
        <v>40921</v>
      </c>
      <c r="L397" s="158">
        <v>0.49</v>
      </c>
    </row>
    <row r="398" spans="1:12" x14ac:dyDescent="0.25">
      <c r="A398" s="162">
        <v>38741</v>
      </c>
      <c r="B398" s="163">
        <v>1.99</v>
      </c>
      <c r="K398" s="157">
        <v>40928</v>
      </c>
      <c r="L398" s="158">
        <v>0.52</v>
      </c>
    </row>
    <row r="399" spans="1:12" x14ac:dyDescent="0.25">
      <c r="A399" s="162">
        <v>38742</v>
      </c>
      <c r="B399" s="163">
        <v>2.1</v>
      </c>
      <c r="K399" s="157">
        <v>40935</v>
      </c>
      <c r="L399" s="158">
        <v>0.56000000000000005</v>
      </c>
    </row>
    <row r="400" spans="1:12" x14ac:dyDescent="0.25">
      <c r="A400" s="162">
        <v>38743</v>
      </c>
      <c r="B400" s="163">
        <v>2.08</v>
      </c>
      <c r="K400" s="157">
        <v>40942</v>
      </c>
      <c r="L400" s="158">
        <v>0.44</v>
      </c>
    </row>
    <row r="401" spans="1:12" x14ac:dyDescent="0.25">
      <c r="A401" s="162">
        <v>38744</v>
      </c>
      <c r="B401" s="163">
        <v>2.0499999999999998</v>
      </c>
      <c r="K401" s="157">
        <v>40949</v>
      </c>
      <c r="L401" s="158">
        <v>0.51</v>
      </c>
    </row>
    <row r="402" spans="1:12" x14ac:dyDescent="0.25">
      <c r="A402" s="162">
        <v>38747</v>
      </c>
      <c r="B402" s="163">
        <v>2.0699999999999998</v>
      </c>
      <c r="K402" s="157">
        <v>40956</v>
      </c>
      <c r="L402" s="158">
        <v>0.46</v>
      </c>
    </row>
    <row r="403" spans="1:12" x14ac:dyDescent="0.25">
      <c r="A403" s="162">
        <v>38748</v>
      </c>
      <c r="B403" s="163">
        <v>2.02</v>
      </c>
      <c r="K403" s="157">
        <v>40963</v>
      </c>
      <c r="L403" s="158">
        <v>0.41</v>
      </c>
    </row>
    <row r="404" spans="1:12" x14ac:dyDescent="0.25">
      <c r="A404" s="162">
        <v>38749</v>
      </c>
      <c r="B404" s="163">
        <v>2.0299999999999998</v>
      </c>
      <c r="K404" s="157">
        <v>40970</v>
      </c>
      <c r="L404" s="158">
        <v>0.41</v>
      </c>
    </row>
    <row r="405" spans="1:12" x14ac:dyDescent="0.25">
      <c r="A405" s="162">
        <v>38750</v>
      </c>
      <c r="B405" s="163">
        <v>2.02</v>
      </c>
      <c r="K405" s="157">
        <v>40977</v>
      </c>
      <c r="L405" s="158">
        <v>0.52</v>
      </c>
    </row>
    <row r="406" spans="1:12" x14ac:dyDescent="0.25">
      <c r="A406" s="162">
        <v>38751</v>
      </c>
      <c r="B406" s="163">
        <v>1.96</v>
      </c>
      <c r="K406" s="157">
        <v>40984</v>
      </c>
      <c r="L406" s="158">
        <v>0.56999999999999995</v>
      </c>
    </row>
    <row r="407" spans="1:12" x14ac:dyDescent="0.25">
      <c r="A407" s="162">
        <v>38754</v>
      </c>
      <c r="B407" s="163">
        <v>1.95</v>
      </c>
      <c r="K407" s="157">
        <v>40991</v>
      </c>
      <c r="L407" s="158">
        <v>0.6</v>
      </c>
    </row>
    <row r="408" spans="1:12" x14ac:dyDescent="0.25">
      <c r="A408" s="162">
        <v>38755</v>
      </c>
      <c r="B408" s="163">
        <v>1.99</v>
      </c>
      <c r="K408" s="157">
        <v>40998</v>
      </c>
      <c r="L408" s="158">
        <v>0.57999999999999996</v>
      </c>
    </row>
    <row r="409" spans="1:12" x14ac:dyDescent="0.25">
      <c r="A409" s="162">
        <v>38756</v>
      </c>
      <c r="B409" s="163">
        <v>2.02</v>
      </c>
      <c r="K409" s="157">
        <v>41005</v>
      </c>
      <c r="L409" s="158">
        <v>0.57999999999999996</v>
      </c>
    </row>
    <row r="410" spans="1:12" x14ac:dyDescent="0.25">
      <c r="A410" s="162">
        <v>38757</v>
      </c>
      <c r="B410" s="163">
        <v>1.99</v>
      </c>
      <c r="K410" s="157">
        <v>41012</v>
      </c>
      <c r="L410" s="158">
        <v>0.47</v>
      </c>
    </row>
    <row r="411" spans="1:12" x14ac:dyDescent="0.25">
      <c r="A411" s="162">
        <v>38758</v>
      </c>
      <c r="B411" s="163">
        <v>2.02</v>
      </c>
      <c r="K411" s="157">
        <v>41019</v>
      </c>
      <c r="L411" s="158">
        <v>0.46</v>
      </c>
    </row>
    <row r="412" spans="1:12" x14ac:dyDescent="0.25">
      <c r="A412" s="162">
        <v>38761</v>
      </c>
      <c r="B412" s="163">
        <v>2.02</v>
      </c>
      <c r="K412" s="157">
        <v>41026</v>
      </c>
      <c r="L412" s="158">
        <v>0.49</v>
      </c>
    </row>
    <row r="413" spans="1:12" x14ac:dyDescent="0.25">
      <c r="A413" s="162">
        <v>38762</v>
      </c>
      <c r="B413" s="163">
        <v>2.08</v>
      </c>
      <c r="K413" s="157">
        <v>41033</v>
      </c>
      <c r="L413" s="158">
        <v>0.51</v>
      </c>
    </row>
    <row r="414" spans="1:12" x14ac:dyDescent="0.25">
      <c r="A414" s="162">
        <v>38763</v>
      </c>
      <c r="B414" s="163">
        <v>2.0699999999999998</v>
      </c>
      <c r="K414" s="157">
        <v>41040</v>
      </c>
      <c r="L414" s="158">
        <v>0.6</v>
      </c>
    </row>
    <row r="415" spans="1:12" x14ac:dyDescent="0.25">
      <c r="A415" s="162">
        <v>38764</v>
      </c>
      <c r="B415" s="163">
        <v>2.04</v>
      </c>
      <c r="K415" s="157">
        <v>41047</v>
      </c>
      <c r="L415" s="158">
        <v>0.45</v>
      </c>
    </row>
    <row r="416" spans="1:12" x14ac:dyDescent="0.25">
      <c r="A416" s="162">
        <v>38765</v>
      </c>
      <c r="B416" s="163">
        <v>1.99</v>
      </c>
      <c r="K416" s="157">
        <v>41054</v>
      </c>
      <c r="L416" s="158">
        <v>0.33</v>
      </c>
    </row>
    <row r="417" spans="1:12" x14ac:dyDescent="0.25">
      <c r="A417" s="162">
        <v>38768</v>
      </c>
      <c r="B417" s="163" t="e">
        <f>NA()</f>
        <v>#N/A</v>
      </c>
      <c r="K417" s="157">
        <v>41061</v>
      </c>
      <c r="L417" s="158">
        <v>0.16</v>
      </c>
    </row>
    <row r="418" spans="1:12" x14ac:dyDescent="0.25">
      <c r="A418" s="162">
        <v>38769</v>
      </c>
      <c r="B418" s="163">
        <v>2.0099999999999998</v>
      </c>
      <c r="K418" s="157">
        <v>41068</v>
      </c>
      <c r="L418" s="158">
        <v>0.06</v>
      </c>
    </row>
    <row r="419" spans="1:12" x14ac:dyDescent="0.25">
      <c r="A419" s="162">
        <v>38770</v>
      </c>
      <c r="B419" s="163">
        <v>1.98</v>
      </c>
      <c r="K419" s="157">
        <v>41075</v>
      </c>
      <c r="L419" s="158">
        <v>0.11</v>
      </c>
    </row>
    <row r="420" spans="1:12" x14ac:dyDescent="0.25">
      <c r="A420" s="162">
        <v>38771</v>
      </c>
      <c r="B420" s="163">
        <v>2</v>
      </c>
      <c r="K420" s="157">
        <v>41082</v>
      </c>
      <c r="L420" s="158">
        <v>0.12</v>
      </c>
    </row>
    <row r="421" spans="1:12" x14ac:dyDescent="0.25">
      <c r="A421" s="162">
        <v>38772</v>
      </c>
      <c r="B421" s="164">
        <v>1.98</v>
      </c>
      <c r="K421" s="157">
        <v>41089</v>
      </c>
      <c r="L421" s="158">
        <v>0.12</v>
      </c>
    </row>
    <row r="422" spans="1:12" x14ac:dyDescent="0.25">
      <c r="A422" s="162">
        <v>38775</v>
      </c>
      <c r="B422" s="163">
        <v>2.0099999999999998</v>
      </c>
      <c r="K422" s="157">
        <v>41096</v>
      </c>
      <c r="L422" s="158">
        <v>0.11</v>
      </c>
    </row>
    <row r="423" spans="1:12" x14ac:dyDescent="0.25">
      <c r="A423" s="162">
        <v>38776</v>
      </c>
      <c r="B423" s="163">
        <v>1.98</v>
      </c>
      <c r="K423" s="157">
        <v>41103</v>
      </c>
      <c r="L423" s="158">
        <v>0.01</v>
      </c>
    </row>
    <row r="424" spans="1:12" x14ac:dyDescent="0.25">
      <c r="A424" s="162">
        <v>38777</v>
      </c>
      <c r="B424" s="163">
        <v>2</v>
      </c>
      <c r="K424" s="157">
        <v>41110</v>
      </c>
      <c r="L424" s="158">
        <v>-0.02</v>
      </c>
    </row>
    <row r="425" spans="1:12" x14ac:dyDescent="0.25">
      <c r="A425" s="162">
        <v>38778</v>
      </c>
      <c r="B425" s="163">
        <v>2.0299999999999998</v>
      </c>
      <c r="K425" s="157">
        <v>41117</v>
      </c>
      <c r="L425" s="158">
        <v>-0.08</v>
      </c>
    </row>
    <row r="426" spans="1:12" x14ac:dyDescent="0.25">
      <c r="A426" s="162">
        <v>38779</v>
      </c>
      <c r="B426" s="163">
        <v>2.04</v>
      </c>
      <c r="K426" s="157">
        <v>41124</v>
      </c>
      <c r="L426" s="158">
        <v>-7.0000000000000007E-2</v>
      </c>
    </row>
    <row r="427" spans="1:12" x14ac:dyDescent="0.25">
      <c r="A427" s="162">
        <v>38782</v>
      </c>
      <c r="B427" s="163">
        <v>2.11</v>
      </c>
      <c r="K427" s="157">
        <v>41131</v>
      </c>
      <c r="L427" s="158">
        <v>0</v>
      </c>
    </row>
    <row r="428" spans="1:12" x14ac:dyDescent="0.25">
      <c r="A428" s="162">
        <v>38783</v>
      </c>
      <c r="B428" s="163">
        <v>2.11</v>
      </c>
      <c r="K428" s="157">
        <v>41138</v>
      </c>
      <c r="L428" s="158">
        <v>0.17</v>
      </c>
    </row>
    <row r="429" spans="1:12" x14ac:dyDescent="0.25">
      <c r="A429" s="162">
        <v>38784</v>
      </c>
      <c r="B429" s="163">
        <v>2.15</v>
      </c>
      <c r="K429" s="157">
        <v>41145</v>
      </c>
      <c r="L429" s="158">
        <v>0.14000000000000001</v>
      </c>
    </row>
    <row r="430" spans="1:12" x14ac:dyDescent="0.25">
      <c r="A430" s="162">
        <v>38785</v>
      </c>
      <c r="B430" s="163">
        <v>2.15</v>
      </c>
      <c r="K430" s="157">
        <v>41152</v>
      </c>
      <c r="L430" s="158">
        <v>0.02</v>
      </c>
    </row>
    <row r="431" spans="1:12" x14ac:dyDescent="0.25">
      <c r="A431" s="162">
        <v>38786</v>
      </c>
      <c r="B431" s="163">
        <v>2.17</v>
      </c>
      <c r="K431" s="157">
        <v>41159</v>
      </c>
      <c r="L431" s="158">
        <v>0.02</v>
      </c>
    </row>
    <row r="432" spans="1:12" x14ac:dyDescent="0.25">
      <c r="A432" s="162">
        <v>38789</v>
      </c>
      <c r="B432" s="163">
        <v>2.2000000000000002</v>
      </c>
      <c r="K432" s="157">
        <v>41166</v>
      </c>
      <c r="L432" s="158">
        <v>0.04</v>
      </c>
    </row>
    <row r="433" spans="1:12" x14ac:dyDescent="0.25">
      <c r="A433" s="162">
        <v>38790</v>
      </c>
      <c r="B433" s="163">
        <v>2.15</v>
      </c>
      <c r="K433" s="157">
        <v>41173</v>
      </c>
      <c r="L433" s="158">
        <v>0.04</v>
      </c>
    </row>
    <row r="434" spans="1:12" x14ac:dyDescent="0.25">
      <c r="A434" s="162">
        <v>38791</v>
      </c>
      <c r="B434" s="163">
        <v>2.17</v>
      </c>
      <c r="K434" s="157">
        <v>41180</v>
      </c>
      <c r="L434" s="158">
        <v>0</v>
      </c>
    </row>
    <row r="435" spans="1:12" x14ac:dyDescent="0.25">
      <c r="A435" s="162">
        <v>38792</v>
      </c>
      <c r="B435" s="163">
        <v>2.13</v>
      </c>
      <c r="K435" s="157">
        <v>41187</v>
      </c>
      <c r="L435" s="158">
        <v>-0.06</v>
      </c>
    </row>
    <row r="436" spans="1:12" x14ac:dyDescent="0.25">
      <c r="A436" s="162">
        <v>38793</v>
      </c>
      <c r="B436" s="163">
        <v>2.16</v>
      </c>
      <c r="K436" s="157">
        <v>41194</v>
      </c>
      <c r="L436" s="158">
        <v>-0.03</v>
      </c>
    </row>
    <row r="437" spans="1:12" x14ac:dyDescent="0.25">
      <c r="A437" s="162">
        <v>38796</v>
      </c>
      <c r="B437" s="163">
        <v>2.15</v>
      </c>
      <c r="K437" s="157">
        <v>41201</v>
      </c>
      <c r="L437" s="158">
        <v>0.04</v>
      </c>
    </row>
    <row r="438" spans="1:12" x14ac:dyDescent="0.25">
      <c r="A438" s="162">
        <v>38797</v>
      </c>
      <c r="B438" s="163">
        <v>2.21</v>
      </c>
      <c r="K438" s="157">
        <v>41208</v>
      </c>
      <c r="L438" s="158">
        <v>0.02</v>
      </c>
    </row>
    <row r="439" spans="1:12" x14ac:dyDescent="0.25">
      <c r="A439" s="162">
        <v>38798</v>
      </c>
      <c r="B439" s="163">
        <v>2.2000000000000002</v>
      </c>
      <c r="K439" s="157">
        <v>41215</v>
      </c>
      <c r="L439" s="158">
        <v>-0.05</v>
      </c>
    </row>
    <row r="440" spans="1:12" x14ac:dyDescent="0.25">
      <c r="A440" s="162">
        <v>38799</v>
      </c>
      <c r="B440" s="163">
        <v>2.21</v>
      </c>
      <c r="K440" s="157">
        <v>41222</v>
      </c>
      <c r="L440" s="158">
        <v>-0.09</v>
      </c>
    </row>
    <row r="441" spans="1:12" x14ac:dyDescent="0.25">
      <c r="A441" s="162">
        <v>38800</v>
      </c>
      <c r="B441" s="163">
        <v>2.16</v>
      </c>
      <c r="K441" s="157">
        <v>41229</v>
      </c>
      <c r="L441" s="158">
        <v>-0.14000000000000001</v>
      </c>
    </row>
    <row r="442" spans="1:12" x14ac:dyDescent="0.25">
      <c r="A442" s="162">
        <v>38803</v>
      </c>
      <c r="B442" s="163">
        <v>2.21</v>
      </c>
      <c r="K442" s="157">
        <v>41236</v>
      </c>
      <c r="L442" s="158">
        <v>-0.03</v>
      </c>
    </row>
    <row r="443" spans="1:12" x14ac:dyDescent="0.25">
      <c r="A443" s="162">
        <v>38804</v>
      </c>
      <c r="B443" s="163">
        <v>2.2799999999999998</v>
      </c>
      <c r="K443" s="157">
        <v>41243</v>
      </c>
      <c r="L443" s="158">
        <v>0</v>
      </c>
    </row>
    <row r="444" spans="1:12" x14ac:dyDescent="0.25">
      <c r="A444" s="162">
        <v>38805</v>
      </c>
      <c r="B444" s="163">
        <v>2.31</v>
      </c>
      <c r="K444" s="157">
        <v>41250</v>
      </c>
      <c r="L444" s="158">
        <v>-0.09</v>
      </c>
    </row>
    <row r="445" spans="1:12" x14ac:dyDescent="0.25">
      <c r="A445" s="162">
        <v>38806</v>
      </c>
      <c r="B445" s="163">
        <v>2.34</v>
      </c>
      <c r="K445" s="157">
        <v>41257</v>
      </c>
      <c r="L445" s="158">
        <v>-0.04</v>
      </c>
    </row>
    <row r="446" spans="1:12" x14ac:dyDescent="0.25">
      <c r="A446" s="162">
        <v>38807</v>
      </c>
      <c r="B446" s="163">
        <v>2.33</v>
      </c>
      <c r="K446" s="157">
        <v>41264</v>
      </c>
      <c r="L446" s="158">
        <v>7.0000000000000007E-2</v>
      </c>
    </row>
    <row r="447" spans="1:12" x14ac:dyDescent="0.25">
      <c r="A447" s="162">
        <v>38810</v>
      </c>
      <c r="B447" s="163">
        <v>2.34</v>
      </c>
      <c r="K447" s="157">
        <v>41271</v>
      </c>
      <c r="L447" s="158">
        <v>0.05</v>
      </c>
    </row>
    <row r="448" spans="1:12" x14ac:dyDescent="0.25">
      <c r="A448" s="162">
        <v>38811</v>
      </c>
      <c r="B448" s="163">
        <v>2.36</v>
      </c>
      <c r="K448" s="157">
        <v>41278</v>
      </c>
      <c r="L448" s="158">
        <v>0.24</v>
      </c>
    </row>
    <row r="449" spans="1:12" x14ac:dyDescent="0.25">
      <c r="A449" s="162">
        <v>38812</v>
      </c>
      <c r="B449" s="163">
        <v>2.33</v>
      </c>
      <c r="K449" s="157">
        <v>41285</v>
      </c>
      <c r="L449" s="158">
        <v>0.18</v>
      </c>
    </row>
    <row r="450" spans="1:12" x14ac:dyDescent="0.25">
      <c r="A450" s="162">
        <v>38813</v>
      </c>
      <c r="B450" s="163">
        <v>2.37</v>
      </c>
      <c r="K450" s="157">
        <v>41292</v>
      </c>
      <c r="L450" s="158">
        <v>0.16</v>
      </c>
    </row>
    <row r="451" spans="1:12" x14ac:dyDescent="0.25">
      <c r="A451" s="162">
        <v>38814</v>
      </c>
      <c r="B451" s="163">
        <v>2.4300000000000002</v>
      </c>
      <c r="K451" s="157">
        <v>41299</v>
      </c>
      <c r="L451" s="158">
        <v>0.19</v>
      </c>
    </row>
    <row r="452" spans="1:12" x14ac:dyDescent="0.25">
      <c r="A452" s="162">
        <v>38817</v>
      </c>
      <c r="B452" s="163">
        <v>2.42</v>
      </c>
      <c r="K452" s="157">
        <v>41306</v>
      </c>
      <c r="L452" s="158">
        <v>0.23</v>
      </c>
    </row>
    <row r="453" spans="1:12" x14ac:dyDescent="0.25">
      <c r="A453" s="162">
        <v>38818</v>
      </c>
      <c r="B453" s="163">
        <v>2.39</v>
      </c>
      <c r="K453" s="157">
        <v>41313</v>
      </c>
      <c r="L453" s="158">
        <v>0.2</v>
      </c>
    </row>
    <row r="454" spans="1:12" x14ac:dyDescent="0.25">
      <c r="A454" s="162">
        <v>38819</v>
      </c>
      <c r="B454" s="163">
        <v>2.44</v>
      </c>
      <c r="K454" s="157">
        <v>41320</v>
      </c>
      <c r="L454" s="158">
        <v>0.21</v>
      </c>
    </row>
    <row r="455" spans="1:12" x14ac:dyDescent="0.25">
      <c r="A455" s="162">
        <v>38820</v>
      </c>
      <c r="B455" s="163">
        <v>2.5</v>
      </c>
      <c r="K455" s="157">
        <v>41327</v>
      </c>
      <c r="L455" s="158">
        <v>0.21</v>
      </c>
    </row>
    <row r="456" spans="1:12" x14ac:dyDescent="0.25">
      <c r="A456" s="162">
        <v>38821</v>
      </c>
      <c r="B456" s="163" t="e">
        <f>NA()</f>
        <v>#N/A</v>
      </c>
      <c r="K456" s="157">
        <v>41334</v>
      </c>
      <c r="L456" s="158">
        <v>0.12</v>
      </c>
    </row>
    <row r="457" spans="1:12" x14ac:dyDescent="0.25">
      <c r="A457" s="162">
        <v>38824</v>
      </c>
      <c r="B457" s="163">
        <v>2.4500000000000002</v>
      </c>
      <c r="K457" s="157">
        <v>41341</v>
      </c>
      <c r="L457" s="158">
        <v>0.17</v>
      </c>
    </row>
    <row r="458" spans="1:12" x14ac:dyDescent="0.25">
      <c r="A458" s="162">
        <v>38825</v>
      </c>
      <c r="B458" s="163">
        <v>2.42</v>
      </c>
      <c r="K458" s="157">
        <v>41348</v>
      </c>
      <c r="L458" s="158">
        <v>0.25</v>
      </c>
    </row>
    <row r="459" spans="1:12" x14ac:dyDescent="0.25">
      <c r="A459" s="162">
        <v>38826</v>
      </c>
      <c r="B459" s="163">
        <v>2.44</v>
      </c>
      <c r="K459" s="157">
        <v>41355</v>
      </c>
      <c r="L459" s="158">
        <v>0.2</v>
      </c>
    </row>
    <row r="460" spans="1:12" x14ac:dyDescent="0.25">
      <c r="A460" s="162">
        <v>38827</v>
      </c>
      <c r="B460" s="164">
        <v>2.46</v>
      </c>
      <c r="K460" s="157">
        <v>41362</v>
      </c>
      <c r="L460" s="158">
        <v>0.17</v>
      </c>
    </row>
    <row r="461" spans="1:12" x14ac:dyDescent="0.25">
      <c r="A461" s="162">
        <v>38828</v>
      </c>
      <c r="B461" s="163">
        <v>2.4300000000000002</v>
      </c>
      <c r="K461" s="157">
        <v>41369</v>
      </c>
      <c r="L461" s="158">
        <v>0.09</v>
      </c>
    </row>
    <row r="462" spans="1:12" x14ac:dyDescent="0.25">
      <c r="A462" s="162">
        <v>38831</v>
      </c>
      <c r="B462" s="163">
        <v>2.4300000000000002</v>
      </c>
      <c r="K462" s="157">
        <v>41376</v>
      </c>
      <c r="L462" s="158">
        <v>0.08</v>
      </c>
    </row>
    <row r="463" spans="1:12" x14ac:dyDescent="0.25">
      <c r="A463" s="162">
        <v>38832</v>
      </c>
      <c r="B463" s="163">
        <v>2.5099999999999998</v>
      </c>
      <c r="K463" s="157">
        <v>41383</v>
      </c>
      <c r="L463" s="158">
        <v>0.08</v>
      </c>
    </row>
    <row r="464" spans="1:12" x14ac:dyDescent="0.25">
      <c r="A464" s="162">
        <v>38833</v>
      </c>
      <c r="B464" s="163">
        <v>2.54</v>
      </c>
      <c r="K464" s="157">
        <v>41390</v>
      </c>
      <c r="L464" s="158">
        <v>0.03</v>
      </c>
    </row>
    <row r="465" spans="1:12" x14ac:dyDescent="0.25">
      <c r="A465" s="162">
        <v>38834</v>
      </c>
      <c r="B465" s="163">
        <v>2.5</v>
      </c>
      <c r="K465" s="157">
        <v>41397</v>
      </c>
      <c r="L465" s="158">
        <v>7.0000000000000007E-2</v>
      </c>
    </row>
    <row r="466" spans="1:12" x14ac:dyDescent="0.25">
      <c r="A466" s="162">
        <v>38835</v>
      </c>
      <c r="B466" s="163">
        <v>2.44</v>
      </c>
      <c r="K466" s="157">
        <v>41404</v>
      </c>
      <c r="L466" s="158">
        <v>0.23</v>
      </c>
    </row>
    <row r="467" spans="1:12" x14ac:dyDescent="0.25">
      <c r="A467" s="162">
        <v>38838</v>
      </c>
      <c r="B467" s="163">
        <v>2.48</v>
      </c>
      <c r="K467" s="157">
        <v>41411</v>
      </c>
      <c r="L467" s="158">
        <v>0.34</v>
      </c>
    </row>
    <row r="468" spans="1:12" x14ac:dyDescent="0.25">
      <c r="A468" s="162">
        <v>38839</v>
      </c>
      <c r="B468" s="163">
        <v>2.4900000000000002</v>
      </c>
      <c r="K468" s="157">
        <v>41418</v>
      </c>
      <c r="L468" s="158">
        <v>0.43</v>
      </c>
    </row>
    <row r="469" spans="1:12" x14ac:dyDescent="0.25">
      <c r="A469" s="162">
        <v>38840</v>
      </c>
      <c r="B469" s="163">
        <v>2.52</v>
      </c>
      <c r="K469" s="157">
        <v>41425</v>
      </c>
      <c r="L469" s="158">
        <v>0.59</v>
      </c>
    </row>
    <row r="470" spans="1:12" x14ac:dyDescent="0.25">
      <c r="A470" s="162">
        <v>38841</v>
      </c>
      <c r="B470" s="163">
        <v>2.54</v>
      </c>
      <c r="K470" s="157">
        <v>41432</v>
      </c>
      <c r="L470" s="158">
        <v>0.68</v>
      </c>
    </row>
    <row r="471" spans="1:12" x14ac:dyDescent="0.25">
      <c r="A471" s="162">
        <v>38842</v>
      </c>
      <c r="B471" s="163">
        <v>2.5099999999999998</v>
      </c>
      <c r="K471" s="157">
        <v>41439</v>
      </c>
      <c r="L471" s="158">
        <v>0.94</v>
      </c>
    </row>
    <row r="472" spans="1:12" x14ac:dyDescent="0.25">
      <c r="A472" s="162">
        <v>38845</v>
      </c>
      <c r="B472" s="163">
        <v>2.4900000000000002</v>
      </c>
      <c r="K472" s="157">
        <v>41446</v>
      </c>
      <c r="L472" s="158">
        <v>1.1399999999999999</v>
      </c>
    </row>
    <row r="473" spans="1:12" x14ac:dyDescent="0.25">
      <c r="A473" s="162">
        <v>38846</v>
      </c>
      <c r="B473" s="163">
        <v>2.48</v>
      </c>
      <c r="K473" s="157">
        <v>41453</v>
      </c>
      <c r="L473" s="158">
        <v>1.1599999999999999</v>
      </c>
    </row>
    <row r="474" spans="1:12" x14ac:dyDescent="0.25">
      <c r="A474" s="162">
        <v>38847</v>
      </c>
      <c r="B474" s="163">
        <v>2.46</v>
      </c>
      <c r="K474" s="157">
        <v>41460</v>
      </c>
      <c r="L474" s="158">
        <v>1.1200000000000001</v>
      </c>
    </row>
    <row r="475" spans="1:12" x14ac:dyDescent="0.25">
      <c r="A475" s="162">
        <v>38848</v>
      </c>
      <c r="B475" s="163">
        <v>2.4700000000000002</v>
      </c>
      <c r="K475" s="157">
        <v>41467</v>
      </c>
      <c r="L475" s="158">
        <v>1.18</v>
      </c>
    </row>
    <row r="476" spans="1:12" x14ac:dyDescent="0.25">
      <c r="A476" s="162">
        <v>38849</v>
      </c>
      <c r="B476" s="163">
        <v>2.5099999999999998</v>
      </c>
      <c r="K476" s="157">
        <v>41474</v>
      </c>
      <c r="L476" s="158">
        <v>1.03</v>
      </c>
    </row>
    <row r="477" spans="1:12" x14ac:dyDescent="0.25">
      <c r="A477" s="162">
        <v>38852</v>
      </c>
      <c r="B477" s="163">
        <v>2.5099999999999998</v>
      </c>
      <c r="K477" s="157">
        <v>41481</v>
      </c>
      <c r="L477" s="158">
        <v>1.05</v>
      </c>
    </row>
    <row r="478" spans="1:12" x14ac:dyDescent="0.25">
      <c r="A478" s="162">
        <v>38853</v>
      </c>
      <c r="B478" s="163">
        <v>2.4700000000000002</v>
      </c>
      <c r="K478" s="157">
        <v>41488</v>
      </c>
      <c r="L478" s="158">
        <v>1.08</v>
      </c>
    </row>
    <row r="479" spans="1:12" x14ac:dyDescent="0.25">
      <c r="A479" s="162">
        <v>38854</v>
      </c>
      <c r="B479" s="163">
        <v>2.52</v>
      </c>
      <c r="K479" s="157">
        <v>41495</v>
      </c>
      <c r="L479" s="158">
        <v>1</v>
      </c>
    </row>
    <row r="480" spans="1:12" x14ac:dyDescent="0.25">
      <c r="A480" s="162">
        <v>38855</v>
      </c>
      <c r="B480" s="163">
        <v>2.4500000000000002</v>
      </c>
      <c r="K480" s="157">
        <v>41502</v>
      </c>
      <c r="L480" s="158">
        <v>1.1499999999999999</v>
      </c>
    </row>
    <row r="481" spans="1:12" x14ac:dyDescent="0.25">
      <c r="A481" s="162">
        <v>38856</v>
      </c>
      <c r="B481" s="163">
        <v>2.44</v>
      </c>
      <c r="K481" s="157">
        <v>41509</v>
      </c>
      <c r="L481" s="158">
        <v>1.31</v>
      </c>
    </row>
    <row r="482" spans="1:12" x14ac:dyDescent="0.25">
      <c r="A482" s="162">
        <v>38859</v>
      </c>
      <c r="B482" s="163">
        <v>2.4500000000000002</v>
      </c>
      <c r="K482" s="157">
        <v>41516</v>
      </c>
      <c r="L482" s="158">
        <v>1.18</v>
      </c>
    </row>
    <row r="483" spans="1:12" x14ac:dyDescent="0.25">
      <c r="A483" s="162">
        <v>38860</v>
      </c>
      <c r="B483" s="163">
        <v>2.46</v>
      </c>
      <c r="K483" s="157">
        <v>41523</v>
      </c>
      <c r="L483" s="158">
        <v>1.35</v>
      </c>
    </row>
    <row r="484" spans="1:12" x14ac:dyDescent="0.25">
      <c r="A484" s="162">
        <v>38861</v>
      </c>
      <c r="B484" s="163">
        <v>2.44</v>
      </c>
      <c r="K484" s="157">
        <v>41530</v>
      </c>
      <c r="L484" s="158">
        <v>1.33</v>
      </c>
    </row>
    <row r="485" spans="1:12" x14ac:dyDescent="0.25">
      <c r="A485" s="162">
        <v>38862</v>
      </c>
      <c r="B485" s="163">
        <v>2.48</v>
      </c>
      <c r="K485" s="157">
        <v>41537</v>
      </c>
      <c r="L485" s="158">
        <v>1.21</v>
      </c>
    </row>
    <row r="486" spans="1:12" x14ac:dyDescent="0.25">
      <c r="A486" s="162">
        <v>38863</v>
      </c>
      <c r="B486" s="163">
        <v>2.4700000000000002</v>
      </c>
      <c r="K486" s="157">
        <v>41544</v>
      </c>
      <c r="L486" s="158">
        <v>1.07</v>
      </c>
    </row>
    <row r="487" spans="1:12" x14ac:dyDescent="0.25">
      <c r="A487" s="162">
        <v>38866</v>
      </c>
      <c r="B487" s="163" t="e">
        <f>NA()</f>
        <v>#N/A</v>
      </c>
      <c r="K487" s="157">
        <v>41551</v>
      </c>
      <c r="L487" s="158">
        <v>1.07</v>
      </c>
    </row>
    <row r="488" spans="1:12" x14ac:dyDescent="0.25">
      <c r="A488" s="162">
        <v>38867</v>
      </c>
      <c r="B488" s="163">
        <v>2.4900000000000002</v>
      </c>
      <c r="K488" s="157">
        <v>41558</v>
      </c>
      <c r="L488" s="158">
        <v>1.08</v>
      </c>
    </row>
    <row r="489" spans="1:12" x14ac:dyDescent="0.25">
      <c r="A489" s="162">
        <v>38868</v>
      </c>
      <c r="B489" s="163">
        <v>2.5</v>
      </c>
      <c r="K489" s="157">
        <v>41565</v>
      </c>
      <c r="L489" s="158">
        <v>1.1000000000000001</v>
      </c>
    </row>
    <row r="490" spans="1:12" x14ac:dyDescent="0.25">
      <c r="A490" s="162">
        <v>38869</v>
      </c>
      <c r="B490" s="163">
        <v>2.4900000000000002</v>
      </c>
      <c r="K490" s="157">
        <v>41572</v>
      </c>
      <c r="L490" s="158">
        <v>1.01</v>
      </c>
    </row>
    <row r="491" spans="1:12" x14ac:dyDescent="0.25">
      <c r="A491" s="162">
        <v>38870</v>
      </c>
      <c r="B491" s="164">
        <v>2.41</v>
      </c>
      <c r="K491" s="157">
        <v>41579</v>
      </c>
      <c r="L491" s="158">
        <v>1.02</v>
      </c>
    </row>
    <row r="492" spans="1:12" x14ac:dyDescent="0.25">
      <c r="A492" s="162">
        <v>38873</v>
      </c>
      <c r="B492" s="163">
        <v>2.42</v>
      </c>
      <c r="K492" s="157">
        <v>41586</v>
      </c>
      <c r="L492" s="158">
        <v>1.1599999999999999</v>
      </c>
    </row>
    <row r="493" spans="1:12" x14ac:dyDescent="0.25">
      <c r="A493" s="162">
        <v>38874</v>
      </c>
      <c r="B493" s="163">
        <v>2.4700000000000002</v>
      </c>
      <c r="K493" s="157">
        <v>41593</v>
      </c>
      <c r="L493" s="158">
        <v>1.21</v>
      </c>
    </row>
    <row r="494" spans="1:12" x14ac:dyDescent="0.25">
      <c r="A494" s="162">
        <v>38875</v>
      </c>
      <c r="B494" s="163">
        <v>2.5099999999999998</v>
      </c>
      <c r="K494" s="157">
        <v>41600</v>
      </c>
      <c r="L494" s="158">
        <v>1.23</v>
      </c>
    </row>
    <row r="495" spans="1:12" x14ac:dyDescent="0.25">
      <c r="A495" s="162">
        <v>38876</v>
      </c>
      <c r="B495" s="163">
        <v>2.4900000000000002</v>
      </c>
      <c r="K495" s="157">
        <v>41607</v>
      </c>
      <c r="L495" s="158">
        <v>1.21</v>
      </c>
    </row>
    <row r="496" spans="1:12" x14ac:dyDescent="0.25">
      <c r="A496" s="162">
        <v>38877</v>
      </c>
      <c r="B496" s="163">
        <v>2.46</v>
      </c>
      <c r="K496" s="157">
        <v>41614</v>
      </c>
      <c r="L496" s="158">
        <v>1.32</v>
      </c>
    </row>
    <row r="497" spans="1:12" x14ac:dyDescent="0.25">
      <c r="A497" s="162">
        <v>38880</v>
      </c>
      <c r="B497" s="163">
        <v>2.46</v>
      </c>
      <c r="K497" s="157">
        <v>41621</v>
      </c>
      <c r="L497" s="158">
        <v>1.31</v>
      </c>
    </row>
    <row r="498" spans="1:12" x14ac:dyDescent="0.25">
      <c r="A498" s="162">
        <v>38881</v>
      </c>
      <c r="B498" s="163">
        <v>2.4500000000000002</v>
      </c>
      <c r="K498" s="157">
        <v>41628</v>
      </c>
      <c r="L498" s="158">
        <v>1.3</v>
      </c>
    </row>
    <row r="499" spans="1:12" x14ac:dyDescent="0.25">
      <c r="A499" s="162">
        <v>38882</v>
      </c>
      <c r="B499" s="163">
        <v>2.5</v>
      </c>
      <c r="K499" s="157">
        <v>41635</v>
      </c>
      <c r="L499" s="158">
        <v>1.34</v>
      </c>
    </row>
    <row r="500" spans="1:12" x14ac:dyDescent="0.25">
      <c r="A500" s="162">
        <v>38883</v>
      </c>
      <c r="B500" s="163">
        <v>2.52</v>
      </c>
      <c r="K500" s="157">
        <v>41642</v>
      </c>
      <c r="L500" s="158">
        <v>1.32</v>
      </c>
    </row>
    <row r="501" spans="1:12" x14ac:dyDescent="0.25">
      <c r="A501" s="162">
        <v>38884</v>
      </c>
      <c r="B501" s="163">
        <v>2.54</v>
      </c>
      <c r="K501" s="157">
        <v>41649</v>
      </c>
      <c r="L501" s="158">
        <v>1.22</v>
      </c>
    </row>
    <row r="502" spans="1:12" x14ac:dyDescent="0.25">
      <c r="A502" s="162">
        <v>38887</v>
      </c>
      <c r="B502" s="163">
        <v>2.56</v>
      </c>
      <c r="K502" s="157">
        <v>41656</v>
      </c>
      <c r="L502" s="158">
        <v>1.1499999999999999</v>
      </c>
    </row>
    <row r="503" spans="1:12" x14ac:dyDescent="0.25">
      <c r="A503" s="162">
        <v>38888</v>
      </c>
      <c r="B503" s="163">
        <v>2.57</v>
      </c>
      <c r="K503" s="157">
        <v>41663</v>
      </c>
      <c r="L503" s="158">
        <v>1.1399999999999999</v>
      </c>
    </row>
    <row r="504" spans="1:12" x14ac:dyDescent="0.25">
      <c r="A504" s="162">
        <v>38889</v>
      </c>
      <c r="B504" s="163">
        <v>2.58</v>
      </c>
      <c r="K504" s="157">
        <v>41670</v>
      </c>
      <c r="L504" s="158">
        <v>1.1100000000000001</v>
      </c>
    </row>
    <row r="505" spans="1:12" x14ac:dyDescent="0.25">
      <c r="A505" s="162">
        <v>38890</v>
      </c>
      <c r="B505" s="163">
        <v>2.6</v>
      </c>
      <c r="K505" s="157">
        <v>41677</v>
      </c>
      <c r="L505" s="158">
        <v>1.1000000000000001</v>
      </c>
    </row>
    <row r="506" spans="1:12" x14ac:dyDescent="0.25">
      <c r="A506" s="162">
        <v>38891</v>
      </c>
      <c r="B506" s="163">
        <v>2.63</v>
      </c>
      <c r="K506" s="157">
        <v>41684</v>
      </c>
      <c r="L506" s="158">
        <v>1.1399999999999999</v>
      </c>
    </row>
    <row r="507" spans="1:12" x14ac:dyDescent="0.25">
      <c r="A507" s="162">
        <v>38894</v>
      </c>
      <c r="B507" s="163">
        <v>2.66</v>
      </c>
      <c r="K507" s="157">
        <v>41691</v>
      </c>
      <c r="L507" s="158">
        <v>1.1599999999999999</v>
      </c>
    </row>
    <row r="508" spans="1:12" x14ac:dyDescent="0.25">
      <c r="A508" s="162">
        <v>38895</v>
      </c>
      <c r="B508" s="163">
        <v>2.63</v>
      </c>
      <c r="K508" s="157">
        <v>41698</v>
      </c>
      <c r="L508" s="158">
        <v>1.08</v>
      </c>
    </row>
    <row r="509" spans="1:12" x14ac:dyDescent="0.25">
      <c r="A509" s="162">
        <v>38896</v>
      </c>
      <c r="B509" s="163">
        <v>2.68</v>
      </c>
      <c r="K509" s="157">
        <v>41705</v>
      </c>
      <c r="L509" s="158">
        <v>1.04</v>
      </c>
    </row>
    <row r="510" spans="1:12" x14ac:dyDescent="0.25">
      <c r="A510" s="162">
        <v>38897</v>
      </c>
      <c r="B510" s="163">
        <v>2.64</v>
      </c>
      <c r="K510" s="157">
        <v>41712</v>
      </c>
      <c r="L510" s="158">
        <v>1.06</v>
      </c>
    </row>
    <row r="511" spans="1:12" x14ac:dyDescent="0.25">
      <c r="A511" s="162">
        <v>38898</v>
      </c>
      <c r="B511" s="163">
        <v>2.56</v>
      </c>
      <c r="K511" s="157">
        <v>41719</v>
      </c>
      <c r="L511" s="158">
        <v>1.08</v>
      </c>
    </row>
    <row r="512" spans="1:12" x14ac:dyDescent="0.25">
      <c r="A512" s="162">
        <v>38901</v>
      </c>
      <c r="B512" s="163">
        <v>2.58</v>
      </c>
      <c r="K512" s="157">
        <v>41726</v>
      </c>
      <c r="L512" s="158">
        <v>1.03</v>
      </c>
    </row>
    <row r="513" spans="1:12" x14ac:dyDescent="0.25">
      <c r="A513" s="162">
        <v>38902</v>
      </c>
      <c r="B513" s="163" t="e">
        <f>NA()</f>
        <v>#N/A</v>
      </c>
      <c r="K513" s="157">
        <v>41733</v>
      </c>
      <c r="L513" s="158">
        <v>1.07</v>
      </c>
    </row>
    <row r="514" spans="1:12" x14ac:dyDescent="0.25">
      <c r="A514" s="162">
        <v>38903</v>
      </c>
      <c r="B514" s="163">
        <v>2.64</v>
      </c>
      <c r="K514" s="157">
        <v>41740</v>
      </c>
      <c r="L514" s="158">
        <v>1</v>
      </c>
    </row>
    <row r="515" spans="1:12" x14ac:dyDescent="0.25">
      <c r="A515" s="162">
        <v>38904</v>
      </c>
      <c r="B515" s="163">
        <v>2.61</v>
      </c>
      <c r="K515" s="157">
        <v>41747</v>
      </c>
      <c r="L515" s="158">
        <v>0.95</v>
      </c>
    </row>
    <row r="516" spans="1:12" x14ac:dyDescent="0.25">
      <c r="A516" s="162">
        <v>38905</v>
      </c>
      <c r="B516" s="163">
        <v>2.56</v>
      </c>
      <c r="K516" s="157">
        <v>41754</v>
      </c>
      <c r="L516" s="158">
        <v>0.92</v>
      </c>
    </row>
    <row r="517" spans="1:12" x14ac:dyDescent="0.25">
      <c r="A517" s="162">
        <v>38908</v>
      </c>
      <c r="B517" s="164">
        <v>2.56</v>
      </c>
      <c r="K517" s="157">
        <v>41761</v>
      </c>
      <c r="L517" s="158">
        <v>0.9</v>
      </c>
    </row>
    <row r="518" spans="1:12" x14ac:dyDescent="0.25">
      <c r="A518" s="162">
        <v>38909</v>
      </c>
      <c r="B518" s="163">
        <v>2.5499999999999998</v>
      </c>
      <c r="K518" s="157">
        <v>41768</v>
      </c>
      <c r="L518" s="158">
        <v>0.84</v>
      </c>
    </row>
    <row r="519" spans="1:12" x14ac:dyDescent="0.25">
      <c r="A519" s="162">
        <v>38910</v>
      </c>
      <c r="B519" s="163">
        <v>2.5499999999999998</v>
      </c>
      <c r="K519" s="157">
        <v>41775</v>
      </c>
      <c r="L519" s="158">
        <v>0.84</v>
      </c>
    </row>
    <row r="520" spans="1:12" x14ac:dyDescent="0.25">
      <c r="A520" s="162">
        <v>38911</v>
      </c>
      <c r="B520" s="163">
        <v>2.52</v>
      </c>
      <c r="K520" s="157">
        <v>41782</v>
      </c>
      <c r="L520" s="158">
        <v>0.83</v>
      </c>
    </row>
    <row r="521" spans="1:12" x14ac:dyDescent="0.25">
      <c r="A521" s="162">
        <v>38912</v>
      </c>
      <c r="B521" s="163">
        <v>2.5099999999999998</v>
      </c>
      <c r="K521" s="157">
        <v>41789</v>
      </c>
      <c r="L521" s="158">
        <v>0.73</v>
      </c>
    </row>
    <row r="522" spans="1:12" x14ac:dyDescent="0.25">
      <c r="A522" s="162">
        <v>38915</v>
      </c>
      <c r="B522" s="163">
        <v>2.5</v>
      </c>
      <c r="K522" s="157">
        <v>41796</v>
      </c>
      <c r="L522" s="158">
        <v>0.87</v>
      </c>
    </row>
    <row r="523" spans="1:12" x14ac:dyDescent="0.25">
      <c r="A523" s="162">
        <v>38916</v>
      </c>
      <c r="B523" s="163">
        <v>2.56</v>
      </c>
      <c r="K523" s="157">
        <v>41803</v>
      </c>
      <c r="L523" s="158">
        <v>0.89</v>
      </c>
    </row>
    <row r="524" spans="1:12" x14ac:dyDescent="0.25">
      <c r="A524" s="162">
        <v>38917</v>
      </c>
      <c r="B524" s="163">
        <v>2.5</v>
      </c>
      <c r="K524" s="157">
        <v>41810</v>
      </c>
      <c r="L524" s="158">
        <v>0.86</v>
      </c>
    </row>
    <row r="525" spans="1:12" x14ac:dyDescent="0.25">
      <c r="A525" s="162">
        <v>38918</v>
      </c>
      <c r="B525" s="163">
        <v>2.4700000000000002</v>
      </c>
      <c r="K525" s="157">
        <v>41817</v>
      </c>
      <c r="L525" s="158">
        <v>0.77</v>
      </c>
    </row>
    <row r="526" spans="1:12" x14ac:dyDescent="0.25">
      <c r="A526" s="162">
        <v>38919</v>
      </c>
      <c r="B526" s="163">
        <v>2.5</v>
      </c>
      <c r="K526" s="157">
        <v>41824</v>
      </c>
      <c r="L526" s="158">
        <v>0.81</v>
      </c>
    </row>
    <row r="527" spans="1:12" x14ac:dyDescent="0.25">
      <c r="A527" s="162">
        <v>38922</v>
      </c>
      <c r="B527" s="163">
        <v>2.5099999999999998</v>
      </c>
      <c r="K527" s="157">
        <v>41831</v>
      </c>
      <c r="L527" s="158">
        <v>0.75</v>
      </c>
    </row>
    <row r="528" spans="1:12" x14ac:dyDescent="0.25">
      <c r="A528" s="162">
        <v>38923</v>
      </c>
      <c r="B528" s="163">
        <v>2.4900000000000002</v>
      </c>
      <c r="K528" s="157">
        <v>41838</v>
      </c>
      <c r="L528" s="158">
        <v>0.72</v>
      </c>
    </row>
    <row r="529" spans="1:12" x14ac:dyDescent="0.25">
      <c r="A529" s="162">
        <v>38924</v>
      </c>
      <c r="B529" s="163">
        <v>2.4500000000000002</v>
      </c>
      <c r="K529" s="157">
        <v>41845</v>
      </c>
      <c r="L529" s="158">
        <v>0.65</v>
      </c>
    </row>
    <row r="530" spans="1:12" x14ac:dyDescent="0.25">
      <c r="A530" s="162">
        <v>38925</v>
      </c>
      <c r="B530" s="163">
        <v>2.4500000000000002</v>
      </c>
      <c r="K530" s="157">
        <v>41852</v>
      </c>
      <c r="L530" s="158">
        <v>0.67</v>
      </c>
    </row>
    <row r="531" spans="1:12" x14ac:dyDescent="0.25">
      <c r="A531" s="162">
        <v>38926</v>
      </c>
      <c r="B531" s="163">
        <v>2.42</v>
      </c>
      <c r="K531" s="157">
        <v>41859</v>
      </c>
      <c r="L531" s="158">
        <v>0.66</v>
      </c>
    </row>
    <row r="532" spans="1:12" x14ac:dyDescent="0.25">
      <c r="A532" s="162">
        <v>38929</v>
      </c>
      <c r="B532" s="163">
        <v>2.42</v>
      </c>
      <c r="K532" s="157">
        <v>41866</v>
      </c>
      <c r="L532" s="158">
        <v>0.64</v>
      </c>
    </row>
    <row r="533" spans="1:12" x14ac:dyDescent="0.25">
      <c r="A533" s="162">
        <v>38930</v>
      </c>
      <c r="B533" s="163">
        <v>2.42</v>
      </c>
      <c r="K533" s="157">
        <v>41873</v>
      </c>
      <c r="L533" s="158">
        <v>0.65</v>
      </c>
    </row>
    <row r="534" spans="1:12" x14ac:dyDescent="0.25">
      <c r="A534" s="162">
        <v>38931</v>
      </c>
      <c r="B534" s="163">
        <v>2.39</v>
      </c>
      <c r="K534" s="157">
        <v>41880</v>
      </c>
      <c r="L534" s="158">
        <v>0.6</v>
      </c>
    </row>
    <row r="535" spans="1:12" x14ac:dyDescent="0.25">
      <c r="A535" s="162">
        <v>38932</v>
      </c>
      <c r="B535" s="163">
        <v>2.38</v>
      </c>
      <c r="K535" s="157">
        <v>41887</v>
      </c>
      <c r="L535" s="158">
        <v>0.64</v>
      </c>
    </row>
    <row r="536" spans="1:12" x14ac:dyDescent="0.25">
      <c r="A536" s="162">
        <v>38933</v>
      </c>
      <c r="B536" s="163">
        <v>2.33</v>
      </c>
      <c r="K536" s="157">
        <v>41894</v>
      </c>
      <c r="L536" s="158">
        <v>0.77</v>
      </c>
    </row>
    <row r="537" spans="1:12" x14ac:dyDescent="0.25">
      <c r="A537" s="162">
        <v>38936</v>
      </c>
      <c r="B537" s="163">
        <v>2.31</v>
      </c>
      <c r="K537" s="157">
        <v>41901</v>
      </c>
      <c r="L537" s="158">
        <v>0.89</v>
      </c>
    </row>
    <row r="538" spans="1:12" x14ac:dyDescent="0.25">
      <c r="A538" s="162">
        <v>38937</v>
      </c>
      <c r="B538" s="163">
        <v>2.2999999999999998</v>
      </c>
      <c r="K538" s="157">
        <v>41908</v>
      </c>
      <c r="L538" s="158">
        <v>0.89</v>
      </c>
    </row>
    <row r="539" spans="1:12" x14ac:dyDescent="0.25">
      <c r="A539" s="162">
        <v>38938</v>
      </c>
      <c r="B539" s="163">
        <v>2.31</v>
      </c>
      <c r="K539" s="157">
        <v>41915</v>
      </c>
      <c r="L539" s="158">
        <v>0.85</v>
      </c>
    </row>
    <row r="540" spans="1:12" x14ac:dyDescent="0.25">
      <c r="A540" s="162">
        <v>38939</v>
      </c>
      <c r="B540" s="163">
        <v>2.34</v>
      </c>
      <c r="K540" s="157">
        <v>41922</v>
      </c>
      <c r="L540" s="158">
        <v>0.77</v>
      </c>
    </row>
    <row r="541" spans="1:12" x14ac:dyDescent="0.25">
      <c r="A541" s="162">
        <v>38940</v>
      </c>
      <c r="B541" s="163">
        <v>2.36</v>
      </c>
      <c r="K541" s="157">
        <v>41929</v>
      </c>
      <c r="L541" s="158">
        <v>0.64</v>
      </c>
    </row>
    <row r="542" spans="1:12" x14ac:dyDescent="0.25">
      <c r="A542" s="162">
        <v>38943</v>
      </c>
      <c r="B542" s="163">
        <v>2.39</v>
      </c>
      <c r="K542" s="157">
        <v>41936</v>
      </c>
      <c r="L542" s="158">
        <v>0.7</v>
      </c>
    </row>
    <row r="543" spans="1:12" x14ac:dyDescent="0.25">
      <c r="A543" s="162">
        <v>38944</v>
      </c>
      <c r="B543" s="163">
        <v>2.35</v>
      </c>
      <c r="K543" s="157">
        <v>41943</v>
      </c>
      <c r="L543" s="158">
        <v>0.76</v>
      </c>
    </row>
    <row r="544" spans="1:12" x14ac:dyDescent="0.25">
      <c r="A544" s="162">
        <v>38945</v>
      </c>
      <c r="B544" s="163">
        <v>2.3199999999999998</v>
      </c>
      <c r="K544" s="157">
        <v>41950</v>
      </c>
      <c r="L544" s="158">
        <v>0.77</v>
      </c>
    </row>
    <row r="545" spans="1:12" x14ac:dyDescent="0.25">
      <c r="A545" s="162">
        <v>38946</v>
      </c>
      <c r="B545" s="163">
        <v>2.3199999999999998</v>
      </c>
      <c r="K545" s="157">
        <v>41957</v>
      </c>
      <c r="L545" s="158">
        <v>0.78</v>
      </c>
    </row>
    <row r="546" spans="1:12" x14ac:dyDescent="0.25">
      <c r="A546" s="162">
        <v>38947</v>
      </c>
      <c r="B546" s="163">
        <v>2.2999999999999998</v>
      </c>
      <c r="K546" s="157">
        <v>41964</v>
      </c>
      <c r="L546" s="158">
        <v>0.79</v>
      </c>
    </row>
    <row r="547" spans="1:12" x14ac:dyDescent="0.25">
      <c r="A547" s="162">
        <v>38950</v>
      </c>
      <c r="B547" s="163">
        <v>2.27</v>
      </c>
      <c r="K547" s="157">
        <v>41971</v>
      </c>
      <c r="L547" s="158">
        <v>0.74</v>
      </c>
    </row>
    <row r="548" spans="1:12" x14ac:dyDescent="0.25">
      <c r="A548" s="162">
        <v>38951</v>
      </c>
      <c r="B548" s="163">
        <v>2.2400000000000002</v>
      </c>
      <c r="K548" s="157">
        <v>41978</v>
      </c>
      <c r="L548" s="158">
        <v>0.8</v>
      </c>
    </row>
    <row r="549" spans="1:12" x14ac:dyDescent="0.25">
      <c r="A549" s="162">
        <v>38952</v>
      </c>
      <c r="B549" s="163">
        <v>2.2599999999999998</v>
      </c>
      <c r="K549" s="157">
        <v>41985</v>
      </c>
      <c r="L549" s="158">
        <v>0.73</v>
      </c>
    </row>
    <row r="550" spans="1:12" x14ac:dyDescent="0.25">
      <c r="A550" s="162">
        <v>38953</v>
      </c>
      <c r="B550" s="163">
        <v>2.27</v>
      </c>
      <c r="K550" s="157">
        <v>41992</v>
      </c>
      <c r="L550" s="158">
        <v>0.69</v>
      </c>
    </row>
    <row r="551" spans="1:12" x14ac:dyDescent="0.25">
      <c r="A551" s="162">
        <v>38954</v>
      </c>
      <c r="B551" s="163">
        <v>2.25</v>
      </c>
      <c r="K551" s="157">
        <v>41999</v>
      </c>
      <c r="L551" s="158">
        <v>0.74</v>
      </c>
    </row>
    <row r="552" spans="1:12" x14ac:dyDescent="0.25">
      <c r="A552" s="162">
        <v>38957</v>
      </c>
      <c r="B552" s="163">
        <v>2.2799999999999998</v>
      </c>
      <c r="K552" s="157">
        <v>42006</v>
      </c>
      <c r="L552" s="158">
        <v>0.7</v>
      </c>
    </row>
    <row r="553" spans="1:12" x14ac:dyDescent="0.25">
      <c r="A553" s="162">
        <v>38958</v>
      </c>
      <c r="B553" s="163">
        <v>2.2799999999999998</v>
      </c>
      <c r="K553" s="157">
        <v>42013</v>
      </c>
      <c r="L553" s="158">
        <v>0.56999999999999995</v>
      </c>
    </row>
    <row r="554" spans="1:12" x14ac:dyDescent="0.25">
      <c r="A554" s="162">
        <v>38959</v>
      </c>
      <c r="B554" s="163">
        <v>2.2599999999999998</v>
      </c>
      <c r="K554" s="157">
        <v>42020</v>
      </c>
      <c r="L554" s="158">
        <v>0.52</v>
      </c>
    </row>
    <row r="555" spans="1:12" x14ac:dyDescent="0.25">
      <c r="A555" s="162">
        <v>38960</v>
      </c>
      <c r="B555" s="163">
        <v>2.23</v>
      </c>
      <c r="K555" s="157">
        <v>42027</v>
      </c>
      <c r="L555" s="158">
        <v>0.49</v>
      </c>
    </row>
    <row r="556" spans="1:12" x14ac:dyDescent="0.25">
      <c r="A556" s="162">
        <v>38961</v>
      </c>
      <c r="B556" s="163">
        <v>2.2400000000000002</v>
      </c>
      <c r="K556" s="157">
        <v>42034</v>
      </c>
      <c r="L556" s="158">
        <v>0.4</v>
      </c>
    </row>
    <row r="557" spans="1:12" x14ac:dyDescent="0.25">
      <c r="A557" s="162">
        <v>38964</v>
      </c>
      <c r="B557" s="163" t="e">
        <f>NA()</f>
        <v>#N/A</v>
      </c>
      <c r="K557" s="157">
        <v>42041</v>
      </c>
      <c r="L557" s="158">
        <v>0.4</v>
      </c>
    </row>
    <row r="558" spans="1:12" x14ac:dyDescent="0.25">
      <c r="A558" s="162">
        <v>38965</v>
      </c>
      <c r="B558" s="163">
        <v>2.31</v>
      </c>
      <c r="K558" s="157">
        <v>42048</v>
      </c>
      <c r="L558" s="158">
        <v>0.56000000000000005</v>
      </c>
    </row>
    <row r="559" spans="1:12" x14ac:dyDescent="0.25">
      <c r="A559" s="162">
        <v>38966</v>
      </c>
      <c r="B559" s="163">
        <v>2.3199999999999998</v>
      </c>
      <c r="K559" s="157">
        <v>42055</v>
      </c>
      <c r="L559" s="158">
        <v>0.64</v>
      </c>
    </row>
    <row r="560" spans="1:12" x14ac:dyDescent="0.25">
      <c r="A560" s="162">
        <v>38967</v>
      </c>
      <c r="B560" s="163">
        <v>2.33</v>
      </c>
      <c r="K560" s="157">
        <v>42062</v>
      </c>
      <c r="L560" s="158">
        <v>0.51</v>
      </c>
    </row>
    <row r="561" spans="1:12" x14ac:dyDescent="0.25">
      <c r="A561" s="162">
        <v>38968</v>
      </c>
      <c r="B561" s="164">
        <v>2.34</v>
      </c>
      <c r="K561" s="157">
        <v>42069</v>
      </c>
      <c r="L561" s="158">
        <v>0.57999999999999996</v>
      </c>
    </row>
    <row r="562" spans="1:12" x14ac:dyDescent="0.25">
      <c r="A562" s="162">
        <v>38971</v>
      </c>
      <c r="B562" s="163">
        <v>2.37</v>
      </c>
      <c r="K562" s="157">
        <v>42076</v>
      </c>
      <c r="L562" s="158">
        <v>0.67</v>
      </c>
    </row>
    <row r="563" spans="1:12" x14ac:dyDescent="0.25">
      <c r="A563" s="162">
        <v>38972</v>
      </c>
      <c r="B563" s="163">
        <v>2.34</v>
      </c>
      <c r="K563" s="157">
        <v>42083</v>
      </c>
      <c r="L563" s="158">
        <v>0.53</v>
      </c>
    </row>
    <row r="564" spans="1:12" x14ac:dyDescent="0.25">
      <c r="A564" s="162">
        <v>38973</v>
      </c>
      <c r="B564" s="163">
        <v>2.33</v>
      </c>
      <c r="K564" s="157">
        <v>42090</v>
      </c>
      <c r="L564" s="158">
        <v>0.41</v>
      </c>
    </row>
    <row r="565" spans="1:12" x14ac:dyDescent="0.25">
      <c r="A565" s="162">
        <v>38974</v>
      </c>
      <c r="B565" s="163">
        <v>2.3199999999999998</v>
      </c>
      <c r="K565" s="157">
        <v>42097</v>
      </c>
      <c r="L565" s="158">
        <v>0.44</v>
      </c>
    </row>
    <row r="566" spans="1:12" x14ac:dyDescent="0.25">
      <c r="A566" s="162">
        <v>38975</v>
      </c>
      <c r="B566" s="163">
        <v>2.36</v>
      </c>
      <c r="K566" s="157">
        <v>42104</v>
      </c>
      <c r="L566" s="158">
        <v>0.43</v>
      </c>
    </row>
    <row r="567" spans="1:12" x14ac:dyDescent="0.25">
      <c r="A567" s="162">
        <v>38978</v>
      </c>
      <c r="B567" s="163">
        <v>2.37</v>
      </c>
      <c r="K567" s="157">
        <v>42111</v>
      </c>
      <c r="L567" s="158">
        <v>0.41</v>
      </c>
    </row>
    <row r="568" spans="1:12" x14ac:dyDescent="0.25">
      <c r="A568" s="162">
        <v>38979</v>
      </c>
      <c r="B568" s="163">
        <v>2.33</v>
      </c>
      <c r="K568" s="157">
        <v>42118</v>
      </c>
      <c r="L568" s="158">
        <v>0.41</v>
      </c>
    </row>
    <row r="569" spans="1:12" x14ac:dyDescent="0.25">
      <c r="A569" s="162">
        <v>38980</v>
      </c>
      <c r="B569" s="163">
        <v>2.35</v>
      </c>
      <c r="K569" s="157">
        <v>42125</v>
      </c>
      <c r="L569" s="158">
        <v>0.48</v>
      </c>
    </row>
    <row r="570" spans="1:12" x14ac:dyDescent="0.25">
      <c r="A570" s="162">
        <v>38981</v>
      </c>
      <c r="B570" s="163">
        <v>2.2999999999999998</v>
      </c>
      <c r="K570" s="157">
        <v>42132</v>
      </c>
      <c r="L570" s="158">
        <v>0.65</v>
      </c>
    </row>
    <row r="571" spans="1:12" x14ac:dyDescent="0.25">
      <c r="A571" s="162">
        <v>38982</v>
      </c>
      <c r="B571" s="163">
        <v>2.25</v>
      </c>
      <c r="K571" s="157">
        <v>42139</v>
      </c>
      <c r="L571" s="158">
        <v>0.74</v>
      </c>
    </row>
    <row r="572" spans="1:12" x14ac:dyDescent="0.25">
      <c r="A572" s="162">
        <v>38985</v>
      </c>
      <c r="B572" s="163">
        <v>2.2200000000000002</v>
      </c>
      <c r="K572" s="157">
        <v>42146</v>
      </c>
      <c r="L572" s="158">
        <v>0.78</v>
      </c>
    </row>
    <row r="573" spans="1:12" x14ac:dyDescent="0.25">
      <c r="A573" s="162">
        <v>38986</v>
      </c>
      <c r="B573" s="163">
        <v>2.2400000000000002</v>
      </c>
      <c r="K573" s="157">
        <v>42153</v>
      </c>
      <c r="L573" s="158">
        <v>0.68</v>
      </c>
    </row>
    <row r="574" spans="1:12" x14ac:dyDescent="0.25">
      <c r="A574" s="162">
        <v>38987</v>
      </c>
      <c r="B574" s="163">
        <v>2.25</v>
      </c>
      <c r="K574" s="157">
        <v>42160</v>
      </c>
      <c r="L574" s="158">
        <v>0.87</v>
      </c>
    </row>
    <row r="575" spans="1:12" x14ac:dyDescent="0.25">
      <c r="A575" s="162">
        <v>38988</v>
      </c>
      <c r="B575" s="163">
        <v>2.2599999999999998</v>
      </c>
      <c r="K575" s="157">
        <v>42167</v>
      </c>
      <c r="L575" s="158">
        <v>0.95</v>
      </c>
    </row>
    <row r="576" spans="1:12" x14ac:dyDescent="0.25">
      <c r="A576" s="162">
        <v>38989</v>
      </c>
      <c r="B576" s="163">
        <v>2.27</v>
      </c>
      <c r="K576" s="157">
        <v>42174</v>
      </c>
      <c r="L576" s="158">
        <v>0.85</v>
      </c>
    </row>
    <row r="577" spans="1:12" x14ac:dyDescent="0.25">
      <c r="A577" s="162">
        <v>38992</v>
      </c>
      <c r="B577" s="163">
        <v>2.2599999999999998</v>
      </c>
      <c r="K577" s="157">
        <v>42181</v>
      </c>
      <c r="L577" s="158">
        <v>0.91</v>
      </c>
    </row>
    <row r="578" spans="1:12" x14ac:dyDescent="0.25">
      <c r="A578" s="162">
        <v>38993</v>
      </c>
      <c r="B578" s="163">
        <v>2.2799999999999998</v>
      </c>
      <c r="K578" s="157">
        <v>42188</v>
      </c>
      <c r="L578" s="158">
        <v>0.9</v>
      </c>
    </row>
    <row r="579" spans="1:12" x14ac:dyDescent="0.25">
      <c r="A579" s="162">
        <v>38994</v>
      </c>
      <c r="B579" s="163">
        <v>2.2400000000000002</v>
      </c>
      <c r="K579" s="157">
        <v>42195</v>
      </c>
      <c r="L579" s="158">
        <v>0.85</v>
      </c>
    </row>
    <row r="580" spans="1:12" x14ac:dyDescent="0.25">
      <c r="A580" s="162">
        <v>38995</v>
      </c>
      <c r="B580" s="163">
        <v>2.27</v>
      </c>
      <c r="K580" s="157">
        <v>42202</v>
      </c>
      <c r="L580" s="158">
        <v>0.9</v>
      </c>
    </row>
    <row r="581" spans="1:12" x14ac:dyDescent="0.25">
      <c r="A581" s="162">
        <v>38996</v>
      </c>
      <c r="B581" s="163">
        <v>2.3199999999999998</v>
      </c>
      <c r="K581" s="157">
        <v>42209</v>
      </c>
      <c r="L581" s="158">
        <v>0.87</v>
      </c>
    </row>
    <row r="582" spans="1:12" x14ac:dyDescent="0.25">
      <c r="A582" s="162">
        <v>38999</v>
      </c>
      <c r="B582" s="163" t="e">
        <f>NA()</f>
        <v>#N/A</v>
      </c>
      <c r="K582" s="157">
        <v>42216</v>
      </c>
      <c r="L582" s="158">
        <v>0.84</v>
      </c>
    </row>
    <row r="583" spans="1:12" x14ac:dyDescent="0.25">
      <c r="A583" s="162">
        <v>39000</v>
      </c>
      <c r="B583" s="163">
        <v>2.37</v>
      </c>
      <c r="K583" s="157">
        <v>42223</v>
      </c>
      <c r="L583" s="158">
        <v>0.84</v>
      </c>
    </row>
    <row r="584" spans="1:12" x14ac:dyDescent="0.25">
      <c r="A584" s="162">
        <v>39001</v>
      </c>
      <c r="B584" s="163">
        <v>2.41</v>
      </c>
      <c r="K584" s="157">
        <v>42230</v>
      </c>
      <c r="L584" s="158">
        <v>0.84</v>
      </c>
    </row>
    <row r="585" spans="1:12" x14ac:dyDescent="0.25">
      <c r="A585" s="162">
        <v>39002</v>
      </c>
      <c r="B585" s="163">
        <v>2.42</v>
      </c>
      <c r="K585" s="157">
        <v>42237</v>
      </c>
      <c r="L585" s="158">
        <v>0.85</v>
      </c>
    </row>
    <row r="586" spans="1:12" x14ac:dyDescent="0.25">
      <c r="A586" s="162">
        <v>39003</v>
      </c>
      <c r="B586" s="164">
        <v>2.44</v>
      </c>
      <c r="K586" s="157">
        <v>42244</v>
      </c>
      <c r="L586" s="158">
        <v>0.92</v>
      </c>
    </row>
    <row r="587" spans="1:12" x14ac:dyDescent="0.25">
      <c r="A587" s="162">
        <v>39006</v>
      </c>
      <c r="B587" s="163">
        <v>2.4300000000000002</v>
      </c>
      <c r="K587" s="157">
        <v>42251</v>
      </c>
      <c r="L587" s="158">
        <v>0.97</v>
      </c>
    </row>
    <row r="588" spans="1:12" x14ac:dyDescent="0.25">
      <c r="A588" s="162">
        <v>39007</v>
      </c>
      <c r="B588" s="163">
        <v>2.4300000000000002</v>
      </c>
      <c r="K588" s="157">
        <v>42258</v>
      </c>
      <c r="L588" s="158">
        <v>0.99</v>
      </c>
    </row>
    <row r="589" spans="1:12" x14ac:dyDescent="0.25">
      <c r="A589" s="162">
        <v>39008</v>
      </c>
      <c r="B589" s="163">
        <v>2.4300000000000002</v>
      </c>
      <c r="K589" s="157">
        <v>42265</v>
      </c>
      <c r="L589" s="158">
        <v>1.02</v>
      </c>
    </row>
    <row r="590" spans="1:12" x14ac:dyDescent="0.25">
      <c r="A590" s="162">
        <v>39009</v>
      </c>
      <c r="B590" s="163">
        <v>2.46</v>
      </c>
      <c r="K590" s="157">
        <v>42272</v>
      </c>
      <c r="L590" s="158">
        <v>1.04</v>
      </c>
    </row>
    <row r="591" spans="1:12" x14ac:dyDescent="0.25">
      <c r="A591" s="162">
        <v>39010</v>
      </c>
      <c r="B591" s="163">
        <v>2.46</v>
      </c>
      <c r="K591" s="157">
        <v>42279</v>
      </c>
      <c r="L591" s="158">
        <v>1.01</v>
      </c>
    </row>
    <row r="592" spans="1:12" x14ac:dyDescent="0.25">
      <c r="A592" s="162">
        <v>39013</v>
      </c>
      <c r="B592" s="163">
        <v>2.5</v>
      </c>
      <c r="K592" s="157">
        <v>42286</v>
      </c>
      <c r="L592" s="158">
        <v>0.98</v>
      </c>
    </row>
    <row r="593" spans="1:12" x14ac:dyDescent="0.25">
      <c r="A593" s="162">
        <v>39014</v>
      </c>
      <c r="B593" s="163">
        <v>2.4900000000000002</v>
      </c>
      <c r="K593" s="157">
        <v>42293</v>
      </c>
      <c r="L593" s="158">
        <v>0.97</v>
      </c>
    </row>
    <row r="594" spans="1:12" x14ac:dyDescent="0.25">
      <c r="A594" s="162">
        <v>39015</v>
      </c>
      <c r="B594" s="163">
        <v>2.41</v>
      </c>
      <c r="K594" s="157">
        <v>42300</v>
      </c>
      <c r="L594" s="158">
        <v>0.99</v>
      </c>
    </row>
    <row r="595" spans="1:12" x14ac:dyDescent="0.25">
      <c r="A595" s="162">
        <v>39016</v>
      </c>
      <c r="B595" s="163">
        <v>2.36</v>
      </c>
      <c r="K595" s="157">
        <v>42307</v>
      </c>
      <c r="L595" s="158">
        <v>0.98</v>
      </c>
    </row>
    <row r="596" spans="1:12" x14ac:dyDescent="0.25">
      <c r="A596" s="162">
        <v>39017</v>
      </c>
      <c r="B596" s="163">
        <v>2.33</v>
      </c>
      <c r="K596" s="157">
        <v>42314</v>
      </c>
      <c r="L596" s="158">
        <v>1.03</v>
      </c>
    </row>
    <row r="597" spans="1:12" x14ac:dyDescent="0.25">
      <c r="A597" s="162">
        <v>39020</v>
      </c>
      <c r="B597" s="163">
        <v>2.34</v>
      </c>
      <c r="K597" s="157">
        <v>42321</v>
      </c>
      <c r="L597" s="158">
        <v>1.1000000000000001</v>
      </c>
    </row>
    <row r="598" spans="1:12" x14ac:dyDescent="0.25">
      <c r="A598" s="162">
        <v>39021</v>
      </c>
      <c r="B598" s="163">
        <v>2.2799999999999998</v>
      </c>
      <c r="K598" s="157">
        <v>42328</v>
      </c>
      <c r="L598" s="158">
        <v>1.05</v>
      </c>
    </row>
    <row r="599" spans="1:12" x14ac:dyDescent="0.25">
      <c r="A599" s="162">
        <v>39022</v>
      </c>
      <c r="B599" s="163">
        <v>2.2400000000000002</v>
      </c>
      <c r="K599" s="157">
        <v>42335</v>
      </c>
      <c r="L599" s="158">
        <v>0.97</v>
      </c>
    </row>
    <row r="600" spans="1:12" x14ac:dyDescent="0.25">
      <c r="A600" s="162">
        <v>39023</v>
      </c>
      <c r="B600" s="163">
        <v>2.2799999999999998</v>
      </c>
      <c r="K600" s="157">
        <v>42342</v>
      </c>
      <c r="L600" s="158">
        <v>0.98</v>
      </c>
    </row>
    <row r="601" spans="1:12" x14ac:dyDescent="0.25">
      <c r="A601" s="162">
        <v>39024</v>
      </c>
      <c r="B601" s="163">
        <v>2.34</v>
      </c>
      <c r="K601" s="157">
        <v>42349</v>
      </c>
      <c r="L601" s="158">
        <v>1.01</v>
      </c>
    </row>
    <row r="602" spans="1:12" x14ac:dyDescent="0.25">
      <c r="A602" s="162">
        <v>39027</v>
      </c>
      <c r="B602" s="163">
        <v>2.29</v>
      </c>
      <c r="K602" s="157">
        <v>42356</v>
      </c>
      <c r="L602" s="158">
        <v>1.1200000000000001</v>
      </c>
    </row>
    <row r="603" spans="1:12" x14ac:dyDescent="0.25">
      <c r="A603" s="162">
        <v>39028</v>
      </c>
      <c r="B603" s="163">
        <v>2.2599999999999998</v>
      </c>
      <c r="K603" s="157">
        <v>42363</v>
      </c>
      <c r="L603" s="158">
        <v>1.08</v>
      </c>
    </row>
    <row r="604" spans="1:12" x14ac:dyDescent="0.25">
      <c r="A604" s="162">
        <v>39029</v>
      </c>
      <c r="B604" s="163">
        <v>2.2200000000000002</v>
      </c>
      <c r="K604" s="157">
        <v>42370</v>
      </c>
      <c r="L604" s="158">
        <v>1.08</v>
      </c>
    </row>
    <row r="605" spans="1:12" x14ac:dyDescent="0.25">
      <c r="A605" s="162">
        <v>39030</v>
      </c>
      <c r="B605" s="163">
        <v>2.23</v>
      </c>
      <c r="K605" s="157">
        <v>42377</v>
      </c>
      <c r="L605" s="158">
        <v>1.03</v>
      </c>
    </row>
    <row r="606" spans="1:12" x14ac:dyDescent="0.25">
      <c r="A606" s="162">
        <v>39031</v>
      </c>
      <c r="B606" s="163">
        <v>2.19</v>
      </c>
      <c r="K606" s="157">
        <v>42384</v>
      </c>
      <c r="L606" s="158">
        <v>1.07</v>
      </c>
    </row>
    <row r="607" spans="1:12" x14ac:dyDescent="0.25">
      <c r="A607" s="162">
        <v>39034</v>
      </c>
      <c r="B607" s="163">
        <v>2.2200000000000002</v>
      </c>
      <c r="K607" s="157">
        <v>42391</v>
      </c>
      <c r="L607" s="158">
        <v>1.0900000000000001</v>
      </c>
    </row>
    <row r="608" spans="1:12" x14ac:dyDescent="0.25">
      <c r="A608" s="162">
        <v>39035</v>
      </c>
      <c r="B608" s="163">
        <v>2.19</v>
      </c>
      <c r="K608" s="157">
        <v>42398</v>
      </c>
      <c r="L608" s="158">
        <v>1.01</v>
      </c>
    </row>
    <row r="609" spans="1:12" x14ac:dyDescent="0.25">
      <c r="A609" s="162">
        <v>39036</v>
      </c>
      <c r="B609" s="163">
        <v>2.2200000000000002</v>
      </c>
      <c r="K609" s="157">
        <v>42405</v>
      </c>
      <c r="L609" s="158">
        <v>0.92</v>
      </c>
    </row>
    <row r="610" spans="1:12" x14ac:dyDescent="0.25">
      <c r="A610" s="162">
        <v>39037</v>
      </c>
      <c r="B610" s="163">
        <v>2.2799999999999998</v>
      </c>
      <c r="K610" s="157">
        <v>42412</v>
      </c>
      <c r="L610" s="158">
        <v>0.86</v>
      </c>
    </row>
    <row r="611" spans="1:12" x14ac:dyDescent="0.25">
      <c r="A611" s="162">
        <v>39038</v>
      </c>
      <c r="B611" s="163">
        <v>2.25</v>
      </c>
      <c r="K611" s="157">
        <v>42419</v>
      </c>
      <c r="L611" s="158">
        <v>0.9</v>
      </c>
    </row>
    <row r="612" spans="1:12" x14ac:dyDescent="0.25">
      <c r="A612" s="162">
        <v>39041</v>
      </c>
      <c r="B612" s="163">
        <v>2.25</v>
      </c>
      <c r="K612" s="157">
        <v>42426</v>
      </c>
      <c r="L612" s="158">
        <v>0.78</v>
      </c>
    </row>
    <row r="613" spans="1:12" x14ac:dyDescent="0.25">
      <c r="A613" s="162">
        <v>39042</v>
      </c>
      <c r="B613" s="163">
        <v>2.2400000000000002</v>
      </c>
      <c r="K613" s="157">
        <v>42433</v>
      </c>
      <c r="L613" s="158">
        <v>0.73</v>
      </c>
    </row>
    <row r="614" spans="1:12" x14ac:dyDescent="0.25">
      <c r="A614" s="162">
        <v>39043</v>
      </c>
      <c r="B614" s="163">
        <v>2.2400000000000002</v>
      </c>
      <c r="K614" s="157">
        <v>42440</v>
      </c>
      <c r="L614" s="158">
        <v>0.8</v>
      </c>
    </row>
    <row r="615" spans="1:12" x14ac:dyDescent="0.25">
      <c r="A615" s="162">
        <v>39044</v>
      </c>
      <c r="B615" s="163" t="e">
        <f>NA()</f>
        <v>#N/A</v>
      </c>
      <c r="K615" s="157">
        <v>42447</v>
      </c>
      <c r="L615" s="158">
        <v>0.78</v>
      </c>
    </row>
    <row r="616" spans="1:12" x14ac:dyDescent="0.25">
      <c r="A616" s="162">
        <v>39045</v>
      </c>
      <c r="B616" s="163">
        <v>2.21</v>
      </c>
      <c r="K616" s="157">
        <v>42454</v>
      </c>
      <c r="L616" s="158">
        <v>0.69</v>
      </c>
    </row>
    <row r="617" spans="1:12" x14ac:dyDescent="0.25">
      <c r="A617" s="162">
        <v>39048</v>
      </c>
      <c r="B617" s="163">
        <v>2.19</v>
      </c>
      <c r="K617" s="157">
        <v>42461</v>
      </c>
      <c r="L617" s="158">
        <v>0.61</v>
      </c>
    </row>
    <row r="618" spans="1:12" x14ac:dyDescent="0.25">
      <c r="A618" s="162">
        <v>39049</v>
      </c>
      <c r="B618" s="163">
        <v>2.17</v>
      </c>
      <c r="K618" s="157">
        <v>42468</v>
      </c>
      <c r="L618" s="158">
        <v>0.55000000000000004</v>
      </c>
    </row>
    <row r="619" spans="1:12" x14ac:dyDescent="0.25">
      <c r="A619" s="162">
        <v>39050</v>
      </c>
      <c r="B619" s="164">
        <v>2.19</v>
      </c>
      <c r="K619" s="157">
        <v>42475</v>
      </c>
      <c r="L619" s="158">
        <v>0.62</v>
      </c>
    </row>
    <row r="620" spans="1:12" x14ac:dyDescent="0.25">
      <c r="A620" s="162">
        <v>39051</v>
      </c>
      <c r="B620" s="163">
        <v>2.13</v>
      </c>
      <c r="K620" s="157">
        <v>42482</v>
      </c>
      <c r="L620" s="158">
        <v>0.63</v>
      </c>
    </row>
    <row r="621" spans="1:12" x14ac:dyDescent="0.25">
      <c r="A621" s="162">
        <v>39052</v>
      </c>
      <c r="B621" s="163">
        <v>2.09</v>
      </c>
      <c r="K621" s="157">
        <v>42489</v>
      </c>
      <c r="L621" s="158">
        <v>0.63</v>
      </c>
    </row>
    <row r="622" spans="1:12" x14ac:dyDescent="0.25">
      <c r="A622" s="162">
        <v>39055</v>
      </c>
      <c r="B622" s="163">
        <v>2.1</v>
      </c>
      <c r="K622" s="157">
        <v>42496</v>
      </c>
      <c r="L622" s="158">
        <v>0.61</v>
      </c>
    </row>
    <row r="623" spans="1:12" x14ac:dyDescent="0.25">
      <c r="A623" s="162">
        <v>39056</v>
      </c>
      <c r="B623" s="163">
        <v>2.12</v>
      </c>
      <c r="K623" s="157">
        <v>42503</v>
      </c>
      <c r="L623" s="158">
        <v>0.57999999999999996</v>
      </c>
    </row>
    <row r="624" spans="1:12" x14ac:dyDescent="0.25">
      <c r="A624" s="162">
        <v>39057</v>
      </c>
      <c r="B624" s="163">
        <v>2.15</v>
      </c>
      <c r="K624" s="157">
        <v>42510</v>
      </c>
      <c r="L624" s="158">
        <v>0.65</v>
      </c>
    </row>
    <row r="625" spans="1:12" x14ac:dyDescent="0.25">
      <c r="A625" s="162">
        <v>39058</v>
      </c>
      <c r="B625" s="163">
        <v>2.17</v>
      </c>
      <c r="K625" s="157">
        <v>42517</v>
      </c>
      <c r="L625" s="158">
        <v>0.71</v>
      </c>
    </row>
    <row r="626" spans="1:12" x14ac:dyDescent="0.25">
      <c r="A626" s="162">
        <v>39059</v>
      </c>
      <c r="B626" s="163">
        <v>2.2200000000000002</v>
      </c>
      <c r="K626" s="157">
        <v>42524</v>
      </c>
      <c r="L626" s="158">
        <v>0.72</v>
      </c>
    </row>
    <row r="627" spans="1:12" x14ac:dyDescent="0.25">
      <c r="A627" s="162">
        <v>39062</v>
      </c>
      <c r="B627" s="163">
        <v>2.1800000000000002</v>
      </c>
      <c r="K627" s="157">
        <v>42531</v>
      </c>
      <c r="L627" s="158">
        <v>0.6</v>
      </c>
    </row>
    <row r="628" spans="1:12" x14ac:dyDescent="0.25">
      <c r="A628" s="162">
        <v>39063</v>
      </c>
      <c r="B628" s="163">
        <v>2.16</v>
      </c>
      <c r="K628" s="157">
        <v>42538</v>
      </c>
      <c r="L628" s="158">
        <v>0.62</v>
      </c>
    </row>
    <row r="629" spans="1:12" x14ac:dyDescent="0.25">
      <c r="A629" s="162">
        <v>39064</v>
      </c>
      <c r="B629" s="163">
        <v>2.23</v>
      </c>
      <c r="K629" s="157">
        <v>42545</v>
      </c>
      <c r="L629" s="158">
        <v>0.68</v>
      </c>
    </row>
    <row r="630" spans="1:12" x14ac:dyDescent="0.25">
      <c r="A630" s="162">
        <v>39065</v>
      </c>
      <c r="B630" s="163">
        <v>2.2400000000000002</v>
      </c>
      <c r="K630" s="157">
        <v>42552</v>
      </c>
      <c r="L630" s="158">
        <v>0.5</v>
      </c>
    </row>
    <row r="631" spans="1:12" x14ac:dyDescent="0.25">
      <c r="A631" s="162">
        <v>39066</v>
      </c>
      <c r="B631" s="163">
        <v>2.2799999999999998</v>
      </c>
      <c r="K631" s="157">
        <v>42559</v>
      </c>
      <c r="L631" s="158">
        <v>0.36</v>
      </c>
    </row>
    <row r="632" spans="1:12" x14ac:dyDescent="0.25">
      <c r="A632" s="162">
        <v>39069</v>
      </c>
      <c r="B632" s="163">
        <v>2.31</v>
      </c>
      <c r="K632" s="157">
        <v>42566</v>
      </c>
      <c r="L632" s="158">
        <v>0.44</v>
      </c>
    </row>
    <row r="633" spans="1:12" x14ac:dyDescent="0.25">
      <c r="A633" s="162">
        <v>39070</v>
      </c>
      <c r="B633" s="163">
        <v>2.3199999999999998</v>
      </c>
      <c r="K633" s="157">
        <v>42573</v>
      </c>
      <c r="L633" s="158">
        <v>0.49</v>
      </c>
    </row>
    <row r="634" spans="1:12" x14ac:dyDescent="0.25">
      <c r="A634" s="162">
        <v>39071</v>
      </c>
      <c r="B634" s="163">
        <v>2.33</v>
      </c>
      <c r="K634" s="157">
        <v>42580</v>
      </c>
      <c r="L634" s="158">
        <v>0.4</v>
      </c>
    </row>
    <row r="635" spans="1:12" x14ac:dyDescent="0.25">
      <c r="A635" s="162">
        <v>39072</v>
      </c>
      <c r="B635" s="163">
        <v>2.31</v>
      </c>
      <c r="K635" s="157">
        <v>42587</v>
      </c>
      <c r="L635" s="158">
        <v>0.45</v>
      </c>
    </row>
    <row r="636" spans="1:12" x14ac:dyDescent="0.25">
      <c r="A636" s="162">
        <v>39073</v>
      </c>
      <c r="B636" s="163">
        <v>2.37</v>
      </c>
      <c r="K636" s="157">
        <v>42594</v>
      </c>
      <c r="L636" s="158">
        <v>0.42</v>
      </c>
    </row>
    <row r="637" spans="1:12" x14ac:dyDescent="0.25">
      <c r="A637" s="162">
        <v>39076</v>
      </c>
      <c r="B637" s="163" t="e">
        <f>NA()</f>
        <v>#N/A</v>
      </c>
      <c r="K637" s="157">
        <v>42601</v>
      </c>
      <c r="L637" s="158">
        <v>0.44</v>
      </c>
    </row>
    <row r="638" spans="1:12" x14ac:dyDescent="0.25">
      <c r="A638" s="162">
        <v>39077</v>
      </c>
      <c r="B638" s="163">
        <v>2.34</v>
      </c>
      <c r="K638" s="157">
        <v>42608</v>
      </c>
      <c r="L638" s="158">
        <v>0.42</v>
      </c>
    </row>
    <row r="639" spans="1:12" x14ac:dyDescent="0.25">
      <c r="A639" s="162">
        <v>39078</v>
      </c>
      <c r="B639" s="163">
        <v>2.39</v>
      </c>
      <c r="K639" s="157">
        <v>42615</v>
      </c>
      <c r="L639" s="158">
        <v>0.41</v>
      </c>
    </row>
    <row r="640" spans="1:12" x14ac:dyDescent="0.25">
      <c r="A640" s="162">
        <v>39079</v>
      </c>
      <c r="B640" s="163">
        <v>2.4</v>
      </c>
      <c r="K640" s="157">
        <v>42622</v>
      </c>
      <c r="L640" s="158">
        <v>0.41</v>
      </c>
    </row>
    <row r="641" spans="1:12" x14ac:dyDescent="0.25">
      <c r="A641" s="162">
        <v>39080</v>
      </c>
      <c r="B641" s="164">
        <v>2.4</v>
      </c>
      <c r="K641" s="157">
        <v>42629</v>
      </c>
      <c r="L641" s="158">
        <v>0.56999999999999995</v>
      </c>
    </row>
    <row r="642" spans="1:12" x14ac:dyDescent="0.25">
      <c r="A642" s="162">
        <v>39083</v>
      </c>
      <c r="B642" s="163" t="e">
        <f>NA()</f>
        <v>#N/A</v>
      </c>
      <c r="K642" s="157">
        <v>42636</v>
      </c>
      <c r="L642" s="158">
        <v>0.5</v>
      </c>
    </row>
    <row r="643" spans="1:12" x14ac:dyDescent="0.25">
      <c r="A643" s="162">
        <v>39084</v>
      </c>
      <c r="B643" s="163">
        <v>2.36</v>
      </c>
      <c r="K643" s="157">
        <v>42643</v>
      </c>
      <c r="L643" s="158">
        <v>0.41</v>
      </c>
    </row>
    <row r="644" spans="1:12" x14ac:dyDescent="0.25">
      <c r="A644" s="162">
        <v>39085</v>
      </c>
      <c r="B644" s="163">
        <v>2.35</v>
      </c>
      <c r="K644" s="157">
        <v>42650</v>
      </c>
      <c r="L644" s="158">
        <v>0.45</v>
      </c>
    </row>
    <row r="645" spans="1:12" x14ac:dyDescent="0.25">
      <c r="A645" s="162">
        <v>39086</v>
      </c>
      <c r="B645" s="163">
        <v>2.34</v>
      </c>
      <c r="K645" s="157">
        <v>42657</v>
      </c>
      <c r="L645" s="158">
        <v>0.52</v>
      </c>
    </row>
    <row r="646" spans="1:12" x14ac:dyDescent="0.25">
      <c r="A646" s="162">
        <v>39087</v>
      </c>
      <c r="B646" s="164">
        <v>2.36</v>
      </c>
      <c r="K646" s="157">
        <v>42664</v>
      </c>
      <c r="L646" s="158">
        <v>0.48</v>
      </c>
    </row>
    <row r="647" spans="1:12" x14ac:dyDescent="0.25">
      <c r="A647" s="162">
        <v>39090</v>
      </c>
      <c r="B647" s="163">
        <v>2.37</v>
      </c>
      <c r="K647" s="157">
        <v>42671</v>
      </c>
      <c r="L647" s="158">
        <v>0.5</v>
      </c>
    </row>
    <row r="648" spans="1:12" x14ac:dyDescent="0.25">
      <c r="A648" s="162">
        <v>39091</v>
      </c>
      <c r="B648" s="163">
        <v>2.38</v>
      </c>
      <c r="K648" s="157">
        <v>42678</v>
      </c>
      <c r="L648" s="158">
        <v>0.53</v>
      </c>
    </row>
    <row r="649" spans="1:12" x14ac:dyDescent="0.25">
      <c r="A649" s="162">
        <v>39092</v>
      </c>
      <c r="B649" s="163">
        <v>2.41</v>
      </c>
      <c r="K649" s="157">
        <v>42685</v>
      </c>
      <c r="L649" s="158">
        <v>0.61</v>
      </c>
    </row>
    <row r="650" spans="1:12" x14ac:dyDescent="0.25">
      <c r="A650" s="162">
        <v>39093</v>
      </c>
      <c r="B650" s="163">
        <v>2.46</v>
      </c>
      <c r="K650" s="157">
        <v>42692</v>
      </c>
      <c r="L650" s="158">
        <v>0.78</v>
      </c>
    </row>
    <row r="651" spans="1:12" x14ac:dyDescent="0.25">
      <c r="A651" s="162">
        <v>39094</v>
      </c>
      <c r="B651" s="163">
        <v>2.5</v>
      </c>
      <c r="K651" s="157">
        <v>42699</v>
      </c>
      <c r="L651" s="158">
        <v>0.77</v>
      </c>
    </row>
    <row r="652" spans="1:12" x14ac:dyDescent="0.25">
      <c r="A652" s="162">
        <v>39097</v>
      </c>
      <c r="B652" s="163" t="e">
        <f>NA()</f>
        <v>#N/A</v>
      </c>
      <c r="K652" s="157">
        <v>42706</v>
      </c>
      <c r="L652" s="158">
        <v>0.79</v>
      </c>
    </row>
    <row r="653" spans="1:12" x14ac:dyDescent="0.25">
      <c r="A653" s="162">
        <v>39098</v>
      </c>
      <c r="B653" s="163">
        <v>2.4700000000000002</v>
      </c>
      <c r="K653" s="157">
        <v>42713</v>
      </c>
      <c r="L653" s="158">
        <v>0.81</v>
      </c>
    </row>
    <row r="654" spans="1:12" x14ac:dyDescent="0.25">
      <c r="A654" s="162">
        <v>39099</v>
      </c>
      <c r="B654" s="163">
        <v>2.5</v>
      </c>
      <c r="K654" s="157">
        <v>42720</v>
      </c>
      <c r="L654" s="158">
        <v>0.97</v>
      </c>
    </row>
    <row r="655" spans="1:12" x14ac:dyDescent="0.25">
      <c r="A655" s="162">
        <v>39100</v>
      </c>
      <c r="B655" s="163">
        <v>2.4500000000000002</v>
      </c>
      <c r="K655" s="157">
        <v>42727</v>
      </c>
      <c r="L655" s="158">
        <v>0.93</v>
      </c>
    </row>
    <row r="656" spans="1:12" x14ac:dyDescent="0.25">
      <c r="A656" s="162">
        <v>39101</v>
      </c>
      <c r="B656" s="164">
        <v>2.4500000000000002</v>
      </c>
      <c r="K656" s="157">
        <v>42734</v>
      </c>
      <c r="L656" s="158">
        <v>0.86</v>
      </c>
    </row>
    <row r="657" spans="1:12" x14ac:dyDescent="0.25">
      <c r="A657" s="162">
        <v>39104</v>
      </c>
      <c r="B657" s="163">
        <v>2.42</v>
      </c>
      <c r="K657" s="157">
        <v>42741</v>
      </c>
      <c r="L657" s="158">
        <v>0.76</v>
      </c>
    </row>
    <row r="658" spans="1:12" x14ac:dyDescent="0.25">
      <c r="A658" s="162">
        <v>39105</v>
      </c>
      <c r="B658" s="163">
        <v>2.41</v>
      </c>
      <c r="K658" s="157">
        <v>42748</v>
      </c>
      <c r="L658" s="158">
        <v>0.72</v>
      </c>
    </row>
    <row r="659" spans="1:12" x14ac:dyDescent="0.25">
      <c r="A659" s="162">
        <v>39106</v>
      </c>
      <c r="B659" s="163">
        <v>2.4</v>
      </c>
      <c r="K659" s="157">
        <v>42755</v>
      </c>
      <c r="L659" s="158">
        <v>0.73</v>
      </c>
    </row>
    <row r="660" spans="1:12" x14ac:dyDescent="0.25">
      <c r="A660" s="162">
        <v>39107</v>
      </c>
      <c r="B660" s="163">
        <v>2.46</v>
      </c>
      <c r="K660" s="157">
        <v>42762</v>
      </c>
      <c r="L660" s="158">
        <v>0.75</v>
      </c>
    </row>
    <row r="661" spans="1:12" x14ac:dyDescent="0.25">
      <c r="A661" s="162">
        <v>39108</v>
      </c>
      <c r="B661" s="163">
        <v>2.4700000000000002</v>
      </c>
      <c r="K661" s="157">
        <v>42769</v>
      </c>
      <c r="L661" s="158">
        <v>0.77</v>
      </c>
    </row>
    <row r="662" spans="1:12" x14ac:dyDescent="0.25">
      <c r="A662" s="162">
        <v>39111</v>
      </c>
      <c r="B662" s="163">
        <v>2.4900000000000002</v>
      </c>
      <c r="K662" s="157">
        <v>42776</v>
      </c>
      <c r="L662" s="158">
        <v>0.75</v>
      </c>
    </row>
    <row r="663" spans="1:12" x14ac:dyDescent="0.25">
      <c r="A663" s="162">
        <v>39112</v>
      </c>
      <c r="B663" s="163">
        <v>2.4500000000000002</v>
      </c>
      <c r="K663" s="157">
        <v>42783</v>
      </c>
      <c r="L663" s="158">
        <v>0.75</v>
      </c>
    </row>
    <row r="664" spans="1:12" x14ac:dyDescent="0.25">
      <c r="A664" s="162">
        <v>39113</v>
      </c>
      <c r="B664" s="163">
        <v>2.4</v>
      </c>
      <c r="K664" s="157">
        <v>42790</v>
      </c>
      <c r="L664" s="158">
        <v>0.69</v>
      </c>
    </row>
    <row r="665" spans="1:12" x14ac:dyDescent="0.25">
      <c r="A665" s="162">
        <v>39114</v>
      </c>
      <c r="B665" s="163">
        <v>2.42</v>
      </c>
      <c r="K665" s="157">
        <v>42797</v>
      </c>
      <c r="L665" s="158">
        <v>0.73</v>
      </c>
    </row>
    <row r="666" spans="1:12" x14ac:dyDescent="0.25">
      <c r="A666" s="162">
        <v>39115</v>
      </c>
      <c r="B666" s="163">
        <v>2.42</v>
      </c>
      <c r="K666" s="157">
        <v>42804</v>
      </c>
      <c r="L666" s="158">
        <v>0.85</v>
      </c>
    </row>
    <row r="667" spans="1:12" x14ac:dyDescent="0.25">
      <c r="A667" s="162">
        <v>39118</v>
      </c>
      <c r="B667" s="163">
        <v>2.41</v>
      </c>
      <c r="K667" s="157">
        <v>42811</v>
      </c>
      <c r="L667" s="158">
        <v>0.85</v>
      </c>
    </row>
    <row r="668" spans="1:12" x14ac:dyDescent="0.25">
      <c r="A668" s="162">
        <v>39119</v>
      </c>
      <c r="B668" s="163">
        <v>2.41</v>
      </c>
      <c r="K668" s="157">
        <v>42818</v>
      </c>
      <c r="L668" s="158">
        <v>0.75</v>
      </c>
    </row>
    <row r="669" spans="1:12" x14ac:dyDescent="0.25">
      <c r="A669" s="162">
        <v>39120</v>
      </c>
      <c r="B669" s="163">
        <v>2.4</v>
      </c>
      <c r="K669" s="157">
        <v>42825</v>
      </c>
      <c r="L669" s="158">
        <v>0.72</v>
      </c>
    </row>
    <row r="670" spans="1:12" x14ac:dyDescent="0.25">
      <c r="A670" s="162">
        <v>39121</v>
      </c>
      <c r="B670" s="163">
        <v>2.39</v>
      </c>
      <c r="K670" s="157">
        <v>42832</v>
      </c>
      <c r="L670" s="158">
        <v>0.69</v>
      </c>
    </row>
    <row r="671" spans="1:12" x14ac:dyDescent="0.25">
      <c r="A671" s="162">
        <v>39122</v>
      </c>
      <c r="B671" s="163">
        <v>2.4300000000000002</v>
      </c>
      <c r="K671" s="157">
        <v>42839</v>
      </c>
      <c r="L671" s="158">
        <v>0.69</v>
      </c>
    </row>
    <row r="672" spans="1:12" x14ac:dyDescent="0.25">
      <c r="A672" s="162">
        <v>39125</v>
      </c>
      <c r="B672" s="163">
        <v>2.4700000000000002</v>
      </c>
      <c r="K672" s="157">
        <v>42846</v>
      </c>
      <c r="L672" s="158">
        <v>0.72</v>
      </c>
    </row>
    <row r="673" spans="1:12" x14ac:dyDescent="0.25">
      <c r="A673" s="162">
        <v>39126</v>
      </c>
      <c r="B673" s="163">
        <v>2.4700000000000002</v>
      </c>
      <c r="K673" s="157">
        <v>42853</v>
      </c>
      <c r="L673" s="158">
        <v>0.76</v>
      </c>
    </row>
    <row r="674" spans="1:12" x14ac:dyDescent="0.25">
      <c r="A674" s="162">
        <v>39127</v>
      </c>
      <c r="B674" s="163">
        <v>2.4</v>
      </c>
      <c r="K674" s="157">
        <v>42860</v>
      </c>
      <c r="L674" s="158">
        <v>0.79</v>
      </c>
    </row>
    <row r="675" spans="1:12" x14ac:dyDescent="0.25">
      <c r="A675" s="162">
        <v>39128</v>
      </c>
      <c r="B675" s="163">
        <v>2.39</v>
      </c>
      <c r="K675" s="157">
        <v>42867</v>
      </c>
      <c r="L675" s="158">
        <v>0.85</v>
      </c>
    </row>
    <row r="676" spans="1:12" x14ac:dyDescent="0.25">
      <c r="A676" s="162">
        <v>39129</v>
      </c>
      <c r="B676" s="163">
        <v>2.38</v>
      </c>
      <c r="K676" s="157">
        <v>42874</v>
      </c>
      <c r="L676" s="158">
        <v>0.79</v>
      </c>
    </row>
    <row r="677" spans="1:12" x14ac:dyDescent="0.25">
      <c r="A677" s="162">
        <v>39132</v>
      </c>
      <c r="B677" s="163" t="e">
        <f>NA()</f>
        <v>#N/A</v>
      </c>
      <c r="K677" s="157">
        <v>42881</v>
      </c>
      <c r="L677" s="158">
        <v>0.77</v>
      </c>
    </row>
    <row r="678" spans="1:12" x14ac:dyDescent="0.25">
      <c r="A678" s="162">
        <v>39133</v>
      </c>
      <c r="B678" s="163">
        <v>2.37</v>
      </c>
      <c r="K678" s="157">
        <v>42888</v>
      </c>
      <c r="L678" s="158">
        <v>0.72</v>
      </c>
    </row>
    <row r="679" spans="1:12" x14ac:dyDescent="0.25">
      <c r="A679" s="162">
        <v>39134</v>
      </c>
      <c r="B679" s="163">
        <v>2.36</v>
      </c>
      <c r="K679" s="157">
        <v>42895</v>
      </c>
      <c r="L679" s="158">
        <v>0.73</v>
      </c>
    </row>
    <row r="680" spans="1:12" x14ac:dyDescent="0.25">
      <c r="A680" s="162">
        <v>39135</v>
      </c>
      <c r="B680" s="163">
        <v>2.38</v>
      </c>
      <c r="K680" s="157">
        <v>42902</v>
      </c>
      <c r="L680" s="158">
        <v>0.77</v>
      </c>
    </row>
    <row r="681" spans="1:12" x14ac:dyDescent="0.25">
      <c r="A681" s="162">
        <v>39136</v>
      </c>
      <c r="B681" s="164">
        <v>2.34</v>
      </c>
      <c r="K681" s="157">
        <v>42909</v>
      </c>
      <c r="L681" s="158">
        <v>0.75</v>
      </c>
    </row>
    <row r="682" spans="1:12" x14ac:dyDescent="0.25">
      <c r="A682" s="162">
        <v>39139</v>
      </c>
      <c r="B682" s="163">
        <v>2.29</v>
      </c>
      <c r="K682" s="157">
        <v>42916</v>
      </c>
      <c r="L682" s="158">
        <v>0.77</v>
      </c>
    </row>
    <row r="683" spans="1:12" x14ac:dyDescent="0.25">
      <c r="A683" s="162">
        <v>39140</v>
      </c>
      <c r="B683" s="163">
        <v>2.19</v>
      </c>
      <c r="K683" s="157">
        <v>42923</v>
      </c>
      <c r="L683" s="158">
        <v>0.87</v>
      </c>
    </row>
    <row r="684" spans="1:12" x14ac:dyDescent="0.25">
      <c r="A684" s="162">
        <v>39141</v>
      </c>
      <c r="B684" s="163">
        <v>2.2400000000000002</v>
      </c>
      <c r="K684" s="157">
        <v>42930</v>
      </c>
      <c r="L684" s="158">
        <v>0.88</v>
      </c>
    </row>
    <row r="685" spans="1:12" x14ac:dyDescent="0.25">
      <c r="A685" s="162">
        <v>39142</v>
      </c>
      <c r="B685" s="163">
        <v>2.23</v>
      </c>
      <c r="K685" s="157">
        <v>42937</v>
      </c>
      <c r="L685" s="158">
        <v>0.8</v>
      </c>
    </row>
    <row r="686" spans="1:12" x14ac:dyDescent="0.25">
      <c r="A686" s="162">
        <v>39143</v>
      </c>
      <c r="B686" s="163">
        <v>2.21</v>
      </c>
      <c r="K686" s="157">
        <v>42944</v>
      </c>
      <c r="L686" s="158">
        <v>0.8</v>
      </c>
    </row>
    <row r="687" spans="1:12" x14ac:dyDescent="0.25">
      <c r="A687" s="162">
        <v>39146</v>
      </c>
      <c r="B687" s="163">
        <v>2.2200000000000002</v>
      </c>
      <c r="K687" s="157">
        <v>42951</v>
      </c>
      <c r="L687" s="158">
        <v>0.78</v>
      </c>
    </row>
    <row r="688" spans="1:12" x14ac:dyDescent="0.25">
      <c r="A688" s="162">
        <v>39147</v>
      </c>
      <c r="B688" s="163">
        <v>2.2400000000000002</v>
      </c>
      <c r="K688" s="157">
        <v>42958</v>
      </c>
      <c r="L688" s="158">
        <v>0.73</v>
      </c>
    </row>
    <row r="689" spans="1:12" x14ac:dyDescent="0.25">
      <c r="A689" s="162">
        <v>39148</v>
      </c>
      <c r="B689" s="163">
        <v>2.2200000000000002</v>
      </c>
      <c r="K689" s="157">
        <v>42965</v>
      </c>
      <c r="L689" s="158">
        <v>0.75</v>
      </c>
    </row>
    <row r="690" spans="1:12" x14ac:dyDescent="0.25">
      <c r="A690" s="162">
        <v>39149</v>
      </c>
      <c r="B690" s="163">
        <v>2.2400000000000002</v>
      </c>
      <c r="K690" s="157">
        <v>42972</v>
      </c>
      <c r="L690" s="158">
        <v>0.73</v>
      </c>
    </row>
    <row r="691" spans="1:12" x14ac:dyDescent="0.25">
      <c r="A691" s="162">
        <v>39150</v>
      </c>
      <c r="B691" s="163">
        <v>2.31</v>
      </c>
      <c r="K691" s="157">
        <v>42979</v>
      </c>
      <c r="L691" s="158">
        <v>0.69</v>
      </c>
    </row>
    <row r="692" spans="1:12" x14ac:dyDescent="0.25">
      <c r="A692" s="162">
        <v>39153</v>
      </c>
      <c r="B692" s="163">
        <v>2.2999999999999998</v>
      </c>
      <c r="K692" s="157">
        <v>42986</v>
      </c>
      <c r="L692" s="158">
        <v>0.6</v>
      </c>
    </row>
    <row r="693" spans="1:12" x14ac:dyDescent="0.25">
      <c r="A693" s="162">
        <v>39154</v>
      </c>
      <c r="B693" s="163">
        <v>2.2599999999999998</v>
      </c>
      <c r="K693" s="157">
        <v>42993</v>
      </c>
      <c r="L693" s="158">
        <v>0.65</v>
      </c>
    </row>
    <row r="694" spans="1:12" x14ac:dyDescent="0.25">
      <c r="A694" s="162">
        <v>39155</v>
      </c>
      <c r="B694" s="163">
        <v>2.29</v>
      </c>
      <c r="K694" s="157">
        <v>43000</v>
      </c>
      <c r="L694" s="158">
        <v>0.7</v>
      </c>
    </row>
    <row r="695" spans="1:12" x14ac:dyDescent="0.25">
      <c r="A695" s="162">
        <v>39156</v>
      </c>
      <c r="B695" s="163">
        <v>2.2599999999999998</v>
      </c>
      <c r="K695" s="157">
        <v>43007</v>
      </c>
      <c r="L695" s="158">
        <v>0.72</v>
      </c>
    </row>
    <row r="696" spans="1:12" x14ac:dyDescent="0.25">
      <c r="A696" s="162">
        <v>39157</v>
      </c>
      <c r="B696" s="163">
        <v>2.2599999999999998</v>
      </c>
      <c r="K696" s="157">
        <v>43014</v>
      </c>
      <c r="L696" s="158">
        <v>0.78</v>
      </c>
    </row>
    <row r="697" spans="1:12" x14ac:dyDescent="0.25">
      <c r="A697" s="162">
        <v>39160</v>
      </c>
      <c r="B697" s="163">
        <v>2.2799999999999998</v>
      </c>
      <c r="K697" s="157">
        <v>43021</v>
      </c>
      <c r="L697" s="158">
        <v>0.74</v>
      </c>
    </row>
    <row r="698" spans="1:12" x14ac:dyDescent="0.25">
      <c r="A698" s="162">
        <v>39161</v>
      </c>
      <c r="B698" s="163">
        <v>2.29</v>
      </c>
      <c r="K698" s="157">
        <v>43028</v>
      </c>
      <c r="L698" s="158">
        <v>0.74</v>
      </c>
    </row>
    <row r="699" spans="1:12" x14ac:dyDescent="0.25">
      <c r="A699" s="162">
        <v>39162</v>
      </c>
      <c r="B699" s="163">
        <v>2.25</v>
      </c>
      <c r="K699" s="157">
        <v>43035</v>
      </c>
      <c r="L699" s="158">
        <v>0.81</v>
      </c>
    </row>
    <row r="700" spans="1:12" x14ac:dyDescent="0.25">
      <c r="A700" s="162">
        <v>39163</v>
      </c>
      <c r="B700" s="163">
        <v>2.2799999999999998</v>
      </c>
      <c r="K700" s="157">
        <v>43042</v>
      </c>
      <c r="L700" s="158">
        <v>0.75</v>
      </c>
    </row>
    <row r="701" spans="1:12" x14ac:dyDescent="0.25">
      <c r="A701" s="162">
        <v>39164</v>
      </c>
      <c r="B701" s="163">
        <v>2.29</v>
      </c>
      <c r="K701" s="157">
        <v>43049</v>
      </c>
      <c r="L701" s="158">
        <v>0.71</v>
      </c>
    </row>
    <row r="702" spans="1:12" x14ac:dyDescent="0.25">
      <c r="A702" s="162">
        <v>39167</v>
      </c>
      <c r="B702" s="163">
        <v>2.2599999999999998</v>
      </c>
      <c r="K702" s="157">
        <v>43056</v>
      </c>
      <c r="L702" s="158">
        <v>0.73</v>
      </c>
    </row>
    <row r="703" spans="1:12" x14ac:dyDescent="0.25">
      <c r="A703" s="162">
        <v>39168</v>
      </c>
      <c r="B703" s="163">
        <v>2.27</v>
      </c>
      <c r="K703" s="157">
        <v>43063</v>
      </c>
      <c r="L703" s="158">
        <v>0.71</v>
      </c>
    </row>
    <row r="704" spans="1:12" x14ac:dyDescent="0.25">
      <c r="A704" s="162">
        <v>39169</v>
      </c>
      <c r="B704" s="163">
        <v>2.2999999999999998</v>
      </c>
      <c r="K704" s="157">
        <v>43070</v>
      </c>
      <c r="L704" s="158">
        <v>0.72</v>
      </c>
    </row>
    <row r="705" spans="1:12" x14ac:dyDescent="0.25">
      <c r="A705" s="162">
        <v>39170</v>
      </c>
      <c r="B705" s="163">
        <v>2.2999999999999998</v>
      </c>
      <c r="K705" s="157">
        <v>43077</v>
      </c>
      <c r="L705" s="158">
        <v>0.67</v>
      </c>
    </row>
    <row r="706" spans="1:12" x14ac:dyDescent="0.25">
      <c r="A706" s="162">
        <v>39171</v>
      </c>
      <c r="B706" s="163">
        <v>2.3199999999999998</v>
      </c>
      <c r="K706" s="157">
        <v>43084</v>
      </c>
      <c r="L706" s="158">
        <v>0.67</v>
      </c>
    </row>
    <row r="707" spans="1:12" x14ac:dyDescent="0.25">
      <c r="A707" s="162">
        <v>39174</v>
      </c>
      <c r="B707" s="163">
        <v>2.31</v>
      </c>
      <c r="K707" s="157">
        <v>43091</v>
      </c>
      <c r="L707" s="158">
        <v>0.71</v>
      </c>
    </row>
    <row r="708" spans="1:12" x14ac:dyDescent="0.25">
      <c r="A708" s="162">
        <v>39175</v>
      </c>
      <c r="B708" s="163">
        <v>2.34</v>
      </c>
      <c r="K708" s="157">
        <v>43098</v>
      </c>
      <c r="L708" s="158">
        <v>0.65</v>
      </c>
    </row>
    <row r="709" spans="1:12" x14ac:dyDescent="0.25">
      <c r="A709" s="162">
        <v>39176</v>
      </c>
      <c r="B709" s="163">
        <v>2.33</v>
      </c>
      <c r="K709" s="157">
        <v>43105</v>
      </c>
      <c r="L709" s="158">
        <v>0.63</v>
      </c>
    </row>
    <row r="710" spans="1:12" x14ac:dyDescent="0.25">
      <c r="A710" s="162">
        <v>39177</v>
      </c>
      <c r="B710" s="163">
        <v>2.34</v>
      </c>
      <c r="K710" s="157">
        <v>43112</v>
      </c>
      <c r="L710" s="158">
        <v>0.69</v>
      </c>
    </row>
    <row r="711" spans="1:12" x14ac:dyDescent="0.25">
      <c r="A711" s="162">
        <v>39178</v>
      </c>
      <c r="B711" s="163">
        <v>2.37</v>
      </c>
      <c r="K711" s="157">
        <v>43119</v>
      </c>
      <c r="L711" s="158">
        <v>0.7</v>
      </c>
    </row>
    <row r="712" spans="1:12" x14ac:dyDescent="0.25">
      <c r="A712" s="162">
        <v>39181</v>
      </c>
      <c r="B712" s="163">
        <v>2.38</v>
      </c>
      <c r="K712" s="157">
        <v>43126</v>
      </c>
      <c r="L712" s="158">
        <v>0.71</v>
      </c>
    </row>
    <row r="713" spans="1:12" x14ac:dyDescent="0.25">
      <c r="A713" s="162">
        <v>39182</v>
      </c>
      <c r="B713" s="163">
        <v>2.37</v>
      </c>
      <c r="K713" s="157">
        <v>43133</v>
      </c>
      <c r="L713" s="158">
        <v>0.76</v>
      </c>
    </row>
    <row r="714" spans="1:12" x14ac:dyDescent="0.25">
      <c r="A714" s="162">
        <v>39183</v>
      </c>
      <c r="B714" s="163">
        <v>2.38</v>
      </c>
      <c r="K714" s="157">
        <v>43140</v>
      </c>
      <c r="L714" s="158">
        <v>0.86</v>
      </c>
    </row>
    <row r="715" spans="1:12" x14ac:dyDescent="0.25">
      <c r="A715" s="162">
        <v>39184</v>
      </c>
      <c r="B715" s="163">
        <v>2.39</v>
      </c>
      <c r="K715" s="157">
        <v>43147</v>
      </c>
      <c r="L715" s="158">
        <v>0.92</v>
      </c>
    </row>
    <row r="716" spans="1:12" x14ac:dyDescent="0.25">
      <c r="A716" s="162">
        <v>39185</v>
      </c>
      <c r="B716" s="163">
        <v>2.41</v>
      </c>
      <c r="K716" s="157">
        <v>43154</v>
      </c>
      <c r="L716" s="158">
        <v>0.94</v>
      </c>
    </row>
    <row r="717" spans="1:12" x14ac:dyDescent="0.25">
      <c r="A717" s="162">
        <v>39188</v>
      </c>
      <c r="B717" s="163">
        <v>2.39</v>
      </c>
      <c r="K717" s="157">
        <v>43161</v>
      </c>
      <c r="L717" s="158">
        <v>0.89</v>
      </c>
    </row>
    <row r="718" spans="1:12" x14ac:dyDescent="0.25">
      <c r="A718" s="162">
        <v>39189</v>
      </c>
      <c r="B718" s="163">
        <v>2.35</v>
      </c>
      <c r="K718" s="157">
        <v>43168</v>
      </c>
      <c r="L718" s="158">
        <v>0.91</v>
      </c>
    </row>
    <row r="719" spans="1:12" x14ac:dyDescent="0.25">
      <c r="A719" s="162">
        <v>39190</v>
      </c>
      <c r="B719" s="163">
        <v>2.34</v>
      </c>
      <c r="K719" s="157">
        <v>43175</v>
      </c>
      <c r="L719" s="158">
        <v>0.9</v>
      </c>
    </row>
    <row r="720" spans="1:12" x14ac:dyDescent="0.25">
      <c r="A720" s="162">
        <v>39191</v>
      </c>
      <c r="B720" s="163">
        <v>2.35</v>
      </c>
      <c r="K720" s="157">
        <v>43182</v>
      </c>
      <c r="L720" s="158">
        <v>0.91</v>
      </c>
    </row>
    <row r="721" spans="1:12" x14ac:dyDescent="0.25">
      <c r="A721" s="162">
        <v>39192</v>
      </c>
      <c r="B721" s="163">
        <v>2.35</v>
      </c>
      <c r="K721" s="157">
        <v>43189</v>
      </c>
      <c r="L721" s="158">
        <v>0.85</v>
      </c>
    </row>
    <row r="722" spans="1:12" x14ac:dyDescent="0.25">
      <c r="A722" s="162">
        <v>39195</v>
      </c>
      <c r="B722" s="163">
        <v>2.33</v>
      </c>
      <c r="K722" s="157">
        <v>43196</v>
      </c>
      <c r="L722" s="158">
        <v>0.84</v>
      </c>
    </row>
    <row r="723" spans="1:12" x14ac:dyDescent="0.25">
      <c r="A723" s="162">
        <v>39196</v>
      </c>
      <c r="B723" s="163">
        <v>2.3199999999999998</v>
      </c>
      <c r="K723" s="157">
        <v>43203</v>
      </c>
      <c r="L723" s="158">
        <v>0.82</v>
      </c>
    </row>
    <row r="724" spans="1:12" x14ac:dyDescent="0.25">
      <c r="A724" s="162">
        <v>39197</v>
      </c>
      <c r="B724" s="163">
        <v>2.34</v>
      </c>
      <c r="K724" s="157">
        <v>43210</v>
      </c>
      <c r="L724" s="158">
        <v>0.82</v>
      </c>
    </row>
    <row r="725" spans="1:12" x14ac:dyDescent="0.25">
      <c r="A725" s="162">
        <v>39198</v>
      </c>
      <c r="B725" s="163">
        <v>2.37</v>
      </c>
      <c r="K725" s="157">
        <v>43217</v>
      </c>
      <c r="L725" s="158">
        <v>0.91</v>
      </c>
    </row>
    <row r="726" spans="1:12" x14ac:dyDescent="0.25">
      <c r="A726" s="162">
        <v>39199</v>
      </c>
      <c r="B726" s="163">
        <v>2.37</v>
      </c>
      <c r="K726" s="157">
        <v>43224</v>
      </c>
      <c r="L726" s="158">
        <v>0.88</v>
      </c>
    </row>
    <row r="727" spans="1:12" x14ac:dyDescent="0.25">
      <c r="A727" s="162">
        <v>39202</v>
      </c>
      <c r="B727" s="163">
        <v>2.31</v>
      </c>
      <c r="K727" s="157">
        <v>43231</v>
      </c>
      <c r="L727" s="158">
        <v>0.89</v>
      </c>
    </row>
    <row r="728" spans="1:12" x14ac:dyDescent="0.25">
      <c r="A728" s="162">
        <v>39203</v>
      </c>
      <c r="B728" s="163">
        <v>2.3199999999999998</v>
      </c>
      <c r="K728" s="157">
        <v>43238</v>
      </c>
      <c r="L728" s="158">
        <v>0.98</v>
      </c>
    </row>
    <row r="729" spans="1:12" x14ac:dyDescent="0.25">
      <c r="A729" s="162">
        <v>39204</v>
      </c>
      <c r="B729" s="163">
        <v>2.33</v>
      </c>
      <c r="K729" s="157">
        <v>43245</v>
      </c>
      <c r="L729" s="158">
        <v>0.96</v>
      </c>
    </row>
    <row r="730" spans="1:12" x14ac:dyDescent="0.25">
      <c r="A730" s="162">
        <v>39205</v>
      </c>
      <c r="B730" s="163">
        <v>2.34</v>
      </c>
      <c r="K730" s="157">
        <v>43252</v>
      </c>
      <c r="L730" s="158">
        <v>0.86</v>
      </c>
    </row>
    <row r="731" spans="1:12" x14ac:dyDescent="0.25">
      <c r="A731" s="162">
        <v>39206</v>
      </c>
      <c r="B731" s="163">
        <v>2.35</v>
      </c>
      <c r="K731" s="157">
        <v>43259</v>
      </c>
      <c r="L731" s="158">
        <v>0.89</v>
      </c>
    </row>
    <row r="732" spans="1:12" x14ac:dyDescent="0.25">
      <c r="A732" s="162">
        <v>39209</v>
      </c>
      <c r="B732" s="163">
        <v>2.36</v>
      </c>
      <c r="K732" s="157">
        <v>43266</v>
      </c>
      <c r="L732" s="158">
        <v>0.91</v>
      </c>
    </row>
    <row r="733" spans="1:12" x14ac:dyDescent="0.25">
      <c r="A733" s="162">
        <v>39210</v>
      </c>
      <c r="B733" s="163">
        <v>2.37</v>
      </c>
      <c r="K733" s="157">
        <v>43273</v>
      </c>
      <c r="L733" s="158">
        <v>0.87</v>
      </c>
    </row>
    <row r="734" spans="1:12" x14ac:dyDescent="0.25">
      <c r="A734" s="162">
        <v>39211</v>
      </c>
      <c r="B734" s="163">
        <v>2.39</v>
      </c>
      <c r="K734" s="157">
        <v>43280</v>
      </c>
      <c r="L734" s="158">
        <v>0.82</v>
      </c>
    </row>
    <row r="735" spans="1:12" x14ac:dyDescent="0.25">
      <c r="A735" s="162">
        <v>39212</v>
      </c>
      <c r="B735" s="163">
        <v>2.38</v>
      </c>
      <c r="K735" s="157">
        <v>43287</v>
      </c>
      <c r="L735" s="158">
        <v>0.78</v>
      </c>
    </row>
    <row r="736" spans="1:12" x14ac:dyDescent="0.25">
      <c r="A736" s="162">
        <v>39213</v>
      </c>
      <c r="B736" s="163">
        <v>2.41</v>
      </c>
      <c r="K736" s="157">
        <v>43294</v>
      </c>
      <c r="L736" s="158">
        <v>0.8</v>
      </c>
    </row>
    <row r="737" spans="1:12" x14ac:dyDescent="0.25">
      <c r="A737" s="162">
        <v>39216</v>
      </c>
      <c r="B737" s="163">
        <v>2.42</v>
      </c>
      <c r="K737" s="157">
        <v>43301</v>
      </c>
      <c r="L737" s="158">
        <v>0.83</v>
      </c>
    </row>
    <row r="738" spans="1:12" x14ac:dyDescent="0.25">
      <c r="A738" s="162">
        <v>39217</v>
      </c>
      <c r="B738" s="163">
        <v>2.4700000000000002</v>
      </c>
      <c r="K738" s="157">
        <v>43308</v>
      </c>
      <c r="L738" s="158">
        <v>0.9</v>
      </c>
    </row>
    <row r="739" spans="1:12" x14ac:dyDescent="0.25">
      <c r="A739" s="162">
        <v>39218</v>
      </c>
      <c r="B739" s="163">
        <v>2.46</v>
      </c>
      <c r="K739" s="157">
        <v>43315</v>
      </c>
      <c r="L739" s="158">
        <v>0.91</v>
      </c>
    </row>
    <row r="740" spans="1:12" x14ac:dyDescent="0.25">
      <c r="A740" s="162">
        <v>39219</v>
      </c>
      <c r="B740" s="163">
        <v>2.4900000000000002</v>
      </c>
      <c r="K740" s="157">
        <v>43322</v>
      </c>
      <c r="L740" s="158">
        <v>0.89</v>
      </c>
    </row>
    <row r="741" spans="1:12" x14ac:dyDescent="0.25">
      <c r="A741" s="162">
        <v>39220</v>
      </c>
      <c r="B741" s="163">
        <v>2.52</v>
      </c>
      <c r="K741" s="157">
        <v>43329</v>
      </c>
      <c r="L741" s="158">
        <v>0.86</v>
      </c>
    </row>
    <row r="742" spans="1:12" x14ac:dyDescent="0.25">
      <c r="A742" s="162">
        <v>39223</v>
      </c>
      <c r="B742" s="163">
        <v>2.4900000000000002</v>
      </c>
      <c r="K742" s="157">
        <v>43336</v>
      </c>
      <c r="L742" s="158">
        <v>0.82</v>
      </c>
    </row>
    <row r="743" spans="1:12" x14ac:dyDescent="0.25">
      <c r="A743" s="162">
        <v>39224</v>
      </c>
      <c r="B743" s="163">
        <v>2.54</v>
      </c>
      <c r="K743" s="157">
        <v>43343</v>
      </c>
      <c r="L743" s="158">
        <v>0.83</v>
      </c>
    </row>
    <row r="744" spans="1:12" x14ac:dyDescent="0.25">
      <c r="A744" s="162">
        <v>39225</v>
      </c>
      <c r="B744" s="163">
        <v>2.5499999999999998</v>
      </c>
      <c r="K744" s="157">
        <v>43350</v>
      </c>
      <c r="L744" s="158">
        <v>0.89</v>
      </c>
    </row>
    <row r="745" spans="1:12" x14ac:dyDescent="0.25">
      <c r="A745" s="162">
        <v>39226</v>
      </c>
      <c r="B745" s="163">
        <v>2.52</v>
      </c>
      <c r="K745" s="157">
        <v>43357</v>
      </c>
      <c r="L745" s="158">
        <v>0.92</v>
      </c>
    </row>
    <row r="746" spans="1:12" x14ac:dyDescent="0.25">
      <c r="A746" s="162">
        <v>39227</v>
      </c>
      <c r="B746" s="163">
        <v>2.52</v>
      </c>
      <c r="K746" s="157">
        <v>43364</v>
      </c>
      <c r="L746" s="158">
        <v>0.98</v>
      </c>
    </row>
    <row r="747" spans="1:12" x14ac:dyDescent="0.25">
      <c r="A747" s="162">
        <v>39230</v>
      </c>
      <c r="B747" s="163" t="e">
        <f>NA()</f>
        <v>#N/A</v>
      </c>
      <c r="K747" s="157">
        <v>43371</v>
      </c>
      <c r="L747" s="158">
        <v>0.98</v>
      </c>
    </row>
    <row r="748" spans="1:12" x14ac:dyDescent="0.25">
      <c r="A748" s="162">
        <v>39231</v>
      </c>
      <c r="B748" s="163">
        <v>2.56</v>
      </c>
      <c r="K748" s="157">
        <v>43378</v>
      </c>
      <c r="L748" s="158">
        <v>1.07</v>
      </c>
    </row>
    <row r="749" spans="1:12" x14ac:dyDescent="0.25">
      <c r="A749" s="162">
        <v>39232</v>
      </c>
      <c r="B749" s="163">
        <v>2.54</v>
      </c>
      <c r="K749" s="157">
        <v>43385</v>
      </c>
      <c r="L749" s="158">
        <v>1.1299999999999999</v>
      </c>
    </row>
    <row r="750" spans="1:12" x14ac:dyDescent="0.25">
      <c r="A750" s="162">
        <v>39233</v>
      </c>
      <c r="B750" s="163">
        <v>2.5299999999999998</v>
      </c>
      <c r="K750" s="157">
        <v>43392</v>
      </c>
      <c r="L750" s="158">
        <v>1.1499999999999999</v>
      </c>
    </row>
    <row r="751" spans="1:12" x14ac:dyDescent="0.25">
      <c r="A751" s="162">
        <v>39234</v>
      </c>
      <c r="B751" s="164">
        <v>2.57</v>
      </c>
      <c r="K751" s="157">
        <v>43399</v>
      </c>
      <c r="L751" s="158">
        <v>1.17</v>
      </c>
    </row>
    <row r="752" spans="1:12" x14ac:dyDescent="0.25">
      <c r="A752" s="162">
        <v>39237</v>
      </c>
      <c r="B752" s="163">
        <v>2.5299999999999998</v>
      </c>
      <c r="K752" s="157">
        <v>43406</v>
      </c>
      <c r="L752" s="158">
        <v>1.21</v>
      </c>
    </row>
    <row r="753" spans="1:12" x14ac:dyDescent="0.25">
      <c r="A753" s="162">
        <v>39238</v>
      </c>
      <c r="B753" s="163">
        <v>2.58</v>
      </c>
      <c r="K753" s="157">
        <v>43413</v>
      </c>
      <c r="L753" s="158">
        <v>1.25</v>
      </c>
    </row>
    <row r="754" spans="1:12" x14ac:dyDescent="0.25">
      <c r="A754" s="162">
        <v>39239</v>
      </c>
      <c r="B754" s="163">
        <v>2.57</v>
      </c>
      <c r="K754" s="157">
        <v>43420</v>
      </c>
      <c r="L754" s="158">
        <v>1.21</v>
      </c>
    </row>
    <row r="755" spans="1:12" x14ac:dyDescent="0.25">
      <c r="A755" s="162">
        <v>39240</v>
      </c>
      <c r="B755" s="163">
        <v>2.68</v>
      </c>
      <c r="K755" s="157">
        <v>43427</v>
      </c>
      <c r="L755" s="158">
        <v>1.19</v>
      </c>
    </row>
    <row r="756" spans="1:12" x14ac:dyDescent="0.25">
      <c r="A756" s="162">
        <v>39241</v>
      </c>
      <c r="B756" s="163">
        <v>2.67</v>
      </c>
      <c r="K756" s="157">
        <v>43434</v>
      </c>
      <c r="L756" s="158">
        <v>1.2</v>
      </c>
    </row>
    <row r="757" spans="1:12" x14ac:dyDescent="0.25">
      <c r="A757" s="162">
        <v>39244</v>
      </c>
      <c r="B757" s="163">
        <v>2.69</v>
      </c>
      <c r="K757" s="157">
        <v>43441</v>
      </c>
      <c r="L757" s="158">
        <v>1.08</v>
      </c>
    </row>
    <row r="758" spans="1:12" x14ac:dyDescent="0.25">
      <c r="A758" s="162">
        <v>39245</v>
      </c>
      <c r="B758" s="163">
        <v>2.79</v>
      </c>
      <c r="K758" s="157">
        <v>43448</v>
      </c>
      <c r="L758" s="158">
        <v>1.1499999999999999</v>
      </c>
    </row>
    <row r="759" spans="1:12" x14ac:dyDescent="0.25">
      <c r="A759" s="162">
        <v>39246</v>
      </c>
      <c r="B759" s="163">
        <v>2.71</v>
      </c>
      <c r="K759" s="157">
        <v>43455</v>
      </c>
      <c r="L759" s="158">
        <v>1.1000000000000001</v>
      </c>
    </row>
    <row r="760" spans="1:12" x14ac:dyDescent="0.25">
      <c r="A760" s="162">
        <v>39247</v>
      </c>
      <c r="B760" s="163">
        <v>2.74</v>
      </c>
      <c r="K760" s="157">
        <v>43462</v>
      </c>
      <c r="L760" s="158">
        <v>1.1200000000000001</v>
      </c>
    </row>
    <row r="761" spans="1:12" x14ac:dyDescent="0.25">
      <c r="A761" s="162">
        <v>39248</v>
      </c>
      <c r="B761" s="163">
        <v>2.72</v>
      </c>
      <c r="K761" s="157">
        <v>43469</v>
      </c>
      <c r="L761" s="158">
        <v>1.06</v>
      </c>
    </row>
    <row r="762" spans="1:12" x14ac:dyDescent="0.25">
      <c r="A762" s="162">
        <v>39251</v>
      </c>
      <c r="B762" s="163">
        <v>2.72</v>
      </c>
      <c r="K762" s="157">
        <v>43476</v>
      </c>
      <c r="L762" s="158">
        <v>1.05</v>
      </c>
    </row>
    <row r="763" spans="1:12" x14ac:dyDescent="0.25">
      <c r="A763" s="162">
        <v>39252</v>
      </c>
      <c r="B763" s="163">
        <v>2.67</v>
      </c>
      <c r="K763" s="157">
        <v>43483</v>
      </c>
      <c r="L763" s="158">
        <v>1.08</v>
      </c>
    </row>
    <row r="764" spans="1:12" x14ac:dyDescent="0.25">
      <c r="A764" s="162">
        <v>39253</v>
      </c>
      <c r="B764" s="163">
        <v>2.72</v>
      </c>
      <c r="K764" s="157">
        <v>43490</v>
      </c>
      <c r="L764" s="158">
        <v>1.1000000000000001</v>
      </c>
    </row>
    <row r="765" spans="1:12" x14ac:dyDescent="0.25">
      <c r="A765" s="162">
        <v>39254</v>
      </c>
      <c r="B765" s="163">
        <v>2.72</v>
      </c>
      <c r="K765" s="157">
        <v>43497</v>
      </c>
      <c r="L765" s="158">
        <v>1.03</v>
      </c>
    </row>
    <row r="766" spans="1:12" x14ac:dyDescent="0.25">
      <c r="A766" s="162">
        <v>39255</v>
      </c>
      <c r="B766" s="163">
        <v>2.68</v>
      </c>
      <c r="K766" s="157">
        <v>43504</v>
      </c>
      <c r="L766" s="158">
        <v>0.99</v>
      </c>
    </row>
    <row r="767" spans="1:12" x14ac:dyDescent="0.25">
      <c r="A767" s="162">
        <v>39258</v>
      </c>
      <c r="B767" s="163">
        <v>2.65</v>
      </c>
      <c r="K767" s="157">
        <v>43511</v>
      </c>
      <c r="L767" s="158">
        <v>0.98</v>
      </c>
    </row>
    <row r="768" spans="1:12" x14ac:dyDescent="0.25">
      <c r="A768" s="162">
        <v>39259</v>
      </c>
      <c r="B768" s="163">
        <v>2.69</v>
      </c>
      <c r="K768" s="157">
        <v>43518</v>
      </c>
      <c r="L768" s="158">
        <v>0.93</v>
      </c>
    </row>
    <row r="769" spans="1:12" x14ac:dyDescent="0.25">
      <c r="A769" s="162">
        <v>39260</v>
      </c>
      <c r="B769" s="163">
        <v>2.67</v>
      </c>
      <c r="K769" s="157">
        <v>43525</v>
      </c>
      <c r="L769" s="158">
        <v>0.94</v>
      </c>
    </row>
    <row r="770" spans="1:12" x14ac:dyDescent="0.25">
      <c r="A770" s="162">
        <v>39261</v>
      </c>
      <c r="B770" s="163">
        <v>2.69</v>
      </c>
      <c r="K770" s="157">
        <v>43532</v>
      </c>
      <c r="L770" s="158">
        <v>0.94</v>
      </c>
    </row>
    <row r="771" spans="1:12" x14ac:dyDescent="0.25">
      <c r="A771" s="162">
        <v>39262</v>
      </c>
      <c r="B771" s="163">
        <v>2.64</v>
      </c>
      <c r="K771" s="157">
        <v>43539</v>
      </c>
      <c r="L771" s="158">
        <v>0.89</v>
      </c>
    </row>
    <row r="772" spans="1:12" x14ac:dyDescent="0.25">
      <c r="A772" s="162">
        <v>39265</v>
      </c>
      <c r="B772" s="163">
        <v>2.6</v>
      </c>
      <c r="K772" s="157">
        <v>43546</v>
      </c>
      <c r="L772" s="158">
        <v>0.8</v>
      </c>
    </row>
    <row r="773" spans="1:12" x14ac:dyDescent="0.25">
      <c r="A773" s="162">
        <v>39266</v>
      </c>
      <c r="B773" s="163">
        <v>2.65</v>
      </c>
      <c r="K773" s="157">
        <v>43553</v>
      </c>
      <c r="L773" s="158">
        <v>0.75</v>
      </c>
    </row>
    <row r="774" spans="1:12" x14ac:dyDescent="0.25">
      <c r="A774" s="162">
        <v>39267</v>
      </c>
      <c r="B774" s="163" t="e">
        <f>NA()</f>
        <v>#N/A</v>
      </c>
      <c r="K774" s="157">
        <v>43560</v>
      </c>
      <c r="L774" s="158">
        <v>0.79</v>
      </c>
    </row>
    <row r="775" spans="1:12" x14ac:dyDescent="0.25">
      <c r="A775" s="162">
        <v>39268</v>
      </c>
      <c r="B775" s="163">
        <v>2.73</v>
      </c>
      <c r="K775" s="157">
        <v>43567</v>
      </c>
      <c r="L775" s="158">
        <v>0.78</v>
      </c>
    </row>
    <row r="776" spans="1:12" x14ac:dyDescent="0.25">
      <c r="A776" s="162">
        <v>39269</v>
      </c>
      <c r="B776" s="163">
        <v>2.76</v>
      </c>
      <c r="K776" s="157">
        <v>43574</v>
      </c>
      <c r="L776" s="158">
        <v>0.82</v>
      </c>
    </row>
    <row r="777" spans="1:12" x14ac:dyDescent="0.25">
      <c r="A777" s="162">
        <v>39272</v>
      </c>
      <c r="B777" s="163">
        <v>2.72</v>
      </c>
      <c r="K777" s="157">
        <v>43581</v>
      </c>
      <c r="L777" s="158">
        <v>0.78</v>
      </c>
    </row>
    <row r="778" spans="1:12" x14ac:dyDescent="0.25">
      <c r="A778" s="162">
        <v>39273</v>
      </c>
      <c r="B778" s="164">
        <v>2.61</v>
      </c>
      <c r="K778" s="157">
        <v>43588</v>
      </c>
      <c r="L778" s="158">
        <v>0.8</v>
      </c>
    </row>
    <row r="779" spans="1:12" x14ac:dyDescent="0.25">
      <c r="A779" s="162">
        <v>39274</v>
      </c>
      <c r="B779" s="163">
        <v>2.68</v>
      </c>
      <c r="K779" s="157">
        <v>43595</v>
      </c>
      <c r="L779" s="158">
        <v>0.79</v>
      </c>
    </row>
    <row r="780" spans="1:12" x14ac:dyDescent="0.25">
      <c r="A780" s="162">
        <v>39275</v>
      </c>
      <c r="B780" s="163">
        <v>2.71</v>
      </c>
      <c r="K780" s="157">
        <v>43602</v>
      </c>
      <c r="L780" s="158">
        <v>0.76</v>
      </c>
    </row>
    <row r="781" spans="1:12" x14ac:dyDescent="0.25">
      <c r="A781" s="162">
        <v>39276</v>
      </c>
      <c r="B781" s="163">
        <v>2.69</v>
      </c>
      <c r="K781" s="157">
        <v>43609</v>
      </c>
      <c r="L781" s="158">
        <v>0.76</v>
      </c>
    </row>
    <row r="782" spans="1:12" x14ac:dyDescent="0.25">
      <c r="A782" s="162">
        <v>39279</v>
      </c>
      <c r="B782" s="163">
        <v>2.66</v>
      </c>
      <c r="K782" s="157">
        <v>43616</v>
      </c>
      <c r="L782" s="158">
        <v>0.66</v>
      </c>
    </row>
    <row r="783" spans="1:12" x14ac:dyDescent="0.25">
      <c r="A783" s="162">
        <v>39280</v>
      </c>
      <c r="B783" s="163">
        <v>2.69</v>
      </c>
      <c r="K783" s="157">
        <v>43623</v>
      </c>
      <c r="L783" s="158">
        <v>0.56999999999999995</v>
      </c>
    </row>
    <row r="784" spans="1:12" x14ac:dyDescent="0.25">
      <c r="A784" s="162">
        <v>39281</v>
      </c>
      <c r="B784" s="163">
        <v>2.63</v>
      </c>
      <c r="K784" s="157">
        <v>43630</v>
      </c>
      <c r="L784" s="158">
        <v>0.64</v>
      </c>
    </row>
    <row r="785" spans="1:12" x14ac:dyDescent="0.25">
      <c r="A785" s="162">
        <v>39282</v>
      </c>
      <c r="B785" s="163">
        <v>2.63</v>
      </c>
      <c r="K785" s="157">
        <v>43637</v>
      </c>
      <c r="L785" s="158">
        <v>0.6</v>
      </c>
    </row>
    <row r="786" spans="1:12" x14ac:dyDescent="0.25">
      <c r="A786" s="162">
        <v>39283</v>
      </c>
      <c r="B786" s="163">
        <v>2.59</v>
      </c>
      <c r="K786" s="157">
        <v>43644</v>
      </c>
      <c r="L786" s="158">
        <v>0.56000000000000005</v>
      </c>
    </row>
    <row r="787" spans="1:12" x14ac:dyDescent="0.25">
      <c r="A787" s="162">
        <v>39286</v>
      </c>
      <c r="B787" s="163">
        <v>2.62</v>
      </c>
      <c r="K787" s="157">
        <v>43651</v>
      </c>
      <c r="L787" s="158">
        <v>0.56999999999999995</v>
      </c>
    </row>
    <row r="788" spans="1:12" x14ac:dyDescent="0.25">
      <c r="A788" s="162">
        <v>39287</v>
      </c>
      <c r="B788" s="163">
        <v>2.5499999999999998</v>
      </c>
      <c r="K788" s="157">
        <v>43658</v>
      </c>
      <c r="L788" s="158">
        <v>0.56999999999999995</v>
      </c>
    </row>
    <row r="789" spans="1:12" x14ac:dyDescent="0.25">
      <c r="A789" s="162">
        <v>39288</v>
      </c>
      <c r="B789" s="163">
        <v>2.54</v>
      </c>
      <c r="K789" s="157">
        <v>43665</v>
      </c>
      <c r="L789" s="158">
        <v>0.53</v>
      </c>
    </row>
    <row r="790" spans="1:12" x14ac:dyDescent="0.25">
      <c r="A790" s="162">
        <v>39289</v>
      </c>
      <c r="B790" s="163">
        <v>2.48</v>
      </c>
      <c r="K790" s="157">
        <v>43672</v>
      </c>
      <c r="L790" s="158">
        <v>0.51</v>
      </c>
    </row>
    <row r="791" spans="1:12" x14ac:dyDescent="0.25">
      <c r="A791" s="162">
        <v>39290</v>
      </c>
      <c r="B791" s="163">
        <v>2.4900000000000002</v>
      </c>
      <c r="K791" s="157">
        <v>43679</v>
      </c>
      <c r="L791" s="158">
        <v>0.48</v>
      </c>
    </row>
    <row r="792" spans="1:12" x14ac:dyDescent="0.25">
      <c r="A792" s="162">
        <v>39293</v>
      </c>
      <c r="B792" s="163">
        <v>2.4900000000000002</v>
      </c>
      <c r="K792" s="157">
        <v>43686</v>
      </c>
      <c r="L792" s="158">
        <v>0.33</v>
      </c>
    </row>
    <row r="793" spans="1:12" x14ac:dyDescent="0.25">
      <c r="A793" s="162">
        <v>39294</v>
      </c>
      <c r="B793" s="163">
        <v>2.4300000000000002</v>
      </c>
      <c r="K793" s="157">
        <v>43693</v>
      </c>
      <c r="L793" s="158">
        <v>0.23</v>
      </c>
    </row>
    <row r="794" spans="1:12" x14ac:dyDescent="0.25">
      <c r="A794" s="162">
        <v>39295</v>
      </c>
      <c r="B794" s="163">
        <v>2.42</v>
      </c>
      <c r="K794" s="157">
        <v>43700</v>
      </c>
      <c r="L794" s="158">
        <v>0.25</v>
      </c>
    </row>
    <row r="795" spans="1:12" x14ac:dyDescent="0.25">
      <c r="A795" s="162">
        <v>39296</v>
      </c>
      <c r="B795" s="163">
        <v>2.4500000000000002</v>
      </c>
      <c r="K795" s="157">
        <v>43707</v>
      </c>
      <c r="L795" s="158">
        <v>0.12</v>
      </c>
    </row>
    <row r="796" spans="1:12" x14ac:dyDescent="0.25">
      <c r="A796" s="162">
        <v>39297</v>
      </c>
      <c r="B796" s="163">
        <v>2.4500000000000002</v>
      </c>
      <c r="K796" s="157">
        <v>43714</v>
      </c>
      <c r="L796" s="158">
        <v>0.19</v>
      </c>
    </row>
    <row r="797" spans="1:12" x14ac:dyDescent="0.25">
      <c r="A797" s="162">
        <v>39300</v>
      </c>
      <c r="B797" s="163">
        <v>2.4700000000000002</v>
      </c>
      <c r="K797" s="157">
        <v>43721</v>
      </c>
      <c r="L797" s="158">
        <v>0.36</v>
      </c>
    </row>
    <row r="798" spans="1:12" x14ac:dyDescent="0.25">
      <c r="A798" s="162">
        <v>39301</v>
      </c>
      <c r="B798" s="163">
        <v>2.5</v>
      </c>
      <c r="K798" s="157">
        <v>43728</v>
      </c>
      <c r="L798" s="158">
        <v>0.37</v>
      </c>
    </row>
    <row r="799" spans="1:12" x14ac:dyDescent="0.25">
      <c r="A799" s="162">
        <v>39302</v>
      </c>
      <c r="B799" s="163">
        <v>2.56</v>
      </c>
      <c r="K799" s="157">
        <v>43735</v>
      </c>
      <c r="L799" s="158">
        <v>0.32</v>
      </c>
    </row>
    <row r="800" spans="1:12" x14ac:dyDescent="0.25">
      <c r="A800" s="162">
        <v>39303</v>
      </c>
      <c r="B800" s="163">
        <v>2.54</v>
      </c>
      <c r="K800" s="157">
        <v>43742</v>
      </c>
      <c r="L800" s="158">
        <v>0.3</v>
      </c>
    </row>
    <row r="801" spans="1:12" x14ac:dyDescent="0.25">
      <c r="A801" s="162">
        <v>39304</v>
      </c>
      <c r="B801" s="163">
        <v>2.5499999999999998</v>
      </c>
      <c r="K801" s="157">
        <v>43749</v>
      </c>
      <c r="L801" s="158">
        <v>0.32</v>
      </c>
    </row>
    <row r="802" spans="1:12" x14ac:dyDescent="0.25">
      <c r="A802" s="162">
        <v>39307</v>
      </c>
      <c r="B802" s="163">
        <v>2.5299999999999998</v>
      </c>
      <c r="K802" s="157">
        <v>43756</v>
      </c>
      <c r="L802" s="158">
        <v>0.4</v>
      </c>
    </row>
    <row r="803" spans="1:12" x14ac:dyDescent="0.25">
      <c r="A803" s="162">
        <v>39308</v>
      </c>
      <c r="B803" s="163">
        <v>2.52</v>
      </c>
      <c r="K803" s="157">
        <v>43763</v>
      </c>
      <c r="L803" s="158">
        <v>0.38</v>
      </c>
    </row>
    <row r="804" spans="1:12" x14ac:dyDescent="0.25">
      <c r="A804" s="162">
        <v>39309</v>
      </c>
      <c r="B804" s="163">
        <v>2.54</v>
      </c>
      <c r="K804" s="157">
        <v>43770</v>
      </c>
      <c r="L804" s="158">
        <v>0.4</v>
      </c>
    </row>
    <row r="805" spans="1:12" x14ac:dyDescent="0.25">
      <c r="A805" s="162">
        <v>39310</v>
      </c>
      <c r="B805" s="163">
        <v>2.48</v>
      </c>
      <c r="K805" s="157">
        <v>43777</v>
      </c>
      <c r="L805" s="158">
        <v>0.4</v>
      </c>
    </row>
    <row r="806" spans="1:12" x14ac:dyDescent="0.25">
      <c r="A806" s="162">
        <v>39311</v>
      </c>
      <c r="B806" s="163">
        <v>2.5099999999999998</v>
      </c>
      <c r="K806" s="157">
        <v>43784</v>
      </c>
      <c r="L806" s="158">
        <v>0.41</v>
      </c>
    </row>
    <row r="807" spans="1:12" x14ac:dyDescent="0.25">
      <c r="A807" s="162">
        <v>39314</v>
      </c>
      <c r="B807" s="163">
        <v>2.5099999999999998</v>
      </c>
      <c r="K807" s="157">
        <v>43791</v>
      </c>
      <c r="L807" s="158">
        <v>0.35</v>
      </c>
    </row>
    <row r="808" spans="1:12" x14ac:dyDescent="0.25">
      <c r="A808" s="162">
        <v>39315</v>
      </c>
      <c r="B808" s="163">
        <v>2.46</v>
      </c>
      <c r="K808" s="157">
        <v>43798</v>
      </c>
      <c r="L808" s="158">
        <v>0.32</v>
      </c>
    </row>
    <row r="809" spans="1:12" x14ac:dyDescent="0.25">
      <c r="A809" s="162">
        <v>39316</v>
      </c>
      <c r="B809" s="163">
        <v>2.46</v>
      </c>
      <c r="K809" s="157">
        <v>43805</v>
      </c>
      <c r="L809" s="158">
        <v>0.33</v>
      </c>
    </row>
    <row r="810" spans="1:12" x14ac:dyDescent="0.25">
      <c r="A810" s="162">
        <v>39317</v>
      </c>
      <c r="B810" s="163">
        <v>2.4300000000000002</v>
      </c>
      <c r="K810" s="157">
        <v>43812</v>
      </c>
      <c r="L810" s="158">
        <v>0.33</v>
      </c>
    </row>
    <row r="811" spans="1:12" x14ac:dyDescent="0.25">
      <c r="A811" s="162">
        <v>39318</v>
      </c>
      <c r="B811" s="163">
        <v>2.42</v>
      </c>
      <c r="K811" s="157">
        <v>43819</v>
      </c>
      <c r="L811" s="158">
        <v>0.35</v>
      </c>
    </row>
    <row r="812" spans="1:12" x14ac:dyDescent="0.25">
      <c r="A812" s="162">
        <v>39321</v>
      </c>
      <c r="B812" s="163">
        <v>2.4300000000000002</v>
      </c>
      <c r="K812" s="157">
        <v>43826</v>
      </c>
      <c r="L812" s="158">
        <v>0.36</v>
      </c>
    </row>
    <row r="813" spans="1:12" x14ac:dyDescent="0.25">
      <c r="A813" s="162">
        <v>39322</v>
      </c>
      <c r="B813" s="163">
        <v>2.42</v>
      </c>
      <c r="K813" s="157">
        <v>43833</v>
      </c>
      <c r="L813" s="158">
        <v>0.34</v>
      </c>
    </row>
    <row r="814" spans="1:12" x14ac:dyDescent="0.25">
      <c r="A814" s="162">
        <v>39323</v>
      </c>
      <c r="B814" s="163">
        <v>2.4500000000000002</v>
      </c>
      <c r="K814" s="157">
        <v>43840</v>
      </c>
      <c r="L814" s="158">
        <v>0.32</v>
      </c>
    </row>
    <row r="815" spans="1:12" x14ac:dyDescent="0.25">
      <c r="A815" s="162">
        <v>39324</v>
      </c>
      <c r="B815" s="163">
        <v>2.4</v>
      </c>
      <c r="K815" s="157">
        <v>43847</v>
      </c>
      <c r="L815" s="158">
        <v>0.28999999999999998</v>
      </c>
    </row>
    <row r="816" spans="1:12" x14ac:dyDescent="0.25">
      <c r="A816" s="162">
        <v>39325</v>
      </c>
      <c r="B816" s="163">
        <v>2.41</v>
      </c>
      <c r="K816" s="157">
        <v>43854</v>
      </c>
      <c r="L816" s="158">
        <v>0.25</v>
      </c>
    </row>
    <row r="817" spans="1:12" x14ac:dyDescent="0.25">
      <c r="A817" s="162">
        <v>39328</v>
      </c>
      <c r="B817" s="163" t="e">
        <f>NA()</f>
        <v>#N/A</v>
      </c>
      <c r="K817" s="157">
        <v>43861</v>
      </c>
      <c r="L817" s="158">
        <v>0.15</v>
      </c>
    </row>
    <row r="818" spans="1:12" x14ac:dyDescent="0.25">
      <c r="A818" s="162">
        <v>39329</v>
      </c>
      <c r="B818" s="163">
        <v>2.41</v>
      </c>
      <c r="K818" s="157">
        <v>43868</v>
      </c>
      <c r="L818" s="158">
        <v>0.18</v>
      </c>
    </row>
    <row r="819" spans="1:12" x14ac:dyDescent="0.25">
      <c r="A819" s="162">
        <v>39330</v>
      </c>
      <c r="B819" s="163">
        <v>2.36</v>
      </c>
      <c r="K819" s="157">
        <v>43875</v>
      </c>
      <c r="L819" s="158">
        <v>0.17</v>
      </c>
    </row>
    <row r="820" spans="1:12" x14ac:dyDescent="0.25">
      <c r="A820" s="162">
        <v>39331</v>
      </c>
      <c r="B820" s="163">
        <v>2.38</v>
      </c>
      <c r="K820" s="157">
        <v>43882</v>
      </c>
      <c r="L820" s="158">
        <v>0.11</v>
      </c>
    </row>
    <row r="821" spans="1:12" x14ac:dyDescent="0.25">
      <c r="A821" s="162">
        <v>39332</v>
      </c>
      <c r="B821" s="164">
        <v>2.27</v>
      </c>
      <c r="K821" s="157">
        <v>43889</v>
      </c>
      <c r="L821" s="158">
        <v>0.03</v>
      </c>
    </row>
    <row r="822" spans="1:12" x14ac:dyDescent="0.25">
      <c r="A822" s="162">
        <v>39335</v>
      </c>
      <c r="B822" s="163">
        <v>2.2200000000000002</v>
      </c>
      <c r="K822" s="157">
        <v>43896</v>
      </c>
      <c r="L822" s="158">
        <v>-0.22</v>
      </c>
    </row>
    <row r="823" spans="1:12" x14ac:dyDescent="0.25">
      <c r="A823" s="162">
        <v>39336</v>
      </c>
      <c r="B823" s="163">
        <v>2.21</v>
      </c>
      <c r="K823" s="157">
        <v>43903</v>
      </c>
      <c r="L823" s="158">
        <v>-0.01</v>
      </c>
    </row>
    <row r="824" spans="1:12" x14ac:dyDescent="0.25">
      <c r="A824" s="162">
        <v>39337</v>
      </c>
      <c r="B824" s="163">
        <v>2.23</v>
      </c>
      <c r="K824" s="157">
        <v>43910</v>
      </c>
      <c r="L824" s="158">
        <v>0.47</v>
      </c>
    </row>
    <row r="825" spans="1:12" x14ac:dyDescent="0.25">
      <c r="A825" s="162">
        <v>39338</v>
      </c>
      <c r="B825" s="163">
        <v>2.27</v>
      </c>
      <c r="K825" s="157">
        <v>43917</v>
      </c>
      <c r="L825" s="158">
        <v>-0.09</v>
      </c>
    </row>
    <row r="826" spans="1:12" x14ac:dyDescent="0.25">
      <c r="A826" s="162">
        <v>39339</v>
      </c>
      <c r="B826" s="163">
        <v>2.23</v>
      </c>
      <c r="K826" s="157">
        <v>43924</v>
      </c>
      <c r="L826" s="158">
        <v>-0.13</v>
      </c>
    </row>
    <row r="827" spans="1:12" x14ac:dyDescent="0.25">
      <c r="A827" s="162">
        <v>39342</v>
      </c>
      <c r="B827" s="163">
        <v>2.2200000000000002</v>
      </c>
      <c r="K827" s="157">
        <v>43931</v>
      </c>
      <c r="L827" s="158">
        <v>-0.27</v>
      </c>
    </row>
    <row r="828" spans="1:12" x14ac:dyDescent="0.25">
      <c r="A828" s="162">
        <v>39343</v>
      </c>
      <c r="B828" s="163">
        <v>2.2000000000000002</v>
      </c>
      <c r="K828" s="157">
        <v>43938</v>
      </c>
      <c r="L828" s="158">
        <v>-0.3</v>
      </c>
    </row>
    <row r="829" spans="1:12" x14ac:dyDescent="0.25">
      <c r="A829" s="162">
        <v>39344</v>
      </c>
      <c r="B829" s="163">
        <v>2.25</v>
      </c>
      <c r="K829" s="157">
        <v>43945</v>
      </c>
      <c r="L829" s="158">
        <v>-0.28000000000000003</v>
      </c>
    </row>
    <row r="830" spans="1:12" x14ac:dyDescent="0.25">
      <c r="A830" s="162">
        <v>39345</v>
      </c>
      <c r="B830" s="163">
        <v>2.37</v>
      </c>
      <c r="K830" s="157">
        <v>43952</v>
      </c>
      <c r="L830" s="158">
        <v>-0.32</v>
      </c>
    </row>
    <row r="831" spans="1:12" x14ac:dyDescent="0.25">
      <c r="A831" s="162">
        <v>39346</v>
      </c>
      <c r="B831" s="163">
        <v>2.34</v>
      </c>
      <c r="K831" s="157">
        <v>43959</v>
      </c>
      <c r="L831" s="158">
        <v>-0.26</v>
      </c>
    </row>
    <row r="832" spans="1:12" x14ac:dyDescent="0.25">
      <c r="A832" s="162">
        <v>39349</v>
      </c>
      <c r="B832" s="163">
        <v>2.35</v>
      </c>
      <c r="K832" s="157">
        <v>43966</v>
      </c>
      <c r="L832" s="158">
        <v>-0.25</v>
      </c>
    </row>
    <row r="833" spans="1:12" x14ac:dyDescent="0.25">
      <c r="A833" s="162">
        <v>39350</v>
      </c>
      <c r="B833" s="163">
        <v>2.39</v>
      </c>
      <c r="K833" s="157">
        <v>43973</v>
      </c>
      <c r="L833" s="158">
        <v>-0.27</v>
      </c>
    </row>
    <row r="834" spans="1:12" x14ac:dyDescent="0.25">
      <c r="A834" s="162">
        <v>39351</v>
      </c>
      <c r="B834" s="163">
        <v>2.37</v>
      </c>
      <c r="K834" s="157">
        <v>43980</v>
      </c>
      <c r="L834" s="158">
        <v>-0.25</v>
      </c>
    </row>
    <row r="835" spans="1:12" x14ac:dyDescent="0.25">
      <c r="A835" s="162">
        <v>39352</v>
      </c>
      <c r="B835" s="163">
        <v>2.2999999999999998</v>
      </c>
      <c r="K835" s="157">
        <v>43987</v>
      </c>
      <c r="L835" s="158">
        <v>-0.2</v>
      </c>
    </row>
    <row r="836" spans="1:12" x14ac:dyDescent="0.25">
      <c r="A836" s="162">
        <v>39353</v>
      </c>
      <c r="B836" s="163">
        <v>2.29</v>
      </c>
      <c r="K836" s="157">
        <v>43994</v>
      </c>
      <c r="L836" s="158">
        <v>-0.23</v>
      </c>
    </row>
    <row r="837" spans="1:12" x14ac:dyDescent="0.25">
      <c r="A837" s="162">
        <v>39356</v>
      </c>
      <c r="B837" s="163">
        <v>2.27</v>
      </c>
      <c r="K837" s="157">
        <v>44001</v>
      </c>
      <c r="L837" s="158">
        <v>-0.27</v>
      </c>
    </row>
    <row r="838" spans="1:12" x14ac:dyDescent="0.25">
      <c r="A838" s="162">
        <v>39357</v>
      </c>
      <c r="B838" s="163">
        <v>2.2400000000000002</v>
      </c>
      <c r="K838" s="157">
        <v>44008</v>
      </c>
      <c r="L838" s="158">
        <v>-0.39</v>
      </c>
    </row>
    <row r="839" spans="1:12" x14ac:dyDescent="0.25">
      <c r="A839" s="162">
        <v>39358</v>
      </c>
      <c r="B839" s="163">
        <v>2.2799999999999998</v>
      </c>
      <c r="K839" s="157">
        <v>44015</v>
      </c>
      <c r="L839" s="158">
        <v>-0.4</v>
      </c>
    </row>
    <row r="840" spans="1:12" x14ac:dyDescent="0.25">
      <c r="A840" s="162">
        <v>39359</v>
      </c>
      <c r="B840" s="163">
        <v>2.2599999999999998</v>
      </c>
      <c r="K840" s="157">
        <v>44022</v>
      </c>
      <c r="L840" s="158">
        <v>-0.46</v>
      </c>
    </row>
    <row r="841" spans="1:12" x14ac:dyDescent="0.25">
      <c r="A841" s="162">
        <v>39360</v>
      </c>
      <c r="B841" s="163">
        <v>2.37</v>
      </c>
      <c r="K841" s="157">
        <v>44029</v>
      </c>
      <c r="L841" s="158">
        <v>-0.48</v>
      </c>
    </row>
    <row r="842" spans="1:12" x14ac:dyDescent="0.25">
      <c r="A842" s="162">
        <v>39363</v>
      </c>
      <c r="B842" s="163" t="e">
        <f>NA()</f>
        <v>#N/A</v>
      </c>
      <c r="K842" s="157">
        <v>44036</v>
      </c>
      <c r="L842" s="158">
        <v>-0.56000000000000005</v>
      </c>
    </row>
    <row r="843" spans="1:12" x14ac:dyDescent="0.25">
      <c r="A843" s="162">
        <v>39364</v>
      </c>
      <c r="B843" s="163">
        <v>2.36</v>
      </c>
      <c r="K843" s="157">
        <v>44043</v>
      </c>
      <c r="L843" s="158">
        <v>-0.65</v>
      </c>
    </row>
    <row r="844" spans="1:12" x14ac:dyDescent="0.25">
      <c r="A844" s="162">
        <v>39365</v>
      </c>
      <c r="B844" s="163">
        <v>2.35</v>
      </c>
      <c r="K844" s="157">
        <v>44050</v>
      </c>
      <c r="L844" s="158">
        <v>-0.7</v>
      </c>
    </row>
    <row r="845" spans="1:12" x14ac:dyDescent="0.25">
      <c r="A845" s="162">
        <v>39366</v>
      </c>
      <c r="B845" s="163">
        <v>2.36</v>
      </c>
      <c r="K845" s="157">
        <v>44057</v>
      </c>
      <c r="L845" s="158">
        <v>-0.6</v>
      </c>
    </row>
    <row r="846" spans="1:12" x14ac:dyDescent="0.25">
      <c r="A846" s="162">
        <v>39367</v>
      </c>
      <c r="B846" s="164">
        <v>2.4</v>
      </c>
      <c r="K846" s="157">
        <v>44064</v>
      </c>
      <c r="L846" s="158">
        <v>-0.59</v>
      </c>
    </row>
    <row r="847" spans="1:12" x14ac:dyDescent="0.25">
      <c r="A847" s="162">
        <v>39370</v>
      </c>
      <c r="B847" s="163">
        <v>2.4</v>
      </c>
      <c r="K847" s="157">
        <v>44071</v>
      </c>
      <c r="L847" s="158">
        <v>-0.6</v>
      </c>
    </row>
    <row r="848" spans="1:12" x14ac:dyDescent="0.25">
      <c r="A848" s="162">
        <v>39371</v>
      </c>
      <c r="B848" s="163">
        <v>2.39</v>
      </c>
      <c r="K848" s="157">
        <v>44078</v>
      </c>
      <c r="L848" s="158">
        <v>-0.64</v>
      </c>
    </row>
    <row r="849" spans="1:12" x14ac:dyDescent="0.25">
      <c r="A849" s="162">
        <v>39372</v>
      </c>
      <c r="B849" s="163">
        <v>2.2999999999999998</v>
      </c>
      <c r="K849" s="157">
        <v>44085</v>
      </c>
      <c r="L849" s="158">
        <v>-0.61</v>
      </c>
    </row>
    <row r="850" spans="1:12" x14ac:dyDescent="0.25">
      <c r="A850" s="162">
        <v>39373</v>
      </c>
      <c r="B850" s="163">
        <v>2.29</v>
      </c>
      <c r="K850" s="157">
        <v>44092</v>
      </c>
      <c r="L850" s="158">
        <v>-0.57999999999999996</v>
      </c>
    </row>
    <row r="851" spans="1:12" x14ac:dyDescent="0.25">
      <c r="A851" s="162">
        <v>39374</v>
      </c>
      <c r="B851" s="163">
        <v>2.1800000000000002</v>
      </c>
      <c r="K851" s="157">
        <v>44099</v>
      </c>
      <c r="L851" s="158">
        <v>-0.56000000000000005</v>
      </c>
    </row>
    <row r="852" spans="1:12" x14ac:dyDescent="0.25">
      <c r="A852" s="162">
        <v>39377</v>
      </c>
      <c r="B852" s="163">
        <v>2.1800000000000002</v>
      </c>
      <c r="K852" s="157">
        <v>44106</v>
      </c>
      <c r="L852" s="158">
        <v>-0.56000000000000005</v>
      </c>
    </row>
    <row r="853" spans="1:12" x14ac:dyDescent="0.25">
      <c r="A853" s="162">
        <v>39378</v>
      </c>
      <c r="B853" s="163">
        <v>2.2000000000000002</v>
      </c>
      <c r="K853" s="157">
        <v>44113</v>
      </c>
      <c r="L853" s="158">
        <v>-0.5</v>
      </c>
    </row>
    <row r="854" spans="1:12" x14ac:dyDescent="0.25">
      <c r="A854" s="162">
        <v>39379</v>
      </c>
      <c r="B854" s="163">
        <v>2.16</v>
      </c>
      <c r="K854" s="157">
        <v>44120</v>
      </c>
      <c r="L854" s="158">
        <v>-0.56999999999999995</v>
      </c>
    </row>
    <row r="855" spans="1:12" x14ac:dyDescent="0.25">
      <c r="A855" s="162">
        <v>39380</v>
      </c>
      <c r="B855" s="163">
        <v>2.14</v>
      </c>
      <c r="K855" s="157">
        <v>44127</v>
      </c>
      <c r="L855" s="158">
        <v>-0.48</v>
      </c>
    </row>
    <row r="856" spans="1:12" x14ac:dyDescent="0.25">
      <c r="A856" s="162">
        <v>39381</v>
      </c>
      <c r="B856" s="163">
        <v>2.16</v>
      </c>
      <c r="K856" s="157">
        <v>44134</v>
      </c>
      <c r="L856" s="158">
        <v>-0.48</v>
      </c>
    </row>
    <row r="857" spans="1:12" x14ac:dyDescent="0.25">
      <c r="A857" s="162">
        <v>39384</v>
      </c>
      <c r="B857" s="163">
        <v>2.14</v>
      </c>
      <c r="K857" s="157">
        <v>44141</v>
      </c>
      <c r="L857" s="158">
        <v>-0.44</v>
      </c>
    </row>
    <row r="858" spans="1:12" x14ac:dyDescent="0.25">
      <c r="A858" s="162">
        <v>39385</v>
      </c>
      <c r="B858" s="163">
        <v>2.17</v>
      </c>
      <c r="K858" s="157">
        <v>44148</v>
      </c>
      <c r="L858" s="158">
        <v>-0.36</v>
      </c>
    </row>
    <row r="859" spans="1:12" x14ac:dyDescent="0.25">
      <c r="A859" s="162">
        <v>39386</v>
      </c>
      <c r="B859" s="163">
        <v>2.21</v>
      </c>
      <c r="K859" s="157">
        <v>44155</v>
      </c>
      <c r="L859" s="158">
        <v>-0.42</v>
      </c>
    </row>
    <row r="860" spans="1:12" x14ac:dyDescent="0.25">
      <c r="A860" s="162">
        <v>39387</v>
      </c>
      <c r="B860" s="163">
        <v>2.13</v>
      </c>
      <c r="K860" s="157">
        <v>44162</v>
      </c>
      <c r="L860" s="158">
        <v>-0.5</v>
      </c>
    </row>
    <row r="861" spans="1:12" x14ac:dyDescent="0.25">
      <c r="A861" s="162">
        <v>39388</v>
      </c>
      <c r="B861" s="163">
        <v>2.06</v>
      </c>
      <c r="K861" s="157">
        <v>44169</v>
      </c>
      <c r="L861" s="158">
        <v>-0.5</v>
      </c>
    </row>
    <row r="862" spans="1:12" x14ac:dyDescent="0.25">
      <c r="A862" s="162">
        <v>39391</v>
      </c>
      <c r="B862" s="163">
        <v>2.0699999999999998</v>
      </c>
      <c r="K862" s="157">
        <v>44176</v>
      </c>
      <c r="L862" s="158">
        <v>-0.53</v>
      </c>
    </row>
    <row r="863" spans="1:12" x14ac:dyDescent="0.25">
      <c r="A863" s="162">
        <v>39392</v>
      </c>
      <c r="B863" s="163">
        <v>2.08</v>
      </c>
      <c r="K863" s="157">
        <v>44183</v>
      </c>
      <c r="L863" s="158">
        <v>-0.55000000000000004</v>
      </c>
    </row>
    <row r="864" spans="1:12" x14ac:dyDescent="0.25">
      <c r="A864" s="162">
        <v>39393</v>
      </c>
      <c r="B864" s="163">
        <v>2.09</v>
      </c>
      <c r="K864" s="157">
        <v>44190</v>
      </c>
      <c r="L864" s="158">
        <v>-0.56000000000000005</v>
      </c>
    </row>
    <row r="865" spans="1:12" x14ac:dyDescent="0.25">
      <c r="A865" s="162">
        <v>39394</v>
      </c>
      <c r="B865" s="163">
        <v>2.08</v>
      </c>
      <c r="K865" s="157">
        <v>44197</v>
      </c>
      <c r="L865" s="158">
        <v>-0.59</v>
      </c>
    </row>
    <row r="866" spans="1:12" x14ac:dyDescent="0.25">
      <c r="A866" s="162">
        <v>39395</v>
      </c>
      <c r="B866" s="163">
        <v>2.02</v>
      </c>
      <c r="K866" s="157">
        <v>44204</v>
      </c>
      <c r="L866" s="158">
        <v>-0.56000000000000005</v>
      </c>
    </row>
    <row r="867" spans="1:12" x14ac:dyDescent="0.25">
      <c r="A867" s="162">
        <v>39398</v>
      </c>
      <c r="B867" s="163" t="e">
        <f>NA()</f>
        <v>#N/A</v>
      </c>
      <c r="K867" s="157">
        <v>44211</v>
      </c>
      <c r="L867" s="158">
        <v>-0.49</v>
      </c>
    </row>
    <row r="868" spans="1:12" x14ac:dyDescent="0.25">
      <c r="A868" s="162">
        <v>39399</v>
      </c>
      <c r="B868" s="163">
        <v>2.0299999999999998</v>
      </c>
      <c r="K868" s="157">
        <v>44218</v>
      </c>
      <c r="L868" s="158">
        <v>-0.53</v>
      </c>
    </row>
    <row r="869" spans="1:12" x14ac:dyDescent="0.25">
      <c r="A869" s="162">
        <v>39400</v>
      </c>
      <c r="B869" s="163">
        <v>2.06</v>
      </c>
      <c r="K869" s="157">
        <v>44225</v>
      </c>
      <c r="L869" s="158">
        <v>-0.55000000000000004</v>
      </c>
    </row>
    <row r="870" spans="1:12" x14ac:dyDescent="0.25">
      <c r="A870" s="162">
        <v>39401</v>
      </c>
      <c r="B870" s="163">
        <v>2.04</v>
      </c>
      <c r="K870" s="157">
        <v>44232</v>
      </c>
      <c r="L870" s="158">
        <v>-0.49</v>
      </c>
    </row>
    <row r="871" spans="1:12" x14ac:dyDescent="0.25">
      <c r="A871" s="162">
        <v>39402</v>
      </c>
      <c r="B871" s="164">
        <v>2.0499999999999998</v>
      </c>
      <c r="K871" s="157">
        <v>44239</v>
      </c>
      <c r="L871" s="158">
        <v>-0.46</v>
      </c>
    </row>
    <row r="872" spans="1:12" x14ac:dyDescent="0.25">
      <c r="A872" s="162">
        <v>39405</v>
      </c>
      <c r="B872" s="163">
        <v>1.97</v>
      </c>
      <c r="K872" s="157">
        <v>44246</v>
      </c>
      <c r="L872" s="158">
        <v>-0.28999999999999998</v>
      </c>
    </row>
    <row r="873" spans="1:12" x14ac:dyDescent="0.25">
      <c r="A873" s="162">
        <v>39406</v>
      </c>
      <c r="B873" s="163">
        <v>1.98</v>
      </c>
      <c r="K873" s="157">
        <v>44253</v>
      </c>
      <c r="L873" s="158">
        <v>-0.14000000000000001</v>
      </c>
    </row>
    <row r="874" spans="1:12" x14ac:dyDescent="0.25">
      <c r="A874" s="162">
        <v>39407</v>
      </c>
      <c r="B874" s="163">
        <v>1.93</v>
      </c>
      <c r="K874" s="157">
        <v>44260</v>
      </c>
      <c r="L874" s="158">
        <v>-0.15</v>
      </c>
    </row>
    <row r="875" spans="1:12" x14ac:dyDescent="0.25">
      <c r="A875" s="162">
        <v>39408</v>
      </c>
      <c r="B875" s="163" t="e">
        <f>NA()</f>
        <v>#N/A</v>
      </c>
      <c r="K875" s="157">
        <v>44267</v>
      </c>
      <c r="L875" s="158">
        <v>-0.14000000000000001</v>
      </c>
    </row>
    <row r="876" spans="1:12" x14ac:dyDescent="0.25">
      <c r="A876" s="162">
        <v>39409</v>
      </c>
      <c r="B876" s="163">
        <v>1.9</v>
      </c>
      <c r="K876" s="157">
        <v>44274</v>
      </c>
      <c r="L876" s="158">
        <v>-0.08</v>
      </c>
    </row>
    <row r="877" spans="1:12" x14ac:dyDescent="0.25">
      <c r="A877" s="162">
        <v>39412</v>
      </c>
      <c r="B877" s="163">
        <v>1.75</v>
      </c>
      <c r="K877" s="157">
        <v>44281</v>
      </c>
      <c r="L877" s="158">
        <v>-0.18</v>
      </c>
    </row>
    <row r="878" spans="1:12" x14ac:dyDescent="0.25">
      <c r="A878" s="162">
        <v>39413</v>
      </c>
      <c r="B878" s="163">
        <v>1.87</v>
      </c>
      <c r="K878" s="157">
        <v>44288</v>
      </c>
      <c r="L878" s="158">
        <v>-0.14000000000000001</v>
      </c>
    </row>
    <row r="879" spans="1:12" x14ac:dyDescent="0.25">
      <c r="A879" s="162">
        <v>39414</v>
      </c>
      <c r="B879" s="164">
        <v>1.94</v>
      </c>
      <c r="K879" s="157">
        <v>44295</v>
      </c>
      <c r="L879" s="158">
        <v>-0.14000000000000001</v>
      </c>
    </row>
    <row r="880" spans="1:12" x14ac:dyDescent="0.25">
      <c r="A880" s="162">
        <v>39415</v>
      </c>
      <c r="B880" s="163">
        <v>1.88</v>
      </c>
      <c r="K880" s="157">
        <v>44302</v>
      </c>
      <c r="L880" s="158">
        <v>-0.19</v>
      </c>
    </row>
    <row r="881" spans="1:12" x14ac:dyDescent="0.25">
      <c r="A881" s="162">
        <v>39416</v>
      </c>
      <c r="B881" s="163">
        <v>1.93</v>
      </c>
      <c r="K881" s="157">
        <v>44309</v>
      </c>
      <c r="L881" s="158">
        <v>-0.24</v>
      </c>
    </row>
    <row r="882" spans="1:12" x14ac:dyDescent="0.25">
      <c r="A882" s="162">
        <v>39419</v>
      </c>
      <c r="B882" s="163">
        <v>1.89</v>
      </c>
      <c r="K882" s="157">
        <v>44316</v>
      </c>
      <c r="L882" s="158">
        <v>-0.26</v>
      </c>
    </row>
    <row r="883" spans="1:12" x14ac:dyDescent="0.25">
      <c r="A883" s="162">
        <v>39420</v>
      </c>
      <c r="B883" s="163">
        <v>1.93</v>
      </c>
      <c r="K883" s="157">
        <v>44323</v>
      </c>
      <c r="L883" s="158">
        <v>-0.28999999999999998</v>
      </c>
    </row>
    <row r="884" spans="1:12" x14ac:dyDescent="0.25">
      <c r="A884" s="162">
        <v>39421</v>
      </c>
      <c r="B884" s="163">
        <v>2.0099999999999998</v>
      </c>
      <c r="K884" s="157">
        <v>44330</v>
      </c>
      <c r="L884" s="158">
        <v>-0.28000000000000003</v>
      </c>
    </row>
    <row r="885" spans="1:12" x14ac:dyDescent="0.25">
      <c r="A885" s="162">
        <v>39422</v>
      </c>
      <c r="B885" s="163">
        <v>2.0699999999999998</v>
      </c>
      <c r="K885" s="157">
        <v>44337</v>
      </c>
      <c r="L885" s="158">
        <v>-0.24</v>
      </c>
    </row>
    <row r="886" spans="1:12" x14ac:dyDescent="0.25">
      <c r="A886" s="162">
        <v>39423</v>
      </c>
      <c r="B886" s="163">
        <v>2.14</v>
      </c>
      <c r="K886" s="157">
        <v>44344</v>
      </c>
      <c r="L886" s="158">
        <v>-0.27</v>
      </c>
    </row>
    <row r="887" spans="1:12" x14ac:dyDescent="0.25">
      <c r="A887" s="162">
        <v>39426</v>
      </c>
      <c r="B887" s="163">
        <v>2.17</v>
      </c>
      <c r="K887" s="157">
        <v>44351</v>
      </c>
      <c r="L887" s="158">
        <v>-0.28999999999999998</v>
      </c>
    </row>
    <row r="888" spans="1:12" x14ac:dyDescent="0.25">
      <c r="A888" s="162">
        <v>39427</v>
      </c>
      <c r="B888" s="163">
        <v>2.06</v>
      </c>
      <c r="K888" s="157">
        <v>44358</v>
      </c>
      <c r="L888" s="158">
        <v>-0.34</v>
      </c>
    </row>
    <row r="889" spans="1:12" x14ac:dyDescent="0.25">
      <c r="A889" s="162">
        <v>39428</v>
      </c>
      <c r="B889" s="163">
        <v>2.06</v>
      </c>
      <c r="K889" s="157">
        <v>44365</v>
      </c>
      <c r="L889" s="158">
        <v>-0.36</v>
      </c>
    </row>
    <row r="890" spans="1:12" x14ac:dyDescent="0.25">
      <c r="A890" s="162">
        <v>39429</v>
      </c>
      <c r="B890" s="163">
        <v>2.16</v>
      </c>
      <c r="K890" s="157">
        <v>44372</v>
      </c>
      <c r="L890" s="158">
        <v>-0.35</v>
      </c>
    </row>
    <row r="891" spans="1:12" x14ac:dyDescent="0.25">
      <c r="A891" s="162">
        <v>39430</v>
      </c>
      <c r="B891" s="163">
        <v>2.1800000000000002</v>
      </c>
      <c r="K891" s="157">
        <v>44379</v>
      </c>
      <c r="L891" s="158">
        <v>-0.4</v>
      </c>
    </row>
    <row r="892" spans="1:12" x14ac:dyDescent="0.25">
      <c r="A892" s="162">
        <v>39433</v>
      </c>
      <c r="B892" s="163">
        <v>2.14</v>
      </c>
      <c r="K892" s="157">
        <v>44386</v>
      </c>
      <c r="L892" s="158">
        <v>-0.46</v>
      </c>
    </row>
    <row r="893" spans="1:12" x14ac:dyDescent="0.25">
      <c r="A893" s="162">
        <v>39434</v>
      </c>
      <c r="B893" s="163">
        <v>2.08</v>
      </c>
      <c r="K893" s="157">
        <v>44393</v>
      </c>
      <c r="L893" s="158">
        <v>-0.49</v>
      </c>
    </row>
    <row r="894" spans="1:12" x14ac:dyDescent="0.25">
      <c r="A894" s="162">
        <v>39435</v>
      </c>
      <c r="B894" s="163">
        <v>2</v>
      </c>
      <c r="K894" s="157">
        <v>44400</v>
      </c>
      <c r="L894" s="158">
        <v>-0.54</v>
      </c>
    </row>
    <row r="895" spans="1:12" x14ac:dyDescent="0.25">
      <c r="A895" s="162">
        <v>39436</v>
      </c>
      <c r="B895" s="163">
        <v>2.0099999999999998</v>
      </c>
      <c r="K895" s="157">
        <v>44407</v>
      </c>
      <c r="L895" s="158">
        <v>-0.62</v>
      </c>
    </row>
    <row r="896" spans="1:12" x14ac:dyDescent="0.25">
      <c r="A896" s="162">
        <v>39437</v>
      </c>
      <c r="B896" s="163">
        <v>2.09</v>
      </c>
      <c r="K896" s="157">
        <v>44414</v>
      </c>
      <c r="L896" s="158">
        <v>-0.62</v>
      </c>
    </row>
    <row r="897" spans="1:12" x14ac:dyDescent="0.25">
      <c r="A897" s="162">
        <v>39440</v>
      </c>
      <c r="B897" s="163">
        <v>2.14</v>
      </c>
      <c r="K897" s="157">
        <v>44421</v>
      </c>
      <c r="L897" s="158">
        <v>-0.55000000000000004</v>
      </c>
    </row>
    <row r="898" spans="1:12" x14ac:dyDescent="0.25">
      <c r="A898" s="162">
        <v>39441</v>
      </c>
      <c r="B898" s="163" t="e">
        <f>NA()</f>
        <v>#N/A</v>
      </c>
      <c r="K898" s="157">
        <v>44428</v>
      </c>
      <c r="L898" s="158">
        <v>-0.55000000000000004</v>
      </c>
    </row>
    <row r="899" spans="1:12" x14ac:dyDescent="0.25">
      <c r="A899" s="162">
        <v>39442</v>
      </c>
      <c r="B899" s="163">
        <v>2.2000000000000002</v>
      </c>
      <c r="K899" s="157">
        <v>44435</v>
      </c>
      <c r="L899" s="158">
        <v>-0.53</v>
      </c>
    </row>
    <row r="900" spans="1:12" x14ac:dyDescent="0.25">
      <c r="A900" s="162">
        <v>39443</v>
      </c>
      <c r="B900" s="163">
        <v>2.12</v>
      </c>
      <c r="K900" s="157">
        <v>44442</v>
      </c>
      <c r="L900" s="158">
        <v>-0.54</v>
      </c>
    </row>
    <row r="901" spans="1:12" x14ac:dyDescent="0.25">
      <c r="A901" s="162">
        <v>39444</v>
      </c>
      <c r="B901" s="163">
        <v>2.0499999999999998</v>
      </c>
      <c r="K901" s="157">
        <v>44449</v>
      </c>
      <c r="L901" s="158">
        <v>-0.54</v>
      </c>
    </row>
    <row r="902" spans="1:12" x14ac:dyDescent="0.25">
      <c r="A902" s="162">
        <v>39447</v>
      </c>
      <c r="B902" s="164">
        <v>2</v>
      </c>
      <c r="K902" s="157">
        <v>44456</v>
      </c>
      <c r="L902" s="158">
        <v>-0.56000000000000005</v>
      </c>
    </row>
    <row r="903" spans="1:12" x14ac:dyDescent="0.25">
      <c r="A903" s="162">
        <v>39448</v>
      </c>
      <c r="B903" s="163" t="e">
        <f>NA()</f>
        <v>#N/A</v>
      </c>
      <c r="K903" s="157">
        <v>44463</v>
      </c>
      <c r="L903" s="158">
        <v>-0.51</v>
      </c>
    </row>
    <row r="904" spans="1:12" x14ac:dyDescent="0.25">
      <c r="A904" s="162">
        <v>39449</v>
      </c>
      <c r="B904" s="163">
        <v>1.89</v>
      </c>
      <c r="K904" s="157">
        <v>44470</v>
      </c>
      <c r="L904" s="158">
        <v>-0.41</v>
      </c>
    </row>
    <row r="905" spans="1:12" x14ac:dyDescent="0.25">
      <c r="A905" s="162">
        <v>39450</v>
      </c>
      <c r="B905" s="163">
        <v>1.88</v>
      </c>
      <c r="K905" s="157">
        <v>44477</v>
      </c>
      <c r="L905" s="158">
        <v>-0.43</v>
      </c>
    </row>
    <row r="906" spans="1:12" x14ac:dyDescent="0.25">
      <c r="A906" s="162">
        <v>39451</v>
      </c>
      <c r="B906" s="163">
        <v>1.88</v>
      </c>
      <c r="K906" s="157">
        <v>44484</v>
      </c>
      <c r="L906" s="158">
        <v>-0.52</v>
      </c>
    </row>
    <row r="907" spans="1:12" x14ac:dyDescent="0.25">
      <c r="A907" s="162">
        <v>39454</v>
      </c>
      <c r="B907" s="164">
        <v>1.87</v>
      </c>
      <c r="K907" s="157">
        <v>44491</v>
      </c>
      <c r="L907" s="158">
        <v>-0.51</v>
      </c>
    </row>
    <row r="908" spans="1:12" x14ac:dyDescent="0.25">
      <c r="A908" s="162">
        <v>39455</v>
      </c>
      <c r="B908" s="163">
        <v>1.89</v>
      </c>
      <c r="K908" s="157">
        <v>44498</v>
      </c>
      <c r="L908" s="158">
        <v>-0.57999999999999996</v>
      </c>
    </row>
    <row r="909" spans="1:12" x14ac:dyDescent="0.25">
      <c r="A909" s="162">
        <v>39456</v>
      </c>
      <c r="B909" s="163">
        <v>1.87</v>
      </c>
      <c r="K909" s="157">
        <v>44505</v>
      </c>
      <c r="L909" s="158">
        <v>-0.55000000000000004</v>
      </c>
    </row>
    <row r="910" spans="1:12" x14ac:dyDescent="0.25">
      <c r="A910" s="162">
        <v>39457</v>
      </c>
      <c r="B910" s="163">
        <v>1.97</v>
      </c>
      <c r="K910" s="157">
        <v>44512</v>
      </c>
      <c r="L910" s="158">
        <v>-0.72</v>
      </c>
    </row>
    <row r="911" spans="1:12" x14ac:dyDescent="0.25">
      <c r="A911" s="162">
        <v>39458</v>
      </c>
      <c r="B911" s="163">
        <v>1.87</v>
      </c>
      <c r="K911" s="157">
        <v>44519</v>
      </c>
      <c r="L911" s="158">
        <v>-0.67</v>
      </c>
    </row>
    <row r="912" spans="1:12" x14ac:dyDescent="0.25">
      <c r="A912" s="162">
        <v>39461</v>
      </c>
      <c r="B912" s="163">
        <v>1.84</v>
      </c>
      <c r="K912" s="157">
        <v>44526</v>
      </c>
      <c r="L912" s="158">
        <v>-0.59</v>
      </c>
    </row>
    <row r="913" spans="1:12" x14ac:dyDescent="0.25">
      <c r="A913" s="162">
        <v>39462</v>
      </c>
      <c r="B913" s="163">
        <v>1.77</v>
      </c>
      <c r="K913" s="157">
        <v>44533</v>
      </c>
      <c r="L913" s="158">
        <v>-0.69</v>
      </c>
    </row>
    <row r="914" spans="1:12" x14ac:dyDescent="0.25">
      <c r="A914" s="162">
        <v>39463</v>
      </c>
      <c r="B914" s="163">
        <v>1.83</v>
      </c>
      <c r="K914" s="157">
        <v>44540</v>
      </c>
      <c r="L914" s="158">
        <v>-0.61</v>
      </c>
    </row>
    <row r="915" spans="1:12" x14ac:dyDescent="0.25">
      <c r="A915" s="162">
        <v>39464</v>
      </c>
      <c r="B915" s="163">
        <v>1.76</v>
      </c>
      <c r="K915" s="157">
        <v>44547</v>
      </c>
      <c r="L915" s="158">
        <v>-0.56000000000000005</v>
      </c>
    </row>
    <row r="916" spans="1:12" x14ac:dyDescent="0.25">
      <c r="A916" s="162">
        <v>39465</v>
      </c>
      <c r="B916" s="163">
        <v>1.78</v>
      </c>
      <c r="K916" s="157">
        <v>44554</v>
      </c>
      <c r="L916" s="158">
        <v>-0.59</v>
      </c>
    </row>
    <row r="917" spans="1:12" x14ac:dyDescent="0.25">
      <c r="A917" s="162">
        <v>39468</v>
      </c>
      <c r="B917" s="163" t="e">
        <f>NA()</f>
        <v>#N/A</v>
      </c>
      <c r="K917" s="157">
        <v>44561</v>
      </c>
      <c r="L917" s="158">
        <v>-0.61</v>
      </c>
    </row>
    <row r="918" spans="1:12" x14ac:dyDescent="0.25">
      <c r="A918" s="162">
        <v>39469</v>
      </c>
      <c r="B918" s="163">
        <v>1.72</v>
      </c>
      <c r="K918" s="157">
        <v>44568</v>
      </c>
      <c r="L918" s="158">
        <v>-0.41</v>
      </c>
    </row>
    <row r="919" spans="1:12" x14ac:dyDescent="0.25">
      <c r="A919" s="162">
        <v>39470</v>
      </c>
      <c r="B919" s="163">
        <v>1.69</v>
      </c>
      <c r="K919" s="157">
        <v>44575</v>
      </c>
      <c r="L919" s="158">
        <v>-0.34</v>
      </c>
    </row>
    <row r="920" spans="1:12" x14ac:dyDescent="0.25">
      <c r="A920" s="162">
        <v>39471</v>
      </c>
      <c r="B920" s="163">
        <v>1.81</v>
      </c>
      <c r="K920" s="157">
        <v>44582</v>
      </c>
      <c r="L920" s="158">
        <v>-0.22</v>
      </c>
    </row>
    <row r="921" spans="1:12" x14ac:dyDescent="0.25">
      <c r="A921" s="162">
        <v>39472</v>
      </c>
      <c r="B921" s="164">
        <v>1.71</v>
      </c>
      <c r="K921" s="157">
        <v>44589</v>
      </c>
      <c r="L921" s="158">
        <v>-0.25</v>
      </c>
    </row>
    <row r="922" spans="1:12" x14ac:dyDescent="0.25">
      <c r="A922" s="162">
        <v>39475</v>
      </c>
      <c r="B922" s="163">
        <v>1.71</v>
      </c>
      <c r="K922" s="157">
        <v>44596</v>
      </c>
      <c r="L922" s="158">
        <v>-0.22</v>
      </c>
    </row>
    <row r="923" spans="1:12" x14ac:dyDescent="0.25">
      <c r="A923" s="162">
        <v>39476</v>
      </c>
      <c r="B923" s="163">
        <v>1.76</v>
      </c>
      <c r="K923" s="157">
        <v>44603</v>
      </c>
      <c r="L923" s="158">
        <v>-0.11</v>
      </c>
    </row>
    <row r="924" spans="1:12" x14ac:dyDescent="0.25">
      <c r="A924" s="162">
        <v>39477</v>
      </c>
      <c r="B924" s="163">
        <v>1.82</v>
      </c>
      <c r="K924" s="157">
        <v>44610</v>
      </c>
      <c r="L924" s="158">
        <v>-0.05</v>
      </c>
    </row>
    <row r="925" spans="1:12" x14ac:dyDescent="0.25">
      <c r="A925" s="162">
        <v>39478</v>
      </c>
      <c r="B925" s="163">
        <v>1.71</v>
      </c>
      <c r="K925" s="157">
        <v>44617</v>
      </c>
      <c r="L925" s="158">
        <v>-0.13</v>
      </c>
    </row>
    <row r="926" spans="1:12" x14ac:dyDescent="0.25">
      <c r="A926" s="162">
        <v>39479</v>
      </c>
      <c r="B926" s="163">
        <v>1.69</v>
      </c>
      <c r="K926" s="157">
        <v>44624</v>
      </c>
      <c r="L926" s="158">
        <v>-0.39</v>
      </c>
    </row>
    <row r="927" spans="1:12" x14ac:dyDescent="0.25">
      <c r="A927" s="162">
        <v>39482</v>
      </c>
      <c r="B927" s="163">
        <v>1.76</v>
      </c>
      <c r="K927" s="157">
        <v>44631</v>
      </c>
      <c r="L927" s="158">
        <v>-0.48</v>
      </c>
    </row>
    <row r="928" spans="1:12" x14ac:dyDescent="0.25">
      <c r="A928" s="162">
        <v>39483</v>
      </c>
      <c r="B928" s="163">
        <v>1.72</v>
      </c>
      <c r="K928" s="157">
        <v>44638</v>
      </c>
      <c r="L928" s="158">
        <v>-0.28000000000000003</v>
      </c>
    </row>
    <row r="929" spans="1:12" x14ac:dyDescent="0.25">
      <c r="A929" s="162">
        <v>39484</v>
      </c>
      <c r="B929" s="163">
        <v>1.75</v>
      </c>
      <c r="K929" s="157">
        <v>44645</v>
      </c>
      <c r="L929" s="158">
        <v>-0.18</v>
      </c>
    </row>
    <row r="930" spans="1:12" x14ac:dyDescent="0.25">
      <c r="A930" s="162">
        <v>39485</v>
      </c>
      <c r="B930" s="163">
        <v>1.86</v>
      </c>
      <c r="K930" s="157">
        <v>44652</v>
      </c>
      <c r="L930" s="158">
        <v>-0.16</v>
      </c>
    </row>
    <row r="931" spans="1:12" x14ac:dyDescent="0.25">
      <c r="A931" s="162">
        <v>39486</v>
      </c>
      <c r="B931" s="163">
        <v>1.78</v>
      </c>
      <c r="K931" s="157">
        <v>44659</v>
      </c>
      <c r="L931" s="158">
        <v>0.01</v>
      </c>
    </row>
    <row r="932" spans="1:12" x14ac:dyDescent="0.25">
      <c r="A932" s="162">
        <v>39489</v>
      </c>
      <c r="B932" s="163">
        <v>1.75</v>
      </c>
      <c r="K932" s="157">
        <v>44666</v>
      </c>
      <c r="L932" s="158">
        <v>0.18</v>
      </c>
    </row>
    <row r="933" spans="1:12" x14ac:dyDescent="0.25">
      <c r="A933" s="162">
        <v>39490</v>
      </c>
      <c r="B933" s="163">
        <v>1.79</v>
      </c>
      <c r="K933" s="157">
        <v>44673</v>
      </c>
      <c r="L933" s="158">
        <v>0.19</v>
      </c>
    </row>
    <row r="934" spans="1:12" x14ac:dyDescent="0.25">
      <c r="A934" s="162">
        <v>39491</v>
      </c>
      <c r="B934" s="163">
        <v>1.89</v>
      </c>
      <c r="K934" s="157">
        <v>44680</v>
      </c>
      <c r="L934" s="158">
        <v>0.2</v>
      </c>
    </row>
    <row r="935" spans="1:12" x14ac:dyDescent="0.25">
      <c r="A935" s="162">
        <v>39492</v>
      </c>
      <c r="B935" s="163">
        <v>2.0499999999999998</v>
      </c>
      <c r="K935" s="157">
        <v>44687</v>
      </c>
      <c r="L935" s="158">
        <v>0.42</v>
      </c>
    </row>
    <row r="936" spans="1:12" x14ac:dyDescent="0.25">
      <c r="A936" s="162">
        <v>39493</v>
      </c>
      <c r="B936" s="163">
        <v>1.96</v>
      </c>
      <c r="K936" s="157">
        <v>44694</v>
      </c>
      <c r="L936" s="158">
        <v>0.5</v>
      </c>
    </row>
    <row r="937" spans="1:12" x14ac:dyDescent="0.25">
      <c r="A937" s="162">
        <v>39496</v>
      </c>
      <c r="B937" s="163" t="e">
        <f>NA()</f>
        <v>#N/A</v>
      </c>
      <c r="K937" s="157">
        <v>44701</v>
      </c>
      <c r="L937" s="158">
        <v>0.48</v>
      </c>
    </row>
    <row r="938" spans="1:12" x14ac:dyDescent="0.25">
      <c r="A938" s="162">
        <v>39497</v>
      </c>
      <c r="B938" s="163">
        <v>2.02</v>
      </c>
      <c r="K938" s="157">
        <v>44708</v>
      </c>
      <c r="L938" s="158">
        <v>0.47</v>
      </c>
    </row>
    <row r="939" spans="1:12" x14ac:dyDescent="0.25">
      <c r="A939" s="162">
        <v>39498</v>
      </c>
      <c r="B939" s="163">
        <v>2</v>
      </c>
      <c r="K939" s="157">
        <v>44715</v>
      </c>
      <c r="L939" s="158">
        <v>0.5</v>
      </c>
    </row>
    <row r="940" spans="1:12" x14ac:dyDescent="0.25">
      <c r="A940" s="162">
        <v>39499</v>
      </c>
      <c r="B940" s="163">
        <v>1.92</v>
      </c>
      <c r="K940" s="157">
        <v>44722</v>
      </c>
      <c r="L940" s="158">
        <v>0.51</v>
      </c>
    </row>
    <row r="941" spans="1:12" x14ac:dyDescent="0.25">
      <c r="A941" s="162">
        <v>39500</v>
      </c>
      <c r="B941" s="164">
        <v>1.95</v>
      </c>
      <c r="K941" s="157">
        <v>44729</v>
      </c>
      <c r="L941" s="158">
        <v>0.84</v>
      </c>
    </row>
    <row r="942" spans="1:12" x14ac:dyDescent="0.25">
      <c r="A942" s="162">
        <v>39503</v>
      </c>
      <c r="B942" s="163">
        <v>2.0099999999999998</v>
      </c>
      <c r="K942" s="157">
        <v>44736</v>
      </c>
      <c r="L942" s="158">
        <v>0.76</v>
      </c>
    </row>
    <row r="943" spans="1:12" x14ac:dyDescent="0.25">
      <c r="A943" s="162">
        <v>39504</v>
      </c>
      <c r="B943" s="163">
        <v>1.98</v>
      </c>
      <c r="K943" s="157">
        <v>44743</v>
      </c>
      <c r="L943" s="158">
        <v>0.82</v>
      </c>
    </row>
    <row r="944" spans="1:12" x14ac:dyDescent="0.25">
      <c r="A944" s="162">
        <v>39505</v>
      </c>
      <c r="B944" s="163">
        <v>1.96</v>
      </c>
      <c r="K944" s="157">
        <v>44750</v>
      </c>
      <c r="L944" s="158">
        <v>0.83</v>
      </c>
    </row>
    <row r="945" spans="1:12" x14ac:dyDescent="0.25">
      <c r="A945" s="162">
        <v>39506</v>
      </c>
      <c r="B945" s="163">
        <v>1.84</v>
      </c>
      <c r="K945" s="157">
        <v>44757</v>
      </c>
      <c r="L945" s="158">
        <v>0.8</v>
      </c>
    </row>
    <row r="946" spans="1:12" x14ac:dyDescent="0.25">
      <c r="A946" s="162">
        <v>39507</v>
      </c>
      <c r="B946" s="163">
        <v>1.71</v>
      </c>
      <c r="K946" s="157">
        <v>44764</v>
      </c>
      <c r="L946" s="158">
        <v>0.78</v>
      </c>
    </row>
    <row r="947" spans="1:12" x14ac:dyDescent="0.25">
      <c r="A947" s="162">
        <v>39510</v>
      </c>
      <c r="B947" s="163">
        <v>1.71</v>
      </c>
      <c r="K947" s="157">
        <v>44771</v>
      </c>
      <c r="L947" s="158">
        <v>0.6</v>
      </c>
    </row>
    <row r="948" spans="1:12" x14ac:dyDescent="0.25">
      <c r="A948" s="162">
        <v>39511</v>
      </c>
      <c r="B948" s="163">
        <v>1.79</v>
      </c>
      <c r="K948" s="157">
        <v>44778</v>
      </c>
      <c r="L948" s="158">
        <v>0.53</v>
      </c>
    </row>
    <row r="949" spans="1:12" x14ac:dyDescent="0.25">
      <c r="A949" s="162">
        <v>39512</v>
      </c>
      <c r="B949" s="163">
        <v>1.8</v>
      </c>
      <c r="K949" s="157">
        <v>44785</v>
      </c>
      <c r="L949" s="158">
        <v>0.62</v>
      </c>
    </row>
    <row r="950" spans="1:12" x14ac:dyDescent="0.25">
      <c r="A950" s="162">
        <v>39513</v>
      </c>
      <c r="B950" s="163">
        <v>1.72</v>
      </c>
      <c r="K950" s="157">
        <v>44792</v>
      </c>
      <c r="L950" s="158">
        <v>0.67</v>
      </c>
    </row>
    <row r="951" spans="1:12" x14ac:dyDescent="0.25">
      <c r="A951" s="162">
        <v>39514</v>
      </c>
      <c r="B951" s="163">
        <v>1.68</v>
      </c>
      <c r="K951" s="157">
        <v>44799</v>
      </c>
      <c r="L951" s="158">
        <v>0.7</v>
      </c>
    </row>
    <row r="952" spans="1:12" x14ac:dyDescent="0.25">
      <c r="A952" s="162">
        <v>39517</v>
      </c>
      <c r="B952" s="163">
        <v>1.6</v>
      </c>
      <c r="K952" s="157">
        <v>44806</v>
      </c>
      <c r="L952" s="158">
        <v>0.83</v>
      </c>
    </row>
    <row r="953" spans="1:12" x14ac:dyDescent="0.25">
      <c r="A953" s="162">
        <v>39518</v>
      </c>
      <c r="B953" s="163">
        <v>1.69</v>
      </c>
      <c r="K953" s="157">
        <v>44813</v>
      </c>
      <c r="L953" s="158">
        <v>1</v>
      </c>
    </row>
    <row r="954" spans="1:12" x14ac:dyDescent="0.25">
      <c r="A954" s="162">
        <v>39519</v>
      </c>
      <c r="B954" s="163">
        <v>1.58</v>
      </c>
      <c r="K954" s="157">
        <v>44820</v>
      </c>
      <c r="L954" s="158">
        <v>1.1000000000000001</v>
      </c>
    </row>
    <row r="955" spans="1:12" x14ac:dyDescent="0.25">
      <c r="A955" s="162">
        <v>39520</v>
      </c>
      <c r="B955" s="163">
        <v>1.7</v>
      </c>
      <c r="K955" s="157">
        <v>44827</v>
      </c>
      <c r="L955" s="158">
        <v>1.25</v>
      </c>
    </row>
    <row r="956" spans="1:12" x14ac:dyDescent="0.25">
      <c r="A956" s="162">
        <v>39521</v>
      </c>
      <c r="B956" s="163">
        <v>1.63</v>
      </c>
      <c r="K956" s="157">
        <v>44834</v>
      </c>
      <c r="L956" s="158">
        <v>1.56</v>
      </c>
    </row>
    <row r="957" spans="1:12" x14ac:dyDescent="0.25">
      <c r="A957" s="162">
        <v>39524</v>
      </c>
      <c r="B957" s="163">
        <v>1.75</v>
      </c>
      <c r="K957" s="157">
        <v>44841</v>
      </c>
      <c r="L957" s="158">
        <v>1.58</v>
      </c>
    </row>
    <row r="958" spans="1:12" x14ac:dyDescent="0.25">
      <c r="A958" s="162">
        <v>39525</v>
      </c>
      <c r="B958" s="163">
        <v>1.82</v>
      </c>
      <c r="K958" s="157">
        <v>44848</v>
      </c>
      <c r="L958" s="158">
        <v>1.64</v>
      </c>
    </row>
    <row r="959" spans="1:12" x14ac:dyDescent="0.25">
      <c r="A959" s="162">
        <v>39526</v>
      </c>
      <c r="B959" s="163">
        <v>1.76</v>
      </c>
      <c r="K959" s="157">
        <v>44855</v>
      </c>
      <c r="L959" s="158">
        <v>1.7</v>
      </c>
    </row>
    <row r="960" spans="1:12" x14ac:dyDescent="0.25">
      <c r="A960" s="162">
        <v>39527</v>
      </c>
      <c r="B960" s="163">
        <v>1.7</v>
      </c>
      <c r="K960" s="157">
        <v>44862</v>
      </c>
      <c r="L960" s="158">
        <v>1.65</v>
      </c>
    </row>
    <row r="961" spans="1:12" x14ac:dyDescent="0.25">
      <c r="A961" s="162">
        <v>39528</v>
      </c>
      <c r="B961" s="163" t="e">
        <f>NA()</f>
        <v>#N/A</v>
      </c>
      <c r="K961" s="157">
        <v>44869</v>
      </c>
      <c r="L961" s="158">
        <v>1.66</v>
      </c>
    </row>
    <row r="962" spans="1:12" x14ac:dyDescent="0.25">
      <c r="A962" s="162">
        <v>39531</v>
      </c>
      <c r="B962" s="163">
        <v>1.88</v>
      </c>
      <c r="K962" s="157">
        <v>44876</v>
      </c>
      <c r="L962" s="158">
        <v>1.67</v>
      </c>
    </row>
    <row r="963" spans="1:12" x14ac:dyDescent="0.25">
      <c r="A963" s="162">
        <v>39532</v>
      </c>
      <c r="B963" s="163">
        <v>1.91</v>
      </c>
      <c r="K963" s="157">
        <v>44883</v>
      </c>
      <c r="L963" s="158">
        <v>1.53</v>
      </c>
    </row>
    <row r="964" spans="1:12" x14ac:dyDescent="0.25">
      <c r="A964" s="162">
        <v>39533</v>
      </c>
      <c r="B964" s="163">
        <v>1.93</v>
      </c>
      <c r="K964" s="157">
        <v>44890</v>
      </c>
      <c r="L964" s="158">
        <v>1.44</v>
      </c>
    </row>
    <row r="965" spans="1:12" x14ac:dyDescent="0.25">
      <c r="A965" s="162">
        <v>39534</v>
      </c>
      <c r="B965" s="164">
        <v>1.92</v>
      </c>
      <c r="K965" s="157">
        <v>44897</v>
      </c>
      <c r="L965" s="158">
        <v>1.34</v>
      </c>
    </row>
    <row r="966" spans="1:12" x14ac:dyDescent="0.25">
      <c r="A966" s="162">
        <v>39535</v>
      </c>
      <c r="B966" s="163">
        <v>1.85</v>
      </c>
      <c r="K966" s="157">
        <v>44904</v>
      </c>
      <c r="L966" s="158">
        <v>1.19</v>
      </c>
    </row>
    <row r="967" spans="1:12" x14ac:dyDescent="0.25">
      <c r="A967" s="162">
        <v>39538</v>
      </c>
      <c r="B967" s="163">
        <v>1.81</v>
      </c>
      <c r="K967" s="157">
        <v>44911</v>
      </c>
      <c r="L967" s="158">
        <v>1.31</v>
      </c>
    </row>
    <row r="968" spans="1:12" x14ac:dyDescent="0.25">
      <c r="A968" s="162">
        <v>39539</v>
      </c>
      <c r="B968" s="163">
        <v>1.89</v>
      </c>
      <c r="K968" s="157">
        <v>44918</v>
      </c>
      <c r="L968" s="158">
        <v>1.48</v>
      </c>
    </row>
    <row r="969" spans="1:12" x14ac:dyDescent="0.25">
      <c r="A969" s="162">
        <v>39540</v>
      </c>
      <c r="B969" s="163">
        <v>1.87</v>
      </c>
      <c r="K969" s="157">
        <v>44925</v>
      </c>
      <c r="L969" s="158">
        <v>1.61</v>
      </c>
    </row>
    <row r="970" spans="1:12" x14ac:dyDescent="0.25">
      <c r="A970" s="162">
        <v>39541</v>
      </c>
      <c r="B970" s="163">
        <v>1.89</v>
      </c>
      <c r="K970" s="157">
        <v>44932</v>
      </c>
      <c r="L970" s="158">
        <v>1.49</v>
      </c>
    </row>
    <row r="971" spans="1:12" x14ac:dyDescent="0.25">
      <c r="A971" s="162">
        <v>39542</v>
      </c>
      <c r="B971" s="163">
        <v>1.79</v>
      </c>
      <c r="K971" s="157">
        <v>44939</v>
      </c>
      <c r="L971" s="158">
        <v>1.35</v>
      </c>
    </row>
    <row r="972" spans="1:12" x14ac:dyDescent="0.25">
      <c r="A972" s="162">
        <v>39545</v>
      </c>
      <c r="B972" s="163">
        <v>1.84</v>
      </c>
      <c r="K972" s="157">
        <v>44946</v>
      </c>
      <c r="L972" s="158">
        <v>1.34</v>
      </c>
    </row>
    <row r="973" spans="1:12" x14ac:dyDescent="0.25">
      <c r="A973" s="162">
        <v>39546</v>
      </c>
      <c r="B973" s="163">
        <v>1.82</v>
      </c>
      <c r="K973" s="157">
        <v>44953</v>
      </c>
      <c r="L973" s="158">
        <v>1.26</v>
      </c>
    </row>
    <row r="974" spans="1:12" x14ac:dyDescent="0.25">
      <c r="A974" s="162">
        <v>39547</v>
      </c>
      <c r="B974" s="163">
        <v>1.76</v>
      </c>
      <c r="K974" s="157">
        <v>44960</v>
      </c>
      <c r="L974" s="158">
        <v>1.32</v>
      </c>
    </row>
    <row r="975" spans="1:12" x14ac:dyDescent="0.25">
      <c r="A975" s="162">
        <v>39548</v>
      </c>
      <c r="B975" s="163">
        <v>1.8</v>
      </c>
      <c r="K975" s="157">
        <v>44967</v>
      </c>
      <c r="L975" s="158">
        <v>1.41</v>
      </c>
    </row>
    <row r="976" spans="1:12" x14ac:dyDescent="0.25">
      <c r="A976" s="162">
        <v>39549</v>
      </c>
      <c r="B976" s="163">
        <v>1.75</v>
      </c>
      <c r="K976" s="157">
        <v>44974</v>
      </c>
      <c r="L976" s="158">
        <v>1.49</v>
      </c>
    </row>
    <row r="977" spans="1:12" x14ac:dyDescent="0.25">
      <c r="A977" s="162">
        <v>39552</v>
      </c>
      <c r="B977" s="163">
        <v>1.78</v>
      </c>
      <c r="K977" s="157">
        <v>44981</v>
      </c>
      <c r="L977" s="158">
        <v>1.55</v>
      </c>
    </row>
    <row r="978" spans="1:12" x14ac:dyDescent="0.25">
      <c r="A978" s="162">
        <v>39553</v>
      </c>
      <c r="B978" s="163">
        <v>1.84</v>
      </c>
      <c r="K978" s="157">
        <v>44988</v>
      </c>
      <c r="L978" s="158">
        <v>1.55</v>
      </c>
    </row>
    <row r="979" spans="1:12" x14ac:dyDescent="0.25">
      <c r="A979" s="162">
        <v>39554</v>
      </c>
      <c r="B979" s="163">
        <v>1.95</v>
      </c>
      <c r="K979" s="157">
        <v>44995</v>
      </c>
      <c r="L979" s="158">
        <v>1.54</v>
      </c>
    </row>
    <row r="980" spans="1:12" x14ac:dyDescent="0.25">
      <c r="A980" s="162">
        <v>39555</v>
      </c>
      <c r="B980" s="163">
        <v>1.95</v>
      </c>
      <c r="K980" s="157">
        <v>45002</v>
      </c>
      <c r="L980" s="158">
        <v>1.38</v>
      </c>
    </row>
    <row r="981" spans="1:12" x14ac:dyDescent="0.25">
      <c r="A981" s="162">
        <v>39556</v>
      </c>
      <c r="B981" s="163">
        <v>1.95</v>
      </c>
      <c r="K981" s="157">
        <v>45009</v>
      </c>
      <c r="L981" s="158">
        <v>1.36</v>
      </c>
    </row>
    <row r="982" spans="1:12" x14ac:dyDescent="0.25">
      <c r="A982" s="162">
        <v>39559</v>
      </c>
      <c r="B982" s="163">
        <v>1.95</v>
      </c>
      <c r="K982" s="157">
        <v>45016</v>
      </c>
      <c r="L982" s="158">
        <v>1.37</v>
      </c>
    </row>
    <row r="983" spans="1:12" x14ac:dyDescent="0.25">
      <c r="A983" s="162">
        <v>39560</v>
      </c>
      <c r="B983" s="163">
        <v>1.93</v>
      </c>
      <c r="K983" s="157">
        <v>45023</v>
      </c>
      <c r="L983" s="158">
        <v>1.26</v>
      </c>
    </row>
    <row r="984" spans="1:12" x14ac:dyDescent="0.25">
      <c r="A984" s="162">
        <v>39561</v>
      </c>
      <c r="B984" s="163">
        <v>1.95</v>
      </c>
      <c r="K984" s="157">
        <v>45030</v>
      </c>
      <c r="L984" s="158">
        <v>1.29</v>
      </c>
    </row>
    <row r="985" spans="1:12" x14ac:dyDescent="0.25">
      <c r="A985" s="162">
        <v>39562</v>
      </c>
      <c r="B985" s="163">
        <v>2.0499999999999998</v>
      </c>
      <c r="K985" s="157">
        <v>45037</v>
      </c>
      <c r="L985" s="158">
        <v>1.41</v>
      </c>
    </row>
    <row r="986" spans="1:12" x14ac:dyDescent="0.25">
      <c r="A986" s="162">
        <v>39563</v>
      </c>
      <c r="B986" s="163">
        <v>2.09</v>
      </c>
      <c r="K986" s="157">
        <v>45044</v>
      </c>
      <c r="L986" s="158">
        <v>1.35</v>
      </c>
    </row>
    <row r="987" spans="1:12" x14ac:dyDescent="0.25">
      <c r="A987" s="162">
        <v>39566</v>
      </c>
      <c r="B987" s="163">
        <v>2.06</v>
      </c>
      <c r="K987" s="157">
        <v>45051</v>
      </c>
      <c r="L987" s="158">
        <v>1.4</v>
      </c>
    </row>
    <row r="988" spans="1:12" x14ac:dyDescent="0.25">
      <c r="A988" s="162">
        <v>39567</v>
      </c>
      <c r="B988" s="163">
        <v>2.04</v>
      </c>
      <c r="K988" s="157">
        <v>45058</v>
      </c>
      <c r="L988" s="158">
        <v>1.44</v>
      </c>
    </row>
    <row r="989" spans="1:12" x14ac:dyDescent="0.25">
      <c r="A989" s="162">
        <v>39568</v>
      </c>
      <c r="B989" s="163">
        <v>1.98</v>
      </c>
      <c r="K989" s="157">
        <v>45065</v>
      </c>
      <c r="L989" s="158">
        <v>1.5</v>
      </c>
    </row>
    <row r="990" spans="1:12" x14ac:dyDescent="0.25">
      <c r="A990" s="162">
        <v>39569</v>
      </c>
      <c r="B990" s="163">
        <v>2.02</v>
      </c>
      <c r="K990" s="157">
        <v>45072</v>
      </c>
      <c r="L990" s="158">
        <v>1.57</v>
      </c>
    </row>
    <row r="991" spans="1:12" x14ac:dyDescent="0.25">
      <c r="A991" s="162">
        <v>39570</v>
      </c>
      <c r="B991" s="163">
        <v>2.04</v>
      </c>
      <c r="K991" s="157">
        <v>45079</v>
      </c>
      <c r="L991" s="158">
        <v>1.53</v>
      </c>
    </row>
    <row r="992" spans="1:12" x14ac:dyDescent="0.25">
      <c r="A992" s="162">
        <v>39573</v>
      </c>
      <c r="B992" s="163">
        <v>2.04</v>
      </c>
      <c r="K992" s="157">
        <v>45086</v>
      </c>
      <c r="L992" s="158">
        <v>1.58</v>
      </c>
    </row>
    <row r="993" spans="1:12" x14ac:dyDescent="0.25">
      <c r="A993" s="162">
        <v>39574</v>
      </c>
      <c r="B993" s="163">
        <v>2.0699999999999998</v>
      </c>
      <c r="K993" s="157">
        <v>45093</v>
      </c>
      <c r="L993" s="158">
        <v>1.59</v>
      </c>
    </row>
    <row r="994" spans="1:12" x14ac:dyDescent="0.25">
      <c r="A994" s="162">
        <v>39575</v>
      </c>
      <c r="B994" s="163">
        <v>2.0499999999999998</v>
      </c>
      <c r="K994" s="157">
        <v>45100</v>
      </c>
      <c r="L994" s="158">
        <v>1.53</v>
      </c>
    </row>
    <row r="995" spans="1:12" x14ac:dyDescent="0.25">
      <c r="A995" s="162">
        <v>39576</v>
      </c>
      <c r="B995" s="163">
        <v>1.98</v>
      </c>
      <c r="K995" s="157">
        <v>45107</v>
      </c>
      <c r="L995" s="158">
        <v>1.56</v>
      </c>
    </row>
    <row r="996" spans="1:12" x14ac:dyDescent="0.25">
      <c r="A996" s="162">
        <v>39577</v>
      </c>
      <c r="B996" s="163">
        <v>1.95</v>
      </c>
      <c r="K996" s="157">
        <v>45114</v>
      </c>
      <c r="L996" s="158">
        <v>1.67</v>
      </c>
    </row>
    <row r="997" spans="1:12" x14ac:dyDescent="0.25">
      <c r="A997" s="162">
        <v>39580</v>
      </c>
      <c r="B997" s="163">
        <v>1.95</v>
      </c>
      <c r="K997" s="157">
        <v>45121</v>
      </c>
      <c r="L997" s="158">
        <v>1.64</v>
      </c>
    </row>
    <row r="998" spans="1:12" x14ac:dyDescent="0.25">
      <c r="A998" s="162">
        <v>39581</v>
      </c>
      <c r="B998" s="163">
        <v>2.04</v>
      </c>
      <c r="K998" s="157">
        <v>45128</v>
      </c>
      <c r="L998" s="158">
        <v>1.54</v>
      </c>
    </row>
    <row r="999" spans="1:12" x14ac:dyDescent="0.25">
      <c r="A999" s="162">
        <v>39582</v>
      </c>
      <c r="B999" s="163">
        <v>2.04</v>
      </c>
      <c r="K999" s="157">
        <v>45135</v>
      </c>
      <c r="L999" s="158">
        <v>1.57</v>
      </c>
    </row>
    <row r="1000" spans="1:12" x14ac:dyDescent="0.25">
      <c r="A1000" s="162">
        <v>39583</v>
      </c>
      <c r="B1000" s="163">
        <v>1.97</v>
      </c>
      <c r="K1000" s="157">
        <v>45142</v>
      </c>
      <c r="L1000" s="158">
        <v>1.76</v>
      </c>
    </row>
    <row r="1001" spans="1:12" x14ac:dyDescent="0.25">
      <c r="A1001" s="162">
        <v>39584</v>
      </c>
      <c r="B1001" s="163">
        <v>1.97</v>
      </c>
      <c r="K1001" s="157">
        <v>45149</v>
      </c>
      <c r="L1001" s="158">
        <v>1.79</v>
      </c>
    </row>
    <row r="1002" spans="1:12" x14ac:dyDescent="0.25">
      <c r="A1002" s="162">
        <v>39587</v>
      </c>
      <c r="B1002" s="163">
        <v>1.93</v>
      </c>
      <c r="K1002" s="157">
        <v>45156</v>
      </c>
      <c r="L1002" s="158">
        <v>1.96</v>
      </c>
    </row>
    <row r="1003" spans="1:12" x14ac:dyDescent="0.25">
      <c r="A1003" s="162">
        <v>39588</v>
      </c>
      <c r="B1003" s="163">
        <v>1.88</v>
      </c>
      <c r="K1003" s="157">
        <v>45163</v>
      </c>
      <c r="L1003" s="158">
        <v>1.95</v>
      </c>
    </row>
    <row r="1004" spans="1:12" x14ac:dyDescent="0.25">
      <c r="A1004" s="162">
        <v>39589</v>
      </c>
      <c r="B1004" s="163">
        <v>1.86</v>
      </c>
      <c r="K1004" s="157">
        <v>45170</v>
      </c>
      <c r="L1004" s="158">
        <v>1.9</v>
      </c>
    </row>
    <row r="1005" spans="1:12" x14ac:dyDescent="0.25">
      <c r="A1005" s="162">
        <v>39590</v>
      </c>
      <c r="B1005" s="163">
        <v>1.94</v>
      </c>
      <c r="K1005" s="157">
        <v>45177</v>
      </c>
      <c r="L1005" s="158">
        <v>2</v>
      </c>
    </row>
    <row r="1006" spans="1:12" x14ac:dyDescent="0.25">
      <c r="A1006" s="162">
        <v>39591</v>
      </c>
      <c r="B1006" s="163">
        <v>1.91</v>
      </c>
      <c r="K1006" s="157">
        <v>45184</v>
      </c>
      <c r="L1006" s="158">
        <v>1.97</v>
      </c>
    </row>
    <row r="1007" spans="1:12" x14ac:dyDescent="0.25">
      <c r="A1007" s="162">
        <v>39594</v>
      </c>
      <c r="B1007" s="163" t="e">
        <f>NA()</f>
        <v>#N/A</v>
      </c>
      <c r="K1007" s="157">
        <v>45191</v>
      </c>
      <c r="L1007" s="158">
        <v>2.0499999999999998</v>
      </c>
    </row>
    <row r="1008" spans="1:12" x14ac:dyDescent="0.25">
      <c r="A1008" s="162">
        <v>39595</v>
      </c>
      <c r="B1008" s="163">
        <v>2.0099999999999998</v>
      </c>
      <c r="K1008" s="157">
        <v>45198</v>
      </c>
      <c r="L1008" s="158">
        <v>2.25</v>
      </c>
    </row>
    <row r="1009" spans="1:12" x14ac:dyDescent="0.25">
      <c r="A1009" s="162">
        <v>39596</v>
      </c>
      <c r="B1009" s="163">
        <v>2.11</v>
      </c>
      <c r="K1009" s="157">
        <v>45205</v>
      </c>
      <c r="L1009" s="158">
        <v>2.4300000000000002</v>
      </c>
    </row>
    <row r="1010" spans="1:12" x14ac:dyDescent="0.25">
      <c r="A1010" s="162">
        <v>39597</v>
      </c>
      <c r="B1010" s="163">
        <v>2.16</v>
      </c>
      <c r="K1010" s="157">
        <v>45212</v>
      </c>
      <c r="L1010" s="158">
        <v>2.35</v>
      </c>
    </row>
    <row r="1011" spans="1:12" x14ac:dyDescent="0.25">
      <c r="A1011" s="162">
        <v>39598</v>
      </c>
      <c r="B1011" s="164">
        <v>2.13</v>
      </c>
      <c r="K1011" s="157">
        <v>45219</v>
      </c>
      <c r="L1011" s="158">
        <v>2.4700000000000002</v>
      </c>
    </row>
    <row r="1012" spans="1:12" x14ac:dyDescent="0.25">
      <c r="A1012" s="162">
        <v>39601</v>
      </c>
      <c r="B1012" s="163">
        <v>2.11</v>
      </c>
      <c r="K1012" s="157">
        <v>45226</v>
      </c>
      <c r="L1012" s="158">
        <v>2.4900000000000002</v>
      </c>
    </row>
    <row r="1013" spans="1:12" x14ac:dyDescent="0.25">
      <c r="A1013" s="162">
        <v>39602</v>
      </c>
      <c r="B1013" s="163">
        <v>2.12</v>
      </c>
      <c r="K1013" s="157">
        <v>45233</v>
      </c>
      <c r="L1013" s="158">
        <v>2.38</v>
      </c>
    </row>
    <row r="1014" spans="1:12" x14ac:dyDescent="0.25">
      <c r="A1014" s="162">
        <v>39603</v>
      </c>
      <c r="B1014" s="163">
        <v>2.21</v>
      </c>
      <c r="K1014" s="157">
        <v>45240</v>
      </c>
      <c r="L1014" s="158">
        <v>2.25</v>
      </c>
    </row>
    <row r="1015" spans="1:12" x14ac:dyDescent="0.25">
      <c r="A1015" s="162">
        <v>39604</v>
      </c>
      <c r="B1015" s="163">
        <v>2.2599999999999998</v>
      </c>
      <c r="K1015" s="157">
        <v>45247</v>
      </c>
      <c r="L1015" s="158">
        <v>2.2400000000000002</v>
      </c>
    </row>
    <row r="1016" spans="1:12" x14ac:dyDescent="0.25">
      <c r="A1016" s="162">
        <v>39605</v>
      </c>
      <c r="B1016" s="163">
        <v>2.14</v>
      </c>
      <c r="K1016" s="157">
        <v>45254</v>
      </c>
      <c r="L1016" s="158">
        <v>2.19</v>
      </c>
    </row>
    <row r="1017" spans="1:12" x14ac:dyDescent="0.25">
      <c r="A1017" s="162">
        <v>39608</v>
      </c>
      <c r="B1017" s="163">
        <v>2.15</v>
      </c>
      <c r="K1017" s="157">
        <v>45261</v>
      </c>
      <c r="L1017" s="158">
        <v>2.14</v>
      </c>
    </row>
    <row r="1018" spans="1:12" x14ac:dyDescent="0.25">
      <c r="A1018" s="162">
        <v>39609</v>
      </c>
      <c r="B1018" s="163">
        <v>2.2200000000000002</v>
      </c>
      <c r="K1018" s="157">
        <v>45268</v>
      </c>
      <c r="L1018" s="158">
        <v>2.04</v>
      </c>
    </row>
    <row r="1019" spans="1:12" x14ac:dyDescent="0.25">
      <c r="A1019" s="162">
        <v>39610</v>
      </c>
      <c r="B1019" s="163">
        <v>2.2400000000000002</v>
      </c>
      <c r="K1019" s="157">
        <v>45275</v>
      </c>
      <c r="L1019" s="158">
        <v>1.91</v>
      </c>
    </row>
    <row r="1020" spans="1:12" x14ac:dyDescent="0.25">
      <c r="A1020" s="162">
        <v>39611</v>
      </c>
      <c r="B1020" s="163">
        <v>2.2999999999999998</v>
      </c>
      <c r="K1020" s="157">
        <v>45282</v>
      </c>
      <c r="L1020" s="158">
        <v>1.8</v>
      </c>
    </row>
    <row r="1021" spans="1:12" x14ac:dyDescent="0.25">
      <c r="A1021" s="162">
        <v>39612</v>
      </c>
      <c r="B1021" s="163">
        <v>2.31</v>
      </c>
      <c r="K1021" s="157">
        <v>45289</v>
      </c>
      <c r="L1021" s="158">
        <v>1.79</v>
      </c>
    </row>
    <row r="1022" spans="1:12" x14ac:dyDescent="0.25">
      <c r="A1022" s="162">
        <v>39615</v>
      </c>
      <c r="B1022" s="163">
        <v>2.2599999999999998</v>
      </c>
      <c r="K1022" s="157">
        <v>45296</v>
      </c>
      <c r="L1022" s="158">
        <v>1.87</v>
      </c>
    </row>
    <row r="1023" spans="1:12" x14ac:dyDescent="0.25">
      <c r="A1023" s="162">
        <v>39616</v>
      </c>
      <c r="B1023" s="163">
        <v>2.2599999999999998</v>
      </c>
      <c r="K1023" s="157">
        <v>45303</v>
      </c>
      <c r="L1023" s="158">
        <v>1.9</v>
      </c>
    </row>
    <row r="1024" spans="1:12" x14ac:dyDescent="0.25">
      <c r="A1024" s="162">
        <v>39617</v>
      </c>
      <c r="B1024" s="163">
        <v>2.2000000000000002</v>
      </c>
      <c r="K1024" s="157">
        <v>45310</v>
      </c>
      <c r="L1024" s="158">
        <v>1.94</v>
      </c>
    </row>
    <row r="1025" spans="1:12" x14ac:dyDescent="0.25">
      <c r="A1025" s="162">
        <v>39618</v>
      </c>
      <c r="B1025" s="163">
        <v>2.2599999999999998</v>
      </c>
      <c r="K1025" s="157">
        <v>45317</v>
      </c>
      <c r="L1025" s="158">
        <v>1.99</v>
      </c>
    </row>
    <row r="1026" spans="1:12" x14ac:dyDescent="0.25">
      <c r="A1026" s="162">
        <v>39619</v>
      </c>
      <c r="B1026" s="163">
        <v>2.2200000000000002</v>
      </c>
      <c r="K1026" s="157">
        <v>45324</v>
      </c>
      <c r="L1026" s="158">
        <v>1.9</v>
      </c>
    </row>
    <row r="1027" spans="1:12" x14ac:dyDescent="0.25">
      <c r="A1027" s="162">
        <v>39622</v>
      </c>
      <c r="B1027" s="163">
        <v>2.2400000000000002</v>
      </c>
      <c r="K1027" s="157">
        <v>45331</v>
      </c>
      <c r="L1027" s="158">
        <v>2.02</v>
      </c>
    </row>
    <row r="1028" spans="1:12" x14ac:dyDescent="0.25">
      <c r="A1028" s="162">
        <v>39623</v>
      </c>
      <c r="B1028" s="163">
        <v>2.17</v>
      </c>
      <c r="K1028" s="157">
        <v>45338</v>
      </c>
      <c r="L1028" s="158">
        <v>2.09</v>
      </c>
    </row>
    <row r="1029" spans="1:12" x14ac:dyDescent="0.25">
      <c r="A1029" s="162">
        <v>39624</v>
      </c>
      <c r="B1029" s="163">
        <v>2.1800000000000002</v>
      </c>
      <c r="K1029" s="157">
        <v>45345</v>
      </c>
      <c r="L1029" s="158">
        <v>2.09</v>
      </c>
    </row>
    <row r="1030" spans="1:12" x14ac:dyDescent="0.25">
      <c r="A1030" s="162">
        <v>39625</v>
      </c>
      <c r="B1030" s="163">
        <v>2.1</v>
      </c>
      <c r="K1030" s="157">
        <v>45352</v>
      </c>
      <c r="L1030" s="158">
        <v>2.04</v>
      </c>
    </row>
    <row r="1031" spans="1:12" x14ac:dyDescent="0.25">
      <c r="A1031" s="162">
        <v>39626</v>
      </c>
      <c r="B1031" s="163">
        <v>2.0499999999999998</v>
      </c>
      <c r="K1031" s="157">
        <v>45359</v>
      </c>
      <c r="L1031" s="158">
        <v>1.93</v>
      </c>
    </row>
    <row r="1032" spans="1:12" x14ac:dyDescent="0.25">
      <c r="A1032" s="162">
        <v>39629</v>
      </c>
      <c r="B1032" s="163">
        <v>2.06</v>
      </c>
      <c r="K1032" s="157">
        <v>45366</v>
      </c>
      <c r="L1032" s="158">
        <v>2.02</v>
      </c>
    </row>
    <row r="1033" spans="1:12" x14ac:dyDescent="0.25">
      <c r="A1033" s="162">
        <v>39630</v>
      </c>
      <c r="B1033" s="163">
        <v>2.0499999999999998</v>
      </c>
      <c r="K1033" s="157">
        <v>45373</v>
      </c>
      <c r="L1033" s="158">
        <v>2.0699999999999998</v>
      </c>
    </row>
    <row r="1034" spans="1:12" x14ac:dyDescent="0.25">
      <c r="A1034" s="162">
        <v>39631</v>
      </c>
      <c r="B1034" s="163">
        <v>1.98</v>
      </c>
      <c r="K1034" s="157">
        <v>45380</v>
      </c>
      <c r="L1034" s="158">
        <v>2.02</v>
      </c>
    </row>
    <row r="1035" spans="1:12" x14ac:dyDescent="0.25">
      <c r="A1035" s="162">
        <v>39632</v>
      </c>
      <c r="B1035" s="163">
        <v>1.98</v>
      </c>
      <c r="K1035" s="157">
        <v>45387</v>
      </c>
      <c r="L1035" s="158">
        <v>2.11</v>
      </c>
    </row>
    <row r="1036" spans="1:12" x14ac:dyDescent="0.25">
      <c r="A1036" s="162">
        <v>39633</v>
      </c>
      <c r="B1036" s="163" t="e">
        <f>NA()</f>
        <v>#N/A</v>
      </c>
      <c r="K1036" s="157">
        <v>45394</v>
      </c>
      <c r="L1036" s="158">
        <v>2.19</v>
      </c>
    </row>
    <row r="1037" spans="1:12" x14ac:dyDescent="0.25">
      <c r="A1037" s="162">
        <v>39636</v>
      </c>
      <c r="B1037" s="163">
        <v>1.99</v>
      </c>
      <c r="K1037" s="157">
        <v>45401</v>
      </c>
      <c r="L1037" s="158">
        <v>2.31</v>
      </c>
    </row>
    <row r="1038" spans="1:12" x14ac:dyDescent="0.25">
      <c r="A1038" s="162">
        <v>39637</v>
      </c>
      <c r="B1038" s="163">
        <v>1.98</v>
      </c>
      <c r="K1038" s="157">
        <v>45408</v>
      </c>
      <c r="L1038" s="158">
        <v>2.3199999999999998</v>
      </c>
    </row>
    <row r="1039" spans="1:12" x14ac:dyDescent="0.25">
      <c r="A1039" s="162">
        <v>39638</v>
      </c>
      <c r="B1039" s="163">
        <v>1.92</v>
      </c>
      <c r="K1039" s="157">
        <v>45415</v>
      </c>
      <c r="L1039" s="158">
        <v>2.2999999999999998</v>
      </c>
    </row>
    <row r="1040" spans="1:12" x14ac:dyDescent="0.25">
      <c r="A1040" s="162">
        <v>39639</v>
      </c>
      <c r="B1040" s="164">
        <v>1.94</v>
      </c>
      <c r="K1040" s="157">
        <v>45422</v>
      </c>
      <c r="L1040" s="158">
        <v>2.2200000000000002</v>
      </c>
    </row>
    <row r="1041" spans="1:2" x14ac:dyDescent="0.25">
      <c r="A1041" s="162">
        <v>39640</v>
      </c>
      <c r="B1041" s="163">
        <v>2.0299999999999998</v>
      </c>
    </row>
    <row r="1042" spans="1:2" x14ac:dyDescent="0.25">
      <c r="A1042" s="162">
        <v>39643</v>
      </c>
      <c r="B1042" s="163">
        <v>1.98</v>
      </c>
    </row>
    <row r="1043" spans="1:2" x14ac:dyDescent="0.25">
      <c r="A1043" s="162">
        <v>39644</v>
      </c>
      <c r="B1043" s="163">
        <v>1.98</v>
      </c>
    </row>
    <row r="1044" spans="1:2" x14ac:dyDescent="0.25">
      <c r="A1044" s="162">
        <v>39645</v>
      </c>
      <c r="B1044" s="163">
        <v>2.06</v>
      </c>
    </row>
    <row r="1045" spans="1:2" x14ac:dyDescent="0.25">
      <c r="A1045" s="162">
        <v>39646</v>
      </c>
      <c r="B1045" s="163">
        <v>2.13</v>
      </c>
    </row>
    <row r="1046" spans="1:2" x14ac:dyDescent="0.25">
      <c r="A1046" s="162">
        <v>39647</v>
      </c>
      <c r="B1046" s="163">
        <v>2.15</v>
      </c>
    </row>
    <row r="1047" spans="1:2" x14ac:dyDescent="0.25">
      <c r="A1047" s="162">
        <v>39650</v>
      </c>
      <c r="B1047" s="163">
        <v>2.17</v>
      </c>
    </row>
    <row r="1048" spans="1:2" x14ac:dyDescent="0.25">
      <c r="A1048" s="162">
        <v>39651</v>
      </c>
      <c r="B1048" s="163">
        <v>2.2200000000000002</v>
      </c>
    </row>
    <row r="1049" spans="1:2" x14ac:dyDescent="0.25">
      <c r="A1049" s="162">
        <v>39652</v>
      </c>
      <c r="B1049" s="163">
        <v>2.2599999999999998</v>
      </c>
    </row>
    <row r="1050" spans="1:2" x14ac:dyDescent="0.25">
      <c r="A1050" s="162">
        <v>39653</v>
      </c>
      <c r="B1050" s="163">
        <v>2.17</v>
      </c>
    </row>
    <row r="1051" spans="1:2" x14ac:dyDescent="0.25">
      <c r="A1051" s="162">
        <v>39654</v>
      </c>
      <c r="B1051" s="163">
        <v>2.2599999999999998</v>
      </c>
    </row>
    <row r="1052" spans="1:2" x14ac:dyDescent="0.25">
      <c r="A1052" s="162">
        <v>39657</v>
      </c>
      <c r="B1052" s="163">
        <v>2.19</v>
      </c>
    </row>
    <row r="1053" spans="1:2" x14ac:dyDescent="0.25">
      <c r="A1053" s="162">
        <v>39658</v>
      </c>
      <c r="B1053" s="163">
        <v>2.23</v>
      </c>
    </row>
    <row r="1054" spans="1:2" x14ac:dyDescent="0.25">
      <c r="A1054" s="162">
        <v>39659</v>
      </c>
      <c r="B1054" s="163">
        <v>2.21</v>
      </c>
    </row>
    <row r="1055" spans="1:2" x14ac:dyDescent="0.25">
      <c r="A1055" s="162">
        <v>39660</v>
      </c>
      <c r="B1055" s="163">
        <v>2.16</v>
      </c>
    </row>
    <row r="1056" spans="1:2" x14ac:dyDescent="0.25">
      <c r="A1056" s="162">
        <v>39661</v>
      </c>
      <c r="B1056" s="163">
        <v>2.13</v>
      </c>
    </row>
    <row r="1057" spans="1:2" x14ac:dyDescent="0.25">
      <c r="A1057" s="162">
        <v>39664</v>
      </c>
      <c r="B1057" s="163">
        <v>2.14</v>
      </c>
    </row>
    <row r="1058" spans="1:2" x14ac:dyDescent="0.25">
      <c r="A1058" s="162">
        <v>39665</v>
      </c>
      <c r="B1058" s="163">
        <v>2.2000000000000002</v>
      </c>
    </row>
    <row r="1059" spans="1:2" x14ac:dyDescent="0.25">
      <c r="A1059" s="162">
        <v>39666</v>
      </c>
      <c r="B1059" s="163">
        <v>2.25</v>
      </c>
    </row>
    <row r="1060" spans="1:2" x14ac:dyDescent="0.25">
      <c r="A1060" s="162">
        <v>39667</v>
      </c>
      <c r="B1060" s="163">
        <v>2.13</v>
      </c>
    </row>
    <row r="1061" spans="1:2" x14ac:dyDescent="0.25">
      <c r="A1061" s="162">
        <v>39668</v>
      </c>
      <c r="B1061" s="163">
        <v>2.15</v>
      </c>
    </row>
    <row r="1062" spans="1:2" x14ac:dyDescent="0.25">
      <c r="A1062" s="162">
        <v>39671</v>
      </c>
      <c r="B1062" s="163">
        <v>2.2400000000000002</v>
      </c>
    </row>
    <row r="1063" spans="1:2" x14ac:dyDescent="0.25">
      <c r="A1063" s="162">
        <v>39672</v>
      </c>
      <c r="B1063" s="163">
        <v>2.2000000000000002</v>
      </c>
    </row>
    <row r="1064" spans="1:2" x14ac:dyDescent="0.25">
      <c r="A1064" s="162">
        <v>39673</v>
      </c>
      <c r="B1064" s="163">
        <v>2.23</v>
      </c>
    </row>
    <row r="1065" spans="1:2" x14ac:dyDescent="0.25">
      <c r="A1065" s="162">
        <v>39674</v>
      </c>
      <c r="B1065" s="163">
        <v>2.16</v>
      </c>
    </row>
    <row r="1066" spans="1:2" x14ac:dyDescent="0.25">
      <c r="A1066" s="162">
        <v>39675</v>
      </c>
      <c r="B1066" s="163">
        <v>2.13</v>
      </c>
    </row>
    <row r="1067" spans="1:2" x14ac:dyDescent="0.25">
      <c r="A1067" s="162">
        <v>39678</v>
      </c>
      <c r="B1067" s="163">
        <v>2.12</v>
      </c>
    </row>
    <row r="1068" spans="1:2" x14ac:dyDescent="0.25">
      <c r="A1068" s="162">
        <v>39679</v>
      </c>
      <c r="B1068" s="163">
        <v>2.15</v>
      </c>
    </row>
    <row r="1069" spans="1:2" x14ac:dyDescent="0.25">
      <c r="A1069" s="162">
        <v>39680</v>
      </c>
      <c r="B1069" s="163">
        <v>2.11</v>
      </c>
    </row>
    <row r="1070" spans="1:2" x14ac:dyDescent="0.25">
      <c r="A1070" s="162">
        <v>39681</v>
      </c>
      <c r="B1070" s="163">
        <v>2.1</v>
      </c>
    </row>
    <row r="1071" spans="1:2" x14ac:dyDescent="0.25">
      <c r="A1071" s="162">
        <v>39682</v>
      </c>
      <c r="B1071" s="163">
        <v>2.12</v>
      </c>
    </row>
    <row r="1072" spans="1:2" x14ac:dyDescent="0.25">
      <c r="A1072" s="162">
        <v>39685</v>
      </c>
      <c r="B1072" s="163">
        <v>2.0699999999999998</v>
      </c>
    </row>
    <row r="1073" spans="1:2" x14ac:dyDescent="0.25">
      <c r="A1073" s="162">
        <v>39686</v>
      </c>
      <c r="B1073" s="163">
        <v>2.09</v>
      </c>
    </row>
    <row r="1074" spans="1:2" x14ac:dyDescent="0.25">
      <c r="A1074" s="162">
        <v>39687</v>
      </c>
      <c r="B1074" s="163">
        <v>2.0699999999999998</v>
      </c>
    </row>
    <row r="1075" spans="1:2" x14ac:dyDescent="0.25">
      <c r="A1075" s="162">
        <v>39688</v>
      </c>
      <c r="B1075" s="163">
        <v>2.1</v>
      </c>
    </row>
    <row r="1076" spans="1:2" x14ac:dyDescent="0.25">
      <c r="A1076" s="162">
        <v>39689</v>
      </c>
      <c r="B1076" s="163">
        <v>2.17</v>
      </c>
    </row>
    <row r="1077" spans="1:2" x14ac:dyDescent="0.25">
      <c r="A1077" s="162">
        <v>39692</v>
      </c>
      <c r="B1077" s="163" t="e">
        <f>NA()</f>
        <v>#N/A</v>
      </c>
    </row>
    <row r="1078" spans="1:2" x14ac:dyDescent="0.25">
      <c r="A1078" s="162">
        <v>39693</v>
      </c>
      <c r="B1078" s="163">
        <v>2.15</v>
      </c>
    </row>
    <row r="1079" spans="1:2" x14ac:dyDescent="0.25">
      <c r="A1079" s="162">
        <v>39694</v>
      </c>
      <c r="B1079" s="163">
        <v>2.19</v>
      </c>
    </row>
    <row r="1080" spans="1:2" x14ac:dyDescent="0.25">
      <c r="A1080" s="162">
        <v>39695</v>
      </c>
      <c r="B1080" s="163">
        <v>2.2200000000000002</v>
      </c>
    </row>
    <row r="1081" spans="1:2" x14ac:dyDescent="0.25">
      <c r="A1081" s="162">
        <v>39696</v>
      </c>
      <c r="B1081" s="164">
        <v>2.21</v>
      </c>
    </row>
    <row r="1082" spans="1:2" x14ac:dyDescent="0.25">
      <c r="A1082" s="162">
        <v>39699</v>
      </c>
      <c r="B1082" s="163">
        <v>2.14</v>
      </c>
    </row>
    <row r="1083" spans="1:2" x14ac:dyDescent="0.25">
      <c r="A1083" s="162">
        <v>39700</v>
      </c>
      <c r="B1083" s="163">
        <v>2.11</v>
      </c>
    </row>
    <row r="1084" spans="1:2" x14ac:dyDescent="0.25">
      <c r="A1084" s="162">
        <v>39701</v>
      </c>
      <c r="B1084" s="163">
        <v>2.1</v>
      </c>
    </row>
    <row r="1085" spans="1:2" x14ac:dyDescent="0.25">
      <c r="A1085" s="162">
        <v>39702</v>
      </c>
      <c r="B1085" s="163">
        <v>2.0499999999999998</v>
      </c>
    </row>
    <row r="1086" spans="1:2" x14ac:dyDescent="0.25">
      <c r="A1086" s="162">
        <v>39703</v>
      </c>
      <c r="B1086" s="163">
        <v>2.19</v>
      </c>
    </row>
    <row r="1087" spans="1:2" x14ac:dyDescent="0.25">
      <c r="A1087" s="162">
        <v>39706</v>
      </c>
      <c r="B1087" s="163">
        <v>2.09</v>
      </c>
    </row>
    <row r="1088" spans="1:2" x14ac:dyDescent="0.25">
      <c r="A1088" s="162">
        <v>39707</v>
      </c>
      <c r="B1088" s="163">
        <v>2.16</v>
      </c>
    </row>
    <row r="1089" spans="1:2" x14ac:dyDescent="0.25">
      <c r="A1089" s="162">
        <v>39708</v>
      </c>
      <c r="B1089" s="163">
        <v>2.19</v>
      </c>
    </row>
    <row r="1090" spans="1:2" x14ac:dyDescent="0.25">
      <c r="A1090" s="162">
        <v>39709</v>
      </c>
      <c r="B1090" s="163">
        <v>2.2799999999999998</v>
      </c>
    </row>
    <row r="1091" spans="1:2" x14ac:dyDescent="0.25">
      <c r="A1091" s="162">
        <v>39710</v>
      </c>
      <c r="B1091" s="163">
        <v>2.2599999999999998</v>
      </c>
    </row>
    <row r="1092" spans="1:2" x14ac:dyDescent="0.25">
      <c r="A1092" s="162">
        <v>39713</v>
      </c>
      <c r="B1092" s="163">
        <v>2.27</v>
      </c>
    </row>
    <row r="1093" spans="1:2" x14ac:dyDescent="0.25">
      <c r="A1093" s="162">
        <v>39714</v>
      </c>
      <c r="B1093" s="163">
        <v>2.38</v>
      </c>
    </row>
    <row r="1094" spans="1:2" x14ac:dyDescent="0.25">
      <c r="A1094" s="162">
        <v>39715</v>
      </c>
      <c r="B1094" s="163">
        <v>2.4300000000000002</v>
      </c>
    </row>
    <row r="1095" spans="1:2" x14ac:dyDescent="0.25">
      <c r="A1095" s="162">
        <v>39716</v>
      </c>
      <c r="B1095" s="163">
        <v>2.4500000000000002</v>
      </c>
    </row>
    <row r="1096" spans="1:2" x14ac:dyDescent="0.25">
      <c r="A1096" s="162">
        <v>39717</v>
      </c>
      <c r="B1096" s="163">
        <v>2.46</v>
      </c>
    </row>
    <row r="1097" spans="1:2" x14ac:dyDescent="0.25">
      <c r="A1097" s="162">
        <v>39720</v>
      </c>
      <c r="B1097" s="163">
        <v>2.35</v>
      </c>
    </row>
    <row r="1098" spans="1:2" x14ac:dyDescent="0.25">
      <c r="A1098" s="162">
        <v>39721</v>
      </c>
      <c r="B1098" s="163">
        <v>2.62</v>
      </c>
    </row>
    <row r="1099" spans="1:2" x14ac:dyDescent="0.25">
      <c r="A1099" s="162">
        <v>39722</v>
      </c>
      <c r="B1099" s="163">
        <v>2.57</v>
      </c>
    </row>
    <row r="1100" spans="1:2" x14ac:dyDescent="0.25">
      <c r="A1100" s="162">
        <v>39723</v>
      </c>
      <c r="B1100" s="163">
        <v>2.5</v>
      </c>
    </row>
    <row r="1101" spans="1:2" x14ac:dyDescent="0.25">
      <c r="A1101" s="162">
        <v>39724</v>
      </c>
      <c r="B1101" s="163">
        <v>2.4700000000000002</v>
      </c>
    </row>
    <row r="1102" spans="1:2" x14ac:dyDescent="0.25">
      <c r="A1102" s="162">
        <v>39727</v>
      </c>
      <c r="B1102" s="163">
        <v>2.46</v>
      </c>
    </row>
    <row r="1103" spans="1:2" x14ac:dyDescent="0.25">
      <c r="A1103" s="162">
        <v>39728</v>
      </c>
      <c r="B1103" s="163">
        <v>2.59</v>
      </c>
    </row>
    <row r="1104" spans="1:2" x14ac:dyDescent="0.25">
      <c r="A1104" s="162">
        <v>39729</v>
      </c>
      <c r="B1104" s="163">
        <v>2.85</v>
      </c>
    </row>
    <row r="1105" spans="1:2" x14ac:dyDescent="0.25">
      <c r="A1105" s="162">
        <v>39730</v>
      </c>
      <c r="B1105" s="163">
        <v>2.9</v>
      </c>
    </row>
    <row r="1106" spans="1:2" x14ac:dyDescent="0.25">
      <c r="A1106" s="162">
        <v>39731</v>
      </c>
      <c r="B1106" s="163">
        <v>2.97</v>
      </c>
    </row>
    <row r="1107" spans="1:2" x14ac:dyDescent="0.25">
      <c r="A1107" s="162">
        <v>39734</v>
      </c>
      <c r="B1107" s="163" t="e">
        <f>NA()</f>
        <v>#N/A</v>
      </c>
    </row>
    <row r="1108" spans="1:2" x14ac:dyDescent="0.25">
      <c r="A1108" s="162">
        <v>39735</v>
      </c>
      <c r="B1108" s="163">
        <v>2.96</v>
      </c>
    </row>
    <row r="1109" spans="1:2" x14ac:dyDescent="0.25">
      <c r="A1109" s="162">
        <v>39736</v>
      </c>
      <c r="B1109" s="163">
        <v>2.95</v>
      </c>
    </row>
    <row r="1110" spans="1:2" x14ac:dyDescent="0.25">
      <c r="A1110" s="162">
        <v>39737</v>
      </c>
      <c r="B1110" s="163">
        <v>2.95</v>
      </c>
    </row>
    <row r="1111" spans="1:2" x14ac:dyDescent="0.25">
      <c r="A1111" s="162">
        <v>39738</v>
      </c>
      <c r="B1111" s="164">
        <v>2.88</v>
      </c>
    </row>
    <row r="1112" spans="1:2" x14ac:dyDescent="0.25">
      <c r="A1112" s="162">
        <v>39741</v>
      </c>
      <c r="B1112" s="163">
        <v>2.81</v>
      </c>
    </row>
    <row r="1113" spans="1:2" x14ac:dyDescent="0.25">
      <c r="A1113" s="162">
        <v>39742</v>
      </c>
      <c r="B1113" s="163">
        <v>2.77</v>
      </c>
    </row>
    <row r="1114" spans="1:2" x14ac:dyDescent="0.25">
      <c r="A1114" s="162">
        <v>39743</v>
      </c>
      <c r="B1114" s="163">
        <v>2.7</v>
      </c>
    </row>
    <row r="1115" spans="1:2" x14ac:dyDescent="0.25">
      <c r="A1115" s="162">
        <v>39744</v>
      </c>
      <c r="B1115" s="163">
        <v>2.77</v>
      </c>
    </row>
    <row r="1116" spans="1:2" x14ac:dyDescent="0.25">
      <c r="A1116" s="162">
        <v>39745</v>
      </c>
      <c r="B1116" s="163">
        <v>3.05</v>
      </c>
    </row>
    <row r="1117" spans="1:2" x14ac:dyDescent="0.25">
      <c r="A1117" s="162">
        <v>39748</v>
      </c>
      <c r="B1117" s="163">
        <v>3.13</v>
      </c>
    </row>
    <row r="1118" spans="1:2" x14ac:dyDescent="0.25">
      <c r="A1118" s="162">
        <v>39749</v>
      </c>
      <c r="B1118" s="163">
        <v>3.15</v>
      </c>
    </row>
    <row r="1119" spans="1:2" x14ac:dyDescent="0.25">
      <c r="A1119" s="162">
        <v>39750</v>
      </c>
      <c r="B1119" s="163">
        <v>3.19</v>
      </c>
    </row>
    <row r="1120" spans="1:2" x14ac:dyDescent="0.25">
      <c r="A1120" s="162">
        <v>39751</v>
      </c>
      <c r="B1120" s="163">
        <v>3.17</v>
      </c>
    </row>
    <row r="1121" spans="1:2" x14ac:dyDescent="0.25">
      <c r="A1121" s="162">
        <v>39752</v>
      </c>
      <c r="B1121" s="163">
        <v>3.35</v>
      </c>
    </row>
    <row r="1122" spans="1:2" x14ac:dyDescent="0.25">
      <c r="A1122" s="162">
        <v>39755</v>
      </c>
      <c r="B1122" s="163">
        <v>3.29</v>
      </c>
    </row>
    <row r="1123" spans="1:2" x14ac:dyDescent="0.25">
      <c r="A1123" s="162">
        <v>39756</v>
      </c>
      <c r="B1123" s="163">
        <v>3.11</v>
      </c>
    </row>
    <row r="1124" spans="1:2" x14ac:dyDescent="0.25">
      <c r="A1124" s="162">
        <v>39757</v>
      </c>
      <c r="B1124" s="163">
        <v>2.99</v>
      </c>
    </row>
    <row r="1125" spans="1:2" x14ac:dyDescent="0.25">
      <c r="A1125" s="162">
        <v>39758</v>
      </c>
      <c r="B1125" s="163">
        <v>2.96</v>
      </c>
    </row>
    <row r="1126" spans="1:2" x14ac:dyDescent="0.25">
      <c r="A1126" s="162">
        <v>39759</v>
      </c>
      <c r="B1126" s="163">
        <v>2.98</v>
      </c>
    </row>
    <row r="1127" spans="1:2" x14ac:dyDescent="0.25">
      <c r="A1127" s="162">
        <v>39762</v>
      </c>
      <c r="B1127" s="163">
        <v>2.9</v>
      </c>
    </row>
    <row r="1128" spans="1:2" x14ac:dyDescent="0.25">
      <c r="A1128" s="162">
        <v>39763</v>
      </c>
      <c r="B1128" s="163" t="e">
        <f>NA()</f>
        <v>#N/A</v>
      </c>
    </row>
    <row r="1129" spans="1:2" x14ac:dyDescent="0.25">
      <c r="A1129" s="162">
        <v>39764</v>
      </c>
      <c r="B1129" s="163">
        <v>2.86</v>
      </c>
    </row>
    <row r="1130" spans="1:2" x14ac:dyDescent="0.25">
      <c r="A1130" s="162">
        <v>39765</v>
      </c>
      <c r="B1130" s="163">
        <v>2.98</v>
      </c>
    </row>
    <row r="1131" spans="1:2" x14ac:dyDescent="0.25">
      <c r="A1131" s="162">
        <v>39766</v>
      </c>
      <c r="B1131" s="163">
        <v>2.82</v>
      </c>
    </row>
    <row r="1132" spans="1:2" x14ac:dyDescent="0.25">
      <c r="A1132" s="162">
        <v>39769</v>
      </c>
      <c r="B1132" s="164">
        <v>2.79</v>
      </c>
    </row>
    <row r="1133" spans="1:2" x14ac:dyDescent="0.25">
      <c r="A1133" s="162">
        <v>39770</v>
      </c>
      <c r="B1133" s="163">
        <v>2.78</v>
      </c>
    </row>
    <row r="1134" spans="1:2" x14ac:dyDescent="0.25">
      <c r="A1134" s="162">
        <v>39771</v>
      </c>
      <c r="B1134" s="163">
        <v>2.96</v>
      </c>
    </row>
    <row r="1135" spans="1:2" x14ac:dyDescent="0.25">
      <c r="A1135" s="162">
        <v>39772</v>
      </c>
      <c r="B1135" s="163">
        <v>2.93</v>
      </c>
    </row>
    <row r="1136" spans="1:2" x14ac:dyDescent="0.25">
      <c r="A1136" s="162">
        <v>39773</v>
      </c>
      <c r="B1136" s="163">
        <v>3.1</v>
      </c>
    </row>
    <row r="1137" spans="1:2" x14ac:dyDescent="0.25">
      <c r="A1137" s="162">
        <v>39776</v>
      </c>
      <c r="B1137" s="163">
        <v>3.32</v>
      </c>
    </row>
    <row r="1138" spans="1:2" x14ac:dyDescent="0.25">
      <c r="A1138" s="162">
        <v>39777</v>
      </c>
      <c r="B1138" s="163">
        <v>3.14</v>
      </c>
    </row>
    <row r="1139" spans="1:2" x14ac:dyDescent="0.25">
      <c r="A1139" s="162">
        <v>39778</v>
      </c>
      <c r="B1139" s="163">
        <v>3.1</v>
      </c>
    </row>
    <row r="1140" spans="1:2" x14ac:dyDescent="0.25">
      <c r="A1140" s="162">
        <v>39779</v>
      </c>
      <c r="B1140" s="163" t="e">
        <f>NA()</f>
        <v>#N/A</v>
      </c>
    </row>
    <row r="1141" spans="1:2" x14ac:dyDescent="0.25">
      <c r="A1141" s="162">
        <v>39780</v>
      </c>
      <c r="B1141" s="163">
        <v>2.98</v>
      </c>
    </row>
    <row r="1142" spans="1:2" x14ac:dyDescent="0.25">
      <c r="A1142" s="162">
        <v>39783</v>
      </c>
      <c r="B1142" s="163">
        <v>2.76</v>
      </c>
    </row>
    <row r="1143" spans="1:2" x14ac:dyDescent="0.25">
      <c r="A1143" s="162">
        <v>39784</v>
      </c>
      <c r="B1143" s="163">
        <v>2.6</v>
      </c>
    </row>
    <row r="1144" spans="1:2" x14ac:dyDescent="0.25">
      <c r="A1144" s="162">
        <v>39785</v>
      </c>
      <c r="B1144" s="164">
        <v>2.4700000000000002</v>
      </c>
    </row>
    <row r="1145" spans="1:2" x14ac:dyDescent="0.25">
      <c r="A1145" s="162">
        <v>39786</v>
      </c>
      <c r="B1145" s="163">
        <v>2.3199999999999998</v>
      </c>
    </row>
    <row r="1146" spans="1:2" x14ac:dyDescent="0.25">
      <c r="A1146" s="162">
        <v>39787</v>
      </c>
      <c r="B1146" s="163">
        <v>2.4</v>
      </c>
    </row>
    <row r="1147" spans="1:2" x14ac:dyDescent="0.25">
      <c r="A1147" s="162">
        <v>39790</v>
      </c>
      <c r="B1147" s="163">
        <v>2.48</v>
      </c>
    </row>
    <row r="1148" spans="1:2" x14ac:dyDescent="0.25">
      <c r="A1148" s="162">
        <v>39791</v>
      </c>
      <c r="B1148" s="163">
        <v>2.4500000000000002</v>
      </c>
    </row>
    <row r="1149" spans="1:2" x14ac:dyDescent="0.25">
      <c r="A1149" s="162">
        <v>39792</v>
      </c>
      <c r="B1149" s="163">
        <v>2.4300000000000002</v>
      </c>
    </row>
    <row r="1150" spans="1:2" x14ac:dyDescent="0.25">
      <c r="A1150" s="162">
        <v>39793</v>
      </c>
      <c r="B1150" s="163">
        <v>2.4</v>
      </c>
    </row>
    <row r="1151" spans="1:2" x14ac:dyDescent="0.25">
      <c r="A1151" s="162">
        <v>39794</v>
      </c>
      <c r="B1151" s="163">
        <v>2.44</v>
      </c>
    </row>
    <row r="1152" spans="1:2" x14ac:dyDescent="0.25">
      <c r="A1152" s="162">
        <v>39797</v>
      </c>
      <c r="B1152" s="163">
        <v>2.4900000000000002</v>
      </c>
    </row>
    <row r="1153" spans="1:2" x14ac:dyDescent="0.25">
      <c r="A1153" s="162">
        <v>39798</v>
      </c>
      <c r="B1153" s="163">
        <v>2.2599999999999998</v>
      </c>
    </row>
    <row r="1154" spans="1:2" x14ac:dyDescent="0.25">
      <c r="A1154" s="162">
        <v>39799</v>
      </c>
      <c r="B1154" s="163">
        <v>2.04</v>
      </c>
    </row>
    <row r="1155" spans="1:2" x14ac:dyDescent="0.25">
      <c r="A1155" s="162">
        <v>39800</v>
      </c>
      <c r="B1155" s="163">
        <v>1.99</v>
      </c>
    </row>
    <row r="1156" spans="1:2" x14ac:dyDescent="0.25">
      <c r="A1156" s="162">
        <v>39801</v>
      </c>
      <c r="B1156" s="163">
        <v>2.0499999999999998</v>
      </c>
    </row>
    <row r="1157" spans="1:2" x14ac:dyDescent="0.25">
      <c r="A1157" s="162">
        <v>39804</v>
      </c>
      <c r="B1157" s="163">
        <v>2.12</v>
      </c>
    </row>
    <row r="1158" spans="1:2" x14ac:dyDescent="0.25">
      <c r="A1158" s="162">
        <v>39805</v>
      </c>
      <c r="B1158" s="163">
        <v>2.17</v>
      </c>
    </row>
    <row r="1159" spans="1:2" x14ac:dyDescent="0.25">
      <c r="A1159" s="162">
        <v>39806</v>
      </c>
      <c r="B1159" s="163">
        <v>2.19</v>
      </c>
    </row>
    <row r="1160" spans="1:2" x14ac:dyDescent="0.25">
      <c r="A1160" s="162">
        <v>39807</v>
      </c>
      <c r="B1160" s="163" t="e">
        <f>NA()</f>
        <v>#N/A</v>
      </c>
    </row>
    <row r="1161" spans="1:2" x14ac:dyDescent="0.25">
      <c r="A1161" s="162">
        <v>39808</v>
      </c>
      <c r="B1161" s="163">
        <v>2.17</v>
      </c>
    </row>
    <row r="1162" spans="1:2" x14ac:dyDescent="0.25">
      <c r="A1162" s="162">
        <v>39811</v>
      </c>
      <c r="B1162" s="163">
        <v>2.21</v>
      </c>
    </row>
    <row r="1163" spans="1:2" x14ac:dyDescent="0.25">
      <c r="A1163" s="162">
        <v>39812</v>
      </c>
      <c r="B1163" s="163">
        <v>2.2000000000000002</v>
      </c>
    </row>
    <row r="1164" spans="1:2" x14ac:dyDescent="0.25">
      <c r="A1164" s="162">
        <v>39813</v>
      </c>
      <c r="B1164" s="164">
        <v>2.36</v>
      </c>
    </row>
    <row r="1165" spans="1:2" x14ac:dyDescent="0.25">
      <c r="A1165" s="162">
        <v>39814</v>
      </c>
      <c r="B1165" s="163" t="e">
        <f>NA()</f>
        <v>#N/A</v>
      </c>
    </row>
    <row r="1166" spans="1:2" x14ac:dyDescent="0.25">
      <c r="A1166" s="162">
        <v>39815</v>
      </c>
      <c r="B1166" s="163">
        <v>2.5099999999999998</v>
      </c>
    </row>
    <row r="1167" spans="1:2" x14ac:dyDescent="0.25">
      <c r="A1167" s="162">
        <v>39818</v>
      </c>
      <c r="B1167" s="163">
        <v>2.64</v>
      </c>
    </row>
    <row r="1168" spans="1:2" x14ac:dyDescent="0.25">
      <c r="A1168" s="162">
        <v>39819</v>
      </c>
      <c r="B1168" s="163">
        <v>2.65</v>
      </c>
    </row>
    <row r="1169" spans="1:2" x14ac:dyDescent="0.25">
      <c r="A1169" s="162">
        <v>39820</v>
      </c>
      <c r="B1169" s="164">
        <v>2.64</v>
      </c>
    </row>
    <row r="1170" spans="1:2" x14ac:dyDescent="0.25">
      <c r="A1170" s="162">
        <v>39821</v>
      </c>
      <c r="B1170" s="163">
        <v>2.52</v>
      </c>
    </row>
    <row r="1171" spans="1:2" x14ac:dyDescent="0.25">
      <c r="A1171" s="162">
        <v>39822</v>
      </c>
      <c r="B1171" s="163">
        <v>2.4</v>
      </c>
    </row>
    <row r="1172" spans="1:2" x14ac:dyDescent="0.25">
      <c r="A1172" s="162">
        <v>39825</v>
      </c>
      <c r="B1172" s="163">
        <v>2.29</v>
      </c>
    </row>
    <row r="1173" spans="1:2" x14ac:dyDescent="0.25">
      <c r="A1173" s="162">
        <v>39826</v>
      </c>
      <c r="B1173" s="163">
        <v>2.25</v>
      </c>
    </row>
    <row r="1174" spans="1:2" x14ac:dyDescent="0.25">
      <c r="A1174" s="162">
        <v>39827</v>
      </c>
      <c r="B1174" s="163">
        <v>2.2599999999999998</v>
      </c>
    </row>
    <row r="1175" spans="1:2" x14ac:dyDescent="0.25">
      <c r="A1175" s="162">
        <v>39828</v>
      </c>
      <c r="B1175" s="163">
        <v>2.33</v>
      </c>
    </row>
    <row r="1176" spans="1:2" x14ac:dyDescent="0.25">
      <c r="A1176" s="162">
        <v>39829</v>
      </c>
      <c r="B1176" s="163">
        <v>2.3199999999999998</v>
      </c>
    </row>
    <row r="1177" spans="1:2" x14ac:dyDescent="0.25">
      <c r="A1177" s="162">
        <v>39832</v>
      </c>
      <c r="B1177" s="163" t="e">
        <f>NA()</f>
        <v>#N/A</v>
      </c>
    </row>
    <row r="1178" spans="1:2" x14ac:dyDescent="0.25">
      <c r="A1178" s="162">
        <v>39833</v>
      </c>
      <c r="B1178" s="163">
        <v>2.35</v>
      </c>
    </row>
    <row r="1179" spans="1:2" x14ac:dyDescent="0.25">
      <c r="A1179" s="162">
        <v>39834</v>
      </c>
      <c r="B1179" s="163">
        <v>2.65</v>
      </c>
    </row>
    <row r="1180" spans="1:2" x14ac:dyDescent="0.25">
      <c r="A1180" s="162">
        <v>39835</v>
      </c>
      <c r="B1180" s="163">
        <v>2.6</v>
      </c>
    </row>
    <row r="1181" spans="1:2" x14ac:dyDescent="0.25">
      <c r="A1181" s="162">
        <v>39836</v>
      </c>
      <c r="B1181" s="164">
        <v>2.57</v>
      </c>
    </row>
    <row r="1182" spans="1:2" x14ac:dyDescent="0.25">
      <c r="A1182" s="162">
        <v>39839</v>
      </c>
      <c r="B1182" s="163">
        <v>2.4700000000000002</v>
      </c>
    </row>
    <row r="1183" spans="1:2" x14ac:dyDescent="0.25">
      <c r="A1183" s="162">
        <v>39840</v>
      </c>
      <c r="B1183" s="163">
        <v>2.33</v>
      </c>
    </row>
    <row r="1184" spans="1:2" x14ac:dyDescent="0.25">
      <c r="A1184" s="162">
        <v>39841</v>
      </c>
      <c r="B1184" s="163">
        <v>2.46</v>
      </c>
    </row>
    <row r="1185" spans="1:2" x14ac:dyDescent="0.25">
      <c r="A1185" s="162">
        <v>39842</v>
      </c>
      <c r="B1185" s="163">
        <v>2.48</v>
      </c>
    </row>
    <row r="1186" spans="1:2" x14ac:dyDescent="0.25">
      <c r="A1186" s="162">
        <v>39843</v>
      </c>
      <c r="B1186" s="163">
        <v>2.4300000000000002</v>
      </c>
    </row>
    <row r="1187" spans="1:2" x14ac:dyDescent="0.25">
      <c r="A1187" s="162">
        <v>39846</v>
      </c>
      <c r="B1187" s="163">
        <v>2.34</v>
      </c>
    </row>
    <row r="1188" spans="1:2" x14ac:dyDescent="0.25">
      <c r="A1188" s="162">
        <v>39847</v>
      </c>
      <c r="B1188" s="163">
        <v>2.42</v>
      </c>
    </row>
    <row r="1189" spans="1:2" x14ac:dyDescent="0.25">
      <c r="A1189" s="162">
        <v>39848</v>
      </c>
      <c r="B1189" s="163">
        <v>2.4</v>
      </c>
    </row>
    <row r="1190" spans="1:2" x14ac:dyDescent="0.25">
      <c r="A1190" s="162">
        <v>39849</v>
      </c>
      <c r="B1190" s="163">
        <v>2.41</v>
      </c>
    </row>
    <row r="1191" spans="1:2" x14ac:dyDescent="0.25">
      <c r="A1191" s="162">
        <v>39850</v>
      </c>
      <c r="B1191" s="163">
        <v>2.41</v>
      </c>
    </row>
    <row r="1192" spans="1:2" x14ac:dyDescent="0.25">
      <c r="A1192" s="162">
        <v>39853</v>
      </c>
      <c r="B1192" s="163">
        <v>2.27</v>
      </c>
    </row>
    <row r="1193" spans="1:2" x14ac:dyDescent="0.25">
      <c r="A1193" s="162">
        <v>39854</v>
      </c>
      <c r="B1193" s="163">
        <v>2.2200000000000002</v>
      </c>
    </row>
    <row r="1194" spans="1:2" x14ac:dyDescent="0.25">
      <c r="A1194" s="162">
        <v>39855</v>
      </c>
      <c r="B1194" s="163">
        <v>2.21</v>
      </c>
    </row>
    <row r="1195" spans="1:2" x14ac:dyDescent="0.25">
      <c r="A1195" s="162">
        <v>39856</v>
      </c>
      <c r="B1195" s="163">
        <v>2.21</v>
      </c>
    </row>
    <row r="1196" spans="1:2" x14ac:dyDescent="0.25">
      <c r="A1196" s="162">
        <v>39857</v>
      </c>
      <c r="B1196" s="163">
        <v>2.33</v>
      </c>
    </row>
    <row r="1197" spans="1:2" x14ac:dyDescent="0.25">
      <c r="A1197" s="162">
        <v>39860</v>
      </c>
      <c r="B1197" s="163" t="e">
        <f>NA()</f>
        <v>#N/A</v>
      </c>
    </row>
    <row r="1198" spans="1:2" x14ac:dyDescent="0.25">
      <c r="A1198" s="162">
        <v>39861</v>
      </c>
      <c r="B1198" s="163">
        <v>2.19</v>
      </c>
    </row>
    <row r="1199" spans="1:2" x14ac:dyDescent="0.25">
      <c r="A1199" s="162">
        <v>39862</v>
      </c>
      <c r="B1199" s="163">
        <v>2.2400000000000002</v>
      </c>
    </row>
    <row r="1200" spans="1:2" x14ac:dyDescent="0.25">
      <c r="A1200" s="162">
        <v>39863</v>
      </c>
      <c r="B1200" s="163">
        <v>2.29</v>
      </c>
    </row>
    <row r="1201" spans="1:2" x14ac:dyDescent="0.25">
      <c r="A1201" s="162">
        <v>39864</v>
      </c>
      <c r="B1201" s="164">
        <v>2.23</v>
      </c>
    </row>
    <row r="1202" spans="1:2" x14ac:dyDescent="0.25">
      <c r="A1202" s="162">
        <v>39867</v>
      </c>
      <c r="B1202" s="163">
        <v>2.2200000000000002</v>
      </c>
    </row>
    <row r="1203" spans="1:2" x14ac:dyDescent="0.25">
      <c r="A1203" s="162">
        <v>39868</v>
      </c>
      <c r="B1203" s="163">
        <v>2.21</v>
      </c>
    </row>
    <row r="1204" spans="1:2" x14ac:dyDescent="0.25">
      <c r="A1204" s="162">
        <v>39869</v>
      </c>
      <c r="B1204" s="163">
        <v>2.34</v>
      </c>
    </row>
    <row r="1205" spans="1:2" x14ac:dyDescent="0.25">
      <c r="A1205" s="162">
        <v>39870</v>
      </c>
      <c r="B1205" s="163">
        <v>2.4500000000000002</v>
      </c>
    </row>
    <row r="1206" spans="1:2" x14ac:dyDescent="0.25">
      <c r="A1206" s="162">
        <v>39871</v>
      </c>
      <c r="B1206" s="163">
        <v>2.5299999999999998</v>
      </c>
    </row>
    <row r="1207" spans="1:2" x14ac:dyDescent="0.25">
      <c r="A1207" s="162">
        <v>39874</v>
      </c>
      <c r="B1207" s="163">
        <v>2.48</v>
      </c>
    </row>
    <row r="1208" spans="1:2" x14ac:dyDescent="0.25">
      <c r="A1208" s="162">
        <v>39875</v>
      </c>
      <c r="B1208" s="163">
        <v>2.4900000000000002</v>
      </c>
    </row>
    <row r="1209" spans="1:2" x14ac:dyDescent="0.25">
      <c r="A1209" s="162">
        <v>39876</v>
      </c>
      <c r="B1209" s="163">
        <v>2.52</v>
      </c>
    </row>
    <row r="1210" spans="1:2" x14ac:dyDescent="0.25">
      <c r="A1210" s="162">
        <v>39877</v>
      </c>
      <c r="B1210" s="163">
        <v>2.42</v>
      </c>
    </row>
    <row r="1211" spans="1:2" x14ac:dyDescent="0.25">
      <c r="A1211" s="162">
        <v>39878</v>
      </c>
      <c r="B1211" s="163">
        <v>2.4500000000000002</v>
      </c>
    </row>
    <row r="1212" spans="1:2" x14ac:dyDescent="0.25">
      <c r="A1212" s="162">
        <v>39881</v>
      </c>
      <c r="B1212" s="163">
        <v>2.5299999999999998</v>
      </c>
    </row>
    <row r="1213" spans="1:2" x14ac:dyDescent="0.25">
      <c r="A1213" s="162">
        <v>39882</v>
      </c>
      <c r="B1213" s="163">
        <v>2.59</v>
      </c>
    </row>
    <row r="1214" spans="1:2" x14ac:dyDescent="0.25">
      <c r="A1214" s="162">
        <v>39883</v>
      </c>
      <c r="B1214" s="163">
        <v>2.54</v>
      </c>
    </row>
    <row r="1215" spans="1:2" x14ac:dyDescent="0.25">
      <c r="A1215" s="162">
        <v>39884</v>
      </c>
      <c r="B1215" s="163">
        <v>2.39</v>
      </c>
    </row>
    <row r="1216" spans="1:2" x14ac:dyDescent="0.25">
      <c r="A1216" s="162">
        <v>39885</v>
      </c>
      <c r="B1216" s="163">
        <v>2.42</v>
      </c>
    </row>
    <row r="1217" spans="1:2" x14ac:dyDescent="0.25">
      <c r="A1217" s="162">
        <v>39888</v>
      </c>
      <c r="B1217" s="163">
        <v>2.44</v>
      </c>
    </row>
    <row r="1218" spans="1:2" x14ac:dyDescent="0.25">
      <c r="A1218" s="162">
        <v>39889</v>
      </c>
      <c r="B1218" s="163">
        <v>2.4700000000000002</v>
      </c>
    </row>
    <row r="1219" spans="1:2" x14ac:dyDescent="0.25">
      <c r="A1219" s="162">
        <v>39890</v>
      </c>
      <c r="B1219" s="163">
        <v>2.0299999999999998</v>
      </c>
    </row>
    <row r="1220" spans="1:2" x14ac:dyDescent="0.25">
      <c r="A1220" s="162">
        <v>39891</v>
      </c>
      <c r="B1220" s="163">
        <v>2.02</v>
      </c>
    </row>
    <row r="1221" spans="1:2" x14ac:dyDescent="0.25">
      <c r="A1221" s="162">
        <v>39892</v>
      </c>
      <c r="B1221" s="163">
        <v>2.08</v>
      </c>
    </row>
    <row r="1222" spans="1:2" x14ac:dyDescent="0.25">
      <c r="A1222" s="162">
        <v>39895</v>
      </c>
      <c r="B1222" s="163">
        <v>2.0699999999999998</v>
      </c>
    </row>
    <row r="1223" spans="1:2" x14ac:dyDescent="0.25">
      <c r="A1223" s="162">
        <v>39896</v>
      </c>
      <c r="B1223" s="163">
        <v>1.99</v>
      </c>
    </row>
    <row r="1224" spans="1:2" x14ac:dyDescent="0.25">
      <c r="A1224" s="162">
        <v>39897</v>
      </c>
      <c r="B1224" s="163">
        <v>2.0699999999999998</v>
      </c>
    </row>
    <row r="1225" spans="1:2" x14ac:dyDescent="0.25">
      <c r="A1225" s="162">
        <v>39898</v>
      </c>
      <c r="B1225" s="163">
        <v>1.95</v>
      </c>
    </row>
    <row r="1226" spans="1:2" x14ac:dyDescent="0.25">
      <c r="A1226" s="162">
        <v>39899</v>
      </c>
      <c r="B1226" s="163">
        <v>1.94</v>
      </c>
    </row>
    <row r="1227" spans="1:2" x14ac:dyDescent="0.25">
      <c r="A1227" s="162">
        <v>39902</v>
      </c>
      <c r="B1227" s="163">
        <v>1.92</v>
      </c>
    </row>
    <row r="1228" spans="1:2" x14ac:dyDescent="0.25">
      <c r="A1228" s="162">
        <v>39903</v>
      </c>
      <c r="B1228" s="163">
        <v>2.0099999999999998</v>
      </c>
    </row>
    <row r="1229" spans="1:2" x14ac:dyDescent="0.25">
      <c r="A1229" s="162">
        <v>39904</v>
      </c>
      <c r="B1229" s="163">
        <v>1.94</v>
      </c>
    </row>
    <row r="1230" spans="1:2" x14ac:dyDescent="0.25">
      <c r="A1230" s="162">
        <v>39905</v>
      </c>
      <c r="B1230" s="163">
        <v>2.0699999999999998</v>
      </c>
    </row>
    <row r="1231" spans="1:2" x14ac:dyDescent="0.25">
      <c r="A1231" s="162">
        <v>39906</v>
      </c>
      <c r="B1231" s="163">
        <v>2.19</v>
      </c>
    </row>
    <row r="1232" spans="1:2" x14ac:dyDescent="0.25">
      <c r="A1232" s="162">
        <v>39909</v>
      </c>
      <c r="B1232" s="163">
        <v>2.2200000000000002</v>
      </c>
    </row>
    <row r="1233" spans="1:2" x14ac:dyDescent="0.25">
      <c r="A1233" s="162">
        <v>39910</v>
      </c>
      <c r="B1233" s="163">
        <v>2.2200000000000002</v>
      </c>
    </row>
    <row r="1234" spans="1:2" x14ac:dyDescent="0.25">
      <c r="A1234" s="162">
        <v>39911</v>
      </c>
      <c r="B1234" s="163">
        <v>2.15</v>
      </c>
    </row>
    <row r="1235" spans="1:2" x14ac:dyDescent="0.25">
      <c r="A1235" s="162">
        <v>39912</v>
      </c>
      <c r="B1235" s="163">
        <v>2.21</v>
      </c>
    </row>
    <row r="1236" spans="1:2" x14ac:dyDescent="0.25">
      <c r="A1236" s="162">
        <v>39913</v>
      </c>
      <c r="B1236" s="163" t="e">
        <f>NA()</f>
        <v>#N/A</v>
      </c>
    </row>
    <row r="1237" spans="1:2" x14ac:dyDescent="0.25">
      <c r="A1237" s="162">
        <v>39916</v>
      </c>
      <c r="B1237" s="163">
        <v>2.16</v>
      </c>
    </row>
    <row r="1238" spans="1:2" x14ac:dyDescent="0.25">
      <c r="A1238" s="162">
        <v>39917</v>
      </c>
      <c r="B1238" s="163">
        <v>2.16</v>
      </c>
    </row>
    <row r="1239" spans="1:2" x14ac:dyDescent="0.25">
      <c r="A1239" s="162">
        <v>39918</v>
      </c>
      <c r="B1239" s="163">
        <v>2.17</v>
      </c>
    </row>
    <row r="1240" spans="1:2" x14ac:dyDescent="0.25">
      <c r="A1240" s="162">
        <v>39919</v>
      </c>
      <c r="B1240" s="164">
        <v>2.23</v>
      </c>
    </row>
    <row r="1241" spans="1:2" x14ac:dyDescent="0.25">
      <c r="A1241" s="162">
        <v>39920</v>
      </c>
      <c r="B1241" s="163">
        <v>2.33</v>
      </c>
    </row>
    <row r="1242" spans="1:2" x14ac:dyDescent="0.25">
      <c r="A1242" s="162">
        <v>39923</v>
      </c>
      <c r="B1242" s="163">
        <v>2.2999999999999998</v>
      </c>
    </row>
    <row r="1243" spans="1:2" x14ac:dyDescent="0.25">
      <c r="A1243" s="162">
        <v>39924</v>
      </c>
      <c r="B1243" s="163">
        <v>2.36</v>
      </c>
    </row>
    <row r="1244" spans="1:2" x14ac:dyDescent="0.25">
      <c r="A1244" s="162">
        <v>39925</v>
      </c>
      <c r="B1244" s="163">
        <v>2.36</v>
      </c>
    </row>
    <row r="1245" spans="1:2" x14ac:dyDescent="0.25">
      <c r="A1245" s="162">
        <v>39926</v>
      </c>
      <c r="B1245" s="163">
        <v>2.23</v>
      </c>
    </row>
    <row r="1246" spans="1:2" x14ac:dyDescent="0.25">
      <c r="A1246" s="162">
        <v>39927</v>
      </c>
      <c r="B1246" s="163">
        <v>2.2400000000000002</v>
      </c>
    </row>
    <row r="1247" spans="1:2" x14ac:dyDescent="0.25">
      <c r="A1247" s="162">
        <v>39930</v>
      </c>
      <c r="B1247" s="163">
        <v>2.1800000000000002</v>
      </c>
    </row>
    <row r="1248" spans="1:2" x14ac:dyDescent="0.25">
      <c r="A1248" s="162">
        <v>39931</v>
      </c>
      <c r="B1248" s="163">
        <v>2.2599999999999998</v>
      </c>
    </row>
    <row r="1249" spans="1:2" x14ac:dyDescent="0.25">
      <c r="A1249" s="162">
        <v>39932</v>
      </c>
      <c r="B1249" s="163">
        <v>2.2999999999999998</v>
      </c>
    </row>
    <row r="1250" spans="1:2" x14ac:dyDescent="0.25">
      <c r="A1250" s="162">
        <v>39933</v>
      </c>
      <c r="B1250" s="163">
        <v>2.41</v>
      </c>
    </row>
    <row r="1251" spans="1:2" x14ac:dyDescent="0.25">
      <c r="A1251" s="162">
        <v>39934</v>
      </c>
      <c r="B1251" s="163">
        <v>2.4900000000000002</v>
      </c>
    </row>
    <row r="1252" spans="1:2" x14ac:dyDescent="0.25">
      <c r="A1252" s="162">
        <v>39937</v>
      </c>
      <c r="B1252" s="163">
        <v>2.4900000000000002</v>
      </c>
    </row>
    <row r="1253" spans="1:2" x14ac:dyDescent="0.25">
      <c r="A1253" s="162">
        <v>39938</v>
      </c>
      <c r="B1253" s="163">
        <v>2.48</v>
      </c>
    </row>
    <row r="1254" spans="1:2" x14ac:dyDescent="0.25">
      <c r="A1254" s="162">
        <v>39939</v>
      </c>
      <c r="B1254" s="163">
        <v>2.4300000000000002</v>
      </c>
    </row>
    <row r="1255" spans="1:2" x14ac:dyDescent="0.25">
      <c r="A1255" s="162">
        <v>39940</v>
      </c>
      <c r="B1255" s="163">
        <v>2.4500000000000002</v>
      </c>
    </row>
    <row r="1256" spans="1:2" x14ac:dyDescent="0.25">
      <c r="A1256" s="162">
        <v>39941</v>
      </c>
      <c r="B1256" s="163">
        <v>2.46</v>
      </c>
    </row>
    <row r="1257" spans="1:2" x14ac:dyDescent="0.25">
      <c r="A1257" s="162">
        <v>39944</v>
      </c>
      <c r="B1257" s="163">
        <v>2.38</v>
      </c>
    </row>
    <row r="1258" spans="1:2" x14ac:dyDescent="0.25">
      <c r="A1258" s="162">
        <v>39945</v>
      </c>
      <c r="B1258" s="163">
        <v>2.36</v>
      </c>
    </row>
    <row r="1259" spans="1:2" x14ac:dyDescent="0.25">
      <c r="A1259" s="162">
        <v>39946</v>
      </c>
      <c r="B1259" s="163">
        <v>2.2999999999999998</v>
      </c>
    </row>
    <row r="1260" spans="1:2" x14ac:dyDescent="0.25">
      <c r="A1260" s="162">
        <v>39947</v>
      </c>
      <c r="B1260" s="163">
        <v>2.27</v>
      </c>
    </row>
    <row r="1261" spans="1:2" x14ac:dyDescent="0.25">
      <c r="A1261" s="162">
        <v>39948</v>
      </c>
      <c r="B1261" s="163">
        <v>2.2200000000000002</v>
      </c>
    </row>
    <row r="1262" spans="1:2" x14ac:dyDescent="0.25">
      <c r="A1262" s="162">
        <v>39951</v>
      </c>
      <c r="B1262" s="163">
        <v>2.2400000000000002</v>
      </c>
    </row>
    <row r="1263" spans="1:2" x14ac:dyDescent="0.25">
      <c r="A1263" s="162">
        <v>39952</v>
      </c>
      <c r="B1263" s="163">
        <v>2.2400000000000002</v>
      </c>
    </row>
    <row r="1264" spans="1:2" x14ac:dyDescent="0.25">
      <c r="A1264" s="162">
        <v>39953</v>
      </c>
      <c r="B1264" s="163">
        <v>2.19</v>
      </c>
    </row>
    <row r="1265" spans="1:2" x14ac:dyDescent="0.25">
      <c r="A1265" s="162">
        <v>39954</v>
      </c>
      <c r="B1265" s="163">
        <v>2.3199999999999998</v>
      </c>
    </row>
    <row r="1266" spans="1:2" x14ac:dyDescent="0.25">
      <c r="A1266" s="162">
        <v>39955</v>
      </c>
      <c r="B1266" s="163">
        <v>2.33</v>
      </c>
    </row>
    <row r="1267" spans="1:2" x14ac:dyDescent="0.25">
      <c r="A1267" s="162">
        <v>39958</v>
      </c>
      <c r="B1267" s="163" t="e">
        <f>NA()</f>
        <v>#N/A</v>
      </c>
    </row>
    <row r="1268" spans="1:2" x14ac:dyDescent="0.25">
      <c r="A1268" s="162">
        <v>39959</v>
      </c>
      <c r="B1268" s="163">
        <v>2.35</v>
      </c>
    </row>
    <row r="1269" spans="1:2" x14ac:dyDescent="0.25">
      <c r="A1269" s="162">
        <v>39960</v>
      </c>
      <c r="B1269" s="163">
        <v>2.42</v>
      </c>
    </row>
    <row r="1270" spans="1:2" x14ac:dyDescent="0.25">
      <c r="A1270" s="162">
        <v>39961</v>
      </c>
      <c r="B1270" s="163">
        <v>2.42</v>
      </c>
    </row>
    <row r="1271" spans="1:2" x14ac:dyDescent="0.25">
      <c r="A1271" s="162">
        <v>39962</v>
      </c>
      <c r="B1271" s="164">
        <v>2.2599999999999998</v>
      </c>
    </row>
    <row r="1272" spans="1:2" x14ac:dyDescent="0.25">
      <c r="A1272" s="162">
        <v>39965</v>
      </c>
      <c r="B1272" s="163">
        <v>2.39</v>
      </c>
    </row>
    <row r="1273" spans="1:2" x14ac:dyDescent="0.25">
      <c r="A1273" s="162">
        <v>39966</v>
      </c>
      <c r="B1273" s="163">
        <v>2.2799999999999998</v>
      </c>
    </row>
    <row r="1274" spans="1:2" x14ac:dyDescent="0.25">
      <c r="A1274" s="162">
        <v>39967</v>
      </c>
      <c r="B1274" s="163">
        <v>2.3199999999999998</v>
      </c>
    </row>
    <row r="1275" spans="1:2" x14ac:dyDescent="0.25">
      <c r="A1275" s="162">
        <v>39968</v>
      </c>
      <c r="B1275" s="163">
        <v>2.44</v>
      </c>
    </row>
    <row r="1276" spans="1:2" x14ac:dyDescent="0.25">
      <c r="A1276" s="162">
        <v>39969</v>
      </c>
      <c r="B1276" s="163">
        <v>2.4500000000000002</v>
      </c>
    </row>
    <row r="1277" spans="1:2" x14ac:dyDescent="0.25">
      <c r="A1277" s="162">
        <v>39972</v>
      </c>
      <c r="B1277" s="163">
        <v>2.4700000000000002</v>
      </c>
    </row>
    <row r="1278" spans="1:2" x14ac:dyDescent="0.25">
      <c r="A1278" s="162">
        <v>39973</v>
      </c>
      <c r="B1278" s="163">
        <v>2.44</v>
      </c>
    </row>
    <row r="1279" spans="1:2" x14ac:dyDescent="0.25">
      <c r="A1279" s="162">
        <v>39974</v>
      </c>
      <c r="B1279" s="163">
        <v>2.44</v>
      </c>
    </row>
    <row r="1280" spans="1:2" x14ac:dyDescent="0.25">
      <c r="A1280" s="162">
        <v>39975</v>
      </c>
      <c r="B1280" s="163">
        <v>2.42</v>
      </c>
    </row>
    <row r="1281" spans="1:2" x14ac:dyDescent="0.25">
      <c r="A1281" s="162">
        <v>39976</v>
      </c>
      <c r="B1281" s="163">
        <v>2.44</v>
      </c>
    </row>
    <row r="1282" spans="1:2" x14ac:dyDescent="0.25">
      <c r="A1282" s="162">
        <v>39979</v>
      </c>
      <c r="B1282" s="163">
        <v>2.44</v>
      </c>
    </row>
    <row r="1283" spans="1:2" x14ac:dyDescent="0.25">
      <c r="A1283" s="162">
        <v>39980</v>
      </c>
      <c r="B1283" s="163">
        <v>2.4</v>
      </c>
    </row>
    <row r="1284" spans="1:2" x14ac:dyDescent="0.25">
      <c r="A1284" s="162">
        <v>39981</v>
      </c>
      <c r="B1284" s="163">
        <v>2.46</v>
      </c>
    </row>
    <row r="1285" spans="1:2" x14ac:dyDescent="0.25">
      <c r="A1285" s="162">
        <v>39982</v>
      </c>
      <c r="B1285" s="163">
        <v>2.5</v>
      </c>
    </row>
    <row r="1286" spans="1:2" x14ac:dyDescent="0.25">
      <c r="A1286" s="162">
        <v>39983</v>
      </c>
      <c r="B1286" s="163">
        <v>2.41</v>
      </c>
    </row>
    <row r="1287" spans="1:2" x14ac:dyDescent="0.25">
      <c r="A1287" s="162">
        <v>39986</v>
      </c>
      <c r="B1287" s="163">
        <v>2.34</v>
      </c>
    </row>
    <row r="1288" spans="1:2" x14ac:dyDescent="0.25">
      <c r="A1288" s="162">
        <v>39987</v>
      </c>
      <c r="B1288" s="163">
        <v>2.25</v>
      </c>
    </row>
    <row r="1289" spans="1:2" x14ac:dyDescent="0.25">
      <c r="A1289" s="162">
        <v>39988</v>
      </c>
      <c r="B1289" s="163">
        <v>2.2799999999999998</v>
      </c>
    </row>
    <row r="1290" spans="1:2" x14ac:dyDescent="0.25">
      <c r="A1290" s="162">
        <v>39989</v>
      </c>
      <c r="B1290" s="163">
        <v>2.23</v>
      </c>
    </row>
    <row r="1291" spans="1:2" x14ac:dyDescent="0.25">
      <c r="A1291" s="162">
        <v>39990</v>
      </c>
      <c r="B1291" s="163">
        <v>2.21</v>
      </c>
    </row>
    <row r="1292" spans="1:2" x14ac:dyDescent="0.25">
      <c r="A1292" s="162">
        <v>39993</v>
      </c>
      <c r="B1292" s="163">
        <v>2.19</v>
      </c>
    </row>
    <row r="1293" spans="1:2" x14ac:dyDescent="0.25">
      <c r="A1293" s="162">
        <v>39994</v>
      </c>
      <c r="B1293" s="163">
        <v>2.12</v>
      </c>
    </row>
    <row r="1294" spans="1:2" x14ac:dyDescent="0.25">
      <c r="A1294" s="162">
        <v>39995</v>
      </c>
      <c r="B1294" s="163">
        <v>2.16</v>
      </c>
    </row>
    <row r="1295" spans="1:2" x14ac:dyDescent="0.25">
      <c r="A1295" s="162">
        <v>39996</v>
      </c>
      <c r="B1295" s="163">
        <v>2.21</v>
      </c>
    </row>
    <row r="1296" spans="1:2" x14ac:dyDescent="0.25">
      <c r="A1296" s="162">
        <v>39997</v>
      </c>
      <c r="B1296" s="163" t="e">
        <f>NA()</f>
        <v>#N/A</v>
      </c>
    </row>
    <row r="1297" spans="1:2" x14ac:dyDescent="0.25">
      <c r="A1297" s="162">
        <v>40000</v>
      </c>
      <c r="B1297" s="163">
        <v>2.25</v>
      </c>
    </row>
    <row r="1298" spans="1:2" x14ac:dyDescent="0.25">
      <c r="A1298" s="162">
        <v>40001</v>
      </c>
      <c r="B1298" s="163">
        <v>2.23</v>
      </c>
    </row>
    <row r="1299" spans="1:2" x14ac:dyDescent="0.25">
      <c r="A1299" s="162">
        <v>40002</v>
      </c>
      <c r="B1299" s="163">
        <v>2.21</v>
      </c>
    </row>
    <row r="1300" spans="1:2" x14ac:dyDescent="0.25">
      <c r="A1300" s="162">
        <v>40003</v>
      </c>
      <c r="B1300" s="164">
        <v>2.35</v>
      </c>
    </row>
    <row r="1301" spans="1:2" x14ac:dyDescent="0.25">
      <c r="A1301" s="162">
        <v>40004</v>
      </c>
      <c r="B1301" s="163">
        <v>2.2999999999999998</v>
      </c>
    </row>
    <row r="1302" spans="1:2" x14ac:dyDescent="0.25">
      <c r="A1302" s="162">
        <v>40007</v>
      </c>
      <c r="B1302" s="163">
        <v>2.36</v>
      </c>
    </row>
    <row r="1303" spans="1:2" x14ac:dyDescent="0.25">
      <c r="A1303" s="162">
        <v>40008</v>
      </c>
      <c r="B1303" s="163">
        <v>2.39</v>
      </c>
    </row>
    <row r="1304" spans="1:2" x14ac:dyDescent="0.25">
      <c r="A1304" s="162">
        <v>40009</v>
      </c>
      <c r="B1304" s="163">
        <v>2.39</v>
      </c>
    </row>
    <row r="1305" spans="1:2" x14ac:dyDescent="0.25">
      <c r="A1305" s="162">
        <v>40010</v>
      </c>
      <c r="B1305" s="163">
        <v>2.34</v>
      </c>
    </row>
    <row r="1306" spans="1:2" x14ac:dyDescent="0.25">
      <c r="A1306" s="162">
        <v>40011</v>
      </c>
      <c r="B1306" s="163">
        <v>2.35</v>
      </c>
    </row>
    <row r="1307" spans="1:2" x14ac:dyDescent="0.25">
      <c r="A1307" s="162">
        <v>40014</v>
      </c>
      <c r="B1307" s="163">
        <v>2.27</v>
      </c>
    </row>
    <row r="1308" spans="1:2" x14ac:dyDescent="0.25">
      <c r="A1308" s="162">
        <v>40015</v>
      </c>
      <c r="B1308" s="163">
        <v>2.2599999999999998</v>
      </c>
    </row>
    <row r="1309" spans="1:2" x14ac:dyDescent="0.25">
      <c r="A1309" s="162">
        <v>40016</v>
      </c>
      <c r="B1309" s="163">
        <v>2.3199999999999998</v>
      </c>
    </row>
    <row r="1310" spans="1:2" x14ac:dyDescent="0.25">
      <c r="A1310" s="162">
        <v>40017</v>
      </c>
      <c r="B1310" s="163">
        <v>2.36</v>
      </c>
    </row>
    <row r="1311" spans="1:2" x14ac:dyDescent="0.25">
      <c r="A1311" s="162">
        <v>40018</v>
      </c>
      <c r="B1311" s="163">
        <v>2.36</v>
      </c>
    </row>
    <row r="1312" spans="1:2" x14ac:dyDescent="0.25">
      <c r="A1312" s="162">
        <v>40021</v>
      </c>
      <c r="B1312" s="163">
        <v>2.38</v>
      </c>
    </row>
    <row r="1313" spans="1:2" x14ac:dyDescent="0.25">
      <c r="A1313" s="162">
        <v>40022</v>
      </c>
      <c r="B1313" s="163">
        <v>2.37</v>
      </c>
    </row>
    <row r="1314" spans="1:2" x14ac:dyDescent="0.25">
      <c r="A1314" s="162">
        <v>40023</v>
      </c>
      <c r="B1314" s="163">
        <v>2.34</v>
      </c>
    </row>
    <row r="1315" spans="1:2" x14ac:dyDescent="0.25">
      <c r="A1315" s="162">
        <v>40024</v>
      </c>
      <c r="B1315" s="163">
        <v>2.2799999999999998</v>
      </c>
    </row>
    <row r="1316" spans="1:2" x14ac:dyDescent="0.25">
      <c r="A1316" s="162">
        <v>40025</v>
      </c>
      <c r="B1316" s="163">
        <v>2.23</v>
      </c>
    </row>
    <row r="1317" spans="1:2" x14ac:dyDescent="0.25">
      <c r="A1317" s="162">
        <v>40028</v>
      </c>
      <c r="B1317" s="163">
        <v>2.31</v>
      </c>
    </row>
    <row r="1318" spans="1:2" x14ac:dyDescent="0.25">
      <c r="A1318" s="162">
        <v>40029</v>
      </c>
      <c r="B1318" s="163">
        <v>2.36</v>
      </c>
    </row>
    <row r="1319" spans="1:2" x14ac:dyDescent="0.25">
      <c r="A1319" s="162">
        <v>40030</v>
      </c>
      <c r="B1319" s="163">
        <v>2.35</v>
      </c>
    </row>
    <row r="1320" spans="1:2" x14ac:dyDescent="0.25">
      <c r="A1320" s="162">
        <v>40031</v>
      </c>
      <c r="B1320" s="163">
        <v>2.36</v>
      </c>
    </row>
    <row r="1321" spans="1:2" x14ac:dyDescent="0.25">
      <c r="A1321" s="162">
        <v>40032</v>
      </c>
      <c r="B1321" s="163">
        <v>2.34</v>
      </c>
    </row>
    <row r="1322" spans="1:2" x14ac:dyDescent="0.25">
      <c r="A1322" s="162">
        <v>40035</v>
      </c>
      <c r="B1322" s="163">
        <v>2.29</v>
      </c>
    </row>
    <row r="1323" spans="1:2" x14ac:dyDescent="0.25">
      <c r="A1323" s="162">
        <v>40036</v>
      </c>
      <c r="B1323" s="163">
        <v>2.2400000000000002</v>
      </c>
    </row>
    <row r="1324" spans="1:2" x14ac:dyDescent="0.25">
      <c r="A1324" s="162">
        <v>40037</v>
      </c>
      <c r="B1324" s="163">
        <v>2.3199999999999998</v>
      </c>
    </row>
    <row r="1325" spans="1:2" x14ac:dyDescent="0.25">
      <c r="A1325" s="162">
        <v>40038</v>
      </c>
      <c r="B1325" s="163">
        <v>2.2400000000000002</v>
      </c>
    </row>
    <row r="1326" spans="1:2" x14ac:dyDescent="0.25">
      <c r="A1326" s="162">
        <v>40039</v>
      </c>
      <c r="B1326" s="163">
        <v>2.2599999999999998</v>
      </c>
    </row>
    <row r="1327" spans="1:2" x14ac:dyDescent="0.25">
      <c r="A1327" s="162">
        <v>40042</v>
      </c>
      <c r="B1327" s="163">
        <v>2.2000000000000002</v>
      </c>
    </row>
    <row r="1328" spans="1:2" x14ac:dyDescent="0.25">
      <c r="A1328" s="162">
        <v>40043</v>
      </c>
      <c r="B1328" s="163">
        <v>2.17</v>
      </c>
    </row>
    <row r="1329" spans="1:2" x14ac:dyDescent="0.25">
      <c r="A1329" s="162">
        <v>40044</v>
      </c>
      <c r="B1329" s="163">
        <v>2.12</v>
      </c>
    </row>
    <row r="1330" spans="1:2" x14ac:dyDescent="0.25">
      <c r="A1330" s="162">
        <v>40045</v>
      </c>
      <c r="B1330" s="163">
        <v>2.0699999999999998</v>
      </c>
    </row>
    <row r="1331" spans="1:2" x14ac:dyDescent="0.25">
      <c r="A1331" s="162">
        <v>40046</v>
      </c>
      <c r="B1331" s="163">
        <v>2.17</v>
      </c>
    </row>
    <row r="1332" spans="1:2" x14ac:dyDescent="0.25">
      <c r="A1332" s="162">
        <v>40049</v>
      </c>
      <c r="B1332" s="163">
        <v>2.12</v>
      </c>
    </row>
    <row r="1333" spans="1:2" x14ac:dyDescent="0.25">
      <c r="A1333" s="162">
        <v>40050</v>
      </c>
      <c r="B1333" s="163">
        <v>2.12</v>
      </c>
    </row>
    <row r="1334" spans="1:2" x14ac:dyDescent="0.25">
      <c r="A1334" s="162">
        <v>40051</v>
      </c>
      <c r="B1334" s="163">
        <v>2.1</v>
      </c>
    </row>
    <row r="1335" spans="1:2" x14ac:dyDescent="0.25">
      <c r="A1335" s="162">
        <v>40052</v>
      </c>
      <c r="B1335" s="163">
        <v>2.14</v>
      </c>
    </row>
    <row r="1336" spans="1:2" x14ac:dyDescent="0.25">
      <c r="A1336" s="162">
        <v>40053</v>
      </c>
      <c r="B1336" s="163">
        <v>2.17</v>
      </c>
    </row>
    <row r="1337" spans="1:2" x14ac:dyDescent="0.25">
      <c r="A1337" s="162">
        <v>40056</v>
      </c>
      <c r="B1337" s="163">
        <v>2.21</v>
      </c>
    </row>
    <row r="1338" spans="1:2" x14ac:dyDescent="0.25">
      <c r="A1338" s="162">
        <v>40057</v>
      </c>
      <c r="B1338" s="163">
        <v>2.21</v>
      </c>
    </row>
    <row r="1339" spans="1:2" x14ac:dyDescent="0.25">
      <c r="A1339" s="162">
        <v>40058</v>
      </c>
      <c r="B1339" s="163">
        <v>2.17</v>
      </c>
    </row>
    <row r="1340" spans="1:2" x14ac:dyDescent="0.25">
      <c r="A1340" s="162">
        <v>40059</v>
      </c>
      <c r="B1340" s="163">
        <v>2.17</v>
      </c>
    </row>
    <row r="1341" spans="1:2" x14ac:dyDescent="0.25">
      <c r="A1341" s="162">
        <v>40060</v>
      </c>
      <c r="B1341" s="163">
        <v>2.2000000000000002</v>
      </c>
    </row>
    <row r="1342" spans="1:2" x14ac:dyDescent="0.25">
      <c r="A1342" s="162">
        <v>40063</v>
      </c>
      <c r="B1342" s="163" t="e">
        <f>NA()</f>
        <v>#N/A</v>
      </c>
    </row>
    <row r="1343" spans="1:2" x14ac:dyDescent="0.25">
      <c r="A1343" s="162">
        <v>40064</v>
      </c>
      <c r="B1343" s="163">
        <v>2.19</v>
      </c>
    </row>
    <row r="1344" spans="1:2" x14ac:dyDescent="0.25">
      <c r="A1344" s="162">
        <v>40065</v>
      </c>
      <c r="B1344" s="163">
        <v>2.19</v>
      </c>
    </row>
    <row r="1345" spans="1:2" x14ac:dyDescent="0.25">
      <c r="A1345" s="162">
        <v>40066</v>
      </c>
      <c r="B1345" s="163">
        <v>2.12</v>
      </c>
    </row>
    <row r="1346" spans="1:2" x14ac:dyDescent="0.25">
      <c r="A1346" s="162">
        <v>40067</v>
      </c>
      <c r="B1346" s="164">
        <v>2.11</v>
      </c>
    </row>
    <row r="1347" spans="1:2" x14ac:dyDescent="0.25">
      <c r="A1347" s="162">
        <v>40070</v>
      </c>
      <c r="B1347" s="163">
        <v>2.14</v>
      </c>
    </row>
    <row r="1348" spans="1:2" x14ac:dyDescent="0.25">
      <c r="A1348" s="162">
        <v>40071</v>
      </c>
      <c r="B1348" s="163">
        <v>2.16</v>
      </c>
    </row>
    <row r="1349" spans="1:2" x14ac:dyDescent="0.25">
      <c r="A1349" s="162">
        <v>40072</v>
      </c>
      <c r="B1349" s="163">
        <v>2.13</v>
      </c>
    </row>
    <row r="1350" spans="1:2" x14ac:dyDescent="0.25">
      <c r="A1350" s="162">
        <v>40073</v>
      </c>
      <c r="B1350" s="163">
        <v>2.13</v>
      </c>
    </row>
    <row r="1351" spans="1:2" x14ac:dyDescent="0.25">
      <c r="A1351" s="162">
        <v>40074</v>
      </c>
      <c r="B1351" s="163">
        <v>2.16</v>
      </c>
    </row>
    <row r="1352" spans="1:2" x14ac:dyDescent="0.25">
      <c r="A1352" s="162">
        <v>40077</v>
      </c>
      <c r="B1352" s="163">
        <v>2.14</v>
      </c>
    </row>
    <row r="1353" spans="1:2" x14ac:dyDescent="0.25">
      <c r="A1353" s="162">
        <v>40078</v>
      </c>
      <c r="B1353" s="163">
        <v>2.11</v>
      </c>
    </row>
    <row r="1354" spans="1:2" x14ac:dyDescent="0.25">
      <c r="A1354" s="162">
        <v>40079</v>
      </c>
      <c r="B1354" s="163">
        <v>2.11</v>
      </c>
    </row>
    <row r="1355" spans="1:2" x14ac:dyDescent="0.25">
      <c r="A1355" s="162">
        <v>40080</v>
      </c>
      <c r="B1355" s="163">
        <v>2.1</v>
      </c>
    </row>
    <row r="1356" spans="1:2" x14ac:dyDescent="0.25">
      <c r="A1356" s="162">
        <v>40081</v>
      </c>
      <c r="B1356" s="163">
        <v>2.0699999999999998</v>
      </c>
    </row>
    <row r="1357" spans="1:2" x14ac:dyDescent="0.25">
      <c r="A1357" s="162">
        <v>40084</v>
      </c>
      <c r="B1357" s="163">
        <v>2.0499999999999998</v>
      </c>
    </row>
    <row r="1358" spans="1:2" x14ac:dyDescent="0.25">
      <c r="A1358" s="162">
        <v>40085</v>
      </c>
      <c r="B1358" s="163">
        <v>2.06</v>
      </c>
    </row>
    <row r="1359" spans="1:2" x14ac:dyDescent="0.25">
      <c r="A1359" s="162">
        <v>40086</v>
      </c>
      <c r="B1359" s="163">
        <v>2.0299999999999998</v>
      </c>
    </row>
    <row r="1360" spans="1:2" x14ac:dyDescent="0.25">
      <c r="A1360" s="162">
        <v>40087</v>
      </c>
      <c r="B1360" s="163">
        <v>1.98</v>
      </c>
    </row>
    <row r="1361" spans="1:2" x14ac:dyDescent="0.25">
      <c r="A1361" s="162">
        <v>40088</v>
      </c>
      <c r="B1361" s="163">
        <v>2.02</v>
      </c>
    </row>
    <row r="1362" spans="1:2" x14ac:dyDescent="0.25">
      <c r="A1362" s="162">
        <v>40091</v>
      </c>
      <c r="B1362" s="163">
        <v>2.0299999999999998</v>
      </c>
    </row>
    <row r="1363" spans="1:2" x14ac:dyDescent="0.25">
      <c r="A1363" s="162">
        <v>40092</v>
      </c>
      <c r="B1363" s="163">
        <v>2.06</v>
      </c>
    </row>
    <row r="1364" spans="1:2" x14ac:dyDescent="0.25">
      <c r="A1364" s="162">
        <v>40093</v>
      </c>
      <c r="B1364" s="163">
        <v>1.99</v>
      </c>
    </row>
    <row r="1365" spans="1:2" x14ac:dyDescent="0.25">
      <c r="A1365" s="162">
        <v>40094</v>
      </c>
      <c r="B1365" s="163">
        <v>2.0299999999999998</v>
      </c>
    </row>
    <row r="1366" spans="1:2" x14ac:dyDescent="0.25">
      <c r="A1366" s="162">
        <v>40095</v>
      </c>
      <c r="B1366" s="163">
        <v>2.1</v>
      </c>
    </row>
    <row r="1367" spans="1:2" x14ac:dyDescent="0.25">
      <c r="A1367" s="162">
        <v>40098</v>
      </c>
      <c r="B1367" s="163" t="e">
        <f>NA()</f>
        <v>#N/A</v>
      </c>
    </row>
    <row r="1368" spans="1:2" x14ac:dyDescent="0.25">
      <c r="A1368" s="162">
        <v>40099</v>
      </c>
      <c r="B1368" s="163">
        <v>1.99</v>
      </c>
    </row>
    <row r="1369" spans="1:2" x14ac:dyDescent="0.25">
      <c r="A1369" s="162">
        <v>40100</v>
      </c>
      <c r="B1369" s="163">
        <v>2.0699999999999998</v>
      </c>
    </row>
    <row r="1370" spans="1:2" x14ac:dyDescent="0.25">
      <c r="A1370" s="162">
        <v>40101</v>
      </c>
      <c r="B1370" s="163">
        <v>2.08</v>
      </c>
    </row>
    <row r="1371" spans="1:2" x14ac:dyDescent="0.25">
      <c r="A1371" s="162">
        <v>40102</v>
      </c>
      <c r="B1371" s="164">
        <v>2.02</v>
      </c>
    </row>
    <row r="1372" spans="1:2" x14ac:dyDescent="0.25">
      <c r="A1372" s="162">
        <v>40105</v>
      </c>
      <c r="B1372" s="163">
        <v>1.94</v>
      </c>
    </row>
    <row r="1373" spans="1:2" x14ac:dyDescent="0.25">
      <c r="A1373" s="162">
        <v>40106</v>
      </c>
      <c r="B1373" s="163">
        <v>1.94</v>
      </c>
    </row>
    <row r="1374" spans="1:2" x14ac:dyDescent="0.25">
      <c r="A1374" s="162">
        <v>40107</v>
      </c>
      <c r="B1374" s="163">
        <v>2</v>
      </c>
    </row>
    <row r="1375" spans="1:2" x14ac:dyDescent="0.25">
      <c r="A1375" s="162">
        <v>40108</v>
      </c>
      <c r="B1375" s="163">
        <v>2.0699999999999998</v>
      </c>
    </row>
    <row r="1376" spans="1:2" x14ac:dyDescent="0.25">
      <c r="A1376" s="162">
        <v>40109</v>
      </c>
      <c r="B1376" s="163">
        <v>2.1</v>
      </c>
    </row>
    <row r="1377" spans="1:2" x14ac:dyDescent="0.25">
      <c r="A1377" s="162">
        <v>40112</v>
      </c>
      <c r="B1377" s="163">
        <v>2.17</v>
      </c>
    </row>
    <row r="1378" spans="1:2" x14ac:dyDescent="0.25">
      <c r="A1378" s="162">
        <v>40113</v>
      </c>
      <c r="B1378" s="163">
        <v>2.08</v>
      </c>
    </row>
    <row r="1379" spans="1:2" x14ac:dyDescent="0.25">
      <c r="A1379" s="162">
        <v>40114</v>
      </c>
      <c r="B1379" s="163">
        <v>2.0699999999999998</v>
      </c>
    </row>
    <row r="1380" spans="1:2" x14ac:dyDescent="0.25">
      <c r="A1380" s="162">
        <v>40115</v>
      </c>
      <c r="B1380" s="163">
        <v>2.11</v>
      </c>
    </row>
    <row r="1381" spans="1:2" x14ac:dyDescent="0.25">
      <c r="A1381" s="162">
        <v>40116</v>
      </c>
      <c r="B1381" s="163">
        <v>2.02</v>
      </c>
    </row>
    <row r="1382" spans="1:2" x14ac:dyDescent="0.25">
      <c r="A1382" s="162">
        <v>40119</v>
      </c>
      <c r="B1382" s="163">
        <v>2.0099999999999998</v>
      </c>
    </row>
    <row r="1383" spans="1:2" x14ac:dyDescent="0.25">
      <c r="A1383" s="162">
        <v>40120</v>
      </c>
      <c r="B1383" s="163">
        <v>2.04</v>
      </c>
    </row>
    <row r="1384" spans="1:2" x14ac:dyDescent="0.25">
      <c r="A1384" s="162">
        <v>40121</v>
      </c>
      <c r="B1384" s="163">
        <v>2.02</v>
      </c>
    </row>
    <row r="1385" spans="1:2" x14ac:dyDescent="0.25">
      <c r="A1385" s="162">
        <v>40122</v>
      </c>
      <c r="B1385" s="163">
        <v>2</v>
      </c>
    </row>
    <row r="1386" spans="1:2" x14ac:dyDescent="0.25">
      <c r="A1386" s="162">
        <v>40123</v>
      </c>
      <c r="B1386" s="163">
        <v>1.98</v>
      </c>
    </row>
    <row r="1387" spans="1:2" x14ac:dyDescent="0.25">
      <c r="A1387" s="162">
        <v>40126</v>
      </c>
      <c r="B1387" s="163">
        <v>1.95</v>
      </c>
    </row>
    <row r="1388" spans="1:2" x14ac:dyDescent="0.25">
      <c r="A1388" s="162">
        <v>40127</v>
      </c>
      <c r="B1388" s="163">
        <v>1.98</v>
      </c>
    </row>
    <row r="1389" spans="1:2" x14ac:dyDescent="0.25">
      <c r="A1389" s="162">
        <v>40128</v>
      </c>
      <c r="B1389" s="163" t="e">
        <f>NA()</f>
        <v>#N/A</v>
      </c>
    </row>
    <row r="1390" spans="1:2" x14ac:dyDescent="0.25">
      <c r="A1390" s="162">
        <v>40129</v>
      </c>
      <c r="B1390" s="163">
        <v>1.99</v>
      </c>
    </row>
    <row r="1391" spans="1:2" x14ac:dyDescent="0.25">
      <c r="A1391" s="162">
        <v>40130</v>
      </c>
      <c r="B1391" s="163">
        <v>1.96</v>
      </c>
    </row>
    <row r="1392" spans="1:2" x14ac:dyDescent="0.25">
      <c r="A1392" s="162">
        <v>40133</v>
      </c>
      <c r="B1392" s="163">
        <v>1.84</v>
      </c>
    </row>
    <row r="1393" spans="1:2" x14ac:dyDescent="0.25">
      <c r="A1393" s="162">
        <v>40134</v>
      </c>
      <c r="B1393" s="164">
        <v>1.83</v>
      </c>
    </row>
    <row r="1394" spans="1:2" x14ac:dyDescent="0.25">
      <c r="A1394" s="162">
        <v>40135</v>
      </c>
      <c r="B1394" s="163">
        <v>1.84</v>
      </c>
    </row>
    <row r="1395" spans="1:2" x14ac:dyDescent="0.25">
      <c r="A1395" s="162">
        <v>40136</v>
      </c>
      <c r="B1395" s="163">
        <v>1.84</v>
      </c>
    </row>
    <row r="1396" spans="1:2" x14ac:dyDescent="0.25">
      <c r="A1396" s="162">
        <v>40137</v>
      </c>
      <c r="B1396" s="163">
        <v>1.85</v>
      </c>
    </row>
    <row r="1397" spans="1:2" x14ac:dyDescent="0.25">
      <c r="A1397" s="162">
        <v>40140</v>
      </c>
      <c r="B1397" s="163">
        <v>1.84</v>
      </c>
    </row>
    <row r="1398" spans="1:2" x14ac:dyDescent="0.25">
      <c r="A1398" s="162">
        <v>40141</v>
      </c>
      <c r="B1398" s="163">
        <v>1.82</v>
      </c>
    </row>
    <row r="1399" spans="1:2" x14ac:dyDescent="0.25">
      <c r="A1399" s="162">
        <v>40142</v>
      </c>
      <c r="B1399" s="163">
        <v>1.78</v>
      </c>
    </row>
    <row r="1400" spans="1:2" x14ac:dyDescent="0.25">
      <c r="A1400" s="162">
        <v>40143</v>
      </c>
      <c r="B1400" s="163" t="e">
        <f>NA()</f>
        <v>#N/A</v>
      </c>
    </row>
    <row r="1401" spans="1:2" x14ac:dyDescent="0.25">
      <c r="A1401" s="162">
        <v>40144</v>
      </c>
      <c r="B1401" s="163">
        <v>1.77</v>
      </c>
    </row>
    <row r="1402" spans="1:2" x14ac:dyDescent="0.25">
      <c r="A1402" s="162">
        <v>40147</v>
      </c>
      <c r="B1402" s="163">
        <v>1.76</v>
      </c>
    </row>
    <row r="1403" spans="1:2" x14ac:dyDescent="0.25">
      <c r="A1403" s="162">
        <v>40148</v>
      </c>
      <c r="B1403" s="163">
        <v>1.79</v>
      </c>
    </row>
    <row r="1404" spans="1:2" x14ac:dyDescent="0.25">
      <c r="A1404" s="162">
        <v>40149</v>
      </c>
      <c r="B1404" s="164">
        <v>1.79</v>
      </c>
    </row>
    <row r="1405" spans="1:2" x14ac:dyDescent="0.25">
      <c r="A1405" s="162">
        <v>40150</v>
      </c>
      <c r="B1405" s="163">
        <v>1.85</v>
      </c>
    </row>
    <row r="1406" spans="1:2" x14ac:dyDescent="0.25">
      <c r="A1406" s="162">
        <v>40151</v>
      </c>
      <c r="B1406" s="163">
        <v>1.95</v>
      </c>
    </row>
    <row r="1407" spans="1:2" x14ac:dyDescent="0.25">
      <c r="A1407" s="162">
        <v>40154</v>
      </c>
      <c r="B1407" s="163">
        <v>1.95</v>
      </c>
    </row>
    <row r="1408" spans="1:2" x14ac:dyDescent="0.25">
      <c r="A1408" s="162">
        <v>40155</v>
      </c>
      <c r="B1408" s="163">
        <v>1.96</v>
      </c>
    </row>
    <row r="1409" spans="1:2" x14ac:dyDescent="0.25">
      <c r="A1409" s="162">
        <v>40156</v>
      </c>
      <c r="B1409" s="163">
        <v>2.0099999999999998</v>
      </c>
    </row>
    <row r="1410" spans="1:2" x14ac:dyDescent="0.25">
      <c r="A1410" s="162">
        <v>40157</v>
      </c>
      <c r="B1410" s="163">
        <v>2.06</v>
      </c>
    </row>
    <row r="1411" spans="1:2" x14ac:dyDescent="0.25">
      <c r="A1411" s="162">
        <v>40158</v>
      </c>
      <c r="B1411" s="163">
        <v>2.04</v>
      </c>
    </row>
    <row r="1412" spans="1:2" x14ac:dyDescent="0.25">
      <c r="A1412" s="162">
        <v>40161</v>
      </c>
      <c r="B1412" s="163">
        <v>1.99</v>
      </c>
    </row>
    <row r="1413" spans="1:2" x14ac:dyDescent="0.25">
      <c r="A1413" s="162">
        <v>40162</v>
      </c>
      <c r="B1413" s="163">
        <v>2.0099999999999998</v>
      </c>
    </row>
    <row r="1414" spans="1:2" x14ac:dyDescent="0.25">
      <c r="A1414" s="162">
        <v>40163</v>
      </c>
      <c r="B1414" s="163">
        <v>1.99</v>
      </c>
    </row>
    <row r="1415" spans="1:2" x14ac:dyDescent="0.25">
      <c r="A1415" s="162">
        <v>40164</v>
      </c>
      <c r="B1415" s="163">
        <v>1.94</v>
      </c>
    </row>
    <row r="1416" spans="1:2" x14ac:dyDescent="0.25">
      <c r="A1416" s="162">
        <v>40165</v>
      </c>
      <c r="B1416" s="163">
        <v>1.95</v>
      </c>
    </row>
    <row r="1417" spans="1:2" x14ac:dyDescent="0.25">
      <c r="A1417" s="162">
        <v>40168</v>
      </c>
      <c r="B1417" s="163">
        <v>2.0299999999999998</v>
      </c>
    </row>
    <row r="1418" spans="1:2" x14ac:dyDescent="0.25">
      <c r="A1418" s="162">
        <v>40169</v>
      </c>
      <c r="B1418" s="163">
        <v>2.06</v>
      </c>
    </row>
    <row r="1419" spans="1:2" x14ac:dyDescent="0.25">
      <c r="A1419" s="162">
        <v>40170</v>
      </c>
      <c r="B1419" s="163">
        <v>2.09</v>
      </c>
    </row>
    <row r="1420" spans="1:2" x14ac:dyDescent="0.25">
      <c r="A1420" s="162">
        <v>40171</v>
      </c>
      <c r="B1420" s="163">
        <v>2.14</v>
      </c>
    </row>
    <row r="1421" spans="1:2" x14ac:dyDescent="0.25">
      <c r="A1421" s="162">
        <v>40172</v>
      </c>
      <c r="B1421" s="163" t="e">
        <f>NA()</f>
        <v>#N/A</v>
      </c>
    </row>
    <row r="1422" spans="1:2" x14ac:dyDescent="0.25">
      <c r="A1422" s="162">
        <v>40175</v>
      </c>
      <c r="B1422" s="163">
        <v>2.12</v>
      </c>
    </row>
    <row r="1423" spans="1:2" x14ac:dyDescent="0.25">
      <c r="A1423" s="162">
        <v>40176</v>
      </c>
      <c r="B1423" s="163">
        <v>2.0699999999999998</v>
      </c>
    </row>
    <row r="1424" spans="1:2" x14ac:dyDescent="0.25">
      <c r="A1424" s="162">
        <v>40177</v>
      </c>
      <c r="B1424" s="163">
        <v>2.02</v>
      </c>
    </row>
    <row r="1425" spans="1:2" x14ac:dyDescent="0.25">
      <c r="A1425" s="162">
        <v>40178</v>
      </c>
      <c r="B1425" s="164">
        <v>2.0299999999999998</v>
      </c>
    </row>
    <row r="1426" spans="1:2" x14ac:dyDescent="0.25">
      <c r="A1426" s="162">
        <v>40179</v>
      </c>
      <c r="B1426" s="163" t="e">
        <f>NA()</f>
        <v>#N/A</v>
      </c>
    </row>
    <row r="1427" spans="1:2" x14ac:dyDescent="0.25">
      <c r="A1427" s="162">
        <v>40182</v>
      </c>
      <c r="B1427" s="163">
        <v>2.04</v>
      </c>
    </row>
    <row r="1428" spans="1:2" x14ac:dyDescent="0.25">
      <c r="A1428" s="162">
        <v>40183</v>
      </c>
      <c r="B1428" s="163">
        <v>1.97</v>
      </c>
    </row>
    <row r="1429" spans="1:2" x14ac:dyDescent="0.25">
      <c r="A1429" s="162">
        <v>40184</v>
      </c>
      <c r="B1429" s="163">
        <v>2.0299999999999998</v>
      </c>
    </row>
    <row r="1430" spans="1:2" x14ac:dyDescent="0.25">
      <c r="A1430" s="162">
        <v>40185</v>
      </c>
      <c r="B1430" s="164">
        <v>2.02</v>
      </c>
    </row>
    <row r="1431" spans="1:2" x14ac:dyDescent="0.25">
      <c r="A1431" s="162">
        <v>40186</v>
      </c>
      <c r="B1431" s="163">
        <v>2</v>
      </c>
    </row>
    <row r="1432" spans="1:2" x14ac:dyDescent="0.25">
      <c r="A1432" s="162">
        <v>40189</v>
      </c>
      <c r="B1432" s="163">
        <v>2.04</v>
      </c>
    </row>
    <row r="1433" spans="1:2" x14ac:dyDescent="0.25">
      <c r="A1433" s="162">
        <v>40190</v>
      </c>
      <c r="B1433" s="163">
        <v>1.96</v>
      </c>
    </row>
    <row r="1434" spans="1:2" x14ac:dyDescent="0.25">
      <c r="A1434" s="162">
        <v>40191</v>
      </c>
      <c r="B1434" s="163">
        <v>2.0499999999999998</v>
      </c>
    </row>
    <row r="1435" spans="1:2" x14ac:dyDescent="0.25">
      <c r="A1435" s="162">
        <v>40192</v>
      </c>
      <c r="B1435" s="163">
        <v>2.0099999999999998</v>
      </c>
    </row>
    <row r="1436" spans="1:2" x14ac:dyDescent="0.25">
      <c r="A1436" s="162">
        <v>40193</v>
      </c>
      <c r="B1436" s="163">
        <v>2</v>
      </c>
    </row>
    <row r="1437" spans="1:2" x14ac:dyDescent="0.25">
      <c r="A1437" s="162">
        <v>40196</v>
      </c>
      <c r="B1437" s="163" t="e">
        <f>NA()</f>
        <v>#N/A</v>
      </c>
    </row>
    <row r="1438" spans="1:2" x14ac:dyDescent="0.25">
      <c r="A1438" s="162">
        <v>40197</v>
      </c>
      <c r="B1438" s="163">
        <v>2.0099999999999998</v>
      </c>
    </row>
    <row r="1439" spans="1:2" x14ac:dyDescent="0.25">
      <c r="A1439" s="162">
        <v>40198</v>
      </c>
      <c r="B1439" s="163">
        <v>1.98</v>
      </c>
    </row>
    <row r="1440" spans="1:2" x14ac:dyDescent="0.25">
      <c r="A1440" s="162">
        <v>40199</v>
      </c>
      <c r="B1440" s="163">
        <v>1.95</v>
      </c>
    </row>
    <row r="1441" spans="1:2" x14ac:dyDescent="0.25">
      <c r="A1441" s="162">
        <v>40200</v>
      </c>
      <c r="B1441" s="164">
        <v>1.96</v>
      </c>
    </row>
    <row r="1442" spans="1:2" x14ac:dyDescent="0.25">
      <c r="A1442" s="162">
        <v>40203</v>
      </c>
      <c r="B1442" s="163">
        <v>2</v>
      </c>
    </row>
    <row r="1443" spans="1:2" x14ac:dyDescent="0.25">
      <c r="A1443" s="162">
        <v>40204</v>
      </c>
      <c r="B1443" s="163">
        <v>1.99</v>
      </c>
    </row>
    <row r="1444" spans="1:2" x14ac:dyDescent="0.25">
      <c r="A1444" s="162">
        <v>40205</v>
      </c>
      <c r="B1444" s="163">
        <v>2</v>
      </c>
    </row>
    <row r="1445" spans="1:2" x14ac:dyDescent="0.25">
      <c r="A1445" s="162">
        <v>40206</v>
      </c>
      <c r="B1445" s="163">
        <v>1.97</v>
      </c>
    </row>
    <row r="1446" spans="1:2" x14ac:dyDescent="0.25">
      <c r="A1446" s="162">
        <v>40207</v>
      </c>
      <c r="B1446" s="163">
        <v>1.93</v>
      </c>
    </row>
    <row r="1447" spans="1:2" x14ac:dyDescent="0.25">
      <c r="A1447" s="162">
        <v>40210</v>
      </c>
      <c r="B1447" s="163">
        <v>1.92</v>
      </c>
    </row>
    <row r="1448" spans="1:2" x14ac:dyDescent="0.25">
      <c r="A1448" s="162">
        <v>40211</v>
      </c>
      <c r="B1448" s="163">
        <v>1.91</v>
      </c>
    </row>
    <row r="1449" spans="1:2" x14ac:dyDescent="0.25">
      <c r="A1449" s="162">
        <v>40212</v>
      </c>
      <c r="B1449" s="163">
        <v>1.96</v>
      </c>
    </row>
    <row r="1450" spans="1:2" x14ac:dyDescent="0.25">
      <c r="A1450" s="162">
        <v>40213</v>
      </c>
      <c r="B1450" s="163">
        <v>1.93</v>
      </c>
    </row>
    <row r="1451" spans="1:2" x14ac:dyDescent="0.25">
      <c r="A1451" s="162">
        <v>40214</v>
      </c>
      <c r="B1451" s="163">
        <v>1.97</v>
      </c>
    </row>
    <row r="1452" spans="1:2" x14ac:dyDescent="0.25">
      <c r="A1452" s="162">
        <v>40217</v>
      </c>
      <c r="B1452" s="163">
        <v>1.98</v>
      </c>
    </row>
    <row r="1453" spans="1:2" x14ac:dyDescent="0.25">
      <c r="A1453" s="162">
        <v>40218</v>
      </c>
      <c r="B1453" s="163">
        <v>2.0099999999999998</v>
      </c>
    </row>
    <row r="1454" spans="1:2" x14ac:dyDescent="0.25">
      <c r="A1454" s="162">
        <v>40219</v>
      </c>
      <c r="B1454" s="163">
        <v>2.08</v>
      </c>
    </row>
    <row r="1455" spans="1:2" x14ac:dyDescent="0.25">
      <c r="A1455" s="162">
        <v>40220</v>
      </c>
      <c r="B1455" s="163">
        <v>2.13</v>
      </c>
    </row>
    <row r="1456" spans="1:2" x14ac:dyDescent="0.25">
      <c r="A1456" s="162">
        <v>40221</v>
      </c>
      <c r="B1456" s="163">
        <v>2.12</v>
      </c>
    </row>
    <row r="1457" spans="1:2" x14ac:dyDescent="0.25">
      <c r="A1457" s="162">
        <v>40224</v>
      </c>
      <c r="B1457" s="163" t="e">
        <f>NA()</f>
        <v>#N/A</v>
      </c>
    </row>
    <row r="1458" spans="1:2" x14ac:dyDescent="0.25">
      <c r="A1458" s="162">
        <v>40225</v>
      </c>
      <c r="B1458" s="163">
        <v>2.09</v>
      </c>
    </row>
    <row r="1459" spans="1:2" x14ac:dyDescent="0.25">
      <c r="A1459" s="162">
        <v>40226</v>
      </c>
      <c r="B1459" s="163">
        <v>2.12</v>
      </c>
    </row>
    <row r="1460" spans="1:2" x14ac:dyDescent="0.25">
      <c r="A1460" s="162">
        <v>40227</v>
      </c>
      <c r="B1460" s="163">
        <v>2.13</v>
      </c>
    </row>
    <row r="1461" spans="1:2" x14ac:dyDescent="0.25">
      <c r="A1461" s="162">
        <v>40228</v>
      </c>
      <c r="B1461" s="164">
        <v>2.14</v>
      </c>
    </row>
    <row r="1462" spans="1:2" x14ac:dyDescent="0.25">
      <c r="A1462" s="162">
        <v>40231</v>
      </c>
      <c r="B1462" s="163">
        <v>2.04</v>
      </c>
    </row>
    <row r="1463" spans="1:2" x14ac:dyDescent="0.25">
      <c r="A1463" s="162">
        <v>40232</v>
      </c>
      <c r="B1463" s="163">
        <v>2</v>
      </c>
    </row>
    <row r="1464" spans="1:2" x14ac:dyDescent="0.25">
      <c r="A1464" s="162">
        <v>40233</v>
      </c>
      <c r="B1464" s="163">
        <v>2</v>
      </c>
    </row>
    <row r="1465" spans="1:2" x14ac:dyDescent="0.25">
      <c r="A1465" s="162">
        <v>40234</v>
      </c>
      <c r="B1465" s="163">
        <v>2.0099999999999998</v>
      </c>
    </row>
    <row r="1466" spans="1:2" x14ac:dyDescent="0.25">
      <c r="A1466" s="162">
        <v>40235</v>
      </c>
      <c r="B1466" s="163">
        <v>1.98</v>
      </c>
    </row>
    <row r="1467" spans="1:2" x14ac:dyDescent="0.25">
      <c r="A1467" s="162">
        <v>40238</v>
      </c>
      <c r="B1467" s="163">
        <v>1.98</v>
      </c>
    </row>
    <row r="1468" spans="1:2" x14ac:dyDescent="0.25">
      <c r="A1468" s="162">
        <v>40239</v>
      </c>
      <c r="B1468" s="163">
        <v>1.98</v>
      </c>
    </row>
    <row r="1469" spans="1:2" x14ac:dyDescent="0.25">
      <c r="A1469" s="162">
        <v>40240</v>
      </c>
      <c r="B1469" s="163">
        <v>1.99</v>
      </c>
    </row>
    <row r="1470" spans="1:2" x14ac:dyDescent="0.25">
      <c r="A1470" s="162">
        <v>40241</v>
      </c>
      <c r="B1470" s="163">
        <v>1.96</v>
      </c>
    </row>
    <row r="1471" spans="1:2" x14ac:dyDescent="0.25">
      <c r="A1471" s="162">
        <v>40242</v>
      </c>
      <c r="B1471" s="163">
        <v>1.99</v>
      </c>
    </row>
    <row r="1472" spans="1:2" x14ac:dyDescent="0.25">
      <c r="A1472" s="162">
        <v>40245</v>
      </c>
      <c r="B1472" s="163">
        <v>2</v>
      </c>
    </row>
    <row r="1473" spans="1:2" x14ac:dyDescent="0.25">
      <c r="A1473" s="162">
        <v>40246</v>
      </c>
      <c r="B1473" s="163">
        <v>2.02</v>
      </c>
    </row>
    <row r="1474" spans="1:2" x14ac:dyDescent="0.25">
      <c r="A1474" s="162">
        <v>40247</v>
      </c>
      <c r="B1474" s="163">
        <v>2</v>
      </c>
    </row>
    <row r="1475" spans="1:2" x14ac:dyDescent="0.25">
      <c r="A1475" s="162">
        <v>40248</v>
      </c>
      <c r="B1475" s="163">
        <v>1.97</v>
      </c>
    </row>
    <row r="1476" spans="1:2" x14ac:dyDescent="0.25">
      <c r="A1476" s="162">
        <v>40249</v>
      </c>
      <c r="B1476" s="163">
        <v>1.94</v>
      </c>
    </row>
    <row r="1477" spans="1:2" x14ac:dyDescent="0.25">
      <c r="A1477" s="162">
        <v>40252</v>
      </c>
      <c r="B1477" s="163">
        <v>1.95</v>
      </c>
    </row>
    <row r="1478" spans="1:2" x14ac:dyDescent="0.25">
      <c r="A1478" s="162">
        <v>40253</v>
      </c>
      <c r="B1478" s="163">
        <v>1.92</v>
      </c>
    </row>
    <row r="1479" spans="1:2" x14ac:dyDescent="0.25">
      <c r="A1479" s="162">
        <v>40254</v>
      </c>
      <c r="B1479" s="163">
        <v>1.9</v>
      </c>
    </row>
    <row r="1480" spans="1:2" x14ac:dyDescent="0.25">
      <c r="A1480" s="162">
        <v>40255</v>
      </c>
      <c r="B1480" s="163">
        <v>1.91</v>
      </c>
    </row>
    <row r="1481" spans="1:2" x14ac:dyDescent="0.25">
      <c r="A1481" s="162">
        <v>40256</v>
      </c>
      <c r="B1481" s="163">
        <v>1.92</v>
      </c>
    </row>
    <row r="1482" spans="1:2" x14ac:dyDescent="0.25">
      <c r="A1482" s="162">
        <v>40259</v>
      </c>
      <c r="B1482" s="163">
        <v>1.91</v>
      </c>
    </row>
    <row r="1483" spans="1:2" x14ac:dyDescent="0.25">
      <c r="A1483" s="162">
        <v>40260</v>
      </c>
      <c r="B1483" s="163">
        <v>1.93</v>
      </c>
    </row>
    <row r="1484" spans="1:2" x14ac:dyDescent="0.25">
      <c r="A1484" s="162">
        <v>40261</v>
      </c>
      <c r="B1484" s="163">
        <v>2.0299999999999998</v>
      </c>
    </row>
    <row r="1485" spans="1:2" x14ac:dyDescent="0.25">
      <c r="A1485" s="162">
        <v>40262</v>
      </c>
      <c r="B1485" s="163">
        <v>2.06</v>
      </c>
    </row>
    <row r="1486" spans="1:2" x14ac:dyDescent="0.25">
      <c r="A1486" s="162">
        <v>40263</v>
      </c>
      <c r="B1486" s="163">
        <v>2.0299999999999998</v>
      </c>
    </row>
    <row r="1487" spans="1:2" x14ac:dyDescent="0.25">
      <c r="A1487" s="162">
        <v>40266</v>
      </c>
      <c r="B1487" s="163">
        <v>2.0699999999999998</v>
      </c>
    </row>
    <row r="1488" spans="1:2" x14ac:dyDescent="0.25">
      <c r="A1488" s="162">
        <v>40267</v>
      </c>
      <c r="B1488" s="163">
        <v>2.06</v>
      </c>
    </row>
    <row r="1489" spans="1:2" x14ac:dyDescent="0.25">
      <c r="A1489" s="162">
        <v>40268</v>
      </c>
      <c r="B1489" s="163">
        <v>1.99</v>
      </c>
    </row>
    <row r="1490" spans="1:2" x14ac:dyDescent="0.25">
      <c r="A1490" s="162">
        <v>40269</v>
      </c>
      <c r="B1490" s="163">
        <v>2</v>
      </c>
    </row>
    <row r="1491" spans="1:2" x14ac:dyDescent="0.25">
      <c r="A1491" s="162">
        <v>40270</v>
      </c>
      <c r="B1491" s="163">
        <v>2.0699999999999998</v>
      </c>
    </row>
    <row r="1492" spans="1:2" x14ac:dyDescent="0.25">
      <c r="A1492" s="162">
        <v>40273</v>
      </c>
      <c r="B1492" s="163">
        <v>2.09</v>
      </c>
    </row>
    <row r="1493" spans="1:2" x14ac:dyDescent="0.25">
      <c r="A1493" s="162">
        <v>40274</v>
      </c>
      <c r="B1493" s="163">
        <v>2.2000000000000002</v>
      </c>
    </row>
    <row r="1494" spans="1:2" x14ac:dyDescent="0.25">
      <c r="A1494" s="162">
        <v>40275</v>
      </c>
      <c r="B1494" s="163">
        <v>2.0099999999999998</v>
      </c>
    </row>
    <row r="1495" spans="1:2" x14ac:dyDescent="0.25">
      <c r="A1495" s="162">
        <v>40276</v>
      </c>
      <c r="B1495" s="163">
        <v>1.95</v>
      </c>
    </row>
    <row r="1496" spans="1:2" x14ac:dyDescent="0.25">
      <c r="A1496" s="162">
        <v>40277</v>
      </c>
      <c r="B1496" s="163">
        <v>1.94</v>
      </c>
    </row>
    <row r="1497" spans="1:2" x14ac:dyDescent="0.25">
      <c r="A1497" s="162">
        <v>40280</v>
      </c>
      <c r="B1497" s="163">
        <v>1.9</v>
      </c>
    </row>
    <row r="1498" spans="1:2" x14ac:dyDescent="0.25">
      <c r="A1498" s="162">
        <v>40281</v>
      </c>
      <c r="B1498" s="163">
        <v>1.88</v>
      </c>
    </row>
    <row r="1499" spans="1:2" x14ac:dyDescent="0.25">
      <c r="A1499" s="162">
        <v>40282</v>
      </c>
      <c r="B1499" s="163">
        <v>1.92</v>
      </c>
    </row>
    <row r="1500" spans="1:2" x14ac:dyDescent="0.25">
      <c r="A1500" s="162">
        <v>40283</v>
      </c>
      <c r="B1500" s="163">
        <v>1.88</v>
      </c>
    </row>
    <row r="1501" spans="1:2" x14ac:dyDescent="0.25">
      <c r="A1501" s="162">
        <v>40284</v>
      </c>
      <c r="B1501" s="163">
        <v>1.85</v>
      </c>
    </row>
    <row r="1502" spans="1:2" x14ac:dyDescent="0.25">
      <c r="A1502" s="162">
        <v>40287</v>
      </c>
      <c r="B1502" s="163">
        <v>1.88</v>
      </c>
    </row>
    <row r="1503" spans="1:2" x14ac:dyDescent="0.25">
      <c r="A1503" s="162">
        <v>40288</v>
      </c>
      <c r="B1503" s="163">
        <v>1.86</v>
      </c>
    </row>
    <row r="1504" spans="1:2" x14ac:dyDescent="0.25">
      <c r="A1504" s="162">
        <v>40289</v>
      </c>
      <c r="B1504" s="163">
        <v>1.81</v>
      </c>
    </row>
    <row r="1505" spans="1:2" x14ac:dyDescent="0.25">
      <c r="A1505" s="162">
        <v>40290</v>
      </c>
      <c r="B1505" s="163">
        <v>1.84</v>
      </c>
    </row>
    <row r="1506" spans="1:2" x14ac:dyDescent="0.25">
      <c r="A1506" s="162">
        <v>40291</v>
      </c>
      <c r="B1506" s="163">
        <v>1.84</v>
      </c>
    </row>
    <row r="1507" spans="1:2" x14ac:dyDescent="0.25">
      <c r="A1507" s="162">
        <v>40294</v>
      </c>
      <c r="B1507" s="163">
        <v>1.87</v>
      </c>
    </row>
    <row r="1508" spans="1:2" x14ac:dyDescent="0.25">
      <c r="A1508" s="162">
        <v>40295</v>
      </c>
      <c r="B1508" s="163">
        <v>1.75</v>
      </c>
    </row>
    <row r="1509" spans="1:2" x14ac:dyDescent="0.25">
      <c r="A1509" s="162">
        <v>40296</v>
      </c>
      <c r="B1509" s="163">
        <v>1.78</v>
      </c>
    </row>
    <row r="1510" spans="1:2" x14ac:dyDescent="0.25">
      <c r="A1510" s="162">
        <v>40297</v>
      </c>
      <c r="B1510" s="163">
        <v>1.71</v>
      </c>
    </row>
    <row r="1511" spans="1:2" x14ac:dyDescent="0.25">
      <c r="A1511" s="162">
        <v>40298</v>
      </c>
      <c r="B1511" s="163">
        <v>1.68</v>
      </c>
    </row>
    <row r="1512" spans="1:2" x14ac:dyDescent="0.25">
      <c r="A1512" s="162">
        <v>40301</v>
      </c>
      <c r="B1512" s="163">
        <v>1.72</v>
      </c>
    </row>
    <row r="1513" spans="1:2" x14ac:dyDescent="0.25">
      <c r="A1513" s="162">
        <v>40302</v>
      </c>
      <c r="B1513" s="163">
        <v>1.7</v>
      </c>
    </row>
    <row r="1514" spans="1:2" x14ac:dyDescent="0.25">
      <c r="A1514" s="162">
        <v>40303</v>
      </c>
      <c r="B1514" s="163">
        <v>1.69</v>
      </c>
    </row>
    <row r="1515" spans="1:2" x14ac:dyDescent="0.25">
      <c r="A1515" s="162">
        <v>40304</v>
      </c>
      <c r="B1515" s="163">
        <v>1.61</v>
      </c>
    </row>
    <row r="1516" spans="1:2" x14ac:dyDescent="0.25">
      <c r="A1516" s="162">
        <v>40305</v>
      </c>
      <c r="B1516" s="163">
        <v>1.69</v>
      </c>
    </row>
    <row r="1517" spans="1:2" x14ac:dyDescent="0.25">
      <c r="A1517" s="162">
        <v>40308</v>
      </c>
      <c r="B1517" s="163">
        <v>1.74</v>
      </c>
    </row>
    <row r="1518" spans="1:2" x14ac:dyDescent="0.25">
      <c r="A1518" s="162">
        <v>40309</v>
      </c>
      <c r="B1518" s="163">
        <v>1.73</v>
      </c>
    </row>
    <row r="1519" spans="1:2" x14ac:dyDescent="0.25">
      <c r="A1519" s="162">
        <v>40310</v>
      </c>
      <c r="B1519" s="163">
        <v>1.72</v>
      </c>
    </row>
    <row r="1520" spans="1:2" x14ac:dyDescent="0.25">
      <c r="A1520" s="162">
        <v>40311</v>
      </c>
      <c r="B1520" s="163">
        <v>1.71</v>
      </c>
    </row>
    <row r="1521" spans="1:2" x14ac:dyDescent="0.25">
      <c r="A1521" s="162">
        <v>40312</v>
      </c>
      <c r="B1521" s="163">
        <v>1.68</v>
      </c>
    </row>
    <row r="1522" spans="1:2" x14ac:dyDescent="0.25">
      <c r="A1522" s="162">
        <v>40315</v>
      </c>
      <c r="B1522" s="163">
        <v>1.72</v>
      </c>
    </row>
    <row r="1523" spans="1:2" x14ac:dyDescent="0.25">
      <c r="A1523" s="162">
        <v>40316</v>
      </c>
      <c r="B1523" s="163">
        <v>1.65</v>
      </c>
    </row>
    <row r="1524" spans="1:2" x14ac:dyDescent="0.25">
      <c r="A1524" s="162">
        <v>40317</v>
      </c>
      <c r="B1524" s="163">
        <v>1.73</v>
      </c>
    </row>
    <row r="1525" spans="1:2" x14ac:dyDescent="0.25">
      <c r="A1525" s="162">
        <v>40318</v>
      </c>
      <c r="B1525" s="163">
        <v>1.79</v>
      </c>
    </row>
    <row r="1526" spans="1:2" x14ac:dyDescent="0.25">
      <c r="A1526" s="162">
        <v>40319</v>
      </c>
      <c r="B1526" s="163">
        <v>1.79</v>
      </c>
    </row>
    <row r="1527" spans="1:2" x14ac:dyDescent="0.25">
      <c r="A1527" s="162">
        <v>40322</v>
      </c>
      <c r="B1527" s="163">
        <v>1.82</v>
      </c>
    </row>
    <row r="1528" spans="1:2" x14ac:dyDescent="0.25">
      <c r="A1528" s="162">
        <v>40323</v>
      </c>
      <c r="B1528" s="163">
        <v>1.77</v>
      </c>
    </row>
    <row r="1529" spans="1:2" x14ac:dyDescent="0.25">
      <c r="A1529" s="162">
        <v>40324</v>
      </c>
      <c r="B1529" s="163">
        <v>1.73</v>
      </c>
    </row>
    <row r="1530" spans="1:2" x14ac:dyDescent="0.25">
      <c r="A1530" s="162">
        <v>40325</v>
      </c>
      <c r="B1530" s="163">
        <v>1.75</v>
      </c>
    </row>
    <row r="1531" spans="1:2" x14ac:dyDescent="0.25">
      <c r="A1531" s="162">
        <v>40326</v>
      </c>
      <c r="B1531" s="163">
        <v>1.74</v>
      </c>
    </row>
    <row r="1532" spans="1:2" x14ac:dyDescent="0.25">
      <c r="A1532" s="162">
        <v>40329</v>
      </c>
      <c r="B1532" s="163" t="e">
        <f>NA()</f>
        <v>#N/A</v>
      </c>
    </row>
    <row r="1533" spans="1:2" x14ac:dyDescent="0.25">
      <c r="A1533" s="162">
        <v>40330</v>
      </c>
      <c r="B1533" s="163">
        <v>1.74</v>
      </c>
    </row>
    <row r="1534" spans="1:2" x14ac:dyDescent="0.25">
      <c r="A1534" s="162">
        <v>40331</v>
      </c>
      <c r="B1534" s="163">
        <v>1.76</v>
      </c>
    </row>
    <row r="1535" spans="1:2" x14ac:dyDescent="0.25">
      <c r="A1535" s="162">
        <v>40332</v>
      </c>
      <c r="B1535" s="163">
        <v>1.75</v>
      </c>
    </row>
    <row r="1536" spans="1:2" x14ac:dyDescent="0.25">
      <c r="A1536" s="162">
        <v>40333</v>
      </c>
      <c r="B1536" s="164">
        <v>1.68</v>
      </c>
    </row>
    <row r="1537" spans="1:2" x14ac:dyDescent="0.25">
      <c r="A1537" s="162">
        <v>40336</v>
      </c>
      <c r="B1537" s="163">
        <v>1.65</v>
      </c>
    </row>
    <row r="1538" spans="1:2" x14ac:dyDescent="0.25">
      <c r="A1538" s="162">
        <v>40337</v>
      </c>
      <c r="B1538" s="163">
        <v>1.68</v>
      </c>
    </row>
    <row r="1539" spans="1:2" x14ac:dyDescent="0.25">
      <c r="A1539" s="162">
        <v>40338</v>
      </c>
      <c r="B1539" s="163">
        <v>1.67</v>
      </c>
    </row>
    <row r="1540" spans="1:2" x14ac:dyDescent="0.25">
      <c r="A1540" s="162">
        <v>40339</v>
      </c>
      <c r="B1540" s="163">
        <v>1.77</v>
      </c>
    </row>
    <row r="1541" spans="1:2" x14ac:dyDescent="0.25">
      <c r="A1541" s="162">
        <v>40340</v>
      </c>
      <c r="B1541" s="163">
        <v>1.7</v>
      </c>
    </row>
    <row r="1542" spans="1:2" x14ac:dyDescent="0.25">
      <c r="A1542" s="162">
        <v>40343</v>
      </c>
      <c r="B1542" s="163">
        <v>1.72</v>
      </c>
    </row>
    <row r="1543" spans="1:2" x14ac:dyDescent="0.25">
      <c r="A1543" s="162">
        <v>40344</v>
      </c>
      <c r="B1543" s="163">
        <v>1.74</v>
      </c>
    </row>
    <row r="1544" spans="1:2" x14ac:dyDescent="0.25">
      <c r="A1544" s="162">
        <v>40345</v>
      </c>
      <c r="B1544" s="163">
        <v>1.7</v>
      </c>
    </row>
    <row r="1545" spans="1:2" x14ac:dyDescent="0.25">
      <c r="A1545" s="162">
        <v>40346</v>
      </c>
      <c r="B1545" s="163">
        <v>1.65</v>
      </c>
    </row>
    <row r="1546" spans="1:2" x14ac:dyDescent="0.25">
      <c r="A1546" s="162">
        <v>40347</v>
      </c>
      <c r="B1546" s="163">
        <v>1.68</v>
      </c>
    </row>
    <row r="1547" spans="1:2" x14ac:dyDescent="0.25">
      <c r="A1547" s="162">
        <v>40350</v>
      </c>
      <c r="B1547" s="163">
        <v>1.67</v>
      </c>
    </row>
    <row r="1548" spans="1:2" x14ac:dyDescent="0.25">
      <c r="A1548" s="162">
        <v>40351</v>
      </c>
      <c r="B1548" s="163">
        <v>1.65</v>
      </c>
    </row>
    <row r="1549" spans="1:2" x14ac:dyDescent="0.25">
      <c r="A1549" s="162">
        <v>40352</v>
      </c>
      <c r="B1549" s="163">
        <v>1.64</v>
      </c>
    </row>
    <row r="1550" spans="1:2" x14ac:dyDescent="0.25">
      <c r="A1550" s="162">
        <v>40353</v>
      </c>
      <c r="B1550" s="163">
        <v>1.69</v>
      </c>
    </row>
    <row r="1551" spans="1:2" x14ac:dyDescent="0.25">
      <c r="A1551" s="162">
        <v>40354</v>
      </c>
      <c r="B1551" s="163">
        <v>1.69</v>
      </c>
    </row>
    <row r="1552" spans="1:2" x14ac:dyDescent="0.25">
      <c r="A1552" s="162">
        <v>40357</v>
      </c>
      <c r="B1552" s="163">
        <v>1.65</v>
      </c>
    </row>
    <row r="1553" spans="1:2" x14ac:dyDescent="0.25">
      <c r="A1553" s="162">
        <v>40358</v>
      </c>
      <c r="B1553" s="163">
        <v>1.64</v>
      </c>
    </row>
    <row r="1554" spans="1:2" x14ac:dyDescent="0.25">
      <c r="A1554" s="162">
        <v>40359</v>
      </c>
      <c r="B1554" s="163">
        <v>1.64</v>
      </c>
    </row>
    <row r="1555" spans="1:2" x14ac:dyDescent="0.25">
      <c r="A1555" s="162">
        <v>40360</v>
      </c>
      <c r="B1555" s="163">
        <v>1.7</v>
      </c>
    </row>
    <row r="1556" spans="1:2" x14ac:dyDescent="0.25">
      <c r="A1556" s="162">
        <v>40361</v>
      </c>
      <c r="B1556" s="163">
        <v>1.74</v>
      </c>
    </row>
    <row r="1557" spans="1:2" x14ac:dyDescent="0.25">
      <c r="A1557" s="162">
        <v>40364</v>
      </c>
      <c r="B1557" s="163" t="e">
        <f>NA()</f>
        <v>#N/A</v>
      </c>
    </row>
    <row r="1558" spans="1:2" x14ac:dyDescent="0.25">
      <c r="A1558" s="162">
        <v>40365</v>
      </c>
      <c r="B1558" s="163">
        <v>1.71</v>
      </c>
    </row>
    <row r="1559" spans="1:2" x14ac:dyDescent="0.25">
      <c r="A1559" s="162">
        <v>40366</v>
      </c>
      <c r="B1559" s="163">
        <v>1.78</v>
      </c>
    </row>
    <row r="1560" spans="1:2" x14ac:dyDescent="0.25">
      <c r="A1560" s="162">
        <v>40367</v>
      </c>
      <c r="B1560" s="163">
        <v>1.76</v>
      </c>
    </row>
    <row r="1561" spans="1:2" x14ac:dyDescent="0.25">
      <c r="A1561" s="162">
        <v>40368</v>
      </c>
      <c r="B1561" s="164">
        <v>1.8</v>
      </c>
    </row>
    <row r="1562" spans="1:2" x14ac:dyDescent="0.25">
      <c r="A1562" s="162">
        <v>40371</v>
      </c>
      <c r="B1562" s="163">
        <v>1.78</v>
      </c>
    </row>
    <row r="1563" spans="1:2" x14ac:dyDescent="0.25">
      <c r="A1563" s="162">
        <v>40372</v>
      </c>
      <c r="B1563" s="163">
        <v>1.83</v>
      </c>
    </row>
    <row r="1564" spans="1:2" x14ac:dyDescent="0.25">
      <c r="A1564" s="162">
        <v>40373</v>
      </c>
      <c r="B1564" s="163">
        <v>1.81</v>
      </c>
    </row>
    <row r="1565" spans="1:2" x14ac:dyDescent="0.25">
      <c r="A1565" s="162">
        <v>40374</v>
      </c>
      <c r="B1565" s="163">
        <v>1.77</v>
      </c>
    </row>
    <row r="1566" spans="1:2" x14ac:dyDescent="0.25">
      <c r="A1566" s="162">
        <v>40375</v>
      </c>
      <c r="B1566" s="163">
        <v>1.78</v>
      </c>
    </row>
    <row r="1567" spans="1:2" x14ac:dyDescent="0.25">
      <c r="A1567" s="162">
        <v>40378</v>
      </c>
      <c r="B1567" s="163">
        <v>1.85</v>
      </c>
    </row>
    <row r="1568" spans="1:2" x14ac:dyDescent="0.25">
      <c r="A1568" s="162">
        <v>40379</v>
      </c>
      <c r="B1568" s="163">
        <v>1.86</v>
      </c>
    </row>
    <row r="1569" spans="1:2" x14ac:dyDescent="0.25">
      <c r="A1569" s="162">
        <v>40380</v>
      </c>
      <c r="B1569" s="163">
        <v>1.75</v>
      </c>
    </row>
    <row r="1570" spans="1:2" x14ac:dyDescent="0.25">
      <c r="A1570" s="162">
        <v>40381</v>
      </c>
      <c r="B1570" s="163">
        <v>1.78</v>
      </c>
    </row>
    <row r="1571" spans="1:2" x14ac:dyDescent="0.25">
      <c r="A1571" s="162">
        <v>40382</v>
      </c>
      <c r="B1571" s="163">
        <v>1.85</v>
      </c>
    </row>
    <row r="1572" spans="1:2" x14ac:dyDescent="0.25">
      <c r="A1572" s="162">
        <v>40385</v>
      </c>
      <c r="B1572" s="163">
        <v>1.87</v>
      </c>
    </row>
    <row r="1573" spans="1:2" x14ac:dyDescent="0.25">
      <c r="A1573" s="162">
        <v>40386</v>
      </c>
      <c r="B1573" s="163">
        <v>1.92</v>
      </c>
    </row>
    <row r="1574" spans="1:2" x14ac:dyDescent="0.25">
      <c r="A1574" s="162">
        <v>40387</v>
      </c>
      <c r="B1574" s="163">
        <v>1.85</v>
      </c>
    </row>
    <row r="1575" spans="1:2" x14ac:dyDescent="0.25">
      <c r="A1575" s="162">
        <v>40388</v>
      </c>
      <c r="B1575" s="163">
        <v>1.83</v>
      </c>
    </row>
    <row r="1576" spans="1:2" x14ac:dyDescent="0.25">
      <c r="A1576" s="162">
        <v>40389</v>
      </c>
      <c r="B1576" s="163">
        <v>1.75</v>
      </c>
    </row>
    <row r="1577" spans="1:2" x14ac:dyDescent="0.25">
      <c r="A1577" s="162">
        <v>40392</v>
      </c>
      <c r="B1577" s="163">
        <v>1.76</v>
      </c>
    </row>
    <row r="1578" spans="1:2" x14ac:dyDescent="0.25">
      <c r="A1578" s="162">
        <v>40393</v>
      </c>
      <c r="B1578" s="163">
        <v>1.71</v>
      </c>
    </row>
    <row r="1579" spans="1:2" x14ac:dyDescent="0.25">
      <c r="A1579" s="162">
        <v>40394</v>
      </c>
      <c r="B1579" s="163">
        <v>1.77</v>
      </c>
    </row>
    <row r="1580" spans="1:2" x14ac:dyDescent="0.25">
      <c r="A1580" s="162">
        <v>40395</v>
      </c>
      <c r="B1580" s="163">
        <v>1.73</v>
      </c>
    </row>
    <row r="1581" spans="1:2" x14ac:dyDescent="0.25">
      <c r="A1581" s="162">
        <v>40396</v>
      </c>
      <c r="B1581" s="163">
        <v>1.73</v>
      </c>
    </row>
    <row r="1582" spans="1:2" x14ac:dyDescent="0.25">
      <c r="A1582" s="162">
        <v>40399</v>
      </c>
      <c r="B1582" s="163">
        <v>1.73</v>
      </c>
    </row>
    <row r="1583" spans="1:2" x14ac:dyDescent="0.25">
      <c r="A1583" s="162">
        <v>40400</v>
      </c>
      <c r="B1583" s="163">
        <v>1.63</v>
      </c>
    </row>
    <row r="1584" spans="1:2" x14ac:dyDescent="0.25">
      <c r="A1584" s="162">
        <v>40401</v>
      </c>
      <c r="B1584" s="163">
        <v>1.67</v>
      </c>
    </row>
    <row r="1585" spans="1:2" x14ac:dyDescent="0.25">
      <c r="A1585" s="162">
        <v>40402</v>
      </c>
      <c r="B1585" s="163">
        <v>1.73</v>
      </c>
    </row>
    <row r="1586" spans="1:2" x14ac:dyDescent="0.25">
      <c r="A1586" s="162">
        <v>40403</v>
      </c>
      <c r="B1586" s="163">
        <v>1.68</v>
      </c>
    </row>
    <row r="1587" spans="1:2" x14ac:dyDescent="0.25">
      <c r="A1587" s="162">
        <v>40406</v>
      </c>
      <c r="B1587" s="163">
        <v>1.6</v>
      </c>
    </row>
    <row r="1588" spans="1:2" x14ac:dyDescent="0.25">
      <c r="A1588" s="162">
        <v>40407</v>
      </c>
      <c r="B1588" s="163">
        <v>1.67</v>
      </c>
    </row>
    <row r="1589" spans="1:2" x14ac:dyDescent="0.25">
      <c r="A1589" s="162">
        <v>40408</v>
      </c>
      <c r="B1589" s="163">
        <v>1.67</v>
      </c>
    </row>
    <row r="1590" spans="1:2" x14ac:dyDescent="0.25">
      <c r="A1590" s="162">
        <v>40409</v>
      </c>
      <c r="B1590" s="163">
        <v>1.65</v>
      </c>
    </row>
    <row r="1591" spans="1:2" x14ac:dyDescent="0.25">
      <c r="A1591" s="162">
        <v>40410</v>
      </c>
      <c r="B1591" s="163">
        <v>1.71</v>
      </c>
    </row>
    <row r="1592" spans="1:2" x14ac:dyDescent="0.25">
      <c r="A1592" s="162">
        <v>40413</v>
      </c>
      <c r="B1592" s="163">
        <v>1.64</v>
      </c>
    </row>
    <row r="1593" spans="1:2" x14ac:dyDescent="0.25">
      <c r="A1593" s="162">
        <v>40414</v>
      </c>
      <c r="B1593" s="163">
        <v>1.57</v>
      </c>
    </row>
    <row r="1594" spans="1:2" x14ac:dyDescent="0.25">
      <c r="A1594" s="162">
        <v>40415</v>
      </c>
      <c r="B1594" s="163">
        <v>1.54</v>
      </c>
    </row>
    <row r="1595" spans="1:2" x14ac:dyDescent="0.25">
      <c r="A1595" s="162">
        <v>40416</v>
      </c>
      <c r="B1595" s="163">
        <v>1.48</v>
      </c>
    </row>
    <row r="1596" spans="1:2" x14ac:dyDescent="0.25">
      <c r="A1596" s="162">
        <v>40417</v>
      </c>
      <c r="B1596" s="163">
        <v>1.6</v>
      </c>
    </row>
    <row r="1597" spans="1:2" x14ac:dyDescent="0.25">
      <c r="A1597" s="162">
        <v>40420</v>
      </c>
      <c r="B1597" s="163">
        <v>1.54</v>
      </c>
    </row>
    <row r="1598" spans="1:2" x14ac:dyDescent="0.25">
      <c r="A1598" s="162">
        <v>40421</v>
      </c>
      <c r="B1598" s="163">
        <v>1.51</v>
      </c>
    </row>
    <row r="1599" spans="1:2" x14ac:dyDescent="0.25">
      <c r="A1599" s="162">
        <v>40422</v>
      </c>
      <c r="B1599" s="163">
        <v>1.58</v>
      </c>
    </row>
    <row r="1600" spans="1:2" x14ac:dyDescent="0.25">
      <c r="A1600" s="162">
        <v>40423</v>
      </c>
      <c r="B1600" s="163">
        <v>1.64</v>
      </c>
    </row>
    <row r="1601" spans="1:2" x14ac:dyDescent="0.25">
      <c r="A1601" s="162">
        <v>40424</v>
      </c>
      <c r="B1601" s="163">
        <v>1.67</v>
      </c>
    </row>
    <row r="1602" spans="1:2" x14ac:dyDescent="0.25">
      <c r="A1602" s="162">
        <v>40427</v>
      </c>
      <c r="B1602" s="163" t="e">
        <f>NA()</f>
        <v>#N/A</v>
      </c>
    </row>
    <row r="1603" spans="1:2" x14ac:dyDescent="0.25">
      <c r="A1603" s="162">
        <v>40428</v>
      </c>
      <c r="B1603" s="163">
        <v>1.56</v>
      </c>
    </row>
    <row r="1604" spans="1:2" x14ac:dyDescent="0.25">
      <c r="A1604" s="162">
        <v>40429</v>
      </c>
      <c r="B1604" s="163">
        <v>1.63</v>
      </c>
    </row>
    <row r="1605" spans="1:2" x14ac:dyDescent="0.25">
      <c r="A1605" s="162">
        <v>40430</v>
      </c>
      <c r="B1605" s="163">
        <v>1.71</v>
      </c>
    </row>
    <row r="1606" spans="1:2" x14ac:dyDescent="0.25">
      <c r="A1606" s="162">
        <v>40431</v>
      </c>
      <c r="B1606" s="164">
        <v>1.7</v>
      </c>
    </row>
    <row r="1607" spans="1:2" x14ac:dyDescent="0.25">
      <c r="A1607" s="162">
        <v>40434</v>
      </c>
      <c r="B1607" s="163">
        <v>1.6</v>
      </c>
    </row>
    <row r="1608" spans="1:2" x14ac:dyDescent="0.25">
      <c r="A1608" s="162">
        <v>40435</v>
      </c>
      <c r="B1608" s="163">
        <v>1.64</v>
      </c>
    </row>
    <row r="1609" spans="1:2" x14ac:dyDescent="0.25">
      <c r="A1609" s="162">
        <v>40436</v>
      </c>
      <c r="B1609" s="163">
        <v>1.68</v>
      </c>
    </row>
    <row r="1610" spans="1:2" x14ac:dyDescent="0.25">
      <c r="A1610" s="162">
        <v>40437</v>
      </c>
      <c r="B1610" s="163">
        <v>1.73</v>
      </c>
    </row>
    <row r="1611" spans="1:2" x14ac:dyDescent="0.25">
      <c r="A1611" s="162">
        <v>40438</v>
      </c>
      <c r="B1611" s="163">
        <v>1.71</v>
      </c>
    </row>
    <row r="1612" spans="1:2" x14ac:dyDescent="0.25">
      <c r="A1612" s="162">
        <v>40441</v>
      </c>
      <c r="B1612" s="163">
        <v>1.61</v>
      </c>
    </row>
    <row r="1613" spans="1:2" x14ac:dyDescent="0.25">
      <c r="A1613" s="162">
        <v>40442</v>
      </c>
      <c r="B1613" s="163">
        <v>1.47</v>
      </c>
    </row>
    <row r="1614" spans="1:2" x14ac:dyDescent="0.25">
      <c r="A1614" s="162">
        <v>40443</v>
      </c>
      <c r="B1614" s="163">
        <v>1.44</v>
      </c>
    </row>
    <row r="1615" spans="1:2" x14ac:dyDescent="0.25">
      <c r="A1615" s="162">
        <v>40444</v>
      </c>
      <c r="B1615" s="163">
        <v>1.44</v>
      </c>
    </row>
    <row r="1616" spans="1:2" x14ac:dyDescent="0.25">
      <c r="A1616" s="162">
        <v>40445</v>
      </c>
      <c r="B1616" s="163">
        <v>1.51</v>
      </c>
    </row>
    <row r="1617" spans="1:2" x14ac:dyDescent="0.25">
      <c r="A1617" s="162">
        <v>40448</v>
      </c>
      <c r="B1617" s="163">
        <v>1.53</v>
      </c>
    </row>
    <row r="1618" spans="1:2" x14ac:dyDescent="0.25">
      <c r="A1618" s="162">
        <v>40449</v>
      </c>
      <c r="B1618" s="163">
        <v>1.43</v>
      </c>
    </row>
    <row r="1619" spans="1:2" x14ac:dyDescent="0.25">
      <c r="A1619" s="162">
        <v>40450</v>
      </c>
      <c r="B1619" s="163">
        <v>1.48</v>
      </c>
    </row>
    <row r="1620" spans="1:2" x14ac:dyDescent="0.25">
      <c r="A1620" s="162">
        <v>40451</v>
      </c>
      <c r="B1620" s="163">
        <v>1.51</v>
      </c>
    </row>
    <row r="1621" spans="1:2" x14ac:dyDescent="0.25">
      <c r="A1621" s="162">
        <v>40452</v>
      </c>
      <c r="B1621" s="163">
        <v>1.49</v>
      </c>
    </row>
    <row r="1622" spans="1:2" x14ac:dyDescent="0.25">
      <c r="A1622" s="162">
        <v>40455</v>
      </c>
      <c r="B1622" s="163">
        <v>1.49</v>
      </c>
    </row>
    <row r="1623" spans="1:2" x14ac:dyDescent="0.25">
      <c r="A1623" s="162">
        <v>40456</v>
      </c>
      <c r="B1623" s="163">
        <v>1.4</v>
      </c>
    </row>
    <row r="1624" spans="1:2" x14ac:dyDescent="0.25">
      <c r="A1624" s="162">
        <v>40457</v>
      </c>
      <c r="B1624" s="163">
        <v>1.31</v>
      </c>
    </row>
    <row r="1625" spans="1:2" x14ac:dyDescent="0.25">
      <c r="A1625" s="162">
        <v>40458</v>
      </c>
      <c r="B1625" s="163">
        <v>1.34</v>
      </c>
    </row>
    <row r="1626" spans="1:2" x14ac:dyDescent="0.25">
      <c r="A1626" s="162">
        <v>40459</v>
      </c>
      <c r="B1626" s="163">
        <v>1.27</v>
      </c>
    </row>
    <row r="1627" spans="1:2" x14ac:dyDescent="0.25">
      <c r="A1627" s="162">
        <v>40462</v>
      </c>
      <c r="B1627" s="163" t="e">
        <f>NA()</f>
        <v>#N/A</v>
      </c>
    </row>
    <row r="1628" spans="1:2" x14ac:dyDescent="0.25">
      <c r="A1628" s="162">
        <v>40463</v>
      </c>
      <c r="B1628" s="163">
        <v>1.32</v>
      </c>
    </row>
    <row r="1629" spans="1:2" x14ac:dyDescent="0.25">
      <c r="A1629" s="162">
        <v>40464</v>
      </c>
      <c r="B1629" s="163">
        <v>1.25</v>
      </c>
    </row>
    <row r="1630" spans="1:2" x14ac:dyDescent="0.25">
      <c r="A1630" s="162">
        <v>40465</v>
      </c>
      <c r="B1630" s="163">
        <v>1.23</v>
      </c>
    </row>
    <row r="1631" spans="1:2" x14ac:dyDescent="0.25">
      <c r="A1631" s="162">
        <v>40466</v>
      </c>
      <c r="B1631" s="164">
        <v>1.32</v>
      </c>
    </row>
    <row r="1632" spans="1:2" x14ac:dyDescent="0.25">
      <c r="A1632" s="162">
        <v>40469</v>
      </c>
      <c r="B1632" s="163">
        <v>1.29</v>
      </c>
    </row>
    <row r="1633" spans="1:2" x14ac:dyDescent="0.25">
      <c r="A1633" s="162">
        <v>40470</v>
      </c>
      <c r="B1633" s="163">
        <v>1.22</v>
      </c>
    </row>
    <row r="1634" spans="1:2" x14ac:dyDescent="0.25">
      <c r="A1634" s="162">
        <v>40471</v>
      </c>
      <c r="B1634" s="163">
        <v>1.26</v>
      </c>
    </row>
    <row r="1635" spans="1:2" x14ac:dyDescent="0.25">
      <c r="A1635" s="162">
        <v>40472</v>
      </c>
      <c r="B1635" s="163">
        <v>1.32</v>
      </c>
    </row>
    <row r="1636" spans="1:2" x14ac:dyDescent="0.25">
      <c r="A1636" s="162">
        <v>40473</v>
      </c>
      <c r="B1636" s="163">
        <v>1.3</v>
      </c>
    </row>
    <row r="1637" spans="1:2" x14ac:dyDescent="0.25">
      <c r="A1637" s="162">
        <v>40476</v>
      </c>
      <c r="B1637" s="163">
        <v>1.27</v>
      </c>
    </row>
    <row r="1638" spans="1:2" x14ac:dyDescent="0.25">
      <c r="A1638" s="162">
        <v>40477</v>
      </c>
      <c r="B1638" s="163">
        <v>1.34</v>
      </c>
    </row>
    <row r="1639" spans="1:2" x14ac:dyDescent="0.25">
      <c r="A1639" s="162">
        <v>40478</v>
      </c>
      <c r="B1639" s="163">
        <v>1.4</v>
      </c>
    </row>
    <row r="1640" spans="1:2" x14ac:dyDescent="0.25">
      <c r="A1640" s="162">
        <v>40479</v>
      </c>
      <c r="B1640" s="163">
        <v>1.37</v>
      </c>
    </row>
    <row r="1641" spans="1:2" x14ac:dyDescent="0.25">
      <c r="A1641" s="162">
        <v>40480</v>
      </c>
      <c r="B1641" s="163">
        <v>1.27</v>
      </c>
    </row>
    <row r="1642" spans="1:2" x14ac:dyDescent="0.25">
      <c r="A1642" s="162">
        <v>40483</v>
      </c>
      <c r="B1642" s="163">
        <v>1.23</v>
      </c>
    </row>
    <row r="1643" spans="1:2" x14ac:dyDescent="0.25">
      <c r="A1643" s="162">
        <v>40484</v>
      </c>
      <c r="B1643" s="163">
        <v>1.18</v>
      </c>
    </row>
    <row r="1644" spans="1:2" x14ac:dyDescent="0.25">
      <c r="A1644" s="162">
        <v>40485</v>
      </c>
      <c r="B1644" s="163">
        <v>1.22</v>
      </c>
    </row>
    <row r="1645" spans="1:2" x14ac:dyDescent="0.25">
      <c r="A1645" s="162">
        <v>40486</v>
      </c>
      <c r="B1645" s="163">
        <v>1.2</v>
      </c>
    </row>
    <row r="1646" spans="1:2" x14ac:dyDescent="0.25">
      <c r="A1646" s="162">
        <v>40487</v>
      </c>
      <c r="B1646" s="163">
        <v>1.26</v>
      </c>
    </row>
    <row r="1647" spans="1:2" x14ac:dyDescent="0.25">
      <c r="A1647" s="162">
        <v>40490</v>
      </c>
      <c r="B1647" s="163">
        <v>1.26</v>
      </c>
    </row>
    <row r="1648" spans="1:2" x14ac:dyDescent="0.25">
      <c r="A1648" s="162">
        <v>40491</v>
      </c>
      <c r="B1648" s="163">
        <v>1.4</v>
      </c>
    </row>
    <row r="1649" spans="1:2" x14ac:dyDescent="0.25">
      <c r="A1649" s="162">
        <v>40492</v>
      </c>
      <c r="B1649" s="163">
        <v>1.35</v>
      </c>
    </row>
    <row r="1650" spans="1:2" x14ac:dyDescent="0.25">
      <c r="A1650" s="162">
        <v>40493</v>
      </c>
      <c r="B1650" s="163" t="e">
        <f>NA()</f>
        <v>#N/A</v>
      </c>
    </row>
    <row r="1651" spans="1:2" x14ac:dyDescent="0.25">
      <c r="A1651" s="162">
        <v>40494</v>
      </c>
      <c r="B1651" s="163">
        <v>1.47</v>
      </c>
    </row>
    <row r="1652" spans="1:2" x14ac:dyDescent="0.25">
      <c r="A1652" s="162">
        <v>40497</v>
      </c>
      <c r="B1652" s="163">
        <v>1.68</v>
      </c>
    </row>
    <row r="1653" spans="1:2" x14ac:dyDescent="0.25">
      <c r="A1653" s="162">
        <v>40498</v>
      </c>
      <c r="B1653" s="163">
        <v>1.66</v>
      </c>
    </row>
    <row r="1654" spans="1:2" x14ac:dyDescent="0.25">
      <c r="A1654" s="162">
        <v>40499</v>
      </c>
      <c r="B1654" s="164">
        <v>1.67</v>
      </c>
    </row>
    <row r="1655" spans="1:2" x14ac:dyDescent="0.25">
      <c r="A1655" s="162">
        <v>40500</v>
      </c>
      <c r="B1655" s="163">
        <v>1.64</v>
      </c>
    </row>
    <row r="1656" spans="1:2" x14ac:dyDescent="0.25">
      <c r="A1656" s="162">
        <v>40501</v>
      </c>
      <c r="B1656" s="163">
        <v>1.54</v>
      </c>
    </row>
    <row r="1657" spans="1:2" x14ac:dyDescent="0.25">
      <c r="A1657" s="162">
        <v>40504</v>
      </c>
      <c r="B1657" s="163">
        <v>1.48</v>
      </c>
    </row>
    <row r="1658" spans="1:2" x14ac:dyDescent="0.25">
      <c r="A1658" s="162">
        <v>40505</v>
      </c>
      <c r="B1658" s="163">
        <v>1.46</v>
      </c>
    </row>
    <row r="1659" spans="1:2" x14ac:dyDescent="0.25">
      <c r="A1659" s="162">
        <v>40506</v>
      </c>
      <c r="B1659" s="163">
        <v>1.56</v>
      </c>
    </row>
    <row r="1660" spans="1:2" x14ac:dyDescent="0.25">
      <c r="A1660" s="162">
        <v>40507</v>
      </c>
      <c r="B1660" s="163" t="e">
        <f>NA()</f>
        <v>#N/A</v>
      </c>
    </row>
    <row r="1661" spans="1:2" x14ac:dyDescent="0.25">
      <c r="A1661" s="162">
        <v>40508</v>
      </c>
      <c r="B1661" s="163">
        <v>1.5</v>
      </c>
    </row>
    <row r="1662" spans="1:2" x14ac:dyDescent="0.25">
      <c r="A1662" s="162">
        <v>40511</v>
      </c>
      <c r="B1662" s="163">
        <v>1.45</v>
      </c>
    </row>
    <row r="1663" spans="1:2" x14ac:dyDescent="0.25">
      <c r="A1663" s="162">
        <v>40512</v>
      </c>
      <c r="B1663" s="163">
        <v>1.49</v>
      </c>
    </row>
    <row r="1664" spans="1:2" x14ac:dyDescent="0.25">
      <c r="A1664" s="162">
        <v>40513</v>
      </c>
      <c r="B1664" s="164">
        <v>1.54</v>
      </c>
    </row>
    <row r="1665" spans="1:2" x14ac:dyDescent="0.25">
      <c r="A1665" s="162">
        <v>40514</v>
      </c>
      <c r="B1665" s="163">
        <v>1.55</v>
      </c>
    </row>
    <row r="1666" spans="1:2" x14ac:dyDescent="0.25">
      <c r="A1666" s="162">
        <v>40515</v>
      </c>
      <c r="B1666" s="163">
        <v>1.6</v>
      </c>
    </row>
    <row r="1667" spans="1:2" x14ac:dyDescent="0.25">
      <c r="A1667" s="162">
        <v>40518</v>
      </c>
      <c r="B1667" s="163">
        <v>1.56</v>
      </c>
    </row>
    <row r="1668" spans="1:2" x14ac:dyDescent="0.25">
      <c r="A1668" s="162">
        <v>40519</v>
      </c>
      <c r="B1668" s="163">
        <v>1.63</v>
      </c>
    </row>
    <row r="1669" spans="1:2" x14ac:dyDescent="0.25">
      <c r="A1669" s="162">
        <v>40520</v>
      </c>
      <c r="B1669" s="163">
        <v>1.74</v>
      </c>
    </row>
    <row r="1670" spans="1:2" x14ac:dyDescent="0.25">
      <c r="A1670" s="162">
        <v>40521</v>
      </c>
      <c r="B1670" s="163">
        <v>1.72</v>
      </c>
    </row>
    <row r="1671" spans="1:2" x14ac:dyDescent="0.25">
      <c r="A1671" s="162">
        <v>40522</v>
      </c>
      <c r="B1671" s="163">
        <v>1.76</v>
      </c>
    </row>
    <row r="1672" spans="1:2" x14ac:dyDescent="0.25">
      <c r="A1672" s="162">
        <v>40525</v>
      </c>
      <c r="B1672" s="163">
        <v>1.71</v>
      </c>
    </row>
    <row r="1673" spans="1:2" x14ac:dyDescent="0.25">
      <c r="A1673" s="162">
        <v>40526</v>
      </c>
      <c r="B1673" s="163">
        <v>1.85</v>
      </c>
    </row>
    <row r="1674" spans="1:2" x14ac:dyDescent="0.25">
      <c r="A1674" s="162">
        <v>40527</v>
      </c>
      <c r="B1674" s="163">
        <v>1.8</v>
      </c>
    </row>
    <row r="1675" spans="1:2" x14ac:dyDescent="0.25">
      <c r="A1675" s="162">
        <v>40528</v>
      </c>
      <c r="B1675" s="163">
        <v>1.73</v>
      </c>
    </row>
    <row r="1676" spans="1:2" x14ac:dyDescent="0.25">
      <c r="A1676" s="162">
        <v>40529</v>
      </c>
      <c r="B1676" s="163">
        <v>1.63</v>
      </c>
    </row>
    <row r="1677" spans="1:2" x14ac:dyDescent="0.25">
      <c r="A1677" s="162">
        <v>40532</v>
      </c>
      <c r="B1677" s="163">
        <v>1.66</v>
      </c>
    </row>
    <row r="1678" spans="1:2" x14ac:dyDescent="0.25">
      <c r="A1678" s="162">
        <v>40533</v>
      </c>
      <c r="B1678" s="163">
        <v>1.65</v>
      </c>
    </row>
    <row r="1679" spans="1:2" x14ac:dyDescent="0.25">
      <c r="A1679" s="162">
        <v>40534</v>
      </c>
      <c r="B1679" s="163">
        <v>1.63</v>
      </c>
    </row>
    <row r="1680" spans="1:2" x14ac:dyDescent="0.25">
      <c r="A1680" s="162">
        <v>40535</v>
      </c>
      <c r="B1680" s="163">
        <v>1.67</v>
      </c>
    </row>
    <row r="1681" spans="1:2" x14ac:dyDescent="0.25">
      <c r="A1681" s="162">
        <v>40536</v>
      </c>
      <c r="B1681" s="163" t="e">
        <f>NA()</f>
        <v>#N/A</v>
      </c>
    </row>
    <row r="1682" spans="1:2" x14ac:dyDescent="0.25">
      <c r="A1682" s="162">
        <v>40539</v>
      </c>
      <c r="B1682" s="163">
        <v>1.64</v>
      </c>
    </row>
    <row r="1683" spans="1:2" x14ac:dyDescent="0.25">
      <c r="A1683" s="162">
        <v>40540</v>
      </c>
      <c r="B1683" s="163">
        <v>1.76</v>
      </c>
    </row>
    <row r="1684" spans="1:2" x14ac:dyDescent="0.25">
      <c r="A1684" s="162">
        <v>40541</v>
      </c>
      <c r="B1684" s="163">
        <v>1.65</v>
      </c>
    </row>
    <row r="1685" spans="1:2" x14ac:dyDescent="0.25">
      <c r="A1685" s="162">
        <v>40542</v>
      </c>
      <c r="B1685" s="164">
        <v>1.67</v>
      </c>
    </row>
    <row r="1686" spans="1:2" x14ac:dyDescent="0.25">
      <c r="A1686" s="162">
        <v>40543</v>
      </c>
      <c r="B1686" s="163">
        <v>1.59</v>
      </c>
    </row>
    <row r="1687" spans="1:2" x14ac:dyDescent="0.25">
      <c r="A1687" s="162">
        <v>40546</v>
      </c>
      <c r="B1687" s="163">
        <v>1.64</v>
      </c>
    </row>
    <row r="1688" spans="1:2" x14ac:dyDescent="0.25">
      <c r="A1688" s="162">
        <v>40547</v>
      </c>
      <c r="B1688" s="163">
        <v>1.63</v>
      </c>
    </row>
    <row r="1689" spans="1:2" x14ac:dyDescent="0.25">
      <c r="A1689" s="162">
        <v>40548</v>
      </c>
      <c r="B1689" s="163">
        <v>1.69</v>
      </c>
    </row>
    <row r="1690" spans="1:2" x14ac:dyDescent="0.25">
      <c r="A1690" s="162">
        <v>40549</v>
      </c>
      <c r="B1690" s="163">
        <v>1.66</v>
      </c>
    </row>
    <row r="1691" spans="1:2" x14ac:dyDescent="0.25">
      <c r="A1691" s="162">
        <v>40550</v>
      </c>
      <c r="B1691" s="163">
        <v>1.63</v>
      </c>
    </row>
    <row r="1692" spans="1:2" x14ac:dyDescent="0.25">
      <c r="A1692" s="162">
        <v>40553</v>
      </c>
      <c r="B1692" s="163">
        <v>1.62</v>
      </c>
    </row>
    <row r="1693" spans="1:2" x14ac:dyDescent="0.25">
      <c r="A1693" s="162">
        <v>40554</v>
      </c>
      <c r="B1693" s="163">
        <v>1.62</v>
      </c>
    </row>
    <row r="1694" spans="1:2" x14ac:dyDescent="0.25">
      <c r="A1694" s="162">
        <v>40555</v>
      </c>
      <c r="B1694" s="163">
        <v>1.64</v>
      </c>
    </row>
    <row r="1695" spans="1:2" x14ac:dyDescent="0.25">
      <c r="A1695" s="162">
        <v>40556</v>
      </c>
      <c r="B1695" s="163">
        <v>1.62</v>
      </c>
    </row>
    <row r="1696" spans="1:2" x14ac:dyDescent="0.25">
      <c r="A1696" s="162">
        <v>40557</v>
      </c>
      <c r="B1696" s="163">
        <v>1.65</v>
      </c>
    </row>
    <row r="1697" spans="1:2" x14ac:dyDescent="0.25">
      <c r="A1697" s="162">
        <v>40560</v>
      </c>
      <c r="B1697" s="163" t="e">
        <f>NA()</f>
        <v>#N/A</v>
      </c>
    </row>
    <row r="1698" spans="1:2" x14ac:dyDescent="0.25">
      <c r="A1698" s="162">
        <v>40561</v>
      </c>
      <c r="B1698" s="163">
        <v>1.65</v>
      </c>
    </row>
    <row r="1699" spans="1:2" x14ac:dyDescent="0.25">
      <c r="A1699" s="162">
        <v>40562</v>
      </c>
      <c r="B1699" s="163">
        <v>1.64</v>
      </c>
    </row>
    <row r="1700" spans="1:2" x14ac:dyDescent="0.25">
      <c r="A1700" s="162">
        <v>40563</v>
      </c>
      <c r="B1700" s="163">
        <v>1.8</v>
      </c>
    </row>
    <row r="1701" spans="1:2" x14ac:dyDescent="0.25">
      <c r="A1701" s="162">
        <v>40564</v>
      </c>
      <c r="B1701" s="164">
        <v>1.79</v>
      </c>
    </row>
    <row r="1702" spans="1:2" x14ac:dyDescent="0.25">
      <c r="A1702" s="162">
        <v>40567</v>
      </c>
      <c r="B1702" s="163">
        <v>1.79</v>
      </c>
    </row>
    <row r="1703" spans="1:2" x14ac:dyDescent="0.25">
      <c r="A1703" s="162">
        <v>40568</v>
      </c>
      <c r="B1703" s="163">
        <v>1.75</v>
      </c>
    </row>
    <row r="1704" spans="1:2" x14ac:dyDescent="0.25">
      <c r="A1704" s="162">
        <v>40569</v>
      </c>
      <c r="B1704" s="163">
        <v>1.82</v>
      </c>
    </row>
    <row r="1705" spans="1:2" x14ac:dyDescent="0.25">
      <c r="A1705" s="162">
        <v>40570</v>
      </c>
      <c r="B1705" s="163">
        <v>1.82</v>
      </c>
    </row>
    <row r="1706" spans="1:2" x14ac:dyDescent="0.25">
      <c r="A1706" s="162">
        <v>40571</v>
      </c>
      <c r="B1706" s="163">
        <v>1.78</v>
      </c>
    </row>
    <row r="1707" spans="1:2" x14ac:dyDescent="0.25">
      <c r="A1707" s="162">
        <v>40574</v>
      </c>
      <c r="B1707" s="163">
        <v>1.79</v>
      </c>
    </row>
    <row r="1708" spans="1:2" x14ac:dyDescent="0.25">
      <c r="A1708" s="162">
        <v>40575</v>
      </c>
      <c r="B1708" s="163">
        <v>1.81</v>
      </c>
    </row>
    <row r="1709" spans="1:2" x14ac:dyDescent="0.25">
      <c r="A1709" s="162">
        <v>40576</v>
      </c>
      <c r="B1709" s="163">
        <v>1.82</v>
      </c>
    </row>
    <row r="1710" spans="1:2" x14ac:dyDescent="0.25">
      <c r="A1710" s="162">
        <v>40577</v>
      </c>
      <c r="B1710" s="163">
        <v>1.87</v>
      </c>
    </row>
    <row r="1711" spans="1:2" x14ac:dyDescent="0.25">
      <c r="A1711" s="162">
        <v>40578</v>
      </c>
      <c r="B1711" s="163">
        <v>1.92</v>
      </c>
    </row>
    <row r="1712" spans="1:2" x14ac:dyDescent="0.25">
      <c r="A1712" s="162">
        <v>40581</v>
      </c>
      <c r="B1712" s="163">
        <v>1.91</v>
      </c>
    </row>
    <row r="1713" spans="1:2" x14ac:dyDescent="0.25">
      <c r="A1713" s="162">
        <v>40582</v>
      </c>
      <c r="B1713" s="163">
        <v>1.96</v>
      </c>
    </row>
    <row r="1714" spans="1:2" x14ac:dyDescent="0.25">
      <c r="A1714" s="162">
        <v>40583</v>
      </c>
      <c r="B1714" s="163">
        <v>1.92</v>
      </c>
    </row>
    <row r="1715" spans="1:2" x14ac:dyDescent="0.25">
      <c r="A1715" s="162">
        <v>40584</v>
      </c>
      <c r="B1715" s="163">
        <v>1.98</v>
      </c>
    </row>
    <row r="1716" spans="1:2" x14ac:dyDescent="0.25">
      <c r="A1716" s="162">
        <v>40585</v>
      </c>
      <c r="B1716" s="163">
        <v>1.94</v>
      </c>
    </row>
    <row r="1717" spans="1:2" x14ac:dyDescent="0.25">
      <c r="A1717" s="162">
        <v>40588</v>
      </c>
      <c r="B1717" s="163">
        <v>1.91</v>
      </c>
    </row>
    <row r="1718" spans="1:2" x14ac:dyDescent="0.25">
      <c r="A1718" s="162">
        <v>40589</v>
      </c>
      <c r="B1718" s="163">
        <v>1.91</v>
      </c>
    </row>
    <row r="1719" spans="1:2" x14ac:dyDescent="0.25">
      <c r="A1719" s="162">
        <v>40590</v>
      </c>
      <c r="B1719" s="163">
        <v>1.95</v>
      </c>
    </row>
    <row r="1720" spans="1:2" x14ac:dyDescent="0.25">
      <c r="A1720" s="162">
        <v>40591</v>
      </c>
      <c r="B1720" s="163">
        <v>1.9</v>
      </c>
    </row>
    <row r="1721" spans="1:2" x14ac:dyDescent="0.25">
      <c r="A1721" s="162">
        <v>40592</v>
      </c>
      <c r="B1721" s="163">
        <v>1.86</v>
      </c>
    </row>
    <row r="1722" spans="1:2" x14ac:dyDescent="0.25">
      <c r="A1722" s="162">
        <v>40595</v>
      </c>
      <c r="B1722" s="163" t="e">
        <f>NA()</f>
        <v>#N/A</v>
      </c>
    </row>
    <row r="1723" spans="1:2" x14ac:dyDescent="0.25">
      <c r="A1723" s="162">
        <v>40596</v>
      </c>
      <c r="B1723" s="163">
        <v>1.76</v>
      </c>
    </row>
    <row r="1724" spans="1:2" x14ac:dyDescent="0.25">
      <c r="A1724" s="162">
        <v>40597</v>
      </c>
      <c r="B1724" s="163">
        <v>1.75</v>
      </c>
    </row>
    <row r="1725" spans="1:2" x14ac:dyDescent="0.25">
      <c r="A1725" s="162">
        <v>40598</v>
      </c>
      <c r="B1725" s="163">
        <v>1.69</v>
      </c>
    </row>
    <row r="1726" spans="1:2" x14ac:dyDescent="0.25">
      <c r="A1726" s="162">
        <v>40599</v>
      </c>
      <c r="B1726" s="164">
        <v>1.66</v>
      </c>
    </row>
    <row r="1727" spans="1:2" x14ac:dyDescent="0.25">
      <c r="A1727" s="162">
        <v>40602</v>
      </c>
      <c r="B1727" s="163">
        <v>1.66</v>
      </c>
    </row>
    <row r="1728" spans="1:2" x14ac:dyDescent="0.25">
      <c r="A1728" s="162">
        <v>40603</v>
      </c>
      <c r="B1728" s="163">
        <v>1.63</v>
      </c>
    </row>
    <row r="1729" spans="1:2" x14ac:dyDescent="0.25">
      <c r="A1729" s="162">
        <v>40604</v>
      </c>
      <c r="B1729" s="163">
        <v>1.64</v>
      </c>
    </row>
    <row r="1730" spans="1:2" x14ac:dyDescent="0.25">
      <c r="A1730" s="162">
        <v>40605</v>
      </c>
      <c r="B1730" s="163">
        <v>1.69</v>
      </c>
    </row>
    <row r="1731" spans="1:2" x14ac:dyDescent="0.25">
      <c r="A1731" s="162">
        <v>40606</v>
      </c>
      <c r="B1731" s="163">
        <v>1.62</v>
      </c>
    </row>
    <row r="1732" spans="1:2" x14ac:dyDescent="0.25">
      <c r="A1732" s="162">
        <v>40609</v>
      </c>
      <c r="B1732" s="163">
        <v>1.62</v>
      </c>
    </row>
    <row r="1733" spans="1:2" x14ac:dyDescent="0.25">
      <c r="A1733" s="162">
        <v>40610</v>
      </c>
      <c r="B1733" s="163">
        <v>1.64</v>
      </c>
    </row>
    <row r="1734" spans="1:2" x14ac:dyDescent="0.25">
      <c r="A1734" s="162">
        <v>40611</v>
      </c>
      <c r="B1734" s="163">
        <v>1.61</v>
      </c>
    </row>
    <row r="1735" spans="1:2" x14ac:dyDescent="0.25">
      <c r="A1735" s="162">
        <v>40612</v>
      </c>
      <c r="B1735" s="163">
        <v>1.53</v>
      </c>
    </row>
    <row r="1736" spans="1:2" x14ac:dyDescent="0.25">
      <c r="A1736" s="162">
        <v>40613</v>
      </c>
      <c r="B1736" s="163">
        <v>1.58</v>
      </c>
    </row>
    <row r="1737" spans="1:2" x14ac:dyDescent="0.25">
      <c r="A1737" s="162">
        <v>40616</v>
      </c>
      <c r="B1737" s="163">
        <v>1.57</v>
      </c>
    </row>
    <row r="1738" spans="1:2" x14ac:dyDescent="0.25">
      <c r="A1738" s="162">
        <v>40617</v>
      </c>
      <c r="B1738" s="163">
        <v>1.56</v>
      </c>
    </row>
    <row r="1739" spans="1:2" x14ac:dyDescent="0.25">
      <c r="A1739" s="162">
        <v>40618</v>
      </c>
      <c r="B1739" s="163">
        <v>1.49</v>
      </c>
    </row>
    <row r="1740" spans="1:2" x14ac:dyDescent="0.25">
      <c r="A1740" s="162">
        <v>40619</v>
      </c>
      <c r="B1740" s="163">
        <v>1.47</v>
      </c>
    </row>
    <row r="1741" spans="1:2" x14ac:dyDescent="0.25">
      <c r="A1741" s="162">
        <v>40620</v>
      </c>
      <c r="B1741" s="163">
        <v>1.49</v>
      </c>
    </row>
    <row r="1742" spans="1:2" x14ac:dyDescent="0.25">
      <c r="A1742" s="162">
        <v>40623</v>
      </c>
      <c r="B1742" s="163">
        <v>1.52</v>
      </c>
    </row>
    <row r="1743" spans="1:2" x14ac:dyDescent="0.25">
      <c r="A1743" s="162">
        <v>40624</v>
      </c>
      <c r="B1743" s="163">
        <v>1.55</v>
      </c>
    </row>
    <row r="1744" spans="1:2" x14ac:dyDescent="0.25">
      <c r="A1744" s="162">
        <v>40625</v>
      </c>
      <c r="B1744" s="163">
        <v>1.58</v>
      </c>
    </row>
    <row r="1745" spans="1:2" x14ac:dyDescent="0.25">
      <c r="A1745" s="162">
        <v>40626</v>
      </c>
      <c r="B1745" s="163">
        <v>1.56</v>
      </c>
    </row>
    <row r="1746" spans="1:2" x14ac:dyDescent="0.25">
      <c r="A1746" s="162">
        <v>40627</v>
      </c>
      <c r="B1746" s="163">
        <v>1.6</v>
      </c>
    </row>
    <row r="1747" spans="1:2" x14ac:dyDescent="0.25">
      <c r="A1747" s="162">
        <v>40630</v>
      </c>
      <c r="B1747" s="163">
        <v>1.6</v>
      </c>
    </row>
    <row r="1748" spans="1:2" x14ac:dyDescent="0.25">
      <c r="A1748" s="162">
        <v>40631</v>
      </c>
      <c r="B1748" s="163">
        <v>1.61</v>
      </c>
    </row>
    <row r="1749" spans="1:2" x14ac:dyDescent="0.25">
      <c r="A1749" s="162">
        <v>40632</v>
      </c>
      <c r="B1749" s="163">
        <v>1.59</v>
      </c>
    </row>
    <row r="1750" spans="1:2" x14ac:dyDescent="0.25">
      <c r="A1750" s="162">
        <v>40633</v>
      </c>
      <c r="B1750" s="163">
        <v>1.58</v>
      </c>
    </row>
    <row r="1751" spans="1:2" x14ac:dyDescent="0.25">
      <c r="A1751" s="162">
        <v>40634</v>
      </c>
      <c r="B1751" s="163">
        <v>1.53</v>
      </c>
    </row>
    <row r="1752" spans="1:2" x14ac:dyDescent="0.25">
      <c r="A1752" s="162">
        <v>40637</v>
      </c>
      <c r="B1752" s="163">
        <v>1.51</v>
      </c>
    </row>
    <row r="1753" spans="1:2" x14ac:dyDescent="0.25">
      <c r="A1753" s="162">
        <v>40638</v>
      </c>
      <c r="B1753" s="163">
        <v>1.52</v>
      </c>
    </row>
    <row r="1754" spans="1:2" x14ac:dyDescent="0.25">
      <c r="A1754" s="162">
        <v>40639</v>
      </c>
      <c r="B1754" s="163">
        <v>1.59</v>
      </c>
    </row>
    <row r="1755" spans="1:2" x14ac:dyDescent="0.25">
      <c r="A1755" s="162">
        <v>40640</v>
      </c>
      <c r="B1755" s="163">
        <v>1.6</v>
      </c>
    </row>
    <row r="1756" spans="1:2" x14ac:dyDescent="0.25">
      <c r="A1756" s="162">
        <v>40641</v>
      </c>
      <c r="B1756" s="163">
        <v>1.56</v>
      </c>
    </row>
    <row r="1757" spans="1:2" x14ac:dyDescent="0.25">
      <c r="A1757" s="162">
        <v>40644</v>
      </c>
      <c r="B1757" s="163">
        <v>1.56</v>
      </c>
    </row>
    <row r="1758" spans="1:2" x14ac:dyDescent="0.25">
      <c r="A1758" s="162">
        <v>40645</v>
      </c>
      <c r="B1758" s="163">
        <v>1.5</v>
      </c>
    </row>
    <row r="1759" spans="1:2" x14ac:dyDescent="0.25">
      <c r="A1759" s="162">
        <v>40646</v>
      </c>
      <c r="B1759" s="163">
        <v>1.48</v>
      </c>
    </row>
    <row r="1760" spans="1:2" x14ac:dyDescent="0.25">
      <c r="A1760" s="162">
        <v>40647</v>
      </c>
      <c r="B1760" s="163">
        <v>1.47</v>
      </c>
    </row>
    <row r="1761" spans="1:2" x14ac:dyDescent="0.25">
      <c r="A1761" s="162">
        <v>40648</v>
      </c>
      <c r="B1761" s="163">
        <v>1.4</v>
      </c>
    </row>
    <row r="1762" spans="1:2" x14ac:dyDescent="0.25">
      <c r="A1762" s="162">
        <v>40651</v>
      </c>
      <c r="B1762" s="163">
        <v>1.4</v>
      </c>
    </row>
    <row r="1763" spans="1:2" x14ac:dyDescent="0.25">
      <c r="A1763" s="162">
        <v>40652</v>
      </c>
      <c r="B1763" s="163">
        <v>1.36</v>
      </c>
    </row>
    <row r="1764" spans="1:2" x14ac:dyDescent="0.25">
      <c r="A1764" s="162">
        <v>40653</v>
      </c>
      <c r="B1764" s="163">
        <v>1.43</v>
      </c>
    </row>
    <row r="1765" spans="1:2" x14ac:dyDescent="0.25">
      <c r="A1765" s="162">
        <v>40654</v>
      </c>
      <c r="B1765" s="163">
        <v>1.43</v>
      </c>
    </row>
    <row r="1766" spans="1:2" x14ac:dyDescent="0.25">
      <c r="A1766" s="162">
        <v>40655</v>
      </c>
      <c r="B1766" s="163" t="e">
        <f>NA()</f>
        <v>#N/A</v>
      </c>
    </row>
    <row r="1767" spans="1:2" x14ac:dyDescent="0.25">
      <c r="A1767" s="162">
        <v>40658</v>
      </c>
      <c r="B1767" s="163">
        <v>1.41</v>
      </c>
    </row>
    <row r="1768" spans="1:2" x14ac:dyDescent="0.25">
      <c r="A1768" s="162">
        <v>40659</v>
      </c>
      <c r="B1768" s="163">
        <v>1.4</v>
      </c>
    </row>
    <row r="1769" spans="1:2" x14ac:dyDescent="0.25">
      <c r="A1769" s="162">
        <v>40660</v>
      </c>
      <c r="B1769" s="163">
        <v>1.47</v>
      </c>
    </row>
    <row r="1770" spans="1:2" x14ac:dyDescent="0.25">
      <c r="A1770" s="162">
        <v>40661</v>
      </c>
      <c r="B1770" s="164">
        <v>1.46</v>
      </c>
    </row>
    <row r="1771" spans="1:2" x14ac:dyDescent="0.25">
      <c r="A1771" s="162">
        <v>40662</v>
      </c>
      <c r="B1771" s="163">
        <v>1.45</v>
      </c>
    </row>
    <row r="1772" spans="1:2" x14ac:dyDescent="0.25">
      <c r="A1772" s="162">
        <v>40665</v>
      </c>
      <c r="B1772" s="163">
        <v>1.46</v>
      </c>
    </row>
    <row r="1773" spans="1:2" x14ac:dyDescent="0.25">
      <c r="A1773" s="162">
        <v>40666</v>
      </c>
      <c r="B1773" s="163">
        <v>1.42</v>
      </c>
    </row>
    <row r="1774" spans="1:2" x14ac:dyDescent="0.25">
      <c r="A1774" s="162">
        <v>40667</v>
      </c>
      <c r="B1774" s="163">
        <v>1.39</v>
      </c>
    </row>
    <row r="1775" spans="1:2" x14ac:dyDescent="0.25">
      <c r="A1775" s="162">
        <v>40668</v>
      </c>
      <c r="B1775" s="163">
        <v>1.36</v>
      </c>
    </row>
    <row r="1776" spans="1:2" x14ac:dyDescent="0.25">
      <c r="A1776" s="162">
        <v>40669</v>
      </c>
      <c r="B1776" s="163">
        <v>1.38</v>
      </c>
    </row>
    <row r="1777" spans="1:2" x14ac:dyDescent="0.25">
      <c r="A1777" s="162">
        <v>40672</v>
      </c>
      <c r="B1777" s="163">
        <v>1.4</v>
      </c>
    </row>
    <row r="1778" spans="1:2" x14ac:dyDescent="0.25">
      <c r="A1778" s="162">
        <v>40673</v>
      </c>
      <c r="B1778" s="163">
        <v>1.44</v>
      </c>
    </row>
    <row r="1779" spans="1:2" x14ac:dyDescent="0.25">
      <c r="A1779" s="162">
        <v>40674</v>
      </c>
      <c r="B1779" s="163">
        <v>1.43</v>
      </c>
    </row>
    <row r="1780" spans="1:2" x14ac:dyDescent="0.25">
      <c r="A1780" s="162">
        <v>40675</v>
      </c>
      <c r="B1780" s="163">
        <v>1.48</v>
      </c>
    </row>
    <row r="1781" spans="1:2" x14ac:dyDescent="0.25">
      <c r="A1781" s="162">
        <v>40676</v>
      </c>
      <c r="B1781" s="163">
        <v>1.47</v>
      </c>
    </row>
    <row r="1782" spans="1:2" x14ac:dyDescent="0.25">
      <c r="A1782" s="162">
        <v>40679</v>
      </c>
      <c r="B1782" s="163">
        <v>1.5</v>
      </c>
    </row>
    <row r="1783" spans="1:2" x14ac:dyDescent="0.25">
      <c r="A1783" s="162">
        <v>40680</v>
      </c>
      <c r="B1783" s="163">
        <v>1.52</v>
      </c>
    </row>
    <row r="1784" spans="1:2" x14ac:dyDescent="0.25">
      <c r="A1784" s="162">
        <v>40681</v>
      </c>
      <c r="B1784" s="163">
        <v>1.5</v>
      </c>
    </row>
    <row r="1785" spans="1:2" x14ac:dyDescent="0.25">
      <c r="A1785" s="162">
        <v>40682</v>
      </c>
      <c r="B1785" s="163">
        <v>1.58</v>
      </c>
    </row>
    <row r="1786" spans="1:2" x14ac:dyDescent="0.25">
      <c r="A1786" s="162">
        <v>40683</v>
      </c>
      <c r="B1786" s="163">
        <v>1.56</v>
      </c>
    </row>
    <row r="1787" spans="1:2" x14ac:dyDescent="0.25">
      <c r="A1787" s="162">
        <v>40686</v>
      </c>
      <c r="B1787" s="163">
        <v>1.53</v>
      </c>
    </row>
    <row r="1788" spans="1:2" x14ac:dyDescent="0.25">
      <c r="A1788" s="162">
        <v>40687</v>
      </c>
      <c r="B1788" s="163">
        <v>1.49</v>
      </c>
    </row>
    <row r="1789" spans="1:2" x14ac:dyDescent="0.25">
      <c r="A1789" s="162">
        <v>40688</v>
      </c>
      <c r="B1789" s="163">
        <v>1.5</v>
      </c>
    </row>
    <row r="1790" spans="1:2" x14ac:dyDescent="0.25">
      <c r="A1790" s="162">
        <v>40689</v>
      </c>
      <c r="B1790" s="163">
        <v>1.5</v>
      </c>
    </row>
    <row r="1791" spans="1:2" x14ac:dyDescent="0.25">
      <c r="A1791" s="162">
        <v>40690</v>
      </c>
      <c r="B1791" s="163">
        <v>1.51</v>
      </c>
    </row>
    <row r="1792" spans="1:2" x14ac:dyDescent="0.25">
      <c r="A1792" s="162">
        <v>40693</v>
      </c>
      <c r="B1792" s="163" t="e">
        <f>NA()</f>
        <v>#N/A</v>
      </c>
    </row>
    <row r="1793" spans="1:2" x14ac:dyDescent="0.25">
      <c r="A1793" s="162">
        <v>40694</v>
      </c>
      <c r="B1793" s="163">
        <v>1.51</v>
      </c>
    </row>
    <row r="1794" spans="1:2" x14ac:dyDescent="0.25">
      <c r="A1794" s="162">
        <v>40695</v>
      </c>
      <c r="B1794" s="163">
        <v>1.47</v>
      </c>
    </row>
    <row r="1795" spans="1:2" x14ac:dyDescent="0.25">
      <c r="A1795" s="162">
        <v>40696</v>
      </c>
      <c r="B1795" s="163">
        <v>1.55</v>
      </c>
    </row>
    <row r="1796" spans="1:2" x14ac:dyDescent="0.25">
      <c r="A1796" s="162">
        <v>40697</v>
      </c>
      <c r="B1796" s="164">
        <v>1.55</v>
      </c>
    </row>
    <row r="1797" spans="1:2" x14ac:dyDescent="0.25">
      <c r="A1797" s="162">
        <v>40700</v>
      </c>
      <c r="B1797" s="163">
        <v>1.6</v>
      </c>
    </row>
    <row r="1798" spans="1:2" x14ac:dyDescent="0.25">
      <c r="A1798" s="162">
        <v>40701</v>
      </c>
      <c r="B1798" s="163">
        <v>1.58</v>
      </c>
    </row>
    <row r="1799" spans="1:2" x14ac:dyDescent="0.25">
      <c r="A1799" s="162">
        <v>40702</v>
      </c>
      <c r="B1799" s="163">
        <v>1.61</v>
      </c>
    </row>
    <row r="1800" spans="1:2" x14ac:dyDescent="0.25">
      <c r="A1800" s="162">
        <v>40703</v>
      </c>
      <c r="B1800" s="163">
        <v>1.67</v>
      </c>
    </row>
    <row r="1801" spans="1:2" x14ac:dyDescent="0.25">
      <c r="A1801" s="162">
        <v>40704</v>
      </c>
      <c r="B1801" s="163">
        <v>1.57</v>
      </c>
    </row>
    <row r="1802" spans="1:2" x14ac:dyDescent="0.25">
      <c r="A1802" s="162">
        <v>40707</v>
      </c>
      <c r="B1802" s="163">
        <v>1.62</v>
      </c>
    </row>
    <row r="1803" spans="1:2" x14ac:dyDescent="0.25">
      <c r="A1803" s="162">
        <v>40708</v>
      </c>
      <c r="B1803" s="163">
        <v>1.61</v>
      </c>
    </row>
    <row r="1804" spans="1:2" x14ac:dyDescent="0.25">
      <c r="A1804" s="162">
        <v>40709</v>
      </c>
      <c r="B1804" s="163">
        <v>1.51</v>
      </c>
    </row>
    <row r="1805" spans="1:2" x14ac:dyDescent="0.25">
      <c r="A1805" s="162">
        <v>40710</v>
      </c>
      <c r="B1805" s="163">
        <v>1.52</v>
      </c>
    </row>
    <row r="1806" spans="1:2" x14ac:dyDescent="0.25">
      <c r="A1806" s="162">
        <v>40711</v>
      </c>
      <c r="B1806" s="163">
        <v>1.51</v>
      </c>
    </row>
    <row r="1807" spans="1:2" x14ac:dyDescent="0.25">
      <c r="A1807" s="162">
        <v>40714</v>
      </c>
      <c r="B1807" s="163">
        <v>1.54</v>
      </c>
    </row>
    <row r="1808" spans="1:2" x14ac:dyDescent="0.25">
      <c r="A1808" s="162">
        <v>40715</v>
      </c>
      <c r="B1808" s="163">
        <v>1.54</v>
      </c>
    </row>
    <row r="1809" spans="1:2" x14ac:dyDescent="0.25">
      <c r="A1809" s="162">
        <v>40716</v>
      </c>
      <c r="B1809" s="163">
        <v>1.58</v>
      </c>
    </row>
    <row r="1810" spans="1:2" x14ac:dyDescent="0.25">
      <c r="A1810" s="162">
        <v>40717</v>
      </c>
      <c r="B1810" s="163">
        <v>1.41</v>
      </c>
    </row>
    <row r="1811" spans="1:2" x14ac:dyDescent="0.25">
      <c r="A1811" s="162">
        <v>40718</v>
      </c>
      <c r="B1811" s="163">
        <v>1.36</v>
      </c>
    </row>
    <row r="1812" spans="1:2" x14ac:dyDescent="0.25">
      <c r="A1812" s="162">
        <v>40721</v>
      </c>
      <c r="B1812" s="163">
        <v>1.41</v>
      </c>
    </row>
    <row r="1813" spans="1:2" x14ac:dyDescent="0.25">
      <c r="A1813" s="162">
        <v>40722</v>
      </c>
      <c r="B1813" s="163">
        <v>1.47</v>
      </c>
    </row>
    <row r="1814" spans="1:2" x14ac:dyDescent="0.25">
      <c r="A1814" s="162">
        <v>40723</v>
      </c>
      <c r="B1814" s="163">
        <v>1.49</v>
      </c>
    </row>
    <row r="1815" spans="1:2" x14ac:dyDescent="0.25">
      <c r="A1815" s="162">
        <v>40724</v>
      </c>
      <c r="B1815" s="163">
        <v>1.47</v>
      </c>
    </row>
    <row r="1816" spans="1:2" x14ac:dyDescent="0.25">
      <c r="A1816" s="162">
        <v>40725</v>
      </c>
      <c r="B1816" s="163">
        <v>1.47</v>
      </c>
    </row>
    <row r="1817" spans="1:2" x14ac:dyDescent="0.25">
      <c r="A1817" s="162">
        <v>40728</v>
      </c>
      <c r="B1817" s="163" t="e">
        <f>NA()</f>
        <v>#N/A</v>
      </c>
    </row>
    <row r="1818" spans="1:2" x14ac:dyDescent="0.25">
      <c r="A1818" s="162">
        <v>40729</v>
      </c>
      <c r="B1818" s="163">
        <v>1.52</v>
      </c>
    </row>
    <row r="1819" spans="1:2" x14ac:dyDescent="0.25">
      <c r="A1819" s="162">
        <v>40730</v>
      </c>
      <c r="B1819" s="163">
        <v>1.47</v>
      </c>
    </row>
    <row r="1820" spans="1:2" x14ac:dyDescent="0.25">
      <c r="A1820" s="162">
        <v>40731</v>
      </c>
      <c r="B1820" s="163">
        <v>1.49</v>
      </c>
    </row>
    <row r="1821" spans="1:2" x14ac:dyDescent="0.25">
      <c r="A1821" s="162">
        <v>40732</v>
      </c>
      <c r="B1821" s="164">
        <v>1.43</v>
      </c>
    </row>
    <row r="1822" spans="1:2" x14ac:dyDescent="0.25">
      <c r="A1822" s="162">
        <v>40735</v>
      </c>
      <c r="B1822" s="163">
        <v>1.38</v>
      </c>
    </row>
    <row r="1823" spans="1:2" x14ac:dyDescent="0.25">
      <c r="A1823" s="162">
        <v>40736</v>
      </c>
      <c r="B1823" s="163">
        <v>1.34</v>
      </c>
    </row>
    <row r="1824" spans="1:2" x14ac:dyDescent="0.25">
      <c r="A1824" s="162">
        <v>40737</v>
      </c>
      <c r="B1824" s="163">
        <v>1.31</v>
      </c>
    </row>
    <row r="1825" spans="1:2" x14ac:dyDescent="0.25">
      <c r="A1825" s="162">
        <v>40738</v>
      </c>
      <c r="B1825" s="163">
        <v>1.39</v>
      </c>
    </row>
    <row r="1826" spans="1:2" x14ac:dyDescent="0.25">
      <c r="A1826" s="162">
        <v>40739</v>
      </c>
      <c r="B1826" s="163">
        <v>1.35</v>
      </c>
    </row>
    <row r="1827" spans="1:2" x14ac:dyDescent="0.25">
      <c r="A1827" s="162">
        <v>40742</v>
      </c>
      <c r="B1827" s="163">
        <v>1.37</v>
      </c>
    </row>
    <row r="1828" spans="1:2" x14ac:dyDescent="0.25">
      <c r="A1828" s="162">
        <v>40743</v>
      </c>
      <c r="B1828" s="163">
        <v>1.28</v>
      </c>
    </row>
    <row r="1829" spans="1:2" x14ac:dyDescent="0.25">
      <c r="A1829" s="162">
        <v>40744</v>
      </c>
      <c r="B1829" s="163">
        <v>1.38</v>
      </c>
    </row>
    <row r="1830" spans="1:2" x14ac:dyDescent="0.25">
      <c r="A1830" s="162">
        <v>40745</v>
      </c>
      <c r="B1830" s="163">
        <v>1.39</v>
      </c>
    </row>
    <row r="1831" spans="1:2" x14ac:dyDescent="0.25">
      <c r="A1831" s="162">
        <v>40746</v>
      </c>
      <c r="B1831" s="163">
        <v>1.33</v>
      </c>
    </row>
    <row r="1832" spans="1:2" x14ac:dyDescent="0.25">
      <c r="A1832" s="162">
        <v>40749</v>
      </c>
      <c r="B1832" s="163">
        <v>1.32</v>
      </c>
    </row>
    <row r="1833" spans="1:2" x14ac:dyDescent="0.25">
      <c r="A1833" s="162">
        <v>40750</v>
      </c>
      <c r="B1833" s="163">
        <v>1.29</v>
      </c>
    </row>
    <row r="1834" spans="1:2" x14ac:dyDescent="0.25">
      <c r="A1834" s="162">
        <v>40751</v>
      </c>
      <c r="B1834" s="163">
        <v>1.33</v>
      </c>
    </row>
    <row r="1835" spans="1:2" x14ac:dyDescent="0.25">
      <c r="A1835" s="162">
        <v>40752</v>
      </c>
      <c r="B1835" s="163">
        <v>1.28</v>
      </c>
    </row>
    <row r="1836" spans="1:2" x14ac:dyDescent="0.25">
      <c r="A1836" s="162">
        <v>40753</v>
      </c>
      <c r="B1836" s="163">
        <v>1.1399999999999999</v>
      </c>
    </row>
    <row r="1837" spans="1:2" x14ac:dyDescent="0.25">
      <c r="A1837" s="162">
        <v>40756</v>
      </c>
      <c r="B1837" s="163">
        <v>1.0900000000000001</v>
      </c>
    </row>
    <row r="1838" spans="1:2" x14ac:dyDescent="0.25">
      <c r="A1838" s="162">
        <v>40757</v>
      </c>
      <c r="B1838" s="163">
        <v>1.03</v>
      </c>
    </row>
    <row r="1839" spans="1:2" x14ac:dyDescent="0.25">
      <c r="A1839" s="162">
        <v>40758</v>
      </c>
      <c r="B1839" s="163">
        <v>1.03</v>
      </c>
    </row>
    <row r="1840" spans="1:2" x14ac:dyDescent="0.25">
      <c r="A1840" s="162">
        <v>40759</v>
      </c>
      <c r="B1840" s="163">
        <v>0.88</v>
      </c>
    </row>
    <row r="1841" spans="1:2" x14ac:dyDescent="0.25">
      <c r="A1841" s="162">
        <v>40760</v>
      </c>
      <c r="B1841" s="163">
        <v>0.99</v>
      </c>
    </row>
    <row r="1842" spans="1:2" x14ac:dyDescent="0.25">
      <c r="A1842" s="162">
        <v>40763</v>
      </c>
      <c r="B1842" s="163">
        <v>0.88</v>
      </c>
    </row>
    <row r="1843" spans="1:2" x14ac:dyDescent="0.25">
      <c r="A1843" s="162">
        <v>40764</v>
      </c>
      <c r="B1843" s="163">
        <v>0.73</v>
      </c>
    </row>
    <row r="1844" spans="1:2" x14ac:dyDescent="0.25">
      <c r="A1844" s="162">
        <v>40765</v>
      </c>
      <c r="B1844" s="163">
        <v>0.72</v>
      </c>
    </row>
    <row r="1845" spans="1:2" x14ac:dyDescent="0.25">
      <c r="A1845" s="162">
        <v>40766</v>
      </c>
      <c r="B1845" s="163">
        <v>0.96</v>
      </c>
    </row>
    <row r="1846" spans="1:2" x14ac:dyDescent="0.25">
      <c r="A1846" s="162">
        <v>40767</v>
      </c>
      <c r="B1846" s="163">
        <v>0.73</v>
      </c>
    </row>
    <row r="1847" spans="1:2" x14ac:dyDescent="0.25">
      <c r="A1847" s="162">
        <v>40770</v>
      </c>
      <c r="B1847" s="163">
        <v>0.77</v>
      </c>
    </row>
    <row r="1848" spans="1:2" x14ac:dyDescent="0.25">
      <c r="A1848" s="162">
        <v>40771</v>
      </c>
      <c r="B1848" s="163">
        <v>0.72</v>
      </c>
    </row>
    <row r="1849" spans="1:2" x14ac:dyDescent="0.25">
      <c r="A1849" s="162">
        <v>40772</v>
      </c>
      <c r="B1849" s="163">
        <v>0.64</v>
      </c>
    </row>
    <row r="1850" spans="1:2" x14ac:dyDescent="0.25">
      <c r="A1850" s="162">
        <v>40773</v>
      </c>
      <c r="B1850" s="163">
        <v>0.69</v>
      </c>
    </row>
    <row r="1851" spans="1:2" x14ac:dyDescent="0.25">
      <c r="A1851" s="162">
        <v>40774</v>
      </c>
      <c r="B1851" s="163">
        <v>0.62</v>
      </c>
    </row>
    <row r="1852" spans="1:2" x14ac:dyDescent="0.25">
      <c r="A1852" s="162">
        <v>40777</v>
      </c>
      <c r="B1852" s="163">
        <v>0.63</v>
      </c>
    </row>
    <row r="1853" spans="1:2" x14ac:dyDescent="0.25">
      <c r="A1853" s="162">
        <v>40778</v>
      </c>
      <c r="B1853" s="163">
        <v>0.72</v>
      </c>
    </row>
    <row r="1854" spans="1:2" x14ac:dyDescent="0.25">
      <c r="A1854" s="162">
        <v>40779</v>
      </c>
      <c r="B1854" s="163">
        <v>0.86</v>
      </c>
    </row>
    <row r="1855" spans="1:2" x14ac:dyDescent="0.25">
      <c r="A1855" s="162">
        <v>40780</v>
      </c>
      <c r="B1855" s="163">
        <v>0.77</v>
      </c>
    </row>
    <row r="1856" spans="1:2" x14ac:dyDescent="0.25">
      <c r="A1856" s="162">
        <v>40781</v>
      </c>
      <c r="B1856" s="163">
        <v>0.77</v>
      </c>
    </row>
    <row r="1857" spans="1:2" x14ac:dyDescent="0.25">
      <c r="A1857" s="162">
        <v>40784</v>
      </c>
      <c r="B1857" s="163">
        <v>0.84</v>
      </c>
    </row>
    <row r="1858" spans="1:2" x14ac:dyDescent="0.25">
      <c r="A1858" s="162">
        <v>40785</v>
      </c>
      <c r="B1858" s="163">
        <v>0.76</v>
      </c>
    </row>
    <row r="1859" spans="1:2" x14ac:dyDescent="0.25">
      <c r="A1859" s="162">
        <v>40786</v>
      </c>
      <c r="B1859" s="163">
        <v>0.83</v>
      </c>
    </row>
    <row r="1860" spans="1:2" x14ac:dyDescent="0.25">
      <c r="A1860" s="162">
        <v>40787</v>
      </c>
      <c r="B1860" s="163">
        <v>0.72</v>
      </c>
    </row>
    <row r="1861" spans="1:2" x14ac:dyDescent="0.25">
      <c r="A1861" s="162">
        <v>40788</v>
      </c>
      <c r="B1861" s="163">
        <v>0.61</v>
      </c>
    </row>
    <row r="1862" spans="1:2" x14ac:dyDescent="0.25">
      <c r="A1862" s="162">
        <v>40791</v>
      </c>
      <c r="B1862" s="163" t="e">
        <f>NA()</f>
        <v>#N/A</v>
      </c>
    </row>
    <row r="1863" spans="1:2" x14ac:dyDescent="0.25">
      <c r="A1863" s="162">
        <v>40792</v>
      </c>
      <c r="B1863" s="163">
        <v>0.65</v>
      </c>
    </row>
    <row r="1864" spans="1:2" x14ac:dyDescent="0.25">
      <c r="A1864" s="162">
        <v>40793</v>
      </c>
      <c r="B1864" s="163">
        <v>0.72</v>
      </c>
    </row>
    <row r="1865" spans="1:2" x14ac:dyDescent="0.25">
      <c r="A1865" s="162">
        <v>40794</v>
      </c>
      <c r="B1865" s="163">
        <v>0.64</v>
      </c>
    </row>
    <row r="1866" spans="1:2" x14ac:dyDescent="0.25">
      <c r="A1866" s="162">
        <v>40795</v>
      </c>
      <c r="B1866" s="164">
        <v>0.62</v>
      </c>
    </row>
    <row r="1867" spans="1:2" x14ac:dyDescent="0.25">
      <c r="A1867" s="162">
        <v>40798</v>
      </c>
      <c r="B1867" s="163">
        <v>0.63</v>
      </c>
    </row>
    <row r="1868" spans="1:2" x14ac:dyDescent="0.25">
      <c r="A1868" s="162">
        <v>40799</v>
      </c>
      <c r="B1868" s="163">
        <v>0.71</v>
      </c>
    </row>
    <row r="1869" spans="1:2" x14ac:dyDescent="0.25">
      <c r="A1869" s="162">
        <v>40800</v>
      </c>
      <c r="B1869" s="163">
        <v>0.74</v>
      </c>
    </row>
    <row r="1870" spans="1:2" x14ac:dyDescent="0.25">
      <c r="A1870" s="162">
        <v>40801</v>
      </c>
      <c r="B1870" s="163">
        <v>0.76</v>
      </c>
    </row>
    <row r="1871" spans="1:2" x14ac:dyDescent="0.25">
      <c r="A1871" s="162">
        <v>40802</v>
      </c>
      <c r="B1871" s="163">
        <v>0.78</v>
      </c>
    </row>
    <row r="1872" spans="1:2" x14ac:dyDescent="0.25">
      <c r="A1872" s="162">
        <v>40805</v>
      </c>
      <c r="B1872" s="163">
        <v>0.74</v>
      </c>
    </row>
    <row r="1873" spans="1:2" x14ac:dyDescent="0.25">
      <c r="A1873" s="162">
        <v>40806</v>
      </c>
      <c r="B1873" s="163">
        <v>0.68</v>
      </c>
    </row>
    <row r="1874" spans="1:2" x14ac:dyDescent="0.25">
      <c r="A1874" s="162">
        <v>40807</v>
      </c>
      <c r="B1874" s="163">
        <v>0.66</v>
      </c>
    </row>
    <row r="1875" spans="1:2" x14ac:dyDescent="0.25">
      <c r="A1875" s="162">
        <v>40808</v>
      </c>
      <c r="B1875" s="163">
        <v>0.56000000000000005</v>
      </c>
    </row>
    <row r="1876" spans="1:2" x14ac:dyDescent="0.25">
      <c r="A1876" s="162">
        <v>40809</v>
      </c>
      <c r="B1876" s="163">
        <v>0.65</v>
      </c>
    </row>
    <row r="1877" spans="1:2" x14ac:dyDescent="0.25">
      <c r="A1877" s="162">
        <v>40812</v>
      </c>
      <c r="B1877" s="163">
        <v>0.72</v>
      </c>
    </row>
    <row r="1878" spans="1:2" x14ac:dyDescent="0.25">
      <c r="A1878" s="162">
        <v>40813</v>
      </c>
      <c r="B1878" s="163">
        <v>0.72</v>
      </c>
    </row>
    <row r="1879" spans="1:2" x14ac:dyDescent="0.25">
      <c r="A1879" s="162">
        <v>40814</v>
      </c>
      <c r="B1879" s="163">
        <v>0.74</v>
      </c>
    </row>
    <row r="1880" spans="1:2" x14ac:dyDescent="0.25">
      <c r="A1880" s="162">
        <v>40815</v>
      </c>
      <c r="B1880" s="163">
        <v>0.73</v>
      </c>
    </row>
    <row r="1881" spans="1:2" x14ac:dyDescent="0.25">
      <c r="A1881" s="162">
        <v>40816</v>
      </c>
      <c r="B1881" s="163">
        <v>0.72</v>
      </c>
    </row>
    <row r="1882" spans="1:2" x14ac:dyDescent="0.25">
      <c r="A1882" s="162">
        <v>40819</v>
      </c>
      <c r="B1882" s="163">
        <v>0.57999999999999996</v>
      </c>
    </row>
    <row r="1883" spans="1:2" x14ac:dyDescent="0.25">
      <c r="A1883" s="162">
        <v>40820</v>
      </c>
      <c r="B1883" s="163">
        <v>0.55000000000000004</v>
      </c>
    </row>
    <row r="1884" spans="1:2" x14ac:dyDescent="0.25">
      <c r="A1884" s="162">
        <v>40821</v>
      </c>
      <c r="B1884" s="163">
        <v>0.62</v>
      </c>
    </row>
    <row r="1885" spans="1:2" x14ac:dyDescent="0.25">
      <c r="A1885" s="162">
        <v>40822</v>
      </c>
      <c r="B1885" s="163">
        <v>0.65</v>
      </c>
    </row>
    <row r="1886" spans="1:2" x14ac:dyDescent="0.25">
      <c r="A1886" s="162">
        <v>40823</v>
      </c>
      <c r="B1886" s="163">
        <v>0.68</v>
      </c>
    </row>
    <row r="1887" spans="1:2" x14ac:dyDescent="0.25">
      <c r="A1887" s="162">
        <v>40826</v>
      </c>
      <c r="B1887" s="163" t="e">
        <f>NA()</f>
        <v>#N/A</v>
      </c>
    </row>
    <row r="1888" spans="1:2" x14ac:dyDescent="0.25">
      <c r="A1888" s="162">
        <v>40827</v>
      </c>
      <c r="B1888" s="163">
        <v>0.75</v>
      </c>
    </row>
    <row r="1889" spans="1:2" x14ac:dyDescent="0.25">
      <c r="A1889" s="162">
        <v>40828</v>
      </c>
      <c r="B1889" s="163">
        <v>0.8</v>
      </c>
    </row>
    <row r="1890" spans="1:2" x14ac:dyDescent="0.25">
      <c r="A1890" s="162">
        <v>40829</v>
      </c>
      <c r="B1890" s="163">
        <v>0.8</v>
      </c>
    </row>
    <row r="1891" spans="1:2" x14ac:dyDescent="0.25">
      <c r="A1891" s="162">
        <v>40830</v>
      </c>
      <c r="B1891" s="164">
        <v>0.84</v>
      </c>
    </row>
    <row r="1892" spans="1:2" x14ac:dyDescent="0.25">
      <c r="A1892" s="162">
        <v>40833</v>
      </c>
      <c r="B1892" s="163">
        <v>0.79</v>
      </c>
    </row>
    <row r="1893" spans="1:2" x14ac:dyDescent="0.25">
      <c r="A1893" s="162">
        <v>40834</v>
      </c>
      <c r="B1893" s="163">
        <v>0.77</v>
      </c>
    </row>
    <row r="1894" spans="1:2" x14ac:dyDescent="0.25">
      <c r="A1894" s="162">
        <v>40835</v>
      </c>
      <c r="B1894" s="163">
        <v>0.77</v>
      </c>
    </row>
    <row r="1895" spans="1:2" x14ac:dyDescent="0.25">
      <c r="A1895" s="162">
        <v>40836</v>
      </c>
      <c r="B1895" s="163">
        <v>0.74</v>
      </c>
    </row>
    <row r="1896" spans="1:2" x14ac:dyDescent="0.25">
      <c r="A1896" s="162">
        <v>40837</v>
      </c>
      <c r="B1896" s="163">
        <v>0.79</v>
      </c>
    </row>
    <row r="1897" spans="1:2" x14ac:dyDescent="0.25">
      <c r="A1897" s="162">
        <v>40840</v>
      </c>
      <c r="B1897" s="163">
        <v>0.77</v>
      </c>
    </row>
    <row r="1898" spans="1:2" x14ac:dyDescent="0.25">
      <c r="A1898" s="162">
        <v>40841</v>
      </c>
      <c r="B1898" s="163">
        <v>0.65</v>
      </c>
    </row>
    <row r="1899" spans="1:2" x14ac:dyDescent="0.25">
      <c r="A1899" s="162">
        <v>40842</v>
      </c>
      <c r="B1899" s="163">
        <v>0.68</v>
      </c>
    </row>
    <row r="1900" spans="1:2" x14ac:dyDescent="0.25">
      <c r="A1900" s="162">
        <v>40843</v>
      </c>
      <c r="B1900" s="163">
        <v>0.82</v>
      </c>
    </row>
    <row r="1901" spans="1:2" x14ac:dyDescent="0.25">
      <c r="A1901" s="162">
        <v>40844</v>
      </c>
      <c r="B1901" s="163">
        <v>0.76</v>
      </c>
    </row>
    <row r="1902" spans="1:2" x14ac:dyDescent="0.25">
      <c r="A1902" s="162">
        <v>40847</v>
      </c>
      <c r="B1902" s="163">
        <v>0.61</v>
      </c>
    </row>
    <row r="1903" spans="1:2" x14ac:dyDescent="0.25">
      <c r="A1903" s="162">
        <v>40848</v>
      </c>
      <c r="B1903" s="163">
        <v>0.49</v>
      </c>
    </row>
    <row r="1904" spans="1:2" x14ac:dyDescent="0.25">
      <c r="A1904" s="162">
        <v>40849</v>
      </c>
      <c r="B1904" s="163">
        <v>0.48</v>
      </c>
    </row>
    <row r="1905" spans="1:2" x14ac:dyDescent="0.25">
      <c r="A1905" s="162">
        <v>40850</v>
      </c>
      <c r="B1905" s="163">
        <v>0.55000000000000004</v>
      </c>
    </row>
    <row r="1906" spans="1:2" x14ac:dyDescent="0.25">
      <c r="A1906" s="162">
        <v>40851</v>
      </c>
      <c r="B1906" s="163">
        <v>0.49</v>
      </c>
    </row>
    <row r="1907" spans="1:2" x14ac:dyDescent="0.25">
      <c r="A1907" s="162">
        <v>40854</v>
      </c>
      <c r="B1907" s="163">
        <v>0.45</v>
      </c>
    </row>
    <row r="1908" spans="1:2" x14ac:dyDescent="0.25">
      <c r="A1908" s="162">
        <v>40855</v>
      </c>
      <c r="B1908" s="163">
        <v>0.53</v>
      </c>
    </row>
    <row r="1909" spans="1:2" x14ac:dyDescent="0.25">
      <c r="A1909" s="162">
        <v>40856</v>
      </c>
      <c r="B1909" s="163">
        <v>0.52</v>
      </c>
    </row>
    <row r="1910" spans="1:2" x14ac:dyDescent="0.25">
      <c r="A1910" s="162">
        <v>40857</v>
      </c>
      <c r="B1910" s="163">
        <v>0.54</v>
      </c>
    </row>
    <row r="1911" spans="1:2" x14ac:dyDescent="0.25">
      <c r="A1911" s="162">
        <v>40858</v>
      </c>
      <c r="B1911" s="163" t="e">
        <f>NA()</f>
        <v>#N/A</v>
      </c>
    </row>
    <row r="1912" spans="1:2" x14ac:dyDescent="0.25">
      <c r="A1912" s="162">
        <v>40861</v>
      </c>
      <c r="B1912" s="163">
        <v>0.56000000000000005</v>
      </c>
    </row>
    <row r="1913" spans="1:2" x14ac:dyDescent="0.25">
      <c r="A1913" s="162">
        <v>40862</v>
      </c>
      <c r="B1913" s="163">
        <v>0.61</v>
      </c>
    </row>
    <row r="1914" spans="1:2" x14ac:dyDescent="0.25">
      <c r="A1914" s="162">
        <v>40863</v>
      </c>
      <c r="B1914" s="163">
        <v>0.59</v>
      </c>
    </row>
    <row r="1915" spans="1:2" x14ac:dyDescent="0.25">
      <c r="A1915" s="162">
        <v>40864</v>
      </c>
      <c r="B1915" s="164">
        <v>0.6</v>
      </c>
    </row>
    <row r="1916" spans="1:2" x14ac:dyDescent="0.25">
      <c r="A1916" s="162">
        <v>40865</v>
      </c>
      <c r="B1916" s="163">
        <v>0.6</v>
      </c>
    </row>
    <row r="1917" spans="1:2" x14ac:dyDescent="0.25">
      <c r="A1917" s="162">
        <v>40868</v>
      </c>
      <c r="B1917" s="163">
        <v>0.62</v>
      </c>
    </row>
    <row r="1918" spans="1:2" x14ac:dyDescent="0.25">
      <c r="A1918" s="162">
        <v>40869</v>
      </c>
      <c r="B1918" s="163">
        <v>0.59</v>
      </c>
    </row>
    <row r="1919" spans="1:2" x14ac:dyDescent="0.25">
      <c r="A1919" s="162">
        <v>40870</v>
      </c>
      <c r="B1919" s="163">
        <v>0.53</v>
      </c>
    </row>
    <row r="1920" spans="1:2" x14ac:dyDescent="0.25">
      <c r="A1920" s="162">
        <v>40871</v>
      </c>
      <c r="B1920" s="163" t="e">
        <f>NA()</f>
        <v>#N/A</v>
      </c>
    </row>
    <row r="1921" spans="1:2" x14ac:dyDescent="0.25">
      <c r="A1921" s="162">
        <v>40872</v>
      </c>
      <c r="B1921" s="163">
        <v>0.57999999999999996</v>
      </c>
    </row>
    <row r="1922" spans="1:2" x14ac:dyDescent="0.25">
      <c r="A1922" s="162">
        <v>40875</v>
      </c>
      <c r="B1922" s="163">
        <v>0.55000000000000004</v>
      </c>
    </row>
    <row r="1923" spans="1:2" x14ac:dyDescent="0.25">
      <c r="A1923" s="162">
        <v>40876</v>
      </c>
      <c r="B1923" s="163">
        <v>0.54</v>
      </c>
    </row>
    <row r="1924" spans="1:2" x14ac:dyDescent="0.25">
      <c r="A1924" s="162">
        <v>40877</v>
      </c>
      <c r="B1924" s="164">
        <v>0.59</v>
      </c>
    </row>
    <row r="1925" spans="1:2" x14ac:dyDescent="0.25">
      <c r="A1925" s="162">
        <v>40878</v>
      </c>
      <c r="B1925" s="163">
        <v>0.62</v>
      </c>
    </row>
    <row r="1926" spans="1:2" x14ac:dyDescent="0.25">
      <c r="A1926" s="162">
        <v>40879</v>
      </c>
      <c r="B1926" s="163">
        <v>0.56999999999999995</v>
      </c>
    </row>
    <row r="1927" spans="1:2" x14ac:dyDescent="0.25">
      <c r="A1927" s="162">
        <v>40882</v>
      </c>
      <c r="B1927" s="163">
        <v>0.55000000000000004</v>
      </c>
    </row>
    <row r="1928" spans="1:2" x14ac:dyDescent="0.25">
      <c r="A1928" s="162">
        <v>40883</v>
      </c>
      <c r="B1928" s="163">
        <v>0.62</v>
      </c>
    </row>
    <row r="1929" spans="1:2" x14ac:dyDescent="0.25">
      <c r="A1929" s="162">
        <v>40884</v>
      </c>
      <c r="B1929" s="163">
        <v>0.6</v>
      </c>
    </row>
    <row r="1930" spans="1:2" x14ac:dyDescent="0.25">
      <c r="A1930" s="162">
        <v>40885</v>
      </c>
      <c r="B1930" s="163">
        <v>0.63</v>
      </c>
    </row>
    <row r="1931" spans="1:2" x14ac:dyDescent="0.25">
      <c r="A1931" s="162">
        <v>40886</v>
      </c>
      <c r="B1931" s="163">
        <v>0.74</v>
      </c>
    </row>
    <row r="1932" spans="1:2" x14ac:dyDescent="0.25">
      <c r="A1932" s="162">
        <v>40889</v>
      </c>
      <c r="B1932" s="163">
        <v>0.63</v>
      </c>
    </row>
    <row r="1933" spans="1:2" x14ac:dyDescent="0.25">
      <c r="A1933" s="162">
        <v>40890</v>
      </c>
      <c r="B1933" s="163">
        <v>0.53</v>
      </c>
    </row>
    <row r="1934" spans="1:2" x14ac:dyDescent="0.25">
      <c r="A1934" s="162">
        <v>40891</v>
      </c>
      <c r="B1934" s="163">
        <v>0.53</v>
      </c>
    </row>
    <row r="1935" spans="1:2" x14ac:dyDescent="0.25">
      <c r="A1935" s="162">
        <v>40892</v>
      </c>
      <c r="B1935" s="163">
        <v>0.55000000000000004</v>
      </c>
    </row>
    <row r="1936" spans="1:2" x14ac:dyDescent="0.25">
      <c r="A1936" s="162">
        <v>40893</v>
      </c>
      <c r="B1936" s="163">
        <v>0.53</v>
      </c>
    </row>
    <row r="1937" spans="1:2" x14ac:dyDescent="0.25">
      <c r="A1937" s="162">
        <v>40896</v>
      </c>
      <c r="B1937" s="163">
        <v>0.43</v>
      </c>
    </row>
    <row r="1938" spans="1:2" x14ac:dyDescent="0.25">
      <c r="A1938" s="162">
        <v>40897</v>
      </c>
      <c r="B1938" s="163">
        <v>0.47</v>
      </c>
    </row>
    <row r="1939" spans="1:2" x14ac:dyDescent="0.25">
      <c r="A1939" s="162">
        <v>40898</v>
      </c>
      <c r="B1939" s="163">
        <v>0.53</v>
      </c>
    </row>
    <row r="1940" spans="1:2" x14ac:dyDescent="0.25">
      <c r="A1940" s="162">
        <v>40899</v>
      </c>
      <c r="B1940" s="163">
        <v>0.52</v>
      </c>
    </row>
    <row r="1941" spans="1:2" x14ac:dyDescent="0.25">
      <c r="A1941" s="162">
        <v>40900</v>
      </c>
      <c r="B1941" s="163">
        <v>0.59</v>
      </c>
    </row>
    <row r="1942" spans="1:2" x14ac:dyDescent="0.25">
      <c r="A1942" s="162">
        <v>40903</v>
      </c>
      <c r="B1942" s="163" t="e">
        <f>NA()</f>
        <v>#N/A</v>
      </c>
    </row>
    <row r="1943" spans="1:2" x14ac:dyDescent="0.25">
      <c r="A1943" s="162">
        <v>40904</v>
      </c>
      <c r="B1943" s="163">
        <v>0.57999999999999996</v>
      </c>
    </row>
    <row r="1944" spans="1:2" x14ac:dyDescent="0.25">
      <c r="A1944" s="162">
        <v>40905</v>
      </c>
      <c r="B1944" s="163">
        <v>0.5</v>
      </c>
    </row>
    <row r="1945" spans="1:2" x14ac:dyDescent="0.25">
      <c r="A1945" s="162">
        <v>40906</v>
      </c>
      <c r="B1945" s="163">
        <v>0.54</v>
      </c>
    </row>
    <row r="1946" spans="1:2" x14ac:dyDescent="0.25">
      <c r="A1946" s="162">
        <v>40907</v>
      </c>
      <c r="B1946" s="164">
        <v>0.53</v>
      </c>
    </row>
    <row r="1947" spans="1:2" x14ac:dyDescent="0.25">
      <c r="A1947" s="162">
        <v>40910</v>
      </c>
      <c r="B1947" s="163" t="e">
        <f>NA()</f>
        <v>#N/A</v>
      </c>
    </row>
    <row r="1948" spans="1:2" x14ac:dyDescent="0.25">
      <c r="A1948" s="162">
        <v>40911</v>
      </c>
      <c r="B1948" s="163">
        <v>0.55000000000000004</v>
      </c>
    </row>
    <row r="1949" spans="1:2" x14ac:dyDescent="0.25">
      <c r="A1949" s="162">
        <v>40912</v>
      </c>
      <c r="B1949" s="163">
        <v>0.54</v>
      </c>
    </row>
    <row r="1950" spans="1:2" x14ac:dyDescent="0.25">
      <c r="A1950" s="162">
        <v>40913</v>
      </c>
      <c r="B1950" s="163">
        <v>0.51</v>
      </c>
    </row>
    <row r="1951" spans="1:2" x14ac:dyDescent="0.25">
      <c r="A1951" s="162">
        <v>40914</v>
      </c>
      <c r="B1951" s="164">
        <v>0.49</v>
      </c>
    </row>
    <row r="1952" spans="1:2" x14ac:dyDescent="0.25">
      <c r="A1952" s="162">
        <v>40917</v>
      </c>
      <c r="B1952" s="163">
        <v>0.47</v>
      </c>
    </row>
    <row r="1953" spans="1:2" x14ac:dyDescent="0.25">
      <c r="A1953" s="162">
        <v>40918</v>
      </c>
      <c r="B1953" s="163">
        <v>0.51</v>
      </c>
    </row>
    <row r="1954" spans="1:2" x14ac:dyDescent="0.25">
      <c r="A1954" s="162">
        <v>40919</v>
      </c>
      <c r="B1954" s="163">
        <v>0.5</v>
      </c>
    </row>
    <row r="1955" spans="1:2" x14ac:dyDescent="0.25">
      <c r="A1955" s="162">
        <v>40920</v>
      </c>
      <c r="B1955" s="163">
        <v>0.5</v>
      </c>
    </row>
    <row r="1956" spans="1:2" x14ac:dyDescent="0.25">
      <c r="A1956" s="162">
        <v>40921</v>
      </c>
      <c r="B1956" s="163">
        <v>0.46</v>
      </c>
    </row>
    <row r="1957" spans="1:2" x14ac:dyDescent="0.25">
      <c r="A1957" s="162">
        <v>40924</v>
      </c>
      <c r="B1957" s="163" t="e">
        <f>NA()</f>
        <v>#N/A</v>
      </c>
    </row>
    <row r="1958" spans="1:2" x14ac:dyDescent="0.25">
      <c r="A1958" s="162">
        <v>40925</v>
      </c>
      <c r="B1958" s="163">
        <v>0.43</v>
      </c>
    </row>
    <row r="1959" spans="1:2" x14ac:dyDescent="0.25">
      <c r="A1959" s="162">
        <v>40926</v>
      </c>
      <c r="B1959" s="163">
        <v>0.47</v>
      </c>
    </row>
    <row r="1960" spans="1:2" x14ac:dyDescent="0.25">
      <c r="A1960" s="162">
        <v>40927</v>
      </c>
      <c r="B1960" s="163">
        <v>0.56000000000000005</v>
      </c>
    </row>
    <row r="1961" spans="1:2" x14ac:dyDescent="0.25">
      <c r="A1961" s="162">
        <v>40928</v>
      </c>
      <c r="B1961" s="164">
        <v>0.6</v>
      </c>
    </row>
    <row r="1962" spans="1:2" x14ac:dyDescent="0.25">
      <c r="A1962" s="162">
        <v>40931</v>
      </c>
      <c r="B1962" s="163">
        <v>0.66</v>
      </c>
    </row>
    <row r="1963" spans="1:2" x14ac:dyDescent="0.25">
      <c r="A1963" s="162">
        <v>40932</v>
      </c>
      <c r="B1963" s="163">
        <v>0.62</v>
      </c>
    </row>
    <row r="1964" spans="1:2" x14ac:dyDescent="0.25">
      <c r="A1964" s="162">
        <v>40933</v>
      </c>
      <c r="B1964" s="163">
        <v>0.53</v>
      </c>
    </row>
    <row r="1965" spans="1:2" x14ac:dyDescent="0.25">
      <c r="A1965" s="162">
        <v>40934</v>
      </c>
      <c r="B1965" s="163">
        <v>0.51</v>
      </c>
    </row>
    <row r="1966" spans="1:2" x14ac:dyDescent="0.25">
      <c r="A1966" s="162">
        <v>40935</v>
      </c>
      <c r="B1966" s="163">
        <v>0.49</v>
      </c>
    </row>
    <row r="1967" spans="1:2" x14ac:dyDescent="0.25">
      <c r="A1967" s="162">
        <v>40938</v>
      </c>
      <c r="B1967" s="163">
        <v>0.42</v>
      </c>
    </row>
    <row r="1968" spans="1:2" x14ac:dyDescent="0.25">
      <c r="A1968" s="162">
        <v>40939</v>
      </c>
      <c r="B1968" s="163">
        <v>0.37</v>
      </c>
    </row>
    <row r="1969" spans="1:2" x14ac:dyDescent="0.25">
      <c r="A1969" s="162">
        <v>40940</v>
      </c>
      <c r="B1969" s="163">
        <v>0.42</v>
      </c>
    </row>
    <row r="1970" spans="1:2" x14ac:dyDescent="0.25">
      <c r="A1970" s="162">
        <v>40941</v>
      </c>
      <c r="B1970" s="163">
        <v>0.41</v>
      </c>
    </row>
    <row r="1971" spans="1:2" x14ac:dyDescent="0.25">
      <c r="A1971" s="162">
        <v>40942</v>
      </c>
      <c r="B1971" s="163">
        <v>0.59</v>
      </c>
    </row>
    <row r="1972" spans="1:2" x14ac:dyDescent="0.25">
      <c r="A1972" s="162">
        <v>40945</v>
      </c>
      <c r="B1972" s="163">
        <v>0.48</v>
      </c>
    </row>
    <row r="1973" spans="1:2" x14ac:dyDescent="0.25">
      <c r="A1973" s="162">
        <v>40946</v>
      </c>
      <c r="B1973" s="163">
        <v>0.54</v>
      </c>
    </row>
    <row r="1974" spans="1:2" x14ac:dyDescent="0.25">
      <c r="A1974" s="162">
        <v>40947</v>
      </c>
      <c r="B1974" s="163">
        <v>0.51</v>
      </c>
    </row>
    <row r="1975" spans="1:2" x14ac:dyDescent="0.25">
      <c r="A1975" s="162">
        <v>40948</v>
      </c>
      <c r="B1975" s="163">
        <v>0.55000000000000004</v>
      </c>
    </row>
    <row r="1976" spans="1:2" x14ac:dyDescent="0.25">
      <c r="A1976" s="162">
        <v>40949</v>
      </c>
      <c r="B1976" s="163">
        <v>0.45</v>
      </c>
    </row>
    <row r="1977" spans="1:2" x14ac:dyDescent="0.25">
      <c r="A1977" s="162">
        <v>40952</v>
      </c>
      <c r="B1977" s="163">
        <v>0.55000000000000004</v>
      </c>
    </row>
    <row r="1978" spans="1:2" x14ac:dyDescent="0.25">
      <c r="A1978" s="162">
        <v>40953</v>
      </c>
      <c r="B1978" s="163">
        <v>0.42</v>
      </c>
    </row>
    <row r="1979" spans="1:2" x14ac:dyDescent="0.25">
      <c r="A1979" s="162">
        <v>40954</v>
      </c>
      <c r="B1979" s="163">
        <v>0.41</v>
      </c>
    </row>
    <row r="1980" spans="1:2" x14ac:dyDescent="0.25">
      <c r="A1980" s="162">
        <v>40955</v>
      </c>
      <c r="B1980" s="163">
        <v>0.47</v>
      </c>
    </row>
    <row r="1981" spans="1:2" x14ac:dyDescent="0.25">
      <c r="A1981" s="162">
        <v>40956</v>
      </c>
      <c r="B1981" s="163">
        <v>0.45</v>
      </c>
    </row>
    <row r="1982" spans="1:2" x14ac:dyDescent="0.25">
      <c r="A1982" s="162">
        <v>40959</v>
      </c>
      <c r="B1982" s="163" t="e">
        <f>NA()</f>
        <v>#N/A</v>
      </c>
    </row>
    <row r="1983" spans="1:2" x14ac:dyDescent="0.25">
      <c r="A1983" s="162">
        <v>40960</v>
      </c>
      <c r="B1983" s="163">
        <v>0.45</v>
      </c>
    </row>
    <row r="1984" spans="1:2" x14ac:dyDescent="0.25">
      <c r="A1984" s="162">
        <v>40961</v>
      </c>
      <c r="B1984" s="163">
        <v>0.41</v>
      </c>
    </row>
    <row r="1985" spans="1:2" x14ac:dyDescent="0.25">
      <c r="A1985" s="162">
        <v>40962</v>
      </c>
      <c r="B1985" s="163">
        <v>0.39</v>
      </c>
    </row>
    <row r="1986" spans="1:2" x14ac:dyDescent="0.25">
      <c r="A1986" s="162">
        <v>40963</v>
      </c>
      <c r="B1986" s="164">
        <v>0.39</v>
      </c>
    </row>
    <row r="1987" spans="1:2" x14ac:dyDescent="0.25">
      <c r="A1987" s="162">
        <v>40966</v>
      </c>
      <c r="B1987" s="163">
        <v>0.36</v>
      </c>
    </row>
    <row r="1988" spans="1:2" x14ac:dyDescent="0.25">
      <c r="A1988" s="162">
        <v>40967</v>
      </c>
      <c r="B1988" s="163">
        <v>0.37</v>
      </c>
    </row>
    <row r="1989" spans="1:2" x14ac:dyDescent="0.25">
      <c r="A1989" s="162">
        <v>40968</v>
      </c>
      <c r="B1989" s="163">
        <v>0.39</v>
      </c>
    </row>
    <row r="1990" spans="1:2" x14ac:dyDescent="0.25">
      <c r="A1990" s="162">
        <v>40969</v>
      </c>
      <c r="B1990" s="163">
        <v>0.46</v>
      </c>
    </row>
    <row r="1991" spans="1:2" x14ac:dyDescent="0.25">
      <c r="A1991" s="162">
        <v>40970</v>
      </c>
      <c r="B1991" s="163">
        <v>0.46</v>
      </c>
    </row>
    <row r="1992" spans="1:2" x14ac:dyDescent="0.25">
      <c r="A1992" s="162">
        <v>40973</v>
      </c>
      <c r="B1992" s="163">
        <v>0.52</v>
      </c>
    </row>
    <row r="1993" spans="1:2" x14ac:dyDescent="0.25">
      <c r="A1993" s="162">
        <v>40974</v>
      </c>
      <c r="B1993" s="163">
        <v>0.51</v>
      </c>
    </row>
    <row r="1994" spans="1:2" x14ac:dyDescent="0.25">
      <c r="A1994" s="162">
        <v>40975</v>
      </c>
      <c r="B1994" s="163">
        <v>0.52</v>
      </c>
    </row>
    <row r="1995" spans="1:2" x14ac:dyDescent="0.25">
      <c r="A1995" s="162">
        <v>40976</v>
      </c>
      <c r="B1995" s="163">
        <v>0.53</v>
      </c>
    </row>
    <row r="1996" spans="1:2" x14ac:dyDescent="0.25">
      <c r="A1996" s="162">
        <v>40977</v>
      </c>
      <c r="B1996" s="163">
        <v>0.52</v>
      </c>
    </row>
    <row r="1997" spans="1:2" x14ac:dyDescent="0.25">
      <c r="A1997" s="162">
        <v>40980</v>
      </c>
      <c r="B1997" s="163">
        <v>0.48</v>
      </c>
    </row>
    <row r="1998" spans="1:2" x14ac:dyDescent="0.25">
      <c r="A1998" s="162">
        <v>40981</v>
      </c>
      <c r="B1998" s="163">
        <v>0.54</v>
      </c>
    </row>
    <row r="1999" spans="1:2" x14ac:dyDescent="0.25">
      <c r="A1999" s="162">
        <v>40982</v>
      </c>
      <c r="B1999" s="163">
        <v>0.64</v>
      </c>
    </row>
    <row r="2000" spans="1:2" x14ac:dyDescent="0.25">
      <c r="A2000" s="162">
        <v>40983</v>
      </c>
      <c r="B2000" s="163">
        <v>0.6</v>
      </c>
    </row>
    <row r="2001" spans="1:2" x14ac:dyDescent="0.25">
      <c r="A2001" s="162">
        <v>40984</v>
      </c>
      <c r="B2001" s="163">
        <v>0.57999999999999996</v>
      </c>
    </row>
    <row r="2002" spans="1:2" x14ac:dyDescent="0.25">
      <c r="A2002" s="162">
        <v>40987</v>
      </c>
      <c r="B2002" s="163">
        <v>0.63</v>
      </c>
    </row>
    <row r="2003" spans="1:2" x14ac:dyDescent="0.25">
      <c r="A2003" s="162">
        <v>40988</v>
      </c>
      <c r="B2003" s="163">
        <v>0.63</v>
      </c>
    </row>
    <row r="2004" spans="1:2" x14ac:dyDescent="0.25">
      <c r="A2004" s="162">
        <v>40989</v>
      </c>
      <c r="B2004" s="163">
        <v>0.59</v>
      </c>
    </row>
    <row r="2005" spans="1:2" x14ac:dyDescent="0.25">
      <c r="A2005" s="162">
        <v>40990</v>
      </c>
      <c r="B2005" s="163">
        <v>0.59</v>
      </c>
    </row>
    <row r="2006" spans="1:2" x14ac:dyDescent="0.25">
      <c r="A2006" s="162">
        <v>40991</v>
      </c>
      <c r="B2006" s="163">
        <v>0.54</v>
      </c>
    </row>
    <row r="2007" spans="1:2" x14ac:dyDescent="0.25">
      <c r="A2007" s="162">
        <v>40994</v>
      </c>
      <c r="B2007" s="163">
        <v>0.6</v>
      </c>
    </row>
    <row r="2008" spans="1:2" x14ac:dyDescent="0.25">
      <c r="A2008" s="162">
        <v>40995</v>
      </c>
      <c r="B2008" s="163">
        <v>0.56000000000000005</v>
      </c>
    </row>
    <row r="2009" spans="1:2" x14ac:dyDescent="0.25">
      <c r="A2009" s="162">
        <v>40996</v>
      </c>
      <c r="B2009" s="163">
        <v>0.56999999999999995</v>
      </c>
    </row>
    <row r="2010" spans="1:2" x14ac:dyDescent="0.25">
      <c r="A2010" s="162">
        <v>40997</v>
      </c>
      <c r="B2010" s="163">
        <v>0.55000000000000004</v>
      </c>
    </row>
    <row r="2011" spans="1:2" x14ac:dyDescent="0.25">
      <c r="A2011" s="162">
        <v>40998</v>
      </c>
      <c r="B2011" s="163">
        <v>0.61</v>
      </c>
    </row>
    <row r="2012" spans="1:2" x14ac:dyDescent="0.25">
      <c r="A2012" s="162">
        <v>41001</v>
      </c>
      <c r="B2012" s="163">
        <v>0.56000000000000005</v>
      </c>
    </row>
    <row r="2013" spans="1:2" x14ac:dyDescent="0.25">
      <c r="A2013" s="162">
        <v>41002</v>
      </c>
      <c r="B2013" s="163">
        <v>0.62</v>
      </c>
    </row>
    <row r="2014" spans="1:2" x14ac:dyDescent="0.25">
      <c r="A2014" s="162">
        <v>41003</v>
      </c>
      <c r="B2014" s="163">
        <v>0.62</v>
      </c>
    </row>
    <row r="2015" spans="1:2" x14ac:dyDescent="0.25">
      <c r="A2015" s="162">
        <v>41004</v>
      </c>
      <c r="B2015" s="163">
        <v>0.61</v>
      </c>
    </row>
    <row r="2016" spans="1:2" x14ac:dyDescent="0.25">
      <c r="A2016" s="162">
        <v>41005</v>
      </c>
      <c r="B2016" s="163">
        <v>0.51</v>
      </c>
    </row>
    <row r="2017" spans="1:2" x14ac:dyDescent="0.25">
      <c r="A2017" s="162">
        <v>41008</v>
      </c>
      <c r="B2017" s="163">
        <v>0.5</v>
      </c>
    </row>
    <row r="2018" spans="1:2" x14ac:dyDescent="0.25">
      <c r="A2018" s="162">
        <v>41009</v>
      </c>
      <c r="B2018" s="163">
        <v>0.45</v>
      </c>
    </row>
    <row r="2019" spans="1:2" x14ac:dyDescent="0.25">
      <c r="A2019" s="162">
        <v>41010</v>
      </c>
      <c r="B2019" s="163">
        <v>0.46</v>
      </c>
    </row>
    <row r="2020" spans="1:2" x14ac:dyDescent="0.25">
      <c r="A2020" s="162">
        <v>41011</v>
      </c>
      <c r="B2020" s="163">
        <v>0.48</v>
      </c>
    </row>
    <row r="2021" spans="1:2" x14ac:dyDescent="0.25">
      <c r="A2021" s="162">
        <v>41012</v>
      </c>
      <c r="B2021" s="163">
        <v>0.45</v>
      </c>
    </row>
    <row r="2022" spans="1:2" x14ac:dyDescent="0.25">
      <c r="A2022" s="162">
        <v>41015</v>
      </c>
      <c r="B2022" s="163">
        <v>0.43</v>
      </c>
    </row>
    <row r="2023" spans="1:2" x14ac:dyDescent="0.25">
      <c r="A2023" s="162">
        <v>41016</v>
      </c>
      <c r="B2023" s="163">
        <v>0.41</v>
      </c>
    </row>
    <row r="2024" spans="1:2" x14ac:dyDescent="0.25">
      <c r="A2024" s="162">
        <v>41017</v>
      </c>
      <c r="B2024" s="163">
        <v>0.41</v>
      </c>
    </row>
    <row r="2025" spans="1:2" x14ac:dyDescent="0.25">
      <c r="A2025" s="162">
        <v>41018</v>
      </c>
      <c r="B2025" s="163">
        <v>0.59</v>
      </c>
    </row>
    <row r="2026" spans="1:2" x14ac:dyDescent="0.25">
      <c r="A2026" s="162">
        <v>41019</v>
      </c>
      <c r="B2026" s="163">
        <v>0.47</v>
      </c>
    </row>
    <row r="2027" spans="1:2" x14ac:dyDescent="0.25">
      <c r="A2027" s="162">
        <v>41022</v>
      </c>
      <c r="B2027" s="163">
        <v>0.53</v>
      </c>
    </row>
    <row r="2028" spans="1:2" x14ac:dyDescent="0.25">
      <c r="A2028" s="162">
        <v>41023</v>
      </c>
      <c r="B2028" s="163">
        <v>0.5</v>
      </c>
    </row>
    <row r="2029" spans="1:2" x14ac:dyDescent="0.25">
      <c r="A2029" s="162">
        <v>41024</v>
      </c>
      <c r="B2029" s="163">
        <v>0.53</v>
      </c>
    </row>
    <row r="2030" spans="1:2" x14ac:dyDescent="0.25">
      <c r="A2030" s="162">
        <v>41025</v>
      </c>
      <c r="B2030" s="163">
        <v>0.46</v>
      </c>
    </row>
    <row r="2031" spans="1:2" x14ac:dyDescent="0.25">
      <c r="A2031" s="162">
        <v>41026</v>
      </c>
      <c r="B2031" s="163">
        <v>0.44</v>
      </c>
    </row>
    <row r="2032" spans="1:2" x14ac:dyDescent="0.25">
      <c r="A2032" s="162">
        <v>41029</v>
      </c>
      <c r="B2032" s="163">
        <v>0.48</v>
      </c>
    </row>
    <row r="2033" spans="1:2" x14ac:dyDescent="0.25">
      <c r="A2033" s="162">
        <v>41030</v>
      </c>
      <c r="B2033" s="163">
        <v>0.51</v>
      </c>
    </row>
    <row r="2034" spans="1:2" x14ac:dyDescent="0.25">
      <c r="A2034" s="162">
        <v>41031</v>
      </c>
      <c r="B2034" s="163">
        <v>0.51</v>
      </c>
    </row>
    <row r="2035" spans="1:2" x14ac:dyDescent="0.25">
      <c r="A2035" s="162">
        <v>41032</v>
      </c>
      <c r="B2035" s="163">
        <v>0.6</v>
      </c>
    </row>
    <row r="2036" spans="1:2" x14ac:dyDescent="0.25">
      <c r="A2036" s="162">
        <v>41033</v>
      </c>
      <c r="B2036" s="163">
        <v>0.46</v>
      </c>
    </row>
    <row r="2037" spans="1:2" x14ac:dyDescent="0.25">
      <c r="A2037" s="162">
        <v>41036</v>
      </c>
      <c r="B2037" s="163">
        <v>0.56000000000000005</v>
      </c>
    </row>
    <row r="2038" spans="1:2" x14ac:dyDescent="0.25">
      <c r="A2038" s="162">
        <v>41037</v>
      </c>
      <c r="B2038" s="163">
        <v>0.59</v>
      </c>
    </row>
    <row r="2039" spans="1:2" x14ac:dyDescent="0.25">
      <c r="A2039" s="162">
        <v>41038</v>
      </c>
      <c r="B2039" s="163">
        <v>0.63</v>
      </c>
    </row>
    <row r="2040" spans="1:2" x14ac:dyDescent="0.25">
      <c r="A2040" s="162">
        <v>41039</v>
      </c>
      <c r="B2040" s="163">
        <v>0.66</v>
      </c>
    </row>
    <row r="2041" spans="1:2" x14ac:dyDescent="0.25">
      <c r="A2041" s="162">
        <v>41040</v>
      </c>
      <c r="B2041" s="163">
        <v>0.54</v>
      </c>
    </row>
    <row r="2042" spans="1:2" x14ac:dyDescent="0.25">
      <c r="A2042" s="162">
        <v>41043</v>
      </c>
      <c r="B2042" s="163">
        <v>0.52</v>
      </c>
    </row>
    <row r="2043" spans="1:2" x14ac:dyDescent="0.25">
      <c r="A2043" s="162">
        <v>41044</v>
      </c>
      <c r="B2043" s="163">
        <v>0.45</v>
      </c>
    </row>
    <row r="2044" spans="1:2" x14ac:dyDescent="0.25">
      <c r="A2044" s="162">
        <v>41045</v>
      </c>
      <c r="B2044" s="163">
        <v>0.47</v>
      </c>
    </row>
    <row r="2045" spans="1:2" x14ac:dyDescent="0.25">
      <c r="A2045" s="162">
        <v>41046</v>
      </c>
      <c r="B2045" s="163">
        <v>0.44</v>
      </c>
    </row>
    <row r="2046" spans="1:2" x14ac:dyDescent="0.25">
      <c r="A2046" s="162">
        <v>41047</v>
      </c>
      <c r="B2046" s="163">
        <v>0.39</v>
      </c>
    </row>
    <row r="2047" spans="1:2" x14ac:dyDescent="0.25">
      <c r="A2047" s="162">
        <v>41050</v>
      </c>
      <c r="B2047" s="163">
        <v>0.31</v>
      </c>
    </row>
    <row r="2048" spans="1:2" x14ac:dyDescent="0.25">
      <c r="A2048" s="162">
        <v>41051</v>
      </c>
      <c r="B2048" s="163">
        <v>0.37</v>
      </c>
    </row>
    <row r="2049" spans="1:2" x14ac:dyDescent="0.25">
      <c r="A2049" s="162">
        <v>41052</v>
      </c>
      <c r="B2049" s="163">
        <v>0.3</v>
      </c>
    </row>
    <row r="2050" spans="1:2" x14ac:dyDescent="0.25">
      <c r="A2050" s="162">
        <v>41053</v>
      </c>
      <c r="B2050" s="163">
        <v>0.35</v>
      </c>
    </row>
    <row r="2051" spans="1:2" x14ac:dyDescent="0.25">
      <c r="A2051" s="162">
        <v>41054</v>
      </c>
      <c r="B2051" s="163">
        <v>0.31</v>
      </c>
    </row>
    <row r="2052" spans="1:2" x14ac:dyDescent="0.25">
      <c r="A2052" s="162">
        <v>41057</v>
      </c>
      <c r="B2052" s="163" t="e">
        <f>NA()</f>
        <v>#N/A</v>
      </c>
    </row>
    <row r="2053" spans="1:2" x14ac:dyDescent="0.25">
      <c r="A2053" s="162">
        <v>41058</v>
      </c>
      <c r="B2053" s="163">
        <v>0.32</v>
      </c>
    </row>
    <row r="2054" spans="1:2" x14ac:dyDescent="0.25">
      <c r="A2054" s="162">
        <v>41059</v>
      </c>
      <c r="B2054" s="163">
        <v>0.22</v>
      </c>
    </row>
    <row r="2055" spans="1:2" x14ac:dyDescent="0.25">
      <c r="A2055" s="162">
        <v>41060</v>
      </c>
      <c r="B2055" s="163">
        <v>0.14000000000000001</v>
      </c>
    </row>
    <row r="2056" spans="1:2" x14ac:dyDescent="0.25">
      <c r="A2056" s="162">
        <v>41061</v>
      </c>
      <c r="B2056" s="164">
        <v>-0.03</v>
      </c>
    </row>
    <row r="2057" spans="1:2" x14ac:dyDescent="0.25">
      <c r="A2057" s="162">
        <v>41064</v>
      </c>
      <c r="B2057" s="163">
        <v>-0.02</v>
      </c>
    </row>
    <row r="2058" spans="1:2" x14ac:dyDescent="0.25">
      <c r="A2058" s="162">
        <v>41065</v>
      </c>
      <c r="B2058" s="163">
        <v>-0.01</v>
      </c>
    </row>
    <row r="2059" spans="1:2" x14ac:dyDescent="0.25">
      <c r="A2059" s="162">
        <v>41066</v>
      </c>
      <c r="B2059" s="163">
        <v>7.0000000000000007E-2</v>
      </c>
    </row>
    <row r="2060" spans="1:2" x14ac:dyDescent="0.25">
      <c r="A2060" s="162">
        <v>41067</v>
      </c>
      <c r="B2060" s="163">
        <v>0.12</v>
      </c>
    </row>
    <row r="2061" spans="1:2" x14ac:dyDescent="0.25">
      <c r="A2061" s="162">
        <v>41068</v>
      </c>
      <c r="B2061" s="163">
        <v>0.13</v>
      </c>
    </row>
    <row r="2062" spans="1:2" x14ac:dyDescent="0.25">
      <c r="A2062" s="162">
        <v>41071</v>
      </c>
      <c r="B2062" s="163">
        <v>0.1</v>
      </c>
    </row>
    <row r="2063" spans="1:2" x14ac:dyDescent="0.25">
      <c r="A2063" s="162">
        <v>41072</v>
      </c>
      <c r="B2063" s="163">
        <v>0.14000000000000001</v>
      </c>
    </row>
    <row r="2064" spans="1:2" x14ac:dyDescent="0.25">
      <c r="A2064" s="162">
        <v>41073</v>
      </c>
      <c r="B2064" s="163">
        <v>0.1</v>
      </c>
    </row>
    <row r="2065" spans="1:2" x14ac:dyDescent="0.25">
      <c r="A2065" s="162">
        <v>41074</v>
      </c>
      <c r="B2065" s="163">
        <v>0.14000000000000001</v>
      </c>
    </row>
    <row r="2066" spans="1:2" x14ac:dyDescent="0.25">
      <c r="A2066" s="162">
        <v>41075</v>
      </c>
      <c r="B2066" s="163">
        <v>0.09</v>
      </c>
    </row>
    <row r="2067" spans="1:2" x14ac:dyDescent="0.25">
      <c r="A2067" s="162">
        <v>41078</v>
      </c>
      <c r="B2067" s="163">
        <v>0.09</v>
      </c>
    </row>
    <row r="2068" spans="1:2" x14ac:dyDescent="0.25">
      <c r="A2068" s="162">
        <v>41079</v>
      </c>
      <c r="B2068" s="163">
        <v>0.1</v>
      </c>
    </row>
    <row r="2069" spans="1:2" x14ac:dyDescent="0.25">
      <c r="A2069" s="162">
        <v>41080</v>
      </c>
      <c r="B2069" s="163">
        <v>0.11</v>
      </c>
    </row>
    <row r="2070" spans="1:2" x14ac:dyDescent="0.25">
      <c r="A2070" s="162">
        <v>41081</v>
      </c>
      <c r="B2070" s="163">
        <v>0.13</v>
      </c>
    </row>
    <row r="2071" spans="1:2" x14ac:dyDescent="0.25">
      <c r="A2071" s="162">
        <v>41082</v>
      </c>
      <c r="B2071" s="163">
        <v>0.18</v>
      </c>
    </row>
    <row r="2072" spans="1:2" x14ac:dyDescent="0.25">
      <c r="A2072" s="162">
        <v>41085</v>
      </c>
      <c r="B2072" s="163">
        <v>0.12</v>
      </c>
    </row>
    <row r="2073" spans="1:2" x14ac:dyDescent="0.25">
      <c r="A2073" s="162">
        <v>41086</v>
      </c>
      <c r="B2073" s="163">
        <v>0.12</v>
      </c>
    </row>
    <row r="2074" spans="1:2" x14ac:dyDescent="0.25">
      <c r="A2074" s="162">
        <v>41087</v>
      </c>
      <c r="B2074" s="163">
        <v>0.11</v>
      </c>
    </row>
    <row r="2075" spans="1:2" x14ac:dyDescent="0.25">
      <c r="A2075" s="162">
        <v>41088</v>
      </c>
      <c r="B2075" s="163">
        <v>0.09</v>
      </c>
    </row>
    <row r="2076" spans="1:2" x14ac:dyDescent="0.25">
      <c r="A2076" s="162">
        <v>41089</v>
      </c>
      <c r="B2076" s="163">
        <v>0.15</v>
      </c>
    </row>
    <row r="2077" spans="1:2" x14ac:dyDescent="0.25">
      <c r="A2077" s="162">
        <v>41092</v>
      </c>
      <c r="B2077" s="163">
        <v>0.1</v>
      </c>
    </row>
    <row r="2078" spans="1:2" x14ac:dyDescent="0.25">
      <c r="A2078" s="162">
        <v>41093</v>
      </c>
      <c r="B2078" s="163">
        <v>0.14000000000000001</v>
      </c>
    </row>
    <row r="2079" spans="1:2" x14ac:dyDescent="0.25">
      <c r="A2079" s="162">
        <v>41094</v>
      </c>
      <c r="B2079" s="163" t="e">
        <f>NA()</f>
        <v>#N/A</v>
      </c>
    </row>
    <row r="2080" spans="1:2" x14ac:dyDescent="0.25">
      <c r="A2080" s="162">
        <v>41095</v>
      </c>
      <c r="B2080" s="163">
        <v>0.1</v>
      </c>
    </row>
    <row r="2081" spans="1:2" x14ac:dyDescent="0.25">
      <c r="A2081" s="162">
        <v>41096</v>
      </c>
      <c r="B2081" s="163">
        <v>0.08</v>
      </c>
    </row>
    <row r="2082" spans="1:2" x14ac:dyDescent="0.25">
      <c r="A2082" s="162">
        <v>41099</v>
      </c>
      <c r="B2082" s="163">
        <v>0.03</v>
      </c>
    </row>
    <row r="2083" spans="1:2" x14ac:dyDescent="0.25">
      <c r="A2083" s="162">
        <v>41100</v>
      </c>
      <c r="B2083" s="164">
        <v>0.01</v>
      </c>
    </row>
    <row r="2084" spans="1:2" x14ac:dyDescent="0.25">
      <c r="A2084" s="162">
        <v>41101</v>
      </c>
      <c r="B2084" s="163">
        <v>0.03</v>
      </c>
    </row>
    <row r="2085" spans="1:2" x14ac:dyDescent="0.25">
      <c r="A2085" s="162">
        <v>41102</v>
      </c>
      <c r="B2085" s="163">
        <v>0</v>
      </c>
    </row>
    <row r="2086" spans="1:2" x14ac:dyDescent="0.25">
      <c r="A2086" s="162">
        <v>41103</v>
      </c>
      <c r="B2086" s="163">
        <v>-0.01</v>
      </c>
    </row>
    <row r="2087" spans="1:2" x14ac:dyDescent="0.25">
      <c r="A2087" s="162">
        <v>41106</v>
      </c>
      <c r="B2087" s="163">
        <v>-0.02</v>
      </c>
    </row>
    <row r="2088" spans="1:2" x14ac:dyDescent="0.25">
      <c r="A2088" s="162">
        <v>41107</v>
      </c>
      <c r="B2088" s="163">
        <v>0</v>
      </c>
    </row>
    <row r="2089" spans="1:2" x14ac:dyDescent="0.25">
      <c r="A2089" s="162">
        <v>41108</v>
      </c>
      <c r="B2089" s="163">
        <v>0</v>
      </c>
    </row>
    <row r="2090" spans="1:2" x14ac:dyDescent="0.25">
      <c r="A2090" s="162">
        <v>41109</v>
      </c>
      <c r="B2090" s="163">
        <v>-0.01</v>
      </c>
    </row>
    <row r="2091" spans="1:2" x14ac:dyDescent="0.25">
      <c r="A2091" s="162">
        <v>41110</v>
      </c>
      <c r="B2091" s="163">
        <v>-0.08</v>
      </c>
    </row>
    <row r="2092" spans="1:2" x14ac:dyDescent="0.25">
      <c r="A2092" s="162">
        <v>41113</v>
      </c>
      <c r="B2092" s="163">
        <v>-0.09</v>
      </c>
    </row>
    <row r="2093" spans="1:2" x14ac:dyDescent="0.25">
      <c r="A2093" s="162">
        <v>41114</v>
      </c>
      <c r="B2093" s="163">
        <v>-0.11</v>
      </c>
    </row>
    <row r="2094" spans="1:2" x14ac:dyDescent="0.25">
      <c r="A2094" s="162">
        <v>41115</v>
      </c>
      <c r="B2094" s="163">
        <v>-0.1</v>
      </c>
    </row>
    <row r="2095" spans="1:2" x14ac:dyDescent="0.25">
      <c r="A2095" s="162">
        <v>41116</v>
      </c>
      <c r="B2095" s="163">
        <v>-0.09</v>
      </c>
    </row>
    <row r="2096" spans="1:2" x14ac:dyDescent="0.25">
      <c r="A2096" s="162">
        <v>41117</v>
      </c>
      <c r="B2096" s="163">
        <v>-0.01</v>
      </c>
    </row>
    <row r="2097" spans="1:2" x14ac:dyDescent="0.25">
      <c r="A2097" s="162">
        <v>41120</v>
      </c>
      <c r="B2097" s="163">
        <v>-0.05</v>
      </c>
    </row>
    <row r="2098" spans="1:2" x14ac:dyDescent="0.25">
      <c r="A2098" s="162">
        <v>41121</v>
      </c>
      <c r="B2098" s="163">
        <v>-0.09</v>
      </c>
    </row>
    <row r="2099" spans="1:2" x14ac:dyDescent="0.25">
      <c r="A2099" s="162">
        <v>41122</v>
      </c>
      <c r="B2099" s="163">
        <v>-7.0000000000000007E-2</v>
      </c>
    </row>
    <row r="2100" spans="1:2" x14ac:dyDescent="0.25">
      <c r="A2100" s="162">
        <v>41123</v>
      </c>
      <c r="B2100" s="163">
        <v>-0.1</v>
      </c>
    </row>
    <row r="2101" spans="1:2" x14ac:dyDescent="0.25">
      <c r="A2101" s="162">
        <v>41124</v>
      </c>
      <c r="B2101" s="163">
        <v>-0.05</v>
      </c>
    </row>
    <row r="2102" spans="1:2" x14ac:dyDescent="0.25">
      <c r="A2102" s="162">
        <v>41127</v>
      </c>
      <c r="B2102" s="163">
        <v>-0.06</v>
      </c>
    </row>
    <row r="2103" spans="1:2" x14ac:dyDescent="0.25">
      <c r="A2103" s="162">
        <v>41128</v>
      </c>
      <c r="B2103" s="163">
        <v>-0.03</v>
      </c>
    </row>
    <row r="2104" spans="1:2" x14ac:dyDescent="0.25">
      <c r="A2104" s="162">
        <v>41129</v>
      </c>
      <c r="B2104" s="163">
        <v>0.01</v>
      </c>
    </row>
    <row r="2105" spans="1:2" x14ac:dyDescent="0.25">
      <c r="A2105" s="162">
        <v>41130</v>
      </c>
      <c r="B2105" s="163">
        <v>0.04</v>
      </c>
    </row>
    <row r="2106" spans="1:2" x14ac:dyDescent="0.25">
      <c r="A2106" s="162">
        <v>41131</v>
      </c>
      <c r="B2106" s="163">
        <v>0.03</v>
      </c>
    </row>
    <row r="2107" spans="1:2" x14ac:dyDescent="0.25">
      <c r="A2107" s="162">
        <v>41134</v>
      </c>
      <c r="B2107" s="163">
        <v>0.05</v>
      </c>
    </row>
    <row r="2108" spans="1:2" x14ac:dyDescent="0.25">
      <c r="A2108" s="162">
        <v>41135</v>
      </c>
      <c r="B2108" s="163">
        <v>0.11</v>
      </c>
    </row>
    <row r="2109" spans="1:2" x14ac:dyDescent="0.25">
      <c r="A2109" s="162">
        <v>41136</v>
      </c>
      <c r="B2109" s="163">
        <v>0.2</v>
      </c>
    </row>
    <row r="2110" spans="1:2" x14ac:dyDescent="0.25">
      <c r="A2110" s="162">
        <v>41137</v>
      </c>
      <c r="B2110" s="163">
        <v>0.24</v>
      </c>
    </row>
    <row r="2111" spans="1:2" x14ac:dyDescent="0.25">
      <c r="A2111" s="162">
        <v>41138</v>
      </c>
      <c r="B2111" s="163">
        <v>0.23</v>
      </c>
    </row>
    <row r="2112" spans="1:2" x14ac:dyDescent="0.25">
      <c r="A2112" s="162">
        <v>41141</v>
      </c>
      <c r="B2112" s="163">
        <v>0.23</v>
      </c>
    </row>
    <row r="2113" spans="1:2" x14ac:dyDescent="0.25">
      <c r="A2113" s="162">
        <v>41142</v>
      </c>
      <c r="B2113" s="163">
        <v>0.21</v>
      </c>
    </row>
    <row r="2114" spans="1:2" x14ac:dyDescent="0.25">
      <c r="A2114" s="162">
        <v>41143</v>
      </c>
      <c r="B2114" s="163">
        <v>0.12</v>
      </c>
    </row>
    <row r="2115" spans="1:2" x14ac:dyDescent="0.25">
      <c r="A2115" s="162">
        <v>41144</v>
      </c>
      <c r="B2115" s="163">
        <v>0.06</v>
      </c>
    </row>
    <row r="2116" spans="1:2" x14ac:dyDescent="0.25">
      <c r="A2116" s="162">
        <v>41145</v>
      </c>
      <c r="B2116" s="163">
        <v>7.0000000000000007E-2</v>
      </c>
    </row>
    <row r="2117" spans="1:2" x14ac:dyDescent="0.25">
      <c r="A2117" s="162">
        <v>41148</v>
      </c>
      <c r="B2117" s="163">
        <v>0.03</v>
      </c>
    </row>
    <row r="2118" spans="1:2" x14ac:dyDescent="0.25">
      <c r="A2118" s="162">
        <v>41149</v>
      </c>
      <c r="B2118" s="163">
        <v>-0.01</v>
      </c>
    </row>
    <row r="2119" spans="1:2" x14ac:dyDescent="0.25">
      <c r="A2119" s="162">
        <v>41150</v>
      </c>
      <c r="B2119" s="163">
        <v>0.02</v>
      </c>
    </row>
    <row r="2120" spans="1:2" x14ac:dyDescent="0.25">
      <c r="A2120" s="162">
        <v>41151</v>
      </c>
      <c r="B2120" s="163">
        <v>0.05</v>
      </c>
    </row>
    <row r="2121" spans="1:2" x14ac:dyDescent="0.25">
      <c r="A2121" s="162">
        <v>41152</v>
      </c>
      <c r="B2121" s="163">
        <v>0</v>
      </c>
    </row>
    <row r="2122" spans="1:2" x14ac:dyDescent="0.25">
      <c r="A2122" s="162">
        <v>41155</v>
      </c>
      <c r="B2122" s="163" t="e">
        <f>NA()</f>
        <v>#N/A</v>
      </c>
    </row>
    <row r="2123" spans="1:2" x14ac:dyDescent="0.25">
      <c r="A2123" s="162">
        <v>41156</v>
      </c>
      <c r="B2123" s="163">
        <v>0</v>
      </c>
    </row>
    <row r="2124" spans="1:2" x14ac:dyDescent="0.25">
      <c r="A2124" s="162">
        <v>41157</v>
      </c>
      <c r="B2124" s="163">
        <v>-0.01</v>
      </c>
    </row>
    <row r="2125" spans="1:2" x14ac:dyDescent="0.25">
      <c r="A2125" s="162">
        <v>41158</v>
      </c>
      <c r="B2125" s="163">
        <v>0.05</v>
      </c>
    </row>
    <row r="2126" spans="1:2" x14ac:dyDescent="0.25">
      <c r="A2126" s="162">
        <v>41159</v>
      </c>
      <c r="B2126" s="164">
        <v>0.02</v>
      </c>
    </row>
    <row r="2127" spans="1:2" x14ac:dyDescent="0.25">
      <c r="A2127" s="162">
        <v>41162</v>
      </c>
      <c r="B2127" s="163">
        <v>0.01</v>
      </c>
    </row>
    <row r="2128" spans="1:2" x14ac:dyDescent="0.25">
      <c r="A2128" s="162">
        <v>41163</v>
      </c>
      <c r="B2128" s="163">
        <v>0.02</v>
      </c>
    </row>
    <row r="2129" spans="1:2" x14ac:dyDescent="0.25">
      <c r="A2129" s="162">
        <v>41164</v>
      </c>
      <c r="B2129" s="163">
        <v>0.1</v>
      </c>
    </row>
    <row r="2130" spans="1:2" x14ac:dyDescent="0.25">
      <c r="A2130" s="162">
        <v>41165</v>
      </c>
      <c r="B2130" s="163">
        <v>0.03</v>
      </c>
    </row>
    <row r="2131" spans="1:2" x14ac:dyDescent="0.25">
      <c r="A2131" s="162">
        <v>41166</v>
      </c>
      <c r="B2131" s="163">
        <v>0.02</v>
      </c>
    </row>
    <row r="2132" spans="1:2" x14ac:dyDescent="0.25">
      <c r="A2132" s="162">
        <v>41169</v>
      </c>
      <c r="B2132" s="163">
        <v>0.04</v>
      </c>
    </row>
    <row r="2133" spans="1:2" x14ac:dyDescent="0.25">
      <c r="A2133" s="162">
        <v>41170</v>
      </c>
      <c r="B2133" s="163">
        <v>0.04</v>
      </c>
    </row>
    <row r="2134" spans="1:2" x14ac:dyDescent="0.25">
      <c r="A2134" s="162">
        <v>41171</v>
      </c>
      <c r="B2134" s="163">
        <v>0.01</v>
      </c>
    </row>
    <row r="2135" spans="1:2" x14ac:dyDescent="0.25">
      <c r="A2135" s="162">
        <v>41172</v>
      </c>
      <c r="B2135" s="163">
        <v>0.05</v>
      </c>
    </row>
    <row r="2136" spans="1:2" x14ac:dyDescent="0.25">
      <c r="A2136" s="162">
        <v>41173</v>
      </c>
      <c r="B2136" s="163">
        <v>0.05</v>
      </c>
    </row>
    <row r="2137" spans="1:2" x14ac:dyDescent="0.25">
      <c r="A2137" s="162">
        <v>41176</v>
      </c>
      <c r="B2137" s="163">
        <v>0.04</v>
      </c>
    </row>
    <row r="2138" spans="1:2" x14ac:dyDescent="0.25">
      <c r="A2138" s="162">
        <v>41177</v>
      </c>
      <c r="B2138" s="163">
        <v>0.01</v>
      </c>
    </row>
    <row r="2139" spans="1:2" x14ac:dyDescent="0.25">
      <c r="A2139" s="162">
        <v>41178</v>
      </c>
      <c r="B2139" s="163">
        <v>-0.04</v>
      </c>
    </row>
    <row r="2140" spans="1:2" x14ac:dyDescent="0.25">
      <c r="A2140" s="162">
        <v>41179</v>
      </c>
      <c r="B2140" s="163">
        <v>-0.02</v>
      </c>
    </row>
    <row r="2141" spans="1:2" x14ac:dyDescent="0.25">
      <c r="A2141" s="162">
        <v>41180</v>
      </c>
      <c r="B2141" s="163">
        <v>-0.01</v>
      </c>
    </row>
    <row r="2142" spans="1:2" x14ac:dyDescent="0.25">
      <c r="A2142" s="162">
        <v>41183</v>
      </c>
      <c r="B2142" s="163">
        <v>-0.02</v>
      </c>
    </row>
    <row r="2143" spans="1:2" x14ac:dyDescent="0.25">
      <c r="A2143" s="162">
        <v>41184</v>
      </c>
      <c r="B2143" s="163">
        <v>-7.0000000000000007E-2</v>
      </c>
    </row>
    <row r="2144" spans="1:2" x14ac:dyDescent="0.25">
      <c r="A2144" s="162">
        <v>41185</v>
      </c>
      <c r="B2144" s="163">
        <v>-0.08</v>
      </c>
    </row>
    <row r="2145" spans="1:2" x14ac:dyDescent="0.25">
      <c r="A2145" s="162">
        <v>41186</v>
      </c>
      <c r="B2145" s="163">
        <v>-0.09</v>
      </c>
    </row>
    <row r="2146" spans="1:2" x14ac:dyDescent="0.25">
      <c r="A2146" s="162">
        <v>41187</v>
      </c>
      <c r="B2146" s="163">
        <v>-0.05</v>
      </c>
    </row>
    <row r="2147" spans="1:2" x14ac:dyDescent="0.25">
      <c r="A2147" s="162">
        <v>41190</v>
      </c>
      <c r="B2147" s="163" t="e">
        <f>NA()</f>
        <v>#N/A</v>
      </c>
    </row>
    <row r="2148" spans="1:2" x14ac:dyDescent="0.25">
      <c r="A2148" s="162">
        <v>41191</v>
      </c>
      <c r="B2148" s="163">
        <v>-0.05</v>
      </c>
    </row>
    <row r="2149" spans="1:2" x14ac:dyDescent="0.25">
      <c r="A2149" s="162">
        <v>41192</v>
      </c>
      <c r="B2149" s="163">
        <v>-0.04</v>
      </c>
    </row>
    <row r="2150" spans="1:2" x14ac:dyDescent="0.25">
      <c r="A2150" s="162">
        <v>41193</v>
      </c>
      <c r="B2150" s="163">
        <v>-0.02</v>
      </c>
    </row>
    <row r="2151" spans="1:2" x14ac:dyDescent="0.25">
      <c r="A2151" s="162">
        <v>41194</v>
      </c>
      <c r="B2151" s="164">
        <v>-0.02</v>
      </c>
    </row>
    <row r="2152" spans="1:2" x14ac:dyDescent="0.25">
      <c r="A2152" s="162">
        <v>41197</v>
      </c>
      <c r="B2152" s="163">
        <v>-0.03</v>
      </c>
    </row>
    <row r="2153" spans="1:2" x14ac:dyDescent="0.25">
      <c r="A2153" s="162">
        <v>41198</v>
      </c>
      <c r="B2153" s="163">
        <v>0.04</v>
      </c>
    </row>
    <row r="2154" spans="1:2" x14ac:dyDescent="0.25">
      <c r="A2154" s="162">
        <v>41199</v>
      </c>
      <c r="B2154" s="163">
        <v>0.09</v>
      </c>
    </row>
    <row r="2155" spans="1:2" x14ac:dyDescent="0.25">
      <c r="A2155" s="162">
        <v>41200</v>
      </c>
      <c r="B2155" s="163">
        <v>0.08</v>
      </c>
    </row>
    <row r="2156" spans="1:2" x14ac:dyDescent="0.25">
      <c r="A2156" s="162">
        <v>41201</v>
      </c>
      <c r="B2156" s="163">
        <v>0.01</v>
      </c>
    </row>
    <row r="2157" spans="1:2" x14ac:dyDescent="0.25">
      <c r="A2157" s="162">
        <v>41204</v>
      </c>
      <c r="B2157" s="163">
        <v>0.01</v>
      </c>
    </row>
    <row r="2158" spans="1:2" x14ac:dyDescent="0.25">
      <c r="A2158" s="162">
        <v>41205</v>
      </c>
      <c r="B2158" s="163">
        <v>-0.01</v>
      </c>
    </row>
    <row r="2159" spans="1:2" x14ac:dyDescent="0.25">
      <c r="A2159" s="162">
        <v>41206</v>
      </c>
      <c r="B2159" s="163">
        <v>0.01</v>
      </c>
    </row>
    <row r="2160" spans="1:2" x14ac:dyDescent="0.25">
      <c r="A2160" s="162">
        <v>41207</v>
      </c>
      <c r="B2160" s="163">
        <v>0.06</v>
      </c>
    </row>
    <row r="2161" spans="1:2" x14ac:dyDescent="0.25">
      <c r="A2161" s="162">
        <v>41208</v>
      </c>
      <c r="B2161" s="163">
        <v>0.01</v>
      </c>
    </row>
    <row r="2162" spans="1:2" x14ac:dyDescent="0.25">
      <c r="A2162" s="162">
        <v>41211</v>
      </c>
      <c r="B2162" s="163">
        <v>-0.03</v>
      </c>
    </row>
    <row r="2163" spans="1:2" x14ac:dyDescent="0.25">
      <c r="A2163" s="162">
        <v>41212</v>
      </c>
      <c r="B2163" s="163" t="e">
        <f>NA()</f>
        <v>#N/A</v>
      </c>
    </row>
    <row r="2164" spans="1:2" x14ac:dyDescent="0.25">
      <c r="A2164" s="162">
        <v>41213</v>
      </c>
      <c r="B2164" s="163">
        <v>-7.0000000000000007E-2</v>
      </c>
    </row>
    <row r="2165" spans="1:2" x14ac:dyDescent="0.25">
      <c r="A2165" s="162">
        <v>41214</v>
      </c>
      <c r="B2165" s="163">
        <v>-0.06</v>
      </c>
    </row>
    <row r="2166" spans="1:2" x14ac:dyDescent="0.25">
      <c r="A2166" s="162">
        <v>41215</v>
      </c>
      <c r="B2166" s="163">
        <v>-0.02</v>
      </c>
    </row>
    <row r="2167" spans="1:2" x14ac:dyDescent="0.25">
      <c r="A2167" s="162">
        <v>41218</v>
      </c>
      <c r="B2167" s="164">
        <v>-0.05</v>
      </c>
    </row>
    <row r="2168" spans="1:2" x14ac:dyDescent="0.25">
      <c r="A2168" s="162">
        <v>41219</v>
      </c>
      <c r="B2168" s="163">
        <v>-0.01</v>
      </c>
    </row>
    <row r="2169" spans="1:2" x14ac:dyDescent="0.25">
      <c r="A2169" s="162">
        <v>41220</v>
      </c>
      <c r="B2169" s="163">
        <v>-0.1</v>
      </c>
    </row>
    <row r="2170" spans="1:2" x14ac:dyDescent="0.25">
      <c r="A2170" s="162">
        <v>41221</v>
      </c>
      <c r="B2170" s="163">
        <v>-0.17</v>
      </c>
    </row>
    <row r="2171" spans="1:2" x14ac:dyDescent="0.25">
      <c r="A2171" s="162">
        <v>41222</v>
      </c>
      <c r="B2171" s="163">
        <v>-0.14000000000000001</v>
      </c>
    </row>
    <row r="2172" spans="1:2" x14ac:dyDescent="0.25">
      <c r="A2172" s="162">
        <v>41225</v>
      </c>
      <c r="B2172" s="163" t="e">
        <f>NA()</f>
        <v>#N/A</v>
      </c>
    </row>
    <row r="2173" spans="1:2" x14ac:dyDescent="0.25">
      <c r="A2173" s="162">
        <v>41226</v>
      </c>
      <c r="B2173" s="163">
        <v>-0.16</v>
      </c>
    </row>
    <row r="2174" spans="1:2" x14ac:dyDescent="0.25">
      <c r="A2174" s="162">
        <v>41227</v>
      </c>
      <c r="B2174" s="163">
        <v>-0.14000000000000001</v>
      </c>
    </row>
    <row r="2175" spans="1:2" x14ac:dyDescent="0.25">
      <c r="A2175" s="162">
        <v>41228</v>
      </c>
      <c r="B2175" s="163">
        <v>-0.12</v>
      </c>
    </row>
    <row r="2176" spans="1:2" x14ac:dyDescent="0.25">
      <c r="A2176" s="162">
        <v>41229</v>
      </c>
      <c r="B2176" s="164">
        <v>-0.12</v>
      </c>
    </row>
    <row r="2177" spans="1:2" x14ac:dyDescent="0.25">
      <c r="A2177" s="162">
        <v>41232</v>
      </c>
      <c r="B2177" s="163">
        <v>-0.09</v>
      </c>
    </row>
    <row r="2178" spans="1:2" x14ac:dyDescent="0.25">
      <c r="A2178" s="162">
        <v>41233</v>
      </c>
      <c r="B2178" s="163">
        <v>-0.03</v>
      </c>
    </row>
    <row r="2179" spans="1:2" x14ac:dyDescent="0.25">
      <c r="A2179" s="162">
        <v>41234</v>
      </c>
      <c r="B2179" s="163">
        <v>0</v>
      </c>
    </row>
    <row r="2180" spans="1:2" x14ac:dyDescent="0.25">
      <c r="A2180" s="162">
        <v>41235</v>
      </c>
      <c r="B2180" s="163" t="e">
        <f>NA()</f>
        <v>#N/A</v>
      </c>
    </row>
    <row r="2181" spans="1:2" x14ac:dyDescent="0.25">
      <c r="A2181" s="162">
        <v>41236</v>
      </c>
      <c r="B2181" s="163">
        <v>0</v>
      </c>
    </row>
    <row r="2182" spans="1:2" x14ac:dyDescent="0.25">
      <c r="A2182" s="162">
        <v>41239</v>
      </c>
      <c r="B2182" s="163">
        <v>0</v>
      </c>
    </row>
    <row r="2183" spans="1:2" x14ac:dyDescent="0.25">
      <c r="A2183" s="162">
        <v>41240</v>
      </c>
      <c r="B2183" s="163">
        <v>0.02</v>
      </c>
    </row>
    <row r="2184" spans="1:2" x14ac:dyDescent="0.25">
      <c r="A2184" s="162">
        <v>41241</v>
      </c>
      <c r="B2184" s="164">
        <v>0.02</v>
      </c>
    </row>
    <row r="2185" spans="1:2" x14ac:dyDescent="0.25">
      <c r="A2185" s="162">
        <v>41242</v>
      </c>
      <c r="B2185" s="163">
        <v>-0.01</v>
      </c>
    </row>
    <row r="2186" spans="1:2" x14ac:dyDescent="0.25">
      <c r="A2186" s="162">
        <v>41243</v>
      </c>
      <c r="B2186" s="163">
        <v>-0.01</v>
      </c>
    </row>
    <row r="2187" spans="1:2" x14ac:dyDescent="0.25">
      <c r="A2187" s="162">
        <v>41246</v>
      </c>
      <c r="B2187" s="163">
        <v>-0.05</v>
      </c>
    </row>
    <row r="2188" spans="1:2" x14ac:dyDescent="0.25">
      <c r="A2188" s="162">
        <v>41247</v>
      </c>
      <c r="B2188" s="163">
        <v>-0.08</v>
      </c>
    </row>
    <row r="2189" spans="1:2" x14ac:dyDescent="0.25">
      <c r="A2189" s="162">
        <v>41248</v>
      </c>
      <c r="B2189" s="163">
        <v>-0.1</v>
      </c>
    </row>
    <row r="2190" spans="1:2" x14ac:dyDescent="0.25">
      <c r="A2190" s="162">
        <v>41249</v>
      </c>
      <c r="B2190" s="163">
        <v>-0.12</v>
      </c>
    </row>
    <row r="2191" spans="1:2" x14ac:dyDescent="0.25">
      <c r="A2191" s="162">
        <v>41250</v>
      </c>
      <c r="B2191" s="163">
        <v>-0.11</v>
      </c>
    </row>
    <row r="2192" spans="1:2" x14ac:dyDescent="0.25">
      <c r="A2192" s="162">
        <v>41253</v>
      </c>
      <c r="B2192" s="163">
        <v>-0.16</v>
      </c>
    </row>
    <row r="2193" spans="1:2" x14ac:dyDescent="0.25">
      <c r="A2193" s="162">
        <v>41254</v>
      </c>
      <c r="B2193" s="163">
        <v>-7.0000000000000007E-2</v>
      </c>
    </row>
    <row r="2194" spans="1:2" x14ac:dyDescent="0.25">
      <c r="A2194" s="162">
        <v>41255</v>
      </c>
      <c r="B2194" s="163">
        <v>-0.01</v>
      </c>
    </row>
    <row r="2195" spans="1:2" x14ac:dyDescent="0.25">
      <c r="A2195" s="162">
        <v>41256</v>
      </c>
      <c r="B2195" s="163">
        <v>0.03</v>
      </c>
    </row>
    <row r="2196" spans="1:2" x14ac:dyDescent="0.25">
      <c r="A2196" s="162">
        <v>41257</v>
      </c>
      <c r="B2196" s="163">
        <v>0</v>
      </c>
    </row>
    <row r="2197" spans="1:2" x14ac:dyDescent="0.25">
      <c r="A2197" s="162">
        <v>41260</v>
      </c>
      <c r="B2197" s="163">
        <v>0.05</v>
      </c>
    </row>
    <row r="2198" spans="1:2" x14ac:dyDescent="0.25">
      <c r="A2198" s="162">
        <v>41261</v>
      </c>
      <c r="B2198" s="163">
        <v>0.1</v>
      </c>
    </row>
    <row r="2199" spans="1:2" x14ac:dyDescent="0.25">
      <c r="A2199" s="162">
        <v>41262</v>
      </c>
      <c r="B2199" s="163">
        <v>0.14000000000000001</v>
      </c>
    </row>
    <row r="2200" spans="1:2" x14ac:dyDescent="0.25">
      <c r="A2200" s="162">
        <v>41263</v>
      </c>
      <c r="B2200" s="163">
        <v>0.06</v>
      </c>
    </row>
    <row r="2201" spans="1:2" x14ac:dyDescent="0.25">
      <c r="A2201" s="162">
        <v>41264</v>
      </c>
      <c r="B2201" s="163">
        <v>0.02</v>
      </c>
    </row>
    <row r="2202" spans="1:2" x14ac:dyDescent="0.25">
      <c r="A2202" s="162">
        <v>41267</v>
      </c>
      <c r="B2202" s="163">
        <v>0.1</v>
      </c>
    </row>
    <row r="2203" spans="1:2" x14ac:dyDescent="0.25">
      <c r="A2203" s="162">
        <v>41268</v>
      </c>
      <c r="B2203" s="163" t="e">
        <f>NA()</f>
        <v>#N/A</v>
      </c>
    </row>
    <row r="2204" spans="1:2" x14ac:dyDescent="0.25">
      <c r="A2204" s="162">
        <v>41269</v>
      </c>
      <c r="B2204" s="163">
        <v>0.05</v>
      </c>
    </row>
    <row r="2205" spans="1:2" x14ac:dyDescent="0.25">
      <c r="A2205" s="162">
        <v>41270</v>
      </c>
      <c r="B2205" s="163">
        <v>0.05</v>
      </c>
    </row>
    <row r="2206" spans="1:2" x14ac:dyDescent="0.25">
      <c r="A2206" s="162">
        <v>41271</v>
      </c>
      <c r="B2206" s="163">
        <v>0.01</v>
      </c>
    </row>
    <row r="2207" spans="1:2" x14ac:dyDescent="0.25">
      <c r="A2207" s="162">
        <v>41274</v>
      </c>
      <c r="B2207" s="164">
        <v>0.15</v>
      </c>
    </row>
    <row r="2208" spans="1:2" x14ac:dyDescent="0.25">
      <c r="A2208" s="162">
        <v>41275</v>
      </c>
      <c r="B2208" s="163" t="e">
        <f>NA()</f>
        <v>#N/A</v>
      </c>
    </row>
    <row r="2209" spans="1:2" x14ac:dyDescent="0.25">
      <c r="A2209" s="162">
        <v>41276</v>
      </c>
      <c r="B2209" s="163">
        <v>0.22</v>
      </c>
    </row>
    <row r="2210" spans="1:2" x14ac:dyDescent="0.25">
      <c r="A2210" s="162">
        <v>41277</v>
      </c>
      <c r="B2210" s="163">
        <v>0.31</v>
      </c>
    </row>
    <row r="2211" spans="1:2" x14ac:dyDescent="0.25">
      <c r="A2211" s="162">
        <v>41278</v>
      </c>
      <c r="B2211" s="163">
        <v>0.27</v>
      </c>
    </row>
    <row r="2212" spans="1:2" x14ac:dyDescent="0.25">
      <c r="A2212" s="162">
        <v>41281</v>
      </c>
      <c r="B2212" s="164">
        <v>0.18</v>
      </c>
    </row>
    <row r="2213" spans="1:2" x14ac:dyDescent="0.25">
      <c r="A2213" s="162">
        <v>41282</v>
      </c>
      <c r="B2213" s="163">
        <v>0.24</v>
      </c>
    </row>
    <row r="2214" spans="1:2" x14ac:dyDescent="0.25">
      <c r="A2214" s="162">
        <v>41283</v>
      </c>
      <c r="B2214" s="163">
        <v>0.2</v>
      </c>
    </row>
    <row r="2215" spans="1:2" x14ac:dyDescent="0.25">
      <c r="A2215" s="162">
        <v>41284</v>
      </c>
      <c r="B2215" s="163">
        <v>0.14000000000000001</v>
      </c>
    </row>
    <row r="2216" spans="1:2" x14ac:dyDescent="0.25">
      <c r="A2216" s="162">
        <v>41285</v>
      </c>
      <c r="B2216" s="163">
        <v>0.16</v>
      </c>
    </row>
    <row r="2217" spans="1:2" x14ac:dyDescent="0.25">
      <c r="A2217" s="162">
        <v>41288</v>
      </c>
      <c r="B2217" s="163">
        <v>0.1</v>
      </c>
    </row>
    <row r="2218" spans="1:2" x14ac:dyDescent="0.25">
      <c r="A2218" s="162">
        <v>41289</v>
      </c>
      <c r="B2218" s="163">
        <v>0.17</v>
      </c>
    </row>
    <row r="2219" spans="1:2" x14ac:dyDescent="0.25">
      <c r="A2219" s="162">
        <v>41290</v>
      </c>
      <c r="B2219" s="163">
        <v>0.19</v>
      </c>
    </row>
    <row r="2220" spans="1:2" x14ac:dyDescent="0.25">
      <c r="A2220" s="162">
        <v>41291</v>
      </c>
      <c r="B2220" s="163">
        <v>0.17</v>
      </c>
    </row>
    <row r="2221" spans="1:2" x14ac:dyDescent="0.25">
      <c r="A2221" s="162">
        <v>41292</v>
      </c>
      <c r="B2221" s="163">
        <v>0.16</v>
      </c>
    </row>
    <row r="2222" spans="1:2" x14ac:dyDescent="0.25">
      <c r="A2222" s="162">
        <v>41295</v>
      </c>
      <c r="B2222" s="163" t="e">
        <f>NA()</f>
        <v>#N/A</v>
      </c>
    </row>
    <row r="2223" spans="1:2" x14ac:dyDescent="0.25">
      <c r="A2223" s="162">
        <v>41296</v>
      </c>
      <c r="B2223" s="163">
        <v>0.09</v>
      </c>
    </row>
    <row r="2224" spans="1:2" x14ac:dyDescent="0.25">
      <c r="A2224" s="162">
        <v>41297</v>
      </c>
      <c r="B2224" s="163">
        <v>0.2</v>
      </c>
    </row>
    <row r="2225" spans="1:2" x14ac:dyDescent="0.25">
      <c r="A2225" s="162">
        <v>41298</v>
      </c>
      <c r="B2225" s="163">
        <v>0.25</v>
      </c>
    </row>
    <row r="2226" spans="1:2" x14ac:dyDescent="0.25">
      <c r="A2226" s="162">
        <v>41299</v>
      </c>
      <c r="B2226" s="164">
        <v>0.2</v>
      </c>
    </row>
    <row r="2227" spans="1:2" x14ac:dyDescent="0.25">
      <c r="A2227" s="162">
        <v>41302</v>
      </c>
      <c r="B2227" s="163">
        <v>0.21</v>
      </c>
    </row>
    <row r="2228" spans="1:2" x14ac:dyDescent="0.25">
      <c r="A2228" s="162">
        <v>41303</v>
      </c>
      <c r="B2228" s="163">
        <v>0.24</v>
      </c>
    </row>
    <row r="2229" spans="1:2" x14ac:dyDescent="0.25">
      <c r="A2229" s="162">
        <v>41304</v>
      </c>
      <c r="B2229" s="163">
        <v>0.22</v>
      </c>
    </row>
    <row r="2230" spans="1:2" x14ac:dyDescent="0.25">
      <c r="A2230" s="162">
        <v>41305</v>
      </c>
      <c r="B2230" s="163">
        <v>0.22</v>
      </c>
    </row>
    <row r="2231" spans="1:2" x14ac:dyDescent="0.25">
      <c r="A2231" s="162">
        <v>41306</v>
      </c>
      <c r="B2231" s="163">
        <v>0.25</v>
      </c>
    </row>
    <row r="2232" spans="1:2" x14ac:dyDescent="0.25">
      <c r="A2232" s="162">
        <v>41309</v>
      </c>
      <c r="B2232" s="163">
        <v>0.2</v>
      </c>
    </row>
    <row r="2233" spans="1:2" x14ac:dyDescent="0.25">
      <c r="A2233" s="162">
        <v>41310</v>
      </c>
      <c r="B2233" s="163">
        <v>0.23</v>
      </c>
    </row>
    <row r="2234" spans="1:2" x14ac:dyDescent="0.25">
      <c r="A2234" s="162">
        <v>41311</v>
      </c>
      <c r="B2234" s="163">
        <v>0.22</v>
      </c>
    </row>
    <row r="2235" spans="1:2" x14ac:dyDescent="0.25">
      <c r="A2235" s="162">
        <v>41312</v>
      </c>
      <c r="B2235" s="163">
        <v>0.2</v>
      </c>
    </row>
    <row r="2236" spans="1:2" x14ac:dyDescent="0.25">
      <c r="A2236" s="162">
        <v>41313</v>
      </c>
      <c r="B2236" s="163">
        <v>0.17</v>
      </c>
    </row>
    <row r="2237" spans="1:2" x14ac:dyDescent="0.25">
      <c r="A2237" s="162">
        <v>41316</v>
      </c>
      <c r="B2237" s="163">
        <v>0.2</v>
      </c>
    </row>
    <row r="2238" spans="1:2" x14ac:dyDescent="0.25">
      <c r="A2238" s="162">
        <v>41317</v>
      </c>
      <c r="B2238" s="163">
        <v>0.19</v>
      </c>
    </row>
    <row r="2239" spans="1:2" x14ac:dyDescent="0.25">
      <c r="A2239" s="162">
        <v>41318</v>
      </c>
      <c r="B2239" s="163">
        <v>0.22</v>
      </c>
    </row>
    <row r="2240" spans="1:2" x14ac:dyDescent="0.25">
      <c r="A2240" s="162">
        <v>41319</v>
      </c>
      <c r="B2240" s="163">
        <v>0.21</v>
      </c>
    </row>
    <row r="2241" spans="1:2" x14ac:dyDescent="0.25">
      <c r="A2241" s="162">
        <v>41320</v>
      </c>
      <c r="B2241" s="163">
        <v>0.23</v>
      </c>
    </row>
    <row r="2242" spans="1:2" x14ac:dyDescent="0.25">
      <c r="A2242" s="162">
        <v>41323</v>
      </c>
      <c r="B2242" s="163" t="e">
        <f>NA()</f>
        <v>#N/A</v>
      </c>
    </row>
    <row r="2243" spans="1:2" x14ac:dyDescent="0.25">
      <c r="A2243" s="162">
        <v>41324</v>
      </c>
      <c r="B2243" s="163">
        <v>0.23</v>
      </c>
    </row>
    <row r="2244" spans="1:2" x14ac:dyDescent="0.25">
      <c r="A2244" s="162">
        <v>41325</v>
      </c>
      <c r="B2244" s="163">
        <v>0.23</v>
      </c>
    </row>
    <row r="2245" spans="1:2" x14ac:dyDescent="0.25">
      <c r="A2245" s="162">
        <v>41326</v>
      </c>
      <c r="B2245" s="163">
        <v>0.21</v>
      </c>
    </row>
    <row r="2246" spans="1:2" x14ac:dyDescent="0.25">
      <c r="A2246" s="162">
        <v>41327</v>
      </c>
      <c r="B2246" s="164">
        <v>0.18</v>
      </c>
    </row>
    <row r="2247" spans="1:2" x14ac:dyDescent="0.25">
      <c r="A2247" s="162">
        <v>41330</v>
      </c>
      <c r="B2247" s="163">
        <v>0.14000000000000001</v>
      </c>
    </row>
    <row r="2248" spans="1:2" x14ac:dyDescent="0.25">
      <c r="A2248" s="162">
        <v>41331</v>
      </c>
      <c r="B2248" s="163">
        <v>0.13</v>
      </c>
    </row>
    <row r="2249" spans="1:2" x14ac:dyDescent="0.25">
      <c r="A2249" s="162">
        <v>41332</v>
      </c>
      <c r="B2249" s="163">
        <v>0.14000000000000001</v>
      </c>
    </row>
    <row r="2250" spans="1:2" x14ac:dyDescent="0.25">
      <c r="A2250" s="162">
        <v>41333</v>
      </c>
      <c r="B2250" s="163">
        <v>0.12</v>
      </c>
    </row>
    <row r="2251" spans="1:2" x14ac:dyDescent="0.25">
      <c r="A2251" s="162">
        <v>41334</v>
      </c>
      <c r="B2251" s="163">
        <v>7.0000000000000007E-2</v>
      </c>
    </row>
    <row r="2252" spans="1:2" x14ac:dyDescent="0.25">
      <c r="A2252" s="162">
        <v>41337</v>
      </c>
      <c r="B2252" s="163">
        <v>0.12</v>
      </c>
    </row>
    <row r="2253" spans="1:2" x14ac:dyDescent="0.25">
      <c r="A2253" s="162">
        <v>41338</v>
      </c>
      <c r="B2253" s="163">
        <v>0.13</v>
      </c>
    </row>
    <row r="2254" spans="1:2" x14ac:dyDescent="0.25">
      <c r="A2254" s="162">
        <v>41339</v>
      </c>
      <c r="B2254" s="163">
        <v>0.17</v>
      </c>
    </row>
    <row r="2255" spans="1:2" x14ac:dyDescent="0.25">
      <c r="A2255" s="162">
        <v>41340</v>
      </c>
      <c r="B2255" s="163">
        <v>0.2</v>
      </c>
    </row>
    <row r="2256" spans="1:2" x14ac:dyDescent="0.25">
      <c r="A2256" s="162">
        <v>41341</v>
      </c>
      <c r="B2256" s="163">
        <v>0.25</v>
      </c>
    </row>
    <row r="2257" spans="1:2" x14ac:dyDescent="0.25">
      <c r="A2257" s="162">
        <v>41344</v>
      </c>
      <c r="B2257" s="163">
        <v>0.27</v>
      </c>
    </row>
    <row r="2258" spans="1:2" x14ac:dyDescent="0.25">
      <c r="A2258" s="162">
        <v>41345</v>
      </c>
      <c r="B2258" s="163">
        <v>0.25</v>
      </c>
    </row>
    <row r="2259" spans="1:2" x14ac:dyDescent="0.25">
      <c r="A2259" s="162">
        <v>41346</v>
      </c>
      <c r="B2259" s="163">
        <v>0.24</v>
      </c>
    </row>
    <row r="2260" spans="1:2" x14ac:dyDescent="0.25">
      <c r="A2260" s="162">
        <v>41347</v>
      </c>
      <c r="B2260" s="163">
        <v>0.25</v>
      </c>
    </row>
    <row r="2261" spans="1:2" x14ac:dyDescent="0.25">
      <c r="A2261" s="162">
        <v>41348</v>
      </c>
      <c r="B2261" s="163">
        <v>0.25</v>
      </c>
    </row>
    <row r="2262" spans="1:2" x14ac:dyDescent="0.25">
      <c r="A2262" s="162">
        <v>41351</v>
      </c>
      <c r="B2262" s="163">
        <v>0.2</v>
      </c>
    </row>
    <row r="2263" spans="1:2" x14ac:dyDescent="0.25">
      <c r="A2263" s="162">
        <v>41352</v>
      </c>
      <c r="B2263" s="163">
        <v>0.18</v>
      </c>
    </row>
    <row r="2264" spans="1:2" x14ac:dyDescent="0.25">
      <c r="A2264" s="162">
        <v>41353</v>
      </c>
      <c r="B2264" s="163">
        <v>0.23</v>
      </c>
    </row>
    <row r="2265" spans="1:2" x14ac:dyDescent="0.25">
      <c r="A2265" s="162">
        <v>41354</v>
      </c>
      <c r="B2265" s="163">
        <v>0.21</v>
      </c>
    </row>
    <row r="2266" spans="1:2" x14ac:dyDescent="0.25">
      <c r="A2266" s="162">
        <v>41355</v>
      </c>
      <c r="B2266" s="163">
        <v>0.19</v>
      </c>
    </row>
    <row r="2267" spans="1:2" x14ac:dyDescent="0.25">
      <c r="A2267" s="162">
        <v>41358</v>
      </c>
      <c r="B2267" s="163">
        <v>0.19</v>
      </c>
    </row>
    <row r="2268" spans="1:2" x14ac:dyDescent="0.25">
      <c r="A2268" s="162">
        <v>41359</v>
      </c>
      <c r="B2268" s="163">
        <v>0.18</v>
      </c>
    </row>
    <row r="2269" spans="1:2" x14ac:dyDescent="0.25">
      <c r="A2269" s="162">
        <v>41360</v>
      </c>
      <c r="B2269" s="163">
        <v>0.15</v>
      </c>
    </row>
    <row r="2270" spans="1:2" x14ac:dyDescent="0.25">
      <c r="A2270" s="162">
        <v>41361</v>
      </c>
      <c r="B2270" s="163">
        <v>0.16</v>
      </c>
    </row>
    <row r="2271" spans="1:2" x14ac:dyDescent="0.25">
      <c r="A2271" s="162">
        <v>41362</v>
      </c>
      <c r="B2271" s="163" t="e">
        <f>NA()</f>
        <v>#N/A</v>
      </c>
    </row>
    <row r="2272" spans="1:2" x14ac:dyDescent="0.25">
      <c r="A2272" s="162">
        <v>41365</v>
      </c>
      <c r="B2272" s="163">
        <v>0.14000000000000001</v>
      </c>
    </row>
    <row r="2273" spans="1:2" x14ac:dyDescent="0.25">
      <c r="A2273" s="162">
        <v>41366</v>
      </c>
      <c r="B2273" s="163">
        <v>0.16</v>
      </c>
    </row>
    <row r="2274" spans="1:2" x14ac:dyDescent="0.25">
      <c r="A2274" s="162">
        <v>41367</v>
      </c>
      <c r="B2274" s="163">
        <v>0.13</v>
      </c>
    </row>
    <row r="2275" spans="1:2" x14ac:dyDescent="0.25">
      <c r="A2275" s="162">
        <v>41368</v>
      </c>
      <c r="B2275" s="164">
        <v>0.06</v>
      </c>
    </row>
    <row r="2276" spans="1:2" x14ac:dyDescent="0.25">
      <c r="A2276" s="162">
        <v>41369</v>
      </c>
      <c r="B2276" s="163">
        <v>-0.03</v>
      </c>
    </row>
    <row r="2277" spans="1:2" x14ac:dyDescent="0.25">
      <c r="A2277" s="162">
        <v>41372</v>
      </c>
      <c r="B2277" s="163">
        <v>0.04</v>
      </c>
    </row>
    <row r="2278" spans="1:2" x14ac:dyDescent="0.25">
      <c r="A2278" s="162">
        <v>41373</v>
      </c>
      <c r="B2278" s="163">
        <v>0.05</v>
      </c>
    </row>
    <row r="2279" spans="1:2" x14ac:dyDescent="0.25">
      <c r="A2279" s="162">
        <v>41374</v>
      </c>
      <c r="B2279" s="163">
        <v>0.16</v>
      </c>
    </row>
    <row r="2280" spans="1:2" x14ac:dyDescent="0.25">
      <c r="A2280" s="162">
        <v>41375</v>
      </c>
      <c r="B2280" s="163">
        <v>0.11</v>
      </c>
    </row>
    <row r="2281" spans="1:2" x14ac:dyDescent="0.25">
      <c r="A2281" s="162">
        <v>41376</v>
      </c>
      <c r="B2281" s="163">
        <v>0.06</v>
      </c>
    </row>
    <row r="2282" spans="1:2" x14ac:dyDescent="0.25">
      <c r="A2282" s="162">
        <v>41379</v>
      </c>
      <c r="B2282" s="163">
        <v>0.03</v>
      </c>
    </row>
    <row r="2283" spans="1:2" x14ac:dyDescent="0.25">
      <c r="A2283" s="162">
        <v>41380</v>
      </c>
      <c r="B2283" s="163">
        <v>7.0000000000000007E-2</v>
      </c>
    </row>
    <row r="2284" spans="1:2" x14ac:dyDescent="0.25">
      <c r="A2284" s="162">
        <v>41381</v>
      </c>
      <c r="B2284" s="163">
        <v>0.08</v>
      </c>
    </row>
    <row r="2285" spans="1:2" x14ac:dyDescent="0.25">
      <c r="A2285" s="162">
        <v>41382</v>
      </c>
      <c r="B2285" s="163">
        <v>0.13</v>
      </c>
    </row>
    <row r="2286" spans="1:2" x14ac:dyDescent="0.25">
      <c r="A2286" s="162">
        <v>41383</v>
      </c>
      <c r="B2286" s="163">
        <v>7.0000000000000007E-2</v>
      </c>
    </row>
    <row r="2287" spans="1:2" x14ac:dyDescent="0.25">
      <c r="A2287" s="162">
        <v>41386</v>
      </c>
      <c r="B2287" s="163">
        <v>0.05</v>
      </c>
    </row>
    <row r="2288" spans="1:2" x14ac:dyDescent="0.25">
      <c r="A2288" s="162">
        <v>41387</v>
      </c>
      <c r="B2288" s="163">
        <v>0.04</v>
      </c>
    </row>
    <row r="2289" spans="1:2" x14ac:dyDescent="0.25">
      <c r="A2289" s="162">
        <v>41388</v>
      </c>
      <c r="B2289" s="163">
        <v>0.03</v>
      </c>
    </row>
    <row r="2290" spans="1:2" x14ac:dyDescent="0.25">
      <c r="A2290" s="162">
        <v>41389</v>
      </c>
      <c r="B2290" s="163">
        <v>0.03</v>
      </c>
    </row>
    <row r="2291" spans="1:2" x14ac:dyDescent="0.25">
      <c r="A2291" s="162">
        <v>41390</v>
      </c>
      <c r="B2291" s="163">
        <v>0.01</v>
      </c>
    </row>
    <row r="2292" spans="1:2" x14ac:dyDescent="0.25">
      <c r="A2292" s="162">
        <v>41393</v>
      </c>
      <c r="B2292" s="163">
        <v>0.03</v>
      </c>
    </row>
    <row r="2293" spans="1:2" x14ac:dyDescent="0.25">
      <c r="A2293" s="162">
        <v>41394</v>
      </c>
      <c r="B2293" s="163">
        <v>0.05</v>
      </c>
    </row>
    <row r="2294" spans="1:2" x14ac:dyDescent="0.25">
      <c r="A2294" s="162">
        <v>41395</v>
      </c>
      <c r="B2294" s="163">
        <v>0.04</v>
      </c>
    </row>
    <row r="2295" spans="1:2" x14ac:dyDescent="0.25">
      <c r="A2295" s="162">
        <v>41396</v>
      </c>
      <c r="B2295" s="163">
        <v>0.06</v>
      </c>
    </row>
    <row r="2296" spans="1:2" x14ac:dyDescent="0.25">
      <c r="A2296" s="162">
        <v>41397</v>
      </c>
      <c r="B2296" s="163">
        <v>0.18</v>
      </c>
    </row>
    <row r="2297" spans="1:2" x14ac:dyDescent="0.25">
      <c r="A2297" s="162">
        <v>41400</v>
      </c>
      <c r="B2297" s="163">
        <v>0.2</v>
      </c>
    </row>
    <row r="2298" spans="1:2" x14ac:dyDescent="0.25">
      <c r="A2298" s="162">
        <v>41401</v>
      </c>
      <c r="B2298" s="163">
        <v>0.22</v>
      </c>
    </row>
    <row r="2299" spans="1:2" x14ac:dyDescent="0.25">
      <c r="A2299" s="162">
        <v>41402</v>
      </c>
      <c r="B2299" s="163">
        <v>0.23</v>
      </c>
    </row>
    <row r="2300" spans="1:2" x14ac:dyDescent="0.25">
      <c r="A2300" s="162">
        <v>41403</v>
      </c>
      <c r="B2300" s="163">
        <v>0.22</v>
      </c>
    </row>
    <row r="2301" spans="1:2" x14ac:dyDescent="0.25">
      <c r="A2301" s="162">
        <v>41404</v>
      </c>
      <c r="B2301" s="163">
        <v>0.27</v>
      </c>
    </row>
    <row r="2302" spans="1:2" x14ac:dyDescent="0.25">
      <c r="A2302" s="162">
        <v>41407</v>
      </c>
      <c r="B2302" s="163">
        <v>0.3</v>
      </c>
    </row>
    <row r="2303" spans="1:2" x14ac:dyDescent="0.25">
      <c r="A2303" s="162">
        <v>41408</v>
      </c>
      <c r="B2303" s="163">
        <v>0.35</v>
      </c>
    </row>
    <row r="2304" spans="1:2" x14ac:dyDescent="0.25">
      <c r="A2304" s="162">
        <v>41409</v>
      </c>
      <c r="B2304" s="163">
        <v>0.36</v>
      </c>
    </row>
    <row r="2305" spans="1:2" x14ac:dyDescent="0.25">
      <c r="A2305" s="162">
        <v>41410</v>
      </c>
      <c r="B2305" s="163">
        <v>0.31</v>
      </c>
    </row>
    <row r="2306" spans="1:2" x14ac:dyDescent="0.25">
      <c r="A2306" s="162">
        <v>41411</v>
      </c>
      <c r="B2306" s="163">
        <v>0.39</v>
      </c>
    </row>
    <row r="2307" spans="1:2" x14ac:dyDescent="0.25">
      <c r="A2307" s="162">
        <v>41414</v>
      </c>
      <c r="B2307" s="163">
        <v>0.42</v>
      </c>
    </row>
    <row r="2308" spans="1:2" x14ac:dyDescent="0.25">
      <c r="A2308" s="162">
        <v>41415</v>
      </c>
      <c r="B2308" s="163">
        <v>0.38</v>
      </c>
    </row>
    <row r="2309" spans="1:2" x14ac:dyDescent="0.25">
      <c r="A2309" s="162">
        <v>41416</v>
      </c>
      <c r="B2309" s="163">
        <v>0.47</v>
      </c>
    </row>
    <row r="2310" spans="1:2" x14ac:dyDescent="0.25">
      <c r="A2310" s="162">
        <v>41417</v>
      </c>
      <c r="B2310" s="163">
        <v>0.46</v>
      </c>
    </row>
    <row r="2311" spans="1:2" x14ac:dyDescent="0.25">
      <c r="A2311" s="162">
        <v>41418</v>
      </c>
      <c r="B2311" s="163">
        <v>0.44</v>
      </c>
    </row>
    <row r="2312" spans="1:2" x14ac:dyDescent="0.25">
      <c r="A2312" s="162">
        <v>41421</v>
      </c>
      <c r="B2312" s="163" t="e">
        <f>NA()</f>
        <v>#N/A</v>
      </c>
    </row>
    <row r="2313" spans="1:2" x14ac:dyDescent="0.25">
      <c r="A2313" s="162">
        <v>41422</v>
      </c>
      <c r="B2313" s="163">
        <v>0.55000000000000004</v>
      </c>
    </row>
    <row r="2314" spans="1:2" x14ac:dyDescent="0.25">
      <c r="A2314" s="162">
        <v>41423</v>
      </c>
      <c r="B2314" s="163">
        <v>0.56999999999999995</v>
      </c>
    </row>
    <row r="2315" spans="1:2" x14ac:dyDescent="0.25">
      <c r="A2315" s="162">
        <v>41424</v>
      </c>
      <c r="B2315" s="163">
        <v>0.62</v>
      </c>
    </row>
    <row r="2316" spans="1:2" x14ac:dyDescent="0.25">
      <c r="A2316" s="162">
        <v>41425</v>
      </c>
      <c r="B2316" s="164">
        <v>0.63</v>
      </c>
    </row>
    <row r="2317" spans="1:2" x14ac:dyDescent="0.25">
      <c r="A2317" s="162">
        <v>41428</v>
      </c>
      <c r="B2317" s="163">
        <v>0.62</v>
      </c>
    </row>
    <row r="2318" spans="1:2" x14ac:dyDescent="0.25">
      <c r="A2318" s="162">
        <v>41429</v>
      </c>
      <c r="B2318" s="163">
        <v>0.66</v>
      </c>
    </row>
    <row r="2319" spans="1:2" x14ac:dyDescent="0.25">
      <c r="A2319" s="162">
        <v>41430</v>
      </c>
      <c r="B2319" s="163">
        <v>0.66</v>
      </c>
    </row>
    <row r="2320" spans="1:2" x14ac:dyDescent="0.25">
      <c r="A2320" s="162">
        <v>41431</v>
      </c>
      <c r="B2320" s="163">
        <v>0.68</v>
      </c>
    </row>
    <row r="2321" spans="1:2" x14ac:dyDescent="0.25">
      <c r="A2321" s="162">
        <v>41432</v>
      </c>
      <c r="B2321" s="163">
        <v>0.76</v>
      </c>
    </row>
    <row r="2322" spans="1:2" x14ac:dyDescent="0.25">
      <c r="A2322" s="162">
        <v>41435</v>
      </c>
      <c r="B2322" s="163">
        <v>0.86</v>
      </c>
    </row>
    <row r="2323" spans="1:2" x14ac:dyDescent="0.25">
      <c r="A2323" s="162">
        <v>41436</v>
      </c>
      <c r="B2323" s="163">
        <v>0.99</v>
      </c>
    </row>
    <row r="2324" spans="1:2" x14ac:dyDescent="0.25">
      <c r="A2324" s="162">
        <v>41437</v>
      </c>
      <c r="B2324" s="163">
        <v>1.06</v>
      </c>
    </row>
    <row r="2325" spans="1:2" x14ac:dyDescent="0.25">
      <c r="A2325" s="162">
        <v>41438</v>
      </c>
      <c r="B2325" s="163">
        <v>0.9</v>
      </c>
    </row>
    <row r="2326" spans="1:2" x14ac:dyDescent="0.25">
      <c r="A2326" s="162">
        <v>41439</v>
      </c>
      <c r="B2326" s="163">
        <v>0.88</v>
      </c>
    </row>
    <row r="2327" spans="1:2" x14ac:dyDescent="0.25">
      <c r="A2327" s="162">
        <v>41442</v>
      </c>
      <c r="B2327" s="163">
        <v>1.01</v>
      </c>
    </row>
    <row r="2328" spans="1:2" x14ac:dyDescent="0.25">
      <c r="A2328" s="162">
        <v>41443</v>
      </c>
      <c r="B2328" s="163">
        <v>1</v>
      </c>
    </row>
    <row r="2329" spans="1:2" x14ac:dyDescent="0.25">
      <c r="A2329" s="162">
        <v>41444</v>
      </c>
      <c r="B2329" s="163">
        <v>1.05</v>
      </c>
    </row>
    <row r="2330" spans="1:2" x14ac:dyDescent="0.25">
      <c r="A2330" s="162">
        <v>41445</v>
      </c>
      <c r="B2330" s="163">
        <v>1.29</v>
      </c>
    </row>
    <row r="2331" spans="1:2" x14ac:dyDescent="0.25">
      <c r="A2331" s="162">
        <v>41446</v>
      </c>
      <c r="B2331" s="163">
        <v>1.33</v>
      </c>
    </row>
    <row r="2332" spans="1:2" x14ac:dyDescent="0.25">
      <c r="A2332" s="162">
        <v>41449</v>
      </c>
      <c r="B2332" s="163">
        <v>1.22</v>
      </c>
    </row>
    <row r="2333" spans="1:2" x14ac:dyDescent="0.25">
      <c r="A2333" s="162">
        <v>41450</v>
      </c>
      <c r="B2333" s="163">
        <v>1.21</v>
      </c>
    </row>
    <row r="2334" spans="1:2" x14ac:dyDescent="0.25">
      <c r="A2334" s="162">
        <v>41451</v>
      </c>
      <c r="B2334" s="163">
        <v>1.1499999999999999</v>
      </c>
    </row>
    <row r="2335" spans="1:2" x14ac:dyDescent="0.25">
      <c r="A2335" s="162">
        <v>41452</v>
      </c>
      <c r="B2335" s="163">
        <v>1.08</v>
      </c>
    </row>
    <row r="2336" spans="1:2" x14ac:dyDescent="0.25">
      <c r="A2336" s="162">
        <v>41453</v>
      </c>
      <c r="B2336" s="163">
        <v>1.1200000000000001</v>
      </c>
    </row>
    <row r="2337" spans="1:2" x14ac:dyDescent="0.25">
      <c r="A2337" s="162">
        <v>41456</v>
      </c>
      <c r="B2337" s="163">
        <v>1.0900000000000001</v>
      </c>
    </row>
    <row r="2338" spans="1:2" x14ac:dyDescent="0.25">
      <c r="A2338" s="162">
        <v>41457</v>
      </c>
      <c r="B2338" s="163">
        <v>1.07</v>
      </c>
    </row>
    <row r="2339" spans="1:2" x14ac:dyDescent="0.25">
      <c r="A2339" s="162">
        <v>41458</v>
      </c>
      <c r="B2339" s="163">
        <v>1.0900000000000001</v>
      </c>
    </row>
    <row r="2340" spans="1:2" x14ac:dyDescent="0.25">
      <c r="A2340" s="162">
        <v>41459</v>
      </c>
      <c r="B2340" s="163" t="e">
        <f>NA()</f>
        <v>#N/A</v>
      </c>
    </row>
    <row r="2341" spans="1:2" x14ac:dyDescent="0.25">
      <c r="A2341" s="162">
        <v>41460</v>
      </c>
      <c r="B2341" s="163">
        <v>1.22</v>
      </c>
    </row>
    <row r="2342" spans="1:2" x14ac:dyDescent="0.25">
      <c r="A2342" s="162">
        <v>41463</v>
      </c>
      <c r="B2342" s="163">
        <v>1.1599999999999999</v>
      </c>
    </row>
    <row r="2343" spans="1:2" x14ac:dyDescent="0.25">
      <c r="A2343" s="162">
        <v>41464</v>
      </c>
      <c r="B2343" s="163">
        <v>1.18</v>
      </c>
    </row>
    <row r="2344" spans="1:2" x14ac:dyDescent="0.25">
      <c r="A2344" s="162">
        <v>41465</v>
      </c>
      <c r="B2344" s="164">
        <v>1.23</v>
      </c>
    </row>
    <row r="2345" spans="1:2" x14ac:dyDescent="0.25">
      <c r="A2345" s="162">
        <v>41466</v>
      </c>
      <c r="B2345" s="163">
        <v>1.18</v>
      </c>
    </row>
    <row r="2346" spans="1:2" x14ac:dyDescent="0.25">
      <c r="A2346" s="162">
        <v>41467</v>
      </c>
      <c r="B2346" s="163">
        <v>1.1499999999999999</v>
      </c>
    </row>
    <row r="2347" spans="1:2" x14ac:dyDescent="0.25">
      <c r="A2347" s="162">
        <v>41470</v>
      </c>
      <c r="B2347" s="163">
        <v>1.08</v>
      </c>
    </row>
    <row r="2348" spans="1:2" x14ac:dyDescent="0.25">
      <c r="A2348" s="162">
        <v>41471</v>
      </c>
      <c r="B2348" s="163">
        <v>1.03</v>
      </c>
    </row>
    <row r="2349" spans="1:2" x14ac:dyDescent="0.25">
      <c r="A2349" s="162">
        <v>41472</v>
      </c>
      <c r="B2349" s="163">
        <v>1.02</v>
      </c>
    </row>
    <row r="2350" spans="1:2" x14ac:dyDescent="0.25">
      <c r="A2350" s="162">
        <v>41473</v>
      </c>
      <c r="B2350" s="163">
        <v>1.05</v>
      </c>
    </row>
    <row r="2351" spans="1:2" x14ac:dyDescent="0.25">
      <c r="A2351" s="162">
        <v>41474</v>
      </c>
      <c r="B2351" s="163">
        <v>0.96</v>
      </c>
    </row>
    <row r="2352" spans="1:2" x14ac:dyDescent="0.25">
      <c r="A2352" s="162">
        <v>41477</v>
      </c>
      <c r="B2352" s="163">
        <v>0.94</v>
      </c>
    </row>
    <row r="2353" spans="1:2" x14ac:dyDescent="0.25">
      <c r="A2353" s="162">
        <v>41478</v>
      </c>
      <c r="B2353" s="163">
        <v>1</v>
      </c>
    </row>
    <row r="2354" spans="1:2" x14ac:dyDescent="0.25">
      <c r="A2354" s="162">
        <v>41479</v>
      </c>
      <c r="B2354" s="163">
        <v>1.1100000000000001</v>
      </c>
    </row>
    <row r="2355" spans="1:2" x14ac:dyDescent="0.25">
      <c r="A2355" s="162">
        <v>41480</v>
      </c>
      <c r="B2355" s="163">
        <v>1.1000000000000001</v>
      </c>
    </row>
    <row r="2356" spans="1:2" x14ac:dyDescent="0.25">
      <c r="A2356" s="162">
        <v>41481</v>
      </c>
      <c r="B2356" s="163">
        <v>1.08</v>
      </c>
    </row>
    <row r="2357" spans="1:2" x14ac:dyDescent="0.25">
      <c r="A2357" s="162">
        <v>41484</v>
      </c>
      <c r="B2357" s="163">
        <v>1.0900000000000001</v>
      </c>
    </row>
    <row r="2358" spans="1:2" x14ac:dyDescent="0.25">
      <c r="A2358" s="162">
        <v>41485</v>
      </c>
      <c r="B2358" s="163">
        <v>1.1000000000000001</v>
      </c>
    </row>
    <row r="2359" spans="1:2" x14ac:dyDescent="0.25">
      <c r="A2359" s="162">
        <v>41486</v>
      </c>
      <c r="B2359" s="163">
        <v>1.02</v>
      </c>
    </row>
    <row r="2360" spans="1:2" x14ac:dyDescent="0.25">
      <c r="A2360" s="162">
        <v>41487</v>
      </c>
      <c r="B2360" s="163">
        <v>1.1200000000000001</v>
      </c>
    </row>
    <row r="2361" spans="1:2" x14ac:dyDescent="0.25">
      <c r="A2361" s="162">
        <v>41488</v>
      </c>
      <c r="B2361" s="163">
        <v>1.07</v>
      </c>
    </row>
    <row r="2362" spans="1:2" x14ac:dyDescent="0.25">
      <c r="A2362" s="162">
        <v>41491</v>
      </c>
      <c r="B2362" s="163">
        <v>1.07</v>
      </c>
    </row>
    <row r="2363" spans="1:2" x14ac:dyDescent="0.25">
      <c r="A2363" s="162">
        <v>41492</v>
      </c>
      <c r="B2363" s="163">
        <v>1.03</v>
      </c>
    </row>
    <row r="2364" spans="1:2" x14ac:dyDescent="0.25">
      <c r="A2364" s="162">
        <v>41493</v>
      </c>
      <c r="B2364" s="163">
        <v>0.98</v>
      </c>
    </row>
    <row r="2365" spans="1:2" x14ac:dyDescent="0.25">
      <c r="A2365" s="162">
        <v>41494</v>
      </c>
      <c r="B2365" s="163">
        <v>0.96</v>
      </c>
    </row>
    <row r="2366" spans="1:2" x14ac:dyDescent="0.25">
      <c r="A2366" s="162">
        <v>41495</v>
      </c>
      <c r="B2366" s="163">
        <v>0.96</v>
      </c>
    </row>
    <row r="2367" spans="1:2" x14ac:dyDescent="0.25">
      <c r="A2367" s="162">
        <v>41498</v>
      </c>
      <c r="B2367" s="163">
        <v>1.01</v>
      </c>
    </row>
    <row r="2368" spans="1:2" x14ac:dyDescent="0.25">
      <c r="A2368" s="162">
        <v>41499</v>
      </c>
      <c r="B2368" s="163">
        <v>1.1100000000000001</v>
      </c>
    </row>
    <row r="2369" spans="1:2" x14ac:dyDescent="0.25">
      <c r="A2369" s="162">
        <v>41500</v>
      </c>
      <c r="B2369" s="163">
        <v>1.1299999999999999</v>
      </c>
    </row>
    <row r="2370" spans="1:2" x14ac:dyDescent="0.25">
      <c r="A2370" s="162">
        <v>41501</v>
      </c>
      <c r="B2370" s="163">
        <v>1.22</v>
      </c>
    </row>
    <row r="2371" spans="1:2" x14ac:dyDescent="0.25">
      <c r="A2371" s="162">
        <v>41502</v>
      </c>
      <c r="B2371" s="163">
        <v>1.29</v>
      </c>
    </row>
    <row r="2372" spans="1:2" x14ac:dyDescent="0.25">
      <c r="A2372" s="162">
        <v>41505</v>
      </c>
      <c r="B2372" s="163">
        <v>1.35</v>
      </c>
    </row>
    <row r="2373" spans="1:2" x14ac:dyDescent="0.25">
      <c r="A2373" s="162">
        <v>41506</v>
      </c>
      <c r="B2373" s="163">
        <v>1.28</v>
      </c>
    </row>
    <row r="2374" spans="1:2" x14ac:dyDescent="0.25">
      <c r="A2374" s="162">
        <v>41507</v>
      </c>
      <c r="B2374" s="163">
        <v>1.33</v>
      </c>
    </row>
    <row r="2375" spans="1:2" x14ac:dyDescent="0.25">
      <c r="A2375" s="162">
        <v>41508</v>
      </c>
      <c r="B2375" s="163">
        <v>1.35</v>
      </c>
    </row>
    <row r="2376" spans="1:2" x14ac:dyDescent="0.25">
      <c r="A2376" s="162">
        <v>41509</v>
      </c>
      <c r="B2376" s="163">
        <v>1.25</v>
      </c>
    </row>
    <row r="2377" spans="1:2" x14ac:dyDescent="0.25">
      <c r="A2377" s="162">
        <v>41512</v>
      </c>
      <c r="B2377" s="163">
        <v>1.2</v>
      </c>
    </row>
    <row r="2378" spans="1:2" x14ac:dyDescent="0.25">
      <c r="A2378" s="162">
        <v>41513</v>
      </c>
      <c r="B2378" s="163">
        <v>1.1399999999999999</v>
      </c>
    </row>
    <row r="2379" spans="1:2" x14ac:dyDescent="0.25">
      <c r="A2379" s="162">
        <v>41514</v>
      </c>
      <c r="B2379" s="163">
        <v>1.19</v>
      </c>
    </row>
    <row r="2380" spans="1:2" x14ac:dyDescent="0.25">
      <c r="A2380" s="162">
        <v>41515</v>
      </c>
      <c r="B2380" s="163">
        <v>1.18</v>
      </c>
    </row>
    <row r="2381" spans="1:2" x14ac:dyDescent="0.25">
      <c r="A2381" s="162">
        <v>41516</v>
      </c>
      <c r="B2381" s="163">
        <v>1.21</v>
      </c>
    </row>
    <row r="2382" spans="1:2" x14ac:dyDescent="0.25">
      <c r="A2382" s="162">
        <v>41519</v>
      </c>
      <c r="B2382" s="163" t="e">
        <f>NA()</f>
        <v>#N/A</v>
      </c>
    </row>
    <row r="2383" spans="1:2" x14ac:dyDescent="0.25">
      <c r="A2383" s="162">
        <v>41520</v>
      </c>
      <c r="B2383" s="163">
        <v>1.28</v>
      </c>
    </row>
    <row r="2384" spans="1:2" x14ac:dyDescent="0.25">
      <c r="A2384" s="162">
        <v>41521</v>
      </c>
      <c r="B2384" s="163">
        <v>1.33</v>
      </c>
    </row>
    <row r="2385" spans="1:2" x14ac:dyDescent="0.25">
      <c r="A2385" s="162">
        <v>41522</v>
      </c>
      <c r="B2385" s="163">
        <v>1.4</v>
      </c>
    </row>
    <row r="2386" spans="1:2" x14ac:dyDescent="0.25">
      <c r="A2386" s="162">
        <v>41523</v>
      </c>
      <c r="B2386" s="164">
        <v>1.37</v>
      </c>
    </row>
    <row r="2387" spans="1:2" x14ac:dyDescent="0.25">
      <c r="A2387" s="162">
        <v>41526</v>
      </c>
      <c r="B2387" s="163">
        <v>1.34</v>
      </c>
    </row>
    <row r="2388" spans="1:2" x14ac:dyDescent="0.25">
      <c r="A2388" s="162">
        <v>41527</v>
      </c>
      <c r="B2388" s="163">
        <v>1.36</v>
      </c>
    </row>
    <row r="2389" spans="1:2" x14ac:dyDescent="0.25">
      <c r="A2389" s="162">
        <v>41528</v>
      </c>
      <c r="B2389" s="163">
        <v>1.31</v>
      </c>
    </row>
    <row r="2390" spans="1:2" x14ac:dyDescent="0.25">
      <c r="A2390" s="162">
        <v>41529</v>
      </c>
      <c r="B2390" s="163">
        <v>1.32</v>
      </c>
    </row>
    <row r="2391" spans="1:2" x14ac:dyDescent="0.25">
      <c r="A2391" s="162">
        <v>41530</v>
      </c>
      <c r="B2391" s="163">
        <v>1.32</v>
      </c>
    </row>
    <row r="2392" spans="1:2" x14ac:dyDescent="0.25">
      <c r="A2392" s="162">
        <v>41533</v>
      </c>
      <c r="B2392" s="163">
        <v>1.32</v>
      </c>
    </row>
    <row r="2393" spans="1:2" x14ac:dyDescent="0.25">
      <c r="A2393" s="162">
        <v>41534</v>
      </c>
      <c r="B2393" s="163">
        <v>1.27</v>
      </c>
    </row>
    <row r="2394" spans="1:2" x14ac:dyDescent="0.25">
      <c r="A2394" s="162">
        <v>41535</v>
      </c>
      <c r="B2394" s="163">
        <v>1.1299999999999999</v>
      </c>
    </row>
    <row r="2395" spans="1:2" x14ac:dyDescent="0.25">
      <c r="A2395" s="162">
        <v>41536</v>
      </c>
      <c r="B2395" s="163">
        <v>1.18</v>
      </c>
    </row>
    <row r="2396" spans="1:2" x14ac:dyDescent="0.25">
      <c r="A2396" s="162">
        <v>41537</v>
      </c>
      <c r="B2396" s="163">
        <v>1.1399999999999999</v>
      </c>
    </row>
    <row r="2397" spans="1:2" x14ac:dyDescent="0.25">
      <c r="A2397" s="162">
        <v>41540</v>
      </c>
      <c r="B2397" s="163">
        <v>1.07</v>
      </c>
    </row>
    <row r="2398" spans="1:2" x14ac:dyDescent="0.25">
      <c r="A2398" s="162">
        <v>41541</v>
      </c>
      <c r="B2398" s="163">
        <v>1.07</v>
      </c>
    </row>
    <row r="2399" spans="1:2" x14ac:dyDescent="0.25">
      <c r="A2399" s="162">
        <v>41542</v>
      </c>
      <c r="B2399" s="163">
        <v>1.06</v>
      </c>
    </row>
    <row r="2400" spans="1:2" x14ac:dyDescent="0.25">
      <c r="A2400" s="162">
        <v>41543</v>
      </c>
      <c r="B2400" s="163">
        <v>1.07</v>
      </c>
    </row>
    <row r="2401" spans="1:2" x14ac:dyDescent="0.25">
      <c r="A2401" s="162">
        <v>41544</v>
      </c>
      <c r="B2401" s="163">
        <v>1.08</v>
      </c>
    </row>
    <row r="2402" spans="1:2" x14ac:dyDescent="0.25">
      <c r="A2402" s="162">
        <v>41547</v>
      </c>
      <c r="B2402" s="163">
        <v>1.06</v>
      </c>
    </row>
    <row r="2403" spans="1:2" x14ac:dyDescent="0.25">
      <c r="A2403" s="162">
        <v>41548</v>
      </c>
      <c r="B2403" s="163">
        <v>1.08</v>
      </c>
    </row>
    <row r="2404" spans="1:2" x14ac:dyDescent="0.25">
      <c r="A2404" s="162">
        <v>41549</v>
      </c>
      <c r="B2404" s="163">
        <v>1.05</v>
      </c>
    </row>
    <row r="2405" spans="1:2" x14ac:dyDescent="0.25">
      <c r="A2405" s="162">
        <v>41550</v>
      </c>
      <c r="B2405" s="163">
        <v>1.06</v>
      </c>
    </row>
    <row r="2406" spans="1:2" x14ac:dyDescent="0.25">
      <c r="A2406" s="162">
        <v>41551</v>
      </c>
      <c r="B2406" s="163">
        <v>1.08</v>
      </c>
    </row>
    <row r="2407" spans="1:2" x14ac:dyDescent="0.25">
      <c r="A2407" s="162">
        <v>41554</v>
      </c>
      <c r="B2407" s="163">
        <v>1.06</v>
      </c>
    </row>
    <row r="2408" spans="1:2" x14ac:dyDescent="0.25">
      <c r="A2408" s="162">
        <v>41555</v>
      </c>
      <c r="B2408" s="163">
        <v>1.07</v>
      </c>
    </row>
    <row r="2409" spans="1:2" x14ac:dyDescent="0.25">
      <c r="A2409" s="162">
        <v>41556</v>
      </c>
      <c r="B2409" s="163">
        <v>1.07</v>
      </c>
    </row>
    <row r="2410" spans="1:2" x14ac:dyDescent="0.25">
      <c r="A2410" s="162">
        <v>41557</v>
      </c>
      <c r="B2410" s="163">
        <v>1.1100000000000001</v>
      </c>
    </row>
    <row r="2411" spans="1:2" x14ac:dyDescent="0.25">
      <c r="A2411" s="162">
        <v>41558</v>
      </c>
      <c r="B2411" s="163">
        <v>1.1100000000000001</v>
      </c>
    </row>
    <row r="2412" spans="1:2" x14ac:dyDescent="0.25">
      <c r="A2412" s="162">
        <v>41561</v>
      </c>
      <c r="B2412" s="163" t="e">
        <f>NA()</f>
        <v>#N/A</v>
      </c>
    </row>
    <row r="2413" spans="1:2" x14ac:dyDescent="0.25">
      <c r="A2413" s="162">
        <v>41562</v>
      </c>
      <c r="B2413" s="163">
        <v>1.1599999999999999</v>
      </c>
    </row>
    <row r="2414" spans="1:2" x14ac:dyDescent="0.25">
      <c r="A2414" s="162">
        <v>41563</v>
      </c>
      <c r="B2414" s="163">
        <v>1.1200000000000001</v>
      </c>
    </row>
    <row r="2415" spans="1:2" x14ac:dyDescent="0.25">
      <c r="A2415" s="162">
        <v>41564</v>
      </c>
      <c r="B2415" s="163">
        <v>1.07</v>
      </c>
    </row>
    <row r="2416" spans="1:2" x14ac:dyDescent="0.25">
      <c r="A2416" s="162">
        <v>41565</v>
      </c>
      <c r="B2416" s="164">
        <v>1.05</v>
      </c>
    </row>
    <row r="2417" spans="1:2" x14ac:dyDescent="0.25">
      <c r="A2417" s="162">
        <v>41568</v>
      </c>
      <c r="B2417" s="163">
        <v>1.07</v>
      </c>
    </row>
    <row r="2418" spans="1:2" x14ac:dyDescent="0.25">
      <c r="A2418" s="162">
        <v>41569</v>
      </c>
      <c r="B2418" s="163">
        <v>1</v>
      </c>
    </row>
    <row r="2419" spans="1:2" x14ac:dyDescent="0.25">
      <c r="A2419" s="162">
        <v>41570</v>
      </c>
      <c r="B2419" s="163">
        <v>1</v>
      </c>
    </row>
    <row r="2420" spans="1:2" x14ac:dyDescent="0.25">
      <c r="A2420" s="162">
        <v>41571</v>
      </c>
      <c r="B2420" s="163">
        <v>1</v>
      </c>
    </row>
    <row r="2421" spans="1:2" x14ac:dyDescent="0.25">
      <c r="A2421" s="162">
        <v>41572</v>
      </c>
      <c r="B2421" s="163">
        <v>0.97</v>
      </c>
    </row>
    <row r="2422" spans="1:2" x14ac:dyDescent="0.25">
      <c r="A2422" s="162">
        <v>41575</v>
      </c>
      <c r="B2422" s="163">
        <v>0.98</v>
      </c>
    </row>
    <row r="2423" spans="1:2" x14ac:dyDescent="0.25">
      <c r="A2423" s="162">
        <v>41576</v>
      </c>
      <c r="B2423" s="163">
        <v>0.99</v>
      </c>
    </row>
    <row r="2424" spans="1:2" x14ac:dyDescent="0.25">
      <c r="A2424" s="162">
        <v>41577</v>
      </c>
      <c r="B2424" s="163">
        <v>1</v>
      </c>
    </row>
    <row r="2425" spans="1:2" x14ac:dyDescent="0.25">
      <c r="A2425" s="162">
        <v>41578</v>
      </c>
      <c r="B2425" s="163">
        <v>1.03</v>
      </c>
    </row>
    <row r="2426" spans="1:2" x14ac:dyDescent="0.25">
      <c r="A2426" s="162">
        <v>41579</v>
      </c>
      <c r="B2426" s="163">
        <v>1.1100000000000001</v>
      </c>
    </row>
    <row r="2427" spans="1:2" x14ac:dyDescent="0.25">
      <c r="A2427" s="162">
        <v>41582</v>
      </c>
      <c r="B2427" s="163">
        <v>1.1200000000000001</v>
      </c>
    </row>
    <row r="2428" spans="1:2" x14ac:dyDescent="0.25">
      <c r="A2428" s="162">
        <v>41583</v>
      </c>
      <c r="B2428" s="163">
        <v>1.18</v>
      </c>
    </row>
    <row r="2429" spans="1:2" x14ac:dyDescent="0.25">
      <c r="A2429" s="162">
        <v>41584</v>
      </c>
      <c r="B2429" s="163">
        <v>1.1299999999999999</v>
      </c>
    </row>
    <row r="2430" spans="1:2" x14ac:dyDescent="0.25">
      <c r="A2430" s="162">
        <v>41585</v>
      </c>
      <c r="B2430" s="163">
        <v>1.1100000000000001</v>
      </c>
    </row>
    <row r="2431" spans="1:2" x14ac:dyDescent="0.25">
      <c r="A2431" s="162">
        <v>41586</v>
      </c>
      <c r="B2431" s="163">
        <v>1.24</v>
      </c>
    </row>
    <row r="2432" spans="1:2" x14ac:dyDescent="0.25">
      <c r="A2432" s="162">
        <v>41589</v>
      </c>
      <c r="B2432" s="163" t="e">
        <f>NA()</f>
        <v>#N/A</v>
      </c>
    </row>
    <row r="2433" spans="1:2" x14ac:dyDescent="0.25">
      <c r="A2433" s="162">
        <v>41590</v>
      </c>
      <c r="B2433" s="163">
        <v>1.25</v>
      </c>
    </row>
    <row r="2434" spans="1:2" x14ac:dyDescent="0.25">
      <c r="A2434" s="162">
        <v>41591</v>
      </c>
      <c r="B2434" s="163">
        <v>1.23</v>
      </c>
    </row>
    <row r="2435" spans="1:2" x14ac:dyDescent="0.25">
      <c r="A2435" s="162">
        <v>41592</v>
      </c>
      <c r="B2435" s="163">
        <v>1.18</v>
      </c>
    </row>
    <row r="2436" spans="1:2" x14ac:dyDescent="0.25">
      <c r="A2436" s="162">
        <v>41593</v>
      </c>
      <c r="B2436" s="164">
        <v>1.19</v>
      </c>
    </row>
    <row r="2437" spans="1:2" x14ac:dyDescent="0.25">
      <c r="A2437" s="162">
        <v>41596</v>
      </c>
      <c r="B2437" s="163">
        <v>1.1499999999999999</v>
      </c>
    </row>
    <row r="2438" spans="1:2" x14ac:dyDescent="0.25">
      <c r="A2438" s="162">
        <v>41597</v>
      </c>
      <c r="B2438" s="163">
        <v>1.2</v>
      </c>
    </row>
    <row r="2439" spans="1:2" x14ac:dyDescent="0.25">
      <c r="A2439" s="162">
        <v>41598</v>
      </c>
      <c r="B2439" s="163">
        <v>1.31</v>
      </c>
    </row>
    <row r="2440" spans="1:2" x14ac:dyDescent="0.25">
      <c r="A2440" s="162">
        <v>41599</v>
      </c>
      <c r="B2440" s="163">
        <v>1.27</v>
      </c>
    </row>
    <row r="2441" spans="1:2" x14ac:dyDescent="0.25">
      <c r="A2441" s="162">
        <v>41600</v>
      </c>
      <c r="B2441" s="163">
        <v>1.21</v>
      </c>
    </row>
    <row r="2442" spans="1:2" x14ac:dyDescent="0.25">
      <c r="A2442" s="162">
        <v>41603</v>
      </c>
      <c r="B2442" s="163">
        <v>1.2</v>
      </c>
    </row>
    <row r="2443" spans="1:2" x14ac:dyDescent="0.25">
      <c r="A2443" s="162">
        <v>41604</v>
      </c>
      <c r="B2443" s="163">
        <v>1.18</v>
      </c>
    </row>
    <row r="2444" spans="1:2" x14ac:dyDescent="0.25">
      <c r="A2444" s="162">
        <v>41605</v>
      </c>
      <c r="B2444" s="163">
        <v>1.22</v>
      </c>
    </row>
    <row r="2445" spans="1:2" x14ac:dyDescent="0.25">
      <c r="A2445" s="162">
        <v>41606</v>
      </c>
      <c r="B2445" s="163" t="e">
        <f>NA()</f>
        <v>#N/A</v>
      </c>
    </row>
    <row r="2446" spans="1:2" x14ac:dyDescent="0.25">
      <c r="A2446" s="162">
        <v>41607</v>
      </c>
      <c r="B2446" s="163">
        <v>1.23</v>
      </c>
    </row>
    <row r="2447" spans="1:2" x14ac:dyDescent="0.25">
      <c r="A2447" s="162">
        <v>41610</v>
      </c>
      <c r="B2447" s="163">
        <v>1.28</v>
      </c>
    </row>
    <row r="2448" spans="1:2" x14ac:dyDescent="0.25">
      <c r="A2448" s="162">
        <v>41611</v>
      </c>
      <c r="B2448" s="163">
        <v>1.27</v>
      </c>
    </row>
    <row r="2449" spans="1:2" x14ac:dyDescent="0.25">
      <c r="A2449" s="162">
        <v>41612</v>
      </c>
      <c r="B2449" s="164">
        <v>1.35</v>
      </c>
    </row>
    <row r="2450" spans="1:2" x14ac:dyDescent="0.25">
      <c r="A2450" s="162">
        <v>41613</v>
      </c>
      <c r="B2450" s="163">
        <v>1.36</v>
      </c>
    </row>
    <row r="2451" spans="1:2" x14ac:dyDescent="0.25">
      <c r="A2451" s="162">
        <v>41614</v>
      </c>
      <c r="B2451" s="163">
        <v>1.36</v>
      </c>
    </row>
    <row r="2452" spans="1:2" x14ac:dyDescent="0.25">
      <c r="A2452" s="162">
        <v>41617</v>
      </c>
      <c r="B2452" s="163">
        <v>1.33</v>
      </c>
    </row>
    <row r="2453" spans="1:2" x14ac:dyDescent="0.25">
      <c r="A2453" s="162">
        <v>41618</v>
      </c>
      <c r="B2453" s="163">
        <v>1.28</v>
      </c>
    </row>
    <row r="2454" spans="1:2" x14ac:dyDescent="0.25">
      <c r="A2454" s="162">
        <v>41619</v>
      </c>
      <c r="B2454" s="163">
        <v>1.31</v>
      </c>
    </row>
    <row r="2455" spans="1:2" x14ac:dyDescent="0.25">
      <c r="A2455" s="162">
        <v>41620</v>
      </c>
      <c r="B2455" s="163">
        <v>1.35</v>
      </c>
    </row>
    <row r="2456" spans="1:2" x14ac:dyDescent="0.25">
      <c r="A2456" s="162">
        <v>41621</v>
      </c>
      <c r="B2456" s="163">
        <v>1.3</v>
      </c>
    </row>
    <row r="2457" spans="1:2" x14ac:dyDescent="0.25">
      <c r="A2457" s="162">
        <v>41624</v>
      </c>
      <c r="B2457" s="163">
        <v>1.3</v>
      </c>
    </row>
    <row r="2458" spans="1:2" x14ac:dyDescent="0.25">
      <c r="A2458" s="162">
        <v>41625</v>
      </c>
      <c r="B2458" s="163">
        <v>1.26</v>
      </c>
    </row>
    <row r="2459" spans="1:2" x14ac:dyDescent="0.25">
      <c r="A2459" s="162">
        <v>41626</v>
      </c>
      <c r="B2459" s="163">
        <v>1.31</v>
      </c>
    </row>
    <row r="2460" spans="1:2" x14ac:dyDescent="0.25">
      <c r="A2460" s="162">
        <v>41627</v>
      </c>
      <c r="B2460" s="163">
        <v>1.37</v>
      </c>
    </row>
    <row r="2461" spans="1:2" x14ac:dyDescent="0.25">
      <c r="A2461" s="162">
        <v>41628</v>
      </c>
      <c r="B2461" s="163">
        <v>1.28</v>
      </c>
    </row>
    <row r="2462" spans="1:2" x14ac:dyDescent="0.25">
      <c r="A2462" s="162">
        <v>41631</v>
      </c>
      <c r="B2462" s="163">
        <v>1.3</v>
      </c>
    </row>
    <row r="2463" spans="1:2" x14ac:dyDescent="0.25">
      <c r="A2463" s="162">
        <v>41632</v>
      </c>
      <c r="B2463" s="163">
        <v>1.34</v>
      </c>
    </row>
    <row r="2464" spans="1:2" x14ac:dyDescent="0.25">
      <c r="A2464" s="162">
        <v>41633</v>
      </c>
      <c r="B2464" s="163" t="e">
        <f>NA()</f>
        <v>#N/A</v>
      </c>
    </row>
    <row r="2465" spans="1:2" x14ac:dyDescent="0.25">
      <c r="A2465" s="162">
        <v>41634</v>
      </c>
      <c r="B2465" s="163">
        <v>1.35</v>
      </c>
    </row>
    <row r="2466" spans="1:2" x14ac:dyDescent="0.25">
      <c r="A2466" s="162">
        <v>41635</v>
      </c>
      <c r="B2466" s="163">
        <v>1.36</v>
      </c>
    </row>
    <row r="2467" spans="1:2" x14ac:dyDescent="0.25">
      <c r="A2467" s="162">
        <v>41638</v>
      </c>
      <c r="B2467" s="163">
        <v>1.31</v>
      </c>
    </row>
    <row r="2468" spans="1:2" x14ac:dyDescent="0.25">
      <c r="A2468" s="162">
        <v>41639</v>
      </c>
      <c r="B2468" s="164">
        <v>1.36</v>
      </c>
    </row>
    <row r="2469" spans="1:2" x14ac:dyDescent="0.25">
      <c r="A2469" s="162">
        <v>41640</v>
      </c>
      <c r="B2469" s="163" t="e">
        <f>NA()</f>
        <v>#N/A</v>
      </c>
    </row>
    <row r="2470" spans="1:2" x14ac:dyDescent="0.25">
      <c r="A2470" s="162">
        <v>41641</v>
      </c>
      <c r="B2470" s="163">
        <v>1.3</v>
      </c>
    </row>
    <row r="2471" spans="1:2" x14ac:dyDescent="0.25">
      <c r="A2471" s="162">
        <v>41642</v>
      </c>
      <c r="B2471" s="163">
        <v>1.29</v>
      </c>
    </row>
    <row r="2472" spans="1:2" x14ac:dyDescent="0.25">
      <c r="A2472" s="162">
        <v>41645</v>
      </c>
      <c r="B2472" s="163">
        <v>1.27</v>
      </c>
    </row>
    <row r="2473" spans="1:2" x14ac:dyDescent="0.25">
      <c r="A2473" s="162">
        <v>41646</v>
      </c>
      <c r="B2473" s="164">
        <v>1.25</v>
      </c>
    </row>
    <row r="2474" spans="1:2" x14ac:dyDescent="0.25">
      <c r="A2474" s="162">
        <v>41647</v>
      </c>
      <c r="B2474" s="163">
        <v>1.24</v>
      </c>
    </row>
    <row r="2475" spans="1:2" x14ac:dyDescent="0.25">
      <c r="A2475" s="162">
        <v>41648</v>
      </c>
      <c r="B2475" s="163">
        <v>1.19</v>
      </c>
    </row>
    <row r="2476" spans="1:2" x14ac:dyDescent="0.25">
      <c r="A2476" s="162">
        <v>41649</v>
      </c>
      <c r="B2476" s="163">
        <v>1.1299999999999999</v>
      </c>
    </row>
    <row r="2477" spans="1:2" x14ac:dyDescent="0.25">
      <c r="A2477" s="162">
        <v>41652</v>
      </c>
      <c r="B2477" s="163">
        <v>1.1299999999999999</v>
      </c>
    </row>
    <row r="2478" spans="1:2" x14ac:dyDescent="0.25">
      <c r="A2478" s="162">
        <v>41653</v>
      </c>
      <c r="B2478" s="163">
        <v>1.17</v>
      </c>
    </row>
    <row r="2479" spans="1:2" x14ac:dyDescent="0.25">
      <c r="A2479" s="162">
        <v>41654</v>
      </c>
      <c r="B2479" s="163">
        <v>1.17</v>
      </c>
    </row>
    <row r="2480" spans="1:2" x14ac:dyDescent="0.25">
      <c r="A2480" s="162">
        <v>41655</v>
      </c>
      <c r="B2480" s="163">
        <v>1.1599999999999999</v>
      </c>
    </row>
    <row r="2481" spans="1:2" x14ac:dyDescent="0.25">
      <c r="A2481" s="162">
        <v>41656</v>
      </c>
      <c r="B2481" s="163">
        <v>1.1299999999999999</v>
      </c>
    </row>
    <row r="2482" spans="1:2" x14ac:dyDescent="0.25">
      <c r="A2482" s="162">
        <v>41659</v>
      </c>
      <c r="B2482" s="163" t="e">
        <f>NA()</f>
        <v>#N/A</v>
      </c>
    </row>
    <row r="2483" spans="1:2" x14ac:dyDescent="0.25">
      <c r="A2483" s="162">
        <v>41660</v>
      </c>
      <c r="B2483" s="163">
        <v>1.1399999999999999</v>
      </c>
    </row>
    <row r="2484" spans="1:2" x14ac:dyDescent="0.25">
      <c r="A2484" s="162">
        <v>41661</v>
      </c>
      <c r="B2484" s="163">
        <v>1.1599999999999999</v>
      </c>
    </row>
    <row r="2485" spans="1:2" x14ac:dyDescent="0.25">
      <c r="A2485" s="162">
        <v>41662</v>
      </c>
      <c r="B2485" s="163">
        <v>1.1399999999999999</v>
      </c>
    </row>
    <row r="2486" spans="1:2" x14ac:dyDescent="0.25">
      <c r="A2486" s="162">
        <v>41663</v>
      </c>
      <c r="B2486" s="164">
        <v>1.1100000000000001</v>
      </c>
    </row>
    <row r="2487" spans="1:2" x14ac:dyDescent="0.25">
      <c r="A2487" s="162">
        <v>41666</v>
      </c>
      <c r="B2487" s="163">
        <v>1.1399999999999999</v>
      </c>
    </row>
    <row r="2488" spans="1:2" x14ac:dyDescent="0.25">
      <c r="A2488" s="162">
        <v>41667</v>
      </c>
      <c r="B2488" s="163">
        <v>1.1399999999999999</v>
      </c>
    </row>
    <row r="2489" spans="1:2" x14ac:dyDescent="0.25">
      <c r="A2489" s="162">
        <v>41668</v>
      </c>
      <c r="B2489" s="163">
        <v>1.08</v>
      </c>
    </row>
    <row r="2490" spans="1:2" x14ac:dyDescent="0.25">
      <c r="A2490" s="162">
        <v>41669</v>
      </c>
      <c r="B2490" s="163">
        <v>1.1000000000000001</v>
      </c>
    </row>
    <row r="2491" spans="1:2" x14ac:dyDescent="0.25">
      <c r="A2491" s="162">
        <v>41670</v>
      </c>
      <c r="B2491" s="163">
        <v>1.07</v>
      </c>
    </row>
    <row r="2492" spans="1:2" x14ac:dyDescent="0.25">
      <c r="A2492" s="162">
        <v>41673</v>
      </c>
      <c r="B2492" s="163">
        <v>1.01</v>
      </c>
    </row>
    <row r="2493" spans="1:2" x14ac:dyDescent="0.25">
      <c r="A2493" s="162">
        <v>41674</v>
      </c>
      <c r="B2493" s="163">
        <v>1.07</v>
      </c>
    </row>
    <row r="2494" spans="1:2" x14ac:dyDescent="0.25">
      <c r="A2494" s="162">
        <v>41675</v>
      </c>
      <c r="B2494" s="163">
        <v>1.1399999999999999</v>
      </c>
    </row>
    <row r="2495" spans="1:2" x14ac:dyDescent="0.25">
      <c r="A2495" s="162">
        <v>41676</v>
      </c>
      <c r="B2495" s="163">
        <v>1.1399999999999999</v>
      </c>
    </row>
    <row r="2496" spans="1:2" x14ac:dyDescent="0.25">
      <c r="A2496" s="162">
        <v>41677</v>
      </c>
      <c r="B2496" s="163">
        <v>1.1200000000000001</v>
      </c>
    </row>
    <row r="2497" spans="1:2" x14ac:dyDescent="0.25">
      <c r="A2497" s="162">
        <v>41680</v>
      </c>
      <c r="B2497" s="163">
        <v>1.1000000000000001</v>
      </c>
    </row>
    <row r="2498" spans="1:2" x14ac:dyDescent="0.25">
      <c r="A2498" s="162">
        <v>41681</v>
      </c>
      <c r="B2498" s="163">
        <v>1.1399999999999999</v>
      </c>
    </row>
    <row r="2499" spans="1:2" x14ac:dyDescent="0.25">
      <c r="A2499" s="162">
        <v>41682</v>
      </c>
      <c r="B2499" s="163">
        <v>1.17</v>
      </c>
    </row>
    <row r="2500" spans="1:2" x14ac:dyDescent="0.25">
      <c r="A2500" s="162">
        <v>41683</v>
      </c>
      <c r="B2500" s="163">
        <v>1.1299999999999999</v>
      </c>
    </row>
    <row r="2501" spans="1:2" x14ac:dyDescent="0.25">
      <c r="A2501" s="162">
        <v>41684</v>
      </c>
      <c r="B2501" s="163">
        <v>1.1499999999999999</v>
      </c>
    </row>
    <row r="2502" spans="1:2" x14ac:dyDescent="0.25">
      <c r="A2502" s="162">
        <v>41687</v>
      </c>
      <c r="B2502" s="163" t="e">
        <f>NA()</f>
        <v>#N/A</v>
      </c>
    </row>
    <row r="2503" spans="1:2" x14ac:dyDescent="0.25">
      <c r="A2503" s="162">
        <v>41688</v>
      </c>
      <c r="B2503" s="163">
        <v>1.1399999999999999</v>
      </c>
    </row>
    <row r="2504" spans="1:2" x14ac:dyDescent="0.25">
      <c r="A2504" s="162">
        <v>41689</v>
      </c>
      <c r="B2504" s="163">
        <v>1.17</v>
      </c>
    </row>
    <row r="2505" spans="1:2" x14ac:dyDescent="0.25">
      <c r="A2505" s="162">
        <v>41690</v>
      </c>
      <c r="B2505" s="163">
        <v>1.19</v>
      </c>
    </row>
    <row r="2506" spans="1:2" x14ac:dyDescent="0.25">
      <c r="A2506" s="162">
        <v>41691</v>
      </c>
      <c r="B2506" s="164">
        <v>1.1499999999999999</v>
      </c>
    </row>
    <row r="2507" spans="1:2" x14ac:dyDescent="0.25">
      <c r="A2507" s="162">
        <v>41694</v>
      </c>
      <c r="B2507" s="163">
        <v>1.1399999999999999</v>
      </c>
    </row>
    <row r="2508" spans="1:2" x14ac:dyDescent="0.25">
      <c r="A2508" s="162">
        <v>41695</v>
      </c>
      <c r="B2508" s="163">
        <v>1.1000000000000001</v>
      </c>
    </row>
    <row r="2509" spans="1:2" x14ac:dyDescent="0.25">
      <c r="A2509" s="162">
        <v>41696</v>
      </c>
      <c r="B2509" s="163">
        <v>1.07</v>
      </c>
    </row>
    <row r="2510" spans="1:2" x14ac:dyDescent="0.25">
      <c r="A2510" s="162">
        <v>41697</v>
      </c>
      <c r="B2510" s="163">
        <v>1.05</v>
      </c>
    </row>
    <row r="2511" spans="1:2" x14ac:dyDescent="0.25">
      <c r="A2511" s="162">
        <v>41698</v>
      </c>
      <c r="B2511" s="163">
        <v>1.03</v>
      </c>
    </row>
    <row r="2512" spans="1:2" x14ac:dyDescent="0.25">
      <c r="A2512" s="162">
        <v>41701</v>
      </c>
      <c r="B2512" s="163">
        <v>0.98</v>
      </c>
    </row>
    <row r="2513" spans="1:2" x14ac:dyDescent="0.25">
      <c r="A2513" s="162">
        <v>41702</v>
      </c>
      <c r="B2513" s="163">
        <v>1.05</v>
      </c>
    </row>
    <row r="2514" spans="1:2" x14ac:dyDescent="0.25">
      <c r="A2514" s="162">
        <v>41703</v>
      </c>
      <c r="B2514" s="163">
        <v>1.04</v>
      </c>
    </row>
    <row r="2515" spans="1:2" x14ac:dyDescent="0.25">
      <c r="A2515" s="162">
        <v>41704</v>
      </c>
      <c r="B2515" s="163">
        <v>1.06</v>
      </c>
    </row>
    <row r="2516" spans="1:2" x14ac:dyDescent="0.25">
      <c r="A2516" s="162">
        <v>41705</v>
      </c>
      <c r="B2516" s="163">
        <v>1.0900000000000001</v>
      </c>
    </row>
    <row r="2517" spans="1:2" x14ac:dyDescent="0.25">
      <c r="A2517" s="162">
        <v>41708</v>
      </c>
      <c r="B2517" s="163">
        <v>1.1100000000000001</v>
      </c>
    </row>
    <row r="2518" spans="1:2" x14ac:dyDescent="0.25">
      <c r="A2518" s="162">
        <v>41709</v>
      </c>
      <c r="B2518" s="163">
        <v>1.1000000000000001</v>
      </c>
    </row>
    <row r="2519" spans="1:2" x14ac:dyDescent="0.25">
      <c r="A2519" s="162">
        <v>41710</v>
      </c>
      <c r="B2519" s="163">
        <v>1.07</v>
      </c>
    </row>
    <row r="2520" spans="1:2" x14ac:dyDescent="0.25">
      <c r="A2520" s="162">
        <v>41711</v>
      </c>
      <c r="B2520" s="163">
        <v>1.02</v>
      </c>
    </row>
    <row r="2521" spans="1:2" x14ac:dyDescent="0.25">
      <c r="A2521" s="162">
        <v>41712</v>
      </c>
      <c r="B2521" s="163">
        <v>1</v>
      </c>
    </row>
    <row r="2522" spans="1:2" x14ac:dyDescent="0.25">
      <c r="A2522" s="162">
        <v>41715</v>
      </c>
      <c r="B2522" s="163">
        <v>1.04</v>
      </c>
    </row>
    <row r="2523" spans="1:2" x14ac:dyDescent="0.25">
      <c r="A2523" s="162">
        <v>41716</v>
      </c>
      <c r="B2523" s="163">
        <v>1.03</v>
      </c>
    </row>
    <row r="2524" spans="1:2" x14ac:dyDescent="0.25">
      <c r="A2524" s="162">
        <v>41717</v>
      </c>
      <c r="B2524" s="163">
        <v>1.1000000000000001</v>
      </c>
    </row>
    <row r="2525" spans="1:2" x14ac:dyDescent="0.25">
      <c r="A2525" s="162">
        <v>41718</v>
      </c>
      <c r="B2525" s="163">
        <v>1.1399999999999999</v>
      </c>
    </row>
    <row r="2526" spans="1:2" x14ac:dyDescent="0.25">
      <c r="A2526" s="162">
        <v>41719</v>
      </c>
      <c r="B2526" s="163">
        <v>1.08</v>
      </c>
    </row>
    <row r="2527" spans="1:2" x14ac:dyDescent="0.25">
      <c r="A2527" s="162">
        <v>41722</v>
      </c>
      <c r="B2527" s="163">
        <v>1.04</v>
      </c>
    </row>
    <row r="2528" spans="1:2" x14ac:dyDescent="0.25">
      <c r="A2528" s="162">
        <v>41723</v>
      </c>
      <c r="B2528" s="163">
        <v>1.05</v>
      </c>
    </row>
    <row r="2529" spans="1:2" x14ac:dyDescent="0.25">
      <c r="A2529" s="162">
        <v>41724</v>
      </c>
      <c r="B2529" s="163">
        <v>1.01</v>
      </c>
    </row>
    <row r="2530" spans="1:2" x14ac:dyDescent="0.25">
      <c r="A2530" s="162">
        <v>41725</v>
      </c>
      <c r="B2530" s="163">
        <v>1</v>
      </c>
    </row>
    <row r="2531" spans="1:2" x14ac:dyDescent="0.25">
      <c r="A2531" s="162">
        <v>41726</v>
      </c>
      <c r="B2531" s="163">
        <v>1.03</v>
      </c>
    </row>
    <row r="2532" spans="1:2" x14ac:dyDescent="0.25">
      <c r="A2532" s="162">
        <v>41729</v>
      </c>
      <c r="B2532" s="163">
        <v>1.04</v>
      </c>
    </row>
    <row r="2533" spans="1:2" x14ac:dyDescent="0.25">
      <c r="A2533" s="162">
        <v>41730</v>
      </c>
      <c r="B2533" s="163">
        <v>1.07</v>
      </c>
    </row>
    <row r="2534" spans="1:2" x14ac:dyDescent="0.25">
      <c r="A2534" s="162">
        <v>41731</v>
      </c>
      <c r="B2534" s="163">
        <v>1.1200000000000001</v>
      </c>
    </row>
    <row r="2535" spans="1:2" x14ac:dyDescent="0.25">
      <c r="A2535" s="162">
        <v>41732</v>
      </c>
      <c r="B2535" s="163">
        <v>1.0900000000000001</v>
      </c>
    </row>
    <row r="2536" spans="1:2" x14ac:dyDescent="0.25">
      <c r="A2536" s="162">
        <v>41733</v>
      </c>
      <c r="B2536" s="163">
        <v>1.05</v>
      </c>
    </row>
    <row r="2537" spans="1:2" x14ac:dyDescent="0.25">
      <c r="A2537" s="162">
        <v>41736</v>
      </c>
      <c r="B2537" s="163">
        <v>1.03</v>
      </c>
    </row>
    <row r="2538" spans="1:2" x14ac:dyDescent="0.25">
      <c r="A2538" s="162">
        <v>41737</v>
      </c>
      <c r="B2538" s="163">
        <v>1.02</v>
      </c>
    </row>
    <row r="2539" spans="1:2" x14ac:dyDescent="0.25">
      <c r="A2539" s="162">
        <v>41738</v>
      </c>
      <c r="B2539" s="163">
        <v>1.04</v>
      </c>
    </row>
    <row r="2540" spans="1:2" x14ac:dyDescent="0.25">
      <c r="A2540" s="162">
        <v>41739</v>
      </c>
      <c r="B2540" s="163">
        <v>0.98</v>
      </c>
    </row>
    <row r="2541" spans="1:2" x14ac:dyDescent="0.25">
      <c r="A2541" s="162">
        <v>41740</v>
      </c>
      <c r="B2541" s="163">
        <v>0.95</v>
      </c>
    </row>
    <row r="2542" spans="1:2" x14ac:dyDescent="0.25">
      <c r="A2542" s="162">
        <v>41743</v>
      </c>
      <c r="B2542" s="163">
        <v>0.96</v>
      </c>
    </row>
    <row r="2543" spans="1:2" x14ac:dyDescent="0.25">
      <c r="A2543" s="162">
        <v>41744</v>
      </c>
      <c r="B2543" s="163">
        <v>0.94</v>
      </c>
    </row>
    <row r="2544" spans="1:2" x14ac:dyDescent="0.25">
      <c r="A2544" s="162">
        <v>41745</v>
      </c>
      <c r="B2544" s="163">
        <v>0.92</v>
      </c>
    </row>
    <row r="2545" spans="1:2" x14ac:dyDescent="0.25">
      <c r="A2545" s="162">
        <v>41746</v>
      </c>
      <c r="B2545" s="163">
        <v>0.96</v>
      </c>
    </row>
    <row r="2546" spans="1:2" x14ac:dyDescent="0.25">
      <c r="A2546" s="162">
        <v>41747</v>
      </c>
      <c r="B2546" s="163" t="e">
        <f>NA()</f>
        <v>#N/A</v>
      </c>
    </row>
    <row r="2547" spans="1:2" x14ac:dyDescent="0.25">
      <c r="A2547" s="162">
        <v>41750</v>
      </c>
      <c r="B2547" s="163">
        <v>0.96</v>
      </c>
    </row>
    <row r="2548" spans="1:2" x14ac:dyDescent="0.25">
      <c r="A2548" s="162">
        <v>41751</v>
      </c>
      <c r="B2548" s="163">
        <v>0.94</v>
      </c>
    </row>
    <row r="2549" spans="1:2" x14ac:dyDescent="0.25">
      <c r="A2549" s="162">
        <v>41752</v>
      </c>
      <c r="B2549" s="163">
        <v>0.91</v>
      </c>
    </row>
    <row r="2550" spans="1:2" x14ac:dyDescent="0.25">
      <c r="A2550" s="162">
        <v>41753</v>
      </c>
      <c r="B2550" s="164">
        <v>0.91</v>
      </c>
    </row>
    <row r="2551" spans="1:2" x14ac:dyDescent="0.25">
      <c r="A2551" s="162">
        <v>41754</v>
      </c>
      <c r="B2551" s="163">
        <v>0.9</v>
      </c>
    </row>
    <row r="2552" spans="1:2" x14ac:dyDescent="0.25">
      <c r="A2552" s="162">
        <v>41757</v>
      </c>
      <c r="B2552" s="163">
        <v>0.94</v>
      </c>
    </row>
    <row r="2553" spans="1:2" x14ac:dyDescent="0.25">
      <c r="A2553" s="162">
        <v>41758</v>
      </c>
      <c r="B2553" s="163">
        <v>0.96</v>
      </c>
    </row>
    <row r="2554" spans="1:2" x14ac:dyDescent="0.25">
      <c r="A2554" s="162">
        <v>41759</v>
      </c>
      <c r="B2554" s="163">
        <v>0.92</v>
      </c>
    </row>
    <row r="2555" spans="1:2" x14ac:dyDescent="0.25">
      <c r="A2555" s="162">
        <v>41760</v>
      </c>
      <c r="B2555" s="163">
        <v>0.86</v>
      </c>
    </row>
    <row r="2556" spans="1:2" x14ac:dyDescent="0.25">
      <c r="A2556" s="162">
        <v>41761</v>
      </c>
      <c r="B2556" s="163">
        <v>0.82</v>
      </c>
    </row>
    <row r="2557" spans="1:2" x14ac:dyDescent="0.25">
      <c r="A2557" s="162">
        <v>41764</v>
      </c>
      <c r="B2557" s="163">
        <v>0.86</v>
      </c>
    </row>
    <row r="2558" spans="1:2" x14ac:dyDescent="0.25">
      <c r="A2558" s="162">
        <v>41765</v>
      </c>
      <c r="B2558" s="163">
        <v>0.85</v>
      </c>
    </row>
    <row r="2559" spans="1:2" x14ac:dyDescent="0.25">
      <c r="A2559" s="162">
        <v>41766</v>
      </c>
      <c r="B2559" s="163">
        <v>0.72</v>
      </c>
    </row>
    <row r="2560" spans="1:2" x14ac:dyDescent="0.25">
      <c r="A2560" s="162">
        <v>41767</v>
      </c>
      <c r="B2560" s="163">
        <v>0.88</v>
      </c>
    </row>
    <row r="2561" spans="1:2" x14ac:dyDescent="0.25">
      <c r="A2561" s="162">
        <v>41768</v>
      </c>
      <c r="B2561" s="163">
        <v>0.89</v>
      </c>
    </row>
    <row r="2562" spans="1:2" x14ac:dyDescent="0.25">
      <c r="A2562" s="162">
        <v>41771</v>
      </c>
      <c r="B2562" s="163">
        <v>0.93</v>
      </c>
    </row>
    <row r="2563" spans="1:2" x14ac:dyDescent="0.25">
      <c r="A2563" s="162">
        <v>41772</v>
      </c>
      <c r="B2563" s="163">
        <v>0.9</v>
      </c>
    </row>
    <row r="2564" spans="1:2" x14ac:dyDescent="0.25">
      <c r="A2564" s="162">
        <v>41773</v>
      </c>
      <c r="B2564" s="163">
        <v>0.82</v>
      </c>
    </row>
    <row r="2565" spans="1:2" x14ac:dyDescent="0.25">
      <c r="A2565" s="162">
        <v>41774</v>
      </c>
      <c r="B2565" s="163">
        <v>0.76</v>
      </c>
    </row>
    <row r="2566" spans="1:2" x14ac:dyDescent="0.25">
      <c r="A2566" s="162">
        <v>41775</v>
      </c>
      <c r="B2566" s="163">
        <v>0.78</v>
      </c>
    </row>
    <row r="2567" spans="1:2" x14ac:dyDescent="0.25">
      <c r="A2567" s="162">
        <v>41778</v>
      </c>
      <c r="B2567" s="163">
        <v>0.83</v>
      </c>
    </row>
    <row r="2568" spans="1:2" x14ac:dyDescent="0.25">
      <c r="A2568" s="162">
        <v>41779</v>
      </c>
      <c r="B2568" s="163">
        <v>0.82</v>
      </c>
    </row>
    <row r="2569" spans="1:2" x14ac:dyDescent="0.25">
      <c r="A2569" s="162">
        <v>41780</v>
      </c>
      <c r="B2569" s="163">
        <v>0.84</v>
      </c>
    </row>
    <row r="2570" spans="1:2" x14ac:dyDescent="0.25">
      <c r="A2570" s="162">
        <v>41781</v>
      </c>
      <c r="B2570" s="163">
        <v>0.84</v>
      </c>
    </row>
    <row r="2571" spans="1:2" x14ac:dyDescent="0.25">
      <c r="A2571" s="162">
        <v>41782</v>
      </c>
      <c r="B2571" s="163">
        <v>0.8</v>
      </c>
    </row>
    <row r="2572" spans="1:2" x14ac:dyDescent="0.25">
      <c r="A2572" s="162">
        <v>41785</v>
      </c>
      <c r="B2572" s="163" t="e">
        <f>NA()</f>
        <v>#N/A</v>
      </c>
    </row>
    <row r="2573" spans="1:2" x14ac:dyDescent="0.25">
      <c r="A2573" s="162">
        <v>41786</v>
      </c>
      <c r="B2573" s="163">
        <v>0.79</v>
      </c>
    </row>
    <row r="2574" spans="1:2" x14ac:dyDescent="0.25">
      <c r="A2574" s="162">
        <v>41787</v>
      </c>
      <c r="B2574" s="163">
        <v>0.7</v>
      </c>
    </row>
    <row r="2575" spans="1:2" x14ac:dyDescent="0.25">
      <c r="A2575" s="162">
        <v>41788</v>
      </c>
      <c r="B2575" s="163">
        <v>0.7</v>
      </c>
    </row>
    <row r="2576" spans="1:2" x14ac:dyDescent="0.25">
      <c r="A2576" s="162">
        <v>41789</v>
      </c>
      <c r="B2576" s="164">
        <v>0.74</v>
      </c>
    </row>
    <row r="2577" spans="1:2" x14ac:dyDescent="0.25">
      <c r="A2577" s="162">
        <v>41792</v>
      </c>
      <c r="B2577" s="163">
        <v>0.8</v>
      </c>
    </row>
    <row r="2578" spans="1:2" x14ac:dyDescent="0.25">
      <c r="A2578" s="162">
        <v>41793</v>
      </c>
      <c r="B2578" s="163">
        <v>0.88</v>
      </c>
    </row>
    <row r="2579" spans="1:2" x14ac:dyDescent="0.25">
      <c r="A2579" s="162">
        <v>41794</v>
      </c>
      <c r="B2579" s="163">
        <v>0.91</v>
      </c>
    </row>
    <row r="2580" spans="1:2" x14ac:dyDescent="0.25">
      <c r="A2580" s="162">
        <v>41795</v>
      </c>
      <c r="B2580" s="163">
        <v>0.89</v>
      </c>
    </row>
    <row r="2581" spans="1:2" x14ac:dyDescent="0.25">
      <c r="A2581" s="162">
        <v>41796</v>
      </c>
      <c r="B2581" s="163">
        <v>0.88</v>
      </c>
    </row>
    <row r="2582" spans="1:2" x14ac:dyDescent="0.25">
      <c r="A2582" s="162">
        <v>41799</v>
      </c>
      <c r="B2582" s="163">
        <v>0.89</v>
      </c>
    </row>
    <row r="2583" spans="1:2" x14ac:dyDescent="0.25">
      <c r="A2583" s="162">
        <v>41800</v>
      </c>
      <c r="B2583" s="163">
        <v>0.9</v>
      </c>
    </row>
    <row r="2584" spans="1:2" x14ac:dyDescent="0.25">
      <c r="A2584" s="162">
        <v>41801</v>
      </c>
      <c r="B2584" s="163">
        <v>0.9</v>
      </c>
    </row>
    <row r="2585" spans="1:2" x14ac:dyDescent="0.25">
      <c r="A2585" s="162">
        <v>41802</v>
      </c>
      <c r="B2585" s="163">
        <v>0.87</v>
      </c>
    </row>
    <row r="2586" spans="1:2" x14ac:dyDescent="0.25">
      <c r="A2586" s="162">
        <v>41803</v>
      </c>
      <c r="B2586" s="163">
        <v>0.87</v>
      </c>
    </row>
    <row r="2587" spans="1:2" x14ac:dyDescent="0.25">
      <c r="A2587" s="162">
        <v>41806</v>
      </c>
      <c r="B2587" s="163">
        <v>0.86</v>
      </c>
    </row>
    <row r="2588" spans="1:2" x14ac:dyDescent="0.25">
      <c r="A2588" s="162">
        <v>41807</v>
      </c>
      <c r="B2588" s="163">
        <v>0.88</v>
      </c>
    </row>
    <row r="2589" spans="1:2" x14ac:dyDescent="0.25">
      <c r="A2589" s="162">
        <v>41808</v>
      </c>
      <c r="B2589" s="163">
        <v>0.85</v>
      </c>
    </row>
    <row r="2590" spans="1:2" x14ac:dyDescent="0.25">
      <c r="A2590" s="162">
        <v>41809</v>
      </c>
      <c r="B2590" s="163">
        <v>0.87</v>
      </c>
    </row>
    <row r="2591" spans="1:2" x14ac:dyDescent="0.25">
      <c r="A2591" s="162">
        <v>41810</v>
      </c>
      <c r="B2591" s="163">
        <v>0.82</v>
      </c>
    </row>
    <row r="2592" spans="1:2" x14ac:dyDescent="0.25">
      <c r="A2592" s="162">
        <v>41813</v>
      </c>
      <c r="B2592" s="163">
        <v>0.82</v>
      </c>
    </row>
    <row r="2593" spans="1:2" x14ac:dyDescent="0.25">
      <c r="A2593" s="162">
        <v>41814</v>
      </c>
      <c r="B2593" s="163">
        <v>0.78</v>
      </c>
    </row>
    <row r="2594" spans="1:2" x14ac:dyDescent="0.25">
      <c r="A2594" s="162">
        <v>41815</v>
      </c>
      <c r="B2594" s="163">
        <v>0.76</v>
      </c>
    </row>
    <row r="2595" spans="1:2" x14ac:dyDescent="0.25">
      <c r="A2595" s="162">
        <v>41816</v>
      </c>
      <c r="B2595" s="163">
        <v>0.73</v>
      </c>
    </row>
    <row r="2596" spans="1:2" x14ac:dyDescent="0.25">
      <c r="A2596" s="162">
        <v>41817</v>
      </c>
      <c r="B2596" s="163">
        <v>0.75</v>
      </c>
    </row>
    <row r="2597" spans="1:2" x14ac:dyDescent="0.25">
      <c r="A2597" s="162">
        <v>41820</v>
      </c>
      <c r="B2597" s="163">
        <v>0.74</v>
      </c>
    </row>
    <row r="2598" spans="1:2" x14ac:dyDescent="0.25">
      <c r="A2598" s="162">
        <v>41821</v>
      </c>
      <c r="B2598" s="163">
        <v>0.8</v>
      </c>
    </row>
    <row r="2599" spans="1:2" x14ac:dyDescent="0.25">
      <c r="A2599" s="162">
        <v>41822</v>
      </c>
      <c r="B2599" s="163">
        <v>0.85</v>
      </c>
    </row>
    <row r="2600" spans="1:2" x14ac:dyDescent="0.25">
      <c r="A2600" s="162">
        <v>41823</v>
      </c>
      <c r="B2600" s="163">
        <v>0.84</v>
      </c>
    </row>
    <row r="2601" spans="1:2" x14ac:dyDescent="0.25">
      <c r="A2601" s="162">
        <v>41824</v>
      </c>
      <c r="B2601" s="163" t="e">
        <f>NA()</f>
        <v>#N/A</v>
      </c>
    </row>
    <row r="2602" spans="1:2" x14ac:dyDescent="0.25">
      <c r="A2602" s="162">
        <v>41827</v>
      </c>
      <c r="B2602" s="163">
        <v>0.82</v>
      </c>
    </row>
    <row r="2603" spans="1:2" x14ac:dyDescent="0.25">
      <c r="A2603" s="162">
        <v>41828</v>
      </c>
      <c r="B2603" s="163">
        <v>0.77</v>
      </c>
    </row>
    <row r="2604" spans="1:2" x14ac:dyDescent="0.25">
      <c r="A2604" s="162">
        <v>41829</v>
      </c>
      <c r="B2604" s="163">
        <v>0.74</v>
      </c>
    </row>
    <row r="2605" spans="1:2" x14ac:dyDescent="0.25">
      <c r="A2605" s="162">
        <v>41830</v>
      </c>
      <c r="B2605" s="164">
        <v>0.74</v>
      </c>
    </row>
    <row r="2606" spans="1:2" x14ac:dyDescent="0.25">
      <c r="A2606" s="162">
        <v>41831</v>
      </c>
      <c r="B2606" s="163">
        <v>0.7</v>
      </c>
    </row>
    <row r="2607" spans="1:2" x14ac:dyDescent="0.25">
      <c r="A2607" s="162">
        <v>41834</v>
      </c>
      <c r="B2607" s="163">
        <v>0.74</v>
      </c>
    </row>
    <row r="2608" spans="1:2" x14ac:dyDescent="0.25">
      <c r="A2608" s="162">
        <v>41835</v>
      </c>
      <c r="B2608" s="163">
        <v>0.75</v>
      </c>
    </row>
    <row r="2609" spans="1:2" x14ac:dyDescent="0.25">
      <c r="A2609" s="162">
        <v>41836</v>
      </c>
      <c r="B2609" s="163">
        <v>0.75</v>
      </c>
    </row>
    <row r="2610" spans="1:2" x14ac:dyDescent="0.25">
      <c r="A2610" s="162">
        <v>41837</v>
      </c>
      <c r="B2610" s="163">
        <v>0.68</v>
      </c>
    </row>
    <row r="2611" spans="1:2" x14ac:dyDescent="0.25">
      <c r="A2611" s="162">
        <v>41838</v>
      </c>
      <c r="B2611" s="163">
        <v>0.7</v>
      </c>
    </row>
    <row r="2612" spans="1:2" x14ac:dyDescent="0.25">
      <c r="A2612" s="162">
        <v>41841</v>
      </c>
      <c r="B2612" s="163">
        <v>0.67</v>
      </c>
    </row>
    <row r="2613" spans="1:2" x14ac:dyDescent="0.25">
      <c r="A2613" s="162">
        <v>41842</v>
      </c>
      <c r="B2613" s="163">
        <v>0.68</v>
      </c>
    </row>
    <row r="2614" spans="1:2" x14ac:dyDescent="0.25">
      <c r="A2614" s="162">
        <v>41843</v>
      </c>
      <c r="B2614" s="163">
        <v>0.68</v>
      </c>
    </row>
    <row r="2615" spans="1:2" x14ac:dyDescent="0.25">
      <c r="A2615" s="162">
        <v>41844</v>
      </c>
      <c r="B2615" s="163">
        <v>0.62</v>
      </c>
    </row>
    <row r="2616" spans="1:2" x14ac:dyDescent="0.25">
      <c r="A2616" s="162">
        <v>41845</v>
      </c>
      <c r="B2616" s="163">
        <v>0.62</v>
      </c>
    </row>
    <row r="2617" spans="1:2" x14ac:dyDescent="0.25">
      <c r="A2617" s="162">
        <v>41848</v>
      </c>
      <c r="B2617" s="163">
        <v>0.65</v>
      </c>
    </row>
    <row r="2618" spans="1:2" x14ac:dyDescent="0.25">
      <c r="A2618" s="162">
        <v>41849</v>
      </c>
      <c r="B2618" s="163">
        <v>0.62</v>
      </c>
    </row>
    <row r="2619" spans="1:2" x14ac:dyDescent="0.25">
      <c r="A2619" s="162">
        <v>41850</v>
      </c>
      <c r="B2619" s="163">
        <v>0.71</v>
      </c>
    </row>
    <row r="2620" spans="1:2" x14ac:dyDescent="0.25">
      <c r="A2620" s="162">
        <v>41851</v>
      </c>
      <c r="B2620" s="163">
        <v>0.71</v>
      </c>
    </row>
    <row r="2621" spans="1:2" x14ac:dyDescent="0.25">
      <c r="A2621" s="162">
        <v>41852</v>
      </c>
      <c r="B2621" s="163">
        <v>0.68</v>
      </c>
    </row>
    <row r="2622" spans="1:2" x14ac:dyDescent="0.25">
      <c r="A2622" s="162">
        <v>41855</v>
      </c>
      <c r="B2622" s="163">
        <v>0.7</v>
      </c>
    </row>
    <row r="2623" spans="1:2" x14ac:dyDescent="0.25">
      <c r="A2623" s="162">
        <v>41856</v>
      </c>
      <c r="B2623" s="163">
        <v>0.68</v>
      </c>
    </row>
    <row r="2624" spans="1:2" x14ac:dyDescent="0.25">
      <c r="A2624" s="162">
        <v>41857</v>
      </c>
      <c r="B2624" s="163">
        <v>0.67</v>
      </c>
    </row>
    <row r="2625" spans="1:2" x14ac:dyDescent="0.25">
      <c r="A2625" s="162">
        <v>41858</v>
      </c>
      <c r="B2625" s="163">
        <v>0.63</v>
      </c>
    </row>
    <row r="2626" spans="1:2" x14ac:dyDescent="0.25">
      <c r="A2626" s="162">
        <v>41859</v>
      </c>
      <c r="B2626" s="163">
        <v>0.64</v>
      </c>
    </row>
    <row r="2627" spans="1:2" x14ac:dyDescent="0.25">
      <c r="A2627" s="162">
        <v>41862</v>
      </c>
      <c r="B2627" s="163">
        <v>0.64</v>
      </c>
    </row>
    <row r="2628" spans="1:2" x14ac:dyDescent="0.25">
      <c r="A2628" s="162">
        <v>41863</v>
      </c>
      <c r="B2628" s="163">
        <v>0.68</v>
      </c>
    </row>
    <row r="2629" spans="1:2" x14ac:dyDescent="0.25">
      <c r="A2629" s="162">
        <v>41864</v>
      </c>
      <c r="B2629" s="163">
        <v>0.66</v>
      </c>
    </row>
    <row r="2630" spans="1:2" x14ac:dyDescent="0.25">
      <c r="A2630" s="162">
        <v>41865</v>
      </c>
      <c r="B2630" s="163">
        <v>0.63</v>
      </c>
    </row>
    <row r="2631" spans="1:2" x14ac:dyDescent="0.25">
      <c r="A2631" s="162">
        <v>41866</v>
      </c>
      <c r="B2631" s="163">
        <v>0.57999999999999996</v>
      </c>
    </row>
    <row r="2632" spans="1:2" x14ac:dyDescent="0.25">
      <c r="A2632" s="162">
        <v>41869</v>
      </c>
      <c r="B2632" s="163">
        <v>0.64</v>
      </c>
    </row>
    <row r="2633" spans="1:2" x14ac:dyDescent="0.25">
      <c r="A2633" s="162">
        <v>41870</v>
      </c>
      <c r="B2633" s="163">
        <v>0.66</v>
      </c>
    </row>
    <row r="2634" spans="1:2" x14ac:dyDescent="0.25">
      <c r="A2634" s="162">
        <v>41871</v>
      </c>
      <c r="B2634" s="163">
        <v>0.68</v>
      </c>
    </row>
    <row r="2635" spans="1:2" x14ac:dyDescent="0.25">
      <c r="A2635" s="162">
        <v>41872</v>
      </c>
      <c r="B2635" s="163">
        <v>0.65</v>
      </c>
    </row>
    <row r="2636" spans="1:2" x14ac:dyDescent="0.25">
      <c r="A2636" s="162">
        <v>41873</v>
      </c>
      <c r="B2636" s="163">
        <v>0.6</v>
      </c>
    </row>
    <row r="2637" spans="1:2" x14ac:dyDescent="0.25">
      <c r="A2637" s="162">
        <v>41876</v>
      </c>
      <c r="B2637" s="163">
        <v>0.57999999999999996</v>
      </c>
    </row>
    <row r="2638" spans="1:2" x14ac:dyDescent="0.25">
      <c r="A2638" s="162">
        <v>41877</v>
      </c>
      <c r="B2638" s="163">
        <v>0.64</v>
      </c>
    </row>
    <row r="2639" spans="1:2" x14ac:dyDescent="0.25">
      <c r="A2639" s="162">
        <v>41878</v>
      </c>
      <c r="B2639" s="163">
        <v>0.61</v>
      </c>
    </row>
    <row r="2640" spans="1:2" x14ac:dyDescent="0.25">
      <c r="A2640" s="162">
        <v>41879</v>
      </c>
      <c r="B2640" s="163">
        <v>0.57999999999999996</v>
      </c>
    </row>
    <row r="2641" spans="1:2" x14ac:dyDescent="0.25">
      <c r="A2641" s="162">
        <v>41880</v>
      </c>
      <c r="B2641" s="163">
        <v>0.61</v>
      </c>
    </row>
    <row r="2642" spans="1:2" x14ac:dyDescent="0.25">
      <c r="A2642" s="162">
        <v>41883</v>
      </c>
      <c r="B2642" s="163" t="e">
        <f>NA()</f>
        <v>#N/A</v>
      </c>
    </row>
    <row r="2643" spans="1:2" x14ac:dyDescent="0.25">
      <c r="A2643" s="162">
        <v>41884</v>
      </c>
      <c r="B2643" s="163">
        <v>0.61</v>
      </c>
    </row>
    <row r="2644" spans="1:2" x14ac:dyDescent="0.25">
      <c r="A2644" s="162">
        <v>41885</v>
      </c>
      <c r="B2644" s="163">
        <v>0.59</v>
      </c>
    </row>
    <row r="2645" spans="1:2" x14ac:dyDescent="0.25">
      <c r="A2645" s="162">
        <v>41886</v>
      </c>
      <c r="B2645" s="163">
        <v>0.64</v>
      </c>
    </row>
    <row r="2646" spans="1:2" x14ac:dyDescent="0.25">
      <c r="A2646" s="162">
        <v>41887</v>
      </c>
      <c r="B2646" s="164">
        <v>0.72</v>
      </c>
    </row>
    <row r="2647" spans="1:2" x14ac:dyDescent="0.25">
      <c r="A2647" s="162">
        <v>41890</v>
      </c>
      <c r="B2647" s="163">
        <v>0.73</v>
      </c>
    </row>
    <row r="2648" spans="1:2" x14ac:dyDescent="0.25">
      <c r="A2648" s="162">
        <v>41891</v>
      </c>
      <c r="B2648" s="163">
        <v>0.7</v>
      </c>
    </row>
    <row r="2649" spans="1:2" x14ac:dyDescent="0.25">
      <c r="A2649" s="162">
        <v>41892</v>
      </c>
      <c r="B2649" s="163">
        <v>0.76</v>
      </c>
    </row>
    <row r="2650" spans="1:2" x14ac:dyDescent="0.25">
      <c r="A2650" s="162">
        <v>41893</v>
      </c>
      <c r="B2650" s="163">
        <v>0.79</v>
      </c>
    </row>
    <row r="2651" spans="1:2" x14ac:dyDescent="0.25">
      <c r="A2651" s="162">
        <v>41894</v>
      </c>
      <c r="B2651" s="163">
        <v>0.87</v>
      </c>
    </row>
    <row r="2652" spans="1:2" x14ac:dyDescent="0.25">
      <c r="A2652" s="162">
        <v>41897</v>
      </c>
      <c r="B2652" s="163">
        <v>0.86</v>
      </c>
    </row>
    <row r="2653" spans="1:2" x14ac:dyDescent="0.25">
      <c r="A2653" s="162">
        <v>41898</v>
      </c>
      <c r="B2653" s="163">
        <v>0.88</v>
      </c>
    </row>
    <row r="2654" spans="1:2" x14ac:dyDescent="0.25">
      <c r="A2654" s="162">
        <v>41899</v>
      </c>
      <c r="B2654" s="163">
        <v>0.93</v>
      </c>
    </row>
    <row r="2655" spans="1:2" x14ac:dyDescent="0.25">
      <c r="A2655" s="162">
        <v>41900</v>
      </c>
      <c r="B2655" s="163">
        <v>0.91</v>
      </c>
    </row>
    <row r="2656" spans="1:2" x14ac:dyDescent="0.25">
      <c r="A2656" s="162">
        <v>41901</v>
      </c>
      <c r="B2656" s="163">
        <v>0.86</v>
      </c>
    </row>
    <row r="2657" spans="1:2" x14ac:dyDescent="0.25">
      <c r="A2657" s="162">
        <v>41904</v>
      </c>
      <c r="B2657" s="163">
        <v>0.93</v>
      </c>
    </row>
    <row r="2658" spans="1:2" x14ac:dyDescent="0.25">
      <c r="A2658" s="162">
        <v>41905</v>
      </c>
      <c r="B2658" s="163">
        <v>0.87</v>
      </c>
    </row>
    <row r="2659" spans="1:2" x14ac:dyDescent="0.25">
      <c r="A2659" s="162">
        <v>41906</v>
      </c>
      <c r="B2659" s="163">
        <v>0.89</v>
      </c>
    </row>
    <row r="2660" spans="1:2" x14ac:dyDescent="0.25">
      <c r="A2660" s="162">
        <v>41907</v>
      </c>
      <c r="B2660" s="163">
        <v>0.85</v>
      </c>
    </row>
    <row r="2661" spans="1:2" x14ac:dyDescent="0.25">
      <c r="A2661" s="162">
        <v>41908</v>
      </c>
      <c r="B2661" s="163">
        <v>0.9</v>
      </c>
    </row>
    <row r="2662" spans="1:2" x14ac:dyDescent="0.25">
      <c r="A2662" s="162">
        <v>41911</v>
      </c>
      <c r="B2662" s="163">
        <v>0.89</v>
      </c>
    </row>
    <row r="2663" spans="1:2" x14ac:dyDescent="0.25">
      <c r="A2663" s="162">
        <v>41912</v>
      </c>
      <c r="B2663" s="163">
        <v>0.89</v>
      </c>
    </row>
    <row r="2664" spans="1:2" x14ac:dyDescent="0.25">
      <c r="A2664" s="162">
        <v>41913</v>
      </c>
      <c r="B2664" s="163">
        <v>0.8</v>
      </c>
    </row>
    <row r="2665" spans="1:2" x14ac:dyDescent="0.25">
      <c r="A2665" s="162">
        <v>41914</v>
      </c>
      <c r="B2665" s="163">
        <v>0.83</v>
      </c>
    </row>
    <row r="2666" spans="1:2" x14ac:dyDescent="0.25">
      <c r="A2666" s="162">
        <v>41915</v>
      </c>
      <c r="B2666" s="163">
        <v>0.84</v>
      </c>
    </row>
    <row r="2667" spans="1:2" x14ac:dyDescent="0.25">
      <c r="A2667" s="162">
        <v>41918</v>
      </c>
      <c r="B2667" s="163">
        <v>0.84</v>
      </c>
    </row>
    <row r="2668" spans="1:2" x14ac:dyDescent="0.25">
      <c r="A2668" s="162">
        <v>41919</v>
      </c>
      <c r="B2668" s="163">
        <v>0.79</v>
      </c>
    </row>
    <row r="2669" spans="1:2" x14ac:dyDescent="0.25">
      <c r="A2669" s="162">
        <v>41920</v>
      </c>
      <c r="B2669" s="163">
        <v>0.75</v>
      </c>
    </row>
    <row r="2670" spans="1:2" x14ac:dyDescent="0.25">
      <c r="A2670" s="162">
        <v>41921</v>
      </c>
      <c r="B2670" s="163">
        <v>0.74</v>
      </c>
    </row>
    <row r="2671" spans="1:2" x14ac:dyDescent="0.25">
      <c r="A2671" s="162">
        <v>41922</v>
      </c>
      <c r="B2671" s="163">
        <v>0.71</v>
      </c>
    </row>
    <row r="2672" spans="1:2" x14ac:dyDescent="0.25">
      <c r="A2672" s="162">
        <v>41925</v>
      </c>
      <c r="B2672" s="163" t="e">
        <f>NA()</f>
        <v>#N/A</v>
      </c>
    </row>
    <row r="2673" spans="1:2" x14ac:dyDescent="0.25">
      <c r="A2673" s="162">
        <v>41926</v>
      </c>
      <c r="B2673" s="163">
        <v>0.61</v>
      </c>
    </row>
    <row r="2674" spans="1:2" x14ac:dyDescent="0.25">
      <c r="A2674" s="162">
        <v>41927</v>
      </c>
      <c r="B2674" s="163">
        <v>0.65</v>
      </c>
    </row>
    <row r="2675" spans="1:2" x14ac:dyDescent="0.25">
      <c r="A2675" s="162">
        <v>41928</v>
      </c>
      <c r="B2675" s="163">
        <v>0.61</v>
      </c>
    </row>
    <row r="2676" spans="1:2" x14ac:dyDescent="0.25">
      <c r="A2676" s="162">
        <v>41929</v>
      </c>
      <c r="B2676" s="164">
        <v>0.67</v>
      </c>
    </row>
    <row r="2677" spans="1:2" x14ac:dyDescent="0.25">
      <c r="A2677" s="162">
        <v>41932</v>
      </c>
      <c r="B2677" s="163">
        <v>0.67</v>
      </c>
    </row>
    <row r="2678" spans="1:2" x14ac:dyDescent="0.25">
      <c r="A2678" s="162">
        <v>41933</v>
      </c>
      <c r="B2678" s="163">
        <v>0.66</v>
      </c>
    </row>
    <row r="2679" spans="1:2" x14ac:dyDescent="0.25">
      <c r="A2679" s="162">
        <v>41934</v>
      </c>
      <c r="B2679" s="163">
        <v>0.72</v>
      </c>
    </row>
    <row r="2680" spans="1:2" x14ac:dyDescent="0.25">
      <c r="A2680" s="162">
        <v>41935</v>
      </c>
      <c r="B2680" s="163">
        <v>0.71</v>
      </c>
    </row>
    <row r="2681" spans="1:2" x14ac:dyDescent="0.25">
      <c r="A2681" s="162">
        <v>41936</v>
      </c>
      <c r="B2681" s="163">
        <v>0.76</v>
      </c>
    </row>
    <row r="2682" spans="1:2" x14ac:dyDescent="0.25">
      <c r="A2682" s="162">
        <v>41939</v>
      </c>
      <c r="B2682" s="163">
        <v>0.75</v>
      </c>
    </row>
    <row r="2683" spans="1:2" x14ac:dyDescent="0.25">
      <c r="A2683" s="162">
        <v>41940</v>
      </c>
      <c r="B2683" s="163">
        <v>0.76</v>
      </c>
    </row>
    <row r="2684" spans="1:2" x14ac:dyDescent="0.25">
      <c r="A2684" s="162">
        <v>41941</v>
      </c>
      <c r="B2684" s="163">
        <v>0.76</v>
      </c>
    </row>
    <row r="2685" spans="1:2" x14ac:dyDescent="0.25">
      <c r="A2685" s="162">
        <v>41942</v>
      </c>
      <c r="B2685" s="163">
        <v>0.76</v>
      </c>
    </row>
    <row r="2686" spans="1:2" x14ac:dyDescent="0.25">
      <c r="A2686" s="162">
        <v>41943</v>
      </c>
      <c r="B2686" s="163">
        <v>0.78</v>
      </c>
    </row>
    <row r="2687" spans="1:2" x14ac:dyDescent="0.25">
      <c r="A2687" s="162">
        <v>41946</v>
      </c>
      <c r="B2687" s="163">
        <v>0.78</v>
      </c>
    </row>
    <row r="2688" spans="1:2" x14ac:dyDescent="0.25">
      <c r="A2688" s="162">
        <v>41947</v>
      </c>
      <c r="B2688" s="163">
        <v>0.77</v>
      </c>
    </row>
    <row r="2689" spans="1:2" x14ac:dyDescent="0.25">
      <c r="A2689" s="162">
        <v>41948</v>
      </c>
      <c r="B2689" s="163">
        <v>0.77</v>
      </c>
    </row>
    <row r="2690" spans="1:2" x14ac:dyDescent="0.25">
      <c r="A2690" s="162">
        <v>41949</v>
      </c>
      <c r="B2690" s="163">
        <v>0.79</v>
      </c>
    </row>
    <row r="2691" spans="1:2" x14ac:dyDescent="0.25">
      <c r="A2691" s="162">
        <v>41950</v>
      </c>
      <c r="B2691" s="163">
        <v>0.73</v>
      </c>
    </row>
    <row r="2692" spans="1:2" x14ac:dyDescent="0.25">
      <c r="A2692" s="162">
        <v>41953</v>
      </c>
      <c r="B2692" s="163">
        <v>0.78</v>
      </c>
    </row>
    <row r="2693" spans="1:2" x14ac:dyDescent="0.25">
      <c r="A2693" s="162">
        <v>41954</v>
      </c>
      <c r="B2693" s="163" t="e">
        <f>NA()</f>
        <v>#N/A</v>
      </c>
    </row>
    <row r="2694" spans="1:2" x14ac:dyDescent="0.25">
      <c r="A2694" s="162">
        <v>41955</v>
      </c>
      <c r="B2694" s="163">
        <v>0.8</v>
      </c>
    </row>
    <row r="2695" spans="1:2" x14ac:dyDescent="0.25">
      <c r="A2695" s="162">
        <v>41956</v>
      </c>
      <c r="B2695" s="163">
        <v>0.81</v>
      </c>
    </row>
    <row r="2696" spans="1:2" x14ac:dyDescent="0.25">
      <c r="A2696" s="162">
        <v>41957</v>
      </c>
      <c r="B2696" s="163">
        <v>0.74</v>
      </c>
    </row>
    <row r="2697" spans="1:2" x14ac:dyDescent="0.25">
      <c r="A2697" s="162">
        <v>41960</v>
      </c>
      <c r="B2697" s="164">
        <v>0.78</v>
      </c>
    </row>
    <row r="2698" spans="1:2" x14ac:dyDescent="0.25">
      <c r="A2698" s="162">
        <v>41961</v>
      </c>
      <c r="B2698" s="163">
        <v>0.78</v>
      </c>
    </row>
    <row r="2699" spans="1:2" x14ac:dyDescent="0.25">
      <c r="A2699" s="162">
        <v>41962</v>
      </c>
      <c r="B2699" s="163">
        <v>0.83</v>
      </c>
    </row>
    <row r="2700" spans="1:2" x14ac:dyDescent="0.25">
      <c r="A2700" s="162">
        <v>41963</v>
      </c>
      <c r="B2700" s="163">
        <v>0.8</v>
      </c>
    </row>
    <row r="2701" spans="1:2" x14ac:dyDescent="0.25">
      <c r="A2701" s="162">
        <v>41964</v>
      </c>
      <c r="B2701" s="163">
        <v>0.75</v>
      </c>
    </row>
    <row r="2702" spans="1:2" x14ac:dyDescent="0.25">
      <c r="A2702" s="162">
        <v>41967</v>
      </c>
      <c r="B2702" s="163">
        <v>0.74</v>
      </c>
    </row>
    <row r="2703" spans="1:2" x14ac:dyDescent="0.25">
      <c r="A2703" s="162">
        <v>41968</v>
      </c>
      <c r="B2703" s="163">
        <v>0.76</v>
      </c>
    </row>
    <row r="2704" spans="1:2" x14ac:dyDescent="0.25">
      <c r="A2704" s="162">
        <v>41969</v>
      </c>
      <c r="B2704" s="163">
        <v>0.75</v>
      </c>
    </row>
    <row r="2705" spans="1:2" x14ac:dyDescent="0.25">
      <c r="A2705" s="162">
        <v>41970</v>
      </c>
      <c r="B2705" s="163" t="e">
        <f>NA()</f>
        <v>#N/A</v>
      </c>
    </row>
    <row r="2706" spans="1:2" x14ac:dyDescent="0.25">
      <c r="A2706" s="162">
        <v>41971</v>
      </c>
      <c r="B2706" s="163">
        <v>0.71</v>
      </c>
    </row>
    <row r="2707" spans="1:2" x14ac:dyDescent="0.25">
      <c r="A2707" s="162">
        <v>41974</v>
      </c>
      <c r="B2707" s="163">
        <v>0.76</v>
      </c>
    </row>
    <row r="2708" spans="1:2" x14ac:dyDescent="0.25">
      <c r="A2708" s="162">
        <v>41975</v>
      </c>
      <c r="B2708" s="163">
        <v>0.82</v>
      </c>
    </row>
    <row r="2709" spans="1:2" x14ac:dyDescent="0.25">
      <c r="A2709" s="162">
        <v>41976</v>
      </c>
      <c r="B2709" s="164">
        <v>0.81</v>
      </c>
    </row>
    <row r="2710" spans="1:2" x14ac:dyDescent="0.25">
      <c r="A2710" s="162">
        <v>41977</v>
      </c>
      <c r="B2710" s="163">
        <v>0.78</v>
      </c>
    </row>
    <row r="2711" spans="1:2" x14ac:dyDescent="0.25">
      <c r="A2711" s="162">
        <v>41978</v>
      </c>
      <c r="B2711" s="163">
        <v>0.82</v>
      </c>
    </row>
    <row r="2712" spans="1:2" x14ac:dyDescent="0.25">
      <c r="A2712" s="162">
        <v>41981</v>
      </c>
      <c r="B2712" s="163">
        <v>0.77</v>
      </c>
    </row>
    <row r="2713" spans="1:2" x14ac:dyDescent="0.25">
      <c r="A2713" s="162">
        <v>41982</v>
      </c>
      <c r="B2713" s="163">
        <v>0.74</v>
      </c>
    </row>
    <row r="2714" spans="1:2" x14ac:dyDescent="0.25">
      <c r="A2714" s="162">
        <v>41983</v>
      </c>
      <c r="B2714" s="163">
        <v>0.72</v>
      </c>
    </row>
    <row r="2715" spans="1:2" x14ac:dyDescent="0.25">
      <c r="A2715" s="162">
        <v>41984</v>
      </c>
      <c r="B2715" s="163">
        <v>0.72</v>
      </c>
    </row>
    <row r="2716" spans="1:2" x14ac:dyDescent="0.25">
      <c r="A2716" s="162">
        <v>41985</v>
      </c>
      <c r="B2716" s="163">
        <v>0.68</v>
      </c>
    </row>
    <row r="2717" spans="1:2" x14ac:dyDescent="0.25">
      <c r="A2717" s="162">
        <v>41988</v>
      </c>
      <c r="B2717" s="163">
        <v>0.69</v>
      </c>
    </row>
    <row r="2718" spans="1:2" x14ac:dyDescent="0.25">
      <c r="A2718" s="162">
        <v>41989</v>
      </c>
      <c r="B2718" s="163">
        <v>0.62</v>
      </c>
    </row>
    <row r="2719" spans="1:2" x14ac:dyDescent="0.25">
      <c r="A2719" s="162">
        <v>41990</v>
      </c>
      <c r="B2719" s="163">
        <v>0.67</v>
      </c>
    </row>
    <row r="2720" spans="1:2" x14ac:dyDescent="0.25">
      <c r="A2720" s="162">
        <v>41991</v>
      </c>
      <c r="B2720" s="163">
        <v>0.77</v>
      </c>
    </row>
    <row r="2721" spans="1:2" x14ac:dyDescent="0.25">
      <c r="A2721" s="162">
        <v>41992</v>
      </c>
      <c r="B2721" s="163">
        <v>0.68</v>
      </c>
    </row>
    <row r="2722" spans="1:2" x14ac:dyDescent="0.25">
      <c r="A2722" s="162">
        <v>41995</v>
      </c>
      <c r="B2722" s="163">
        <v>0.66</v>
      </c>
    </row>
    <row r="2723" spans="1:2" x14ac:dyDescent="0.25">
      <c r="A2723" s="162">
        <v>41996</v>
      </c>
      <c r="B2723" s="163">
        <v>0.76</v>
      </c>
    </row>
    <row r="2724" spans="1:2" x14ac:dyDescent="0.25">
      <c r="A2724" s="162">
        <v>41997</v>
      </c>
      <c r="B2724" s="163">
        <v>0.77</v>
      </c>
    </row>
    <row r="2725" spans="1:2" x14ac:dyDescent="0.25">
      <c r="A2725" s="162">
        <v>41998</v>
      </c>
      <c r="B2725" s="163" t="e">
        <f>NA()</f>
        <v>#N/A</v>
      </c>
    </row>
    <row r="2726" spans="1:2" x14ac:dyDescent="0.25">
      <c r="A2726" s="162">
        <v>41999</v>
      </c>
      <c r="B2726" s="163">
        <v>0.75</v>
      </c>
    </row>
    <row r="2727" spans="1:2" x14ac:dyDescent="0.25">
      <c r="A2727" s="162">
        <v>42002</v>
      </c>
      <c r="B2727" s="163">
        <v>0.74</v>
      </c>
    </row>
    <row r="2728" spans="1:2" x14ac:dyDescent="0.25">
      <c r="A2728" s="162">
        <v>42003</v>
      </c>
      <c r="B2728" s="163">
        <v>0.75</v>
      </c>
    </row>
    <row r="2729" spans="1:2" x14ac:dyDescent="0.25">
      <c r="A2729" s="162">
        <v>42004</v>
      </c>
      <c r="B2729" s="164">
        <v>0.68</v>
      </c>
    </row>
    <row r="2730" spans="1:2" x14ac:dyDescent="0.25">
      <c r="A2730" s="162">
        <v>42005</v>
      </c>
      <c r="B2730" s="163" t="e">
        <f>NA()</f>
        <v>#N/A</v>
      </c>
    </row>
    <row r="2731" spans="1:2" x14ac:dyDescent="0.25">
      <c r="A2731" s="162">
        <v>42006</v>
      </c>
      <c r="B2731" s="163">
        <v>0.61</v>
      </c>
    </row>
    <row r="2732" spans="1:2" x14ac:dyDescent="0.25">
      <c r="A2732" s="162">
        <v>42009</v>
      </c>
      <c r="B2732" s="163">
        <v>0.56999999999999995</v>
      </c>
    </row>
    <row r="2733" spans="1:2" x14ac:dyDescent="0.25">
      <c r="A2733" s="162">
        <v>42010</v>
      </c>
      <c r="B2733" s="163">
        <v>0.55000000000000004</v>
      </c>
    </row>
    <row r="2734" spans="1:2" x14ac:dyDescent="0.25">
      <c r="A2734" s="162">
        <v>42011</v>
      </c>
      <c r="B2734" s="164">
        <v>0.55000000000000004</v>
      </c>
    </row>
    <row r="2735" spans="1:2" x14ac:dyDescent="0.25">
      <c r="A2735" s="162">
        <v>42012</v>
      </c>
      <c r="B2735" s="163">
        <v>0.6</v>
      </c>
    </row>
    <row r="2736" spans="1:2" x14ac:dyDescent="0.25">
      <c r="A2736" s="162">
        <v>42013</v>
      </c>
      <c r="B2736" s="163">
        <v>0.56999999999999995</v>
      </c>
    </row>
    <row r="2737" spans="1:2" x14ac:dyDescent="0.25">
      <c r="A2737" s="162">
        <v>42016</v>
      </c>
      <c r="B2737" s="163">
        <v>0.55000000000000004</v>
      </c>
    </row>
    <row r="2738" spans="1:2" x14ac:dyDescent="0.25">
      <c r="A2738" s="162">
        <v>42017</v>
      </c>
      <c r="B2738" s="163">
        <v>0.57999999999999996</v>
      </c>
    </row>
    <row r="2739" spans="1:2" x14ac:dyDescent="0.25">
      <c r="A2739" s="162">
        <v>42018</v>
      </c>
      <c r="B2739" s="163">
        <v>0.53</v>
      </c>
    </row>
    <row r="2740" spans="1:2" x14ac:dyDescent="0.25">
      <c r="A2740" s="162">
        <v>42019</v>
      </c>
      <c r="B2740" s="163">
        <v>0.45</v>
      </c>
    </row>
    <row r="2741" spans="1:2" x14ac:dyDescent="0.25">
      <c r="A2741" s="162">
        <v>42020</v>
      </c>
      <c r="B2741" s="163">
        <v>0.49</v>
      </c>
    </row>
    <row r="2742" spans="1:2" x14ac:dyDescent="0.25">
      <c r="A2742" s="162">
        <v>42023</v>
      </c>
      <c r="B2742" s="163" t="e">
        <f>NA()</f>
        <v>#N/A</v>
      </c>
    </row>
    <row r="2743" spans="1:2" x14ac:dyDescent="0.25">
      <c r="A2743" s="162">
        <v>42024</v>
      </c>
      <c r="B2743" s="163">
        <v>0.47</v>
      </c>
    </row>
    <row r="2744" spans="1:2" x14ac:dyDescent="0.25">
      <c r="A2744" s="162">
        <v>42025</v>
      </c>
      <c r="B2744" s="163">
        <v>0.51</v>
      </c>
    </row>
    <row r="2745" spans="1:2" x14ac:dyDescent="0.25">
      <c r="A2745" s="162">
        <v>42026</v>
      </c>
      <c r="B2745" s="163">
        <v>0.52</v>
      </c>
    </row>
    <row r="2746" spans="1:2" x14ac:dyDescent="0.25">
      <c r="A2746" s="162">
        <v>42027</v>
      </c>
      <c r="B2746" s="164">
        <v>0.44</v>
      </c>
    </row>
    <row r="2747" spans="1:2" x14ac:dyDescent="0.25">
      <c r="A2747" s="162">
        <v>42030</v>
      </c>
      <c r="B2747" s="163">
        <v>0.45</v>
      </c>
    </row>
    <row r="2748" spans="1:2" x14ac:dyDescent="0.25">
      <c r="A2748" s="162">
        <v>42031</v>
      </c>
      <c r="B2748" s="163">
        <v>0.44</v>
      </c>
    </row>
    <row r="2749" spans="1:2" x14ac:dyDescent="0.25">
      <c r="A2749" s="162">
        <v>42032</v>
      </c>
      <c r="B2749" s="163">
        <v>0.37</v>
      </c>
    </row>
    <row r="2750" spans="1:2" x14ac:dyDescent="0.25">
      <c r="A2750" s="162">
        <v>42033</v>
      </c>
      <c r="B2750" s="163">
        <v>0.42</v>
      </c>
    </row>
    <row r="2751" spans="1:2" x14ac:dyDescent="0.25">
      <c r="A2751" s="162">
        <v>42034</v>
      </c>
      <c r="B2751" s="163">
        <v>0.3</v>
      </c>
    </row>
    <row r="2752" spans="1:2" x14ac:dyDescent="0.25">
      <c r="A2752" s="162">
        <v>42037</v>
      </c>
      <c r="B2752" s="163">
        <v>0.31</v>
      </c>
    </row>
    <row r="2753" spans="1:2" x14ac:dyDescent="0.25">
      <c r="A2753" s="162">
        <v>42038</v>
      </c>
      <c r="B2753" s="163">
        <v>0.38</v>
      </c>
    </row>
    <row r="2754" spans="1:2" x14ac:dyDescent="0.25">
      <c r="A2754" s="162">
        <v>42039</v>
      </c>
      <c r="B2754" s="163">
        <v>0.38</v>
      </c>
    </row>
    <row r="2755" spans="1:2" x14ac:dyDescent="0.25">
      <c r="A2755" s="162">
        <v>42040</v>
      </c>
      <c r="B2755" s="163">
        <v>0.45</v>
      </c>
    </row>
    <row r="2756" spans="1:2" x14ac:dyDescent="0.25">
      <c r="A2756" s="162">
        <v>42041</v>
      </c>
      <c r="B2756" s="163">
        <v>0.48</v>
      </c>
    </row>
    <row r="2757" spans="1:2" x14ac:dyDescent="0.25">
      <c r="A2757" s="162">
        <v>42044</v>
      </c>
      <c r="B2757" s="163">
        <v>0.49</v>
      </c>
    </row>
    <row r="2758" spans="1:2" x14ac:dyDescent="0.25">
      <c r="A2758" s="162">
        <v>42045</v>
      </c>
      <c r="B2758" s="163">
        <v>0.55000000000000004</v>
      </c>
    </row>
    <row r="2759" spans="1:2" x14ac:dyDescent="0.25">
      <c r="A2759" s="162">
        <v>42046</v>
      </c>
      <c r="B2759" s="163">
        <v>0.56000000000000005</v>
      </c>
    </row>
    <row r="2760" spans="1:2" x14ac:dyDescent="0.25">
      <c r="A2760" s="162">
        <v>42047</v>
      </c>
      <c r="B2760" s="163">
        <v>0.61</v>
      </c>
    </row>
    <row r="2761" spans="1:2" x14ac:dyDescent="0.25">
      <c r="A2761" s="162">
        <v>42048</v>
      </c>
      <c r="B2761" s="163">
        <v>0.6</v>
      </c>
    </row>
    <row r="2762" spans="1:2" x14ac:dyDescent="0.25">
      <c r="A2762" s="162">
        <v>42051</v>
      </c>
      <c r="B2762" s="163" t="e">
        <f>NA()</f>
        <v>#N/A</v>
      </c>
    </row>
    <row r="2763" spans="1:2" x14ac:dyDescent="0.25">
      <c r="A2763" s="162">
        <v>42052</v>
      </c>
      <c r="B2763" s="163">
        <v>0.68</v>
      </c>
    </row>
    <row r="2764" spans="1:2" x14ac:dyDescent="0.25">
      <c r="A2764" s="162">
        <v>42053</v>
      </c>
      <c r="B2764" s="163">
        <v>0.62</v>
      </c>
    </row>
    <row r="2765" spans="1:2" x14ac:dyDescent="0.25">
      <c r="A2765" s="162">
        <v>42054</v>
      </c>
      <c r="B2765" s="163">
        <v>0.62</v>
      </c>
    </row>
    <row r="2766" spans="1:2" x14ac:dyDescent="0.25">
      <c r="A2766" s="162">
        <v>42055</v>
      </c>
      <c r="B2766" s="164">
        <v>0.62</v>
      </c>
    </row>
    <row r="2767" spans="1:2" x14ac:dyDescent="0.25">
      <c r="A2767" s="162">
        <v>42058</v>
      </c>
      <c r="B2767" s="163">
        <v>0.57999999999999996</v>
      </c>
    </row>
    <row r="2768" spans="1:2" x14ac:dyDescent="0.25">
      <c r="A2768" s="162">
        <v>42059</v>
      </c>
      <c r="B2768" s="163">
        <v>0.51</v>
      </c>
    </row>
    <row r="2769" spans="1:2" x14ac:dyDescent="0.25">
      <c r="A2769" s="162">
        <v>42060</v>
      </c>
      <c r="B2769" s="163">
        <v>0.48</v>
      </c>
    </row>
    <row r="2770" spans="1:2" x14ac:dyDescent="0.25">
      <c r="A2770" s="162">
        <v>42061</v>
      </c>
      <c r="B2770" s="163">
        <v>0.52</v>
      </c>
    </row>
    <row r="2771" spans="1:2" x14ac:dyDescent="0.25">
      <c r="A2771" s="162">
        <v>42062</v>
      </c>
      <c r="B2771" s="163">
        <v>0.44</v>
      </c>
    </row>
    <row r="2772" spans="1:2" x14ac:dyDescent="0.25">
      <c r="A2772" s="162">
        <v>42065</v>
      </c>
      <c r="B2772" s="163">
        <v>0.55000000000000004</v>
      </c>
    </row>
    <row r="2773" spans="1:2" x14ac:dyDescent="0.25">
      <c r="A2773" s="162">
        <v>42066</v>
      </c>
      <c r="B2773" s="163">
        <v>0.55000000000000004</v>
      </c>
    </row>
    <row r="2774" spans="1:2" x14ac:dyDescent="0.25">
      <c r="A2774" s="162">
        <v>42067</v>
      </c>
      <c r="B2774" s="163">
        <v>0.54</v>
      </c>
    </row>
    <row r="2775" spans="1:2" x14ac:dyDescent="0.25">
      <c r="A2775" s="162">
        <v>42068</v>
      </c>
      <c r="B2775" s="163">
        <v>0.55000000000000004</v>
      </c>
    </row>
    <row r="2776" spans="1:2" x14ac:dyDescent="0.25">
      <c r="A2776" s="162">
        <v>42069</v>
      </c>
      <c r="B2776" s="163">
        <v>0.69</v>
      </c>
    </row>
    <row r="2777" spans="1:2" x14ac:dyDescent="0.25">
      <c r="A2777" s="162">
        <v>42072</v>
      </c>
      <c r="B2777" s="163">
        <v>0.71</v>
      </c>
    </row>
    <row r="2778" spans="1:2" x14ac:dyDescent="0.25">
      <c r="A2778" s="162">
        <v>42073</v>
      </c>
      <c r="B2778" s="163">
        <v>0.65</v>
      </c>
    </row>
    <row r="2779" spans="1:2" x14ac:dyDescent="0.25">
      <c r="A2779" s="162">
        <v>42074</v>
      </c>
      <c r="B2779" s="163">
        <v>0.65</v>
      </c>
    </row>
    <row r="2780" spans="1:2" x14ac:dyDescent="0.25">
      <c r="A2780" s="162">
        <v>42075</v>
      </c>
      <c r="B2780" s="163">
        <v>0.66</v>
      </c>
    </row>
    <row r="2781" spans="1:2" x14ac:dyDescent="0.25">
      <c r="A2781" s="162">
        <v>42076</v>
      </c>
      <c r="B2781" s="163">
        <v>0.7</v>
      </c>
    </row>
    <row r="2782" spans="1:2" x14ac:dyDescent="0.25">
      <c r="A2782" s="162">
        <v>42079</v>
      </c>
      <c r="B2782" s="163">
        <v>0.67</v>
      </c>
    </row>
    <row r="2783" spans="1:2" x14ac:dyDescent="0.25">
      <c r="A2783" s="162">
        <v>42080</v>
      </c>
      <c r="B2783" s="163">
        <v>0.65</v>
      </c>
    </row>
    <row r="2784" spans="1:2" x14ac:dyDescent="0.25">
      <c r="A2784" s="162">
        <v>42081</v>
      </c>
      <c r="B2784" s="163">
        <v>0.46</v>
      </c>
    </row>
    <row r="2785" spans="1:2" x14ac:dyDescent="0.25">
      <c r="A2785" s="162">
        <v>42082</v>
      </c>
      <c r="B2785" s="163">
        <v>0.46</v>
      </c>
    </row>
    <row r="2786" spans="1:2" x14ac:dyDescent="0.25">
      <c r="A2786" s="162">
        <v>42083</v>
      </c>
      <c r="B2786" s="163">
        <v>0.43</v>
      </c>
    </row>
    <row r="2787" spans="1:2" x14ac:dyDescent="0.25">
      <c r="A2787" s="162">
        <v>42086</v>
      </c>
      <c r="B2787" s="163">
        <v>0.44</v>
      </c>
    </row>
    <row r="2788" spans="1:2" x14ac:dyDescent="0.25">
      <c r="A2788" s="162">
        <v>42087</v>
      </c>
      <c r="B2788" s="163">
        <v>0.38</v>
      </c>
    </row>
    <row r="2789" spans="1:2" x14ac:dyDescent="0.25">
      <c r="A2789" s="162">
        <v>42088</v>
      </c>
      <c r="B2789" s="163">
        <v>0.3</v>
      </c>
    </row>
    <row r="2790" spans="1:2" x14ac:dyDescent="0.25">
      <c r="A2790" s="162">
        <v>42089</v>
      </c>
      <c r="B2790" s="163">
        <v>0.49</v>
      </c>
    </row>
    <row r="2791" spans="1:2" x14ac:dyDescent="0.25">
      <c r="A2791" s="162">
        <v>42090</v>
      </c>
      <c r="B2791" s="163">
        <v>0.46</v>
      </c>
    </row>
    <row r="2792" spans="1:2" x14ac:dyDescent="0.25">
      <c r="A2792" s="162">
        <v>42093</v>
      </c>
      <c r="B2792" s="163">
        <v>0.51</v>
      </c>
    </row>
    <row r="2793" spans="1:2" x14ac:dyDescent="0.25">
      <c r="A2793" s="162">
        <v>42094</v>
      </c>
      <c r="B2793" s="163">
        <v>0.49</v>
      </c>
    </row>
    <row r="2794" spans="1:2" x14ac:dyDescent="0.25">
      <c r="A2794" s="162">
        <v>42095</v>
      </c>
      <c r="B2794" s="163">
        <v>0.39</v>
      </c>
    </row>
    <row r="2795" spans="1:2" x14ac:dyDescent="0.25">
      <c r="A2795" s="162">
        <v>42096</v>
      </c>
      <c r="B2795" s="163">
        <v>0.43</v>
      </c>
    </row>
    <row r="2796" spans="1:2" x14ac:dyDescent="0.25">
      <c r="A2796" s="162">
        <v>42097</v>
      </c>
      <c r="B2796" s="163">
        <v>0.36</v>
      </c>
    </row>
    <row r="2797" spans="1:2" x14ac:dyDescent="0.25">
      <c r="A2797" s="162">
        <v>42100</v>
      </c>
      <c r="B2797" s="163">
        <v>0.43</v>
      </c>
    </row>
    <row r="2798" spans="1:2" x14ac:dyDescent="0.25">
      <c r="A2798" s="162">
        <v>42101</v>
      </c>
      <c r="B2798" s="163">
        <v>0.38</v>
      </c>
    </row>
    <row r="2799" spans="1:2" x14ac:dyDescent="0.25">
      <c r="A2799" s="162">
        <v>42102</v>
      </c>
      <c r="B2799" s="163">
        <v>0.41</v>
      </c>
    </row>
    <row r="2800" spans="1:2" x14ac:dyDescent="0.25">
      <c r="A2800" s="162">
        <v>42103</v>
      </c>
      <c r="B2800" s="163">
        <v>0.46</v>
      </c>
    </row>
    <row r="2801" spans="1:2" x14ac:dyDescent="0.25">
      <c r="A2801" s="162">
        <v>42104</v>
      </c>
      <c r="B2801" s="163">
        <v>0.46</v>
      </c>
    </row>
    <row r="2802" spans="1:2" x14ac:dyDescent="0.25">
      <c r="A2802" s="162">
        <v>42107</v>
      </c>
      <c r="B2802" s="163">
        <v>0.47</v>
      </c>
    </row>
    <row r="2803" spans="1:2" x14ac:dyDescent="0.25">
      <c r="A2803" s="162">
        <v>42108</v>
      </c>
      <c r="B2803" s="163">
        <v>0.44</v>
      </c>
    </row>
    <row r="2804" spans="1:2" x14ac:dyDescent="0.25">
      <c r="A2804" s="162">
        <v>42109</v>
      </c>
      <c r="B2804" s="163">
        <v>0.42</v>
      </c>
    </row>
    <row r="2805" spans="1:2" x14ac:dyDescent="0.25">
      <c r="A2805" s="162">
        <v>42110</v>
      </c>
      <c r="B2805" s="163">
        <v>0.41</v>
      </c>
    </row>
    <row r="2806" spans="1:2" x14ac:dyDescent="0.25">
      <c r="A2806" s="162">
        <v>42111</v>
      </c>
      <c r="B2806" s="163">
        <v>0.32</v>
      </c>
    </row>
    <row r="2807" spans="1:2" x14ac:dyDescent="0.25">
      <c r="A2807" s="162">
        <v>42114</v>
      </c>
      <c r="B2807" s="163">
        <v>0.36</v>
      </c>
    </row>
    <row r="2808" spans="1:2" x14ac:dyDescent="0.25">
      <c r="A2808" s="162">
        <v>42115</v>
      </c>
      <c r="B2808" s="163">
        <v>0.4</v>
      </c>
    </row>
    <row r="2809" spans="1:2" x14ac:dyDescent="0.25">
      <c r="A2809" s="162">
        <v>42116</v>
      </c>
      <c r="B2809" s="163">
        <v>0.48</v>
      </c>
    </row>
    <row r="2810" spans="1:2" x14ac:dyDescent="0.25">
      <c r="A2810" s="162">
        <v>42117</v>
      </c>
      <c r="B2810" s="163">
        <v>0.43</v>
      </c>
    </row>
    <row r="2811" spans="1:2" x14ac:dyDescent="0.25">
      <c r="A2811" s="162">
        <v>42118</v>
      </c>
      <c r="B2811" s="163">
        <v>0.4</v>
      </c>
    </row>
    <row r="2812" spans="1:2" x14ac:dyDescent="0.25">
      <c r="A2812" s="162">
        <v>42121</v>
      </c>
      <c r="B2812" s="163">
        <v>0.39</v>
      </c>
    </row>
    <row r="2813" spans="1:2" x14ac:dyDescent="0.25">
      <c r="A2813" s="162">
        <v>42122</v>
      </c>
      <c r="B2813" s="163">
        <v>0.47</v>
      </c>
    </row>
    <row r="2814" spans="1:2" x14ac:dyDescent="0.25">
      <c r="A2814" s="162">
        <v>42123</v>
      </c>
      <c r="B2814" s="163">
        <v>0.52</v>
      </c>
    </row>
    <row r="2815" spans="1:2" x14ac:dyDescent="0.25">
      <c r="A2815" s="162">
        <v>42124</v>
      </c>
      <c r="B2815" s="163">
        <v>0.48</v>
      </c>
    </row>
    <row r="2816" spans="1:2" x14ac:dyDescent="0.25">
      <c r="A2816" s="162">
        <v>42125</v>
      </c>
      <c r="B2816" s="163">
        <v>0.54</v>
      </c>
    </row>
    <row r="2817" spans="1:2" x14ac:dyDescent="0.25">
      <c r="A2817" s="162">
        <v>42128</v>
      </c>
      <c r="B2817" s="163">
        <v>0.62</v>
      </c>
    </row>
    <row r="2818" spans="1:2" x14ac:dyDescent="0.25">
      <c r="A2818" s="162">
        <v>42129</v>
      </c>
      <c r="B2818" s="163">
        <v>0.62</v>
      </c>
    </row>
    <row r="2819" spans="1:2" x14ac:dyDescent="0.25">
      <c r="A2819" s="162">
        <v>42130</v>
      </c>
      <c r="B2819" s="163">
        <v>0.72</v>
      </c>
    </row>
    <row r="2820" spans="1:2" x14ac:dyDescent="0.25">
      <c r="A2820" s="162">
        <v>42131</v>
      </c>
      <c r="B2820" s="163">
        <v>0.65</v>
      </c>
    </row>
    <row r="2821" spans="1:2" x14ac:dyDescent="0.25">
      <c r="A2821" s="162">
        <v>42132</v>
      </c>
      <c r="B2821" s="163">
        <v>0.66</v>
      </c>
    </row>
    <row r="2822" spans="1:2" x14ac:dyDescent="0.25">
      <c r="A2822" s="162">
        <v>42135</v>
      </c>
      <c r="B2822" s="163">
        <v>0.77</v>
      </c>
    </row>
    <row r="2823" spans="1:2" x14ac:dyDescent="0.25">
      <c r="A2823" s="162">
        <v>42136</v>
      </c>
      <c r="B2823" s="163">
        <v>0.77</v>
      </c>
    </row>
    <row r="2824" spans="1:2" x14ac:dyDescent="0.25">
      <c r="A2824" s="162">
        <v>42137</v>
      </c>
      <c r="B2824" s="163">
        <v>0.81</v>
      </c>
    </row>
    <row r="2825" spans="1:2" x14ac:dyDescent="0.25">
      <c r="A2825" s="162">
        <v>42138</v>
      </c>
      <c r="B2825" s="163">
        <v>0.64</v>
      </c>
    </row>
    <row r="2826" spans="1:2" x14ac:dyDescent="0.25">
      <c r="A2826" s="162">
        <v>42139</v>
      </c>
      <c r="B2826" s="163">
        <v>0.7</v>
      </c>
    </row>
    <row r="2827" spans="1:2" x14ac:dyDescent="0.25">
      <c r="A2827" s="162">
        <v>42142</v>
      </c>
      <c r="B2827" s="163">
        <v>0.78</v>
      </c>
    </row>
    <row r="2828" spans="1:2" x14ac:dyDescent="0.25">
      <c r="A2828" s="162">
        <v>42143</v>
      </c>
      <c r="B2828" s="163">
        <v>0.81</v>
      </c>
    </row>
    <row r="2829" spans="1:2" x14ac:dyDescent="0.25">
      <c r="A2829" s="162">
        <v>42144</v>
      </c>
      <c r="B2829" s="163">
        <v>0.8</v>
      </c>
    </row>
    <row r="2830" spans="1:2" x14ac:dyDescent="0.25">
      <c r="A2830" s="162">
        <v>42145</v>
      </c>
      <c r="B2830" s="163">
        <v>0.76</v>
      </c>
    </row>
    <row r="2831" spans="1:2" x14ac:dyDescent="0.25">
      <c r="A2831" s="162">
        <v>42146</v>
      </c>
      <c r="B2831" s="163">
        <v>0.74</v>
      </c>
    </row>
    <row r="2832" spans="1:2" x14ac:dyDescent="0.25">
      <c r="A2832" s="162">
        <v>42149</v>
      </c>
      <c r="B2832" s="163" t="e">
        <f>NA()</f>
        <v>#N/A</v>
      </c>
    </row>
    <row r="2833" spans="1:2" x14ac:dyDescent="0.25">
      <c r="A2833" s="162">
        <v>42150</v>
      </c>
      <c r="B2833" s="163">
        <v>0.7</v>
      </c>
    </row>
    <row r="2834" spans="1:2" x14ac:dyDescent="0.25">
      <c r="A2834" s="162">
        <v>42151</v>
      </c>
      <c r="B2834" s="163">
        <v>0.71</v>
      </c>
    </row>
    <row r="2835" spans="1:2" x14ac:dyDescent="0.25">
      <c r="A2835" s="162">
        <v>42152</v>
      </c>
      <c r="B2835" s="163">
        <v>0.59</v>
      </c>
    </row>
    <row r="2836" spans="1:2" x14ac:dyDescent="0.25">
      <c r="A2836" s="162">
        <v>42153</v>
      </c>
      <c r="B2836" s="164">
        <v>0.7</v>
      </c>
    </row>
    <row r="2837" spans="1:2" x14ac:dyDescent="0.25">
      <c r="A2837" s="162">
        <v>42156</v>
      </c>
      <c r="B2837" s="163">
        <v>0.77</v>
      </c>
    </row>
    <row r="2838" spans="1:2" x14ac:dyDescent="0.25">
      <c r="A2838" s="162">
        <v>42157</v>
      </c>
      <c r="B2838" s="163">
        <v>0.84</v>
      </c>
    </row>
    <row r="2839" spans="1:2" x14ac:dyDescent="0.25">
      <c r="A2839" s="162">
        <v>42158</v>
      </c>
      <c r="B2839" s="163">
        <v>0.93</v>
      </c>
    </row>
    <row r="2840" spans="1:2" x14ac:dyDescent="0.25">
      <c r="A2840" s="162">
        <v>42159</v>
      </c>
      <c r="B2840" s="163">
        <v>0.87</v>
      </c>
    </row>
    <row r="2841" spans="1:2" x14ac:dyDescent="0.25">
      <c r="A2841" s="162">
        <v>42160</v>
      </c>
      <c r="B2841" s="163">
        <v>0.92</v>
      </c>
    </row>
    <row r="2842" spans="1:2" x14ac:dyDescent="0.25">
      <c r="A2842" s="162">
        <v>42163</v>
      </c>
      <c r="B2842" s="163">
        <v>0.92</v>
      </c>
    </row>
    <row r="2843" spans="1:2" x14ac:dyDescent="0.25">
      <c r="A2843" s="162">
        <v>42164</v>
      </c>
      <c r="B2843" s="163">
        <v>0.95</v>
      </c>
    </row>
    <row r="2844" spans="1:2" x14ac:dyDescent="0.25">
      <c r="A2844" s="162">
        <v>42165</v>
      </c>
      <c r="B2844" s="163">
        <v>1.02</v>
      </c>
    </row>
    <row r="2845" spans="1:2" x14ac:dyDescent="0.25">
      <c r="A2845" s="162">
        <v>42166</v>
      </c>
      <c r="B2845" s="163">
        <v>0.94</v>
      </c>
    </row>
    <row r="2846" spans="1:2" x14ac:dyDescent="0.25">
      <c r="A2846" s="162">
        <v>42167</v>
      </c>
      <c r="B2846" s="163">
        <v>0.93</v>
      </c>
    </row>
    <row r="2847" spans="1:2" x14ac:dyDescent="0.25">
      <c r="A2847" s="162">
        <v>42170</v>
      </c>
      <c r="B2847" s="163">
        <v>0.89</v>
      </c>
    </row>
    <row r="2848" spans="1:2" x14ac:dyDescent="0.25">
      <c r="A2848" s="162">
        <v>42171</v>
      </c>
      <c r="B2848" s="163">
        <v>0.82</v>
      </c>
    </row>
    <row r="2849" spans="1:2" x14ac:dyDescent="0.25">
      <c r="A2849" s="162">
        <v>42172</v>
      </c>
      <c r="B2849" s="163">
        <v>0.84</v>
      </c>
    </row>
    <row r="2850" spans="1:2" x14ac:dyDescent="0.25">
      <c r="A2850" s="162">
        <v>42173</v>
      </c>
      <c r="B2850" s="163">
        <v>0.89</v>
      </c>
    </row>
    <row r="2851" spans="1:2" x14ac:dyDescent="0.25">
      <c r="A2851" s="162">
        <v>42174</v>
      </c>
      <c r="B2851" s="163">
        <v>0.81</v>
      </c>
    </row>
    <row r="2852" spans="1:2" x14ac:dyDescent="0.25">
      <c r="A2852" s="162">
        <v>42177</v>
      </c>
      <c r="B2852" s="163">
        <v>0.88</v>
      </c>
    </row>
    <row r="2853" spans="1:2" x14ac:dyDescent="0.25">
      <c r="A2853" s="162">
        <v>42178</v>
      </c>
      <c r="B2853" s="163">
        <v>0.92</v>
      </c>
    </row>
    <row r="2854" spans="1:2" x14ac:dyDescent="0.25">
      <c r="A2854" s="162">
        <v>42179</v>
      </c>
      <c r="B2854" s="163">
        <v>0.88</v>
      </c>
    </row>
    <row r="2855" spans="1:2" x14ac:dyDescent="0.25">
      <c r="A2855" s="162">
        <v>42180</v>
      </c>
      <c r="B2855" s="163">
        <v>0.89</v>
      </c>
    </row>
    <row r="2856" spans="1:2" x14ac:dyDescent="0.25">
      <c r="A2856" s="162">
        <v>42181</v>
      </c>
      <c r="B2856" s="163">
        <v>0.97</v>
      </c>
    </row>
    <row r="2857" spans="1:2" x14ac:dyDescent="0.25">
      <c r="A2857" s="162">
        <v>42184</v>
      </c>
      <c r="B2857" s="163">
        <v>0.86</v>
      </c>
    </row>
    <row r="2858" spans="1:2" x14ac:dyDescent="0.25">
      <c r="A2858" s="162">
        <v>42185</v>
      </c>
      <c r="B2858" s="163">
        <v>0.88</v>
      </c>
    </row>
    <row r="2859" spans="1:2" x14ac:dyDescent="0.25">
      <c r="A2859" s="162">
        <v>42186</v>
      </c>
      <c r="B2859" s="163">
        <v>0.94</v>
      </c>
    </row>
    <row r="2860" spans="1:2" x14ac:dyDescent="0.25">
      <c r="A2860" s="162">
        <v>42187</v>
      </c>
      <c r="B2860" s="163">
        <v>0.91</v>
      </c>
    </row>
    <row r="2861" spans="1:2" x14ac:dyDescent="0.25">
      <c r="A2861" s="162">
        <v>42188</v>
      </c>
      <c r="B2861" s="163" t="e">
        <f>NA()</f>
        <v>#N/A</v>
      </c>
    </row>
    <row r="2862" spans="1:2" x14ac:dyDescent="0.25">
      <c r="A2862" s="162">
        <v>42191</v>
      </c>
      <c r="B2862" s="163">
        <v>0.83</v>
      </c>
    </row>
    <row r="2863" spans="1:2" x14ac:dyDescent="0.25">
      <c r="A2863" s="162">
        <v>42192</v>
      </c>
      <c r="B2863" s="163">
        <v>0.79</v>
      </c>
    </row>
    <row r="2864" spans="1:2" x14ac:dyDescent="0.25">
      <c r="A2864" s="162">
        <v>42193</v>
      </c>
      <c r="B2864" s="163">
        <v>0.78</v>
      </c>
    </row>
    <row r="2865" spans="1:2" x14ac:dyDescent="0.25">
      <c r="A2865" s="162">
        <v>42194</v>
      </c>
      <c r="B2865" s="164">
        <v>0.88</v>
      </c>
    </row>
    <row r="2866" spans="1:2" x14ac:dyDescent="0.25">
      <c r="A2866" s="162">
        <v>42195</v>
      </c>
      <c r="B2866" s="163">
        <v>0.96</v>
      </c>
    </row>
    <row r="2867" spans="1:2" x14ac:dyDescent="0.25">
      <c r="A2867" s="162">
        <v>42198</v>
      </c>
      <c r="B2867" s="163">
        <v>0.97</v>
      </c>
    </row>
    <row r="2868" spans="1:2" x14ac:dyDescent="0.25">
      <c r="A2868" s="162">
        <v>42199</v>
      </c>
      <c r="B2868" s="163">
        <v>0.96</v>
      </c>
    </row>
    <row r="2869" spans="1:2" x14ac:dyDescent="0.25">
      <c r="A2869" s="162">
        <v>42200</v>
      </c>
      <c r="B2869" s="163">
        <v>0.91</v>
      </c>
    </row>
    <row r="2870" spans="1:2" x14ac:dyDescent="0.25">
      <c r="A2870" s="162">
        <v>42201</v>
      </c>
      <c r="B2870" s="163">
        <v>0.9</v>
      </c>
    </row>
    <row r="2871" spans="1:2" x14ac:dyDescent="0.25">
      <c r="A2871" s="162">
        <v>42202</v>
      </c>
      <c r="B2871" s="163">
        <v>0.77</v>
      </c>
    </row>
    <row r="2872" spans="1:2" x14ac:dyDescent="0.25">
      <c r="A2872" s="162">
        <v>42205</v>
      </c>
      <c r="B2872" s="163">
        <v>0.92</v>
      </c>
    </row>
    <row r="2873" spans="1:2" x14ac:dyDescent="0.25">
      <c r="A2873" s="162">
        <v>42206</v>
      </c>
      <c r="B2873" s="163">
        <v>0.9</v>
      </c>
    </row>
    <row r="2874" spans="1:2" x14ac:dyDescent="0.25">
      <c r="A2874" s="162">
        <v>42207</v>
      </c>
      <c r="B2874" s="163">
        <v>0.88</v>
      </c>
    </row>
    <row r="2875" spans="1:2" x14ac:dyDescent="0.25">
      <c r="A2875" s="162">
        <v>42208</v>
      </c>
      <c r="B2875" s="163">
        <v>0.83</v>
      </c>
    </row>
    <row r="2876" spans="1:2" x14ac:dyDescent="0.25">
      <c r="A2876" s="162">
        <v>42209</v>
      </c>
      <c r="B2876" s="163">
        <v>0.84</v>
      </c>
    </row>
    <row r="2877" spans="1:2" x14ac:dyDescent="0.25">
      <c r="A2877" s="162">
        <v>42212</v>
      </c>
      <c r="B2877" s="163">
        <v>0.83</v>
      </c>
    </row>
    <row r="2878" spans="1:2" x14ac:dyDescent="0.25">
      <c r="A2878" s="162">
        <v>42213</v>
      </c>
      <c r="B2878" s="163">
        <v>0.85</v>
      </c>
    </row>
    <row r="2879" spans="1:2" x14ac:dyDescent="0.25">
      <c r="A2879" s="162">
        <v>42214</v>
      </c>
      <c r="B2879" s="163">
        <v>0.86</v>
      </c>
    </row>
    <row r="2880" spans="1:2" x14ac:dyDescent="0.25">
      <c r="A2880" s="162">
        <v>42215</v>
      </c>
      <c r="B2880" s="163">
        <v>0.84</v>
      </c>
    </row>
    <row r="2881" spans="1:2" x14ac:dyDescent="0.25">
      <c r="A2881" s="162">
        <v>42216</v>
      </c>
      <c r="B2881" s="163">
        <v>0.81</v>
      </c>
    </row>
    <row r="2882" spans="1:2" x14ac:dyDescent="0.25">
      <c r="A2882" s="162">
        <v>42219</v>
      </c>
      <c r="B2882" s="163">
        <v>0.78</v>
      </c>
    </row>
    <row r="2883" spans="1:2" x14ac:dyDescent="0.25">
      <c r="A2883" s="162">
        <v>42220</v>
      </c>
      <c r="B2883" s="163">
        <v>0.83</v>
      </c>
    </row>
    <row r="2884" spans="1:2" x14ac:dyDescent="0.25">
      <c r="A2884" s="162">
        <v>42221</v>
      </c>
      <c r="B2884" s="163">
        <v>0.89</v>
      </c>
    </row>
    <row r="2885" spans="1:2" x14ac:dyDescent="0.25">
      <c r="A2885" s="162">
        <v>42222</v>
      </c>
      <c r="B2885" s="163">
        <v>0.87</v>
      </c>
    </row>
    <row r="2886" spans="1:2" x14ac:dyDescent="0.25">
      <c r="A2886" s="162">
        <v>42223</v>
      </c>
      <c r="B2886" s="163">
        <v>0.82</v>
      </c>
    </row>
    <row r="2887" spans="1:2" x14ac:dyDescent="0.25">
      <c r="A2887" s="162">
        <v>42226</v>
      </c>
      <c r="B2887" s="163">
        <v>0.85</v>
      </c>
    </row>
    <row r="2888" spans="1:2" x14ac:dyDescent="0.25">
      <c r="A2888" s="162">
        <v>42227</v>
      </c>
      <c r="B2888" s="163">
        <v>0.8</v>
      </c>
    </row>
    <row r="2889" spans="1:2" x14ac:dyDescent="0.25">
      <c r="A2889" s="162">
        <v>42228</v>
      </c>
      <c r="B2889" s="163">
        <v>0.84</v>
      </c>
    </row>
    <row r="2890" spans="1:2" x14ac:dyDescent="0.25">
      <c r="A2890" s="162">
        <v>42229</v>
      </c>
      <c r="B2890" s="163">
        <v>0.87</v>
      </c>
    </row>
    <row r="2891" spans="1:2" x14ac:dyDescent="0.25">
      <c r="A2891" s="162">
        <v>42230</v>
      </c>
      <c r="B2891" s="163">
        <v>0.86</v>
      </c>
    </row>
    <row r="2892" spans="1:2" x14ac:dyDescent="0.25">
      <c r="A2892" s="162">
        <v>42233</v>
      </c>
      <c r="B2892" s="163">
        <v>0.86</v>
      </c>
    </row>
    <row r="2893" spans="1:2" x14ac:dyDescent="0.25">
      <c r="A2893" s="162">
        <v>42234</v>
      </c>
      <c r="B2893" s="163">
        <v>0.91</v>
      </c>
    </row>
    <row r="2894" spans="1:2" x14ac:dyDescent="0.25">
      <c r="A2894" s="162">
        <v>42235</v>
      </c>
      <c r="B2894" s="163">
        <v>0.85</v>
      </c>
    </row>
    <row r="2895" spans="1:2" x14ac:dyDescent="0.25">
      <c r="A2895" s="162">
        <v>42236</v>
      </c>
      <c r="B2895" s="163">
        <v>0.81</v>
      </c>
    </row>
    <row r="2896" spans="1:2" x14ac:dyDescent="0.25">
      <c r="A2896" s="162">
        <v>42237</v>
      </c>
      <c r="B2896" s="163">
        <v>0.82</v>
      </c>
    </row>
    <row r="2897" spans="1:2" x14ac:dyDescent="0.25">
      <c r="A2897" s="162">
        <v>42240</v>
      </c>
      <c r="B2897" s="163">
        <v>0.84</v>
      </c>
    </row>
    <row r="2898" spans="1:2" x14ac:dyDescent="0.25">
      <c r="A2898" s="162">
        <v>42241</v>
      </c>
      <c r="B2898" s="163">
        <v>0.92</v>
      </c>
    </row>
    <row r="2899" spans="1:2" x14ac:dyDescent="0.25">
      <c r="A2899" s="162">
        <v>42242</v>
      </c>
      <c r="B2899" s="163">
        <v>1</v>
      </c>
    </row>
    <row r="2900" spans="1:2" x14ac:dyDescent="0.25">
      <c r="A2900" s="162">
        <v>42243</v>
      </c>
      <c r="B2900" s="163">
        <v>0.94</v>
      </c>
    </row>
    <row r="2901" spans="1:2" x14ac:dyDescent="0.25">
      <c r="A2901" s="162">
        <v>42244</v>
      </c>
      <c r="B2901" s="163">
        <v>0.91</v>
      </c>
    </row>
    <row r="2902" spans="1:2" x14ac:dyDescent="0.25">
      <c r="A2902" s="162">
        <v>42247</v>
      </c>
      <c r="B2902" s="163">
        <v>0.93</v>
      </c>
    </row>
    <row r="2903" spans="1:2" x14ac:dyDescent="0.25">
      <c r="A2903" s="162">
        <v>42248</v>
      </c>
      <c r="B2903" s="163">
        <v>0.95</v>
      </c>
    </row>
    <row r="2904" spans="1:2" x14ac:dyDescent="0.25">
      <c r="A2904" s="162">
        <v>42249</v>
      </c>
      <c r="B2904" s="163">
        <v>1</v>
      </c>
    </row>
    <row r="2905" spans="1:2" x14ac:dyDescent="0.25">
      <c r="A2905" s="162">
        <v>42250</v>
      </c>
      <c r="B2905" s="163">
        <v>0.99</v>
      </c>
    </row>
    <row r="2906" spans="1:2" x14ac:dyDescent="0.25">
      <c r="A2906" s="162">
        <v>42251</v>
      </c>
      <c r="B2906" s="163">
        <v>0.96</v>
      </c>
    </row>
    <row r="2907" spans="1:2" x14ac:dyDescent="0.25">
      <c r="A2907" s="162">
        <v>42254</v>
      </c>
      <c r="B2907" s="163" t="e">
        <f>NA()</f>
        <v>#N/A</v>
      </c>
    </row>
    <row r="2908" spans="1:2" x14ac:dyDescent="0.25">
      <c r="A2908" s="162">
        <v>42255</v>
      </c>
      <c r="B2908" s="163">
        <v>1.02</v>
      </c>
    </row>
    <row r="2909" spans="1:2" x14ac:dyDescent="0.25">
      <c r="A2909" s="162">
        <v>42256</v>
      </c>
      <c r="B2909" s="163">
        <v>0.99</v>
      </c>
    </row>
    <row r="2910" spans="1:2" x14ac:dyDescent="0.25">
      <c r="A2910" s="162">
        <v>42257</v>
      </c>
      <c r="B2910" s="163">
        <v>0.98</v>
      </c>
    </row>
    <row r="2911" spans="1:2" x14ac:dyDescent="0.25">
      <c r="A2911" s="162">
        <v>42258</v>
      </c>
      <c r="B2911" s="164">
        <v>0.96</v>
      </c>
    </row>
    <row r="2912" spans="1:2" x14ac:dyDescent="0.25">
      <c r="A2912" s="162">
        <v>42261</v>
      </c>
      <c r="B2912" s="163">
        <v>0.97</v>
      </c>
    </row>
    <row r="2913" spans="1:2" x14ac:dyDescent="0.25">
      <c r="A2913" s="162">
        <v>42262</v>
      </c>
      <c r="B2913" s="163">
        <v>1.07</v>
      </c>
    </row>
    <row r="2914" spans="1:2" x14ac:dyDescent="0.25">
      <c r="A2914" s="162">
        <v>42263</v>
      </c>
      <c r="B2914" s="163">
        <v>1.1000000000000001</v>
      </c>
    </row>
    <row r="2915" spans="1:2" x14ac:dyDescent="0.25">
      <c r="A2915" s="162">
        <v>42264</v>
      </c>
      <c r="B2915" s="163">
        <v>1.02</v>
      </c>
    </row>
    <row r="2916" spans="1:2" x14ac:dyDescent="0.25">
      <c r="A2916" s="162">
        <v>42265</v>
      </c>
      <c r="B2916" s="163">
        <v>0.95</v>
      </c>
    </row>
    <row r="2917" spans="1:2" x14ac:dyDescent="0.25">
      <c r="A2917" s="162">
        <v>42268</v>
      </c>
      <c r="B2917" s="163">
        <v>1.05</v>
      </c>
    </row>
    <row r="2918" spans="1:2" x14ac:dyDescent="0.25">
      <c r="A2918" s="162">
        <v>42269</v>
      </c>
      <c r="B2918" s="163">
        <v>1.01</v>
      </c>
    </row>
    <row r="2919" spans="1:2" x14ac:dyDescent="0.25">
      <c r="A2919" s="162">
        <v>42270</v>
      </c>
      <c r="B2919" s="163">
        <v>1.02</v>
      </c>
    </row>
    <row r="2920" spans="1:2" x14ac:dyDescent="0.25">
      <c r="A2920" s="162">
        <v>42271</v>
      </c>
      <c r="B2920" s="163">
        <v>1.01</v>
      </c>
    </row>
    <row r="2921" spans="1:2" x14ac:dyDescent="0.25">
      <c r="A2921" s="162">
        <v>42272</v>
      </c>
      <c r="B2921" s="163">
        <v>1.0900000000000001</v>
      </c>
    </row>
    <row r="2922" spans="1:2" x14ac:dyDescent="0.25">
      <c r="A2922" s="162">
        <v>42275</v>
      </c>
      <c r="B2922" s="163">
        <v>1.06</v>
      </c>
    </row>
    <row r="2923" spans="1:2" x14ac:dyDescent="0.25">
      <c r="A2923" s="162">
        <v>42276</v>
      </c>
      <c r="B2923" s="163">
        <v>1.04</v>
      </c>
    </row>
    <row r="2924" spans="1:2" x14ac:dyDescent="0.25">
      <c r="A2924" s="162">
        <v>42277</v>
      </c>
      <c r="B2924" s="163">
        <v>1.05</v>
      </c>
    </row>
    <row r="2925" spans="1:2" x14ac:dyDescent="0.25">
      <c r="A2925" s="162">
        <v>42278</v>
      </c>
      <c r="B2925" s="163">
        <v>0.99</v>
      </c>
    </row>
    <row r="2926" spans="1:2" x14ac:dyDescent="0.25">
      <c r="A2926" s="162">
        <v>42279</v>
      </c>
      <c r="B2926" s="163">
        <v>0.93</v>
      </c>
    </row>
    <row r="2927" spans="1:2" x14ac:dyDescent="0.25">
      <c r="A2927" s="162">
        <v>42282</v>
      </c>
      <c r="B2927" s="163">
        <v>0.99</v>
      </c>
    </row>
    <row r="2928" spans="1:2" x14ac:dyDescent="0.25">
      <c r="A2928" s="162">
        <v>42283</v>
      </c>
      <c r="B2928" s="163">
        <v>0.97</v>
      </c>
    </row>
    <row r="2929" spans="1:2" x14ac:dyDescent="0.25">
      <c r="A2929" s="162">
        <v>42284</v>
      </c>
      <c r="B2929" s="163">
        <v>0.95</v>
      </c>
    </row>
    <row r="2930" spans="1:2" x14ac:dyDescent="0.25">
      <c r="A2930" s="162">
        <v>42285</v>
      </c>
      <c r="B2930" s="163">
        <v>0.98</v>
      </c>
    </row>
    <row r="2931" spans="1:2" x14ac:dyDescent="0.25">
      <c r="A2931" s="162">
        <v>42286</v>
      </c>
      <c r="B2931" s="163">
        <v>1.01</v>
      </c>
    </row>
    <row r="2932" spans="1:2" x14ac:dyDescent="0.25">
      <c r="A2932" s="162">
        <v>42289</v>
      </c>
      <c r="B2932" s="163" t="e">
        <f>NA()</f>
        <v>#N/A</v>
      </c>
    </row>
    <row r="2933" spans="1:2" x14ac:dyDescent="0.25">
      <c r="A2933" s="162">
        <v>42290</v>
      </c>
      <c r="B2933" s="163">
        <v>0.96</v>
      </c>
    </row>
    <row r="2934" spans="1:2" x14ac:dyDescent="0.25">
      <c r="A2934" s="162">
        <v>42291</v>
      </c>
      <c r="B2934" s="163">
        <v>0.93</v>
      </c>
    </row>
    <row r="2935" spans="1:2" x14ac:dyDescent="0.25">
      <c r="A2935" s="162">
        <v>42292</v>
      </c>
      <c r="B2935" s="163">
        <v>0.98</v>
      </c>
    </row>
    <row r="2936" spans="1:2" x14ac:dyDescent="0.25">
      <c r="A2936" s="162">
        <v>42293</v>
      </c>
      <c r="B2936" s="164">
        <v>1</v>
      </c>
    </row>
    <row r="2937" spans="1:2" x14ac:dyDescent="0.25">
      <c r="A2937" s="162">
        <v>42296</v>
      </c>
      <c r="B2937" s="163">
        <v>1.01</v>
      </c>
    </row>
    <row r="2938" spans="1:2" x14ac:dyDescent="0.25">
      <c r="A2938" s="162">
        <v>42297</v>
      </c>
      <c r="B2938" s="163">
        <v>1.01</v>
      </c>
    </row>
    <row r="2939" spans="1:2" x14ac:dyDescent="0.25">
      <c r="A2939" s="162">
        <v>42298</v>
      </c>
      <c r="B2939" s="163">
        <v>1</v>
      </c>
    </row>
    <row r="2940" spans="1:2" x14ac:dyDescent="0.25">
      <c r="A2940" s="162">
        <v>42299</v>
      </c>
      <c r="B2940" s="163">
        <v>0.97</v>
      </c>
    </row>
    <row r="2941" spans="1:2" x14ac:dyDescent="0.25">
      <c r="A2941" s="162">
        <v>42300</v>
      </c>
      <c r="B2941" s="163">
        <v>0.96</v>
      </c>
    </row>
    <row r="2942" spans="1:2" x14ac:dyDescent="0.25">
      <c r="A2942" s="162">
        <v>42303</v>
      </c>
      <c r="B2942" s="163">
        <v>0.96</v>
      </c>
    </row>
    <row r="2943" spans="1:2" x14ac:dyDescent="0.25">
      <c r="A2943" s="162">
        <v>42304</v>
      </c>
      <c r="B2943" s="163">
        <v>0.95</v>
      </c>
    </row>
    <row r="2944" spans="1:2" x14ac:dyDescent="0.25">
      <c r="A2944" s="162">
        <v>42305</v>
      </c>
      <c r="B2944" s="163">
        <v>0.98</v>
      </c>
    </row>
    <row r="2945" spans="1:2" x14ac:dyDescent="0.25">
      <c r="A2945" s="162">
        <v>42306</v>
      </c>
      <c r="B2945" s="163">
        <v>1.02</v>
      </c>
    </row>
    <row r="2946" spans="1:2" x14ac:dyDescent="0.25">
      <c r="A2946" s="162">
        <v>42307</v>
      </c>
      <c r="B2946" s="163">
        <v>0.98</v>
      </c>
    </row>
    <row r="2947" spans="1:2" x14ac:dyDescent="0.25">
      <c r="A2947" s="162">
        <v>42310</v>
      </c>
      <c r="B2947" s="163">
        <v>0.99</v>
      </c>
    </row>
    <row r="2948" spans="1:2" x14ac:dyDescent="0.25">
      <c r="A2948" s="162">
        <v>42311</v>
      </c>
      <c r="B2948" s="163">
        <v>1.01</v>
      </c>
    </row>
    <row r="2949" spans="1:2" x14ac:dyDescent="0.25">
      <c r="A2949" s="162">
        <v>42312</v>
      </c>
      <c r="B2949" s="163">
        <v>1.02</v>
      </c>
    </row>
    <row r="2950" spans="1:2" x14ac:dyDescent="0.25">
      <c r="A2950" s="162">
        <v>42313</v>
      </c>
      <c r="B2950" s="163">
        <v>1.05</v>
      </c>
    </row>
    <row r="2951" spans="1:2" x14ac:dyDescent="0.25">
      <c r="A2951" s="162">
        <v>42314</v>
      </c>
      <c r="B2951" s="163">
        <v>1.0900000000000001</v>
      </c>
    </row>
    <row r="2952" spans="1:2" x14ac:dyDescent="0.25">
      <c r="A2952" s="162">
        <v>42317</v>
      </c>
      <c r="B2952" s="163">
        <v>1.1000000000000001</v>
      </c>
    </row>
    <row r="2953" spans="1:2" x14ac:dyDescent="0.25">
      <c r="A2953" s="162">
        <v>42318</v>
      </c>
      <c r="B2953" s="163">
        <v>1.1100000000000001</v>
      </c>
    </row>
    <row r="2954" spans="1:2" x14ac:dyDescent="0.25">
      <c r="A2954" s="162">
        <v>42319</v>
      </c>
      <c r="B2954" s="163" t="e">
        <f>NA()</f>
        <v>#N/A</v>
      </c>
    </row>
    <row r="2955" spans="1:2" x14ac:dyDescent="0.25">
      <c r="A2955" s="162">
        <v>42320</v>
      </c>
      <c r="B2955" s="163">
        <v>1.1100000000000001</v>
      </c>
    </row>
    <row r="2956" spans="1:2" x14ac:dyDescent="0.25">
      <c r="A2956" s="162">
        <v>42321</v>
      </c>
      <c r="B2956" s="163">
        <v>1.0900000000000001</v>
      </c>
    </row>
    <row r="2957" spans="1:2" x14ac:dyDescent="0.25">
      <c r="A2957" s="162">
        <v>42324</v>
      </c>
      <c r="B2957" s="163">
        <v>1.1100000000000001</v>
      </c>
    </row>
    <row r="2958" spans="1:2" x14ac:dyDescent="0.25">
      <c r="A2958" s="162">
        <v>42325</v>
      </c>
      <c r="B2958" s="164">
        <v>1.06</v>
      </c>
    </row>
    <row r="2959" spans="1:2" x14ac:dyDescent="0.25">
      <c r="A2959" s="162">
        <v>42326</v>
      </c>
      <c r="B2959" s="163">
        <v>1.05</v>
      </c>
    </row>
    <row r="2960" spans="1:2" x14ac:dyDescent="0.25">
      <c r="A2960" s="162">
        <v>42327</v>
      </c>
      <c r="B2960" s="163">
        <v>1.01</v>
      </c>
    </row>
    <row r="2961" spans="1:2" x14ac:dyDescent="0.25">
      <c r="A2961" s="162">
        <v>42328</v>
      </c>
      <c r="B2961" s="163">
        <v>1</v>
      </c>
    </row>
    <row r="2962" spans="1:2" x14ac:dyDescent="0.25">
      <c r="A2962" s="162">
        <v>42331</v>
      </c>
      <c r="B2962" s="163">
        <v>0.98</v>
      </c>
    </row>
    <row r="2963" spans="1:2" x14ac:dyDescent="0.25">
      <c r="A2963" s="162">
        <v>42332</v>
      </c>
      <c r="B2963" s="163">
        <v>0.97</v>
      </c>
    </row>
    <row r="2964" spans="1:2" x14ac:dyDescent="0.25">
      <c r="A2964" s="162">
        <v>42333</v>
      </c>
      <c r="B2964" s="163">
        <v>0.97</v>
      </c>
    </row>
    <row r="2965" spans="1:2" x14ac:dyDescent="0.25">
      <c r="A2965" s="162">
        <v>42334</v>
      </c>
      <c r="B2965" s="163" t="e">
        <f>NA()</f>
        <v>#N/A</v>
      </c>
    </row>
    <row r="2966" spans="1:2" x14ac:dyDescent="0.25">
      <c r="A2966" s="162">
        <v>42335</v>
      </c>
      <c r="B2966" s="163">
        <v>0.97</v>
      </c>
    </row>
    <row r="2967" spans="1:2" x14ac:dyDescent="0.25">
      <c r="A2967" s="162">
        <v>42338</v>
      </c>
      <c r="B2967" s="163">
        <v>0.96</v>
      </c>
    </row>
    <row r="2968" spans="1:2" x14ac:dyDescent="0.25">
      <c r="A2968" s="162">
        <v>42339</v>
      </c>
      <c r="B2968" s="163">
        <v>0.92</v>
      </c>
    </row>
    <row r="2969" spans="1:2" x14ac:dyDescent="0.25">
      <c r="A2969" s="162">
        <v>42340</v>
      </c>
      <c r="B2969" s="164">
        <v>0.95</v>
      </c>
    </row>
    <row r="2970" spans="1:2" x14ac:dyDescent="0.25">
      <c r="A2970" s="162">
        <v>42341</v>
      </c>
      <c r="B2970" s="163">
        <v>1.06</v>
      </c>
    </row>
    <row r="2971" spans="1:2" x14ac:dyDescent="0.25">
      <c r="A2971" s="162">
        <v>42342</v>
      </c>
      <c r="B2971" s="163">
        <v>1</v>
      </c>
    </row>
    <row r="2972" spans="1:2" x14ac:dyDescent="0.25">
      <c r="A2972" s="162">
        <v>42345</v>
      </c>
      <c r="B2972" s="163">
        <v>0.99</v>
      </c>
    </row>
    <row r="2973" spans="1:2" x14ac:dyDescent="0.25">
      <c r="A2973" s="162">
        <v>42346</v>
      </c>
      <c r="B2973" s="163">
        <v>1</v>
      </c>
    </row>
    <row r="2974" spans="1:2" x14ac:dyDescent="0.25">
      <c r="A2974" s="162">
        <v>42347</v>
      </c>
      <c r="B2974" s="163">
        <v>1.02</v>
      </c>
    </row>
    <row r="2975" spans="1:2" x14ac:dyDescent="0.25">
      <c r="A2975" s="162">
        <v>42348</v>
      </c>
      <c r="B2975" s="163">
        <v>1.05</v>
      </c>
    </row>
    <row r="2976" spans="1:2" x14ac:dyDescent="0.25">
      <c r="A2976" s="162">
        <v>42349</v>
      </c>
      <c r="B2976" s="163">
        <v>1</v>
      </c>
    </row>
    <row r="2977" spans="1:2" x14ac:dyDescent="0.25">
      <c r="A2977" s="162">
        <v>42352</v>
      </c>
      <c r="B2977" s="163">
        <v>1.1100000000000001</v>
      </c>
    </row>
    <row r="2978" spans="1:2" x14ac:dyDescent="0.25">
      <c r="A2978" s="162">
        <v>42353</v>
      </c>
      <c r="B2978" s="163">
        <v>1.1499999999999999</v>
      </c>
    </row>
    <row r="2979" spans="1:2" x14ac:dyDescent="0.25">
      <c r="A2979" s="162">
        <v>42354</v>
      </c>
      <c r="B2979" s="163">
        <v>1.2</v>
      </c>
    </row>
    <row r="2980" spans="1:2" x14ac:dyDescent="0.25">
      <c r="A2980" s="162">
        <v>42355</v>
      </c>
      <c r="B2980" s="163">
        <v>1.08</v>
      </c>
    </row>
    <row r="2981" spans="1:2" x14ac:dyDescent="0.25">
      <c r="A2981" s="162">
        <v>42356</v>
      </c>
      <c r="B2981" s="163">
        <v>1.07</v>
      </c>
    </row>
    <row r="2982" spans="1:2" x14ac:dyDescent="0.25">
      <c r="A2982" s="162">
        <v>42359</v>
      </c>
      <c r="B2982" s="163">
        <v>1.0900000000000001</v>
      </c>
    </row>
    <row r="2983" spans="1:2" x14ac:dyDescent="0.25">
      <c r="A2983" s="162">
        <v>42360</v>
      </c>
      <c r="B2983" s="163">
        <v>1.1000000000000001</v>
      </c>
    </row>
    <row r="2984" spans="1:2" x14ac:dyDescent="0.25">
      <c r="A2984" s="162">
        <v>42361</v>
      </c>
      <c r="B2984" s="163">
        <v>1.0900000000000001</v>
      </c>
    </row>
    <row r="2985" spans="1:2" x14ac:dyDescent="0.25">
      <c r="A2985" s="162">
        <v>42362</v>
      </c>
      <c r="B2985" s="163">
        <v>1.05</v>
      </c>
    </row>
    <row r="2986" spans="1:2" x14ac:dyDescent="0.25">
      <c r="A2986" s="162">
        <v>42363</v>
      </c>
      <c r="B2986" s="163" t="e">
        <f>NA()</f>
        <v>#N/A</v>
      </c>
    </row>
    <row r="2987" spans="1:2" x14ac:dyDescent="0.25">
      <c r="A2987" s="162">
        <v>42366</v>
      </c>
      <c r="B2987" s="163">
        <v>1.05</v>
      </c>
    </row>
    <row r="2988" spans="1:2" x14ac:dyDescent="0.25">
      <c r="A2988" s="162">
        <v>42367</v>
      </c>
      <c r="B2988" s="163">
        <v>1.1100000000000001</v>
      </c>
    </row>
    <row r="2989" spans="1:2" x14ac:dyDescent="0.25">
      <c r="A2989" s="162">
        <v>42368</v>
      </c>
      <c r="B2989" s="163">
        <v>1.1000000000000001</v>
      </c>
    </row>
    <row r="2990" spans="1:2" x14ac:dyDescent="0.25">
      <c r="A2990" s="162">
        <v>42369</v>
      </c>
      <c r="B2990" s="164">
        <v>1.07</v>
      </c>
    </row>
    <row r="2991" spans="1:2" x14ac:dyDescent="0.25">
      <c r="A2991" s="162">
        <v>42370</v>
      </c>
      <c r="B2991" s="163" t="e">
        <f>NA()</f>
        <v>#N/A</v>
      </c>
    </row>
    <row r="2992" spans="1:2" x14ac:dyDescent="0.25">
      <c r="A2992" s="162">
        <v>42373</v>
      </c>
      <c r="B2992" s="163">
        <v>1.04</v>
      </c>
    </row>
    <row r="2993" spans="1:2" x14ac:dyDescent="0.25">
      <c r="A2993" s="162">
        <v>42374</v>
      </c>
      <c r="B2993" s="163">
        <v>1.05</v>
      </c>
    </row>
    <row r="2994" spans="1:2" x14ac:dyDescent="0.25">
      <c r="A2994" s="162">
        <v>42375</v>
      </c>
      <c r="B2994" s="163">
        <v>1</v>
      </c>
    </row>
    <row r="2995" spans="1:2" x14ac:dyDescent="0.25">
      <c r="A2995" s="162">
        <v>42376</v>
      </c>
      <c r="B2995" s="164">
        <v>1.03</v>
      </c>
    </row>
    <row r="2996" spans="1:2" x14ac:dyDescent="0.25">
      <c r="A2996" s="162">
        <v>42377</v>
      </c>
      <c r="B2996" s="163">
        <v>1.03</v>
      </c>
    </row>
    <row r="2997" spans="1:2" x14ac:dyDescent="0.25">
      <c r="A2997" s="162">
        <v>42380</v>
      </c>
      <c r="B2997" s="163">
        <v>1.1100000000000001</v>
      </c>
    </row>
    <row r="2998" spans="1:2" x14ac:dyDescent="0.25">
      <c r="A2998" s="162">
        <v>42381</v>
      </c>
      <c r="B2998" s="163">
        <v>1.07</v>
      </c>
    </row>
    <row r="2999" spans="1:2" x14ac:dyDescent="0.25">
      <c r="A2999" s="162">
        <v>42382</v>
      </c>
      <c r="B2999" s="163">
        <v>1.04</v>
      </c>
    </row>
    <row r="3000" spans="1:2" x14ac:dyDescent="0.25">
      <c r="A3000" s="162">
        <v>42383</v>
      </c>
      <c r="B3000" s="163">
        <v>1.07</v>
      </c>
    </row>
    <row r="3001" spans="1:2" x14ac:dyDescent="0.25">
      <c r="A3001" s="162">
        <v>42384</v>
      </c>
      <c r="B3001" s="163">
        <v>1.05</v>
      </c>
    </row>
    <row r="3002" spans="1:2" x14ac:dyDescent="0.25">
      <c r="A3002" s="162">
        <v>42387</v>
      </c>
      <c r="B3002" s="163" t="e">
        <f>NA()</f>
        <v>#N/A</v>
      </c>
    </row>
    <row r="3003" spans="1:2" x14ac:dyDescent="0.25">
      <c r="A3003" s="162">
        <v>42388</v>
      </c>
      <c r="B3003" s="163">
        <v>1.07</v>
      </c>
    </row>
    <row r="3004" spans="1:2" x14ac:dyDescent="0.25">
      <c r="A3004" s="162">
        <v>42389</v>
      </c>
      <c r="B3004" s="163">
        <v>1.07</v>
      </c>
    </row>
    <row r="3005" spans="1:2" x14ac:dyDescent="0.25">
      <c r="A3005" s="162">
        <v>42390</v>
      </c>
      <c r="B3005" s="163">
        <v>1.1100000000000001</v>
      </c>
    </row>
    <row r="3006" spans="1:2" x14ac:dyDescent="0.25">
      <c r="A3006" s="162">
        <v>42391</v>
      </c>
      <c r="B3006" s="164">
        <v>1.1000000000000001</v>
      </c>
    </row>
    <row r="3007" spans="1:2" x14ac:dyDescent="0.25">
      <c r="A3007" s="162">
        <v>42394</v>
      </c>
      <c r="B3007" s="163">
        <v>1.07</v>
      </c>
    </row>
    <row r="3008" spans="1:2" x14ac:dyDescent="0.25">
      <c r="A3008" s="162">
        <v>42395</v>
      </c>
      <c r="B3008" s="163">
        <v>1.03</v>
      </c>
    </row>
    <row r="3009" spans="1:2" x14ac:dyDescent="0.25">
      <c r="A3009" s="162">
        <v>42396</v>
      </c>
      <c r="B3009" s="163">
        <v>1.01</v>
      </c>
    </row>
    <row r="3010" spans="1:2" x14ac:dyDescent="0.25">
      <c r="A3010" s="162">
        <v>42397</v>
      </c>
      <c r="B3010" s="163">
        <v>0.99</v>
      </c>
    </row>
    <row r="3011" spans="1:2" x14ac:dyDescent="0.25">
      <c r="A3011" s="162">
        <v>42398</v>
      </c>
      <c r="B3011" s="163">
        <v>0.95</v>
      </c>
    </row>
    <row r="3012" spans="1:2" x14ac:dyDescent="0.25">
      <c r="A3012" s="162">
        <v>42401</v>
      </c>
      <c r="B3012" s="163">
        <v>0.97</v>
      </c>
    </row>
    <row r="3013" spans="1:2" x14ac:dyDescent="0.25">
      <c r="A3013" s="162">
        <v>42402</v>
      </c>
      <c r="B3013" s="163">
        <v>0.91</v>
      </c>
    </row>
    <row r="3014" spans="1:2" x14ac:dyDescent="0.25">
      <c r="A3014" s="162">
        <v>42403</v>
      </c>
      <c r="B3014" s="163">
        <v>0.9</v>
      </c>
    </row>
    <row r="3015" spans="1:2" x14ac:dyDescent="0.25">
      <c r="A3015" s="162">
        <v>42404</v>
      </c>
      <c r="B3015" s="163">
        <v>0.91</v>
      </c>
    </row>
    <row r="3016" spans="1:2" x14ac:dyDescent="0.25">
      <c r="A3016" s="162">
        <v>42405</v>
      </c>
      <c r="B3016" s="163">
        <v>0.91</v>
      </c>
    </row>
    <row r="3017" spans="1:2" x14ac:dyDescent="0.25">
      <c r="A3017" s="162">
        <v>42408</v>
      </c>
      <c r="B3017" s="163">
        <v>0.88</v>
      </c>
    </row>
    <row r="3018" spans="1:2" x14ac:dyDescent="0.25">
      <c r="A3018" s="162">
        <v>42409</v>
      </c>
      <c r="B3018" s="163">
        <v>0.89</v>
      </c>
    </row>
    <row r="3019" spans="1:2" x14ac:dyDescent="0.25">
      <c r="A3019" s="162">
        <v>42410</v>
      </c>
      <c r="B3019" s="163">
        <v>0.85</v>
      </c>
    </row>
    <row r="3020" spans="1:2" x14ac:dyDescent="0.25">
      <c r="A3020" s="162">
        <v>42411</v>
      </c>
      <c r="B3020" s="163">
        <v>0.81</v>
      </c>
    </row>
    <row r="3021" spans="1:2" x14ac:dyDescent="0.25">
      <c r="A3021" s="162">
        <v>42412</v>
      </c>
      <c r="B3021" s="163">
        <v>0.87</v>
      </c>
    </row>
    <row r="3022" spans="1:2" x14ac:dyDescent="0.25">
      <c r="A3022" s="162">
        <v>42415</v>
      </c>
      <c r="B3022" s="163" t="e">
        <f>NA()</f>
        <v>#N/A</v>
      </c>
    </row>
    <row r="3023" spans="1:2" x14ac:dyDescent="0.25">
      <c r="A3023" s="162">
        <v>42416</v>
      </c>
      <c r="B3023" s="163">
        <v>0.92</v>
      </c>
    </row>
    <row r="3024" spans="1:2" x14ac:dyDescent="0.25">
      <c r="A3024" s="162">
        <v>42417</v>
      </c>
      <c r="B3024" s="163">
        <v>0.93</v>
      </c>
    </row>
    <row r="3025" spans="1:2" x14ac:dyDescent="0.25">
      <c r="A3025" s="162">
        <v>42418</v>
      </c>
      <c r="B3025" s="163">
        <v>0.87</v>
      </c>
    </row>
    <row r="3026" spans="1:2" x14ac:dyDescent="0.25">
      <c r="A3026" s="162">
        <v>42419</v>
      </c>
      <c r="B3026" s="164">
        <v>0.86</v>
      </c>
    </row>
    <row r="3027" spans="1:2" x14ac:dyDescent="0.25">
      <c r="A3027" s="162">
        <v>42422</v>
      </c>
      <c r="B3027" s="163">
        <v>0.83</v>
      </c>
    </row>
    <row r="3028" spans="1:2" x14ac:dyDescent="0.25">
      <c r="A3028" s="162">
        <v>42423</v>
      </c>
      <c r="B3028" s="163">
        <v>0.8</v>
      </c>
    </row>
    <row r="3029" spans="1:2" x14ac:dyDescent="0.25">
      <c r="A3029" s="162">
        <v>42424</v>
      </c>
      <c r="B3029" s="163">
        <v>0.78</v>
      </c>
    </row>
    <row r="3030" spans="1:2" x14ac:dyDescent="0.25">
      <c r="A3030" s="162">
        <v>42425</v>
      </c>
      <c r="B3030" s="163">
        <v>0.72</v>
      </c>
    </row>
    <row r="3031" spans="1:2" x14ac:dyDescent="0.25">
      <c r="A3031" s="162">
        <v>42426</v>
      </c>
      <c r="B3031" s="163">
        <v>0.75</v>
      </c>
    </row>
    <row r="3032" spans="1:2" x14ac:dyDescent="0.25">
      <c r="A3032" s="162">
        <v>42429</v>
      </c>
      <c r="B3032" s="163">
        <v>0.72</v>
      </c>
    </row>
    <row r="3033" spans="1:2" x14ac:dyDescent="0.25">
      <c r="A3033" s="162">
        <v>42430</v>
      </c>
      <c r="B3033" s="163">
        <v>0.75</v>
      </c>
    </row>
    <row r="3034" spans="1:2" x14ac:dyDescent="0.25">
      <c r="A3034" s="162">
        <v>42431</v>
      </c>
      <c r="B3034" s="163">
        <v>0.73</v>
      </c>
    </row>
    <row r="3035" spans="1:2" x14ac:dyDescent="0.25">
      <c r="A3035" s="162">
        <v>42432</v>
      </c>
      <c r="B3035" s="163">
        <v>0.7</v>
      </c>
    </row>
    <row r="3036" spans="1:2" x14ac:dyDescent="0.25">
      <c r="A3036" s="162">
        <v>42433</v>
      </c>
      <c r="B3036" s="163">
        <v>0.76</v>
      </c>
    </row>
    <row r="3037" spans="1:2" x14ac:dyDescent="0.25">
      <c r="A3037" s="162">
        <v>42436</v>
      </c>
      <c r="B3037" s="163">
        <v>0.81</v>
      </c>
    </row>
    <row r="3038" spans="1:2" x14ac:dyDescent="0.25">
      <c r="A3038" s="162">
        <v>42437</v>
      </c>
      <c r="B3038" s="163">
        <v>0.75</v>
      </c>
    </row>
    <row r="3039" spans="1:2" x14ac:dyDescent="0.25">
      <c r="A3039" s="162">
        <v>42438</v>
      </c>
      <c r="B3039" s="163">
        <v>0.79</v>
      </c>
    </row>
    <row r="3040" spans="1:2" x14ac:dyDescent="0.25">
      <c r="A3040" s="162">
        <v>42439</v>
      </c>
      <c r="B3040" s="163">
        <v>0.82</v>
      </c>
    </row>
    <row r="3041" spans="1:2" x14ac:dyDescent="0.25">
      <c r="A3041" s="162">
        <v>42440</v>
      </c>
      <c r="B3041" s="163">
        <v>0.83</v>
      </c>
    </row>
    <row r="3042" spans="1:2" x14ac:dyDescent="0.25">
      <c r="A3042" s="162">
        <v>42443</v>
      </c>
      <c r="B3042" s="163">
        <v>0.83</v>
      </c>
    </row>
    <row r="3043" spans="1:2" x14ac:dyDescent="0.25">
      <c r="A3043" s="162">
        <v>42444</v>
      </c>
      <c r="B3043" s="163">
        <v>0.85</v>
      </c>
    </row>
    <row r="3044" spans="1:2" x14ac:dyDescent="0.25">
      <c r="A3044" s="162">
        <v>42445</v>
      </c>
      <c r="B3044" s="163">
        <v>0.78</v>
      </c>
    </row>
    <row r="3045" spans="1:2" x14ac:dyDescent="0.25">
      <c r="A3045" s="162">
        <v>42446</v>
      </c>
      <c r="B3045" s="163">
        <v>0.74</v>
      </c>
    </row>
    <row r="3046" spans="1:2" x14ac:dyDescent="0.25">
      <c r="A3046" s="162">
        <v>42447</v>
      </c>
      <c r="B3046" s="163">
        <v>0.68</v>
      </c>
    </row>
    <row r="3047" spans="1:2" x14ac:dyDescent="0.25">
      <c r="A3047" s="162">
        <v>42450</v>
      </c>
      <c r="B3047" s="163">
        <v>0.68</v>
      </c>
    </row>
    <row r="3048" spans="1:2" x14ac:dyDescent="0.25">
      <c r="A3048" s="162">
        <v>42451</v>
      </c>
      <c r="B3048" s="163">
        <v>0.7</v>
      </c>
    </row>
    <row r="3049" spans="1:2" x14ac:dyDescent="0.25">
      <c r="A3049" s="162">
        <v>42452</v>
      </c>
      <c r="B3049" s="163">
        <v>0.67</v>
      </c>
    </row>
    <row r="3050" spans="1:2" x14ac:dyDescent="0.25">
      <c r="A3050" s="162">
        <v>42453</v>
      </c>
      <c r="B3050" s="163">
        <v>0.71</v>
      </c>
    </row>
    <row r="3051" spans="1:2" x14ac:dyDescent="0.25">
      <c r="A3051" s="162">
        <v>42454</v>
      </c>
      <c r="B3051" s="163" t="e">
        <f>NA()</f>
        <v>#N/A</v>
      </c>
    </row>
    <row r="3052" spans="1:2" x14ac:dyDescent="0.25">
      <c r="A3052" s="162">
        <v>42457</v>
      </c>
      <c r="B3052" s="163">
        <v>0.7</v>
      </c>
    </row>
    <row r="3053" spans="1:2" x14ac:dyDescent="0.25">
      <c r="A3053" s="162">
        <v>42458</v>
      </c>
      <c r="B3053" s="163">
        <v>0.59</v>
      </c>
    </row>
    <row r="3054" spans="1:2" x14ac:dyDescent="0.25">
      <c r="A3054" s="162">
        <v>42459</v>
      </c>
      <c r="B3054" s="163">
        <v>0.6</v>
      </c>
    </row>
    <row r="3055" spans="1:2" x14ac:dyDescent="0.25">
      <c r="A3055" s="162">
        <v>42460</v>
      </c>
      <c r="B3055" s="164">
        <v>0.56999999999999995</v>
      </c>
    </row>
    <row r="3056" spans="1:2" x14ac:dyDescent="0.25">
      <c r="A3056" s="162">
        <v>42461</v>
      </c>
      <c r="B3056" s="163">
        <v>0.57999999999999996</v>
      </c>
    </row>
    <row r="3057" spans="1:2" x14ac:dyDescent="0.25">
      <c r="A3057" s="162">
        <v>42464</v>
      </c>
      <c r="B3057" s="163">
        <v>0.55000000000000004</v>
      </c>
    </row>
    <row r="3058" spans="1:2" x14ac:dyDescent="0.25">
      <c r="A3058" s="162">
        <v>42465</v>
      </c>
      <c r="B3058" s="163">
        <v>0.54</v>
      </c>
    </row>
    <row r="3059" spans="1:2" x14ac:dyDescent="0.25">
      <c r="A3059" s="162">
        <v>42466</v>
      </c>
      <c r="B3059" s="163">
        <v>0.56999999999999995</v>
      </c>
    </row>
    <row r="3060" spans="1:2" x14ac:dyDescent="0.25">
      <c r="A3060" s="162">
        <v>42467</v>
      </c>
      <c r="B3060" s="163">
        <v>0.53</v>
      </c>
    </row>
    <row r="3061" spans="1:2" x14ac:dyDescent="0.25">
      <c r="A3061" s="162">
        <v>42468</v>
      </c>
      <c r="B3061" s="163">
        <v>0.55000000000000004</v>
      </c>
    </row>
    <row r="3062" spans="1:2" x14ac:dyDescent="0.25">
      <c r="A3062" s="162">
        <v>42471</v>
      </c>
      <c r="B3062" s="163">
        <v>0.59</v>
      </c>
    </row>
    <row r="3063" spans="1:2" x14ac:dyDescent="0.25">
      <c r="A3063" s="162">
        <v>42472</v>
      </c>
      <c r="B3063" s="163">
        <v>0.63</v>
      </c>
    </row>
    <row r="3064" spans="1:2" x14ac:dyDescent="0.25">
      <c r="A3064" s="162">
        <v>42473</v>
      </c>
      <c r="B3064" s="163">
        <v>0.62</v>
      </c>
    </row>
    <row r="3065" spans="1:2" x14ac:dyDescent="0.25">
      <c r="A3065" s="162">
        <v>42474</v>
      </c>
      <c r="B3065" s="163">
        <v>0.64</v>
      </c>
    </row>
    <row r="3066" spans="1:2" x14ac:dyDescent="0.25">
      <c r="A3066" s="162">
        <v>42475</v>
      </c>
      <c r="B3066" s="163">
        <v>0.6</v>
      </c>
    </row>
    <row r="3067" spans="1:2" x14ac:dyDescent="0.25">
      <c r="A3067" s="162">
        <v>42478</v>
      </c>
      <c r="B3067" s="163">
        <v>0.59</v>
      </c>
    </row>
    <row r="3068" spans="1:2" x14ac:dyDescent="0.25">
      <c r="A3068" s="162">
        <v>42479</v>
      </c>
      <c r="B3068" s="163">
        <v>0.57999999999999996</v>
      </c>
    </row>
    <row r="3069" spans="1:2" x14ac:dyDescent="0.25">
      <c r="A3069" s="162">
        <v>42480</v>
      </c>
      <c r="B3069" s="163">
        <v>0.64</v>
      </c>
    </row>
    <row r="3070" spans="1:2" x14ac:dyDescent="0.25">
      <c r="A3070" s="162">
        <v>42481</v>
      </c>
      <c r="B3070" s="163">
        <v>0.66</v>
      </c>
    </row>
    <row r="3071" spans="1:2" x14ac:dyDescent="0.25">
      <c r="A3071" s="162">
        <v>42482</v>
      </c>
      <c r="B3071" s="163">
        <v>0.67</v>
      </c>
    </row>
    <row r="3072" spans="1:2" x14ac:dyDescent="0.25">
      <c r="A3072" s="162">
        <v>42485</v>
      </c>
      <c r="B3072" s="163">
        <v>0.68</v>
      </c>
    </row>
    <row r="3073" spans="1:2" x14ac:dyDescent="0.25">
      <c r="A3073" s="162">
        <v>42486</v>
      </c>
      <c r="B3073" s="163">
        <v>0.7</v>
      </c>
    </row>
    <row r="3074" spans="1:2" x14ac:dyDescent="0.25">
      <c r="A3074" s="162">
        <v>42487</v>
      </c>
      <c r="B3074" s="163">
        <v>0.64</v>
      </c>
    </row>
    <row r="3075" spans="1:2" x14ac:dyDescent="0.25">
      <c r="A3075" s="162">
        <v>42488</v>
      </c>
      <c r="B3075" s="163">
        <v>0.57999999999999996</v>
      </c>
    </row>
    <row r="3076" spans="1:2" x14ac:dyDescent="0.25">
      <c r="A3076" s="162">
        <v>42489</v>
      </c>
      <c r="B3076" s="163">
        <v>0.56000000000000005</v>
      </c>
    </row>
    <row r="3077" spans="1:2" x14ac:dyDescent="0.25">
      <c r="A3077" s="162">
        <v>42492</v>
      </c>
      <c r="B3077" s="163">
        <v>0.63</v>
      </c>
    </row>
    <row r="3078" spans="1:2" x14ac:dyDescent="0.25">
      <c r="A3078" s="162">
        <v>42493</v>
      </c>
      <c r="B3078" s="163">
        <v>0.61</v>
      </c>
    </row>
    <row r="3079" spans="1:2" x14ac:dyDescent="0.25">
      <c r="A3079" s="162">
        <v>42494</v>
      </c>
      <c r="B3079" s="163">
        <v>0.61</v>
      </c>
    </row>
    <row r="3080" spans="1:2" x14ac:dyDescent="0.25">
      <c r="A3080" s="162">
        <v>42495</v>
      </c>
      <c r="B3080" s="163">
        <v>0.57999999999999996</v>
      </c>
    </row>
    <row r="3081" spans="1:2" x14ac:dyDescent="0.25">
      <c r="A3081" s="162">
        <v>42496</v>
      </c>
      <c r="B3081" s="163">
        <v>0.62</v>
      </c>
    </row>
    <row r="3082" spans="1:2" x14ac:dyDescent="0.25">
      <c r="A3082" s="162">
        <v>42499</v>
      </c>
      <c r="B3082" s="163">
        <v>0.62</v>
      </c>
    </row>
    <row r="3083" spans="1:2" x14ac:dyDescent="0.25">
      <c r="A3083" s="162">
        <v>42500</v>
      </c>
      <c r="B3083" s="163">
        <v>0.57999999999999996</v>
      </c>
    </row>
    <row r="3084" spans="1:2" x14ac:dyDescent="0.25">
      <c r="A3084" s="162">
        <v>42501</v>
      </c>
      <c r="B3084" s="163">
        <v>0.56999999999999995</v>
      </c>
    </row>
    <row r="3085" spans="1:2" x14ac:dyDescent="0.25">
      <c r="A3085" s="162">
        <v>42502</v>
      </c>
      <c r="B3085" s="163">
        <v>0.59</v>
      </c>
    </row>
    <row r="3086" spans="1:2" x14ac:dyDescent="0.25">
      <c r="A3086" s="162">
        <v>42503</v>
      </c>
      <c r="B3086" s="163">
        <v>0.55000000000000004</v>
      </c>
    </row>
    <row r="3087" spans="1:2" x14ac:dyDescent="0.25">
      <c r="A3087" s="162">
        <v>42506</v>
      </c>
      <c r="B3087" s="163">
        <v>0.59</v>
      </c>
    </row>
    <row r="3088" spans="1:2" x14ac:dyDescent="0.25">
      <c r="A3088" s="162">
        <v>42507</v>
      </c>
      <c r="B3088" s="163">
        <v>0.56999999999999995</v>
      </c>
    </row>
    <row r="3089" spans="1:2" x14ac:dyDescent="0.25">
      <c r="A3089" s="162">
        <v>42508</v>
      </c>
      <c r="B3089" s="163">
        <v>0.7</v>
      </c>
    </row>
    <row r="3090" spans="1:2" x14ac:dyDescent="0.25">
      <c r="A3090" s="162">
        <v>42509</v>
      </c>
      <c r="B3090" s="163">
        <v>0.69</v>
      </c>
    </row>
    <row r="3091" spans="1:2" x14ac:dyDescent="0.25">
      <c r="A3091" s="162">
        <v>42510</v>
      </c>
      <c r="B3091" s="163">
        <v>0.7</v>
      </c>
    </row>
    <row r="3092" spans="1:2" x14ac:dyDescent="0.25">
      <c r="A3092" s="162">
        <v>42513</v>
      </c>
      <c r="B3092" s="163">
        <v>0.75</v>
      </c>
    </row>
    <row r="3093" spans="1:2" x14ac:dyDescent="0.25">
      <c r="A3093" s="162">
        <v>42514</v>
      </c>
      <c r="B3093" s="163">
        <v>0.76</v>
      </c>
    </row>
    <row r="3094" spans="1:2" x14ac:dyDescent="0.25">
      <c r="A3094" s="162">
        <v>42515</v>
      </c>
      <c r="B3094" s="163">
        <v>0.71</v>
      </c>
    </row>
    <row r="3095" spans="1:2" x14ac:dyDescent="0.25">
      <c r="A3095" s="162">
        <v>42516</v>
      </c>
      <c r="B3095" s="163">
        <v>0.66</v>
      </c>
    </row>
    <row r="3096" spans="1:2" x14ac:dyDescent="0.25">
      <c r="A3096" s="162">
        <v>42517</v>
      </c>
      <c r="B3096" s="163">
        <v>0.68</v>
      </c>
    </row>
    <row r="3097" spans="1:2" x14ac:dyDescent="0.25">
      <c r="A3097" s="162">
        <v>42520</v>
      </c>
      <c r="B3097" s="163" t="e">
        <f>NA()</f>
        <v>#N/A</v>
      </c>
    </row>
    <row r="3098" spans="1:2" x14ac:dyDescent="0.25">
      <c r="A3098" s="162">
        <v>42521</v>
      </c>
      <c r="B3098" s="163">
        <v>0.74</v>
      </c>
    </row>
    <row r="3099" spans="1:2" x14ac:dyDescent="0.25">
      <c r="A3099" s="162">
        <v>42522</v>
      </c>
      <c r="B3099" s="163">
        <v>0.74</v>
      </c>
    </row>
    <row r="3100" spans="1:2" x14ac:dyDescent="0.25">
      <c r="A3100" s="162">
        <v>42523</v>
      </c>
      <c r="B3100" s="163">
        <v>0.73</v>
      </c>
    </row>
    <row r="3101" spans="1:2" x14ac:dyDescent="0.25">
      <c r="A3101" s="162">
        <v>42524</v>
      </c>
      <c r="B3101" s="164">
        <v>0.66</v>
      </c>
    </row>
    <row r="3102" spans="1:2" x14ac:dyDescent="0.25">
      <c r="A3102" s="162">
        <v>42527</v>
      </c>
      <c r="B3102" s="163">
        <v>0.66</v>
      </c>
    </row>
    <row r="3103" spans="1:2" x14ac:dyDescent="0.25">
      <c r="A3103" s="162">
        <v>42528</v>
      </c>
      <c r="B3103" s="163">
        <v>0.61</v>
      </c>
    </row>
    <row r="3104" spans="1:2" x14ac:dyDescent="0.25">
      <c r="A3104" s="162">
        <v>42529</v>
      </c>
      <c r="B3104" s="163">
        <v>0.57999999999999996</v>
      </c>
    </row>
    <row r="3105" spans="1:2" x14ac:dyDescent="0.25">
      <c r="A3105" s="162">
        <v>42530</v>
      </c>
      <c r="B3105" s="163">
        <v>0.57999999999999996</v>
      </c>
    </row>
    <row r="3106" spans="1:2" x14ac:dyDescent="0.25">
      <c r="A3106" s="162">
        <v>42531</v>
      </c>
      <c r="B3106" s="163">
        <v>0.59</v>
      </c>
    </row>
    <row r="3107" spans="1:2" x14ac:dyDescent="0.25">
      <c r="A3107" s="162">
        <v>42534</v>
      </c>
      <c r="B3107" s="163">
        <v>0.62</v>
      </c>
    </row>
    <row r="3108" spans="1:2" x14ac:dyDescent="0.25">
      <c r="A3108" s="162">
        <v>42535</v>
      </c>
      <c r="B3108" s="163">
        <v>0.63</v>
      </c>
    </row>
    <row r="3109" spans="1:2" x14ac:dyDescent="0.25">
      <c r="A3109" s="162">
        <v>42536</v>
      </c>
      <c r="B3109" s="163">
        <v>0.59</v>
      </c>
    </row>
    <row r="3110" spans="1:2" x14ac:dyDescent="0.25">
      <c r="A3110" s="162">
        <v>42537</v>
      </c>
      <c r="B3110" s="163">
        <v>0.61</v>
      </c>
    </row>
    <row r="3111" spans="1:2" x14ac:dyDescent="0.25">
      <c r="A3111" s="162">
        <v>42538</v>
      </c>
      <c r="B3111" s="163">
        <v>0.64</v>
      </c>
    </row>
    <row r="3112" spans="1:2" x14ac:dyDescent="0.25">
      <c r="A3112" s="162">
        <v>42541</v>
      </c>
      <c r="B3112" s="163">
        <v>0.69</v>
      </c>
    </row>
    <row r="3113" spans="1:2" x14ac:dyDescent="0.25">
      <c r="A3113" s="162">
        <v>42542</v>
      </c>
      <c r="B3113" s="163">
        <v>0.72</v>
      </c>
    </row>
    <row r="3114" spans="1:2" x14ac:dyDescent="0.25">
      <c r="A3114" s="162">
        <v>42543</v>
      </c>
      <c r="B3114" s="163">
        <v>0.7</v>
      </c>
    </row>
    <row r="3115" spans="1:2" x14ac:dyDescent="0.25">
      <c r="A3115" s="162">
        <v>42544</v>
      </c>
      <c r="B3115" s="163">
        <v>0.69</v>
      </c>
    </row>
    <row r="3116" spans="1:2" x14ac:dyDescent="0.25">
      <c r="A3116" s="162">
        <v>42545</v>
      </c>
      <c r="B3116" s="163">
        <v>0.62</v>
      </c>
    </row>
    <row r="3117" spans="1:2" x14ac:dyDescent="0.25">
      <c r="A3117" s="162">
        <v>42548</v>
      </c>
      <c r="B3117" s="163">
        <v>0.54</v>
      </c>
    </row>
    <row r="3118" spans="1:2" x14ac:dyDescent="0.25">
      <c r="A3118" s="162">
        <v>42549</v>
      </c>
      <c r="B3118" s="163">
        <v>0.49</v>
      </c>
    </row>
    <row r="3119" spans="1:2" x14ac:dyDescent="0.25">
      <c r="A3119" s="162">
        <v>42550</v>
      </c>
      <c r="B3119" s="163">
        <v>0.53</v>
      </c>
    </row>
    <row r="3120" spans="1:2" x14ac:dyDescent="0.25">
      <c r="A3120" s="162">
        <v>42551</v>
      </c>
      <c r="B3120" s="163">
        <v>0.53</v>
      </c>
    </row>
    <row r="3121" spans="1:2" x14ac:dyDescent="0.25">
      <c r="A3121" s="162">
        <v>42552</v>
      </c>
      <c r="B3121" s="163">
        <v>0.43</v>
      </c>
    </row>
    <row r="3122" spans="1:2" x14ac:dyDescent="0.25">
      <c r="A3122" s="162">
        <v>42555</v>
      </c>
      <c r="B3122" s="163" t="e">
        <f>NA()</f>
        <v>#N/A</v>
      </c>
    </row>
    <row r="3123" spans="1:2" x14ac:dyDescent="0.25">
      <c r="A3123" s="162">
        <v>42556</v>
      </c>
      <c r="B3123" s="163">
        <v>0.37</v>
      </c>
    </row>
    <row r="3124" spans="1:2" x14ac:dyDescent="0.25">
      <c r="A3124" s="162">
        <v>42557</v>
      </c>
      <c r="B3124" s="163">
        <v>0.35</v>
      </c>
    </row>
    <row r="3125" spans="1:2" x14ac:dyDescent="0.25">
      <c r="A3125" s="162">
        <v>42558</v>
      </c>
      <c r="B3125" s="163">
        <v>0.37</v>
      </c>
    </row>
    <row r="3126" spans="1:2" x14ac:dyDescent="0.25">
      <c r="A3126" s="162">
        <v>42559</v>
      </c>
      <c r="B3126" s="164">
        <v>0.33</v>
      </c>
    </row>
    <row r="3127" spans="1:2" x14ac:dyDescent="0.25">
      <c r="A3127" s="162">
        <v>42562</v>
      </c>
      <c r="B3127" s="163">
        <v>0.39</v>
      </c>
    </row>
    <row r="3128" spans="1:2" x14ac:dyDescent="0.25">
      <c r="A3128" s="162">
        <v>42563</v>
      </c>
      <c r="B3128" s="163">
        <v>0.46</v>
      </c>
    </row>
    <row r="3129" spans="1:2" x14ac:dyDescent="0.25">
      <c r="A3129" s="162">
        <v>42564</v>
      </c>
      <c r="B3129" s="163">
        <v>0.4</v>
      </c>
    </row>
    <row r="3130" spans="1:2" x14ac:dyDescent="0.25">
      <c r="A3130" s="162">
        <v>42565</v>
      </c>
      <c r="B3130" s="163">
        <v>0.49</v>
      </c>
    </row>
    <row r="3131" spans="1:2" x14ac:dyDescent="0.25">
      <c r="A3131" s="162">
        <v>42566</v>
      </c>
      <c r="B3131" s="163">
        <v>0.48</v>
      </c>
    </row>
    <row r="3132" spans="1:2" x14ac:dyDescent="0.25">
      <c r="A3132" s="162">
        <v>42569</v>
      </c>
      <c r="B3132" s="163">
        <v>0.46</v>
      </c>
    </row>
    <row r="3133" spans="1:2" x14ac:dyDescent="0.25">
      <c r="A3133" s="162">
        <v>42570</v>
      </c>
      <c r="B3133" s="163">
        <v>0.54</v>
      </c>
    </row>
    <row r="3134" spans="1:2" x14ac:dyDescent="0.25">
      <c r="A3134" s="162">
        <v>42571</v>
      </c>
      <c r="B3134" s="163">
        <v>0.51</v>
      </c>
    </row>
    <row r="3135" spans="1:2" x14ac:dyDescent="0.25">
      <c r="A3135" s="162">
        <v>42572</v>
      </c>
      <c r="B3135" s="163">
        <v>0.45</v>
      </c>
    </row>
    <row r="3136" spans="1:2" x14ac:dyDescent="0.25">
      <c r="A3136" s="162">
        <v>42573</v>
      </c>
      <c r="B3136" s="163">
        <v>0.47</v>
      </c>
    </row>
    <row r="3137" spans="1:2" x14ac:dyDescent="0.25">
      <c r="A3137" s="162">
        <v>42576</v>
      </c>
      <c r="B3137" s="163">
        <v>0.47</v>
      </c>
    </row>
    <row r="3138" spans="1:2" x14ac:dyDescent="0.25">
      <c r="A3138" s="162">
        <v>42577</v>
      </c>
      <c r="B3138" s="163">
        <v>0.44</v>
      </c>
    </row>
    <row r="3139" spans="1:2" x14ac:dyDescent="0.25">
      <c r="A3139" s="162">
        <v>42578</v>
      </c>
      <c r="B3139" s="163">
        <v>0.38</v>
      </c>
    </row>
    <row r="3140" spans="1:2" x14ac:dyDescent="0.25">
      <c r="A3140" s="162">
        <v>42579</v>
      </c>
      <c r="B3140" s="163">
        <v>0.36</v>
      </c>
    </row>
    <row r="3141" spans="1:2" x14ac:dyDescent="0.25">
      <c r="A3141" s="162">
        <v>42580</v>
      </c>
      <c r="B3141" s="163">
        <v>0.33</v>
      </c>
    </row>
    <row r="3142" spans="1:2" x14ac:dyDescent="0.25">
      <c r="A3142" s="162">
        <v>42583</v>
      </c>
      <c r="B3142" s="163">
        <v>0.42</v>
      </c>
    </row>
    <row r="3143" spans="1:2" x14ac:dyDescent="0.25">
      <c r="A3143" s="162">
        <v>42584</v>
      </c>
      <c r="B3143" s="163">
        <v>0.49</v>
      </c>
    </row>
    <row r="3144" spans="1:2" x14ac:dyDescent="0.25">
      <c r="A3144" s="162">
        <v>42585</v>
      </c>
      <c r="B3144" s="163">
        <v>0.48</v>
      </c>
    </row>
    <row r="3145" spans="1:2" x14ac:dyDescent="0.25">
      <c r="A3145" s="162">
        <v>42586</v>
      </c>
      <c r="B3145" s="163">
        <v>0.42</v>
      </c>
    </row>
    <row r="3146" spans="1:2" x14ac:dyDescent="0.25">
      <c r="A3146" s="162">
        <v>42587</v>
      </c>
      <c r="B3146" s="163">
        <v>0.44</v>
      </c>
    </row>
    <row r="3147" spans="1:2" x14ac:dyDescent="0.25">
      <c r="A3147" s="162">
        <v>42590</v>
      </c>
      <c r="B3147" s="163">
        <v>0.43</v>
      </c>
    </row>
    <row r="3148" spans="1:2" x14ac:dyDescent="0.25">
      <c r="A3148" s="162">
        <v>42591</v>
      </c>
      <c r="B3148" s="163">
        <v>0.41</v>
      </c>
    </row>
    <row r="3149" spans="1:2" x14ac:dyDescent="0.25">
      <c r="A3149" s="162">
        <v>42592</v>
      </c>
      <c r="B3149" s="163">
        <v>0.4</v>
      </c>
    </row>
    <row r="3150" spans="1:2" x14ac:dyDescent="0.25">
      <c r="A3150" s="162">
        <v>42593</v>
      </c>
      <c r="B3150" s="163">
        <v>0.43</v>
      </c>
    </row>
    <row r="3151" spans="1:2" x14ac:dyDescent="0.25">
      <c r="A3151" s="162">
        <v>42594</v>
      </c>
      <c r="B3151" s="163">
        <v>0.41</v>
      </c>
    </row>
    <row r="3152" spans="1:2" x14ac:dyDescent="0.25">
      <c r="A3152" s="162">
        <v>42597</v>
      </c>
      <c r="B3152" s="163">
        <v>0.44</v>
      </c>
    </row>
    <row r="3153" spans="1:2" x14ac:dyDescent="0.25">
      <c r="A3153" s="162">
        <v>42598</v>
      </c>
      <c r="B3153" s="163">
        <v>0.48</v>
      </c>
    </row>
    <row r="3154" spans="1:2" x14ac:dyDescent="0.25">
      <c r="A3154" s="162">
        <v>42599</v>
      </c>
      <c r="B3154" s="163">
        <v>0.45</v>
      </c>
    </row>
    <row r="3155" spans="1:2" x14ac:dyDescent="0.25">
      <c r="A3155" s="162">
        <v>42600</v>
      </c>
      <c r="B3155" s="163">
        <v>0.4</v>
      </c>
    </row>
    <row r="3156" spans="1:2" x14ac:dyDescent="0.25">
      <c r="A3156" s="162">
        <v>42601</v>
      </c>
      <c r="B3156" s="163">
        <v>0.44</v>
      </c>
    </row>
    <row r="3157" spans="1:2" x14ac:dyDescent="0.25">
      <c r="A3157" s="162">
        <v>42604</v>
      </c>
      <c r="B3157" s="163">
        <v>0.41</v>
      </c>
    </row>
    <row r="3158" spans="1:2" x14ac:dyDescent="0.25">
      <c r="A3158" s="162">
        <v>42605</v>
      </c>
      <c r="B3158" s="163">
        <v>0.4</v>
      </c>
    </row>
    <row r="3159" spans="1:2" x14ac:dyDescent="0.25">
      <c r="A3159" s="162">
        <v>42606</v>
      </c>
      <c r="B3159" s="163">
        <v>0.42</v>
      </c>
    </row>
    <row r="3160" spans="1:2" x14ac:dyDescent="0.25">
      <c r="A3160" s="162">
        <v>42607</v>
      </c>
      <c r="B3160" s="163">
        <v>0.43</v>
      </c>
    </row>
    <row r="3161" spans="1:2" x14ac:dyDescent="0.25">
      <c r="A3161" s="162">
        <v>42608</v>
      </c>
      <c r="B3161" s="163">
        <v>0.46</v>
      </c>
    </row>
    <row r="3162" spans="1:2" x14ac:dyDescent="0.25">
      <c r="A3162" s="162">
        <v>42611</v>
      </c>
      <c r="B3162" s="163">
        <v>0.43</v>
      </c>
    </row>
    <row r="3163" spans="1:2" x14ac:dyDescent="0.25">
      <c r="A3163" s="162">
        <v>42612</v>
      </c>
      <c r="B3163" s="163">
        <v>0.42</v>
      </c>
    </row>
    <row r="3164" spans="1:2" x14ac:dyDescent="0.25">
      <c r="A3164" s="162">
        <v>42613</v>
      </c>
      <c r="B3164" s="163">
        <v>0.4</v>
      </c>
    </row>
    <row r="3165" spans="1:2" x14ac:dyDescent="0.25">
      <c r="A3165" s="162">
        <v>42614</v>
      </c>
      <c r="B3165" s="163">
        <v>0.39</v>
      </c>
    </row>
    <row r="3166" spans="1:2" x14ac:dyDescent="0.25">
      <c r="A3166" s="162">
        <v>42615</v>
      </c>
      <c r="B3166" s="163">
        <v>0.42</v>
      </c>
    </row>
    <row r="3167" spans="1:2" x14ac:dyDescent="0.25">
      <c r="A3167" s="162">
        <v>42618</v>
      </c>
      <c r="B3167" s="163" t="e">
        <f>NA()</f>
        <v>#N/A</v>
      </c>
    </row>
    <row r="3168" spans="1:2" x14ac:dyDescent="0.25">
      <c r="A3168" s="162">
        <v>42619</v>
      </c>
      <c r="B3168" s="163">
        <v>0.37</v>
      </c>
    </row>
    <row r="3169" spans="1:2" x14ac:dyDescent="0.25">
      <c r="A3169" s="162">
        <v>42620</v>
      </c>
      <c r="B3169" s="163">
        <v>0.33</v>
      </c>
    </row>
    <row r="3170" spans="1:2" x14ac:dyDescent="0.25">
      <c r="A3170" s="162">
        <v>42621</v>
      </c>
      <c r="B3170" s="163">
        <v>0.43</v>
      </c>
    </row>
    <row r="3171" spans="1:2" x14ac:dyDescent="0.25">
      <c r="A3171" s="162">
        <v>42622</v>
      </c>
      <c r="B3171" s="164">
        <v>0.49</v>
      </c>
    </row>
    <row r="3172" spans="1:2" x14ac:dyDescent="0.25">
      <c r="A3172" s="162">
        <v>42625</v>
      </c>
      <c r="B3172" s="163">
        <v>0.5</v>
      </c>
    </row>
    <row r="3173" spans="1:2" x14ac:dyDescent="0.25">
      <c r="A3173" s="162">
        <v>42626</v>
      </c>
      <c r="B3173" s="163">
        <v>0.59</v>
      </c>
    </row>
    <row r="3174" spans="1:2" x14ac:dyDescent="0.25">
      <c r="A3174" s="162">
        <v>42627</v>
      </c>
      <c r="B3174" s="163">
        <v>0.57999999999999996</v>
      </c>
    </row>
    <row r="3175" spans="1:2" x14ac:dyDescent="0.25">
      <c r="A3175" s="162">
        <v>42628</v>
      </c>
      <c r="B3175" s="163">
        <v>0.61</v>
      </c>
    </row>
    <row r="3176" spans="1:2" x14ac:dyDescent="0.25">
      <c r="A3176" s="162">
        <v>42629</v>
      </c>
      <c r="B3176" s="163">
        <v>0.56999999999999995</v>
      </c>
    </row>
    <row r="3177" spans="1:2" x14ac:dyDescent="0.25">
      <c r="A3177" s="162">
        <v>42632</v>
      </c>
      <c r="B3177" s="163">
        <v>0.56999999999999995</v>
      </c>
    </row>
    <row r="3178" spans="1:2" x14ac:dyDescent="0.25">
      <c r="A3178" s="162">
        <v>42633</v>
      </c>
      <c r="B3178" s="163">
        <v>0.56999999999999995</v>
      </c>
    </row>
    <row r="3179" spans="1:2" x14ac:dyDescent="0.25">
      <c r="A3179" s="162">
        <v>42634</v>
      </c>
      <c r="B3179" s="163">
        <v>0.53</v>
      </c>
    </row>
    <row r="3180" spans="1:2" x14ac:dyDescent="0.25">
      <c r="A3180" s="162">
        <v>42635</v>
      </c>
      <c r="B3180" s="163">
        <v>0.43</v>
      </c>
    </row>
    <row r="3181" spans="1:2" x14ac:dyDescent="0.25">
      <c r="A3181" s="162">
        <v>42636</v>
      </c>
      <c r="B3181" s="163">
        <v>0.41</v>
      </c>
    </row>
    <row r="3182" spans="1:2" x14ac:dyDescent="0.25">
      <c r="A3182" s="162">
        <v>42639</v>
      </c>
      <c r="B3182" s="163">
        <v>0.43</v>
      </c>
    </row>
    <row r="3183" spans="1:2" x14ac:dyDescent="0.25">
      <c r="A3183" s="162">
        <v>42640</v>
      </c>
      <c r="B3183" s="163">
        <v>0.42</v>
      </c>
    </row>
    <row r="3184" spans="1:2" x14ac:dyDescent="0.25">
      <c r="A3184" s="162">
        <v>42641</v>
      </c>
      <c r="B3184" s="163">
        <v>0.38</v>
      </c>
    </row>
    <row r="3185" spans="1:2" x14ac:dyDescent="0.25">
      <c r="A3185" s="162">
        <v>42642</v>
      </c>
      <c r="B3185" s="163">
        <v>0.43</v>
      </c>
    </row>
    <row r="3186" spans="1:2" x14ac:dyDescent="0.25">
      <c r="A3186" s="162">
        <v>42643</v>
      </c>
      <c r="B3186" s="163">
        <v>0.38</v>
      </c>
    </row>
    <row r="3187" spans="1:2" x14ac:dyDescent="0.25">
      <c r="A3187" s="162">
        <v>42646</v>
      </c>
      <c r="B3187" s="163">
        <v>0.37</v>
      </c>
    </row>
    <row r="3188" spans="1:2" x14ac:dyDescent="0.25">
      <c r="A3188" s="162">
        <v>42647</v>
      </c>
      <c r="B3188" s="163">
        <v>0.44</v>
      </c>
    </row>
    <row r="3189" spans="1:2" x14ac:dyDescent="0.25">
      <c r="A3189" s="162">
        <v>42648</v>
      </c>
      <c r="B3189" s="163">
        <v>0.48</v>
      </c>
    </row>
    <row r="3190" spans="1:2" x14ac:dyDescent="0.25">
      <c r="A3190" s="162">
        <v>42649</v>
      </c>
      <c r="B3190" s="163">
        <v>0.48</v>
      </c>
    </row>
    <row r="3191" spans="1:2" x14ac:dyDescent="0.25">
      <c r="A3191" s="162">
        <v>42650</v>
      </c>
      <c r="B3191" s="163">
        <v>0.47</v>
      </c>
    </row>
    <row r="3192" spans="1:2" x14ac:dyDescent="0.25">
      <c r="A3192" s="162">
        <v>42653</v>
      </c>
      <c r="B3192" s="163" t="e">
        <f>NA()</f>
        <v>#N/A</v>
      </c>
    </row>
    <row r="3193" spans="1:2" x14ac:dyDescent="0.25">
      <c r="A3193" s="162">
        <v>42654</v>
      </c>
      <c r="B3193" s="163">
        <v>0.51</v>
      </c>
    </row>
    <row r="3194" spans="1:2" x14ac:dyDescent="0.25">
      <c r="A3194" s="162">
        <v>42655</v>
      </c>
      <c r="B3194" s="163">
        <v>0.53</v>
      </c>
    </row>
    <row r="3195" spans="1:2" x14ac:dyDescent="0.25">
      <c r="A3195" s="162">
        <v>42656</v>
      </c>
      <c r="B3195" s="163">
        <v>0.51</v>
      </c>
    </row>
    <row r="3196" spans="1:2" x14ac:dyDescent="0.25">
      <c r="A3196" s="162">
        <v>42657</v>
      </c>
      <c r="B3196" s="164">
        <v>0.53</v>
      </c>
    </row>
    <row r="3197" spans="1:2" x14ac:dyDescent="0.25">
      <c r="A3197" s="162">
        <v>42660</v>
      </c>
      <c r="B3197" s="163">
        <v>0.49</v>
      </c>
    </row>
    <row r="3198" spans="1:2" x14ac:dyDescent="0.25">
      <c r="A3198" s="162">
        <v>42661</v>
      </c>
      <c r="B3198" s="163">
        <v>0.49</v>
      </c>
    </row>
    <row r="3199" spans="1:2" x14ac:dyDescent="0.25">
      <c r="A3199" s="162">
        <v>42662</v>
      </c>
      <c r="B3199" s="163">
        <v>0.49</v>
      </c>
    </row>
    <row r="3200" spans="1:2" x14ac:dyDescent="0.25">
      <c r="A3200" s="162">
        <v>42663</v>
      </c>
      <c r="B3200" s="163">
        <v>0.48</v>
      </c>
    </row>
    <row r="3201" spans="1:2" x14ac:dyDescent="0.25">
      <c r="A3201" s="162">
        <v>42664</v>
      </c>
      <c r="B3201" s="163">
        <v>0.46</v>
      </c>
    </row>
    <row r="3202" spans="1:2" x14ac:dyDescent="0.25">
      <c r="A3202" s="162">
        <v>42667</v>
      </c>
      <c r="B3202" s="163">
        <v>0.49</v>
      </c>
    </row>
    <row r="3203" spans="1:2" x14ac:dyDescent="0.25">
      <c r="A3203" s="162">
        <v>42668</v>
      </c>
      <c r="B3203" s="163">
        <v>0.46</v>
      </c>
    </row>
    <row r="3204" spans="1:2" x14ac:dyDescent="0.25">
      <c r="A3204" s="162">
        <v>42669</v>
      </c>
      <c r="B3204" s="163">
        <v>0.47</v>
      </c>
    </row>
    <row r="3205" spans="1:2" x14ac:dyDescent="0.25">
      <c r="A3205" s="162">
        <v>42670</v>
      </c>
      <c r="B3205" s="163">
        <v>0.52</v>
      </c>
    </row>
    <row r="3206" spans="1:2" x14ac:dyDescent="0.25">
      <c r="A3206" s="162">
        <v>42671</v>
      </c>
      <c r="B3206" s="163">
        <v>0.55000000000000004</v>
      </c>
    </row>
    <row r="3207" spans="1:2" x14ac:dyDescent="0.25">
      <c r="A3207" s="162">
        <v>42674</v>
      </c>
      <c r="B3207" s="163">
        <v>0.51</v>
      </c>
    </row>
    <row r="3208" spans="1:2" x14ac:dyDescent="0.25">
      <c r="A3208" s="162">
        <v>42675</v>
      </c>
      <c r="B3208" s="163">
        <v>0.51</v>
      </c>
    </row>
    <row r="3209" spans="1:2" x14ac:dyDescent="0.25">
      <c r="A3209" s="162">
        <v>42676</v>
      </c>
      <c r="B3209" s="163">
        <v>0.51</v>
      </c>
    </row>
    <row r="3210" spans="1:2" x14ac:dyDescent="0.25">
      <c r="A3210" s="162">
        <v>42677</v>
      </c>
      <c r="B3210" s="163">
        <v>0.56000000000000005</v>
      </c>
    </row>
    <row r="3211" spans="1:2" x14ac:dyDescent="0.25">
      <c r="A3211" s="162">
        <v>42678</v>
      </c>
      <c r="B3211" s="163">
        <v>0.54</v>
      </c>
    </row>
    <row r="3212" spans="1:2" x14ac:dyDescent="0.25">
      <c r="A3212" s="162">
        <v>42681</v>
      </c>
      <c r="B3212" s="163">
        <v>0.51</v>
      </c>
    </row>
    <row r="3213" spans="1:2" x14ac:dyDescent="0.25">
      <c r="A3213" s="162">
        <v>42682</v>
      </c>
      <c r="B3213" s="163">
        <v>0.54</v>
      </c>
    </row>
    <row r="3214" spans="1:2" x14ac:dyDescent="0.25">
      <c r="A3214" s="162">
        <v>42683</v>
      </c>
      <c r="B3214" s="163">
        <v>0.69</v>
      </c>
    </row>
    <row r="3215" spans="1:2" x14ac:dyDescent="0.25">
      <c r="A3215" s="162">
        <v>42684</v>
      </c>
      <c r="B3215" s="163">
        <v>0.7</v>
      </c>
    </row>
    <row r="3216" spans="1:2" x14ac:dyDescent="0.25">
      <c r="A3216" s="162">
        <v>42685</v>
      </c>
      <c r="B3216" s="163" t="e">
        <f>NA()</f>
        <v>#N/A</v>
      </c>
    </row>
    <row r="3217" spans="1:2" x14ac:dyDescent="0.25">
      <c r="A3217" s="162">
        <v>42688</v>
      </c>
      <c r="B3217" s="163">
        <v>0.79</v>
      </c>
    </row>
    <row r="3218" spans="1:2" x14ac:dyDescent="0.25">
      <c r="A3218" s="162">
        <v>42689</v>
      </c>
      <c r="B3218" s="163">
        <v>0.79</v>
      </c>
    </row>
    <row r="3219" spans="1:2" x14ac:dyDescent="0.25">
      <c r="A3219" s="162">
        <v>42690</v>
      </c>
      <c r="B3219" s="163">
        <v>0.75</v>
      </c>
    </row>
    <row r="3220" spans="1:2" x14ac:dyDescent="0.25">
      <c r="A3220" s="162">
        <v>42691</v>
      </c>
      <c r="B3220" s="164">
        <v>0.8</v>
      </c>
    </row>
    <row r="3221" spans="1:2" x14ac:dyDescent="0.25">
      <c r="A3221" s="162">
        <v>42692</v>
      </c>
      <c r="B3221" s="163">
        <v>0.79</v>
      </c>
    </row>
    <row r="3222" spans="1:2" x14ac:dyDescent="0.25">
      <c r="A3222" s="162">
        <v>42695</v>
      </c>
      <c r="B3222" s="163">
        <v>0.75</v>
      </c>
    </row>
    <row r="3223" spans="1:2" x14ac:dyDescent="0.25">
      <c r="A3223" s="162">
        <v>42696</v>
      </c>
      <c r="B3223" s="163">
        <v>0.76</v>
      </c>
    </row>
    <row r="3224" spans="1:2" x14ac:dyDescent="0.25">
      <c r="A3224" s="162">
        <v>42697</v>
      </c>
      <c r="B3224" s="163">
        <v>0.77</v>
      </c>
    </row>
    <row r="3225" spans="1:2" x14ac:dyDescent="0.25">
      <c r="A3225" s="162">
        <v>42698</v>
      </c>
      <c r="B3225" s="163" t="e">
        <f>NA()</f>
        <v>#N/A</v>
      </c>
    </row>
    <row r="3226" spans="1:2" x14ac:dyDescent="0.25">
      <c r="A3226" s="162">
        <v>42699</v>
      </c>
      <c r="B3226" s="163">
        <v>0.8</v>
      </c>
    </row>
    <row r="3227" spans="1:2" x14ac:dyDescent="0.25">
      <c r="A3227" s="162">
        <v>42702</v>
      </c>
      <c r="B3227" s="163">
        <v>0.8</v>
      </c>
    </row>
    <row r="3228" spans="1:2" x14ac:dyDescent="0.25">
      <c r="A3228" s="162">
        <v>42703</v>
      </c>
      <c r="B3228" s="163">
        <v>0.76</v>
      </c>
    </row>
    <row r="3229" spans="1:2" x14ac:dyDescent="0.25">
      <c r="A3229" s="162">
        <v>42704</v>
      </c>
      <c r="B3229" s="164">
        <v>0.75</v>
      </c>
    </row>
    <row r="3230" spans="1:2" x14ac:dyDescent="0.25">
      <c r="A3230" s="162">
        <v>42705</v>
      </c>
      <c r="B3230" s="163">
        <v>0.81</v>
      </c>
    </row>
    <row r="3231" spans="1:2" x14ac:dyDescent="0.25">
      <c r="A3231" s="162">
        <v>42706</v>
      </c>
      <c r="B3231" s="163">
        <v>0.82</v>
      </c>
    </row>
    <row r="3232" spans="1:2" x14ac:dyDescent="0.25">
      <c r="A3232" s="162">
        <v>42709</v>
      </c>
      <c r="B3232" s="163">
        <v>0.78</v>
      </c>
    </row>
    <row r="3233" spans="1:2" x14ac:dyDescent="0.25">
      <c r="A3233" s="162">
        <v>42710</v>
      </c>
      <c r="B3233" s="163">
        <v>0.79</v>
      </c>
    </row>
    <row r="3234" spans="1:2" x14ac:dyDescent="0.25">
      <c r="A3234" s="162">
        <v>42711</v>
      </c>
      <c r="B3234" s="163">
        <v>0.76</v>
      </c>
    </row>
    <row r="3235" spans="1:2" x14ac:dyDescent="0.25">
      <c r="A3235" s="162">
        <v>42712</v>
      </c>
      <c r="B3235" s="163">
        <v>0.82</v>
      </c>
    </row>
    <row r="3236" spans="1:2" x14ac:dyDescent="0.25">
      <c r="A3236" s="162">
        <v>42713</v>
      </c>
      <c r="B3236" s="163">
        <v>0.88</v>
      </c>
    </row>
    <row r="3237" spans="1:2" x14ac:dyDescent="0.25">
      <c r="A3237" s="162">
        <v>42716</v>
      </c>
      <c r="B3237" s="163">
        <v>0.89</v>
      </c>
    </row>
    <row r="3238" spans="1:2" x14ac:dyDescent="0.25">
      <c r="A3238" s="162">
        <v>42717</v>
      </c>
      <c r="B3238" s="163">
        <v>0.98</v>
      </c>
    </row>
    <row r="3239" spans="1:2" x14ac:dyDescent="0.25">
      <c r="A3239" s="162">
        <v>42718</v>
      </c>
      <c r="B3239" s="163">
        <v>0.92</v>
      </c>
    </row>
    <row r="3240" spans="1:2" x14ac:dyDescent="0.25">
      <c r="A3240" s="162">
        <v>42719</v>
      </c>
      <c r="B3240" s="163">
        <v>1</v>
      </c>
    </row>
    <row r="3241" spans="1:2" x14ac:dyDescent="0.25">
      <c r="A3241" s="162">
        <v>42720</v>
      </c>
      <c r="B3241" s="163">
        <v>1.05</v>
      </c>
    </row>
    <row r="3242" spans="1:2" x14ac:dyDescent="0.25">
      <c r="A3242" s="162">
        <v>42723</v>
      </c>
      <c r="B3242" s="163">
        <v>0.98</v>
      </c>
    </row>
    <row r="3243" spans="1:2" x14ac:dyDescent="0.25">
      <c r="A3243" s="162">
        <v>42724</v>
      </c>
      <c r="B3243" s="163">
        <v>0.98</v>
      </c>
    </row>
    <row r="3244" spans="1:2" x14ac:dyDescent="0.25">
      <c r="A3244" s="162">
        <v>42725</v>
      </c>
      <c r="B3244" s="163">
        <v>0.93</v>
      </c>
    </row>
    <row r="3245" spans="1:2" x14ac:dyDescent="0.25">
      <c r="A3245" s="162">
        <v>42726</v>
      </c>
      <c r="B3245" s="163">
        <v>0.91</v>
      </c>
    </row>
    <row r="3246" spans="1:2" x14ac:dyDescent="0.25">
      <c r="A3246" s="162">
        <v>42727</v>
      </c>
      <c r="B3246" s="163">
        <v>0.87</v>
      </c>
    </row>
    <row r="3247" spans="1:2" x14ac:dyDescent="0.25">
      <c r="A3247" s="162">
        <v>42730</v>
      </c>
      <c r="B3247" s="163" t="e">
        <f>NA()</f>
        <v>#N/A</v>
      </c>
    </row>
    <row r="3248" spans="1:2" x14ac:dyDescent="0.25">
      <c r="A3248" s="162">
        <v>42731</v>
      </c>
      <c r="B3248" s="163">
        <v>0.89</v>
      </c>
    </row>
    <row r="3249" spans="1:2" x14ac:dyDescent="0.25">
      <c r="A3249" s="162">
        <v>42732</v>
      </c>
      <c r="B3249" s="163">
        <v>0.86</v>
      </c>
    </row>
    <row r="3250" spans="1:2" x14ac:dyDescent="0.25">
      <c r="A3250" s="162">
        <v>42733</v>
      </c>
      <c r="B3250" s="163">
        <v>0.86</v>
      </c>
    </row>
    <row r="3251" spans="1:2" x14ac:dyDescent="0.25">
      <c r="A3251" s="162">
        <v>42734</v>
      </c>
      <c r="B3251" s="164">
        <v>0.82</v>
      </c>
    </row>
    <row r="3252" spans="1:2" x14ac:dyDescent="0.25">
      <c r="A3252" s="162">
        <v>42737</v>
      </c>
      <c r="B3252" s="163" t="e">
        <f>NA()</f>
        <v>#N/A</v>
      </c>
    </row>
    <row r="3253" spans="1:2" x14ac:dyDescent="0.25">
      <c r="A3253" s="162">
        <v>42738</v>
      </c>
      <c r="B3253" s="163">
        <v>0.78</v>
      </c>
    </row>
    <row r="3254" spans="1:2" x14ac:dyDescent="0.25">
      <c r="A3254" s="162">
        <v>42739</v>
      </c>
      <c r="B3254" s="163">
        <v>0.78</v>
      </c>
    </row>
    <row r="3255" spans="1:2" x14ac:dyDescent="0.25">
      <c r="A3255" s="162">
        <v>42740</v>
      </c>
      <c r="B3255" s="163">
        <v>0.73</v>
      </c>
    </row>
    <row r="3256" spans="1:2" x14ac:dyDescent="0.25">
      <c r="A3256" s="162">
        <v>42741</v>
      </c>
      <c r="B3256" s="164">
        <v>0.76</v>
      </c>
    </row>
    <row r="3257" spans="1:2" x14ac:dyDescent="0.25">
      <c r="A3257" s="162">
        <v>42744</v>
      </c>
      <c r="B3257" s="163">
        <v>0.74</v>
      </c>
    </row>
    <row r="3258" spans="1:2" x14ac:dyDescent="0.25">
      <c r="A3258" s="162">
        <v>42745</v>
      </c>
      <c r="B3258" s="163">
        <v>0.74</v>
      </c>
    </row>
    <row r="3259" spans="1:2" x14ac:dyDescent="0.25">
      <c r="A3259" s="162">
        <v>42746</v>
      </c>
      <c r="B3259" s="163">
        <v>0.71</v>
      </c>
    </row>
    <row r="3260" spans="1:2" x14ac:dyDescent="0.25">
      <c r="A3260" s="162">
        <v>42747</v>
      </c>
      <c r="B3260" s="163">
        <v>0.7</v>
      </c>
    </row>
    <row r="3261" spans="1:2" x14ac:dyDescent="0.25">
      <c r="A3261" s="162">
        <v>42748</v>
      </c>
      <c r="B3261" s="163">
        <v>0.72</v>
      </c>
    </row>
    <row r="3262" spans="1:2" x14ac:dyDescent="0.25">
      <c r="A3262" s="162">
        <v>42751</v>
      </c>
      <c r="B3262" s="163" t="e">
        <f>NA()</f>
        <v>#N/A</v>
      </c>
    </row>
    <row r="3263" spans="1:2" x14ac:dyDescent="0.25">
      <c r="A3263" s="162">
        <v>42752</v>
      </c>
      <c r="B3263" s="163">
        <v>0.68</v>
      </c>
    </row>
    <row r="3264" spans="1:2" x14ac:dyDescent="0.25">
      <c r="A3264" s="162">
        <v>42753</v>
      </c>
      <c r="B3264" s="163">
        <v>0.74</v>
      </c>
    </row>
    <row r="3265" spans="1:2" x14ac:dyDescent="0.25">
      <c r="A3265" s="162">
        <v>42754</v>
      </c>
      <c r="B3265" s="163">
        <v>0.75</v>
      </c>
    </row>
    <row r="3266" spans="1:2" x14ac:dyDescent="0.25">
      <c r="A3266" s="162">
        <v>42755</v>
      </c>
      <c r="B3266" s="164">
        <v>0.76</v>
      </c>
    </row>
    <row r="3267" spans="1:2" x14ac:dyDescent="0.25">
      <c r="A3267" s="162">
        <v>42758</v>
      </c>
      <c r="B3267" s="163">
        <v>0.71</v>
      </c>
    </row>
    <row r="3268" spans="1:2" x14ac:dyDescent="0.25">
      <c r="A3268" s="162">
        <v>42759</v>
      </c>
      <c r="B3268" s="163">
        <v>0.75</v>
      </c>
    </row>
    <row r="3269" spans="1:2" x14ac:dyDescent="0.25">
      <c r="A3269" s="162">
        <v>42760</v>
      </c>
      <c r="B3269" s="163">
        <v>0.78</v>
      </c>
    </row>
    <row r="3270" spans="1:2" x14ac:dyDescent="0.25">
      <c r="A3270" s="162">
        <v>42761</v>
      </c>
      <c r="B3270" s="163">
        <v>0.76</v>
      </c>
    </row>
    <row r="3271" spans="1:2" x14ac:dyDescent="0.25">
      <c r="A3271" s="162">
        <v>42762</v>
      </c>
      <c r="B3271" s="163">
        <v>0.74</v>
      </c>
    </row>
    <row r="3272" spans="1:2" x14ac:dyDescent="0.25">
      <c r="A3272" s="162">
        <v>42765</v>
      </c>
      <c r="B3272" s="163">
        <v>0.76</v>
      </c>
    </row>
    <row r="3273" spans="1:2" x14ac:dyDescent="0.25">
      <c r="A3273" s="162">
        <v>42766</v>
      </c>
      <c r="B3273" s="163">
        <v>0.74</v>
      </c>
    </row>
    <row r="3274" spans="1:2" x14ac:dyDescent="0.25">
      <c r="A3274" s="162">
        <v>42767</v>
      </c>
      <c r="B3274" s="163">
        <v>0.77</v>
      </c>
    </row>
    <row r="3275" spans="1:2" x14ac:dyDescent="0.25">
      <c r="A3275" s="162">
        <v>42768</v>
      </c>
      <c r="B3275" s="163">
        <v>0.79</v>
      </c>
    </row>
    <row r="3276" spans="1:2" x14ac:dyDescent="0.25">
      <c r="A3276" s="162">
        <v>42769</v>
      </c>
      <c r="B3276" s="163">
        <v>0.81</v>
      </c>
    </row>
    <row r="3277" spans="1:2" x14ac:dyDescent="0.25">
      <c r="A3277" s="162">
        <v>42772</v>
      </c>
      <c r="B3277" s="163">
        <v>0.78</v>
      </c>
    </row>
    <row r="3278" spans="1:2" x14ac:dyDescent="0.25">
      <c r="A3278" s="162">
        <v>42773</v>
      </c>
      <c r="B3278" s="163">
        <v>0.76</v>
      </c>
    </row>
    <row r="3279" spans="1:2" x14ac:dyDescent="0.25">
      <c r="A3279" s="162">
        <v>42774</v>
      </c>
      <c r="B3279" s="163">
        <v>0.72</v>
      </c>
    </row>
    <row r="3280" spans="1:2" x14ac:dyDescent="0.25">
      <c r="A3280" s="162">
        <v>42775</v>
      </c>
      <c r="B3280" s="163">
        <v>0.75</v>
      </c>
    </row>
    <row r="3281" spans="1:2" x14ac:dyDescent="0.25">
      <c r="A3281" s="162">
        <v>42776</v>
      </c>
      <c r="B3281" s="163">
        <v>0.72</v>
      </c>
    </row>
    <row r="3282" spans="1:2" x14ac:dyDescent="0.25">
      <c r="A3282" s="162">
        <v>42779</v>
      </c>
      <c r="B3282" s="163">
        <v>0.74</v>
      </c>
    </row>
    <row r="3283" spans="1:2" x14ac:dyDescent="0.25">
      <c r="A3283" s="162">
        <v>42780</v>
      </c>
      <c r="B3283" s="163">
        <v>0.77</v>
      </c>
    </row>
    <row r="3284" spans="1:2" x14ac:dyDescent="0.25">
      <c r="A3284" s="162">
        <v>42781</v>
      </c>
      <c r="B3284" s="163">
        <v>0.76</v>
      </c>
    </row>
    <row r="3285" spans="1:2" x14ac:dyDescent="0.25">
      <c r="A3285" s="162">
        <v>42782</v>
      </c>
      <c r="B3285" s="163">
        <v>0.75</v>
      </c>
    </row>
    <row r="3286" spans="1:2" x14ac:dyDescent="0.25">
      <c r="A3286" s="162">
        <v>42783</v>
      </c>
      <c r="B3286" s="163">
        <v>0.72</v>
      </c>
    </row>
    <row r="3287" spans="1:2" x14ac:dyDescent="0.25">
      <c r="A3287" s="162">
        <v>42786</v>
      </c>
      <c r="B3287" s="163" t="e">
        <f>NA()</f>
        <v>#N/A</v>
      </c>
    </row>
    <row r="3288" spans="1:2" x14ac:dyDescent="0.25">
      <c r="A3288" s="162">
        <v>42787</v>
      </c>
      <c r="B3288" s="163">
        <v>0.72</v>
      </c>
    </row>
    <row r="3289" spans="1:2" x14ac:dyDescent="0.25">
      <c r="A3289" s="162">
        <v>42788</v>
      </c>
      <c r="B3289" s="163">
        <v>0.71</v>
      </c>
    </row>
    <row r="3290" spans="1:2" x14ac:dyDescent="0.25">
      <c r="A3290" s="162">
        <v>42789</v>
      </c>
      <c r="B3290" s="163">
        <v>0.69</v>
      </c>
    </row>
    <row r="3291" spans="1:2" x14ac:dyDescent="0.25">
      <c r="A3291" s="162">
        <v>42790</v>
      </c>
      <c r="B3291" s="164">
        <v>0.64</v>
      </c>
    </row>
    <row r="3292" spans="1:2" x14ac:dyDescent="0.25">
      <c r="A3292" s="162">
        <v>42793</v>
      </c>
      <c r="B3292" s="163">
        <v>0.67</v>
      </c>
    </row>
    <row r="3293" spans="1:2" x14ac:dyDescent="0.25">
      <c r="A3293" s="162">
        <v>42794</v>
      </c>
      <c r="B3293" s="163">
        <v>0.66</v>
      </c>
    </row>
    <row r="3294" spans="1:2" x14ac:dyDescent="0.25">
      <c r="A3294" s="162">
        <v>42795</v>
      </c>
      <c r="B3294" s="163">
        <v>0.75</v>
      </c>
    </row>
    <row r="3295" spans="1:2" x14ac:dyDescent="0.25">
      <c r="A3295" s="162">
        <v>42796</v>
      </c>
      <c r="B3295" s="163">
        <v>0.79</v>
      </c>
    </row>
    <row r="3296" spans="1:2" x14ac:dyDescent="0.25">
      <c r="A3296" s="162">
        <v>42797</v>
      </c>
      <c r="B3296" s="163">
        <v>0.77</v>
      </c>
    </row>
    <row r="3297" spans="1:2" x14ac:dyDescent="0.25">
      <c r="A3297" s="162">
        <v>42800</v>
      </c>
      <c r="B3297" s="163">
        <v>0.8</v>
      </c>
    </row>
    <row r="3298" spans="1:2" x14ac:dyDescent="0.25">
      <c r="A3298" s="162">
        <v>42801</v>
      </c>
      <c r="B3298" s="163">
        <v>0.81</v>
      </c>
    </row>
    <row r="3299" spans="1:2" x14ac:dyDescent="0.25">
      <c r="A3299" s="162">
        <v>42802</v>
      </c>
      <c r="B3299" s="163">
        <v>0.87</v>
      </c>
    </row>
    <row r="3300" spans="1:2" x14ac:dyDescent="0.25">
      <c r="A3300" s="162">
        <v>42803</v>
      </c>
      <c r="B3300" s="163">
        <v>0.9</v>
      </c>
    </row>
    <row r="3301" spans="1:2" x14ac:dyDescent="0.25">
      <c r="A3301" s="162">
        <v>42804</v>
      </c>
      <c r="B3301" s="163">
        <v>0.88</v>
      </c>
    </row>
    <row r="3302" spans="1:2" x14ac:dyDescent="0.25">
      <c r="A3302" s="162">
        <v>42807</v>
      </c>
      <c r="B3302" s="163">
        <v>0.9</v>
      </c>
    </row>
    <row r="3303" spans="1:2" x14ac:dyDescent="0.25">
      <c r="A3303" s="162">
        <v>42808</v>
      </c>
      <c r="B3303" s="163">
        <v>0.91</v>
      </c>
    </row>
    <row r="3304" spans="1:2" x14ac:dyDescent="0.25">
      <c r="A3304" s="162">
        <v>42809</v>
      </c>
      <c r="B3304" s="163">
        <v>0.81</v>
      </c>
    </row>
    <row r="3305" spans="1:2" x14ac:dyDescent="0.25">
      <c r="A3305" s="162">
        <v>42810</v>
      </c>
      <c r="B3305" s="163">
        <v>0.82</v>
      </c>
    </row>
    <row r="3306" spans="1:2" x14ac:dyDescent="0.25">
      <c r="A3306" s="162">
        <v>42811</v>
      </c>
      <c r="B3306" s="163">
        <v>0.82</v>
      </c>
    </row>
    <row r="3307" spans="1:2" x14ac:dyDescent="0.25">
      <c r="A3307" s="162">
        <v>42814</v>
      </c>
      <c r="B3307" s="163">
        <v>0.79</v>
      </c>
    </row>
    <row r="3308" spans="1:2" x14ac:dyDescent="0.25">
      <c r="A3308" s="162">
        <v>42815</v>
      </c>
      <c r="B3308" s="163">
        <v>0.78</v>
      </c>
    </row>
    <row r="3309" spans="1:2" x14ac:dyDescent="0.25">
      <c r="A3309" s="162">
        <v>42816</v>
      </c>
      <c r="B3309" s="163">
        <v>0.76</v>
      </c>
    </row>
    <row r="3310" spans="1:2" x14ac:dyDescent="0.25">
      <c r="A3310" s="162">
        <v>42817</v>
      </c>
      <c r="B3310" s="163">
        <v>0.73</v>
      </c>
    </row>
    <row r="3311" spans="1:2" x14ac:dyDescent="0.25">
      <c r="A3311" s="162">
        <v>42818</v>
      </c>
      <c r="B3311" s="163">
        <v>0.68</v>
      </c>
    </row>
    <row r="3312" spans="1:2" x14ac:dyDescent="0.25">
      <c r="A3312" s="162">
        <v>42821</v>
      </c>
      <c r="B3312" s="163">
        <v>0.67</v>
      </c>
    </row>
    <row r="3313" spans="1:2" x14ac:dyDescent="0.25">
      <c r="A3313" s="162">
        <v>42822</v>
      </c>
      <c r="B3313" s="163">
        <v>0.71</v>
      </c>
    </row>
    <row r="3314" spans="1:2" x14ac:dyDescent="0.25">
      <c r="A3314" s="162">
        <v>42823</v>
      </c>
      <c r="B3314" s="163">
        <v>0.72</v>
      </c>
    </row>
    <row r="3315" spans="1:2" x14ac:dyDescent="0.25">
      <c r="A3315" s="162">
        <v>42824</v>
      </c>
      <c r="B3315" s="163">
        <v>0.77</v>
      </c>
    </row>
    <row r="3316" spans="1:2" x14ac:dyDescent="0.25">
      <c r="A3316" s="162">
        <v>42825</v>
      </c>
      <c r="B3316" s="163">
        <v>0.74</v>
      </c>
    </row>
    <row r="3317" spans="1:2" x14ac:dyDescent="0.25">
      <c r="A3317" s="162">
        <v>42828</v>
      </c>
      <c r="B3317" s="163">
        <v>0.67</v>
      </c>
    </row>
    <row r="3318" spans="1:2" x14ac:dyDescent="0.25">
      <c r="A3318" s="162">
        <v>42829</v>
      </c>
      <c r="B3318" s="163">
        <v>0.72</v>
      </c>
    </row>
    <row r="3319" spans="1:2" x14ac:dyDescent="0.25">
      <c r="A3319" s="162">
        <v>42830</v>
      </c>
      <c r="B3319" s="163">
        <v>0.69</v>
      </c>
    </row>
    <row r="3320" spans="1:2" x14ac:dyDescent="0.25">
      <c r="A3320" s="162">
        <v>42831</v>
      </c>
      <c r="B3320" s="163">
        <v>0.67</v>
      </c>
    </row>
    <row r="3321" spans="1:2" x14ac:dyDescent="0.25">
      <c r="A3321" s="162">
        <v>42832</v>
      </c>
      <c r="B3321" s="163">
        <v>0.71</v>
      </c>
    </row>
    <row r="3322" spans="1:2" x14ac:dyDescent="0.25">
      <c r="A3322" s="162">
        <v>42835</v>
      </c>
      <c r="B3322" s="163">
        <v>0.71</v>
      </c>
    </row>
    <row r="3323" spans="1:2" x14ac:dyDescent="0.25">
      <c r="A3323" s="162">
        <v>42836</v>
      </c>
      <c r="B3323" s="163">
        <v>0.72</v>
      </c>
    </row>
    <row r="3324" spans="1:2" x14ac:dyDescent="0.25">
      <c r="A3324" s="162">
        <v>42837</v>
      </c>
      <c r="B3324" s="163">
        <v>0.69</v>
      </c>
    </row>
    <row r="3325" spans="1:2" x14ac:dyDescent="0.25">
      <c r="A3325" s="162">
        <v>42838</v>
      </c>
      <c r="B3325" s="163">
        <v>0.65</v>
      </c>
    </row>
    <row r="3326" spans="1:2" x14ac:dyDescent="0.25">
      <c r="A3326" s="162">
        <v>42839</v>
      </c>
      <c r="B3326" s="163" t="e">
        <f>NA()</f>
        <v>#N/A</v>
      </c>
    </row>
    <row r="3327" spans="1:2" x14ac:dyDescent="0.25">
      <c r="A3327" s="162">
        <v>42842</v>
      </c>
      <c r="B3327" s="163">
        <v>0.7</v>
      </c>
    </row>
    <row r="3328" spans="1:2" x14ac:dyDescent="0.25">
      <c r="A3328" s="162">
        <v>42843</v>
      </c>
      <c r="B3328" s="163">
        <v>0.65</v>
      </c>
    </row>
    <row r="3329" spans="1:2" x14ac:dyDescent="0.25">
      <c r="A3329" s="162">
        <v>42844</v>
      </c>
      <c r="B3329" s="163">
        <v>0.69</v>
      </c>
    </row>
    <row r="3330" spans="1:2" x14ac:dyDescent="0.25">
      <c r="A3330" s="162">
        <v>42845</v>
      </c>
      <c r="B3330" s="164">
        <v>0.79</v>
      </c>
    </row>
    <row r="3331" spans="1:2" x14ac:dyDescent="0.25">
      <c r="A3331" s="162">
        <v>42846</v>
      </c>
      <c r="B3331" s="163">
        <v>0.78</v>
      </c>
    </row>
    <row r="3332" spans="1:2" x14ac:dyDescent="0.25">
      <c r="A3332" s="162">
        <v>42849</v>
      </c>
      <c r="B3332" s="163">
        <v>0.8</v>
      </c>
    </row>
    <row r="3333" spans="1:2" x14ac:dyDescent="0.25">
      <c r="A3333" s="162">
        <v>42850</v>
      </c>
      <c r="B3333" s="163">
        <v>0.8</v>
      </c>
    </row>
    <row r="3334" spans="1:2" x14ac:dyDescent="0.25">
      <c r="A3334" s="162">
        <v>42851</v>
      </c>
      <c r="B3334" s="163">
        <v>0.76</v>
      </c>
    </row>
    <row r="3335" spans="1:2" x14ac:dyDescent="0.25">
      <c r="A3335" s="162">
        <v>42852</v>
      </c>
      <c r="B3335" s="163">
        <v>0.73</v>
      </c>
    </row>
    <row r="3336" spans="1:2" x14ac:dyDescent="0.25">
      <c r="A3336" s="162">
        <v>42853</v>
      </c>
      <c r="B3336" s="163">
        <v>0.71</v>
      </c>
    </row>
    <row r="3337" spans="1:2" x14ac:dyDescent="0.25">
      <c r="A3337" s="162">
        <v>42856</v>
      </c>
      <c r="B3337" s="163">
        <v>0.76</v>
      </c>
    </row>
    <row r="3338" spans="1:2" x14ac:dyDescent="0.25">
      <c r="A3338" s="162">
        <v>42857</v>
      </c>
      <c r="B3338" s="163">
        <v>0.75</v>
      </c>
    </row>
    <row r="3339" spans="1:2" x14ac:dyDescent="0.25">
      <c r="A3339" s="162">
        <v>42858</v>
      </c>
      <c r="B3339" s="163">
        <v>0.79</v>
      </c>
    </row>
    <row r="3340" spans="1:2" x14ac:dyDescent="0.25">
      <c r="A3340" s="162">
        <v>42859</v>
      </c>
      <c r="B3340" s="163">
        <v>0.82</v>
      </c>
    </row>
    <row r="3341" spans="1:2" x14ac:dyDescent="0.25">
      <c r="A3341" s="162">
        <v>42860</v>
      </c>
      <c r="B3341" s="163">
        <v>0.84</v>
      </c>
    </row>
    <row r="3342" spans="1:2" x14ac:dyDescent="0.25">
      <c r="A3342" s="162">
        <v>42863</v>
      </c>
      <c r="B3342" s="163">
        <v>0.86</v>
      </c>
    </row>
    <row r="3343" spans="1:2" x14ac:dyDescent="0.25">
      <c r="A3343" s="162">
        <v>42864</v>
      </c>
      <c r="B3343" s="163">
        <v>0.87</v>
      </c>
    </row>
    <row r="3344" spans="1:2" x14ac:dyDescent="0.25">
      <c r="A3344" s="162">
        <v>42865</v>
      </c>
      <c r="B3344" s="163">
        <v>0.88</v>
      </c>
    </row>
    <row r="3345" spans="1:2" x14ac:dyDescent="0.25">
      <c r="A3345" s="162">
        <v>42866</v>
      </c>
      <c r="B3345" s="163">
        <v>0.83</v>
      </c>
    </row>
    <row r="3346" spans="1:2" x14ac:dyDescent="0.25">
      <c r="A3346" s="162">
        <v>42867</v>
      </c>
      <c r="B3346" s="163">
        <v>0.82</v>
      </c>
    </row>
    <row r="3347" spans="1:2" x14ac:dyDescent="0.25">
      <c r="A3347" s="162">
        <v>42870</v>
      </c>
      <c r="B3347" s="163">
        <v>0.86</v>
      </c>
    </row>
    <row r="3348" spans="1:2" x14ac:dyDescent="0.25">
      <c r="A3348" s="162">
        <v>42871</v>
      </c>
      <c r="B3348" s="163">
        <v>0.84</v>
      </c>
    </row>
    <row r="3349" spans="1:2" x14ac:dyDescent="0.25">
      <c r="A3349" s="162">
        <v>42872</v>
      </c>
      <c r="B3349" s="163">
        <v>0.78</v>
      </c>
    </row>
    <row r="3350" spans="1:2" x14ac:dyDescent="0.25">
      <c r="A3350" s="162">
        <v>42873</v>
      </c>
      <c r="B3350" s="163">
        <v>0.76</v>
      </c>
    </row>
    <row r="3351" spans="1:2" x14ac:dyDescent="0.25">
      <c r="A3351" s="162">
        <v>42874</v>
      </c>
      <c r="B3351" s="163">
        <v>0.73</v>
      </c>
    </row>
    <row r="3352" spans="1:2" x14ac:dyDescent="0.25">
      <c r="A3352" s="162">
        <v>42877</v>
      </c>
      <c r="B3352" s="163">
        <v>0.76</v>
      </c>
    </row>
    <row r="3353" spans="1:2" x14ac:dyDescent="0.25">
      <c r="A3353" s="162">
        <v>42878</v>
      </c>
      <c r="B3353" s="163">
        <v>0.78</v>
      </c>
    </row>
    <row r="3354" spans="1:2" x14ac:dyDescent="0.25">
      <c r="A3354" s="162">
        <v>42879</v>
      </c>
      <c r="B3354" s="163">
        <v>0.78</v>
      </c>
    </row>
    <row r="3355" spans="1:2" x14ac:dyDescent="0.25">
      <c r="A3355" s="162">
        <v>42880</v>
      </c>
      <c r="B3355" s="163">
        <v>0.77</v>
      </c>
    </row>
    <row r="3356" spans="1:2" x14ac:dyDescent="0.25">
      <c r="A3356" s="162">
        <v>42881</v>
      </c>
      <c r="B3356" s="163">
        <v>0.77</v>
      </c>
    </row>
    <row r="3357" spans="1:2" x14ac:dyDescent="0.25">
      <c r="A3357" s="162">
        <v>42884</v>
      </c>
      <c r="B3357" s="163" t="e">
        <f>NA()</f>
        <v>#N/A</v>
      </c>
    </row>
    <row r="3358" spans="1:2" x14ac:dyDescent="0.25">
      <c r="A3358" s="162">
        <v>42885</v>
      </c>
      <c r="B3358" s="163">
        <v>0.73</v>
      </c>
    </row>
    <row r="3359" spans="1:2" x14ac:dyDescent="0.25">
      <c r="A3359" s="162">
        <v>42886</v>
      </c>
      <c r="B3359" s="163">
        <v>0.73</v>
      </c>
    </row>
    <row r="3360" spans="1:2" x14ac:dyDescent="0.25">
      <c r="A3360" s="162">
        <v>42887</v>
      </c>
      <c r="B3360" s="163">
        <v>0.73</v>
      </c>
    </row>
    <row r="3361" spans="1:2" x14ac:dyDescent="0.25">
      <c r="A3361" s="162">
        <v>42888</v>
      </c>
      <c r="B3361" s="164">
        <v>0.68</v>
      </c>
    </row>
    <row r="3362" spans="1:2" x14ac:dyDescent="0.25">
      <c r="A3362" s="162">
        <v>42891</v>
      </c>
      <c r="B3362" s="163">
        <v>0.72</v>
      </c>
    </row>
    <row r="3363" spans="1:2" x14ac:dyDescent="0.25">
      <c r="A3363" s="162">
        <v>42892</v>
      </c>
      <c r="B3363" s="163">
        <v>0.7</v>
      </c>
    </row>
    <row r="3364" spans="1:2" x14ac:dyDescent="0.25">
      <c r="A3364" s="162">
        <v>42893</v>
      </c>
      <c r="B3364" s="163">
        <v>0.73</v>
      </c>
    </row>
    <row r="3365" spans="1:2" x14ac:dyDescent="0.25">
      <c r="A3365" s="162">
        <v>42894</v>
      </c>
      <c r="B3365" s="163">
        <v>0.74</v>
      </c>
    </row>
    <row r="3366" spans="1:2" x14ac:dyDescent="0.25">
      <c r="A3366" s="162">
        <v>42895</v>
      </c>
      <c r="B3366" s="163">
        <v>0.76</v>
      </c>
    </row>
    <row r="3367" spans="1:2" x14ac:dyDescent="0.25">
      <c r="A3367" s="162">
        <v>42898</v>
      </c>
      <c r="B3367" s="163">
        <v>0.78</v>
      </c>
    </row>
    <row r="3368" spans="1:2" x14ac:dyDescent="0.25">
      <c r="A3368" s="162">
        <v>42899</v>
      </c>
      <c r="B3368" s="163">
        <v>0.77</v>
      </c>
    </row>
    <row r="3369" spans="1:2" x14ac:dyDescent="0.25">
      <c r="A3369" s="162">
        <v>42900</v>
      </c>
      <c r="B3369" s="163">
        <v>0.74</v>
      </c>
    </row>
    <row r="3370" spans="1:2" x14ac:dyDescent="0.25">
      <c r="A3370" s="162">
        <v>42901</v>
      </c>
      <c r="B3370" s="163">
        <v>0.79</v>
      </c>
    </row>
    <row r="3371" spans="1:2" x14ac:dyDescent="0.25">
      <c r="A3371" s="162">
        <v>42902</v>
      </c>
      <c r="B3371" s="163">
        <v>0.79</v>
      </c>
    </row>
    <row r="3372" spans="1:2" x14ac:dyDescent="0.25">
      <c r="A3372" s="162">
        <v>42905</v>
      </c>
      <c r="B3372" s="163">
        <v>0.8</v>
      </c>
    </row>
    <row r="3373" spans="1:2" x14ac:dyDescent="0.25">
      <c r="A3373" s="162">
        <v>42906</v>
      </c>
      <c r="B3373" s="163">
        <v>0.77</v>
      </c>
    </row>
    <row r="3374" spans="1:2" x14ac:dyDescent="0.25">
      <c r="A3374" s="162">
        <v>42907</v>
      </c>
      <c r="B3374" s="163">
        <v>0.76</v>
      </c>
    </row>
    <row r="3375" spans="1:2" x14ac:dyDescent="0.25">
      <c r="A3375" s="162">
        <v>42908</v>
      </c>
      <c r="B3375" s="163">
        <v>0.72</v>
      </c>
    </row>
    <row r="3376" spans="1:2" x14ac:dyDescent="0.25">
      <c r="A3376" s="162">
        <v>42909</v>
      </c>
      <c r="B3376" s="163">
        <v>0.71</v>
      </c>
    </row>
    <row r="3377" spans="1:2" x14ac:dyDescent="0.25">
      <c r="A3377" s="162">
        <v>42912</v>
      </c>
      <c r="B3377" s="163">
        <v>0.7</v>
      </c>
    </row>
    <row r="3378" spans="1:2" x14ac:dyDescent="0.25">
      <c r="A3378" s="162">
        <v>42913</v>
      </c>
      <c r="B3378" s="163">
        <v>0.76</v>
      </c>
    </row>
    <row r="3379" spans="1:2" x14ac:dyDescent="0.25">
      <c r="A3379" s="162">
        <v>42914</v>
      </c>
      <c r="B3379" s="163">
        <v>0.76</v>
      </c>
    </row>
    <row r="3380" spans="1:2" x14ac:dyDescent="0.25">
      <c r="A3380" s="162">
        <v>42915</v>
      </c>
      <c r="B3380" s="163">
        <v>0.81</v>
      </c>
    </row>
    <row r="3381" spans="1:2" x14ac:dyDescent="0.25">
      <c r="A3381" s="162">
        <v>42916</v>
      </c>
      <c r="B3381" s="163">
        <v>0.84</v>
      </c>
    </row>
    <row r="3382" spans="1:2" x14ac:dyDescent="0.25">
      <c r="A3382" s="162">
        <v>42919</v>
      </c>
      <c r="B3382" s="163">
        <v>0.86</v>
      </c>
    </row>
    <row r="3383" spans="1:2" x14ac:dyDescent="0.25">
      <c r="A3383" s="162">
        <v>42920</v>
      </c>
      <c r="B3383" s="163" t="e">
        <f>NA()</f>
        <v>#N/A</v>
      </c>
    </row>
    <row r="3384" spans="1:2" x14ac:dyDescent="0.25">
      <c r="A3384" s="162">
        <v>42921</v>
      </c>
      <c r="B3384" s="163">
        <v>0.83</v>
      </c>
    </row>
    <row r="3385" spans="1:2" x14ac:dyDescent="0.25">
      <c r="A3385" s="162">
        <v>42922</v>
      </c>
      <c r="B3385" s="163">
        <v>0.87</v>
      </c>
    </row>
    <row r="3386" spans="1:2" x14ac:dyDescent="0.25">
      <c r="A3386" s="162">
        <v>42923</v>
      </c>
      <c r="B3386" s="163">
        <v>0.92</v>
      </c>
    </row>
    <row r="3387" spans="1:2" x14ac:dyDescent="0.25">
      <c r="A3387" s="162">
        <v>42926</v>
      </c>
      <c r="B3387" s="164">
        <v>0.92</v>
      </c>
    </row>
    <row r="3388" spans="1:2" x14ac:dyDescent="0.25">
      <c r="A3388" s="162">
        <v>42927</v>
      </c>
      <c r="B3388" s="163">
        <v>0.89</v>
      </c>
    </row>
    <row r="3389" spans="1:2" x14ac:dyDescent="0.25">
      <c r="A3389" s="162">
        <v>42928</v>
      </c>
      <c r="B3389" s="163">
        <v>0.85</v>
      </c>
    </row>
    <row r="3390" spans="1:2" x14ac:dyDescent="0.25">
      <c r="A3390" s="162">
        <v>42929</v>
      </c>
      <c r="B3390" s="163">
        <v>0.87</v>
      </c>
    </row>
    <row r="3391" spans="1:2" x14ac:dyDescent="0.25">
      <c r="A3391" s="162">
        <v>42930</v>
      </c>
      <c r="B3391" s="163">
        <v>0.86</v>
      </c>
    </row>
    <row r="3392" spans="1:2" x14ac:dyDescent="0.25">
      <c r="A3392" s="162">
        <v>42933</v>
      </c>
      <c r="B3392" s="163">
        <v>0.83</v>
      </c>
    </row>
    <row r="3393" spans="1:2" x14ac:dyDescent="0.25">
      <c r="A3393" s="162">
        <v>42934</v>
      </c>
      <c r="B3393" s="163">
        <v>0.8</v>
      </c>
    </row>
    <row r="3394" spans="1:2" x14ac:dyDescent="0.25">
      <c r="A3394" s="162">
        <v>42935</v>
      </c>
      <c r="B3394" s="163">
        <v>0.8</v>
      </c>
    </row>
    <row r="3395" spans="1:2" x14ac:dyDescent="0.25">
      <c r="A3395" s="162">
        <v>42936</v>
      </c>
      <c r="B3395" s="163">
        <v>0.8</v>
      </c>
    </row>
    <row r="3396" spans="1:2" x14ac:dyDescent="0.25">
      <c r="A3396" s="162">
        <v>42937</v>
      </c>
      <c r="B3396" s="163">
        <v>0.78</v>
      </c>
    </row>
    <row r="3397" spans="1:2" x14ac:dyDescent="0.25">
      <c r="A3397" s="162">
        <v>42940</v>
      </c>
      <c r="B3397" s="163">
        <v>0.78</v>
      </c>
    </row>
    <row r="3398" spans="1:2" x14ac:dyDescent="0.25">
      <c r="A3398" s="162">
        <v>42941</v>
      </c>
      <c r="B3398" s="163">
        <v>0.83</v>
      </c>
    </row>
    <row r="3399" spans="1:2" x14ac:dyDescent="0.25">
      <c r="A3399" s="162">
        <v>42942</v>
      </c>
      <c r="B3399" s="163">
        <v>0.8</v>
      </c>
    </row>
    <row r="3400" spans="1:2" x14ac:dyDescent="0.25">
      <c r="A3400" s="162">
        <v>42943</v>
      </c>
      <c r="B3400" s="163">
        <v>0.82</v>
      </c>
    </row>
    <row r="3401" spans="1:2" x14ac:dyDescent="0.25">
      <c r="A3401" s="162">
        <v>42944</v>
      </c>
      <c r="B3401" s="163">
        <v>0.79</v>
      </c>
    </row>
    <row r="3402" spans="1:2" x14ac:dyDescent="0.25">
      <c r="A3402" s="162">
        <v>42947</v>
      </c>
      <c r="B3402" s="163">
        <v>0.8</v>
      </c>
    </row>
    <row r="3403" spans="1:2" x14ac:dyDescent="0.25">
      <c r="A3403" s="162">
        <v>42948</v>
      </c>
      <c r="B3403" s="163">
        <v>0.78</v>
      </c>
    </row>
    <row r="3404" spans="1:2" x14ac:dyDescent="0.25">
      <c r="A3404" s="162">
        <v>42949</v>
      </c>
      <c r="B3404" s="163">
        <v>0.78</v>
      </c>
    </row>
    <row r="3405" spans="1:2" x14ac:dyDescent="0.25">
      <c r="A3405" s="162">
        <v>42950</v>
      </c>
      <c r="B3405" s="163">
        <v>0.76</v>
      </c>
    </row>
    <row r="3406" spans="1:2" x14ac:dyDescent="0.25">
      <c r="A3406" s="162">
        <v>42951</v>
      </c>
      <c r="B3406" s="163">
        <v>0.78</v>
      </c>
    </row>
    <row r="3407" spans="1:2" x14ac:dyDescent="0.25">
      <c r="A3407" s="162">
        <v>42954</v>
      </c>
      <c r="B3407" s="163">
        <v>0.76</v>
      </c>
    </row>
    <row r="3408" spans="1:2" x14ac:dyDescent="0.25">
      <c r="A3408" s="162">
        <v>42955</v>
      </c>
      <c r="B3408" s="163">
        <v>0.77</v>
      </c>
    </row>
    <row r="3409" spans="1:2" x14ac:dyDescent="0.25">
      <c r="A3409" s="162">
        <v>42956</v>
      </c>
      <c r="B3409" s="163">
        <v>0.73</v>
      </c>
    </row>
    <row r="3410" spans="1:2" x14ac:dyDescent="0.25">
      <c r="A3410" s="162">
        <v>42957</v>
      </c>
      <c r="B3410" s="163">
        <v>0.7</v>
      </c>
    </row>
    <row r="3411" spans="1:2" x14ac:dyDescent="0.25">
      <c r="A3411" s="162">
        <v>42958</v>
      </c>
      <c r="B3411" s="163">
        <v>0.71</v>
      </c>
    </row>
    <row r="3412" spans="1:2" x14ac:dyDescent="0.25">
      <c r="A3412" s="162">
        <v>42961</v>
      </c>
      <c r="B3412" s="163">
        <v>0.75</v>
      </c>
    </row>
    <row r="3413" spans="1:2" x14ac:dyDescent="0.25">
      <c r="A3413" s="162">
        <v>42962</v>
      </c>
      <c r="B3413" s="163">
        <v>0.79</v>
      </c>
    </row>
    <row r="3414" spans="1:2" x14ac:dyDescent="0.25">
      <c r="A3414" s="162">
        <v>42963</v>
      </c>
      <c r="B3414" s="163">
        <v>0.75</v>
      </c>
    </row>
    <row r="3415" spans="1:2" x14ac:dyDescent="0.25">
      <c r="A3415" s="162">
        <v>42964</v>
      </c>
      <c r="B3415" s="163">
        <v>0.73</v>
      </c>
    </row>
    <row r="3416" spans="1:2" x14ac:dyDescent="0.25">
      <c r="A3416" s="162">
        <v>42965</v>
      </c>
      <c r="B3416" s="163">
        <v>0.73</v>
      </c>
    </row>
    <row r="3417" spans="1:2" x14ac:dyDescent="0.25">
      <c r="A3417" s="162">
        <v>42968</v>
      </c>
      <c r="B3417" s="163">
        <v>0.73</v>
      </c>
    </row>
    <row r="3418" spans="1:2" x14ac:dyDescent="0.25">
      <c r="A3418" s="162">
        <v>42969</v>
      </c>
      <c r="B3418" s="163">
        <v>0.74</v>
      </c>
    </row>
    <row r="3419" spans="1:2" x14ac:dyDescent="0.25">
      <c r="A3419" s="162">
        <v>42970</v>
      </c>
      <c r="B3419" s="163">
        <v>0.71</v>
      </c>
    </row>
    <row r="3420" spans="1:2" x14ac:dyDescent="0.25">
      <c r="A3420" s="162">
        <v>42971</v>
      </c>
      <c r="B3420" s="163">
        <v>0.73</v>
      </c>
    </row>
    <row r="3421" spans="1:2" x14ac:dyDescent="0.25">
      <c r="A3421" s="162">
        <v>42972</v>
      </c>
      <c r="B3421" s="163">
        <v>0.72</v>
      </c>
    </row>
    <row r="3422" spans="1:2" x14ac:dyDescent="0.25">
      <c r="A3422" s="162">
        <v>42975</v>
      </c>
      <c r="B3422" s="163">
        <v>0.71</v>
      </c>
    </row>
    <row r="3423" spans="1:2" x14ac:dyDescent="0.25">
      <c r="A3423" s="162">
        <v>42976</v>
      </c>
      <c r="B3423" s="163">
        <v>0.7</v>
      </c>
    </row>
    <row r="3424" spans="1:2" x14ac:dyDescent="0.25">
      <c r="A3424" s="162">
        <v>42977</v>
      </c>
      <c r="B3424" s="163">
        <v>0.7</v>
      </c>
    </row>
    <row r="3425" spans="1:2" x14ac:dyDescent="0.25">
      <c r="A3425" s="162">
        <v>42978</v>
      </c>
      <c r="B3425" s="163">
        <v>0.67</v>
      </c>
    </row>
    <row r="3426" spans="1:2" x14ac:dyDescent="0.25">
      <c r="A3426" s="162">
        <v>42979</v>
      </c>
      <c r="B3426" s="163">
        <v>0.69</v>
      </c>
    </row>
    <row r="3427" spans="1:2" x14ac:dyDescent="0.25">
      <c r="A3427" s="162">
        <v>42982</v>
      </c>
      <c r="B3427" s="163" t="e">
        <f>NA()</f>
        <v>#N/A</v>
      </c>
    </row>
    <row r="3428" spans="1:2" x14ac:dyDescent="0.25">
      <c r="A3428" s="162">
        <v>42983</v>
      </c>
      <c r="B3428" s="163">
        <v>0.62</v>
      </c>
    </row>
    <row r="3429" spans="1:2" x14ac:dyDescent="0.25">
      <c r="A3429" s="162">
        <v>42984</v>
      </c>
      <c r="B3429" s="163">
        <v>0.63</v>
      </c>
    </row>
    <row r="3430" spans="1:2" x14ac:dyDescent="0.25">
      <c r="A3430" s="162">
        <v>42985</v>
      </c>
      <c r="B3430" s="163">
        <v>0.57999999999999996</v>
      </c>
    </row>
    <row r="3431" spans="1:2" x14ac:dyDescent="0.25">
      <c r="A3431" s="162">
        <v>42986</v>
      </c>
      <c r="B3431" s="164">
        <v>0.56999999999999995</v>
      </c>
    </row>
    <row r="3432" spans="1:2" x14ac:dyDescent="0.25">
      <c r="A3432" s="162">
        <v>42989</v>
      </c>
      <c r="B3432" s="163">
        <v>0.63</v>
      </c>
    </row>
    <row r="3433" spans="1:2" x14ac:dyDescent="0.25">
      <c r="A3433" s="162">
        <v>42990</v>
      </c>
      <c r="B3433" s="163">
        <v>0.65</v>
      </c>
    </row>
    <row r="3434" spans="1:2" x14ac:dyDescent="0.25">
      <c r="A3434" s="162">
        <v>42991</v>
      </c>
      <c r="B3434" s="163">
        <v>0.67</v>
      </c>
    </row>
    <row r="3435" spans="1:2" x14ac:dyDescent="0.25">
      <c r="A3435" s="162">
        <v>42992</v>
      </c>
      <c r="B3435" s="163">
        <v>0.65</v>
      </c>
    </row>
    <row r="3436" spans="1:2" x14ac:dyDescent="0.25">
      <c r="A3436" s="162">
        <v>42993</v>
      </c>
      <c r="B3436" s="163">
        <v>0.65</v>
      </c>
    </row>
    <row r="3437" spans="1:2" x14ac:dyDescent="0.25">
      <c r="A3437" s="162">
        <v>42996</v>
      </c>
      <c r="B3437" s="163">
        <v>0.67</v>
      </c>
    </row>
    <row r="3438" spans="1:2" x14ac:dyDescent="0.25">
      <c r="A3438" s="162">
        <v>42997</v>
      </c>
      <c r="B3438" s="163">
        <v>0.68</v>
      </c>
    </row>
    <row r="3439" spans="1:2" x14ac:dyDescent="0.25">
      <c r="A3439" s="162">
        <v>42998</v>
      </c>
      <c r="B3439" s="163">
        <v>0.72</v>
      </c>
    </row>
    <row r="3440" spans="1:2" x14ac:dyDescent="0.25">
      <c r="A3440" s="162">
        <v>42999</v>
      </c>
      <c r="B3440" s="163">
        <v>0.72</v>
      </c>
    </row>
    <row r="3441" spans="1:2" x14ac:dyDescent="0.25">
      <c r="A3441" s="162">
        <v>43000</v>
      </c>
      <c r="B3441" s="163">
        <v>0.7</v>
      </c>
    </row>
    <row r="3442" spans="1:2" x14ac:dyDescent="0.25">
      <c r="A3442" s="162">
        <v>43003</v>
      </c>
      <c r="B3442" s="163">
        <v>0.67</v>
      </c>
    </row>
    <row r="3443" spans="1:2" x14ac:dyDescent="0.25">
      <c r="A3443" s="162">
        <v>43004</v>
      </c>
      <c r="B3443" s="163">
        <v>0.69</v>
      </c>
    </row>
    <row r="3444" spans="1:2" x14ac:dyDescent="0.25">
      <c r="A3444" s="162">
        <v>43005</v>
      </c>
      <c r="B3444" s="163">
        <v>0.74</v>
      </c>
    </row>
    <row r="3445" spans="1:2" x14ac:dyDescent="0.25">
      <c r="A3445" s="162">
        <v>43006</v>
      </c>
      <c r="B3445" s="163">
        <v>0.74</v>
      </c>
    </row>
    <row r="3446" spans="1:2" x14ac:dyDescent="0.25">
      <c r="A3446" s="162">
        <v>43007</v>
      </c>
      <c r="B3446" s="163">
        <v>0.77</v>
      </c>
    </row>
    <row r="3447" spans="1:2" x14ac:dyDescent="0.25">
      <c r="A3447" s="162">
        <v>43010</v>
      </c>
      <c r="B3447" s="163">
        <v>0.79</v>
      </c>
    </row>
    <row r="3448" spans="1:2" x14ac:dyDescent="0.25">
      <c r="A3448" s="162">
        <v>43011</v>
      </c>
      <c r="B3448" s="163">
        <v>0.77</v>
      </c>
    </row>
    <row r="3449" spans="1:2" x14ac:dyDescent="0.25">
      <c r="A3449" s="162">
        <v>43012</v>
      </c>
      <c r="B3449" s="163">
        <v>0.77</v>
      </c>
    </row>
    <row r="3450" spans="1:2" x14ac:dyDescent="0.25">
      <c r="A3450" s="162">
        <v>43013</v>
      </c>
      <c r="B3450" s="163">
        <v>0.78</v>
      </c>
    </row>
    <row r="3451" spans="1:2" x14ac:dyDescent="0.25">
      <c r="A3451" s="162">
        <v>43014</v>
      </c>
      <c r="B3451" s="163">
        <v>0.8</v>
      </c>
    </row>
    <row r="3452" spans="1:2" x14ac:dyDescent="0.25">
      <c r="A3452" s="162">
        <v>43017</v>
      </c>
      <c r="B3452" s="163" t="e">
        <f>NA()</f>
        <v>#N/A</v>
      </c>
    </row>
    <row r="3453" spans="1:2" x14ac:dyDescent="0.25">
      <c r="A3453" s="162">
        <v>43018</v>
      </c>
      <c r="B3453" s="163">
        <v>0.77</v>
      </c>
    </row>
    <row r="3454" spans="1:2" x14ac:dyDescent="0.25">
      <c r="A3454" s="162">
        <v>43019</v>
      </c>
      <c r="B3454" s="163">
        <v>0.75</v>
      </c>
    </row>
    <row r="3455" spans="1:2" x14ac:dyDescent="0.25">
      <c r="A3455" s="162">
        <v>43020</v>
      </c>
      <c r="B3455" s="163">
        <v>0.73</v>
      </c>
    </row>
    <row r="3456" spans="1:2" x14ac:dyDescent="0.25">
      <c r="A3456" s="162">
        <v>43021</v>
      </c>
      <c r="B3456" s="164">
        <v>0.7</v>
      </c>
    </row>
    <row r="3457" spans="1:2" x14ac:dyDescent="0.25">
      <c r="A3457" s="162">
        <v>43024</v>
      </c>
      <c r="B3457" s="163">
        <v>0.7</v>
      </c>
    </row>
    <row r="3458" spans="1:2" x14ac:dyDescent="0.25">
      <c r="A3458" s="162">
        <v>43025</v>
      </c>
      <c r="B3458" s="163">
        <v>0.73</v>
      </c>
    </row>
    <row r="3459" spans="1:2" x14ac:dyDescent="0.25">
      <c r="A3459" s="162">
        <v>43026</v>
      </c>
      <c r="B3459" s="163">
        <v>0.76</v>
      </c>
    </row>
    <row r="3460" spans="1:2" x14ac:dyDescent="0.25">
      <c r="A3460" s="162">
        <v>43027</v>
      </c>
      <c r="B3460" s="163">
        <v>0.72</v>
      </c>
    </row>
    <row r="3461" spans="1:2" x14ac:dyDescent="0.25">
      <c r="A3461" s="162">
        <v>43028</v>
      </c>
      <c r="B3461" s="163">
        <v>0.79</v>
      </c>
    </row>
    <row r="3462" spans="1:2" x14ac:dyDescent="0.25">
      <c r="A3462" s="162">
        <v>43031</v>
      </c>
      <c r="B3462" s="163">
        <v>0.75</v>
      </c>
    </row>
    <row r="3463" spans="1:2" x14ac:dyDescent="0.25">
      <c r="A3463" s="162">
        <v>43032</v>
      </c>
      <c r="B3463" s="163">
        <v>0.81</v>
      </c>
    </row>
    <row r="3464" spans="1:2" x14ac:dyDescent="0.25">
      <c r="A3464" s="162">
        <v>43033</v>
      </c>
      <c r="B3464" s="163">
        <v>0.83</v>
      </c>
    </row>
    <row r="3465" spans="1:2" x14ac:dyDescent="0.25">
      <c r="A3465" s="162">
        <v>43034</v>
      </c>
      <c r="B3465" s="163">
        <v>0.84</v>
      </c>
    </row>
    <row r="3466" spans="1:2" x14ac:dyDescent="0.25">
      <c r="A3466" s="162">
        <v>43035</v>
      </c>
      <c r="B3466" s="163">
        <v>0.81</v>
      </c>
    </row>
    <row r="3467" spans="1:2" x14ac:dyDescent="0.25">
      <c r="A3467" s="162">
        <v>43038</v>
      </c>
      <c r="B3467" s="163">
        <v>0.77</v>
      </c>
    </row>
    <row r="3468" spans="1:2" x14ac:dyDescent="0.25">
      <c r="A3468" s="162">
        <v>43039</v>
      </c>
      <c r="B3468" s="163">
        <v>0.77</v>
      </c>
    </row>
    <row r="3469" spans="1:2" x14ac:dyDescent="0.25">
      <c r="A3469" s="162">
        <v>43040</v>
      </c>
      <c r="B3469" s="163">
        <v>0.72</v>
      </c>
    </row>
    <row r="3470" spans="1:2" x14ac:dyDescent="0.25">
      <c r="A3470" s="162">
        <v>43041</v>
      </c>
      <c r="B3470" s="163">
        <v>0.74</v>
      </c>
    </row>
    <row r="3471" spans="1:2" x14ac:dyDescent="0.25">
      <c r="A3471" s="162">
        <v>43042</v>
      </c>
      <c r="B3471" s="163">
        <v>0.73</v>
      </c>
    </row>
    <row r="3472" spans="1:2" x14ac:dyDescent="0.25">
      <c r="A3472" s="162">
        <v>43045</v>
      </c>
      <c r="B3472" s="163">
        <v>0.71</v>
      </c>
    </row>
    <row r="3473" spans="1:2" x14ac:dyDescent="0.25">
      <c r="A3473" s="162">
        <v>43046</v>
      </c>
      <c r="B3473" s="163">
        <v>0.69</v>
      </c>
    </row>
    <row r="3474" spans="1:2" x14ac:dyDescent="0.25">
      <c r="A3474" s="162">
        <v>43047</v>
      </c>
      <c r="B3474" s="163">
        <v>0.69</v>
      </c>
    </row>
    <row r="3475" spans="1:2" x14ac:dyDescent="0.25">
      <c r="A3475" s="162">
        <v>43048</v>
      </c>
      <c r="B3475" s="163">
        <v>0.71</v>
      </c>
    </row>
    <row r="3476" spans="1:2" x14ac:dyDescent="0.25">
      <c r="A3476" s="162">
        <v>43049</v>
      </c>
      <c r="B3476" s="163">
        <v>0.77</v>
      </c>
    </row>
    <row r="3477" spans="1:2" x14ac:dyDescent="0.25">
      <c r="A3477" s="162">
        <v>43052</v>
      </c>
      <c r="B3477" s="163">
        <v>0.76</v>
      </c>
    </row>
    <row r="3478" spans="1:2" x14ac:dyDescent="0.25">
      <c r="A3478" s="162">
        <v>43053</v>
      </c>
      <c r="B3478" s="163">
        <v>0.75</v>
      </c>
    </row>
    <row r="3479" spans="1:2" x14ac:dyDescent="0.25">
      <c r="A3479" s="162">
        <v>43054</v>
      </c>
      <c r="B3479" s="163">
        <v>0.71</v>
      </c>
    </row>
    <row r="3480" spans="1:2" x14ac:dyDescent="0.25">
      <c r="A3480" s="162">
        <v>43055</v>
      </c>
      <c r="B3480" s="163">
        <v>0.74</v>
      </c>
    </row>
    <row r="3481" spans="1:2" x14ac:dyDescent="0.25">
      <c r="A3481" s="162">
        <v>43056</v>
      </c>
      <c r="B3481" s="163">
        <v>0.71</v>
      </c>
    </row>
    <row r="3482" spans="1:2" x14ac:dyDescent="0.25">
      <c r="A3482" s="162">
        <v>43059</v>
      </c>
      <c r="B3482" s="163">
        <v>0.72</v>
      </c>
    </row>
    <row r="3483" spans="1:2" x14ac:dyDescent="0.25">
      <c r="A3483" s="162">
        <v>43060</v>
      </c>
      <c r="B3483" s="163">
        <v>0.72</v>
      </c>
    </row>
    <row r="3484" spans="1:2" x14ac:dyDescent="0.25">
      <c r="A3484" s="162">
        <v>43061</v>
      </c>
      <c r="B3484" s="163">
        <v>0.69</v>
      </c>
    </row>
    <row r="3485" spans="1:2" x14ac:dyDescent="0.25">
      <c r="A3485" s="162">
        <v>43062</v>
      </c>
      <c r="B3485" s="163" t="e">
        <f>NA()</f>
        <v>#N/A</v>
      </c>
    </row>
    <row r="3486" spans="1:2" x14ac:dyDescent="0.25">
      <c r="A3486" s="162">
        <v>43063</v>
      </c>
      <c r="B3486" s="163">
        <v>0.71</v>
      </c>
    </row>
    <row r="3487" spans="1:2" x14ac:dyDescent="0.25">
      <c r="A3487" s="162">
        <v>43066</v>
      </c>
      <c r="B3487" s="163">
        <v>0.69</v>
      </c>
    </row>
    <row r="3488" spans="1:2" x14ac:dyDescent="0.25">
      <c r="A3488" s="162">
        <v>43067</v>
      </c>
      <c r="B3488" s="163">
        <v>0.7</v>
      </c>
    </row>
    <row r="3489" spans="1:2" x14ac:dyDescent="0.25">
      <c r="A3489" s="162">
        <v>43068</v>
      </c>
      <c r="B3489" s="164">
        <v>0.75</v>
      </c>
    </row>
    <row r="3490" spans="1:2" x14ac:dyDescent="0.25">
      <c r="A3490" s="162">
        <v>43069</v>
      </c>
      <c r="B3490" s="163">
        <v>0.76</v>
      </c>
    </row>
    <row r="3491" spans="1:2" x14ac:dyDescent="0.25">
      <c r="A3491" s="162">
        <v>43070</v>
      </c>
      <c r="B3491" s="163">
        <v>0.69</v>
      </c>
    </row>
    <row r="3492" spans="1:2" x14ac:dyDescent="0.25">
      <c r="A3492" s="162">
        <v>43073</v>
      </c>
      <c r="B3492" s="163">
        <v>0.68</v>
      </c>
    </row>
    <row r="3493" spans="1:2" x14ac:dyDescent="0.25">
      <c r="A3493" s="162">
        <v>43074</v>
      </c>
      <c r="B3493" s="163">
        <v>0.65</v>
      </c>
    </row>
    <row r="3494" spans="1:2" x14ac:dyDescent="0.25">
      <c r="A3494" s="162">
        <v>43075</v>
      </c>
      <c r="B3494" s="163">
        <v>0.65</v>
      </c>
    </row>
    <row r="3495" spans="1:2" x14ac:dyDescent="0.25">
      <c r="A3495" s="162">
        <v>43076</v>
      </c>
      <c r="B3495" s="163">
        <v>0.69</v>
      </c>
    </row>
    <row r="3496" spans="1:2" x14ac:dyDescent="0.25">
      <c r="A3496" s="162">
        <v>43077</v>
      </c>
      <c r="B3496" s="163">
        <v>0.68</v>
      </c>
    </row>
    <row r="3497" spans="1:2" x14ac:dyDescent="0.25">
      <c r="A3497" s="162">
        <v>43080</v>
      </c>
      <c r="B3497" s="163">
        <v>0.7</v>
      </c>
    </row>
    <row r="3498" spans="1:2" x14ac:dyDescent="0.25">
      <c r="A3498" s="162">
        <v>43081</v>
      </c>
      <c r="B3498" s="163">
        <v>0.69</v>
      </c>
    </row>
    <row r="3499" spans="1:2" x14ac:dyDescent="0.25">
      <c r="A3499" s="162">
        <v>43082</v>
      </c>
      <c r="B3499" s="163">
        <v>0.67</v>
      </c>
    </row>
    <row r="3500" spans="1:2" x14ac:dyDescent="0.25">
      <c r="A3500" s="162">
        <v>43083</v>
      </c>
      <c r="B3500" s="163">
        <v>0.65</v>
      </c>
    </row>
    <row r="3501" spans="1:2" x14ac:dyDescent="0.25">
      <c r="A3501" s="162">
        <v>43084</v>
      </c>
      <c r="B3501" s="163">
        <v>0.63</v>
      </c>
    </row>
    <row r="3502" spans="1:2" x14ac:dyDescent="0.25">
      <c r="A3502" s="162">
        <v>43087</v>
      </c>
      <c r="B3502" s="163">
        <v>0.66</v>
      </c>
    </row>
    <row r="3503" spans="1:2" x14ac:dyDescent="0.25">
      <c r="A3503" s="162">
        <v>43088</v>
      </c>
      <c r="B3503" s="163">
        <v>0.71</v>
      </c>
    </row>
    <row r="3504" spans="1:2" x14ac:dyDescent="0.25">
      <c r="A3504" s="162">
        <v>43089</v>
      </c>
      <c r="B3504" s="163">
        <v>0.75</v>
      </c>
    </row>
    <row r="3505" spans="1:2" x14ac:dyDescent="0.25">
      <c r="A3505" s="162">
        <v>43090</v>
      </c>
      <c r="B3505" s="163">
        <v>0.73</v>
      </c>
    </row>
    <row r="3506" spans="1:2" x14ac:dyDescent="0.25">
      <c r="A3506" s="162">
        <v>43091</v>
      </c>
      <c r="B3506" s="163">
        <v>0.72</v>
      </c>
    </row>
    <row r="3507" spans="1:2" x14ac:dyDescent="0.25">
      <c r="A3507" s="162">
        <v>43094</v>
      </c>
      <c r="B3507" s="163" t="e">
        <f>NA()</f>
        <v>#N/A</v>
      </c>
    </row>
    <row r="3508" spans="1:2" x14ac:dyDescent="0.25">
      <c r="A3508" s="162">
        <v>43095</v>
      </c>
      <c r="B3508" s="163">
        <v>0.7</v>
      </c>
    </row>
    <row r="3509" spans="1:2" x14ac:dyDescent="0.25">
      <c r="A3509" s="162">
        <v>43096</v>
      </c>
      <c r="B3509" s="163">
        <v>0.64</v>
      </c>
    </row>
    <row r="3510" spans="1:2" x14ac:dyDescent="0.25">
      <c r="A3510" s="162">
        <v>43097</v>
      </c>
      <c r="B3510" s="163">
        <v>0.64</v>
      </c>
    </row>
    <row r="3511" spans="1:2" x14ac:dyDescent="0.25">
      <c r="A3511" s="162">
        <v>43098</v>
      </c>
      <c r="B3511" s="164">
        <v>0.61</v>
      </c>
    </row>
    <row r="3512" spans="1:2" x14ac:dyDescent="0.25">
      <c r="A3512" s="162">
        <v>43101</v>
      </c>
      <c r="B3512" s="163" t="e">
        <f>NA()</f>
        <v>#N/A</v>
      </c>
    </row>
    <row r="3513" spans="1:2" x14ac:dyDescent="0.25">
      <c r="A3513" s="162">
        <v>43102</v>
      </c>
      <c r="B3513" s="163">
        <v>0.64</v>
      </c>
    </row>
    <row r="3514" spans="1:2" x14ac:dyDescent="0.25">
      <c r="A3514" s="162">
        <v>43103</v>
      </c>
      <c r="B3514" s="163">
        <v>0.63</v>
      </c>
    </row>
    <row r="3515" spans="1:2" x14ac:dyDescent="0.25">
      <c r="A3515" s="162">
        <v>43104</v>
      </c>
      <c r="B3515" s="163">
        <v>0.62</v>
      </c>
    </row>
    <row r="3516" spans="1:2" x14ac:dyDescent="0.25">
      <c r="A3516" s="162">
        <v>43105</v>
      </c>
      <c r="B3516" s="164">
        <v>0.63</v>
      </c>
    </row>
    <row r="3517" spans="1:2" x14ac:dyDescent="0.25">
      <c r="A3517" s="162">
        <v>43108</v>
      </c>
      <c r="B3517" s="163">
        <v>0.65</v>
      </c>
    </row>
    <row r="3518" spans="1:2" x14ac:dyDescent="0.25">
      <c r="A3518" s="162">
        <v>43109</v>
      </c>
      <c r="B3518" s="163">
        <v>0.7</v>
      </c>
    </row>
    <row r="3519" spans="1:2" x14ac:dyDescent="0.25">
      <c r="A3519" s="162">
        <v>43110</v>
      </c>
      <c r="B3519" s="163">
        <v>0.7</v>
      </c>
    </row>
    <row r="3520" spans="1:2" x14ac:dyDescent="0.25">
      <c r="A3520" s="162">
        <v>43111</v>
      </c>
      <c r="B3520" s="163">
        <v>0.71</v>
      </c>
    </row>
    <row r="3521" spans="1:2" x14ac:dyDescent="0.25">
      <c r="A3521" s="162">
        <v>43112</v>
      </c>
      <c r="B3521" s="163">
        <v>0.7</v>
      </c>
    </row>
    <row r="3522" spans="1:2" x14ac:dyDescent="0.25">
      <c r="A3522" s="162">
        <v>43115</v>
      </c>
      <c r="B3522" s="163" t="e">
        <f>NA()</f>
        <v>#N/A</v>
      </c>
    </row>
    <row r="3523" spans="1:2" x14ac:dyDescent="0.25">
      <c r="A3523" s="162">
        <v>43116</v>
      </c>
      <c r="B3523" s="163">
        <v>0.67</v>
      </c>
    </row>
    <row r="3524" spans="1:2" x14ac:dyDescent="0.25">
      <c r="A3524" s="162">
        <v>43117</v>
      </c>
      <c r="B3524" s="163">
        <v>0.67</v>
      </c>
    </row>
    <row r="3525" spans="1:2" x14ac:dyDescent="0.25">
      <c r="A3525" s="162">
        <v>43118</v>
      </c>
      <c r="B3525" s="163">
        <v>0.72</v>
      </c>
    </row>
    <row r="3526" spans="1:2" x14ac:dyDescent="0.25">
      <c r="A3526" s="162">
        <v>43119</v>
      </c>
      <c r="B3526" s="164">
        <v>0.72</v>
      </c>
    </row>
    <row r="3527" spans="1:2" x14ac:dyDescent="0.25">
      <c r="A3527" s="162">
        <v>43122</v>
      </c>
      <c r="B3527" s="163">
        <v>0.74</v>
      </c>
    </row>
    <row r="3528" spans="1:2" x14ac:dyDescent="0.25">
      <c r="A3528" s="162">
        <v>43123</v>
      </c>
      <c r="B3528" s="163">
        <v>0.71</v>
      </c>
    </row>
    <row r="3529" spans="1:2" x14ac:dyDescent="0.25">
      <c r="A3529" s="162">
        <v>43124</v>
      </c>
      <c r="B3529" s="163">
        <v>0.73</v>
      </c>
    </row>
    <row r="3530" spans="1:2" x14ac:dyDescent="0.25">
      <c r="A3530" s="162">
        <v>43125</v>
      </c>
      <c r="B3530" s="163">
        <v>0.69</v>
      </c>
    </row>
    <row r="3531" spans="1:2" x14ac:dyDescent="0.25">
      <c r="A3531" s="162">
        <v>43126</v>
      </c>
      <c r="B3531" s="163">
        <v>0.7</v>
      </c>
    </row>
    <row r="3532" spans="1:2" x14ac:dyDescent="0.25">
      <c r="A3532" s="162">
        <v>43129</v>
      </c>
      <c r="B3532" s="163">
        <v>0.73</v>
      </c>
    </row>
    <row r="3533" spans="1:2" x14ac:dyDescent="0.25">
      <c r="A3533" s="162">
        <v>43130</v>
      </c>
      <c r="B3533" s="163">
        <v>0.76</v>
      </c>
    </row>
    <row r="3534" spans="1:2" x14ac:dyDescent="0.25">
      <c r="A3534" s="162">
        <v>43131</v>
      </c>
      <c r="B3534" s="163">
        <v>0.72</v>
      </c>
    </row>
    <row r="3535" spans="1:2" x14ac:dyDescent="0.25">
      <c r="A3535" s="162">
        <v>43132</v>
      </c>
      <c r="B3535" s="163">
        <v>0.78</v>
      </c>
    </row>
    <row r="3536" spans="1:2" x14ac:dyDescent="0.25">
      <c r="A3536" s="162">
        <v>43133</v>
      </c>
      <c r="B3536" s="163">
        <v>0.82</v>
      </c>
    </row>
    <row r="3537" spans="1:2" x14ac:dyDescent="0.25">
      <c r="A3537" s="162">
        <v>43136</v>
      </c>
      <c r="B3537" s="163">
        <v>0.81</v>
      </c>
    </row>
    <row r="3538" spans="1:2" x14ac:dyDescent="0.25">
      <c r="A3538" s="162">
        <v>43137</v>
      </c>
      <c r="B3538" s="163">
        <v>0.82</v>
      </c>
    </row>
    <row r="3539" spans="1:2" x14ac:dyDescent="0.25">
      <c r="A3539" s="162">
        <v>43138</v>
      </c>
      <c r="B3539" s="163">
        <v>0.86</v>
      </c>
    </row>
    <row r="3540" spans="1:2" x14ac:dyDescent="0.25">
      <c r="A3540" s="162">
        <v>43139</v>
      </c>
      <c r="B3540" s="163">
        <v>0.89</v>
      </c>
    </row>
    <row r="3541" spans="1:2" x14ac:dyDescent="0.25">
      <c r="A3541" s="162">
        <v>43140</v>
      </c>
      <c r="B3541" s="163">
        <v>0.91</v>
      </c>
    </row>
    <row r="3542" spans="1:2" x14ac:dyDescent="0.25">
      <c r="A3542" s="157">
        <v>43143</v>
      </c>
      <c r="B3542" s="158">
        <v>0.92</v>
      </c>
    </row>
    <row r="3543" spans="1:2" x14ac:dyDescent="0.25">
      <c r="A3543" s="157">
        <v>43144</v>
      </c>
      <c r="B3543" s="158">
        <v>0.91</v>
      </c>
    </row>
    <row r="3544" spans="1:2" x14ac:dyDescent="0.25">
      <c r="A3544" s="157">
        <v>43145</v>
      </c>
      <c r="B3544" s="158">
        <v>0.94</v>
      </c>
    </row>
    <row r="3545" spans="1:2" x14ac:dyDescent="0.25">
      <c r="A3545" s="157">
        <v>43146</v>
      </c>
      <c r="B3545" s="158">
        <v>0.93</v>
      </c>
    </row>
    <row r="3546" spans="1:2" x14ac:dyDescent="0.25">
      <c r="A3546" s="157">
        <v>43147</v>
      </c>
      <c r="B3546" s="158">
        <v>0.92</v>
      </c>
    </row>
    <row r="3547" spans="1:2" x14ac:dyDescent="0.25">
      <c r="A3547" s="157">
        <v>43150</v>
      </c>
      <c r="B3547" s="158" t="e">
        <f>NA()</f>
        <v>#N/A</v>
      </c>
    </row>
    <row r="3548" spans="1:2" x14ac:dyDescent="0.25">
      <c r="A3548" s="157">
        <v>43151</v>
      </c>
      <c r="B3548" s="158">
        <v>0.92</v>
      </c>
    </row>
    <row r="3549" spans="1:2" x14ac:dyDescent="0.25">
      <c r="A3549" s="157">
        <v>43152</v>
      </c>
      <c r="B3549" s="158">
        <v>0.97</v>
      </c>
    </row>
    <row r="3550" spans="1:2" x14ac:dyDescent="0.25">
      <c r="A3550" s="157">
        <v>43153</v>
      </c>
      <c r="B3550" s="158">
        <v>0.96</v>
      </c>
    </row>
    <row r="3551" spans="1:2" x14ac:dyDescent="0.25">
      <c r="A3551" s="157">
        <v>43154</v>
      </c>
      <c r="B3551" s="158">
        <v>0.92</v>
      </c>
    </row>
    <row r="3552" spans="1:2" x14ac:dyDescent="0.25">
      <c r="A3552" s="157">
        <v>43157</v>
      </c>
      <c r="B3552" s="158">
        <v>0.9</v>
      </c>
    </row>
    <row r="3553" spans="1:2" x14ac:dyDescent="0.25">
      <c r="A3553" s="157">
        <v>43158</v>
      </c>
      <c r="B3553" s="158">
        <v>0.92</v>
      </c>
    </row>
    <row r="3554" spans="1:2" x14ac:dyDescent="0.25">
      <c r="A3554" s="157">
        <v>43159</v>
      </c>
      <c r="B3554" s="158">
        <v>0.9</v>
      </c>
    </row>
    <row r="3555" spans="1:2" x14ac:dyDescent="0.25">
      <c r="A3555" s="157">
        <v>43160</v>
      </c>
      <c r="B3555" s="158">
        <v>0.86</v>
      </c>
    </row>
    <row r="3556" spans="1:2" x14ac:dyDescent="0.25">
      <c r="A3556" s="157">
        <v>43161</v>
      </c>
      <c r="B3556" s="158">
        <v>0.89</v>
      </c>
    </row>
    <row r="3557" spans="1:2" x14ac:dyDescent="0.25">
      <c r="A3557" s="157">
        <v>43164</v>
      </c>
      <c r="B3557" s="158">
        <v>0.91</v>
      </c>
    </row>
    <row r="3558" spans="1:2" x14ac:dyDescent="0.25">
      <c r="A3558" s="157">
        <v>43165</v>
      </c>
      <c r="B3558" s="158">
        <v>0.91</v>
      </c>
    </row>
    <row r="3559" spans="1:2" x14ac:dyDescent="0.25">
      <c r="A3559" s="157">
        <v>43166</v>
      </c>
      <c r="B3559" s="158">
        <v>0.93</v>
      </c>
    </row>
    <row r="3560" spans="1:2" x14ac:dyDescent="0.25">
      <c r="A3560" s="157">
        <v>43167</v>
      </c>
      <c r="B3560" s="158">
        <v>0.9</v>
      </c>
    </row>
    <row r="3561" spans="1:2" x14ac:dyDescent="0.25">
      <c r="A3561" s="157">
        <v>43168</v>
      </c>
      <c r="B3561" s="158">
        <v>0.92</v>
      </c>
    </row>
    <row r="3562" spans="1:2" x14ac:dyDescent="0.25">
      <c r="A3562" s="157">
        <v>43171</v>
      </c>
      <c r="B3562" s="158">
        <v>0.92</v>
      </c>
    </row>
    <row r="3563" spans="1:2" x14ac:dyDescent="0.25">
      <c r="A3563" s="157">
        <v>43172</v>
      </c>
      <c r="B3563" s="158">
        <v>0.9</v>
      </c>
    </row>
    <row r="3564" spans="1:2" x14ac:dyDescent="0.25">
      <c r="A3564" s="157">
        <v>43173</v>
      </c>
      <c r="B3564" s="158">
        <v>0.88</v>
      </c>
    </row>
    <row r="3565" spans="1:2" x14ac:dyDescent="0.25">
      <c r="A3565" s="157">
        <v>43174</v>
      </c>
      <c r="B3565" s="158">
        <v>0.88</v>
      </c>
    </row>
    <row r="3566" spans="1:2" x14ac:dyDescent="0.25">
      <c r="A3566" s="157">
        <v>43175</v>
      </c>
      <c r="B3566" s="158">
        <v>0.91</v>
      </c>
    </row>
    <row r="3567" spans="1:2" x14ac:dyDescent="0.25">
      <c r="A3567" s="157">
        <v>43178</v>
      </c>
      <c r="B3567" s="158">
        <v>0.91</v>
      </c>
    </row>
    <row r="3568" spans="1:2" x14ac:dyDescent="0.25">
      <c r="A3568" s="157">
        <v>43179</v>
      </c>
      <c r="B3568" s="158">
        <v>0.94</v>
      </c>
    </row>
    <row r="3569" spans="1:2" x14ac:dyDescent="0.25">
      <c r="A3569" s="157">
        <v>43180</v>
      </c>
      <c r="B3569" s="158">
        <v>0.92</v>
      </c>
    </row>
    <row r="3570" spans="1:2" x14ac:dyDescent="0.25">
      <c r="A3570" s="157">
        <v>43181</v>
      </c>
      <c r="B3570" s="158">
        <v>0.89</v>
      </c>
    </row>
    <row r="3571" spans="1:2" x14ac:dyDescent="0.25">
      <c r="A3571" s="157">
        <v>43182</v>
      </c>
      <c r="B3571" s="158">
        <v>0.89</v>
      </c>
    </row>
    <row r="3572" spans="1:2" x14ac:dyDescent="0.25">
      <c r="A3572" s="157">
        <v>43185</v>
      </c>
      <c r="B3572" s="158">
        <v>0.91</v>
      </c>
    </row>
    <row r="3573" spans="1:2" x14ac:dyDescent="0.25">
      <c r="A3573" s="157">
        <v>43186</v>
      </c>
      <c r="B3573" s="158">
        <v>0.84</v>
      </c>
    </row>
    <row r="3574" spans="1:2" x14ac:dyDescent="0.25">
      <c r="A3574" s="157">
        <v>43187</v>
      </c>
      <c r="B3574" s="158">
        <v>0.84</v>
      </c>
    </row>
    <row r="3575" spans="1:2" x14ac:dyDescent="0.25">
      <c r="A3575" s="157">
        <v>43188</v>
      </c>
      <c r="B3575" s="158">
        <v>0.81</v>
      </c>
    </row>
    <row r="3576" spans="1:2" x14ac:dyDescent="0.25">
      <c r="A3576" s="157">
        <v>43189</v>
      </c>
      <c r="B3576" s="158" t="e">
        <f>NA()</f>
        <v>#N/A</v>
      </c>
    </row>
    <row r="3577" spans="1:2" x14ac:dyDescent="0.25">
      <c r="A3577" s="157">
        <v>43192</v>
      </c>
      <c r="B3577" s="158">
        <v>0.81</v>
      </c>
    </row>
    <row r="3578" spans="1:2" x14ac:dyDescent="0.25">
      <c r="A3578" s="157">
        <v>43193</v>
      </c>
      <c r="B3578" s="158">
        <v>0.84</v>
      </c>
    </row>
    <row r="3579" spans="1:2" x14ac:dyDescent="0.25">
      <c r="A3579" s="157">
        <v>43194</v>
      </c>
      <c r="B3579" s="158">
        <v>0.85</v>
      </c>
    </row>
    <row r="3580" spans="1:2" x14ac:dyDescent="0.25">
      <c r="A3580" s="157">
        <v>43195</v>
      </c>
      <c r="B3580" s="158">
        <v>0.87</v>
      </c>
    </row>
    <row r="3581" spans="1:2" x14ac:dyDescent="0.25">
      <c r="A3581" s="157">
        <v>43196</v>
      </c>
      <c r="B3581" s="158">
        <v>0.83</v>
      </c>
    </row>
    <row r="3582" spans="1:2" x14ac:dyDescent="0.25">
      <c r="A3582" s="157">
        <v>43199</v>
      </c>
      <c r="B3582" s="158">
        <v>0.83</v>
      </c>
    </row>
    <row r="3583" spans="1:2" x14ac:dyDescent="0.25">
      <c r="A3583" s="157">
        <v>43200</v>
      </c>
      <c r="B3583" s="158">
        <v>0.84</v>
      </c>
    </row>
    <row r="3584" spans="1:2" x14ac:dyDescent="0.25">
      <c r="A3584" s="157">
        <v>43201</v>
      </c>
      <c r="B3584" s="158">
        <v>0.8</v>
      </c>
    </row>
    <row r="3585" spans="1:2" x14ac:dyDescent="0.25">
      <c r="A3585" s="157">
        <v>43202</v>
      </c>
      <c r="B3585" s="158">
        <v>0.82</v>
      </c>
    </row>
    <row r="3586" spans="1:2" x14ac:dyDescent="0.25">
      <c r="A3586" s="157">
        <v>43203</v>
      </c>
      <c r="B3586" s="158">
        <v>0.79</v>
      </c>
    </row>
    <row r="3587" spans="1:2" x14ac:dyDescent="0.25">
      <c r="A3587" s="157">
        <v>43206</v>
      </c>
      <c r="B3587" s="158">
        <v>0.81</v>
      </c>
    </row>
    <row r="3588" spans="1:2" x14ac:dyDescent="0.25">
      <c r="A3588" s="157">
        <v>43207</v>
      </c>
      <c r="B3588" s="158">
        <v>0.78</v>
      </c>
    </row>
    <row r="3589" spans="1:2" x14ac:dyDescent="0.25">
      <c r="A3589" s="157">
        <v>43208</v>
      </c>
      <c r="B3589" s="158">
        <v>0.81</v>
      </c>
    </row>
    <row r="3590" spans="1:2" x14ac:dyDescent="0.25">
      <c r="A3590" s="157">
        <v>43209</v>
      </c>
      <c r="B3590" s="158">
        <v>0.84</v>
      </c>
    </row>
    <row r="3591" spans="1:2" x14ac:dyDescent="0.25">
      <c r="A3591" s="157">
        <v>43210</v>
      </c>
      <c r="B3591" s="158">
        <v>0.88</v>
      </c>
    </row>
    <row r="3592" spans="1:2" x14ac:dyDescent="0.25">
      <c r="A3592" s="157">
        <v>43213</v>
      </c>
      <c r="B3592" s="158">
        <v>0.89</v>
      </c>
    </row>
    <row r="3593" spans="1:2" x14ac:dyDescent="0.25">
      <c r="A3593" s="157">
        <v>43214</v>
      </c>
      <c r="B3593" s="158">
        <v>0.93</v>
      </c>
    </row>
    <row r="3594" spans="1:2" x14ac:dyDescent="0.25">
      <c r="A3594" s="157">
        <v>43215</v>
      </c>
      <c r="B3594" s="158">
        <v>0.95</v>
      </c>
    </row>
    <row r="3595" spans="1:2" x14ac:dyDescent="0.25">
      <c r="A3595" s="157">
        <v>43216</v>
      </c>
      <c r="B3595" s="158">
        <v>0.92</v>
      </c>
    </row>
    <row r="3596" spans="1:2" x14ac:dyDescent="0.25">
      <c r="A3596" s="157">
        <v>43217</v>
      </c>
      <c r="B3596" s="158">
        <v>0.87</v>
      </c>
    </row>
    <row r="3597" spans="1:2" x14ac:dyDescent="0.25">
      <c r="A3597" s="157">
        <v>43220</v>
      </c>
      <c r="B3597" s="158">
        <v>0.86</v>
      </c>
    </row>
    <row r="3598" spans="1:2" x14ac:dyDescent="0.25">
      <c r="A3598" s="157">
        <v>43221</v>
      </c>
      <c r="B3598" s="158">
        <v>0.89</v>
      </c>
    </row>
    <row r="3599" spans="1:2" x14ac:dyDescent="0.25">
      <c r="A3599" s="157">
        <v>43222</v>
      </c>
      <c r="B3599" s="158">
        <v>0.89</v>
      </c>
    </row>
    <row r="3600" spans="1:2" x14ac:dyDescent="0.25">
      <c r="A3600" s="157">
        <v>43223</v>
      </c>
      <c r="B3600" s="158">
        <v>0.88</v>
      </c>
    </row>
    <row r="3601" spans="1:2" x14ac:dyDescent="0.25">
      <c r="A3601" s="157">
        <v>43224</v>
      </c>
      <c r="B3601" s="158">
        <v>0.87</v>
      </c>
    </row>
    <row r="3602" spans="1:2" x14ac:dyDescent="0.25">
      <c r="A3602" s="157">
        <v>43227</v>
      </c>
      <c r="B3602" s="158">
        <v>0.88</v>
      </c>
    </row>
    <row r="3603" spans="1:2" x14ac:dyDescent="0.25">
      <c r="A3603" s="157">
        <v>43228</v>
      </c>
      <c r="B3603" s="158">
        <v>0.89</v>
      </c>
    </row>
    <row r="3604" spans="1:2" x14ac:dyDescent="0.25">
      <c r="A3604" s="157">
        <v>43229</v>
      </c>
      <c r="B3604" s="158">
        <v>0.91</v>
      </c>
    </row>
    <row r="3605" spans="1:2" x14ac:dyDescent="0.25">
      <c r="A3605" s="157">
        <v>43230</v>
      </c>
      <c r="B3605" s="158">
        <v>0.88</v>
      </c>
    </row>
    <row r="3606" spans="1:2" x14ac:dyDescent="0.25">
      <c r="A3606" s="157">
        <v>43231</v>
      </c>
      <c r="B3606" s="158">
        <v>0.88</v>
      </c>
    </row>
    <row r="3607" spans="1:2" x14ac:dyDescent="0.25">
      <c r="A3607" s="157">
        <v>43234</v>
      </c>
      <c r="B3607" s="158">
        <v>0.92</v>
      </c>
    </row>
    <row r="3608" spans="1:2" x14ac:dyDescent="0.25">
      <c r="A3608" s="157">
        <v>43235</v>
      </c>
      <c r="B3608" s="158">
        <v>0.97</v>
      </c>
    </row>
    <row r="3609" spans="1:2" x14ac:dyDescent="0.25">
      <c r="A3609" s="157">
        <v>43236</v>
      </c>
      <c r="B3609" s="158">
        <v>0.98</v>
      </c>
    </row>
    <row r="3610" spans="1:2" x14ac:dyDescent="0.25">
      <c r="A3610" s="157">
        <v>43237</v>
      </c>
      <c r="B3610" s="158">
        <v>1.02</v>
      </c>
    </row>
    <row r="3611" spans="1:2" x14ac:dyDescent="0.25">
      <c r="A3611" s="157">
        <v>43238</v>
      </c>
      <c r="B3611" s="158">
        <v>0.99</v>
      </c>
    </row>
    <row r="3612" spans="1:2" x14ac:dyDescent="0.25">
      <c r="A3612" s="157">
        <v>43241</v>
      </c>
      <c r="B3612" s="158">
        <v>0.99</v>
      </c>
    </row>
    <row r="3613" spans="1:2" x14ac:dyDescent="0.25">
      <c r="A3613" s="157">
        <v>43242</v>
      </c>
      <c r="B3613" s="158">
        <v>0.98</v>
      </c>
    </row>
    <row r="3614" spans="1:2" x14ac:dyDescent="0.25">
      <c r="A3614" s="157">
        <v>43243</v>
      </c>
      <c r="B3614" s="158">
        <v>0.96</v>
      </c>
    </row>
    <row r="3615" spans="1:2" x14ac:dyDescent="0.25">
      <c r="A3615" s="157">
        <v>43244</v>
      </c>
      <c r="B3615" s="158">
        <v>0.95</v>
      </c>
    </row>
    <row r="3616" spans="1:2" x14ac:dyDescent="0.25">
      <c r="A3616" s="157">
        <v>43245</v>
      </c>
      <c r="B3616" s="158">
        <v>0.92</v>
      </c>
    </row>
    <row r="3617" spans="1:2" x14ac:dyDescent="0.25">
      <c r="A3617" s="157">
        <v>43248</v>
      </c>
      <c r="B3617" s="158" t="e">
        <f>NA()</f>
        <v>#N/A</v>
      </c>
    </row>
    <row r="3618" spans="1:2" x14ac:dyDescent="0.25">
      <c r="A3618" s="157">
        <v>43249</v>
      </c>
      <c r="B3618" s="158">
        <v>0.83</v>
      </c>
    </row>
    <row r="3619" spans="1:2" x14ac:dyDescent="0.25">
      <c r="A3619" s="157">
        <v>43250</v>
      </c>
      <c r="B3619" s="158">
        <v>0.87</v>
      </c>
    </row>
    <row r="3620" spans="1:2" x14ac:dyDescent="0.25">
      <c r="A3620" s="157">
        <v>43251</v>
      </c>
      <c r="B3620" s="158">
        <v>0.84</v>
      </c>
    </row>
    <row r="3621" spans="1:2" x14ac:dyDescent="0.25">
      <c r="A3621" s="157">
        <v>43252</v>
      </c>
      <c r="B3621" s="158">
        <v>0.89</v>
      </c>
    </row>
    <row r="3622" spans="1:2" x14ac:dyDescent="0.25">
      <c r="A3622" s="157">
        <v>43255</v>
      </c>
      <c r="B3622" s="158">
        <v>0.9</v>
      </c>
    </row>
    <row r="3623" spans="1:2" x14ac:dyDescent="0.25">
      <c r="A3623" s="157">
        <v>43256</v>
      </c>
      <c r="B3623" s="158">
        <v>0.87</v>
      </c>
    </row>
    <row r="3624" spans="1:2" x14ac:dyDescent="0.25">
      <c r="A3624" s="157">
        <v>43257</v>
      </c>
      <c r="B3624" s="158">
        <v>0.91</v>
      </c>
    </row>
    <row r="3625" spans="1:2" x14ac:dyDescent="0.25">
      <c r="A3625" s="157">
        <v>43258</v>
      </c>
      <c r="B3625" s="158">
        <v>0.89</v>
      </c>
    </row>
    <row r="3626" spans="1:2" x14ac:dyDescent="0.25">
      <c r="A3626" s="157">
        <v>43259</v>
      </c>
      <c r="B3626" s="158">
        <v>0.9</v>
      </c>
    </row>
    <row r="3627" spans="1:2" x14ac:dyDescent="0.25">
      <c r="A3627" s="157">
        <v>43262</v>
      </c>
      <c r="B3627" s="158">
        <v>0.91</v>
      </c>
    </row>
    <row r="3628" spans="1:2" x14ac:dyDescent="0.25">
      <c r="A3628" s="157">
        <v>43263</v>
      </c>
      <c r="B3628" s="158">
        <v>0.91</v>
      </c>
    </row>
    <row r="3629" spans="1:2" x14ac:dyDescent="0.25">
      <c r="A3629" s="157">
        <v>43264</v>
      </c>
      <c r="B3629" s="158">
        <v>0.94</v>
      </c>
    </row>
    <row r="3630" spans="1:2" x14ac:dyDescent="0.25">
      <c r="A3630" s="157">
        <v>43265</v>
      </c>
      <c r="B3630" s="158">
        <v>0.89</v>
      </c>
    </row>
    <row r="3631" spans="1:2" x14ac:dyDescent="0.25">
      <c r="A3631" s="157">
        <v>43266</v>
      </c>
      <c r="B3631" s="158">
        <v>0.88</v>
      </c>
    </row>
    <row r="3632" spans="1:2" x14ac:dyDescent="0.25">
      <c r="A3632" s="157">
        <v>43269</v>
      </c>
      <c r="B3632" s="158">
        <v>0.87</v>
      </c>
    </row>
    <row r="3633" spans="1:2" x14ac:dyDescent="0.25">
      <c r="A3633" s="157">
        <v>43270</v>
      </c>
      <c r="B3633" s="158">
        <v>0.85</v>
      </c>
    </row>
    <row r="3634" spans="1:2" x14ac:dyDescent="0.25">
      <c r="A3634" s="157">
        <v>43271</v>
      </c>
      <c r="B3634" s="158">
        <v>0.89</v>
      </c>
    </row>
    <row r="3635" spans="1:2" x14ac:dyDescent="0.25">
      <c r="A3635" s="157">
        <v>43272</v>
      </c>
      <c r="B3635" s="158">
        <v>0.88</v>
      </c>
    </row>
    <row r="3636" spans="1:2" x14ac:dyDescent="0.25">
      <c r="A3636" s="157">
        <v>43273</v>
      </c>
      <c r="B3636" s="158">
        <v>0.86</v>
      </c>
    </row>
    <row r="3637" spans="1:2" x14ac:dyDescent="0.25">
      <c r="A3637" s="157">
        <v>43276</v>
      </c>
      <c r="B3637" s="158">
        <v>0.85</v>
      </c>
    </row>
    <row r="3638" spans="1:2" x14ac:dyDescent="0.25">
      <c r="A3638" s="157">
        <v>43277</v>
      </c>
      <c r="B3638" s="158">
        <v>0.84</v>
      </c>
    </row>
    <row r="3639" spans="1:2" x14ac:dyDescent="0.25">
      <c r="A3639" s="157">
        <v>43278</v>
      </c>
      <c r="B3639" s="158">
        <v>0.8</v>
      </c>
    </row>
    <row r="3640" spans="1:2" x14ac:dyDescent="0.25">
      <c r="A3640" s="157">
        <v>43279</v>
      </c>
      <c r="B3640" s="158">
        <v>0.82</v>
      </c>
    </row>
    <row r="3641" spans="1:2" x14ac:dyDescent="0.25">
      <c r="A3641" s="157">
        <v>43280</v>
      </c>
      <c r="B3641" s="158">
        <v>0.81</v>
      </c>
    </row>
    <row r="3642" spans="1:2" x14ac:dyDescent="0.25">
      <c r="A3642" s="157">
        <v>43283</v>
      </c>
      <c r="B3642" s="158">
        <v>0.8</v>
      </c>
    </row>
    <row r="3643" spans="1:2" x14ac:dyDescent="0.25">
      <c r="A3643" s="157">
        <v>43284</v>
      </c>
      <c r="B3643" s="158">
        <v>0.78</v>
      </c>
    </row>
    <row r="3644" spans="1:2" x14ac:dyDescent="0.25">
      <c r="A3644" s="157">
        <v>43285</v>
      </c>
      <c r="B3644" s="158" t="e">
        <f>NA()</f>
        <v>#N/A</v>
      </c>
    </row>
    <row r="3645" spans="1:2" x14ac:dyDescent="0.25">
      <c r="A3645" s="157">
        <v>43286</v>
      </c>
      <c r="B3645" s="158">
        <v>0.77</v>
      </c>
    </row>
    <row r="3646" spans="1:2" x14ac:dyDescent="0.25">
      <c r="A3646" s="157">
        <v>43287</v>
      </c>
      <c r="B3646" s="158">
        <v>0.77</v>
      </c>
    </row>
    <row r="3647" spans="1:2" x14ac:dyDescent="0.25">
      <c r="A3647" s="157">
        <v>43290</v>
      </c>
      <c r="B3647" s="158">
        <v>0.8</v>
      </c>
    </row>
    <row r="3648" spans="1:2" x14ac:dyDescent="0.25">
      <c r="A3648" s="157">
        <v>43291</v>
      </c>
      <c r="B3648" s="158">
        <v>0.81</v>
      </c>
    </row>
    <row r="3649" spans="1:2" x14ac:dyDescent="0.25">
      <c r="A3649" s="157">
        <v>43292</v>
      </c>
      <c r="B3649" s="158">
        <v>0.8</v>
      </c>
    </row>
    <row r="3650" spans="1:2" x14ac:dyDescent="0.25">
      <c r="A3650" s="157">
        <v>43293</v>
      </c>
      <c r="B3650" s="158">
        <v>0.8</v>
      </c>
    </row>
    <row r="3651" spans="1:2" x14ac:dyDescent="0.25">
      <c r="A3651" s="157">
        <v>43294</v>
      </c>
      <c r="B3651" s="158">
        <v>0.78</v>
      </c>
    </row>
    <row r="3652" spans="1:2" x14ac:dyDescent="0.25">
      <c r="A3652" s="157">
        <v>43297</v>
      </c>
      <c r="B3652" s="158">
        <v>0.81</v>
      </c>
    </row>
    <row r="3653" spans="1:2" x14ac:dyDescent="0.25">
      <c r="A3653" s="157">
        <v>43298</v>
      </c>
      <c r="B3653" s="158">
        <v>0.82</v>
      </c>
    </row>
    <row r="3654" spans="1:2" x14ac:dyDescent="0.25">
      <c r="A3654" s="157">
        <v>43299</v>
      </c>
      <c r="B3654" s="158">
        <v>0.85</v>
      </c>
    </row>
    <row r="3655" spans="1:2" x14ac:dyDescent="0.25">
      <c r="A3655" s="157">
        <v>43300</v>
      </c>
      <c r="B3655" s="158">
        <v>0.81</v>
      </c>
    </row>
    <row r="3656" spans="1:2" x14ac:dyDescent="0.25">
      <c r="A3656" s="157">
        <v>43301</v>
      </c>
      <c r="B3656" s="158">
        <v>0.85</v>
      </c>
    </row>
    <row r="3657" spans="1:2" x14ac:dyDescent="0.25">
      <c r="A3657" s="157">
        <v>43304</v>
      </c>
      <c r="B3657" s="158">
        <v>0.92</v>
      </c>
    </row>
    <row r="3658" spans="1:2" x14ac:dyDescent="0.25">
      <c r="A3658" s="157">
        <v>43305</v>
      </c>
      <c r="B3658" s="158">
        <v>0.9</v>
      </c>
    </row>
    <row r="3659" spans="1:2" x14ac:dyDescent="0.25">
      <c r="A3659" s="157">
        <v>43306</v>
      </c>
      <c r="B3659" s="158">
        <v>0.88</v>
      </c>
    </row>
    <row r="3660" spans="1:2" x14ac:dyDescent="0.25">
      <c r="A3660" s="157">
        <v>43307</v>
      </c>
      <c r="B3660" s="158">
        <v>0.92</v>
      </c>
    </row>
    <row r="3661" spans="1:2" x14ac:dyDescent="0.25">
      <c r="A3661" s="157">
        <v>43308</v>
      </c>
      <c r="B3661" s="158">
        <v>0.89</v>
      </c>
    </row>
    <row r="3662" spans="1:2" x14ac:dyDescent="0.25">
      <c r="A3662" s="157">
        <v>43311</v>
      </c>
      <c r="B3662" s="158">
        <v>0.91</v>
      </c>
    </row>
    <row r="3663" spans="1:2" x14ac:dyDescent="0.25">
      <c r="A3663" s="157">
        <v>43312</v>
      </c>
      <c r="B3663" s="158">
        <v>0.88</v>
      </c>
    </row>
    <row r="3664" spans="1:2" x14ac:dyDescent="0.25">
      <c r="A3664" s="157">
        <v>43313</v>
      </c>
      <c r="B3664" s="158">
        <v>0.93</v>
      </c>
    </row>
    <row r="3665" spans="1:2" x14ac:dyDescent="0.25">
      <c r="A3665" s="157">
        <v>43314</v>
      </c>
      <c r="B3665" s="158">
        <v>0.92</v>
      </c>
    </row>
    <row r="3666" spans="1:2" x14ac:dyDescent="0.25">
      <c r="A3666" s="157">
        <v>43315</v>
      </c>
      <c r="B3666" s="158">
        <v>0.9</v>
      </c>
    </row>
    <row r="3667" spans="1:2" x14ac:dyDescent="0.25">
      <c r="A3667" s="157">
        <v>43318</v>
      </c>
      <c r="B3667" s="158">
        <v>0.9</v>
      </c>
    </row>
    <row r="3668" spans="1:2" x14ac:dyDescent="0.25">
      <c r="A3668" s="157">
        <v>43319</v>
      </c>
      <c r="B3668" s="158">
        <v>0.92</v>
      </c>
    </row>
    <row r="3669" spans="1:2" x14ac:dyDescent="0.25">
      <c r="A3669" s="157">
        <v>43320</v>
      </c>
      <c r="B3669" s="158">
        <v>0.91</v>
      </c>
    </row>
    <row r="3670" spans="1:2" x14ac:dyDescent="0.25">
      <c r="A3670" s="157">
        <v>43321</v>
      </c>
      <c r="B3670" s="158">
        <v>0.88</v>
      </c>
    </row>
    <row r="3671" spans="1:2" x14ac:dyDescent="0.25">
      <c r="A3671" s="157">
        <v>43322</v>
      </c>
      <c r="B3671" s="158">
        <v>0.86</v>
      </c>
    </row>
    <row r="3672" spans="1:2" x14ac:dyDescent="0.25">
      <c r="A3672" s="157">
        <v>43325</v>
      </c>
      <c r="B3672" s="158">
        <v>0.86</v>
      </c>
    </row>
    <row r="3673" spans="1:2" x14ac:dyDescent="0.25">
      <c r="A3673" s="157">
        <v>43326</v>
      </c>
      <c r="B3673" s="158">
        <v>0.88</v>
      </c>
    </row>
    <row r="3674" spans="1:2" x14ac:dyDescent="0.25">
      <c r="A3674" s="157">
        <v>43327</v>
      </c>
      <c r="B3674" s="158">
        <v>0.86</v>
      </c>
    </row>
    <row r="3675" spans="1:2" x14ac:dyDescent="0.25">
      <c r="A3675" s="157">
        <v>43328</v>
      </c>
      <c r="B3675" s="158">
        <v>0.86</v>
      </c>
    </row>
    <row r="3676" spans="1:2" x14ac:dyDescent="0.25">
      <c r="A3676" s="157">
        <v>43329</v>
      </c>
      <c r="B3676" s="158">
        <v>0.85</v>
      </c>
    </row>
    <row r="3677" spans="1:2" x14ac:dyDescent="0.25">
      <c r="A3677" s="157">
        <v>43332</v>
      </c>
      <c r="B3677" s="158">
        <v>0.82</v>
      </c>
    </row>
    <row r="3678" spans="1:2" x14ac:dyDescent="0.25">
      <c r="A3678" s="157">
        <v>43333</v>
      </c>
      <c r="B3678" s="158">
        <v>0.84</v>
      </c>
    </row>
    <row r="3679" spans="1:2" x14ac:dyDescent="0.25">
      <c r="A3679" s="157">
        <v>43334</v>
      </c>
      <c r="B3679" s="158">
        <v>0.82</v>
      </c>
    </row>
    <row r="3680" spans="1:2" x14ac:dyDescent="0.25">
      <c r="A3680" s="157">
        <v>43335</v>
      </c>
      <c r="B3680" s="158">
        <v>0.81</v>
      </c>
    </row>
    <row r="3681" spans="1:2" x14ac:dyDescent="0.25">
      <c r="A3681" s="157">
        <v>43336</v>
      </c>
      <c r="B3681" s="158">
        <v>0.79</v>
      </c>
    </row>
    <row r="3682" spans="1:2" x14ac:dyDescent="0.25">
      <c r="A3682" s="157">
        <v>43339</v>
      </c>
      <c r="B3682" s="158">
        <v>0.81</v>
      </c>
    </row>
    <row r="3683" spans="1:2" x14ac:dyDescent="0.25">
      <c r="A3683" s="157">
        <v>43340</v>
      </c>
      <c r="B3683" s="158">
        <v>0.84</v>
      </c>
    </row>
    <row r="3684" spans="1:2" x14ac:dyDescent="0.25">
      <c r="A3684" s="157">
        <v>43341</v>
      </c>
      <c r="B3684" s="158">
        <v>0.83</v>
      </c>
    </row>
    <row r="3685" spans="1:2" x14ac:dyDescent="0.25">
      <c r="A3685" s="157">
        <v>43342</v>
      </c>
      <c r="B3685" s="158">
        <v>0.82</v>
      </c>
    </row>
    <row r="3686" spans="1:2" x14ac:dyDescent="0.25">
      <c r="A3686" s="157">
        <v>43343</v>
      </c>
      <c r="B3686" s="158">
        <v>0.85</v>
      </c>
    </row>
    <row r="3687" spans="1:2" x14ac:dyDescent="0.25">
      <c r="A3687" s="157">
        <v>43346</v>
      </c>
      <c r="B3687" s="158" t="e">
        <f>NA()</f>
        <v>#N/A</v>
      </c>
    </row>
    <row r="3688" spans="1:2" x14ac:dyDescent="0.25">
      <c r="A3688" s="157">
        <v>43347</v>
      </c>
      <c r="B3688" s="158">
        <v>0.88</v>
      </c>
    </row>
    <row r="3689" spans="1:2" x14ac:dyDescent="0.25">
      <c r="A3689" s="157">
        <v>43348</v>
      </c>
      <c r="B3689" s="158">
        <v>0.89</v>
      </c>
    </row>
    <row r="3690" spans="1:2" x14ac:dyDescent="0.25">
      <c r="A3690" s="157">
        <v>43349</v>
      </c>
      <c r="B3690" s="158">
        <v>0.88</v>
      </c>
    </row>
    <row r="3691" spans="1:2" x14ac:dyDescent="0.25">
      <c r="A3691" s="157">
        <v>43350</v>
      </c>
      <c r="B3691" s="158">
        <v>0.92</v>
      </c>
    </row>
    <row r="3692" spans="1:2" x14ac:dyDescent="0.25">
      <c r="A3692" s="157">
        <v>43353</v>
      </c>
      <c r="B3692" s="158">
        <v>0.9</v>
      </c>
    </row>
    <row r="3693" spans="1:2" x14ac:dyDescent="0.25">
      <c r="A3693" s="157">
        <v>43354</v>
      </c>
      <c r="B3693" s="158">
        <v>0.92</v>
      </c>
    </row>
    <row r="3694" spans="1:2" x14ac:dyDescent="0.25">
      <c r="A3694" s="157">
        <v>43355</v>
      </c>
      <c r="B3694" s="158">
        <v>0.92</v>
      </c>
    </row>
    <row r="3695" spans="1:2" x14ac:dyDescent="0.25">
      <c r="A3695" s="157">
        <v>43356</v>
      </c>
      <c r="B3695" s="158">
        <v>0.93</v>
      </c>
    </row>
    <row r="3696" spans="1:2" x14ac:dyDescent="0.25">
      <c r="A3696" s="157">
        <v>43357</v>
      </c>
      <c r="B3696" s="158">
        <v>0.95</v>
      </c>
    </row>
    <row r="3697" spans="1:2" x14ac:dyDescent="0.25">
      <c r="A3697" s="157">
        <v>43360</v>
      </c>
      <c r="B3697" s="158">
        <v>0.95</v>
      </c>
    </row>
    <row r="3698" spans="1:2" x14ac:dyDescent="0.25">
      <c r="A3698" s="157">
        <v>43361</v>
      </c>
      <c r="B3698" s="158">
        <v>0.98</v>
      </c>
    </row>
    <row r="3699" spans="1:2" x14ac:dyDescent="0.25">
      <c r="A3699" s="157">
        <v>43362</v>
      </c>
      <c r="B3699" s="158">
        <v>1</v>
      </c>
    </row>
    <row r="3700" spans="1:2" x14ac:dyDescent="0.25">
      <c r="A3700" s="157">
        <v>43363</v>
      </c>
      <c r="B3700" s="158">
        <v>0.98</v>
      </c>
    </row>
    <row r="3701" spans="1:2" x14ac:dyDescent="0.25">
      <c r="A3701" s="157">
        <v>43364</v>
      </c>
      <c r="B3701" s="158">
        <v>0.98</v>
      </c>
    </row>
    <row r="3702" spans="1:2" x14ac:dyDescent="0.25">
      <c r="A3702" s="157">
        <v>43367</v>
      </c>
      <c r="B3702" s="158">
        <v>0.98</v>
      </c>
    </row>
    <row r="3703" spans="1:2" x14ac:dyDescent="0.25">
      <c r="A3703" s="157">
        <v>43368</v>
      </c>
      <c r="B3703" s="158">
        <v>0.99</v>
      </c>
    </row>
    <row r="3704" spans="1:2" x14ac:dyDescent="0.25">
      <c r="A3704" s="157">
        <v>43369</v>
      </c>
      <c r="B3704" s="158">
        <v>0.97</v>
      </c>
    </row>
    <row r="3705" spans="1:2" x14ac:dyDescent="0.25">
      <c r="A3705" s="157">
        <v>43370</v>
      </c>
      <c r="B3705" s="158">
        <v>0.97</v>
      </c>
    </row>
    <row r="3706" spans="1:2" x14ac:dyDescent="0.25">
      <c r="A3706" s="157">
        <v>43371</v>
      </c>
      <c r="B3706" s="158">
        <v>0.97</v>
      </c>
    </row>
    <row r="3707" spans="1:2" x14ac:dyDescent="0.25">
      <c r="A3707" s="157">
        <v>43374</v>
      </c>
      <c r="B3707" s="158">
        <v>1.03</v>
      </c>
    </row>
    <row r="3708" spans="1:2" x14ac:dyDescent="0.25">
      <c r="A3708" s="157">
        <v>43375</v>
      </c>
      <c r="B3708" s="158">
        <v>1</v>
      </c>
    </row>
    <row r="3709" spans="1:2" x14ac:dyDescent="0.25">
      <c r="A3709" s="157">
        <v>43376</v>
      </c>
      <c r="B3709" s="158">
        <v>1.06</v>
      </c>
    </row>
    <row r="3710" spans="1:2" x14ac:dyDescent="0.25">
      <c r="A3710" s="157">
        <v>43377</v>
      </c>
      <c r="B3710" s="158">
        <v>1.1100000000000001</v>
      </c>
    </row>
    <row r="3711" spans="1:2" x14ac:dyDescent="0.25">
      <c r="A3711" s="157">
        <v>43378</v>
      </c>
      <c r="B3711" s="158">
        <v>1.1499999999999999</v>
      </c>
    </row>
    <row r="3712" spans="1:2" x14ac:dyDescent="0.25">
      <c r="A3712" s="157">
        <v>43381</v>
      </c>
      <c r="B3712" s="158" t="e">
        <f>NA()</f>
        <v>#N/A</v>
      </c>
    </row>
    <row r="3713" spans="1:2" x14ac:dyDescent="0.25">
      <c r="A3713" s="157">
        <v>43382</v>
      </c>
      <c r="B3713" s="158">
        <v>1.1200000000000001</v>
      </c>
    </row>
    <row r="3714" spans="1:2" x14ac:dyDescent="0.25">
      <c r="A3714" s="157">
        <v>43383</v>
      </c>
      <c r="B3714" s="158">
        <v>1.1499999999999999</v>
      </c>
    </row>
    <row r="3715" spans="1:2" x14ac:dyDescent="0.25">
      <c r="A3715" s="157">
        <v>43384</v>
      </c>
      <c r="B3715" s="158">
        <v>1.1100000000000001</v>
      </c>
    </row>
    <row r="3716" spans="1:2" x14ac:dyDescent="0.25">
      <c r="A3716" s="157">
        <v>43385</v>
      </c>
      <c r="B3716" s="158">
        <v>1.1200000000000001</v>
      </c>
    </row>
    <row r="3717" spans="1:2" x14ac:dyDescent="0.25">
      <c r="A3717" s="157">
        <v>43388</v>
      </c>
      <c r="B3717" s="158">
        <v>1.1200000000000001</v>
      </c>
    </row>
    <row r="3718" spans="1:2" x14ac:dyDescent="0.25">
      <c r="A3718" s="157">
        <v>43389</v>
      </c>
      <c r="B3718" s="158">
        <v>1.1200000000000001</v>
      </c>
    </row>
    <row r="3719" spans="1:2" x14ac:dyDescent="0.25">
      <c r="A3719" s="157">
        <v>43390</v>
      </c>
      <c r="B3719" s="158">
        <v>1.1499999999999999</v>
      </c>
    </row>
    <row r="3720" spans="1:2" x14ac:dyDescent="0.25">
      <c r="A3720" s="157">
        <v>43391</v>
      </c>
      <c r="B3720" s="158">
        <v>1.17</v>
      </c>
    </row>
    <row r="3721" spans="1:2" x14ac:dyDescent="0.25">
      <c r="A3721" s="157">
        <v>43392</v>
      </c>
      <c r="B3721" s="158">
        <v>1.18</v>
      </c>
    </row>
    <row r="3722" spans="1:2" x14ac:dyDescent="0.25">
      <c r="A3722" s="157">
        <v>43395</v>
      </c>
      <c r="B3722" s="158">
        <v>1.19</v>
      </c>
    </row>
    <row r="3723" spans="1:2" x14ac:dyDescent="0.25">
      <c r="A3723" s="157">
        <v>43396</v>
      </c>
      <c r="B3723" s="158">
        <v>1.18</v>
      </c>
    </row>
    <row r="3724" spans="1:2" x14ac:dyDescent="0.25">
      <c r="A3724" s="157">
        <v>43397</v>
      </c>
      <c r="B3724" s="158">
        <v>1.1499999999999999</v>
      </c>
    </row>
    <row r="3725" spans="1:2" x14ac:dyDescent="0.25">
      <c r="A3725" s="157">
        <v>43398</v>
      </c>
      <c r="B3725" s="158">
        <v>1.2</v>
      </c>
    </row>
    <row r="3726" spans="1:2" x14ac:dyDescent="0.25">
      <c r="A3726" s="157">
        <v>43399</v>
      </c>
      <c r="B3726" s="158">
        <v>1.1399999999999999</v>
      </c>
    </row>
    <row r="3727" spans="1:2" x14ac:dyDescent="0.25">
      <c r="A3727" s="157">
        <v>43402</v>
      </c>
      <c r="B3727" s="158">
        <v>1.1499999999999999</v>
      </c>
    </row>
    <row r="3728" spans="1:2" x14ac:dyDescent="0.25">
      <c r="A3728" s="157">
        <v>43403</v>
      </c>
      <c r="B3728" s="158">
        <v>1.19</v>
      </c>
    </row>
    <row r="3729" spans="1:2" x14ac:dyDescent="0.25">
      <c r="A3729" s="157">
        <v>43404</v>
      </c>
      <c r="B3729" s="158">
        <v>1.21</v>
      </c>
    </row>
    <row r="3730" spans="1:2" x14ac:dyDescent="0.25">
      <c r="A3730" s="157">
        <v>43405</v>
      </c>
      <c r="B3730" s="158">
        <v>1.23</v>
      </c>
    </row>
    <row r="3731" spans="1:2" x14ac:dyDescent="0.25">
      <c r="A3731" s="157">
        <v>43406</v>
      </c>
      <c r="B3731" s="158">
        <v>1.27</v>
      </c>
    </row>
    <row r="3732" spans="1:2" x14ac:dyDescent="0.25">
      <c r="A3732" s="157">
        <v>43409</v>
      </c>
      <c r="B3732" s="158">
        <v>1.25</v>
      </c>
    </row>
    <row r="3733" spans="1:2" x14ac:dyDescent="0.25">
      <c r="A3733" s="157">
        <v>43410</v>
      </c>
      <c r="B3733" s="158">
        <v>1.25</v>
      </c>
    </row>
    <row r="3734" spans="1:2" x14ac:dyDescent="0.25">
      <c r="A3734" s="157">
        <v>43411</v>
      </c>
      <c r="B3734" s="158">
        <v>1.25</v>
      </c>
    </row>
    <row r="3735" spans="1:2" x14ac:dyDescent="0.25">
      <c r="A3735" s="157">
        <v>43412</v>
      </c>
      <c r="B3735" s="158">
        <v>1.24</v>
      </c>
    </row>
    <row r="3736" spans="1:2" x14ac:dyDescent="0.25">
      <c r="A3736" s="157">
        <v>43413</v>
      </c>
      <c r="B3736" s="158">
        <v>1.24</v>
      </c>
    </row>
    <row r="3737" spans="1:2" x14ac:dyDescent="0.25">
      <c r="A3737" s="157">
        <v>43416</v>
      </c>
      <c r="B3737" s="158" t="e">
        <f>NA()</f>
        <v>#N/A</v>
      </c>
    </row>
    <row r="3738" spans="1:2" x14ac:dyDescent="0.25">
      <c r="A3738" s="157">
        <v>43417</v>
      </c>
      <c r="B3738" s="158">
        <v>1.22</v>
      </c>
    </row>
    <row r="3739" spans="1:2" x14ac:dyDescent="0.25">
      <c r="A3739" s="157">
        <v>43418</v>
      </c>
      <c r="B3739" s="158">
        <v>1.22</v>
      </c>
    </row>
    <row r="3740" spans="1:2" x14ac:dyDescent="0.25">
      <c r="A3740" s="157">
        <v>43419</v>
      </c>
      <c r="B3740" s="158">
        <v>1.21</v>
      </c>
    </row>
    <row r="3741" spans="1:2" x14ac:dyDescent="0.25">
      <c r="A3741" s="157">
        <v>43420</v>
      </c>
      <c r="B3741" s="158">
        <v>1.17</v>
      </c>
    </row>
    <row r="3742" spans="1:2" x14ac:dyDescent="0.25">
      <c r="A3742" s="157">
        <v>43423</v>
      </c>
      <c r="B3742" s="158">
        <v>1.17</v>
      </c>
    </row>
    <row r="3743" spans="1:2" x14ac:dyDescent="0.25">
      <c r="A3743" s="157">
        <v>43424</v>
      </c>
      <c r="B3743" s="158">
        <v>1.19</v>
      </c>
    </row>
    <row r="3744" spans="1:2" x14ac:dyDescent="0.25">
      <c r="A3744" s="157">
        <v>43425</v>
      </c>
      <c r="B3744" s="158">
        <v>1.2</v>
      </c>
    </row>
    <row r="3745" spans="1:2" x14ac:dyDescent="0.25">
      <c r="A3745" s="157">
        <v>43426</v>
      </c>
      <c r="B3745" s="158" t="e">
        <f>NA()</f>
        <v>#N/A</v>
      </c>
    </row>
    <row r="3746" spans="1:2" x14ac:dyDescent="0.25">
      <c r="A3746" s="157">
        <v>43427</v>
      </c>
      <c r="B3746" s="158">
        <v>1.18</v>
      </c>
    </row>
    <row r="3747" spans="1:2" x14ac:dyDescent="0.25">
      <c r="A3747" s="157">
        <v>43430</v>
      </c>
      <c r="B3747" s="158">
        <v>1.2</v>
      </c>
    </row>
    <row r="3748" spans="1:2" x14ac:dyDescent="0.25">
      <c r="A3748" s="157">
        <v>43431</v>
      </c>
      <c r="B3748" s="158">
        <v>1.24</v>
      </c>
    </row>
    <row r="3749" spans="1:2" x14ac:dyDescent="0.25">
      <c r="A3749" s="157">
        <v>43432</v>
      </c>
      <c r="B3749" s="158">
        <v>1.23</v>
      </c>
    </row>
    <row r="3750" spans="1:2" x14ac:dyDescent="0.25">
      <c r="A3750" s="157">
        <v>43433</v>
      </c>
      <c r="B3750" s="158">
        <v>1.1599999999999999</v>
      </c>
    </row>
    <row r="3751" spans="1:2" x14ac:dyDescent="0.25">
      <c r="A3751" s="157">
        <v>43434</v>
      </c>
      <c r="B3751" s="158">
        <v>1.1499999999999999</v>
      </c>
    </row>
    <row r="3752" spans="1:2" x14ac:dyDescent="0.25">
      <c r="A3752" s="157">
        <v>43437</v>
      </c>
      <c r="B3752" s="158">
        <v>1.1299999999999999</v>
      </c>
    </row>
    <row r="3753" spans="1:2" x14ac:dyDescent="0.25">
      <c r="A3753" s="157">
        <v>43438</v>
      </c>
      <c r="B3753" s="158">
        <v>1.06</v>
      </c>
    </row>
    <row r="3754" spans="1:2" x14ac:dyDescent="0.25">
      <c r="A3754" s="157">
        <v>43439</v>
      </c>
      <c r="B3754" s="158" t="e">
        <f>NA()</f>
        <v>#N/A</v>
      </c>
    </row>
    <row r="3755" spans="1:2" x14ac:dyDescent="0.25">
      <c r="A3755" s="157">
        <v>43440</v>
      </c>
      <c r="B3755" s="158">
        <v>1.08</v>
      </c>
    </row>
    <row r="3756" spans="1:2" x14ac:dyDescent="0.25">
      <c r="A3756" s="157">
        <v>43441</v>
      </c>
      <c r="B3756" s="158">
        <v>1.06</v>
      </c>
    </row>
    <row r="3757" spans="1:2" x14ac:dyDescent="0.25">
      <c r="A3757" s="157">
        <v>43444</v>
      </c>
      <c r="B3757" s="158">
        <v>1.1000000000000001</v>
      </c>
    </row>
    <row r="3758" spans="1:2" x14ac:dyDescent="0.25">
      <c r="A3758" s="157">
        <v>43445</v>
      </c>
      <c r="B3758" s="158">
        <v>1.1599999999999999</v>
      </c>
    </row>
    <row r="3759" spans="1:2" x14ac:dyDescent="0.25">
      <c r="A3759" s="157">
        <v>43446</v>
      </c>
      <c r="B3759" s="158">
        <v>1.1599999999999999</v>
      </c>
    </row>
    <row r="3760" spans="1:2" x14ac:dyDescent="0.25">
      <c r="A3760" s="157">
        <v>43447</v>
      </c>
      <c r="B3760" s="158">
        <v>1.18</v>
      </c>
    </row>
    <row r="3761" spans="1:2" x14ac:dyDescent="0.25">
      <c r="A3761" s="157">
        <v>43448</v>
      </c>
      <c r="B3761" s="158">
        <v>1.1499999999999999</v>
      </c>
    </row>
    <row r="3762" spans="1:2" x14ac:dyDescent="0.25">
      <c r="A3762" s="157">
        <v>43451</v>
      </c>
      <c r="B3762" s="158">
        <v>1.1499999999999999</v>
      </c>
    </row>
    <row r="3763" spans="1:2" x14ac:dyDescent="0.25">
      <c r="A3763" s="157">
        <v>43452</v>
      </c>
      <c r="B3763" s="158">
        <v>1.0900000000000001</v>
      </c>
    </row>
    <row r="3764" spans="1:2" x14ac:dyDescent="0.25">
      <c r="A3764" s="157">
        <v>43453</v>
      </c>
      <c r="B3764" s="158">
        <v>1.06</v>
      </c>
    </row>
    <row r="3765" spans="1:2" x14ac:dyDescent="0.25">
      <c r="A3765" s="157">
        <v>43454</v>
      </c>
      <c r="B3765" s="158">
        <v>1.1000000000000001</v>
      </c>
    </row>
    <row r="3766" spans="1:2" x14ac:dyDescent="0.25">
      <c r="A3766" s="157">
        <v>43455</v>
      </c>
      <c r="B3766" s="158">
        <v>1.1100000000000001</v>
      </c>
    </row>
    <row r="3767" spans="1:2" x14ac:dyDescent="0.25">
      <c r="A3767" s="157">
        <v>43458</v>
      </c>
      <c r="B3767" s="158">
        <v>1.0900000000000001</v>
      </c>
    </row>
    <row r="3768" spans="1:2" x14ac:dyDescent="0.25">
      <c r="A3768" s="157">
        <v>43459</v>
      </c>
      <c r="B3768" s="158" t="e">
        <f>NA()</f>
        <v>#N/A</v>
      </c>
    </row>
    <row r="3769" spans="1:2" x14ac:dyDescent="0.25">
      <c r="A3769" s="157">
        <v>43460</v>
      </c>
      <c r="B3769" s="158">
        <v>1.1299999999999999</v>
      </c>
    </row>
    <row r="3770" spans="1:2" x14ac:dyDescent="0.25">
      <c r="A3770" s="157">
        <v>43461</v>
      </c>
      <c r="B3770" s="158">
        <v>1.1399999999999999</v>
      </c>
    </row>
    <row r="3771" spans="1:2" x14ac:dyDescent="0.25">
      <c r="A3771" s="157">
        <v>43462</v>
      </c>
      <c r="B3771" s="158">
        <v>1.1100000000000001</v>
      </c>
    </row>
    <row r="3772" spans="1:2" x14ac:dyDescent="0.25">
      <c r="A3772" s="157">
        <v>43465</v>
      </c>
      <c r="B3772" s="158">
        <v>1.0900000000000001</v>
      </c>
    </row>
    <row r="3773" spans="1:2" x14ac:dyDescent="0.25">
      <c r="A3773" s="157">
        <v>43466</v>
      </c>
      <c r="B3773" s="158" t="e">
        <f>NA()</f>
        <v>#N/A</v>
      </c>
    </row>
    <row r="3774" spans="1:2" x14ac:dyDescent="0.25">
      <c r="A3774" s="157">
        <v>43467</v>
      </c>
      <c r="B3774" s="158">
        <v>1.07</v>
      </c>
    </row>
    <row r="3775" spans="1:2" x14ac:dyDescent="0.25">
      <c r="A3775" s="157">
        <v>43468</v>
      </c>
      <c r="B3775" s="158">
        <v>1.01</v>
      </c>
    </row>
    <row r="3776" spans="1:2" x14ac:dyDescent="0.25">
      <c r="A3776" s="157">
        <v>43469</v>
      </c>
      <c r="B3776" s="158">
        <v>1.05</v>
      </c>
    </row>
    <row r="3777" spans="1:2" x14ac:dyDescent="0.25">
      <c r="A3777" s="157">
        <v>43472</v>
      </c>
      <c r="B3777" s="158">
        <v>1.06</v>
      </c>
    </row>
    <row r="3778" spans="1:2" x14ac:dyDescent="0.25">
      <c r="A3778" s="157">
        <v>43473</v>
      </c>
      <c r="B3778" s="158">
        <v>1.03</v>
      </c>
    </row>
    <row r="3779" spans="1:2" x14ac:dyDescent="0.25">
      <c r="A3779" s="157">
        <v>43474</v>
      </c>
      <c r="B3779" s="158">
        <v>1.05</v>
      </c>
    </row>
    <row r="3780" spans="1:2" x14ac:dyDescent="0.25">
      <c r="A3780" s="157">
        <v>43475</v>
      </c>
      <c r="B3780" s="158">
        <v>1.08</v>
      </c>
    </row>
    <row r="3781" spans="1:2" x14ac:dyDescent="0.25">
      <c r="A3781" s="157">
        <v>43476</v>
      </c>
      <c r="B3781" s="158">
        <v>1.05</v>
      </c>
    </row>
    <row r="3782" spans="1:2" x14ac:dyDescent="0.25">
      <c r="A3782" s="157">
        <v>43479</v>
      </c>
      <c r="B3782" s="158">
        <v>1.07</v>
      </c>
    </row>
    <row r="3783" spans="1:2" x14ac:dyDescent="0.25">
      <c r="A3783" s="157">
        <v>43480</v>
      </c>
      <c r="B3783" s="158">
        <v>1.08</v>
      </c>
    </row>
    <row r="3784" spans="1:2" x14ac:dyDescent="0.25">
      <c r="A3784" s="157">
        <v>43481</v>
      </c>
      <c r="B3784" s="158">
        <v>1.06</v>
      </c>
    </row>
    <row r="3785" spans="1:2" x14ac:dyDescent="0.25">
      <c r="A3785" s="157">
        <v>43482</v>
      </c>
      <c r="B3785" s="158">
        <v>1.1000000000000001</v>
      </c>
    </row>
    <row r="3786" spans="1:2" x14ac:dyDescent="0.25">
      <c r="A3786" s="157">
        <v>43483</v>
      </c>
      <c r="B3786" s="158">
        <v>1.1000000000000001</v>
      </c>
    </row>
    <row r="3787" spans="1:2" x14ac:dyDescent="0.25">
      <c r="A3787" s="157">
        <v>43486</v>
      </c>
      <c r="B3787" s="158" t="e">
        <f>NA()</f>
        <v>#N/A</v>
      </c>
    </row>
    <row r="3788" spans="1:2" x14ac:dyDescent="0.25">
      <c r="A3788" s="157">
        <v>43487</v>
      </c>
      <c r="B3788" s="158">
        <v>1.0900000000000001</v>
      </c>
    </row>
    <row r="3789" spans="1:2" x14ac:dyDescent="0.25">
      <c r="A3789" s="157">
        <v>43488</v>
      </c>
      <c r="B3789" s="158">
        <v>1.1000000000000001</v>
      </c>
    </row>
    <row r="3790" spans="1:2" x14ac:dyDescent="0.25">
      <c r="A3790" s="157">
        <v>43489</v>
      </c>
      <c r="B3790" s="158">
        <v>1.0900000000000001</v>
      </c>
    </row>
    <row r="3791" spans="1:2" x14ac:dyDescent="0.25">
      <c r="A3791" s="157">
        <v>43490</v>
      </c>
      <c r="B3791" s="158">
        <v>1.1100000000000001</v>
      </c>
    </row>
    <row r="3792" spans="1:2" x14ac:dyDescent="0.25">
      <c r="A3792" s="157">
        <v>43493</v>
      </c>
      <c r="B3792" s="158">
        <v>1.1200000000000001</v>
      </c>
    </row>
    <row r="3793" spans="1:2" x14ac:dyDescent="0.25">
      <c r="A3793" s="157">
        <v>43494</v>
      </c>
      <c r="B3793" s="158">
        <v>1.0900000000000001</v>
      </c>
    </row>
    <row r="3794" spans="1:2" x14ac:dyDescent="0.25">
      <c r="A3794" s="157">
        <v>43495</v>
      </c>
      <c r="B3794" s="158">
        <v>1.03</v>
      </c>
    </row>
    <row r="3795" spans="1:2" x14ac:dyDescent="0.25">
      <c r="A3795" s="157">
        <v>43496</v>
      </c>
      <c r="B3795" s="158">
        <v>0.94</v>
      </c>
    </row>
    <row r="3796" spans="1:2" x14ac:dyDescent="0.25">
      <c r="A3796" s="157">
        <v>43497</v>
      </c>
      <c r="B3796" s="158">
        <v>0.98</v>
      </c>
    </row>
    <row r="3797" spans="1:2" x14ac:dyDescent="0.25">
      <c r="A3797" s="157">
        <v>43500</v>
      </c>
      <c r="B3797" s="158">
        <v>1.01</v>
      </c>
    </row>
    <row r="3798" spans="1:2" x14ac:dyDescent="0.25">
      <c r="A3798" s="157">
        <v>43501</v>
      </c>
      <c r="B3798" s="158">
        <v>0.99</v>
      </c>
    </row>
    <row r="3799" spans="1:2" x14ac:dyDescent="0.25">
      <c r="A3799" s="157">
        <v>43502</v>
      </c>
      <c r="B3799" s="158">
        <v>1</v>
      </c>
    </row>
    <row r="3800" spans="1:2" x14ac:dyDescent="0.25">
      <c r="A3800" s="157">
        <v>43503</v>
      </c>
      <c r="B3800" s="158">
        <v>0.98</v>
      </c>
    </row>
    <row r="3801" spans="1:2" x14ac:dyDescent="0.25">
      <c r="A3801" s="157">
        <v>43504</v>
      </c>
      <c r="B3801" s="158">
        <v>0.97</v>
      </c>
    </row>
    <row r="3802" spans="1:2" x14ac:dyDescent="0.25">
      <c r="A3802" s="157">
        <v>43507</v>
      </c>
      <c r="B3802" s="158">
        <v>0.99</v>
      </c>
    </row>
    <row r="3803" spans="1:2" x14ac:dyDescent="0.25">
      <c r="A3803" s="157">
        <v>43508</v>
      </c>
      <c r="B3803" s="158">
        <v>1</v>
      </c>
    </row>
    <row r="3804" spans="1:2" x14ac:dyDescent="0.25">
      <c r="A3804" s="157">
        <v>43509</v>
      </c>
      <c r="B3804" s="158">
        <v>1</v>
      </c>
    </row>
    <row r="3805" spans="1:2" x14ac:dyDescent="0.25">
      <c r="A3805" s="157">
        <v>43510</v>
      </c>
      <c r="B3805" s="158">
        <v>0.97</v>
      </c>
    </row>
    <row r="3806" spans="1:2" x14ac:dyDescent="0.25">
      <c r="A3806" s="157">
        <v>43511</v>
      </c>
      <c r="B3806" s="158">
        <v>0.96</v>
      </c>
    </row>
    <row r="3807" spans="1:2" x14ac:dyDescent="0.25">
      <c r="A3807" s="157">
        <v>43514</v>
      </c>
      <c r="B3807" s="158" t="e">
        <f>NA()</f>
        <v>#N/A</v>
      </c>
    </row>
    <row r="3808" spans="1:2" x14ac:dyDescent="0.25">
      <c r="A3808" s="157">
        <v>43515</v>
      </c>
      <c r="B3808" s="158">
        <v>0.94</v>
      </c>
    </row>
    <row r="3809" spans="1:2" x14ac:dyDescent="0.25">
      <c r="A3809" s="157">
        <v>43516</v>
      </c>
      <c r="B3809" s="158">
        <v>0.92</v>
      </c>
    </row>
    <row r="3810" spans="1:2" x14ac:dyDescent="0.25">
      <c r="A3810" s="157">
        <v>43517</v>
      </c>
      <c r="B3810" s="158">
        <v>0.94</v>
      </c>
    </row>
    <row r="3811" spans="1:2" x14ac:dyDescent="0.25">
      <c r="A3811" s="157">
        <v>43518</v>
      </c>
      <c r="B3811" s="158">
        <v>0.9</v>
      </c>
    </row>
    <row r="3812" spans="1:2" x14ac:dyDescent="0.25">
      <c r="A3812" s="157">
        <v>43521</v>
      </c>
      <c r="B3812" s="158">
        <v>0.91</v>
      </c>
    </row>
    <row r="3813" spans="1:2" x14ac:dyDescent="0.25">
      <c r="A3813" s="157">
        <v>43522</v>
      </c>
      <c r="B3813" s="158">
        <v>0.89</v>
      </c>
    </row>
    <row r="3814" spans="1:2" x14ac:dyDescent="0.25">
      <c r="A3814" s="157">
        <v>43523</v>
      </c>
      <c r="B3814" s="158">
        <v>0.94</v>
      </c>
    </row>
    <row r="3815" spans="1:2" x14ac:dyDescent="0.25">
      <c r="A3815" s="157">
        <v>43524</v>
      </c>
      <c r="B3815" s="158">
        <v>0.96</v>
      </c>
    </row>
    <row r="3816" spans="1:2" x14ac:dyDescent="0.25">
      <c r="A3816" s="157">
        <v>43525</v>
      </c>
      <c r="B3816" s="158">
        <v>0.98</v>
      </c>
    </row>
    <row r="3817" spans="1:2" x14ac:dyDescent="0.25">
      <c r="A3817" s="157">
        <v>43528</v>
      </c>
      <c r="B3817" s="158">
        <v>0.95</v>
      </c>
    </row>
    <row r="3818" spans="1:2" x14ac:dyDescent="0.25">
      <c r="A3818" s="157">
        <v>43529</v>
      </c>
      <c r="B3818" s="158">
        <v>0.96</v>
      </c>
    </row>
    <row r="3819" spans="1:2" x14ac:dyDescent="0.25">
      <c r="A3819" s="157">
        <v>43530</v>
      </c>
      <c r="B3819" s="158">
        <v>0.95</v>
      </c>
    </row>
    <row r="3820" spans="1:2" x14ac:dyDescent="0.25">
      <c r="A3820" s="157">
        <v>43531</v>
      </c>
      <c r="B3820" s="158">
        <v>0.92</v>
      </c>
    </row>
    <row r="3821" spans="1:2" x14ac:dyDescent="0.25">
      <c r="A3821" s="157">
        <v>43532</v>
      </c>
      <c r="B3821" s="158">
        <v>0.9</v>
      </c>
    </row>
    <row r="3822" spans="1:2" x14ac:dyDescent="0.25">
      <c r="A3822" s="157">
        <v>43535</v>
      </c>
      <c r="B3822" s="158">
        <v>0.92</v>
      </c>
    </row>
    <row r="3823" spans="1:2" x14ac:dyDescent="0.25">
      <c r="A3823" s="157">
        <v>43536</v>
      </c>
      <c r="B3823" s="158">
        <v>0.9</v>
      </c>
    </row>
    <row r="3824" spans="1:2" x14ac:dyDescent="0.25">
      <c r="A3824" s="157">
        <v>43537</v>
      </c>
      <c r="B3824" s="158">
        <v>0.89</v>
      </c>
    </row>
    <row r="3825" spans="1:2" x14ac:dyDescent="0.25">
      <c r="A3825" s="157">
        <v>43538</v>
      </c>
      <c r="B3825" s="158">
        <v>0.89</v>
      </c>
    </row>
    <row r="3826" spans="1:2" x14ac:dyDescent="0.25">
      <c r="A3826" s="157">
        <v>43539</v>
      </c>
      <c r="B3826" s="158">
        <v>0.85</v>
      </c>
    </row>
    <row r="3827" spans="1:2" x14ac:dyDescent="0.25">
      <c r="A3827" s="157">
        <v>43542</v>
      </c>
      <c r="B3827" s="158">
        <v>0.84</v>
      </c>
    </row>
    <row r="3828" spans="1:2" x14ac:dyDescent="0.25">
      <c r="A3828" s="157">
        <v>43543</v>
      </c>
      <c r="B3828" s="158">
        <v>0.85</v>
      </c>
    </row>
    <row r="3829" spans="1:2" x14ac:dyDescent="0.25">
      <c r="A3829" s="157">
        <v>43544</v>
      </c>
      <c r="B3829" s="158">
        <v>0.78</v>
      </c>
    </row>
    <row r="3830" spans="1:2" x14ac:dyDescent="0.25">
      <c r="A3830" s="157">
        <v>43545</v>
      </c>
      <c r="B3830" s="158">
        <v>0.78</v>
      </c>
    </row>
    <row r="3831" spans="1:2" x14ac:dyDescent="0.25">
      <c r="A3831" s="157">
        <v>43546</v>
      </c>
      <c r="B3831" s="158">
        <v>0.73</v>
      </c>
    </row>
    <row r="3832" spans="1:2" x14ac:dyDescent="0.25">
      <c r="A3832" s="157">
        <v>43549</v>
      </c>
      <c r="B3832" s="158">
        <v>0.75</v>
      </c>
    </row>
    <row r="3833" spans="1:2" x14ac:dyDescent="0.25">
      <c r="A3833" s="157">
        <v>43550</v>
      </c>
      <c r="B3833" s="158">
        <v>0.76</v>
      </c>
    </row>
    <row r="3834" spans="1:2" x14ac:dyDescent="0.25">
      <c r="A3834" s="157">
        <v>43551</v>
      </c>
      <c r="B3834" s="158">
        <v>0.75</v>
      </c>
    </row>
    <row r="3835" spans="1:2" x14ac:dyDescent="0.25">
      <c r="A3835" s="157">
        <v>43552</v>
      </c>
      <c r="B3835" s="158">
        <v>0.75</v>
      </c>
    </row>
    <row r="3836" spans="1:2" x14ac:dyDescent="0.25">
      <c r="A3836" s="157">
        <v>43553</v>
      </c>
      <c r="B3836" s="158">
        <v>0.72</v>
      </c>
    </row>
    <row r="3837" spans="1:2" x14ac:dyDescent="0.25">
      <c r="A3837" s="157">
        <v>43556</v>
      </c>
      <c r="B3837" s="158">
        <v>0.78</v>
      </c>
    </row>
    <row r="3838" spans="1:2" x14ac:dyDescent="0.25">
      <c r="A3838" s="157">
        <v>43557</v>
      </c>
      <c r="B3838" s="158">
        <v>0.77</v>
      </c>
    </row>
    <row r="3839" spans="1:2" x14ac:dyDescent="0.25">
      <c r="A3839" s="157">
        <v>43558</v>
      </c>
      <c r="B3839" s="158">
        <v>0.81</v>
      </c>
    </row>
    <row r="3840" spans="1:2" x14ac:dyDescent="0.25">
      <c r="A3840" s="157">
        <v>43559</v>
      </c>
      <c r="B3840" s="158">
        <v>0.8</v>
      </c>
    </row>
    <row r="3841" spans="1:2" x14ac:dyDescent="0.25">
      <c r="A3841" s="157">
        <v>43560</v>
      </c>
      <c r="B3841" s="158">
        <v>0.79</v>
      </c>
    </row>
    <row r="3842" spans="1:2" x14ac:dyDescent="0.25">
      <c r="A3842" s="157">
        <v>43563</v>
      </c>
      <c r="B3842" s="158">
        <v>0.8</v>
      </c>
    </row>
    <row r="3843" spans="1:2" x14ac:dyDescent="0.25">
      <c r="A3843" s="157">
        <v>43564</v>
      </c>
      <c r="B3843" s="158">
        <v>0.79</v>
      </c>
    </row>
    <row r="3844" spans="1:2" x14ac:dyDescent="0.25">
      <c r="A3844" s="157">
        <v>43565</v>
      </c>
      <c r="B3844" s="158">
        <v>0.74</v>
      </c>
    </row>
    <row r="3845" spans="1:2" x14ac:dyDescent="0.25">
      <c r="A3845" s="157">
        <v>43566</v>
      </c>
      <c r="B3845" s="158">
        <v>0.78</v>
      </c>
    </row>
    <row r="3846" spans="1:2" x14ac:dyDescent="0.25">
      <c r="A3846" s="157">
        <v>43567</v>
      </c>
      <c r="B3846" s="158">
        <v>0.81</v>
      </c>
    </row>
    <row r="3847" spans="1:2" x14ac:dyDescent="0.25">
      <c r="A3847" s="157">
        <v>43570</v>
      </c>
      <c r="B3847" s="158">
        <v>0.8</v>
      </c>
    </row>
    <row r="3848" spans="1:2" x14ac:dyDescent="0.25">
      <c r="A3848" s="157">
        <v>43571</v>
      </c>
      <c r="B3848" s="158">
        <v>0.83</v>
      </c>
    </row>
    <row r="3849" spans="1:2" x14ac:dyDescent="0.25">
      <c r="A3849" s="157">
        <v>43572</v>
      </c>
      <c r="B3849" s="158">
        <v>0.84</v>
      </c>
    </row>
    <row r="3850" spans="1:2" x14ac:dyDescent="0.25">
      <c r="A3850" s="157">
        <v>43573</v>
      </c>
      <c r="B3850" s="158">
        <v>0.81</v>
      </c>
    </row>
    <row r="3851" spans="1:2" x14ac:dyDescent="0.25">
      <c r="A3851" s="157">
        <v>43574</v>
      </c>
      <c r="B3851" s="158" t="e">
        <f>NA()</f>
        <v>#N/A</v>
      </c>
    </row>
    <row r="3852" spans="1:2" x14ac:dyDescent="0.25">
      <c r="A3852" s="157">
        <v>43577</v>
      </c>
      <c r="B3852" s="158">
        <v>0.84</v>
      </c>
    </row>
    <row r="3853" spans="1:2" x14ac:dyDescent="0.25">
      <c r="A3853" s="157">
        <v>43578</v>
      </c>
      <c r="B3853" s="158">
        <v>0.82</v>
      </c>
    </row>
    <row r="3854" spans="1:2" x14ac:dyDescent="0.25">
      <c r="A3854" s="157">
        <v>43579</v>
      </c>
      <c r="B3854" s="158">
        <v>0.77</v>
      </c>
    </row>
    <row r="3855" spans="1:2" x14ac:dyDescent="0.25">
      <c r="A3855" s="157">
        <v>43580</v>
      </c>
      <c r="B3855" s="158">
        <v>0.75</v>
      </c>
    </row>
    <row r="3856" spans="1:2" x14ac:dyDescent="0.25">
      <c r="A3856" s="157">
        <v>43581</v>
      </c>
      <c r="B3856" s="158">
        <v>0.74</v>
      </c>
    </row>
    <row r="3857" spans="1:2" x14ac:dyDescent="0.25">
      <c r="A3857" s="157">
        <v>43584</v>
      </c>
      <c r="B3857" s="158">
        <v>0.79</v>
      </c>
    </row>
    <row r="3858" spans="1:2" x14ac:dyDescent="0.25">
      <c r="A3858" s="157">
        <v>43585</v>
      </c>
      <c r="B3858" s="158">
        <v>0.77</v>
      </c>
    </row>
    <row r="3859" spans="1:2" x14ac:dyDescent="0.25">
      <c r="A3859" s="157">
        <v>43586</v>
      </c>
      <c r="B3859" s="158">
        <v>0.79</v>
      </c>
    </row>
    <row r="3860" spans="1:2" x14ac:dyDescent="0.25">
      <c r="A3860" s="157">
        <v>43587</v>
      </c>
      <c r="B3860" s="158">
        <v>0.84</v>
      </c>
    </row>
    <row r="3861" spans="1:2" x14ac:dyDescent="0.25">
      <c r="A3861" s="157">
        <v>43588</v>
      </c>
      <c r="B3861" s="158">
        <v>0.81</v>
      </c>
    </row>
    <row r="3862" spans="1:2" x14ac:dyDescent="0.25">
      <c r="A3862" s="157">
        <v>43591</v>
      </c>
      <c r="B3862" s="158">
        <v>0.79</v>
      </c>
    </row>
    <row r="3863" spans="1:2" x14ac:dyDescent="0.25">
      <c r="A3863" s="157">
        <v>43592</v>
      </c>
      <c r="B3863" s="158">
        <v>0.77</v>
      </c>
    </row>
    <row r="3864" spans="1:2" x14ac:dyDescent="0.25">
      <c r="A3864" s="157">
        <v>43593</v>
      </c>
      <c r="B3864" s="158">
        <v>0.81</v>
      </c>
    </row>
    <row r="3865" spans="1:2" x14ac:dyDescent="0.25">
      <c r="A3865" s="157">
        <v>43594</v>
      </c>
      <c r="B3865" s="158">
        <v>0.79</v>
      </c>
    </row>
    <row r="3866" spans="1:2" x14ac:dyDescent="0.25">
      <c r="A3866" s="157">
        <v>43595</v>
      </c>
      <c r="B3866" s="158">
        <v>0.77</v>
      </c>
    </row>
    <row r="3867" spans="1:2" x14ac:dyDescent="0.25">
      <c r="A3867" s="157">
        <v>43598</v>
      </c>
      <c r="B3867" s="158">
        <v>0.74</v>
      </c>
    </row>
    <row r="3868" spans="1:2" x14ac:dyDescent="0.25">
      <c r="A3868" s="157">
        <v>43599</v>
      </c>
      <c r="B3868" s="158">
        <v>0.76</v>
      </c>
    </row>
    <row r="3869" spans="1:2" x14ac:dyDescent="0.25">
      <c r="A3869" s="157">
        <v>43600</v>
      </c>
      <c r="B3869" s="158">
        <v>0.75</v>
      </c>
    </row>
    <row r="3870" spans="1:2" x14ac:dyDescent="0.25">
      <c r="A3870" s="157">
        <v>43601</v>
      </c>
      <c r="B3870" s="158">
        <v>0.77</v>
      </c>
    </row>
    <row r="3871" spans="1:2" x14ac:dyDescent="0.25">
      <c r="A3871" s="157">
        <v>43602</v>
      </c>
      <c r="B3871" s="158">
        <v>0.78</v>
      </c>
    </row>
    <row r="3872" spans="1:2" x14ac:dyDescent="0.25">
      <c r="A3872" s="157">
        <v>43605</v>
      </c>
      <c r="B3872" s="158">
        <v>0.78</v>
      </c>
    </row>
    <row r="3873" spans="1:2" x14ac:dyDescent="0.25">
      <c r="A3873" s="157">
        <v>43606</v>
      </c>
      <c r="B3873" s="158">
        <v>0.77</v>
      </c>
    </row>
    <row r="3874" spans="1:2" x14ac:dyDescent="0.25">
      <c r="A3874" s="157">
        <v>43607</v>
      </c>
      <c r="B3874" s="158">
        <v>0.77</v>
      </c>
    </row>
    <row r="3875" spans="1:2" x14ac:dyDescent="0.25">
      <c r="A3875" s="157">
        <v>43608</v>
      </c>
      <c r="B3875" s="158">
        <v>0.74</v>
      </c>
    </row>
    <row r="3876" spans="1:2" x14ac:dyDescent="0.25">
      <c r="A3876" s="157">
        <v>43609</v>
      </c>
      <c r="B3876" s="158">
        <v>0.73</v>
      </c>
    </row>
    <row r="3877" spans="1:2" x14ac:dyDescent="0.25">
      <c r="A3877" s="157">
        <v>43612</v>
      </c>
      <c r="B3877" s="158" t="e">
        <f>NA()</f>
        <v>#N/A</v>
      </c>
    </row>
    <row r="3878" spans="1:2" x14ac:dyDescent="0.25">
      <c r="A3878" s="157">
        <v>43613</v>
      </c>
      <c r="B3878" s="158">
        <v>0.71</v>
      </c>
    </row>
    <row r="3879" spans="1:2" x14ac:dyDescent="0.25">
      <c r="A3879" s="157">
        <v>43614</v>
      </c>
      <c r="B3879" s="158">
        <v>0.68</v>
      </c>
    </row>
    <row r="3880" spans="1:2" x14ac:dyDescent="0.25">
      <c r="A3880" s="157">
        <v>43615</v>
      </c>
      <c r="B3880" s="158">
        <v>0.66</v>
      </c>
    </row>
    <row r="3881" spans="1:2" x14ac:dyDescent="0.25">
      <c r="A3881" s="157">
        <v>43616</v>
      </c>
      <c r="B3881" s="158">
        <v>0.57999999999999996</v>
      </c>
    </row>
    <row r="3882" spans="1:2" x14ac:dyDescent="0.25">
      <c r="A3882" s="157">
        <v>43619</v>
      </c>
      <c r="B3882" s="158">
        <v>0.54</v>
      </c>
    </row>
    <row r="3883" spans="1:2" x14ac:dyDescent="0.25">
      <c r="A3883" s="157">
        <v>43620</v>
      </c>
      <c r="B3883" s="158">
        <v>0.57999999999999996</v>
      </c>
    </row>
    <row r="3884" spans="1:2" x14ac:dyDescent="0.25">
      <c r="A3884" s="157">
        <v>43621</v>
      </c>
      <c r="B3884" s="158">
        <v>0.57999999999999996</v>
      </c>
    </row>
    <row r="3885" spans="1:2" x14ac:dyDescent="0.25">
      <c r="A3885" s="157">
        <v>43622</v>
      </c>
      <c r="B3885" s="158">
        <v>0.6</v>
      </c>
    </row>
    <row r="3886" spans="1:2" x14ac:dyDescent="0.25">
      <c r="A3886" s="157">
        <v>43623</v>
      </c>
      <c r="B3886" s="158">
        <v>0.56000000000000005</v>
      </c>
    </row>
    <row r="3887" spans="1:2" x14ac:dyDescent="0.25">
      <c r="A3887" s="157">
        <v>43626</v>
      </c>
      <c r="B3887" s="158">
        <v>0.62</v>
      </c>
    </row>
    <row r="3888" spans="1:2" x14ac:dyDescent="0.25">
      <c r="A3888" s="157">
        <v>43627</v>
      </c>
      <c r="B3888" s="158">
        <v>0.63</v>
      </c>
    </row>
    <row r="3889" spans="1:2" x14ac:dyDescent="0.25">
      <c r="A3889" s="157">
        <v>43628</v>
      </c>
      <c r="B3889" s="158">
        <v>0.64</v>
      </c>
    </row>
    <row r="3890" spans="1:2" x14ac:dyDescent="0.25">
      <c r="A3890" s="157">
        <v>43629</v>
      </c>
      <c r="B3890" s="158">
        <v>0.63</v>
      </c>
    </row>
    <row r="3891" spans="1:2" x14ac:dyDescent="0.25">
      <c r="A3891" s="157">
        <v>43630</v>
      </c>
      <c r="B3891" s="158">
        <v>0.67</v>
      </c>
    </row>
    <row r="3892" spans="1:2" x14ac:dyDescent="0.25">
      <c r="A3892" s="157">
        <v>43633</v>
      </c>
      <c r="B3892" s="158">
        <v>0.68</v>
      </c>
    </row>
    <row r="3893" spans="1:2" x14ac:dyDescent="0.25">
      <c r="A3893" s="157">
        <v>43634</v>
      </c>
      <c r="B3893" s="158">
        <v>0.63</v>
      </c>
    </row>
    <row r="3894" spans="1:2" x14ac:dyDescent="0.25">
      <c r="A3894" s="157">
        <v>43635</v>
      </c>
      <c r="B3894" s="158">
        <v>0.57999999999999996</v>
      </c>
    </row>
    <row r="3895" spans="1:2" x14ac:dyDescent="0.25">
      <c r="A3895" s="157">
        <v>43636</v>
      </c>
      <c r="B3895" s="158">
        <v>0.5</v>
      </c>
    </row>
    <row r="3896" spans="1:2" x14ac:dyDescent="0.25">
      <c r="A3896" s="157">
        <v>43637</v>
      </c>
      <c r="B3896" s="158">
        <v>0.59</v>
      </c>
    </row>
    <row r="3897" spans="1:2" x14ac:dyDescent="0.25">
      <c r="A3897" s="157">
        <v>43640</v>
      </c>
      <c r="B3897" s="158">
        <v>0.55000000000000004</v>
      </c>
    </row>
    <row r="3898" spans="1:2" x14ac:dyDescent="0.25">
      <c r="A3898" s="157">
        <v>43641</v>
      </c>
      <c r="B3898" s="158">
        <v>0.56999999999999995</v>
      </c>
    </row>
    <row r="3899" spans="1:2" x14ac:dyDescent="0.25">
      <c r="A3899" s="157">
        <v>43642</v>
      </c>
      <c r="B3899" s="158">
        <v>0.57999999999999996</v>
      </c>
    </row>
    <row r="3900" spans="1:2" x14ac:dyDescent="0.25">
      <c r="A3900" s="157">
        <v>43643</v>
      </c>
      <c r="B3900" s="158">
        <v>0.55000000000000004</v>
      </c>
    </row>
    <row r="3901" spans="1:2" x14ac:dyDescent="0.25">
      <c r="A3901" s="157">
        <v>43644</v>
      </c>
      <c r="B3901" s="158">
        <v>0.55000000000000004</v>
      </c>
    </row>
    <row r="3902" spans="1:2" x14ac:dyDescent="0.25">
      <c r="A3902" s="157">
        <v>43647</v>
      </c>
      <c r="B3902" s="158">
        <v>0.59</v>
      </c>
    </row>
    <row r="3903" spans="1:2" x14ac:dyDescent="0.25">
      <c r="A3903" s="157">
        <v>43648</v>
      </c>
      <c r="B3903" s="158">
        <v>0.56999999999999995</v>
      </c>
    </row>
    <row r="3904" spans="1:2" x14ac:dyDescent="0.25">
      <c r="A3904" s="157">
        <v>43649</v>
      </c>
      <c r="B3904" s="158">
        <v>0.54</v>
      </c>
    </row>
    <row r="3905" spans="1:2" x14ac:dyDescent="0.25">
      <c r="A3905" s="157">
        <v>43650</v>
      </c>
      <c r="B3905" s="158" t="e">
        <f>NA()</f>
        <v>#N/A</v>
      </c>
    </row>
    <row r="3906" spans="1:2" x14ac:dyDescent="0.25">
      <c r="A3906" s="157">
        <v>43651</v>
      </c>
      <c r="B3906" s="158">
        <v>0.57999999999999996</v>
      </c>
    </row>
    <row r="3907" spans="1:2" x14ac:dyDescent="0.25">
      <c r="A3907" s="157">
        <v>43654</v>
      </c>
      <c r="B3907" s="158">
        <v>0.56000000000000005</v>
      </c>
    </row>
    <row r="3908" spans="1:2" x14ac:dyDescent="0.25">
      <c r="A3908" s="157">
        <v>43655</v>
      </c>
      <c r="B3908" s="158">
        <v>0.56999999999999995</v>
      </c>
    </row>
    <row r="3909" spans="1:2" x14ac:dyDescent="0.25">
      <c r="A3909" s="157">
        <v>43656</v>
      </c>
      <c r="B3909" s="158">
        <v>0.55000000000000004</v>
      </c>
    </row>
    <row r="3910" spans="1:2" x14ac:dyDescent="0.25">
      <c r="A3910" s="157">
        <v>43657</v>
      </c>
      <c r="B3910" s="158">
        <v>0.59</v>
      </c>
    </row>
    <row r="3911" spans="1:2" x14ac:dyDescent="0.25">
      <c r="A3911" s="157">
        <v>43658</v>
      </c>
      <c r="B3911" s="158">
        <v>0.57999999999999996</v>
      </c>
    </row>
    <row r="3912" spans="1:2" x14ac:dyDescent="0.25">
      <c r="A3912" s="157">
        <v>43661</v>
      </c>
      <c r="B3912" s="158">
        <v>0.55000000000000004</v>
      </c>
    </row>
    <row r="3913" spans="1:2" x14ac:dyDescent="0.25">
      <c r="A3913" s="157">
        <v>43662</v>
      </c>
      <c r="B3913" s="158">
        <v>0.56000000000000005</v>
      </c>
    </row>
    <row r="3914" spans="1:2" x14ac:dyDescent="0.25">
      <c r="A3914" s="157">
        <v>43663</v>
      </c>
      <c r="B3914" s="158">
        <v>0.54</v>
      </c>
    </row>
    <row r="3915" spans="1:2" x14ac:dyDescent="0.25">
      <c r="A3915" s="157">
        <v>43664</v>
      </c>
      <c r="B3915" s="158">
        <v>0.5</v>
      </c>
    </row>
    <row r="3916" spans="1:2" x14ac:dyDescent="0.25">
      <c r="A3916" s="157">
        <v>43665</v>
      </c>
      <c r="B3916" s="158">
        <v>0.5</v>
      </c>
    </row>
    <row r="3917" spans="1:2" x14ac:dyDescent="0.25">
      <c r="A3917" s="157">
        <v>43668</v>
      </c>
      <c r="B3917" s="158">
        <v>0.5</v>
      </c>
    </row>
    <row r="3918" spans="1:2" x14ac:dyDescent="0.25">
      <c r="A3918" s="157">
        <v>43669</v>
      </c>
      <c r="B3918" s="158">
        <v>0.51</v>
      </c>
    </row>
    <row r="3919" spans="1:2" x14ac:dyDescent="0.25">
      <c r="A3919" s="157">
        <v>43670</v>
      </c>
      <c r="B3919" s="158">
        <v>0.5</v>
      </c>
    </row>
    <row r="3920" spans="1:2" x14ac:dyDescent="0.25">
      <c r="A3920" s="157">
        <v>43671</v>
      </c>
      <c r="B3920" s="158">
        <v>0.51</v>
      </c>
    </row>
    <row r="3921" spans="1:2" x14ac:dyDescent="0.25">
      <c r="A3921" s="157">
        <v>43672</v>
      </c>
      <c r="B3921" s="158">
        <v>0.53</v>
      </c>
    </row>
    <row r="3922" spans="1:2" x14ac:dyDescent="0.25">
      <c r="A3922" s="157">
        <v>43675</v>
      </c>
      <c r="B3922" s="158">
        <v>0.53</v>
      </c>
    </row>
    <row r="3923" spans="1:2" x14ac:dyDescent="0.25">
      <c r="A3923" s="157">
        <v>43676</v>
      </c>
      <c r="B3923" s="158">
        <v>0.51</v>
      </c>
    </row>
    <row r="3924" spans="1:2" x14ac:dyDescent="0.25">
      <c r="A3924" s="157">
        <v>43677</v>
      </c>
      <c r="B3924" s="158">
        <v>0.47</v>
      </c>
    </row>
    <row r="3925" spans="1:2" x14ac:dyDescent="0.25">
      <c r="A3925" s="157">
        <v>43678</v>
      </c>
      <c r="B3925" s="158">
        <v>0.44</v>
      </c>
    </row>
    <row r="3926" spans="1:2" x14ac:dyDescent="0.25">
      <c r="A3926" s="157">
        <v>43679</v>
      </c>
      <c r="B3926" s="158">
        <v>0.43</v>
      </c>
    </row>
    <row r="3927" spans="1:2" x14ac:dyDescent="0.25">
      <c r="A3927" s="157">
        <v>43682</v>
      </c>
      <c r="B3927" s="158">
        <v>0.38</v>
      </c>
    </row>
    <row r="3928" spans="1:2" x14ac:dyDescent="0.25">
      <c r="A3928" s="157">
        <v>43683</v>
      </c>
      <c r="B3928" s="158">
        <v>0.34</v>
      </c>
    </row>
    <row r="3929" spans="1:2" x14ac:dyDescent="0.25">
      <c r="A3929" s="157">
        <v>43684</v>
      </c>
      <c r="B3929" s="158">
        <v>0.32</v>
      </c>
    </row>
    <row r="3930" spans="1:2" x14ac:dyDescent="0.25">
      <c r="A3930" s="157">
        <v>43685</v>
      </c>
      <c r="B3930" s="158">
        <v>0.3</v>
      </c>
    </row>
    <row r="3931" spans="1:2" x14ac:dyDescent="0.25">
      <c r="A3931" s="157">
        <v>43686</v>
      </c>
      <c r="B3931" s="158">
        <v>0.3</v>
      </c>
    </row>
    <row r="3932" spans="1:2" x14ac:dyDescent="0.25">
      <c r="A3932" s="157">
        <v>43689</v>
      </c>
      <c r="B3932" s="158">
        <v>0.26</v>
      </c>
    </row>
    <row r="3933" spans="1:2" x14ac:dyDescent="0.25">
      <c r="A3933" s="157">
        <v>43690</v>
      </c>
      <c r="B3933" s="158">
        <v>0.27</v>
      </c>
    </row>
    <row r="3934" spans="1:2" x14ac:dyDescent="0.25">
      <c r="A3934" s="157">
        <v>43691</v>
      </c>
      <c r="B3934" s="158">
        <v>0.23</v>
      </c>
    </row>
    <row r="3935" spans="1:2" x14ac:dyDescent="0.25">
      <c r="A3935" s="157">
        <v>43692</v>
      </c>
      <c r="B3935" s="158">
        <v>0.17</v>
      </c>
    </row>
    <row r="3936" spans="1:2" x14ac:dyDescent="0.25">
      <c r="A3936" s="157">
        <v>43693</v>
      </c>
      <c r="B3936" s="158">
        <v>0.2</v>
      </c>
    </row>
    <row r="3937" spans="1:2" x14ac:dyDescent="0.25">
      <c r="A3937" s="157">
        <v>43696</v>
      </c>
      <c r="B3937" s="158">
        <v>0.27</v>
      </c>
    </row>
    <row r="3938" spans="1:2" x14ac:dyDescent="0.25">
      <c r="A3938" s="157">
        <v>43697</v>
      </c>
      <c r="B3938" s="158">
        <v>0.22</v>
      </c>
    </row>
    <row r="3939" spans="1:2" x14ac:dyDescent="0.25">
      <c r="A3939" s="157">
        <v>43698</v>
      </c>
      <c r="B3939" s="158">
        <v>0.28000000000000003</v>
      </c>
    </row>
    <row r="3940" spans="1:2" x14ac:dyDescent="0.25">
      <c r="A3940" s="157">
        <v>43699</v>
      </c>
      <c r="B3940" s="158">
        <v>0.28999999999999998</v>
      </c>
    </row>
    <row r="3941" spans="1:2" x14ac:dyDescent="0.25">
      <c r="A3941" s="157">
        <v>43700</v>
      </c>
      <c r="B3941" s="158">
        <v>0.19</v>
      </c>
    </row>
    <row r="3942" spans="1:2" x14ac:dyDescent="0.25">
      <c r="A3942" s="157">
        <v>43703</v>
      </c>
      <c r="B3942" s="158">
        <v>0.2</v>
      </c>
    </row>
    <row r="3943" spans="1:2" x14ac:dyDescent="0.25">
      <c r="A3943" s="157">
        <v>43704</v>
      </c>
      <c r="B3943" s="158">
        <v>0.11</v>
      </c>
    </row>
    <row r="3944" spans="1:2" x14ac:dyDescent="0.25">
      <c r="A3944" s="157">
        <v>43705</v>
      </c>
      <c r="B3944" s="158">
        <v>0.08</v>
      </c>
    </row>
    <row r="3945" spans="1:2" x14ac:dyDescent="0.25">
      <c r="A3945" s="157">
        <v>43706</v>
      </c>
      <c r="B3945" s="158">
        <v>7.0000000000000007E-2</v>
      </c>
    </row>
    <row r="3946" spans="1:2" x14ac:dyDescent="0.25">
      <c r="A3946" s="157">
        <v>43707</v>
      </c>
      <c r="B3946" s="158">
        <v>0.16</v>
      </c>
    </row>
    <row r="3947" spans="1:2" x14ac:dyDescent="0.25">
      <c r="A3947" s="157">
        <v>43710</v>
      </c>
      <c r="B3947" s="158" t="e">
        <f>NA()</f>
        <v>#N/A</v>
      </c>
    </row>
    <row r="3948" spans="1:2" x14ac:dyDescent="0.25">
      <c r="A3948" s="157">
        <v>43711</v>
      </c>
      <c r="B3948" s="158">
        <v>0.14000000000000001</v>
      </c>
    </row>
    <row r="3949" spans="1:2" x14ac:dyDescent="0.25">
      <c r="A3949" s="157">
        <v>43712</v>
      </c>
      <c r="B3949" s="158">
        <v>0.18</v>
      </c>
    </row>
    <row r="3950" spans="1:2" x14ac:dyDescent="0.25">
      <c r="A3950" s="157">
        <v>43713</v>
      </c>
      <c r="B3950" s="158">
        <v>0.23</v>
      </c>
    </row>
    <row r="3951" spans="1:2" x14ac:dyDescent="0.25">
      <c r="A3951" s="157">
        <v>43714</v>
      </c>
      <c r="B3951" s="158">
        <v>0.21</v>
      </c>
    </row>
    <row r="3952" spans="1:2" x14ac:dyDescent="0.25">
      <c r="A3952" s="157">
        <v>43717</v>
      </c>
      <c r="B3952" s="158">
        <v>0.27</v>
      </c>
    </row>
    <row r="3953" spans="1:2" x14ac:dyDescent="0.25">
      <c r="A3953" s="157">
        <v>43718</v>
      </c>
      <c r="B3953" s="158">
        <v>0.34</v>
      </c>
    </row>
    <row r="3954" spans="1:2" x14ac:dyDescent="0.25">
      <c r="A3954" s="157">
        <v>43719</v>
      </c>
      <c r="B3954" s="158">
        <v>0.36</v>
      </c>
    </row>
    <row r="3955" spans="1:2" x14ac:dyDescent="0.25">
      <c r="A3955" s="157">
        <v>43720</v>
      </c>
      <c r="B3955" s="158">
        <v>0.38</v>
      </c>
    </row>
    <row r="3956" spans="1:2" x14ac:dyDescent="0.25">
      <c r="A3956" s="157">
        <v>43721</v>
      </c>
      <c r="B3956" s="158">
        <v>0.45</v>
      </c>
    </row>
    <row r="3957" spans="1:2" x14ac:dyDescent="0.25">
      <c r="A3957" s="157">
        <v>43724</v>
      </c>
      <c r="B3957" s="158">
        <v>0.39</v>
      </c>
    </row>
    <row r="3958" spans="1:2" x14ac:dyDescent="0.25">
      <c r="A3958" s="157">
        <v>43725</v>
      </c>
      <c r="B3958" s="158">
        <v>0.36</v>
      </c>
    </row>
    <row r="3959" spans="1:2" x14ac:dyDescent="0.25">
      <c r="A3959" s="157">
        <v>43726</v>
      </c>
      <c r="B3959" s="158">
        <v>0.41</v>
      </c>
    </row>
    <row r="3960" spans="1:2" x14ac:dyDescent="0.25">
      <c r="A3960" s="157">
        <v>43727</v>
      </c>
      <c r="B3960" s="158">
        <v>0.38</v>
      </c>
    </row>
    <row r="3961" spans="1:2" x14ac:dyDescent="0.25">
      <c r="A3961" s="157">
        <v>43728</v>
      </c>
      <c r="B3961" s="158">
        <v>0.32</v>
      </c>
    </row>
    <row r="3962" spans="1:2" x14ac:dyDescent="0.25">
      <c r="A3962" s="157">
        <v>43731</v>
      </c>
      <c r="B3962" s="158">
        <v>0.31</v>
      </c>
    </row>
    <row r="3963" spans="1:2" x14ac:dyDescent="0.25">
      <c r="A3963" s="157">
        <v>43732</v>
      </c>
      <c r="B3963" s="158">
        <v>0.27</v>
      </c>
    </row>
    <row r="3964" spans="1:2" x14ac:dyDescent="0.25">
      <c r="A3964" s="157">
        <v>43733</v>
      </c>
      <c r="B3964" s="158">
        <v>0.33</v>
      </c>
    </row>
    <row r="3965" spans="1:2" x14ac:dyDescent="0.25">
      <c r="A3965" s="157">
        <v>43734</v>
      </c>
      <c r="B3965" s="158">
        <v>0.33</v>
      </c>
    </row>
    <row r="3966" spans="1:2" x14ac:dyDescent="0.25">
      <c r="A3966" s="157">
        <v>43735</v>
      </c>
      <c r="B3966" s="158">
        <v>0.35</v>
      </c>
    </row>
    <row r="3967" spans="1:2" x14ac:dyDescent="0.25">
      <c r="A3967" s="157">
        <v>43738</v>
      </c>
      <c r="B3967" s="158">
        <v>0.34</v>
      </c>
    </row>
    <row r="3968" spans="1:2" x14ac:dyDescent="0.25">
      <c r="A3968" s="157">
        <v>43739</v>
      </c>
      <c r="B3968" s="158">
        <v>0.33</v>
      </c>
    </row>
    <row r="3969" spans="1:2" x14ac:dyDescent="0.25">
      <c r="A3969" s="157">
        <v>43740</v>
      </c>
      <c r="B3969" s="158">
        <v>0.31</v>
      </c>
    </row>
    <row r="3970" spans="1:2" x14ac:dyDescent="0.25">
      <c r="A3970" s="157">
        <v>43741</v>
      </c>
      <c r="B3970" s="158">
        <v>0.27</v>
      </c>
    </row>
    <row r="3971" spans="1:2" x14ac:dyDescent="0.25">
      <c r="A3971" s="157">
        <v>43742</v>
      </c>
      <c r="B3971" s="158">
        <v>0.23</v>
      </c>
    </row>
    <row r="3972" spans="1:2" x14ac:dyDescent="0.25">
      <c r="A3972" s="157">
        <v>43745</v>
      </c>
      <c r="B3972" s="158">
        <v>0.26</v>
      </c>
    </row>
    <row r="3973" spans="1:2" x14ac:dyDescent="0.25">
      <c r="A3973" s="157">
        <v>43746</v>
      </c>
      <c r="B3973" s="158">
        <v>0.28000000000000003</v>
      </c>
    </row>
    <row r="3974" spans="1:2" x14ac:dyDescent="0.25">
      <c r="A3974" s="157">
        <v>43747</v>
      </c>
      <c r="B3974" s="158">
        <v>0.32</v>
      </c>
    </row>
    <row r="3975" spans="1:2" x14ac:dyDescent="0.25">
      <c r="A3975" s="157">
        <v>43748</v>
      </c>
      <c r="B3975" s="158">
        <v>0.36</v>
      </c>
    </row>
    <row r="3976" spans="1:2" x14ac:dyDescent="0.25">
      <c r="A3976" s="157">
        <v>43749</v>
      </c>
      <c r="B3976" s="158">
        <v>0.4</v>
      </c>
    </row>
    <row r="3977" spans="1:2" x14ac:dyDescent="0.25">
      <c r="A3977" s="157">
        <v>43752</v>
      </c>
      <c r="B3977" s="158" t="e">
        <f>NA()</f>
        <v>#N/A</v>
      </c>
    </row>
    <row r="3978" spans="1:2" x14ac:dyDescent="0.25">
      <c r="A3978" s="157">
        <v>43753</v>
      </c>
      <c r="B3978" s="158">
        <v>0.41</v>
      </c>
    </row>
    <row r="3979" spans="1:2" x14ac:dyDescent="0.25">
      <c r="A3979" s="157">
        <v>43754</v>
      </c>
      <c r="B3979" s="158">
        <v>0.39</v>
      </c>
    </row>
    <row r="3980" spans="1:2" x14ac:dyDescent="0.25">
      <c r="A3980" s="157">
        <v>43755</v>
      </c>
      <c r="B3980" s="158">
        <v>0.4</v>
      </c>
    </row>
    <row r="3981" spans="1:2" x14ac:dyDescent="0.25">
      <c r="A3981" s="157">
        <v>43756</v>
      </c>
      <c r="B3981" s="158">
        <v>0.39</v>
      </c>
    </row>
    <row r="3982" spans="1:2" x14ac:dyDescent="0.25">
      <c r="A3982" s="157">
        <v>43759</v>
      </c>
      <c r="B3982" s="158">
        <v>0.42</v>
      </c>
    </row>
    <row r="3983" spans="1:2" x14ac:dyDescent="0.25">
      <c r="A3983" s="157">
        <v>43760</v>
      </c>
      <c r="B3983" s="158">
        <v>0.38</v>
      </c>
    </row>
    <row r="3984" spans="1:2" x14ac:dyDescent="0.25">
      <c r="A3984" s="157">
        <v>43761</v>
      </c>
      <c r="B3984" s="158">
        <v>0.37</v>
      </c>
    </row>
    <row r="3985" spans="1:2" x14ac:dyDescent="0.25">
      <c r="A3985" s="157">
        <v>43762</v>
      </c>
      <c r="B3985" s="158">
        <v>0.37</v>
      </c>
    </row>
    <row r="3986" spans="1:2" x14ac:dyDescent="0.25">
      <c r="A3986" s="157">
        <v>43763</v>
      </c>
      <c r="B3986" s="158">
        <v>0.38</v>
      </c>
    </row>
    <row r="3987" spans="1:2" x14ac:dyDescent="0.25">
      <c r="A3987" s="157">
        <v>43766</v>
      </c>
      <c r="B3987" s="158">
        <v>0.43</v>
      </c>
    </row>
    <row r="3988" spans="1:2" x14ac:dyDescent="0.25">
      <c r="A3988" s="157">
        <v>43767</v>
      </c>
      <c r="B3988" s="158">
        <v>0.45</v>
      </c>
    </row>
    <row r="3989" spans="1:2" x14ac:dyDescent="0.25">
      <c r="A3989" s="157">
        <v>43768</v>
      </c>
      <c r="B3989" s="158">
        <v>0.42</v>
      </c>
    </row>
    <row r="3990" spans="1:2" x14ac:dyDescent="0.25">
      <c r="A3990" s="157">
        <v>43769</v>
      </c>
      <c r="B3990" s="158">
        <v>0.37</v>
      </c>
    </row>
    <row r="3991" spans="1:2" x14ac:dyDescent="0.25">
      <c r="A3991" s="157">
        <v>43770</v>
      </c>
      <c r="B3991" s="158">
        <v>0.35</v>
      </c>
    </row>
    <row r="3992" spans="1:2" x14ac:dyDescent="0.25">
      <c r="A3992" s="157">
        <v>43773</v>
      </c>
      <c r="B3992" s="158">
        <v>0.36</v>
      </c>
    </row>
    <row r="3993" spans="1:2" x14ac:dyDescent="0.25">
      <c r="A3993" s="157">
        <v>43774</v>
      </c>
      <c r="B3993" s="158">
        <v>0.39</v>
      </c>
    </row>
    <row r="3994" spans="1:2" x14ac:dyDescent="0.25">
      <c r="A3994" s="157">
        <v>43775</v>
      </c>
      <c r="B3994" s="158">
        <v>0.36</v>
      </c>
    </row>
    <row r="3995" spans="1:2" x14ac:dyDescent="0.25">
      <c r="A3995" s="157">
        <v>43776</v>
      </c>
      <c r="B3995" s="158">
        <v>0.43</v>
      </c>
    </row>
    <row r="3996" spans="1:2" x14ac:dyDescent="0.25">
      <c r="A3996" s="157">
        <v>43777</v>
      </c>
      <c r="B3996" s="158">
        <v>0.44</v>
      </c>
    </row>
    <row r="3997" spans="1:2" x14ac:dyDescent="0.25">
      <c r="A3997" s="157">
        <v>43780</v>
      </c>
      <c r="B3997" s="158" t="e">
        <f>NA()</f>
        <v>#N/A</v>
      </c>
    </row>
    <row r="3998" spans="1:2" x14ac:dyDescent="0.25">
      <c r="A3998" s="157">
        <v>43781</v>
      </c>
      <c r="B3998" s="158">
        <v>0.42</v>
      </c>
    </row>
    <row r="3999" spans="1:2" x14ac:dyDescent="0.25">
      <c r="A3999" s="157">
        <v>43782</v>
      </c>
      <c r="B3999" s="158">
        <v>0.42</v>
      </c>
    </row>
    <row r="4000" spans="1:2" x14ac:dyDescent="0.25">
      <c r="A4000" s="157">
        <v>43783</v>
      </c>
      <c r="B4000" s="158">
        <v>0.4</v>
      </c>
    </row>
    <row r="4001" spans="1:2" x14ac:dyDescent="0.25">
      <c r="A4001" s="157">
        <v>43784</v>
      </c>
      <c r="B4001" s="158">
        <v>0.41</v>
      </c>
    </row>
    <row r="4002" spans="1:2" x14ac:dyDescent="0.25">
      <c r="A4002" s="157">
        <v>43787</v>
      </c>
      <c r="B4002" s="158">
        <v>0.39</v>
      </c>
    </row>
    <row r="4003" spans="1:2" x14ac:dyDescent="0.25">
      <c r="A4003" s="157">
        <v>43788</v>
      </c>
      <c r="B4003" s="158">
        <v>0.37</v>
      </c>
    </row>
    <row r="4004" spans="1:2" x14ac:dyDescent="0.25">
      <c r="A4004" s="157">
        <v>43789</v>
      </c>
      <c r="B4004" s="158">
        <v>0.33</v>
      </c>
    </row>
    <row r="4005" spans="1:2" x14ac:dyDescent="0.25">
      <c r="A4005" s="157">
        <v>43790</v>
      </c>
      <c r="B4005" s="158">
        <v>0.34</v>
      </c>
    </row>
    <row r="4006" spans="1:2" x14ac:dyDescent="0.25">
      <c r="A4006" s="157">
        <v>43791</v>
      </c>
      <c r="B4006" s="158">
        <v>0.34</v>
      </c>
    </row>
    <row r="4007" spans="1:2" x14ac:dyDescent="0.25">
      <c r="A4007" s="157">
        <v>43794</v>
      </c>
      <c r="B4007" s="158">
        <v>0.32</v>
      </c>
    </row>
    <row r="4008" spans="1:2" x14ac:dyDescent="0.25">
      <c r="A4008" s="157">
        <v>43795</v>
      </c>
      <c r="B4008" s="158">
        <v>0.3</v>
      </c>
    </row>
    <row r="4009" spans="1:2" x14ac:dyDescent="0.25">
      <c r="A4009" s="157">
        <v>43796</v>
      </c>
      <c r="B4009" s="158">
        <v>0.32</v>
      </c>
    </row>
    <row r="4010" spans="1:2" x14ac:dyDescent="0.25">
      <c r="A4010" s="157">
        <v>43797</v>
      </c>
      <c r="B4010" s="158" t="e">
        <f>NA()</f>
        <v>#N/A</v>
      </c>
    </row>
    <row r="4011" spans="1:2" x14ac:dyDescent="0.25">
      <c r="A4011" s="157">
        <v>43798</v>
      </c>
      <c r="B4011" s="158">
        <v>0.35</v>
      </c>
    </row>
    <row r="4012" spans="1:2" x14ac:dyDescent="0.25">
      <c r="A4012" s="157">
        <v>43801</v>
      </c>
      <c r="B4012" s="158">
        <v>0.38</v>
      </c>
    </row>
    <row r="4013" spans="1:2" x14ac:dyDescent="0.25">
      <c r="A4013" s="157">
        <v>43802</v>
      </c>
      <c r="B4013" s="158">
        <v>0.28000000000000003</v>
      </c>
    </row>
    <row r="4014" spans="1:2" x14ac:dyDescent="0.25">
      <c r="A4014" s="157">
        <v>43803</v>
      </c>
      <c r="B4014" s="158">
        <v>0.31</v>
      </c>
    </row>
    <row r="4015" spans="1:2" x14ac:dyDescent="0.25">
      <c r="A4015" s="157">
        <v>43804</v>
      </c>
      <c r="B4015" s="158">
        <v>0.33</v>
      </c>
    </row>
    <row r="4016" spans="1:2" x14ac:dyDescent="0.25">
      <c r="A4016" s="157">
        <v>43805</v>
      </c>
      <c r="B4016" s="158">
        <v>0.35</v>
      </c>
    </row>
    <row r="4017" spans="1:2" x14ac:dyDescent="0.25">
      <c r="A4017" s="157">
        <v>43808</v>
      </c>
      <c r="B4017" s="158">
        <v>0.33</v>
      </c>
    </row>
    <row r="4018" spans="1:2" x14ac:dyDescent="0.25">
      <c r="A4018" s="157">
        <v>43809</v>
      </c>
      <c r="B4018" s="158">
        <v>0.33</v>
      </c>
    </row>
    <row r="4019" spans="1:2" x14ac:dyDescent="0.25">
      <c r="A4019" s="157">
        <v>43810</v>
      </c>
      <c r="B4019" s="158">
        <v>0.3</v>
      </c>
    </row>
    <row r="4020" spans="1:2" x14ac:dyDescent="0.25">
      <c r="A4020" s="157">
        <v>43811</v>
      </c>
      <c r="B4020" s="158">
        <v>0.37</v>
      </c>
    </row>
    <row r="4021" spans="1:2" x14ac:dyDescent="0.25">
      <c r="A4021" s="157">
        <v>43812</v>
      </c>
      <c r="B4021" s="158">
        <v>0.32</v>
      </c>
    </row>
    <row r="4022" spans="1:2" x14ac:dyDescent="0.25">
      <c r="A4022" s="157">
        <v>43815</v>
      </c>
      <c r="B4022" s="158">
        <v>0.35</v>
      </c>
    </row>
    <row r="4023" spans="1:2" x14ac:dyDescent="0.25">
      <c r="A4023" s="157">
        <v>43816</v>
      </c>
      <c r="B4023" s="158">
        <v>0.34</v>
      </c>
    </row>
    <row r="4024" spans="1:2" x14ac:dyDescent="0.25">
      <c r="A4024" s="157">
        <v>43817</v>
      </c>
      <c r="B4024" s="158">
        <v>0.36</v>
      </c>
    </row>
    <row r="4025" spans="1:2" x14ac:dyDescent="0.25">
      <c r="A4025" s="157">
        <v>43818</v>
      </c>
      <c r="B4025" s="158">
        <v>0.34</v>
      </c>
    </row>
    <row r="4026" spans="1:2" x14ac:dyDescent="0.25">
      <c r="A4026" s="157">
        <v>43819</v>
      </c>
      <c r="B4026" s="158">
        <v>0.35</v>
      </c>
    </row>
    <row r="4027" spans="1:2" x14ac:dyDescent="0.25">
      <c r="A4027" s="157">
        <v>43822</v>
      </c>
      <c r="B4027" s="158">
        <v>0.37</v>
      </c>
    </row>
    <row r="4028" spans="1:2" x14ac:dyDescent="0.25">
      <c r="A4028" s="157">
        <v>43823</v>
      </c>
      <c r="B4028" s="158">
        <v>0.35</v>
      </c>
    </row>
    <row r="4029" spans="1:2" x14ac:dyDescent="0.25">
      <c r="A4029" s="157">
        <v>43824</v>
      </c>
      <c r="B4029" s="158" t="e">
        <f>NA()</f>
        <v>#N/A</v>
      </c>
    </row>
    <row r="4030" spans="1:2" x14ac:dyDescent="0.25">
      <c r="A4030" s="157">
        <v>43825</v>
      </c>
      <c r="B4030" s="158">
        <v>0.36</v>
      </c>
    </row>
    <row r="4031" spans="1:2" x14ac:dyDescent="0.25">
      <c r="A4031" s="157">
        <v>43826</v>
      </c>
      <c r="B4031" s="158">
        <v>0.36</v>
      </c>
    </row>
    <row r="4032" spans="1:2" x14ac:dyDescent="0.25">
      <c r="A4032" s="157">
        <v>43829</v>
      </c>
      <c r="B4032" s="158">
        <v>0.38</v>
      </c>
    </row>
    <row r="4033" spans="1:2" x14ac:dyDescent="0.25">
      <c r="A4033" s="157">
        <v>43830</v>
      </c>
      <c r="B4033" s="158">
        <v>0.39</v>
      </c>
    </row>
    <row r="4034" spans="1:2" x14ac:dyDescent="0.25">
      <c r="A4034" s="157">
        <v>43831</v>
      </c>
      <c r="B4034" s="158" t="e">
        <f>NA()</f>
        <v>#N/A</v>
      </c>
    </row>
    <row r="4035" spans="1:2" x14ac:dyDescent="0.25">
      <c r="A4035" s="157">
        <v>43832</v>
      </c>
      <c r="B4035" s="158">
        <v>0.32</v>
      </c>
    </row>
    <row r="4036" spans="1:2" x14ac:dyDescent="0.25">
      <c r="A4036" s="157">
        <v>43833</v>
      </c>
      <c r="B4036" s="158">
        <v>0.26</v>
      </c>
    </row>
    <row r="4037" spans="1:2" x14ac:dyDescent="0.25">
      <c r="A4037" s="157">
        <v>43836</v>
      </c>
      <c r="B4037" s="158">
        <v>0.28999999999999998</v>
      </c>
    </row>
    <row r="4038" spans="1:2" x14ac:dyDescent="0.25">
      <c r="A4038" s="157">
        <v>43837</v>
      </c>
      <c r="B4038" s="158">
        <v>0.33</v>
      </c>
    </row>
    <row r="4039" spans="1:2" x14ac:dyDescent="0.25">
      <c r="A4039" s="157">
        <v>43838</v>
      </c>
      <c r="B4039" s="158">
        <v>0.35</v>
      </c>
    </row>
    <row r="4040" spans="1:2" x14ac:dyDescent="0.25">
      <c r="A4040" s="157">
        <v>43839</v>
      </c>
      <c r="B4040" s="158">
        <v>0.33</v>
      </c>
    </row>
    <row r="4041" spans="1:2" x14ac:dyDescent="0.25">
      <c r="A4041" s="157">
        <v>43840</v>
      </c>
      <c r="B4041" s="158">
        <v>0.28999999999999998</v>
      </c>
    </row>
    <row r="4042" spans="1:2" x14ac:dyDescent="0.25">
      <c r="A4042" s="157">
        <v>43843</v>
      </c>
      <c r="B4042" s="158">
        <v>0.3</v>
      </c>
    </row>
    <row r="4043" spans="1:2" x14ac:dyDescent="0.25">
      <c r="A4043" s="157">
        <v>43844</v>
      </c>
      <c r="B4043" s="158">
        <v>0.27</v>
      </c>
    </row>
    <row r="4044" spans="1:2" x14ac:dyDescent="0.25">
      <c r="A4044" s="157">
        <v>43845</v>
      </c>
      <c r="B4044" s="158">
        <v>0.26</v>
      </c>
    </row>
    <row r="4045" spans="1:2" x14ac:dyDescent="0.25">
      <c r="A4045" s="157">
        <v>43846</v>
      </c>
      <c r="B4045" s="158">
        <v>0.28999999999999998</v>
      </c>
    </row>
    <row r="4046" spans="1:2" x14ac:dyDescent="0.25">
      <c r="A4046" s="157">
        <v>43847</v>
      </c>
      <c r="B4046" s="158">
        <v>0.31</v>
      </c>
    </row>
    <row r="4047" spans="1:2" x14ac:dyDescent="0.25">
      <c r="A4047" s="157">
        <v>43850</v>
      </c>
      <c r="B4047" s="158" t="e">
        <f>NA()</f>
        <v>#N/A</v>
      </c>
    </row>
    <row r="4048" spans="1:2" x14ac:dyDescent="0.25">
      <c r="A4048" s="157">
        <v>43851</v>
      </c>
      <c r="B4048" s="158">
        <v>0.27</v>
      </c>
    </row>
    <row r="4049" spans="1:2" x14ac:dyDescent="0.25">
      <c r="A4049" s="157">
        <v>43852</v>
      </c>
      <c r="B4049" s="158">
        <v>0.27</v>
      </c>
    </row>
    <row r="4050" spans="1:2" x14ac:dyDescent="0.25">
      <c r="A4050" s="157">
        <v>43853</v>
      </c>
      <c r="B4050" s="158">
        <v>0.25</v>
      </c>
    </row>
    <row r="4051" spans="1:2" x14ac:dyDescent="0.25">
      <c r="A4051" s="157">
        <v>43854</v>
      </c>
      <c r="B4051" s="158">
        <v>0.22</v>
      </c>
    </row>
    <row r="4052" spans="1:2" x14ac:dyDescent="0.25">
      <c r="A4052" s="157">
        <v>43857</v>
      </c>
      <c r="B4052" s="158">
        <v>0.17</v>
      </c>
    </row>
    <row r="4053" spans="1:2" x14ac:dyDescent="0.25">
      <c r="A4053" s="157">
        <v>43858</v>
      </c>
      <c r="B4053" s="158">
        <v>0.2</v>
      </c>
    </row>
    <row r="4054" spans="1:2" x14ac:dyDescent="0.25">
      <c r="A4054" s="157">
        <v>43859</v>
      </c>
      <c r="B4054" s="158">
        <v>0.17</v>
      </c>
    </row>
    <row r="4055" spans="1:2" x14ac:dyDescent="0.25">
      <c r="A4055" s="157">
        <v>43860</v>
      </c>
      <c r="B4055" s="158">
        <v>0.14000000000000001</v>
      </c>
    </row>
    <row r="4056" spans="1:2" x14ac:dyDescent="0.25">
      <c r="A4056" s="157">
        <v>43861</v>
      </c>
      <c r="B4056" s="158">
        <v>0.09</v>
      </c>
    </row>
    <row r="4057" spans="1:2" x14ac:dyDescent="0.25">
      <c r="A4057" s="157">
        <v>43864</v>
      </c>
      <c r="B4057" s="158">
        <v>0.13</v>
      </c>
    </row>
    <row r="4058" spans="1:2" x14ac:dyDescent="0.25">
      <c r="A4058" s="157">
        <v>43865</v>
      </c>
      <c r="B4058" s="158">
        <v>0.19</v>
      </c>
    </row>
    <row r="4059" spans="1:2" x14ac:dyDescent="0.25">
      <c r="A4059" s="157">
        <v>43866</v>
      </c>
      <c r="B4059" s="158">
        <v>0.23</v>
      </c>
    </row>
    <row r="4060" spans="1:2" x14ac:dyDescent="0.25">
      <c r="A4060" s="157">
        <v>43867</v>
      </c>
      <c r="B4060" s="158">
        <v>0.21</v>
      </c>
    </row>
    <row r="4061" spans="1:2" x14ac:dyDescent="0.25">
      <c r="A4061" s="157">
        <v>43868</v>
      </c>
      <c r="B4061" s="158">
        <v>0.15</v>
      </c>
    </row>
    <row r="4062" spans="1:2" x14ac:dyDescent="0.25">
      <c r="A4062" s="157">
        <v>43871</v>
      </c>
      <c r="B4062" s="158">
        <v>0.14000000000000001</v>
      </c>
    </row>
    <row r="4063" spans="1:2" x14ac:dyDescent="0.25">
      <c r="A4063" s="157">
        <v>43872</v>
      </c>
      <c r="B4063" s="158">
        <v>0.17</v>
      </c>
    </row>
    <row r="4064" spans="1:2" x14ac:dyDescent="0.25">
      <c r="A4064" s="157">
        <v>43873</v>
      </c>
      <c r="B4064" s="158">
        <v>0.2</v>
      </c>
    </row>
    <row r="4065" spans="1:2" x14ac:dyDescent="0.25">
      <c r="A4065" s="157">
        <v>43874</v>
      </c>
      <c r="B4065" s="158">
        <v>0.18</v>
      </c>
    </row>
    <row r="4066" spans="1:2" x14ac:dyDescent="0.25">
      <c r="A4066" s="157">
        <v>43875</v>
      </c>
      <c r="B4066" s="158">
        <v>0.16</v>
      </c>
    </row>
    <row r="4067" spans="1:2" x14ac:dyDescent="0.25">
      <c r="A4067" s="157">
        <v>43878</v>
      </c>
      <c r="B4067" s="158" t="e">
        <f>NA()</f>
        <v>#N/A</v>
      </c>
    </row>
    <row r="4068" spans="1:2" x14ac:dyDescent="0.25">
      <c r="A4068" s="157">
        <v>43879</v>
      </c>
      <c r="B4068" s="158">
        <v>0.13</v>
      </c>
    </row>
    <row r="4069" spans="1:2" x14ac:dyDescent="0.25">
      <c r="A4069" s="157">
        <v>43880</v>
      </c>
      <c r="B4069" s="158">
        <v>0.14000000000000001</v>
      </c>
    </row>
    <row r="4070" spans="1:2" x14ac:dyDescent="0.25">
      <c r="A4070" s="157">
        <v>43881</v>
      </c>
      <c r="B4070" s="158">
        <v>0.1</v>
      </c>
    </row>
    <row r="4071" spans="1:2" x14ac:dyDescent="0.25">
      <c r="A4071" s="157">
        <v>43882</v>
      </c>
      <c r="B4071" s="158">
        <v>7.0000000000000007E-2</v>
      </c>
    </row>
    <row r="4072" spans="1:2" x14ac:dyDescent="0.25">
      <c r="A4072" s="157">
        <v>43885</v>
      </c>
      <c r="B4072" s="158">
        <v>0.04</v>
      </c>
    </row>
    <row r="4073" spans="1:2" x14ac:dyDescent="0.25">
      <c r="A4073" s="157">
        <v>43886</v>
      </c>
      <c r="B4073" s="158">
        <v>0.04</v>
      </c>
    </row>
    <row r="4074" spans="1:2" x14ac:dyDescent="0.25">
      <c r="A4074" s="157">
        <v>43887</v>
      </c>
      <c r="B4074" s="158">
        <v>0.04</v>
      </c>
    </row>
    <row r="4075" spans="1:2" x14ac:dyDescent="0.25">
      <c r="A4075" s="157">
        <v>43888</v>
      </c>
      <c r="B4075" s="158">
        <v>0.01</v>
      </c>
    </row>
    <row r="4076" spans="1:2" x14ac:dyDescent="0.25">
      <c r="A4076" s="157">
        <v>43889</v>
      </c>
      <c r="B4076" s="158">
        <v>0</v>
      </c>
    </row>
    <row r="4077" spans="1:2" x14ac:dyDescent="0.25">
      <c r="A4077" s="157">
        <v>43892</v>
      </c>
      <c r="B4077" s="158">
        <v>-0.09</v>
      </c>
    </row>
    <row r="4078" spans="1:2" x14ac:dyDescent="0.25">
      <c r="A4078" s="157">
        <v>43893</v>
      </c>
      <c r="B4078" s="158">
        <v>-0.17</v>
      </c>
    </row>
    <row r="4079" spans="1:2" x14ac:dyDescent="0.25">
      <c r="A4079" s="157">
        <v>43894</v>
      </c>
      <c r="B4079" s="158">
        <v>-0.18</v>
      </c>
    </row>
    <row r="4080" spans="1:2" x14ac:dyDescent="0.25">
      <c r="A4080" s="157">
        <v>43895</v>
      </c>
      <c r="B4080" s="158">
        <v>-0.24</v>
      </c>
    </row>
    <row r="4081" spans="1:2" x14ac:dyDescent="0.25">
      <c r="A4081" s="157">
        <v>43896</v>
      </c>
      <c r="B4081" s="158">
        <v>-0.41</v>
      </c>
    </row>
    <row r="4082" spans="1:2" x14ac:dyDescent="0.25">
      <c r="A4082" s="157">
        <v>43899</v>
      </c>
      <c r="B4082" s="158">
        <v>-0.32</v>
      </c>
    </row>
    <row r="4083" spans="1:2" x14ac:dyDescent="0.25">
      <c r="A4083" s="157">
        <v>43900</v>
      </c>
      <c r="B4083" s="158">
        <v>-0.08</v>
      </c>
    </row>
    <row r="4084" spans="1:2" x14ac:dyDescent="0.25">
      <c r="A4084" s="157">
        <v>43901</v>
      </c>
      <c r="B4084" s="158">
        <v>0</v>
      </c>
    </row>
    <row r="4085" spans="1:2" x14ac:dyDescent="0.25">
      <c r="A4085" s="157">
        <v>43902</v>
      </c>
      <c r="B4085" s="158">
        <v>0.14000000000000001</v>
      </c>
    </row>
    <row r="4086" spans="1:2" x14ac:dyDescent="0.25">
      <c r="A4086" s="157">
        <v>43903</v>
      </c>
      <c r="B4086" s="158">
        <v>0.22</v>
      </c>
    </row>
    <row r="4087" spans="1:2" x14ac:dyDescent="0.25">
      <c r="A4087" s="157">
        <v>43906</v>
      </c>
      <c r="B4087" s="158">
        <v>0.17</v>
      </c>
    </row>
    <row r="4088" spans="1:2" x14ac:dyDescent="0.25">
      <c r="A4088" s="157">
        <v>43907</v>
      </c>
      <c r="B4088" s="158">
        <v>0.54</v>
      </c>
    </row>
    <row r="4089" spans="1:2" x14ac:dyDescent="0.25">
      <c r="A4089" s="157">
        <v>43908</v>
      </c>
      <c r="B4089" s="158">
        <v>0.66</v>
      </c>
    </row>
    <row r="4090" spans="1:2" x14ac:dyDescent="0.25">
      <c r="A4090" s="157">
        <v>43909</v>
      </c>
      <c r="B4090" s="158">
        <v>0.71</v>
      </c>
    </row>
    <row r="4091" spans="1:2" x14ac:dyDescent="0.25">
      <c r="A4091" s="157">
        <v>43910</v>
      </c>
      <c r="B4091" s="158">
        <v>0.26</v>
      </c>
    </row>
    <row r="4092" spans="1:2" x14ac:dyDescent="0.25">
      <c r="A4092" s="157">
        <v>43913</v>
      </c>
      <c r="B4092" s="158">
        <v>-0.02</v>
      </c>
    </row>
    <row r="4093" spans="1:2" x14ac:dyDescent="0.25">
      <c r="A4093" s="157">
        <v>43914</v>
      </c>
      <c r="B4093" s="158">
        <v>-0.09</v>
      </c>
    </row>
    <row r="4094" spans="1:2" x14ac:dyDescent="0.25">
      <c r="A4094" s="157">
        <v>43915</v>
      </c>
      <c r="B4094" s="158">
        <v>-0.09</v>
      </c>
    </row>
    <row r="4095" spans="1:2" x14ac:dyDescent="0.25">
      <c r="A4095" s="157">
        <v>43916</v>
      </c>
      <c r="B4095" s="158">
        <v>-0.14000000000000001</v>
      </c>
    </row>
    <row r="4096" spans="1:2" x14ac:dyDescent="0.25">
      <c r="A4096" s="157">
        <v>43917</v>
      </c>
      <c r="B4096" s="158">
        <v>-0.12</v>
      </c>
    </row>
    <row r="4097" spans="1:2" x14ac:dyDescent="0.25">
      <c r="A4097" s="157">
        <v>43920</v>
      </c>
      <c r="B4097" s="158">
        <v>-0.1</v>
      </c>
    </row>
    <row r="4098" spans="1:2" x14ac:dyDescent="0.25">
      <c r="A4098" s="157">
        <v>43921</v>
      </c>
      <c r="B4098" s="158">
        <v>0</v>
      </c>
    </row>
    <row r="4099" spans="1:2" x14ac:dyDescent="0.25">
      <c r="A4099" s="157">
        <v>43922</v>
      </c>
      <c r="B4099" s="158">
        <v>-0.1</v>
      </c>
    </row>
    <row r="4100" spans="1:2" x14ac:dyDescent="0.25">
      <c r="A4100" s="157">
        <v>43923</v>
      </c>
      <c r="B4100" s="158">
        <v>-0.21</v>
      </c>
    </row>
    <row r="4101" spans="1:2" x14ac:dyDescent="0.25">
      <c r="A4101" s="157">
        <v>43924</v>
      </c>
      <c r="B4101" s="158">
        <v>-0.26</v>
      </c>
    </row>
    <row r="4102" spans="1:2" x14ac:dyDescent="0.25">
      <c r="A4102" s="157">
        <v>43927</v>
      </c>
      <c r="B4102" s="158">
        <v>-0.28000000000000003</v>
      </c>
    </row>
    <row r="4103" spans="1:2" x14ac:dyDescent="0.25">
      <c r="A4103" s="157">
        <v>43928</v>
      </c>
      <c r="B4103" s="158">
        <v>-0.24</v>
      </c>
    </row>
    <row r="4104" spans="1:2" x14ac:dyDescent="0.25">
      <c r="A4104" s="157">
        <v>43929</v>
      </c>
      <c r="B4104" s="158">
        <v>-0.24</v>
      </c>
    </row>
    <row r="4105" spans="1:2" x14ac:dyDescent="0.25">
      <c r="A4105" s="157">
        <v>43930</v>
      </c>
      <c r="B4105" s="158">
        <v>-0.32</v>
      </c>
    </row>
    <row r="4106" spans="1:2" x14ac:dyDescent="0.25">
      <c r="A4106" s="157">
        <v>43931</v>
      </c>
      <c r="B4106" s="158" t="e">
        <f>NA()</f>
        <v>#N/A</v>
      </c>
    </row>
    <row r="4107" spans="1:2" x14ac:dyDescent="0.25">
      <c r="A4107" s="157">
        <v>43934</v>
      </c>
      <c r="B4107" s="158">
        <v>-0.33</v>
      </c>
    </row>
    <row r="4108" spans="1:2" x14ac:dyDescent="0.25">
      <c r="A4108" s="157">
        <v>43935</v>
      </c>
      <c r="B4108" s="158">
        <v>-0.35</v>
      </c>
    </row>
    <row r="4109" spans="1:2" x14ac:dyDescent="0.25">
      <c r="A4109" s="157">
        <v>43936</v>
      </c>
      <c r="B4109" s="158">
        <v>-0.38</v>
      </c>
    </row>
    <row r="4110" spans="1:2" x14ac:dyDescent="0.25">
      <c r="A4110" s="157">
        <v>43937</v>
      </c>
      <c r="B4110" s="158">
        <v>-0.25</v>
      </c>
    </row>
    <row r="4111" spans="1:2" x14ac:dyDescent="0.25">
      <c r="A4111" s="157">
        <v>43938</v>
      </c>
      <c r="B4111" s="158">
        <v>-0.19</v>
      </c>
    </row>
    <row r="4112" spans="1:2" x14ac:dyDescent="0.25">
      <c r="A4112" s="157">
        <v>43941</v>
      </c>
      <c r="B4112" s="158">
        <v>-0.16</v>
      </c>
    </row>
    <row r="4113" spans="1:2" x14ac:dyDescent="0.25">
      <c r="A4113" s="157">
        <v>43942</v>
      </c>
      <c r="B4113" s="158">
        <v>-0.25</v>
      </c>
    </row>
    <row r="4114" spans="1:2" x14ac:dyDescent="0.25">
      <c r="A4114" s="157">
        <v>43943</v>
      </c>
      <c r="B4114" s="158">
        <v>-0.28999999999999998</v>
      </c>
    </row>
    <row r="4115" spans="1:2" x14ac:dyDescent="0.25">
      <c r="A4115" s="157">
        <v>43944</v>
      </c>
      <c r="B4115" s="158">
        <v>-0.31</v>
      </c>
    </row>
    <row r="4116" spans="1:2" x14ac:dyDescent="0.25">
      <c r="A4116" s="157">
        <v>43945</v>
      </c>
      <c r="B4116" s="158">
        <v>-0.38</v>
      </c>
    </row>
    <row r="4117" spans="1:2" x14ac:dyDescent="0.25">
      <c r="A4117" s="157">
        <v>43948</v>
      </c>
      <c r="B4117" s="158">
        <v>-0.36</v>
      </c>
    </row>
    <row r="4118" spans="1:2" x14ac:dyDescent="0.25">
      <c r="A4118" s="157">
        <v>43949</v>
      </c>
      <c r="B4118" s="158">
        <v>-0.38</v>
      </c>
    </row>
    <row r="4119" spans="1:2" x14ac:dyDescent="0.25">
      <c r="A4119" s="157">
        <v>43950</v>
      </c>
      <c r="B4119" s="158">
        <v>-0.35</v>
      </c>
    </row>
    <row r="4120" spans="1:2" x14ac:dyDescent="0.25">
      <c r="A4120" s="157">
        <v>43951</v>
      </c>
      <c r="B4120" s="158">
        <v>-0.27</v>
      </c>
    </row>
    <row r="4121" spans="1:2" x14ac:dyDescent="0.25">
      <c r="A4121" s="157">
        <v>43952</v>
      </c>
      <c r="B4121" s="158">
        <v>-0.26</v>
      </c>
    </row>
    <row r="4122" spans="1:2" x14ac:dyDescent="0.25">
      <c r="A4122" s="157">
        <v>43955</v>
      </c>
      <c r="B4122" s="158">
        <v>-0.27</v>
      </c>
    </row>
    <row r="4123" spans="1:2" x14ac:dyDescent="0.25">
      <c r="A4123" s="157">
        <v>43956</v>
      </c>
      <c r="B4123" s="158">
        <v>-0.27</v>
      </c>
    </row>
    <row r="4124" spans="1:2" x14ac:dyDescent="0.25">
      <c r="A4124" s="157">
        <v>43957</v>
      </c>
      <c r="B4124" s="158">
        <v>-0.21</v>
      </c>
    </row>
    <row r="4125" spans="1:2" x14ac:dyDescent="0.25">
      <c r="A4125" s="157">
        <v>43958</v>
      </c>
      <c r="B4125" s="158">
        <v>-0.28000000000000003</v>
      </c>
    </row>
    <row r="4126" spans="1:2" x14ac:dyDescent="0.25">
      <c r="A4126" s="157">
        <v>43959</v>
      </c>
      <c r="B4126" s="158">
        <v>-0.25</v>
      </c>
    </row>
    <row r="4127" spans="1:2" x14ac:dyDescent="0.25">
      <c r="A4127" s="157">
        <v>43962</v>
      </c>
      <c r="B4127" s="158">
        <v>-0.23</v>
      </c>
    </row>
    <row r="4128" spans="1:2" x14ac:dyDescent="0.25">
      <c r="A4128" s="157">
        <v>43963</v>
      </c>
      <c r="B4128" s="158">
        <v>-0.23</v>
      </c>
    </row>
    <row r="4129" spans="1:2" x14ac:dyDescent="0.25">
      <c r="A4129" s="157">
        <v>43964</v>
      </c>
      <c r="B4129" s="158">
        <v>-0.25</v>
      </c>
    </row>
    <row r="4130" spans="1:2" x14ac:dyDescent="0.25">
      <c r="A4130" s="157">
        <v>43965</v>
      </c>
      <c r="B4130" s="158">
        <v>-0.26</v>
      </c>
    </row>
    <row r="4131" spans="1:2" x14ac:dyDescent="0.25">
      <c r="A4131" s="157">
        <v>43966</v>
      </c>
      <c r="B4131" s="158">
        <v>-0.28000000000000003</v>
      </c>
    </row>
    <row r="4132" spans="1:2" x14ac:dyDescent="0.25">
      <c r="A4132" s="157">
        <v>43969</v>
      </c>
      <c r="B4132" s="158">
        <v>-0.25</v>
      </c>
    </row>
    <row r="4133" spans="1:2" x14ac:dyDescent="0.25">
      <c r="A4133" s="157">
        <v>43970</v>
      </c>
      <c r="B4133" s="158">
        <v>-0.25</v>
      </c>
    </row>
    <row r="4134" spans="1:2" x14ac:dyDescent="0.25">
      <c r="A4134" s="157">
        <v>43971</v>
      </c>
      <c r="B4134" s="158">
        <v>-0.28999999999999998</v>
      </c>
    </row>
    <row r="4135" spans="1:2" x14ac:dyDescent="0.25">
      <c r="A4135" s="157">
        <v>43972</v>
      </c>
      <c r="B4135" s="158">
        <v>-0.27</v>
      </c>
    </row>
    <row r="4136" spans="1:2" x14ac:dyDescent="0.25">
      <c r="A4136" s="157">
        <v>43973</v>
      </c>
      <c r="B4136" s="158">
        <v>-0.28000000000000003</v>
      </c>
    </row>
    <row r="4137" spans="1:2" x14ac:dyDescent="0.25">
      <c r="A4137" s="157">
        <v>43976</v>
      </c>
      <c r="B4137" s="158" t="e">
        <f>NA()</f>
        <v>#N/A</v>
      </c>
    </row>
    <row r="4138" spans="1:2" x14ac:dyDescent="0.25">
      <c r="A4138" s="157">
        <v>43977</v>
      </c>
      <c r="B4138" s="158">
        <v>-0.24</v>
      </c>
    </row>
    <row r="4139" spans="1:2" x14ac:dyDescent="0.25">
      <c r="A4139" s="157">
        <v>43978</v>
      </c>
      <c r="B4139" s="158">
        <v>-0.25</v>
      </c>
    </row>
    <row r="4140" spans="1:2" x14ac:dyDescent="0.25">
      <c r="A4140" s="157">
        <v>43979</v>
      </c>
      <c r="B4140" s="158">
        <v>-0.24</v>
      </c>
    </row>
    <row r="4141" spans="1:2" x14ac:dyDescent="0.25">
      <c r="A4141" s="157">
        <v>43980</v>
      </c>
      <c r="B4141" s="158">
        <v>-0.27</v>
      </c>
    </row>
    <row r="4142" spans="1:2" x14ac:dyDescent="0.25">
      <c r="A4142" s="157">
        <v>43983</v>
      </c>
      <c r="B4142" s="158">
        <v>-0.3</v>
      </c>
    </row>
    <row r="4143" spans="1:2" x14ac:dyDescent="0.25">
      <c r="A4143" s="157">
        <v>43984</v>
      </c>
      <c r="B4143" s="158">
        <v>-0.26</v>
      </c>
    </row>
    <row r="4144" spans="1:2" x14ac:dyDescent="0.25">
      <c r="A4144" s="157">
        <v>43985</v>
      </c>
      <c r="B4144" s="158">
        <v>-0.19</v>
      </c>
    </row>
    <row r="4145" spans="1:2" x14ac:dyDescent="0.25">
      <c r="A4145" s="157">
        <v>43986</v>
      </c>
      <c r="B4145" s="158">
        <v>-0.15</v>
      </c>
    </row>
    <row r="4146" spans="1:2" x14ac:dyDescent="0.25">
      <c r="A4146" s="157">
        <v>43987</v>
      </c>
      <c r="B4146" s="158">
        <v>-0.12</v>
      </c>
    </row>
    <row r="4147" spans="1:2" x14ac:dyDescent="0.25">
      <c r="A4147" s="157">
        <v>43990</v>
      </c>
      <c r="B4147" s="158">
        <v>-0.15</v>
      </c>
    </row>
    <row r="4148" spans="1:2" x14ac:dyDescent="0.25">
      <c r="A4148" s="157">
        <v>43991</v>
      </c>
      <c r="B4148" s="158">
        <v>-0.16</v>
      </c>
    </row>
    <row r="4149" spans="1:2" x14ac:dyDescent="0.25">
      <c r="A4149" s="157">
        <v>43992</v>
      </c>
      <c r="B4149" s="158">
        <v>-0.25</v>
      </c>
    </row>
    <row r="4150" spans="1:2" x14ac:dyDescent="0.25">
      <c r="A4150" s="157">
        <v>43993</v>
      </c>
      <c r="B4150" s="158">
        <v>-0.31</v>
      </c>
    </row>
    <row r="4151" spans="1:2" x14ac:dyDescent="0.25">
      <c r="A4151" s="157">
        <v>43994</v>
      </c>
      <c r="B4151" s="158">
        <v>-0.26</v>
      </c>
    </row>
    <row r="4152" spans="1:2" x14ac:dyDescent="0.25">
      <c r="A4152" s="157">
        <v>43997</v>
      </c>
      <c r="B4152" s="158">
        <v>-0.27</v>
      </c>
    </row>
    <row r="4153" spans="1:2" x14ac:dyDescent="0.25">
      <c r="A4153" s="157">
        <v>43998</v>
      </c>
      <c r="B4153" s="158">
        <v>-0.23</v>
      </c>
    </row>
    <row r="4154" spans="1:2" x14ac:dyDescent="0.25">
      <c r="A4154" s="157">
        <v>43999</v>
      </c>
      <c r="B4154" s="158">
        <v>-0.24</v>
      </c>
    </row>
    <row r="4155" spans="1:2" x14ac:dyDescent="0.25">
      <c r="A4155" s="157">
        <v>44000</v>
      </c>
      <c r="B4155" s="158">
        <v>-0.28999999999999998</v>
      </c>
    </row>
    <row r="4156" spans="1:2" x14ac:dyDescent="0.25">
      <c r="A4156" s="157">
        <v>44001</v>
      </c>
      <c r="B4156" s="158">
        <v>-0.33</v>
      </c>
    </row>
    <row r="4157" spans="1:2" x14ac:dyDescent="0.25">
      <c r="A4157" s="157">
        <v>44004</v>
      </c>
      <c r="B4157" s="158">
        <v>-0.36</v>
      </c>
    </row>
    <row r="4158" spans="1:2" x14ac:dyDescent="0.25">
      <c r="A4158" s="157">
        <v>44005</v>
      </c>
      <c r="B4158" s="158">
        <v>-0.38</v>
      </c>
    </row>
    <row r="4159" spans="1:2" x14ac:dyDescent="0.25">
      <c r="A4159" s="157">
        <v>44006</v>
      </c>
      <c r="B4159" s="158">
        <v>-0.38</v>
      </c>
    </row>
    <row r="4160" spans="1:2" x14ac:dyDescent="0.25">
      <c r="A4160" s="157">
        <v>44007</v>
      </c>
      <c r="B4160" s="158">
        <v>-0.4</v>
      </c>
    </row>
    <row r="4161" spans="1:2" x14ac:dyDescent="0.25">
      <c r="A4161" s="157">
        <v>44008</v>
      </c>
      <c r="B4161" s="158">
        <v>-0.43</v>
      </c>
    </row>
    <row r="4162" spans="1:2" x14ac:dyDescent="0.25">
      <c r="A4162" s="157">
        <v>44011</v>
      </c>
      <c r="B4162" s="158">
        <v>-0.41</v>
      </c>
    </row>
    <row r="4163" spans="1:2" x14ac:dyDescent="0.25">
      <c r="A4163" s="157">
        <v>44012</v>
      </c>
      <c r="B4163" s="158">
        <v>-0.38</v>
      </c>
    </row>
    <row r="4164" spans="1:2" x14ac:dyDescent="0.25">
      <c r="A4164" s="157">
        <v>44013</v>
      </c>
      <c r="B4164" s="158">
        <v>-0.38</v>
      </c>
    </row>
    <row r="4165" spans="1:2" x14ac:dyDescent="0.25">
      <c r="A4165" s="157">
        <v>44014</v>
      </c>
      <c r="B4165" s="158">
        <v>-0.42</v>
      </c>
    </row>
    <row r="4166" spans="1:2" x14ac:dyDescent="0.25">
      <c r="A4166" s="157">
        <v>44015</v>
      </c>
      <c r="B4166" s="158" t="e">
        <f>NA()</f>
        <v>#N/A</v>
      </c>
    </row>
    <row r="4167" spans="1:2" x14ac:dyDescent="0.25">
      <c r="A4167" s="157">
        <v>44018</v>
      </c>
      <c r="B4167" s="158">
        <v>-0.44</v>
      </c>
    </row>
    <row r="4168" spans="1:2" x14ac:dyDescent="0.25">
      <c r="A4168" s="157">
        <v>44019</v>
      </c>
      <c r="B4168" s="158">
        <v>-0.47</v>
      </c>
    </row>
    <row r="4169" spans="1:2" x14ac:dyDescent="0.25">
      <c r="A4169" s="157">
        <v>44020</v>
      </c>
      <c r="B4169" s="158">
        <v>-0.43</v>
      </c>
    </row>
    <row r="4170" spans="1:2" x14ac:dyDescent="0.25">
      <c r="A4170" s="157">
        <v>44021</v>
      </c>
      <c r="B4170" s="158">
        <v>-0.48</v>
      </c>
    </row>
    <row r="4171" spans="1:2" x14ac:dyDescent="0.25">
      <c r="A4171" s="157">
        <v>44022</v>
      </c>
      <c r="B4171" s="158">
        <v>-0.46</v>
      </c>
    </row>
    <row r="4172" spans="1:2" x14ac:dyDescent="0.25">
      <c r="A4172" s="157">
        <v>44025</v>
      </c>
      <c r="B4172" s="158">
        <v>-0.48</v>
      </c>
    </row>
    <row r="4173" spans="1:2" x14ac:dyDescent="0.25">
      <c r="A4173" s="157">
        <v>44026</v>
      </c>
      <c r="B4173" s="158">
        <v>-0.48</v>
      </c>
    </row>
    <row r="4174" spans="1:2" x14ac:dyDescent="0.25">
      <c r="A4174" s="157">
        <v>44027</v>
      </c>
      <c r="B4174" s="158">
        <v>-0.46</v>
      </c>
    </row>
    <row r="4175" spans="1:2" x14ac:dyDescent="0.25">
      <c r="A4175" s="157">
        <v>44028</v>
      </c>
      <c r="B4175" s="158">
        <v>-0.48</v>
      </c>
    </row>
    <row r="4176" spans="1:2" x14ac:dyDescent="0.25">
      <c r="A4176" s="157">
        <v>44029</v>
      </c>
      <c r="B4176" s="158">
        <v>-0.5</v>
      </c>
    </row>
    <row r="4177" spans="1:2" x14ac:dyDescent="0.25">
      <c r="A4177" s="157">
        <v>44032</v>
      </c>
      <c r="B4177" s="158">
        <v>-0.52</v>
      </c>
    </row>
    <row r="4178" spans="1:2" x14ac:dyDescent="0.25">
      <c r="A4178" s="157">
        <v>44033</v>
      </c>
      <c r="B4178" s="158">
        <v>-0.54</v>
      </c>
    </row>
    <row r="4179" spans="1:2" x14ac:dyDescent="0.25">
      <c r="A4179" s="157">
        <v>44034</v>
      </c>
      <c r="B4179" s="158">
        <v>-0.55000000000000004</v>
      </c>
    </row>
    <row r="4180" spans="1:2" x14ac:dyDescent="0.25">
      <c r="A4180" s="157">
        <v>44035</v>
      </c>
      <c r="B4180" s="158">
        <v>-0.59</v>
      </c>
    </row>
    <row r="4181" spans="1:2" x14ac:dyDescent="0.25">
      <c r="A4181" s="157">
        <v>44036</v>
      </c>
      <c r="B4181" s="158">
        <v>-0.62</v>
      </c>
    </row>
    <row r="4182" spans="1:2" x14ac:dyDescent="0.25">
      <c r="A4182" s="157">
        <v>44039</v>
      </c>
      <c r="B4182" s="158">
        <v>-0.6</v>
      </c>
    </row>
    <row r="4183" spans="1:2" x14ac:dyDescent="0.25">
      <c r="A4183" s="157">
        <v>44040</v>
      </c>
      <c r="B4183" s="158">
        <v>-0.63</v>
      </c>
    </row>
    <row r="4184" spans="1:2" x14ac:dyDescent="0.25">
      <c r="A4184" s="157">
        <v>44041</v>
      </c>
      <c r="B4184" s="158">
        <v>-0.65</v>
      </c>
    </row>
    <row r="4185" spans="1:2" x14ac:dyDescent="0.25">
      <c r="A4185" s="157">
        <v>44042</v>
      </c>
      <c r="B4185" s="158">
        <v>-0.68</v>
      </c>
    </row>
    <row r="4186" spans="1:2" x14ac:dyDescent="0.25">
      <c r="A4186" s="157">
        <v>44043</v>
      </c>
      <c r="B4186" s="158">
        <v>-0.69</v>
      </c>
    </row>
    <row r="4187" spans="1:2" x14ac:dyDescent="0.25">
      <c r="A4187" s="157">
        <v>44046</v>
      </c>
      <c r="B4187" s="158">
        <v>-0.69</v>
      </c>
    </row>
    <row r="4188" spans="1:2" x14ac:dyDescent="0.25">
      <c r="A4188" s="157">
        <v>44047</v>
      </c>
      <c r="B4188" s="158">
        <v>-0.71</v>
      </c>
    </row>
    <row r="4189" spans="1:2" x14ac:dyDescent="0.25">
      <c r="A4189" s="157">
        <v>44048</v>
      </c>
      <c r="B4189" s="158">
        <v>-0.71</v>
      </c>
    </row>
    <row r="4190" spans="1:2" x14ac:dyDescent="0.25">
      <c r="A4190" s="157">
        <v>44049</v>
      </c>
      <c r="B4190" s="158">
        <v>-0.72</v>
      </c>
    </row>
    <row r="4191" spans="1:2" x14ac:dyDescent="0.25">
      <c r="A4191" s="157">
        <v>44050</v>
      </c>
      <c r="B4191" s="158">
        <v>-0.69</v>
      </c>
    </row>
    <row r="4192" spans="1:2" x14ac:dyDescent="0.25">
      <c r="A4192" s="157">
        <v>44053</v>
      </c>
      <c r="B4192" s="158">
        <v>-0.67</v>
      </c>
    </row>
    <row r="4193" spans="1:2" x14ac:dyDescent="0.25">
      <c r="A4193" s="157">
        <v>44054</v>
      </c>
      <c r="B4193" s="158">
        <v>-0.63</v>
      </c>
    </row>
    <row r="4194" spans="1:2" x14ac:dyDescent="0.25">
      <c r="A4194" s="157">
        <v>44055</v>
      </c>
      <c r="B4194" s="158">
        <v>-0.61</v>
      </c>
    </row>
    <row r="4195" spans="1:2" x14ac:dyDescent="0.25">
      <c r="A4195" s="157">
        <v>44056</v>
      </c>
      <c r="B4195" s="158">
        <v>-0.56999999999999995</v>
      </c>
    </row>
    <row r="4196" spans="1:2" x14ac:dyDescent="0.25">
      <c r="A4196" s="157">
        <v>44057</v>
      </c>
      <c r="B4196" s="158">
        <v>-0.54</v>
      </c>
    </row>
    <row r="4197" spans="1:2" x14ac:dyDescent="0.25">
      <c r="A4197" s="157">
        <v>44060</v>
      </c>
      <c r="B4197" s="158">
        <v>-0.56000000000000005</v>
      </c>
    </row>
    <row r="4198" spans="1:2" x14ac:dyDescent="0.25">
      <c r="A4198" s="157">
        <v>44061</v>
      </c>
      <c r="B4198" s="158">
        <v>-0.62</v>
      </c>
    </row>
    <row r="4199" spans="1:2" x14ac:dyDescent="0.25">
      <c r="A4199" s="157">
        <v>44062</v>
      </c>
      <c r="B4199" s="158">
        <v>-0.6</v>
      </c>
    </row>
    <row r="4200" spans="1:2" x14ac:dyDescent="0.25">
      <c r="A4200" s="157">
        <v>44063</v>
      </c>
      <c r="B4200" s="158">
        <v>-0.56000000000000005</v>
      </c>
    </row>
    <row r="4201" spans="1:2" x14ac:dyDescent="0.25">
      <c r="A4201" s="157">
        <v>44064</v>
      </c>
      <c r="B4201" s="158">
        <v>-0.61</v>
      </c>
    </row>
    <row r="4202" spans="1:2" x14ac:dyDescent="0.25">
      <c r="A4202" s="157">
        <v>44067</v>
      </c>
      <c r="B4202" s="158">
        <v>-0.63</v>
      </c>
    </row>
    <row r="4203" spans="1:2" x14ac:dyDescent="0.25">
      <c r="A4203" s="157">
        <v>44068</v>
      </c>
      <c r="B4203" s="158">
        <v>-0.61</v>
      </c>
    </row>
    <row r="4204" spans="1:2" x14ac:dyDescent="0.25">
      <c r="A4204" s="157">
        <v>44069</v>
      </c>
      <c r="B4204" s="158">
        <v>-0.63</v>
      </c>
    </row>
    <row r="4205" spans="1:2" x14ac:dyDescent="0.25">
      <c r="A4205" s="157">
        <v>44070</v>
      </c>
      <c r="B4205" s="158">
        <v>-0.55000000000000004</v>
      </c>
    </row>
    <row r="4206" spans="1:2" x14ac:dyDescent="0.25">
      <c r="A4206" s="157">
        <v>44071</v>
      </c>
      <c r="B4206" s="158">
        <v>-0.56999999999999995</v>
      </c>
    </row>
    <row r="4207" spans="1:2" x14ac:dyDescent="0.25">
      <c r="A4207" s="157">
        <v>44074</v>
      </c>
      <c r="B4207" s="158">
        <v>-0.64</v>
      </c>
    </row>
    <row r="4208" spans="1:2" x14ac:dyDescent="0.25">
      <c r="A4208" s="157">
        <v>44075</v>
      </c>
      <c r="B4208" s="158">
        <v>-0.67</v>
      </c>
    </row>
    <row r="4209" spans="1:2" x14ac:dyDescent="0.25">
      <c r="A4209" s="157">
        <v>44076</v>
      </c>
      <c r="B4209" s="158">
        <v>-0.67</v>
      </c>
    </row>
    <row r="4210" spans="1:2" x14ac:dyDescent="0.25">
      <c r="A4210" s="157">
        <v>44077</v>
      </c>
      <c r="B4210" s="158">
        <v>-0.65</v>
      </c>
    </row>
    <row r="4211" spans="1:2" x14ac:dyDescent="0.25">
      <c r="A4211" s="157">
        <v>44078</v>
      </c>
      <c r="B4211" s="158">
        <v>-0.59</v>
      </c>
    </row>
    <row r="4212" spans="1:2" x14ac:dyDescent="0.25">
      <c r="A4212" s="157">
        <v>44081</v>
      </c>
      <c r="B4212" s="158" t="e">
        <f>NA()</f>
        <v>#N/A</v>
      </c>
    </row>
    <row r="4213" spans="1:2" x14ac:dyDescent="0.25">
      <c r="A4213" s="157">
        <v>44082</v>
      </c>
      <c r="B4213" s="158">
        <v>-0.61</v>
      </c>
    </row>
    <row r="4214" spans="1:2" x14ac:dyDescent="0.25">
      <c r="A4214" s="157">
        <v>44083</v>
      </c>
      <c r="B4214" s="158">
        <v>-0.61</v>
      </c>
    </row>
    <row r="4215" spans="1:2" x14ac:dyDescent="0.25">
      <c r="A4215" s="157">
        <v>44084</v>
      </c>
      <c r="B4215" s="158">
        <v>-0.62</v>
      </c>
    </row>
    <row r="4216" spans="1:2" x14ac:dyDescent="0.25">
      <c r="A4216" s="157">
        <v>44085</v>
      </c>
      <c r="B4216" s="158">
        <v>-0.6</v>
      </c>
    </row>
    <row r="4217" spans="1:2" x14ac:dyDescent="0.25">
      <c r="A4217" s="157">
        <v>44088</v>
      </c>
      <c r="B4217" s="158">
        <v>-0.59</v>
      </c>
    </row>
    <row r="4218" spans="1:2" x14ac:dyDescent="0.25">
      <c r="A4218" s="157">
        <v>44089</v>
      </c>
      <c r="B4218" s="158">
        <v>-0.6</v>
      </c>
    </row>
    <row r="4219" spans="1:2" x14ac:dyDescent="0.25">
      <c r="A4219" s="157">
        <v>44090</v>
      </c>
      <c r="B4219" s="158">
        <v>-0.57999999999999996</v>
      </c>
    </row>
    <row r="4220" spans="1:2" x14ac:dyDescent="0.25">
      <c r="A4220" s="157">
        <v>44091</v>
      </c>
      <c r="B4220" s="158">
        <v>-0.56999999999999995</v>
      </c>
    </row>
    <row r="4221" spans="1:2" x14ac:dyDescent="0.25">
      <c r="A4221" s="157">
        <v>44092</v>
      </c>
      <c r="B4221" s="158">
        <v>-0.56999999999999995</v>
      </c>
    </row>
    <row r="4222" spans="1:2" x14ac:dyDescent="0.25">
      <c r="A4222" s="157">
        <v>44095</v>
      </c>
      <c r="B4222" s="158">
        <v>-0.56000000000000005</v>
      </c>
    </row>
    <row r="4223" spans="1:2" x14ac:dyDescent="0.25">
      <c r="A4223" s="157">
        <v>44096</v>
      </c>
      <c r="B4223" s="158">
        <v>-0.56000000000000005</v>
      </c>
    </row>
    <row r="4224" spans="1:2" x14ac:dyDescent="0.25">
      <c r="A4224" s="157">
        <v>44097</v>
      </c>
      <c r="B4224" s="158">
        <v>-0.55000000000000004</v>
      </c>
    </row>
    <row r="4225" spans="1:2" x14ac:dyDescent="0.25">
      <c r="A4225" s="157">
        <v>44098</v>
      </c>
      <c r="B4225" s="158">
        <v>-0.56000000000000005</v>
      </c>
    </row>
    <row r="4226" spans="1:2" x14ac:dyDescent="0.25">
      <c r="A4226" s="157">
        <v>44099</v>
      </c>
      <c r="B4226" s="158">
        <v>-0.55000000000000004</v>
      </c>
    </row>
    <row r="4227" spans="1:2" x14ac:dyDescent="0.25">
      <c r="A4227" s="157">
        <v>44102</v>
      </c>
      <c r="B4227" s="158">
        <v>-0.55000000000000004</v>
      </c>
    </row>
    <row r="4228" spans="1:2" x14ac:dyDescent="0.25">
      <c r="A4228" s="157">
        <v>44103</v>
      </c>
      <c r="B4228" s="158">
        <v>-0.59</v>
      </c>
    </row>
    <row r="4229" spans="1:2" x14ac:dyDescent="0.25">
      <c r="A4229" s="157">
        <v>44104</v>
      </c>
      <c r="B4229" s="158">
        <v>-0.54</v>
      </c>
    </row>
    <row r="4230" spans="1:2" x14ac:dyDescent="0.25">
      <c r="A4230" s="157">
        <v>44105</v>
      </c>
      <c r="B4230" s="158">
        <v>-0.55000000000000004</v>
      </c>
    </row>
    <row r="4231" spans="1:2" x14ac:dyDescent="0.25">
      <c r="A4231" s="157">
        <v>44106</v>
      </c>
      <c r="B4231" s="158">
        <v>-0.55000000000000004</v>
      </c>
    </row>
    <row r="4232" spans="1:2" x14ac:dyDescent="0.25">
      <c r="A4232" s="157">
        <v>44109</v>
      </c>
      <c r="B4232" s="158">
        <v>-0.5</v>
      </c>
    </row>
    <row r="4233" spans="1:2" x14ac:dyDescent="0.25">
      <c r="A4233" s="157">
        <v>44110</v>
      </c>
      <c r="B4233" s="158">
        <v>-0.5</v>
      </c>
    </row>
    <row r="4234" spans="1:2" x14ac:dyDescent="0.25">
      <c r="A4234" s="157">
        <v>44111</v>
      </c>
      <c r="B4234" s="158">
        <v>-0.48</v>
      </c>
    </row>
    <row r="4235" spans="1:2" x14ac:dyDescent="0.25">
      <c r="A4235" s="157">
        <v>44112</v>
      </c>
      <c r="B4235" s="158">
        <v>-0.52</v>
      </c>
    </row>
    <row r="4236" spans="1:2" x14ac:dyDescent="0.25">
      <c r="A4236" s="157">
        <v>44113</v>
      </c>
      <c r="B4236" s="158">
        <v>-0.52</v>
      </c>
    </row>
    <row r="4237" spans="1:2" x14ac:dyDescent="0.25">
      <c r="A4237" s="157">
        <v>44116</v>
      </c>
      <c r="B4237" s="158" t="e">
        <f>NA()</f>
        <v>#N/A</v>
      </c>
    </row>
    <row r="4238" spans="1:2" x14ac:dyDescent="0.25">
      <c r="A4238" s="157">
        <v>44117</v>
      </c>
      <c r="B4238" s="158">
        <v>-0.57999999999999996</v>
      </c>
    </row>
    <row r="4239" spans="1:2" x14ac:dyDescent="0.25">
      <c r="A4239" s="157">
        <v>44118</v>
      </c>
      <c r="B4239" s="158">
        <v>-0.57999999999999996</v>
      </c>
    </row>
    <row r="4240" spans="1:2" x14ac:dyDescent="0.25">
      <c r="A4240" s="157">
        <v>44119</v>
      </c>
      <c r="B4240" s="158">
        <v>-0.56999999999999995</v>
      </c>
    </row>
    <row r="4241" spans="1:2" x14ac:dyDescent="0.25">
      <c r="A4241" s="157">
        <v>44120</v>
      </c>
      <c r="B4241" s="158">
        <v>-0.56000000000000005</v>
      </c>
    </row>
    <row r="4242" spans="1:2" x14ac:dyDescent="0.25">
      <c r="A4242" s="157">
        <v>44123</v>
      </c>
      <c r="B4242" s="158">
        <v>-0.53</v>
      </c>
    </row>
    <row r="4243" spans="1:2" x14ac:dyDescent="0.25">
      <c r="A4243" s="157">
        <v>44124</v>
      </c>
      <c r="B4243" s="158">
        <v>-0.49</v>
      </c>
    </row>
    <row r="4244" spans="1:2" x14ac:dyDescent="0.25">
      <c r="A4244" s="157">
        <v>44125</v>
      </c>
      <c r="B4244" s="158">
        <v>-0.48</v>
      </c>
    </row>
    <row r="4245" spans="1:2" x14ac:dyDescent="0.25">
      <c r="A4245" s="157">
        <v>44126</v>
      </c>
      <c r="B4245" s="158">
        <v>-0.45</v>
      </c>
    </row>
    <row r="4246" spans="1:2" x14ac:dyDescent="0.25">
      <c r="A4246" s="157">
        <v>44127</v>
      </c>
      <c r="B4246" s="158">
        <v>-0.47</v>
      </c>
    </row>
    <row r="4247" spans="1:2" x14ac:dyDescent="0.25">
      <c r="A4247" s="157">
        <v>44130</v>
      </c>
      <c r="B4247" s="158">
        <v>-0.49</v>
      </c>
    </row>
    <row r="4248" spans="1:2" x14ac:dyDescent="0.25">
      <c r="A4248" s="157">
        <v>44131</v>
      </c>
      <c r="B4248" s="158">
        <v>-0.52</v>
      </c>
    </row>
    <row r="4249" spans="1:2" x14ac:dyDescent="0.25">
      <c r="A4249" s="157">
        <v>44132</v>
      </c>
      <c r="B4249" s="158">
        <v>-0.5</v>
      </c>
    </row>
    <row r="4250" spans="1:2" x14ac:dyDescent="0.25">
      <c r="A4250" s="157">
        <v>44133</v>
      </c>
      <c r="B4250" s="158">
        <v>-0.47</v>
      </c>
    </row>
    <row r="4251" spans="1:2" x14ac:dyDescent="0.25">
      <c r="A4251" s="157">
        <v>44134</v>
      </c>
      <c r="B4251" s="158">
        <v>-0.42</v>
      </c>
    </row>
    <row r="4252" spans="1:2" x14ac:dyDescent="0.25">
      <c r="A4252" s="157">
        <v>44137</v>
      </c>
      <c r="B4252" s="158">
        <v>-0.42</v>
      </c>
    </row>
    <row r="4253" spans="1:2" x14ac:dyDescent="0.25">
      <c r="A4253" s="157">
        <v>44138</v>
      </c>
      <c r="B4253" s="158">
        <v>-0.42</v>
      </c>
    </row>
    <row r="4254" spans="1:2" x14ac:dyDescent="0.25">
      <c r="A4254" s="157">
        <v>44139</v>
      </c>
      <c r="B4254" s="158">
        <v>-0.47</v>
      </c>
    </row>
    <row r="4255" spans="1:2" x14ac:dyDescent="0.25">
      <c r="A4255" s="157">
        <v>44140</v>
      </c>
      <c r="B4255" s="158">
        <v>-0.48</v>
      </c>
    </row>
    <row r="4256" spans="1:2" x14ac:dyDescent="0.25">
      <c r="A4256" s="157">
        <v>44141</v>
      </c>
      <c r="B4256" s="158">
        <v>-0.43</v>
      </c>
    </row>
    <row r="4257" spans="1:2" x14ac:dyDescent="0.25">
      <c r="A4257" s="157">
        <v>44144</v>
      </c>
      <c r="B4257" s="158">
        <v>-0.33</v>
      </c>
    </row>
    <row r="4258" spans="1:2" x14ac:dyDescent="0.25">
      <c r="A4258" s="157">
        <v>44145</v>
      </c>
      <c r="B4258" s="158">
        <v>-0.33</v>
      </c>
    </row>
    <row r="4259" spans="1:2" x14ac:dyDescent="0.25">
      <c r="A4259" s="157">
        <v>44146</v>
      </c>
      <c r="B4259" s="158" t="e">
        <f>NA()</f>
        <v>#N/A</v>
      </c>
    </row>
    <row r="4260" spans="1:2" x14ac:dyDescent="0.25">
      <c r="A4260" s="157">
        <v>44147</v>
      </c>
      <c r="B4260" s="158">
        <v>-0.38</v>
      </c>
    </row>
    <row r="4261" spans="1:2" x14ac:dyDescent="0.25">
      <c r="A4261" s="157">
        <v>44148</v>
      </c>
      <c r="B4261" s="158">
        <v>-0.4</v>
      </c>
    </row>
    <row r="4262" spans="1:2" x14ac:dyDescent="0.25">
      <c r="A4262" s="157">
        <v>44151</v>
      </c>
      <c r="B4262" s="158">
        <v>-0.36</v>
      </c>
    </row>
    <row r="4263" spans="1:2" x14ac:dyDescent="0.25">
      <c r="A4263" s="157">
        <v>44152</v>
      </c>
      <c r="B4263" s="158">
        <v>-0.38</v>
      </c>
    </row>
    <row r="4264" spans="1:2" x14ac:dyDescent="0.25">
      <c r="A4264" s="157">
        <v>44153</v>
      </c>
      <c r="B4264" s="158">
        <v>-0.4</v>
      </c>
    </row>
    <row r="4265" spans="1:2" x14ac:dyDescent="0.25">
      <c r="A4265" s="157">
        <v>44154</v>
      </c>
      <c r="B4265" s="158">
        <v>-0.46</v>
      </c>
    </row>
    <row r="4266" spans="1:2" x14ac:dyDescent="0.25">
      <c r="A4266" s="157">
        <v>44155</v>
      </c>
      <c r="B4266" s="158">
        <v>-0.49</v>
      </c>
    </row>
    <row r="4267" spans="1:2" x14ac:dyDescent="0.25">
      <c r="A4267" s="157">
        <v>44158</v>
      </c>
      <c r="B4267" s="158">
        <v>-0.49</v>
      </c>
    </row>
    <row r="4268" spans="1:2" x14ac:dyDescent="0.25">
      <c r="A4268" s="157">
        <v>44159</v>
      </c>
      <c r="B4268" s="158">
        <v>-0.48</v>
      </c>
    </row>
    <row r="4269" spans="1:2" x14ac:dyDescent="0.25">
      <c r="A4269" s="157">
        <v>44160</v>
      </c>
      <c r="B4269" s="158">
        <v>-0.49</v>
      </c>
    </row>
    <row r="4270" spans="1:2" x14ac:dyDescent="0.25">
      <c r="A4270" s="157">
        <v>44161</v>
      </c>
      <c r="B4270" s="158" t="e">
        <f>NA()</f>
        <v>#N/A</v>
      </c>
    </row>
    <row r="4271" spans="1:2" x14ac:dyDescent="0.25">
      <c r="A4271" s="157">
        <v>44162</v>
      </c>
      <c r="B4271" s="158">
        <v>-0.53</v>
      </c>
    </row>
    <row r="4272" spans="1:2" x14ac:dyDescent="0.25">
      <c r="A4272" s="157">
        <v>44165</v>
      </c>
      <c r="B4272" s="158">
        <v>-0.55000000000000004</v>
      </c>
    </row>
    <row r="4273" spans="1:2" x14ac:dyDescent="0.25">
      <c r="A4273" s="157">
        <v>44166</v>
      </c>
      <c r="B4273" s="158">
        <v>-0.49</v>
      </c>
    </row>
    <row r="4274" spans="1:2" x14ac:dyDescent="0.25">
      <c r="A4274" s="157">
        <v>44167</v>
      </c>
      <c r="B4274" s="158">
        <v>-0.49</v>
      </c>
    </row>
    <row r="4275" spans="1:2" x14ac:dyDescent="0.25">
      <c r="A4275" s="157">
        <v>44168</v>
      </c>
      <c r="B4275" s="158">
        <v>-0.51</v>
      </c>
    </row>
    <row r="4276" spans="1:2" x14ac:dyDescent="0.25">
      <c r="A4276" s="157">
        <v>44169</v>
      </c>
      <c r="B4276" s="158">
        <v>-0.48</v>
      </c>
    </row>
    <row r="4277" spans="1:2" x14ac:dyDescent="0.25">
      <c r="A4277" s="157">
        <v>44172</v>
      </c>
      <c r="B4277" s="158">
        <v>-0.49</v>
      </c>
    </row>
    <row r="4278" spans="1:2" x14ac:dyDescent="0.25">
      <c r="A4278" s="157">
        <v>44173</v>
      </c>
      <c r="B4278" s="158">
        <v>-0.53</v>
      </c>
    </row>
    <row r="4279" spans="1:2" x14ac:dyDescent="0.25">
      <c r="A4279" s="157">
        <v>44174</v>
      </c>
      <c r="B4279" s="158">
        <v>-0.53</v>
      </c>
    </row>
    <row r="4280" spans="1:2" x14ac:dyDescent="0.25">
      <c r="A4280" s="157">
        <v>44175</v>
      </c>
      <c r="B4280" s="158">
        <v>-0.55000000000000004</v>
      </c>
    </row>
    <row r="4281" spans="1:2" x14ac:dyDescent="0.25">
      <c r="A4281" s="157">
        <v>44176</v>
      </c>
      <c r="B4281" s="158">
        <v>-0.55000000000000004</v>
      </c>
    </row>
    <row r="4282" spans="1:2" x14ac:dyDescent="0.25">
      <c r="A4282" s="157">
        <v>44179</v>
      </c>
      <c r="B4282" s="158">
        <v>-0.55000000000000004</v>
      </c>
    </row>
    <row r="4283" spans="1:2" x14ac:dyDescent="0.25">
      <c r="A4283" s="157">
        <v>44180</v>
      </c>
      <c r="B4283" s="158">
        <v>-0.56000000000000005</v>
      </c>
    </row>
    <row r="4284" spans="1:2" x14ac:dyDescent="0.25">
      <c r="A4284" s="157">
        <v>44181</v>
      </c>
      <c r="B4284" s="158">
        <v>-0.55000000000000004</v>
      </c>
    </row>
    <row r="4285" spans="1:2" x14ac:dyDescent="0.25">
      <c r="A4285" s="157">
        <v>44182</v>
      </c>
      <c r="B4285" s="158">
        <v>-0.56000000000000005</v>
      </c>
    </row>
    <row r="4286" spans="1:2" x14ac:dyDescent="0.25">
      <c r="A4286" s="157">
        <v>44183</v>
      </c>
      <c r="B4286" s="158">
        <v>-0.55000000000000004</v>
      </c>
    </row>
    <row r="4287" spans="1:2" x14ac:dyDescent="0.25">
      <c r="A4287" s="157">
        <v>44186</v>
      </c>
      <c r="B4287" s="158">
        <v>-0.56000000000000005</v>
      </c>
    </row>
    <row r="4288" spans="1:2" x14ac:dyDescent="0.25">
      <c r="A4288" s="157">
        <v>44187</v>
      </c>
      <c r="B4288" s="158">
        <v>-0.54</v>
      </c>
    </row>
    <row r="4289" spans="1:2" x14ac:dyDescent="0.25">
      <c r="A4289" s="157">
        <v>44188</v>
      </c>
      <c r="B4289" s="158">
        <v>-0.55000000000000004</v>
      </c>
    </row>
    <row r="4290" spans="1:2" x14ac:dyDescent="0.25">
      <c r="A4290" s="157">
        <v>44189</v>
      </c>
      <c r="B4290" s="158">
        <v>-0.57999999999999996</v>
      </c>
    </row>
    <row r="4291" spans="1:2" x14ac:dyDescent="0.25">
      <c r="A4291" s="157">
        <v>44190</v>
      </c>
      <c r="B4291" s="158" t="e">
        <f>NA()</f>
        <v>#N/A</v>
      </c>
    </row>
    <row r="4292" spans="1:2" x14ac:dyDescent="0.25">
      <c r="A4292" s="157">
        <v>44193</v>
      </c>
      <c r="B4292" s="158">
        <v>-0.57999999999999996</v>
      </c>
    </row>
    <row r="4293" spans="1:2" x14ac:dyDescent="0.25">
      <c r="A4293" s="157">
        <v>44194</v>
      </c>
      <c r="B4293" s="158">
        <v>-0.57999999999999996</v>
      </c>
    </row>
    <row r="4294" spans="1:2" x14ac:dyDescent="0.25">
      <c r="A4294" s="157">
        <v>44195</v>
      </c>
      <c r="B4294" s="158">
        <v>-0.57999999999999996</v>
      </c>
    </row>
    <row r="4295" spans="1:2" x14ac:dyDescent="0.25">
      <c r="A4295" s="157">
        <v>44196</v>
      </c>
      <c r="B4295" s="158">
        <v>-0.61</v>
      </c>
    </row>
    <row r="4296" spans="1:2" x14ac:dyDescent="0.25">
      <c r="A4296" s="157">
        <v>44197</v>
      </c>
      <c r="B4296" s="158" t="e">
        <f>NA()</f>
        <v>#N/A</v>
      </c>
    </row>
    <row r="4297" spans="1:2" x14ac:dyDescent="0.25">
      <c r="A4297" s="157">
        <v>44200</v>
      </c>
      <c r="B4297" s="158">
        <v>-0.63</v>
      </c>
    </row>
    <row r="4298" spans="1:2" x14ac:dyDescent="0.25">
      <c r="A4298" s="157">
        <v>44201</v>
      </c>
      <c r="B4298" s="158">
        <v>-0.61</v>
      </c>
    </row>
    <row r="4299" spans="1:2" x14ac:dyDescent="0.25">
      <c r="A4299" s="157">
        <v>44202</v>
      </c>
      <c r="B4299" s="158">
        <v>-0.55000000000000004</v>
      </c>
    </row>
    <row r="4300" spans="1:2" x14ac:dyDescent="0.25">
      <c r="A4300" s="157">
        <v>44203</v>
      </c>
      <c r="B4300" s="158">
        <v>-0.53</v>
      </c>
    </row>
    <row r="4301" spans="1:2" x14ac:dyDescent="0.25">
      <c r="A4301" s="157">
        <v>44204</v>
      </c>
      <c r="B4301" s="158">
        <v>-0.46</v>
      </c>
    </row>
    <row r="4302" spans="1:2" x14ac:dyDescent="0.25">
      <c r="A4302" s="157">
        <v>44207</v>
      </c>
      <c r="B4302" s="158">
        <v>-0.45</v>
      </c>
    </row>
    <row r="4303" spans="1:2" x14ac:dyDescent="0.25">
      <c r="A4303" s="157">
        <v>44208</v>
      </c>
      <c r="B4303" s="158">
        <v>-0.47</v>
      </c>
    </row>
    <row r="4304" spans="1:2" x14ac:dyDescent="0.25">
      <c r="A4304" s="157">
        <v>44209</v>
      </c>
      <c r="B4304" s="158">
        <v>-0.52</v>
      </c>
    </row>
    <row r="4305" spans="1:2" x14ac:dyDescent="0.25">
      <c r="A4305" s="157">
        <v>44210</v>
      </c>
      <c r="B4305" s="158">
        <v>-0.48</v>
      </c>
    </row>
    <row r="4306" spans="1:2" x14ac:dyDescent="0.25">
      <c r="A4306" s="157">
        <v>44211</v>
      </c>
      <c r="B4306" s="158">
        <v>-0.51</v>
      </c>
    </row>
    <row r="4307" spans="1:2" x14ac:dyDescent="0.25">
      <c r="A4307" s="157">
        <v>44214</v>
      </c>
      <c r="B4307" s="158" t="e">
        <f>NA()</f>
        <v>#N/A</v>
      </c>
    </row>
    <row r="4308" spans="1:2" x14ac:dyDescent="0.25">
      <c r="A4308" s="157">
        <v>44215</v>
      </c>
      <c r="B4308" s="158">
        <v>-0.53</v>
      </c>
    </row>
    <row r="4309" spans="1:2" x14ac:dyDescent="0.25">
      <c r="A4309" s="157">
        <v>44216</v>
      </c>
      <c r="B4309" s="158">
        <v>-0.54</v>
      </c>
    </row>
    <row r="4310" spans="1:2" x14ac:dyDescent="0.25">
      <c r="A4310" s="157">
        <v>44217</v>
      </c>
      <c r="B4310" s="158">
        <v>-0.53</v>
      </c>
    </row>
    <row r="4311" spans="1:2" x14ac:dyDescent="0.25">
      <c r="A4311" s="157">
        <v>44218</v>
      </c>
      <c r="B4311" s="158">
        <v>-0.53</v>
      </c>
    </row>
    <row r="4312" spans="1:2" x14ac:dyDescent="0.25">
      <c r="A4312" s="157">
        <v>44221</v>
      </c>
      <c r="B4312" s="158">
        <v>-0.56000000000000005</v>
      </c>
    </row>
    <row r="4313" spans="1:2" x14ac:dyDescent="0.25">
      <c r="A4313" s="157">
        <v>44222</v>
      </c>
      <c r="B4313" s="158">
        <v>-0.55000000000000004</v>
      </c>
    </row>
    <row r="4314" spans="1:2" x14ac:dyDescent="0.25">
      <c r="A4314" s="157">
        <v>44223</v>
      </c>
      <c r="B4314" s="158">
        <v>-0.55000000000000004</v>
      </c>
    </row>
    <row r="4315" spans="1:2" x14ac:dyDescent="0.25">
      <c r="A4315" s="157">
        <v>44224</v>
      </c>
      <c r="B4315" s="158">
        <v>-0.56999999999999995</v>
      </c>
    </row>
    <row r="4316" spans="1:2" x14ac:dyDescent="0.25">
      <c r="A4316" s="157">
        <v>44225</v>
      </c>
      <c r="B4316" s="158">
        <v>-0.52</v>
      </c>
    </row>
    <row r="4317" spans="1:2" x14ac:dyDescent="0.25">
      <c r="A4317" s="157">
        <v>44228</v>
      </c>
      <c r="B4317" s="158">
        <v>-0.51</v>
      </c>
    </row>
    <row r="4318" spans="1:2" x14ac:dyDescent="0.25">
      <c r="A4318" s="157">
        <v>44229</v>
      </c>
      <c r="B4318" s="158">
        <v>-0.51</v>
      </c>
    </row>
    <row r="4319" spans="1:2" x14ac:dyDescent="0.25">
      <c r="A4319" s="157">
        <v>44230</v>
      </c>
      <c r="B4319" s="158">
        <v>-0.5</v>
      </c>
    </row>
    <row r="4320" spans="1:2" x14ac:dyDescent="0.25">
      <c r="A4320" s="157">
        <v>44231</v>
      </c>
      <c r="B4320" s="158">
        <v>-0.49</v>
      </c>
    </row>
    <row r="4321" spans="1:2" x14ac:dyDescent="0.25">
      <c r="A4321" s="157">
        <v>44232</v>
      </c>
      <c r="B4321" s="158">
        <v>-0.46</v>
      </c>
    </row>
    <row r="4322" spans="1:2" x14ac:dyDescent="0.25">
      <c r="A4322" s="157">
        <v>44235</v>
      </c>
      <c r="B4322" s="158">
        <v>-0.46</v>
      </c>
    </row>
    <row r="4323" spans="1:2" x14ac:dyDescent="0.25">
      <c r="A4323" s="157">
        <v>44236</v>
      </c>
      <c r="B4323" s="158">
        <v>-0.48</v>
      </c>
    </row>
    <row r="4324" spans="1:2" x14ac:dyDescent="0.25">
      <c r="A4324" s="157">
        <v>44237</v>
      </c>
      <c r="B4324" s="158">
        <v>-0.49</v>
      </c>
    </row>
    <row r="4325" spans="1:2" x14ac:dyDescent="0.25">
      <c r="A4325" s="157">
        <v>44238</v>
      </c>
      <c r="B4325" s="158">
        <v>-0.45</v>
      </c>
    </row>
    <row r="4326" spans="1:2" x14ac:dyDescent="0.25">
      <c r="A4326" s="157">
        <v>44239</v>
      </c>
      <c r="B4326" s="158">
        <v>-0.41</v>
      </c>
    </row>
    <row r="4327" spans="1:2" x14ac:dyDescent="0.25">
      <c r="A4327" s="157">
        <v>44242</v>
      </c>
      <c r="B4327" s="158" t="e">
        <f>NA()</f>
        <v>#N/A</v>
      </c>
    </row>
    <row r="4328" spans="1:2" x14ac:dyDescent="0.25">
      <c r="A4328" s="157">
        <v>44243</v>
      </c>
      <c r="B4328" s="158">
        <v>-0.33</v>
      </c>
    </row>
    <row r="4329" spans="1:2" x14ac:dyDescent="0.25">
      <c r="A4329" s="157">
        <v>44244</v>
      </c>
      <c r="B4329" s="158">
        <v>-0.33</v>
      </c>
    </row>
    <row r="4330" spans="1:2" x14ac:dyDescent="0.25">
      <c r="A4330" s="157">
        <v>44245</v>
      </c>
      <c r="B4330" s="158">
        <v>-0.28999999999999998</v>
      </c>
    </row>
    <row r="4331" spans="1:2" x14ac:dyDescent="0.25">
      <c r="A4331" s="157">
        <v>44246</v>
      </c>
      <c r="B4331" s="158">
        <v>-0.2</v>
      </c>
    </row>
    <row r="4332" spans="1:2" x14ac:dyDescent="0.25">
      <c r="A4332" s="157">
        <v>44249</v>
      </c>
      <c r="B4332" s="158">
        <v>-0.18</v>
      </c>
    </row>
    <row r="4333" spans="1:2" x14ac:dyDescent="0.25">
      <c r="A4333" s="157">
        <v>44250</v>
      </c>
      <c r="B4333" s="158">
        <v>-0.16</v>
      </c>
    </row>
    <row r="4334" spans="1:2" x14ac:dyDescent="0.25">
      <c r="A4334" s="157">
        <v>44251</v>
      </c>
      <c r="B4334" s="158">
        <v>-0.16</v>
      </c>
    </row>
    <row r="4335" spans="1:2" x14ac:dyDescent="0.25">
      <c r="A4335" s="157">
        <v>44252</v>
      </c>
      <c r="B4335" s="158">
        <v>-0.03</v>
      </c>
    </row>
    <row r="4336" spans="1:2" x14ac:dyDescent="0.25">
      <c r="A4336" s="157">
        <v>44253</v>
      </c>
      <c r="B4336" s="158">
        <v>-0.18</v>
      </c>
    </row>
    <row r="4337" spans="1:2" x14ac:dyDescent="0.25">
      <c r="A4337" s="157">
        <v>44256</v>
      </c>
      <c r="B4337" s="158">
        <v>-0.14000000000000001</v>
      </c>
    </row>
    <row r="4338" spans="1:2" x14ac:dyDescent="0.25">
      <c r="A4338" s="157">
        <v>44257</v>
      </c>
      <c r="B4338" s="158">
        <v>-0.18</v>
      </c>
    </row>
    <row r="4339" spans="1:2" x14ac:dyDescent="0.25">
      <c r="A4339" s="157">
        <v>44258</v>
      </c>
      <c r="B4339" s="158">
        <v>-0.17</v>
      </c>
    </row>
    <row r="4340" spans="1:2" x14ac:dyDescent="0.25">
      <c r="A4340" s="157">
        <v>44259</v>
      </c>
      <c r="B4340" s="158">
        <v>-0.11</v>
      </c>
    </row>
    <row r="4341" spans="1:2" x14ac:dyDescent="0.25">
      <c r="A4341" s="157">
        <v>44260</v>
      </c>
      <c r="B4341" s="158">
        <v>-0.13</v>
      </c>
    </row>
    <row r="4342" spans="1:2" x14ac:dyDescent="0.25">
      <c r="A4342" s="157">
        <v>44263</v>
      </c>
      <c r="B4342" s="158">
        <v>-0.1</v>
      </c>
    </row>
    <row r="4343" spans="1:2" x14ac:dyDescent="0.25">
      <c r="A4343" s="157">
        <v>44264</v>
      </c>
      <c r="B4343" s="158">
        <v>-0.15</v>
      </c>
    </row>
    <row r="4344" spans="1:2" x14ac:dyDescent="0.25">
      <c r="A4344" s="157">
        <v>44265</v>
      </c>
      <c r="B4344" s="158">
        <v>-0.21</v>
      </c>
    </row>
    <row r="4345" spans="1:2" x14ac:dyDescent="0.25">
      <c r="A4345" s="157">
        <v>44266</v>
      </c>
      <c r="B4345" s="158">
        <v>-0.19</v>
      </c>
    </row>
    <row r="4346" spans="1:2" x14ac:dyDescent="0.25">
      <c r="A4346" s="157">
        <v>44267</v>
      </c>
      <c r="B4346" s="158">
        <v>-0.05</v>
      </c>
    </row>
    <row r="4347" spans="1:2" x14ac:dyDescent="0.25">
      <c r="A4347" s="157">
        <v>44270</v>
      </c>
      <c r="B4347" s="158">
        <v>-0.1</v>
      </c>
    </row>
    <row r="4348" spans="1:2" x14ac:dyDescent="0.25">
      <c r="A4348" s="157">
        <v>44271</v>
      </c>
      <c r="B4348" s="158">
        <v>-0.12</v>
      </c>
    </row>
    <row r="4349" spans="1:2" x14ac:dyDescent="0.25">
      <c r="A4349" s="157">
        <v>44272</v>
      </c>
      <c r="B4349" s="158">
        <v>-0.09</v>
      </c>
    </row>
    <row r="4350" spans="1:2" x14ac:dyDescent="0.25">
      <c r="A4350" s="157">
        <v>44273</v>
      </c>
      <c r="B4350" s="158">
        <v>-0.03</v>
      </c>
    </row>
    <row r="4351" spans="1:2" x14ac:dyDescent="0.25">
      <c r="A4351" s="157">
        <v>44274</v>
      </c>
      <c r="B4351" s="158">
        <v>-0.06</v>
      </c>
    </row>
    <row r="4352" spans="1:2" x14ac:dyDescent="0.25">
      <c r="A4352" s="157">
        <v>44277</v>
      </c>
      <c r="B4352" s="158">
        <v>-0.15</v>
      </c>
    </row>
    <row r="4353" spans="1:2" x14ac:dyDescent="0.25">
      <c r="A4353" s="157">
        <v>44278</v>
      </c>
      <c r="B4353" s="158">
        <v>-0.17</v>
      </c>
    </row>
    <row r="4354" spans="1:2" x14ac:dyDescent="0.25">
      <c r="A4354" s="157">
        <v>44279</v>
      </c>
      <c r="B4354" s="158">
        <v>-0.2</v>
      </c>
    </row>
    <row r="4355" spans="1:2" x14ac:dyDescent="0.25">
      <c r="A4355" s="157">
        <v>44280</v>
      </c>
      <c r="B4355" s="158">
        <v>-0.19</v>
      </c>
    </row>
    <row r="4356" spans="1:2" x14ac:dyDescent="0.25">
      <c r="A4356" s="157">
        <v>44281</v>
      </c>
      <c r="B4356" s="158">
        <v>-0.17</v>
      </c>
    </row>
    <row r="4357" spans="1:2" x14ac:dyDescent="0.25">
      <c r="A4357" s="157">
        <v>44284</v>
      </c>
      <c r="B4357" s="158">
        <v>-0.13</v>
      </c>
    </row>
    <row r="4358" spans="1:2" x14ac:dyDescent="0.25">
      <c r="A4358" s="157">
        <v>44285</v>
      </c>
      <c r="B4358" s="158">
        <v>-0.14000000000000001</v>
      </c>
    </row>
    <row r="4359" spans="1:2" x14ac:dyDescent="0.25">
      <c r="A4359" s="157">
        <v>44286</v>
      </c>
      <c r="B4359" s="158">
        <v>-0.13</v>
      </c>
    </row>
    <row r="4360" spans="1:2" x14ac:dyDescent="0.25">
      <c r="A4360" s="157">
        <v>44287</v>
      </c>
      <c r="B4360" s="158">
        <v>-0.16</v>
      </c>
    </row>
    <row r="4361" spans="1:2" x14ac:dyDescent="0.25">
      <c r="A4361" s="157">
        <v>44288</v>
      </c>
      <c r="B4361" s="158">
        <v>-0.16</v>
      </c>
    </row>
    <row r="4362" spans="1:2" x14ac:dyDescent="0.25">
      <c r="A4362" s="157">
        <v>44291</v>
      </c>
      <c r="B4362" s="158">
        <v>-0.14000000000000001</v>
      </c>
    </row>
    <row r="4363" spans="1:2" x14ac:dyDescent="0.25">
      <c r="A4363" s="157">
        <v>44292</v>
      </c>
      <c r="B4363" s="158">
        <v>-0.15</v>
      </c>
    </row>
    <row r="4364" spans="1:2" x14ac:dyDescent="0.25">
      <c r="A4364" s="157">
        <v>44293</v>
      </c>
      <c r="B4364" s="158">
        <v>-0.13</v>
      </c>
    </row>
    <row r="4365" spans="1:2" x14ac:dyDescent="0.25">
      <c r="A4365" s="157">
        <v>44294</v>
      </c>
      <c r="B4365" s="158">
        <v>-0.16</v>
      </c>
    </row>
    <row r="4366" spans="1:2" x14ac:dyDescent="0.25">
      <c r="A4366" s="157">
        <v>44295</v>
      </c>
      <c r="B4366" s="158">
        <v>-0.11</v>
      </c>
    </row>
    <row r="4367" spans="1:2" x14ac:dyDescent="0.25">
      <c r="A4367" s="157">
        <v>44298</v>
      </c>
      <c r="B4367" s="158">
        <v>-0.12</v>
      </c>
    </row>
    <row r="4368" spans="1:2" x14ac:dyDescent="0.25">
      <c r="A4368" s="157">
        <v>44299</v>
      </c>
      <c r="B4368" s="158">
        <v>-0.17</v>
      </c>
    </row>
    <row r="4369" spans="1:2" x14ac:dyDescent="0.25">
      <c r="A4369" s="157">
        <v>44300</v>
      </c>
      <c r="B4369" s="158">
        <v>-0.16</v>
      </c>
    </row>
    <row r="4370" spans="1:2" x14ac:dyDescent="0.25">
      <c r="A4370" s="157">
        <v>44301</v>
      </c>
      <c r="B4370" s="158">
        <v>-0.25</v>
      </c>
    </row>
    <row r="4371" spans="1:2" x14ac:dyDescent="0.25">
      <c r="A4371" s="157">
        <v>44302</v>
      </c>
      <c r="B4371" s="158">
        <v>-0.25</v>
      </c>
    </row>
    <row r="4372" spans="1:2" x14ac:dyDescent="0.25">
      <c r="A4372" s="157">
        <v>44305</v>
      </c>
      <c r="B4372" s="158">
        <v>-0.2</v>
      </c>
    </row>
    <row r="4373" spans="1:2" x14ac:dyDescent="0.25">
      <c r="A4373" s="157">
        <v>44306</v>
      </c>
      <c r="B4373" s="158">
        <v>-0.22</v>
      </c>
    </row>
    <row r="4374" spans="1:2" x14ac:dyDescent="0.25">
      <c r="A4374" s="157">
        <v>44307</v>
      </c>
      <c r="B4374" s="158">
        <v>-0.23</v>
      </c>
    </row>
    <row r="4375" spans="1:2" x14ac:dyDescent="0.25">
      <c r="A4375" s="157">
        <v>44308</v>
      </c>
      <c r="B4375" s="158">
        <v>-0.27</v>
      </c>
    </row>
    <row r="4376" spans="1:2" x14ac:dyDescent="0.25">
      <c r="A4376" s="157">
        <v>44309</v>
      </c>
      <c r="B4376" s="158">
        <v>-0.26</v>
      </c>
    </row>
    <row r="4377" spans="1:2" x14ac:dyDescent="0.25">
      <c r="A4377" s="157">
        <v>44312</v>
      </c>
      <c r="B4377" s="158">
        <v>-0.28000000000000003</v>
      </c>
    </row>
    <row r="4378" spans="1:2" x14ac:dyDescent="0.25">
      <c r="A4378" s="157">
        <v>44313</v>
      </c>
      <c r="B4378" s="158">
        <v>-0.26</v>
      </c>
    </row>
    <row r="4379" spans="1:2" x14ac:dyDescent="0.25">
      <c r="A4379" s="157">
        <v>44314</v>
      </c>
      <c r="B4379" s="158">
        <v>-0.27</v>
      </c>
    </row>
    <row r="4380" spans="1:2" x14ac:dyDescent="0.25">
      <c r="A4380" s="157">
        <v>44315</v>
      </c>
      <c r="B4380" s="158">
        <v>-0.26</v>
      </c>
    </row>
    <row r="4381" spans="1:2" x14ac:dyDescent="0.25">
      <c r="A4381" s="157">
        <v>44316</v>
      </c>
      <c r="B4381" s="158">
        <v>-0.24</v>
      </c>
    </row>
    <row r="4382" spans="1:2" x14ac:dyDescent="0.25">
      <c r="A4382" s="157">
        <v>44319</v>
      </c>
      <c r="B4382" s="158">
        <v>-0.25</v>
      </c>
    </row>
    <row r="4383" spans="1:2" x14ac:dyDescent="0.25">
      <c r="A4383" s="157">
        <v>44320</v>
      </c>
      <c r="B4383" s="158">
        <v>-0.27</v>
      </c>
    </row>
    <row r="4384" spans="1:2" x14ac:dyDescent="0.25">
      <c r="A4384" s="157">
        <v>44321</v>
      </c>
      <c r="B4384" s="158">
        <v>-0.32</v>
      </c>
    </row>
    <row r="4385" spans="1:2" x14ac:dyDescent="0.25">
      <c r="A4385" s="157">
        <v>44322</v>
      </c>
      <c r="B4385" s="158">
        <v>-0.3</v>
      </c>
    </row>
    <row r="4386" spans="1:2" x14ac:dyDescent="0.25">
      <c r="A4386" s="157">
        <v>44323</v>
      </c>
      <c r="B4386" s="158">
        <v>-0.31</v>
      </c>
    </row>
    <row r="4387" spans="1:2" x14ac:dyDescent="0.25">
      <c r="A4387" s="157">
        <v>44326</v>
      </c>
      <c r="B4387" s="158">
        <v>-0.32</v>
      </c>
    </row>
    <row r="4388" spans="1:2" x14ac:dyDescent="0.25">
      <c r="A4388" s="157">
        <v>44327</v>
      </c>
      <c r="B4388" s="158">
        <v>-0.28999999999999998</v>
      </c>
    </row>
    <row r="4389" spans="1:2" x14ac:dyDescent="0.25">
      <c r="A4389" s="157">
        <v>44328</v>
      </c>
      <c r="B4389" s="158">
        <v>-0.25</v>
      </c>
    </row>
    <row r="4390" spans="1:2" x14ac:dyDescent="0.25">
      <c r="A4390" s="157">
        <v>44329</v>
      </c>
      <c r="B4390" s="158">
        <v>-0.26</v>
      </c>
    </row>
    <row r="4391" spans="1:2" x14ac:dyDescent="0.25">
      <c r="A4391" s="157">
        <v>44330</v>
      </c>
      <c r="B4391" s="158">
        <v>-0.3</v>
      </c>
    </row>
    <row r="4392" spans="1:2" x14ac:dyDescent="0.25">
      <c r="A4392" s="157">
        <v>44333</v>
      </c>
      <c r="B4392" s="158">
        <v>-0.3</v>
      </c>
    </row>
    <row r="4393" spans="1:2" x14ac:dyDescent="0.25">
      <c r="A4393" s="157">
        <v>44334</v>
      </c>
      <c r="B4393" s="158">
        <v>-0.27</v>
      </c>
    </row>
    <row r="4394" spans="1:2" x14ac:dyDescent="0.25">
      <c r="A4394" s="157">
        <v>44335</v>
      </c>
      <c r="B4394" s="158">
        <v>-0.21</v>
      </c>
    </row>
    <row r="4395" spans="1:2" x14ac:dyDescent="0.25">
      <c r="A4395" s="157">
        <v>44336</v>
      </c>
      <c r="B4395" s="158">
        <v>-0.21</v>
      </c>
    </row>
    <row r="4396" spans="1:2" x14ac:dyDescent="0.25">
      <c r="A4396" s="157">
        <v>44337</v>
      </c>
      <c r="B4396" s="158">
        <v>-0.21</v>
      </c>
    </row>
    <row r="4397" spans="1:2" x14ac:dyDescent="0.25">
      <c r="A4397" s="157">
        <v>44340</v>
      </c>
      <c r="B4397" s="158">
        <v>-0.25</v>
      </c>
    </row>
    <row r="4398" spans="1:2" x14ac:dyDescent="0.25">
      <c r="A4398" s="157">
        <v>44341</v>
      </c>
      <c r="B4398" s="158">
        <v>-0.28999999999999998</v>
      </c>
    </row>
    <row r="4399" spans="1:2" x14ac:dyDescent="0.25">
      <c r="A4399" s="157">
        <v>44342</v>
      </c>
      <c r="B4399" s="158">
        <v>-0.26</v>
      </c>
    </row>
    <row r="4400" spans="1:2" x14ac:dyDescent="0.25">
      <c r="A4400" s="157">
        <v>44343</v>
      </c>
      <c r="B4400" s="158">
        <v>-0.25</v>
      </c>
    </row>
    <row r="4401" spans="1:2" x14ac:dyDescent="0.25">
      <c r="A4401" s="157">
        <v>44344</v>
      </c>
      <c r="B4401" s="158">
        <v>-0.3</v>
      </c>
    </row>
    <row r="4402" spans="1:2" x14ac:dyDescent="0.25">
      <c r="A4402" s="157">
        <v>44347</v>
      </c>
      <c r="B4402" s="158" t="e">
        <f>NA()</f>
        <v>#N/A</v>
      </c>
    </row>
    <row r="4403" spans="1:2" x14ac:dyDescent="0.25">
      <c r="A4403" s="157">
        <v>44348</v>
      </c>
      <c r="B4403" s="158">
        <v>-0.28999999999999998</v>
      </c>
    </row>
    <row r="4404" spans="1:2" x14ac:dyDescent="0.25">
      <c r="A4404" s="157">
        <v>44349</v>
      </c>
      <c r="B4404" s="158">
        <v>-0.28999999999999998</v>
      </c>
    </row>
    <row r="4405" spans="1:2" x14ac:dyDescent="0.25">
      <c r="A4405" s="157">
        <v>44350</v>
      </c>
      <c r="B4405" s="158">
        <v>-0.25</v>
      </c>
    </row>
    <row r="4406" spans="1:2" x14ac:dyDescent="0.25">
      <c r="A4406" s="157">
        <v>44351</v>
      </c>
      <c r="B4406" s="158">
        <v>-0.31</v>
      </c>
    </row>
    <row r="4407" spans="1:2" x14ac:dyDescent="0.25">
      <c r="A4407" s="157">
        <v>44354</v>
      </c>
      <c r="B4407" s="158">
        <v>-0.28999999999999998</v>
      </c>
    </row>
    <row r="4408" spans="1:2" x14ac:dyDescent="0.25">
      <c r="A4408" s="157">
        <v>44355</v>
      </c>
      <c r="B4408" s="158">
        <v>-0.32</v>
      </c>
    </row>
    <row r="4409" spans="1:2" x14ac:dyDescent="0.25">
      <c r="A4409" s="157">
        <v>44356</v>
      </c>
      <c r="B4409" s="158">
        <v>-0.33</v>
      </c>
    </row>
    <row r="4410" spans="1:2" x14ac:dyDescent="0.25">
      <c r="A4410" s="157">
        <v>44357</v>
      </c>
      <c r="B4410" s="158">
        <v>-0.39</v>
      </c>
    </row>
    <row r="4411" spans="1:2" x14ac:dyDescent="0.25">
      <c r="A4411" s="157">
        <v>44358</v>
      </c>
      <c r="B4411" s="158">
        <v>-0.37</v>
      </c>
    </row>
    <row r="4412" spans="1:2" x14ac:dyDescent="0.25">
      <c r="A4412" s="157">
        <v>44361</v>
      </c>
      <c r="B4412" s="158">
        <v>-0.37</v>
      </c>
    </row>
    <row r="4413" spans="1:2" x14ac:dyDescent="0.25">
      <c r="A4413" s="157">
        <v>44362</v>
      </c>
      <c r="B4413" s="158">
        <v>-0.38</v>
      </c>
    </row>
    <row r="4414" spans="1:2" x14ac:dyDescent="0.25">
      <c r="A4414" s="157">
        <v>44363</v>
      </c>
      <c r="B4414" s="158">
        <v>-0.31</v>
      </c>
    </row>
    <row r="4415" spans="1:2" x14ac:dyDescent="0.25">
      <c r="A4415" s="157">
        <v>44364</v>
      </c>
      <c r="B4415" s="158">
        <v>-0.36</v>
      </c>
    </row>
    <row r="4416" spans="1:2" x14ac:dyDescent="0.25">
      <c r="A4416" s="157">
        <v>44365</v>
      </c>
      <c r="B4416" s="158">
        <v>-0.38</v>
      </c>
    </row>
    <row r="4417" spans="1:2" x14ac:dyDescent="0.25">
      <c r="A4417" s="157">
        <v>44368</v>
      </c>
      <c r="B4417" s="158">
        <v>-0.31</v>
      </c>
    </row>
    <row r="4418" spans="1:2" x14ac:dyDescent="0.25">
      <c r="A4418" s="157">
        <v>44369</v>
      </c>
      <c r="B4418" s="158">
        <v>-0.36</v>
      </c>
    </row>
    <row r="4419" spans="1:2" x14ac:dyDescent="0.25">
      <c r="A4419" s="157">
        <v>44370</v>
      </c>
      <c r="B4419" s="158">
        <v>-0.36</v>
      </c>
    </row>
    <row r="4420" spans="1:2" x14ac:dyDescent="0.25">
      <c r="A4420" s="157">
        <v>44371</v>
      </c>
      <c r="B4420" s="158">
        <v>-0.36</v>
      </c>
    </row>
    <row r="4421" spans="1:2" x14ac:dyDescent="0.25">
      <c r="A4421" s="157">
        <v>44372</v>
      </c>
      <c r="B4421" s="158">
        <v>-0.34</v>
      </c>
    </row>
    <row r="4422" spans="1:2" x14ac:dyDescent="0.25">
      <c r="A4422" s="157">
        <v>44375</v>
      </c>
      <c r="B4422" s="158">
        <v>-0.4</v>
      </c>
    </row>
    <row r="4423" spans="1:2" x14ac:dyDescent="0.25">
      <c r="A4423" s="157">
        <v>44376</v>
      </c>
      <c r="B4423" s="158">
        <v>-0.38</v>
      </c>
    </row>
    <row r="4424" spans="1:2" x14ac:dyDescent="0.25">
      <c r="A4424" s="157">
        <v>44377</v>
      </c>
      <c r="B4424" s="158">
        <v>-0.4</v>
      </c>
    </row>
    <row r="4425" spans="1:2" x14ac:dyDescent="0.25">
      <c r="A4425" s="157">
        <v>44378</v>
      </c>
      <c r="B4425" s="158">
        <v>-0.41</v>
      </c>
    </row>
    <row r="4426" spans="1:2" x14ac:dyDescent="0.25">
      <c r="A4426" s="157">
        <v>44379</v>
      </c>
      <c r="B4426" s="158">
        <v>-0.43</v>
      </c>
    </row>
    <row r="4427" spans="1:2" x14ac:dyDescent="0.25">
      <c r="A4427" s="157">
        <v>44382</v>
      </c>
      <c r="B4427" s="158" t="e">
        <f>NA()</f>
        <v>#N/A</v>
      </c>
    </row>
    <row r="4428" spans="1:2" x14ac:dyDescent="0.25">
      <c r="A4428" s="157">
        <v>44383</v>
      </c>
      <c r="B4428" s="158">
        <v>-0.47</v>
      </c>
    </row>
    <row r="4429" spans="1:2" x14ac:dyDescent="0.25">
      <c r="A4429" s="157">
        <v>44384</v>
      </c>
      <c r="B4429" s="158">
        <v>-0.49</v>
      </c>
    </row>
    <row r="4430" spans="1:2" x14ac:dyDescent="0.25">
      <c r="A4430" s="157">
        <v>44385</v>
      </c>
      <c r="B4430" s="158">
        <v>-0.45</v>
      </c>
    </row>
    <row r="4431" spans="1:2" x14ac:dyDescent="0.25">
      <c r="A4431" s="157">
        <v>44386</v>
      </c>
      <c r="B4431" s="158">
        <v>-0.43</v>
      </c>
    </row>
    <row r="4432" spans="1:2" x14ac:dyDescent="0.25">
      <c r="A4432" s="157">
        <v>44389</v>
      </c>
      <c r="B4432" s="158">
        <v>-0.47</v>
      </c>
    </row>
    <row r="4433" spans="1:2" x14ac:dyDescent="0.25">
      <c r="A4433" s="157">
        <v>44390</v>
      </c>
      <c r="B4433" s="158">
        <v>-0.45</v>
      </c>
    </row>
    <row r="4434" spans="1:2" x14ac:dyDescent="0.25">
      <c r="A4434" s="157">
        <v>44391</v>
      </c>
      <c r="B4434" s="158">
        <v>-0.47</v>
      </c>
    </row>
    <row r="4435" spans="1:2" x14ac:dyDescent="0.25">
      <c r="A4435" s="157">
        <v>44392</v>
      </c>
      <c r="B4435" s="158">
        <v>-0.52</v>
      </c>
    </row>
    <row r="4436" spans="1:2" x14ac:dyDescent="0.25">
      <c r="A4436" s="157">
        <v>44393</v>
      </c>
      <c r="B4436" s="158">
        <v>-0.53</v>
      </c>
    </row>
    <row r="4437" spans="1:2" x14ac:dyDescent="0.25">
      <c r="A4437" s="157">
        <v>44396</v>
      </c>
      <c r="B4437" s="158">
        <v>-0.57999999999999996</v>
      </c>
    </row>
    <row r="4438" spans="1:2" x14ac:dyDescent="0.25">
      <c r="A4438" s="157">
        <v>44397</v>
      </c>
      <c r="B4438" s="158">
        <v>-0.53</v>
      </c>
    </row>
    <row r="4439" spans="1:2" x14ac:dyDescent="0.25">
      <c r="A4439" s="157">
        <v>44398</v>
      </c>
      <c r="B4439" s="158">
        <v>-0.49</v>
      </c>
    </row>
    <row r="4440" spans="1:2" x14ac:dyDescent="0.25">
      <c r="A4440" s="157">
        <v>44399</v>
      </c>
      <c r="B4440" s="158">
        <v>-0.53</v>
      </c>
    </row>
    <row r="4441" spans="1:2" x14ac:dyDescent="0.25">
      <c r="A4441" s="157">
        <v>44400</v>
      </c>
      <c r="B4441" s="158">
        <v>-0.55000000000000004</v>
      </c>
    </row>
    <row r="4442" spans="1:2" x14ac:dyDescent="0.25">
      <c r="A4442" s="157">
        <v>44403</v>
      </c>
      <c r="B4442" s="158">
        <v>-0.61</v>
      </c>
    </row>
    <row r="4443" spans="1:2" x14ac:dyDescent="0.25">
      <c r="A4443" s="157">
        <v>44404</v>
      </c>
      <c r="B4443" s="158">
        <v>-0.62</v>
      </c>
    </row>
    <row r="4444" spans="1:2" x14ac:dyDescent="0.25">
      <c r="A4444" s="157">
        <v>44405</v>
      </c>
      <c r="B4444" s="158">
        <v>-0.63</v>
      </c>
    </row>
    <row r="4445" spans="1:2" x14ac:dyDescent="0.25">
      <c r="A4445" s="157">
        <v>44406</v>
      </c>
      <c r="B4445" s="158">
        <v>-0.63</v>
      </c>
    </row>
    <row r="4446" spans="1:2" x14ac:dyDescent="0.25">
      <c r="A4446" s="157">
        <v>44407</v>
      </c>
      <c r="B4446" s="158">
        <v>-0.62</v>
      </c>
    </row>
    <row r="4447" spans="1:2" x14ac:dyDescent="0.25">
      <c r="A4447" s="157">
        <v>44410</v>
      </c>
      <c r="B4447" s="158">
        <v>-0.64</v>
      </c>
    </row>
    <row r="4448" spans="1:2" x14ac:dyDescent="0.25">
      <c r="A4448" s="157">
        <v>44411</v>
      </c>
      <c r="B4448" s="158">
        <v>-0.66</v>
      </c>
    </row>
    <row r="4449" spans="1:2" x14ac:dyDescent="0.25">
      <c r="A4449" s="157">
        <v>44412</v>
      </c>
      <c r="B4449" s="158">
        <v>-0.64</v>
      </c>
    </row>
    <row r="4450" spans="1:2" x14ac:dyDescent="0.25">
      <c r="A4450" s="157">
        <v>44413</v>
      </c>
      <c r="B4450" s="158">
        <v>-0.6</v>
      </c>
    </row>
    <row r="4451" spans="1:2" x14ac:dyDescent="0.25">
      <c r="A4451" s="157">
        <v>44414</v>
      </c>
      <c r="B4451" s="158">
        <v>-0.55000000000000004</v>
      </c>
    </row>
    <row r="4452" spans="1:2" x14ac:dyDescent="0.25">
      <c r="A4452" s="157">
        <v>44417</v>
      </c>
      <c r="B4452" s="158">
        <v>-0.54</v>
      </c>
    </row>
    <row r="4453" spans="1:2" x14ac:dyDescent="0.25">
      <c r="A4453" s="157">
        <v>44418</v>
      </c>
      <c r="B4453" s="158">
        <v>-0.54</v>
      </c>
    </row>
    <row r="4454" spans="1:2" x14ac:dyDescent="0.25">
      <c r="A4454" s="157">
        <v>44419</v>
      </c>
      <c r="B4454" s="158">
        <v>-0.55000000000000004</v>
      </c>
    </row>
    <row r="4455" spans="1:2" x14ac:dyDescent="0.25">
      <c r="A4455" s="157">
        <v>44420</v>
      </c>
      <c r="B4455" s="158">
        <v>-0.53</v>
      </c>
    </row>
    <row r="4456" spans="1:2" x14ac:dyDescent="0.25">
      <c r="A4456" s="157">
        <v>44421</v>
      </c>
      <c r="B4456" s="158">
        <v>-0.56999999999999995</v>
      </c>
    </row>
    <row r="4457" spans="1:2" x14ac:dyDescent="0.25">
      <c r="A4457" s="157">
        <v>44424</v>
      </c>
      <c r="B4457" s="158">
        <v>-0.57999999999999996</v>
      </c>
    </row>
    <row r="4458" spans="1:2" x14ac:dyDescent="0.25">
      <c r="A4458" s="157">
        <v>44425</v>
      </c>
      <c r="B4458" s="158">
        <v>-0.54</v>
      </c>
    </row>
    <row r="4459" spans="1:2" x14ac:dyDescent="0.25">
      <c r="A4459" s="157">
        <v>44426</v>
      </c>
      <c r="B4459" s="158">
        <v>-0.55000000000000004</v>
      </c>
    </row>
    <row r="4460" spans="1:2" x14ac:dyDescent="0.25">
      <c r="A4460" s="157">
        <v>44427</v>
      </c>
      <c r="B4460" s="158">
        <v>-0.55000000000000004</v>
      </c>
    </row>
    <row r="4461" spans="1:2" x14ac:dyDescent="0.25">
      <c r="A4461" s="157">
        <v>44428</v>
      </c>
      <c r="B4461" s="158">
        <v>-0.54</v>
      </c>
    </row>
    <row r="4462" spans="1:2" x14ac:dyDescent="0.25">
      <c r="A4462" s="157">
        <v>44431</v>
      </c>
      <c r="B4462" s="158">
        <v>-0.55000000000000004</v>
      </c>
    </row>
    <row r="4463" spans="1:2" x14ac:dyDescent="0.25">
      <c r="A4463" s="157">
        <v>44432</v>
      </c>
      <c r="B4463" s="158">
        <v>-0.53</v>
      </c>
    </row>
    <row r="4464" spans="1:2" x14ac:dyDescent="0.25">
      <c r="A4464" s="157">
        <v>44433</v>
      </c>
      <c r="B4464" s="158">
        <v>-0.49</v>
      </c>
    </row>
    <row r="4465" spans="1:2" x14ac:dyDescent="0.25">
      <c r="A4465" s="157">
        <v>44434</v>
      </c>
      <c r="B4465" s="158">
        <v>-0.5</v>
      </c>
    </row>
    <row r="4466" spans="1:2" x14ac:dyDescent="0.25">
      <c r="A4466" s="157">
        <v>44435</v>
      </c>
      <c r="B4466" s="158">
        <v>-0.59</v>
      </c>
    </row>
    <row r="4467" spans="1:2" x14ac:dyDescent="0.25">
      <c r="A4467" s="157">
        <v>44438</v>
      </c>
      <c r="B4467" s="158">
        <v>-0.57999999999999996</v>
      </c>
    </row>
    <row r="4468" spans="1:2" x14ac:dyDescent="0.25">
      <c r="A4468" s="157">
        <v>44439</v>
      </c>
      <c r="B4468" s="158">
        <v>-0.54</v>
      </c>
    </row>
    <row r="4469" spans="1:2" x14ac:dyDescent="0.25">
      <c r="A4469" s="157">
        <v>44440</v>
      </c>
      <c r="B4469" s="158">
        <v>-0.54</v>
      </c>
    </row>
    <row r="4470" spans="1:2" x14ac:dyDescent="0.25">
      <c r="A4470" s="157">
        <v>44441</v>
      </c>
      <c r="B4470" s="158">
        <v>-0.55000000000000004</v>
      </c>
    </row>
    <row r="4471" spans="1:2" x14ac:dyDescent="0.25">
      <c r="A4471" s="157">
        <v>44442</v>
      </c>
      <c r="B4471" s="158">
        <v>-0.51</v>
      </c>
    </row>
    <row r="4472" spans="1:2" x14ac:dyDescent="0.25">
      <c r="A4472" s="157">
        <v>44445</v>
      </c>
      <c r="B4472" s="158" t="e">
        <f>NA()</f>
        <v>#N/A</v>
      </c>
    </row>
    <row r="4473" spans="1:2" x14ac:dyDescent="0.25">
      <c r="A4473" s="157">
        <v>44446</v>
      </c>
      <c r="B4473" s="158">
        <v>-0.47</v>
      </c>
    </row>
    <row r="4474" spans="1:2" x14ac:dyDescent="0.25">
      <c r="A4474" s="157">
        <v>44447</v>
      </c>
      <c r="B4474" s="158">
        <v>-0.53</v>
      </c>
    </row>
    <row r="4475" spans="1:2" x14ac:dyDescent="0.25">
      <c r="A4475" s="157">
        <v>44448</v>
      </c>
      <c r="B4475" s="158">
        <v>-0.59</v>
      </c>
    </row>
    <row r="4476" spans="1:2" x14ac:dyDescent="0.25">
      <c r="A4476" s="157">
        <v>44449</v>
      </c>
      <c r="B4476" s="158">
        <v>-0.57999999999999996</v>
      </c>
    </row>
    <row r="4477" spans="1:2" x14ac:dyDescent="0.25">
      <c r="A4477" s="157">
        <v>44452</v>
      </c>
      <c r="B4477" s="158">
        <v>-0.56999999999999995</v>
      </c>
    </row>
    <row r="4478" spans="1:2" x14ac:dyDescent="0.25">
      <c r="A4478" s="157">
        <v>44453</v>
      </c>
      <c r="B4478" s="158">
        <v>-0.59</v>
      </c>
    </row>
    <row r="4479" spans="1:2" x14ac:dyDescent="0.25">
      <c r="A4479" s="157">
        <v>44454</v>
      </c>
      <c r="B4479" s="158">
        <v>-0.57999999999999996</v>
      </c>
    </row>
    <row r="4480" spans="1:2" x14ac:dyDescent="0.25">
      <c r="A4480" s="157">
        <v>44455</v>
      </c>
      <c r="B4480" s="158">
        <v>-0.55000000000000004</v>
      </c>
    </row>
    <row r="4481" spans="1:2" x14ac:dyDescent="0.25">
      <c r="A4481" s="157">
        <v>44456</v>
      </c>
      <c r="B4481" s="158">
        <v>-0.52</v>
      </c>
    </row>
    <row r="4482" spans="1:2" x14ac:dyDescent="0.25">
      <c r="A4482" s="157">
        <v>44459</v>
      </c>
      <c r="B4482" s="158">
        <v>-0.55000000000000004</v>
      </c>
    </row>
    <row r="4483" spans="1:2" x14ac:dyDescent="0.25">
      <c r="A4483" s="157">
        <v>44460</v>
      </c>
      <c r="B4483" s="158">
        <v>-0.54</v>
      </c>
    </row>
    <row r="4484" spans="1:2" x14ac:dyDescent="0.25">
      <c r="A4484" s="157">
        <v>44461</v>
      </c>
      <c r="B4484" s="158">
        <v>-0.55000000000000004</v>
      </c>
    </row>
    <row r="4485" spans="1:2" x14ac:dyDescent="0.25">
      <c r="A4485" s="157">
        <v>44462</v>
      </c>
      <c r="B4485" s="158">
        <v>-0.49</v>
      </c>
    </row>
    <row r="4486" spans="1:2" x14ac:dyDescent="0.25">
      <c r="A4486" s="157">
        <v>44463</v>
      </c>
      <c r="B4486" s="158">
        <v>-0.44</v>
      </c>
    </row>
    <row r="4487" spans="1:2" x14ac:dyDescent="0.25">
      <c r="A4487" s="157">
        <v>44466</v>
      </c>
      <c r="B4487" s="158">
        <v>-0.45</v>
      </c>
    </row>
    <row r="4488" spans="1:2" x14ac:dyDescent="0.25">
      <c r="A4488" s="157">
        <v>44467</v>
      </c>
      <c r="B4488" s="158">
        <v>-0.41</v>
      </c>
    </row>
    <row r="4489" spans="1:2" x14ac:dyDescent="0.25">
      <c r="A4489" s="157">
        <v>44468</v>
      </c>
      <c r="B4489" s="158">
        <v>-0.38</v>
      </c>
    </row>
    <row r="4490" spans="1:2" x14ac:dyDescent="0.25">
      <c r="A4490" s="157">
        <v>44469</v>
      </c>
      <c r="B4490" s="158">
        <v>-0.39</v>
      </c>
    </row>
    <row r="4491" spans="1:2" x14ac:dyDescent="0.25">
      <c r="A4491" s="157">
        <v>44470</v>
      </c>
      <c r="B4491" s="158">
        <v>-0.44</v>
      </c>
    </row>
    <row r="4492" spans="1:2" x14ac:dyDescent="0.25">
      <c r="A4492" s="157">
        <v>44473</v>
      </c>
      <c r="B4492" s="158">
        <v>-0.44</v>
      </c>
    </row>
    <row r="4493" spans="1:2" x14ac:dyDescent="0.25">
      <c r="A4493" s="157">
        <v>44474</v>
      </c>
      <c r="B4493" s="158">
        <v>-0.44</v>
      </c>
    </row>
    <row r="4494" spans="1:2" x14ac:dyDescent="0.25">
      <c r="A4494" s="157">
        <v>44475</v>
      </c>
      <c r="B4494" s="158">
        <v>-0.44</v>
      </c>
    </row>
    <row r="4495" spans="1:2" x14ac:dyDescent="0.25">
      <c r="A4495" s="157">
        <v>44476</v>
      </c>
      <c r="B4495" s="158">
        <v>-0.41</v>
      </c>
    </row>
    <row r="4496" spans="1:2" x14ac:dyDescent="0.25">
      <c r="A4496" s="157">
        <v>44477</v>
      </c>
      <c r="B4496" s="158">
        <v>-0.42</v>
      </c>
    </row>
    <row r="4497" spans="1:2" x14ac:dyDescent="0.25">
      <c r="A4497" s="157">
        <v>44480</v>
      </c>
      <c r="B4497" s="158" t="e">
        <f>NA()</f>
        <v>#N/A</v>
      </c>
    </row>
    <row r="4498" spans="1:2" x14ac:dyDescent="0.25">
      <c r="A4498" s="157">
        <v>44481</v>
      </c>
      <c r="B4498" s="158">
        <v>-0.45</v>
      </c>
    </row>
    <row r="4499" spans="1:2" x14ac:dyDescent="0.25">
      <c r="A4499" s="157">
        <v>44482</v>
      </c>
      <c r="B4499" s="158">
        <v>-0.53</v>
      </c>
    </row>
    <row r="4500" spans="1:2" x14ac:dyDescent="0.25">
      <c r="A4500" s="157">
        <v>44483</v>
      </c>
      <c r="B4500" s="158">
        <v>-0.55000000000000004</v>
      </c>
    </row>
    <row r="4501" spans="1:2" x14ac:dyDescent="0.25">
      <c r="A4501" s="157">
        <v>44484</v>
      </c>
      <c r="B4501" s="158">
        <v>-0.54</v>
      </c>
    </row>
    <row r="4502" spans="1:2" x14ac:dyDescent="0.25">
      <c r="A4502" s="157">
        <v>44487</v>
      </c>
      <c r="B4502" s="158">
        <v>-0.54</v>
      </c>
    </row>
    <row r="4503" spans="1:2" x14ac:dyDescent="0.25">
      <c r="A4503" s="157">
        <v>44488</v>
      </c>
      <c r="B4503" s="158">
        <v>-0.47</v>
      </c>
    </row>
    <row r="4504" spans="1:2" x14ac:dyDescent="0.25">
      <c r="A4504" s="157">
        <v>44489</v>
      </c>
      <c r="B4504" s="158">
        <v>-0.46</v>
      </c>
    </row>
    <row r="4505" spans="1:2" x14ac:dyDescent="0.25">
      <c r="A4505" s="157">
        <v>44490</v>
      </c>
      <c r="B4505" s="158">
        <v>-0.52</v>
      </c>
    </row>
    <row r="4506" spans="1:2" x14ac:dyDescent="0.25">
      <c r="A4506" s="157">
        <v>44491</v>
      </c>
      <c r="B4506" s="158">
        <v>-0.54</v>
      </c>
    </row>
    <row r="4507" spans="1:2" x14ac:dyDescent="0.25">
      <c r="A4507" s="157">
        <v>44494</v>
      </c>
      <c r="B4507" s="158">
        <v>-0.56000000000000005</v>
      </c>
    </row>
    <row r="4508" spans="1:2" x14ac:dyDescent="0.25">
      <c r="A4508" s="157">
        <v>44495</v>
      </c>
      <c r="B4508" s="158">
        <v>-0.6</v>
      </c>
    </row>
    <row r="4509" spans="1:2" x14ac:dyDescent="0.25">
      <c r="A4509" s="157">
        <v>44496</v>
      </c>
      <c r="B4509" s="158">
        <v>-0.68</v>
      </c>
    </row>
    <row r="4510" spans="1:2" x14ac:dyDescent="0.25">
      <c r="A4510" s="157">
        <v>44497</v>
      </c>
      <c r="B4510" s="158">
        <v>-0.56999999999999995</v>
      </c>
    </row>
    <row r="4511" spans="1:2" x14ac:dyDescent="0.25">
      <c r="A4511" s="157">
        <v>44498</v>
      </c>
      <c r="B4511" s="158">
        <v>-0.51</v>
      </c>
    </row>
    <row r="4512" spans="1:2" x14ac:dyDescent="0.25">
      <c r="A4512" s="157">
        <v>44501</v>
      </c>
      <c r="B4512" s="158">
        <v>-0.48</v>
      </c>
    </row>
    <row r="4513" spans="1:2" x14ac:dyDescent="0.25">
      <c r="A4513" s="157">
        <v>44502</v>
      </c>
      <c r="B4513" s="158">
        <v>-0.52</v>
      </c>
    </row>
    <row r="4514" spans="1:2" x14ac:dyDescent="0.25">
      <c r="A4514" s="157">
        <v>44503</v>
      </c>
      <c r="B4514" s="158">
        <v>-0.51</v>
      </c>
    </row>
    <row r="4515" spans="1:2" x14ac:dyDescent="0.25">
      <c r="A4515" s="157">
        <v>44504</v>
      </c>
      <c r="B4515" s="158">
        <v>-0.59</v>
      </c>
    </row>
    <row r="4516" spans="1:2" x14ac:dyDescent="0.25">
      <c r="A4516" s="157">
        <v>44505</v>
      </c>
      <c r="B4516" s="158">
        <v>-0.66</v>
      </c>
    </row>
    <row r="4517" spans="1:2" x14ac:dyDescent="0.25">
      <c r="A4517" s="157">
        <v>44508</v>
      </c>
      <c r="B4517" s="158">
        <v>-0.7</v>
      </c>
    </row>
    <row r="4518" spans="1:2" x14ac:dyDescent="0.25">
      <c r="A4518" s="157">
        <v>44509</v>
      </c>
      <c r="B4518" s="158">
        <v>-0.76</v>
      </c>
    </row>
    <row r="4519" spans="1:2" x14ac:dyDescent="0.25">
      <c r="A4519" s="157">
        <v>44510</v>
      </c>
      <c r="B4519" s="158">
        <v>-0.72</v>
      </c>
    </row>
    <row r="4520" spans="1:2" x14ac:dyDescent="0.25">
      <c r="A4520" s="157">
        <v>44511</v>
      </c>
      <c r="B4520" s="158" t="e">
        <f>NA()</f>
        <v>#N/A</v>
      </c>
    </row>
    <row r="4521" spans="1:2" x14ac:dyDescent="0.25">
      <c r="A4521" s="157">
        <v>44512</v>
      </c>
      <c r="B4521" s="158">
        <v>-0.71</v>
      </c>
    </row>
    <row r="4522" spans="1:2" x14ac:dyDescent="0.25">
      <c r="A4522" s="157">
        <v>44515</v>
      </c>
      <c r="B4522" s="158">
        <v>-0.68</v>
      </c>
    </row>
    <row r="4523" spans="1:2" x14ac:dyDescent="0.25">
      <c r="A4523" s="157">
        <v>44516</v>
      </c>
      <c r="B4523" s="158">
        <v>-0.63</v>
      </c>
    </row>
    <row r="4524" spans="1:2" x14ac:dyDescent="0.25">
      <c r="A4524" s="157">
        <v>44517</v>
      </c>
      <c r="B4524" s="158">
        <v>-0.64</v>
      </c>
    </row>
    <row r="4525" spans="1:2" x14ac:dyDescent="0.25">
      <c r="A4525" s="157">
        <v>44518</v>
      </c>
      <c r="B4525" s="158">
        <v>-0.69</v>
      </c>
    </row>
    <row r="4526" spans="1:2" x14ac:dyDescent="0.25">
      <c r="A4526" s="157">
        <v>44519</v>
      </c>
      <c r="B4526" s="158">
        <v>-0.71</v>
      </c>
    </row>
    <row r="4527" spans="1:2" x14ac:dyDescent="0.25">
      <c r="A4527" s="157">
        <v>44522</v>
      </c>
      <c r="B4527" s="158">
        <v>-0.59</v>
      </c>
    </row>
    <row r="4528" spans="1:2" x14ac:dyDescent="0.25">
      <c r="A4528" s="157">
        <v>44523</v>
      </c>
      <c r="B4528" s="158">
        <v>-0.54</v>
      </c>
    </row>
    <row r="4529" spans="1:2" x14ac:dyDescent="0.25">
      <c r="A4529" s="157">
        <v>44524</v>
      </c>
      <c r="B4529" s="158">
        <v>-0.56999999999999995</v>
      </c>
    </row>
    <row r="4530" spans="1:2" x14ac:dyDescent="0.25">
      <c r="A4530" s="157">
        <v>44525</v>
      </c>
      <c r="B4530" s="158" t="e">
        <f>NA()</f>
        <v>#N/A</v>
      </c>
    </row>
    <row r="4531" spans="1:2" x14ac:dyDescent="0.25">
      <c r="A4531" s="157">
        <v>44526</v>
      </c>
      <c r="B4531" s="158">
        <v>-0.66</v>
      </c>
    </row>
    <row r="4532" spans="1:2" x14ac:dyDescent="0.25">
      <c r="A4532" s="157">
        <v>44529</v>
      </c>
      <c r="B4532" s="158">
        <v>-0.62</v>
      </c>
    </row>
    <row r="4533" spans="1:2" x14ac:dyDescent="0.25">
      <c r="A4533" s="157">
        <v>44530</v>
      </c>
      <c r="B4533" s="158">
        <v>-0.69</v>
      </c>
    </row>
    <row r="4534" spans="1:2" x14ac:dyDescent="0.25">
      <c r="A4534" s="157">
        <v>44531</v>
      </c>
      <c r="B4534" s="158">
        <v>-0.66</v>
      </c>
    </row>
    <row r="4535" spans="1:2" x14ac:dyDescent="0.25">
      <c r="A4535" s="157">
        <v>44532</v>
      </c>
      <c r="B4535" s="158">
        <v>-0.71</v>
      </c>
    </row>
    <row r="4536" spans="1:2" x14ac:dyDescent="0.25">
      <c r="A4536" s="157">
        <v>44533</v>
      </c>
      <c r="B4536" s="158">
        <v>-0.75</v>
      </c>
    </row>
    <row r="4537" spans="1:2" x14ac:dyDescent="0.25">
      <c r="A4537" s="157">
        <v>44536</v>
      </c>
      <c r="B4537" s="158">
        <v>-0.65</v>
      </c>
    </row>
    <row r="4538" spans="1:2" x14ac:dyDescent="0.25">
      <c r="A4538" s="157">
        <v>44537</v>
      </c>
      <c r="B4538" s="158">
        <v>-0.62</v>
      </c>
    </row>
    <row r="4539" spans="1:2" x14ac:dyDescent="0.25">
      <c r="A4539" s="157">
        <v>44538</v>
      </c>
      <c r="B4539" s="158">
        <v>-0.61</v>
      </c>
    </row>
    <row r="4540" spans="1:2" x14ac:dyDescent="0.25">
      <c r="A4540" s="157">
        <v>44539</v>
      </c>
      <c r="B4540" s="158">
        <v>-0.59</v>
      </c>
    </row>
    <row r="4541" spans="1:2" x14ac:dyDescent="0.25">
      <c r="A4541" s="157">
        <v>44540</v>
      </c>
      <c r="B4541" s="158">
        <v>-0.56000000000000005</v>
      </c>
    </row>
    <row r="4542" spans="1:2" x14ac:dyDescent="0.25">
      <c r="A4542" s="157">
        <v>44543</v>
      </c>
      <c r="B4542" s="158">
        <v>-0.59</v>
      </c>
    </row>
    <row r="4543" spans="1:2" x14ac:dyDescent="0.25">
      <c r="A4543" s="157">
        <v>44544</v>
      </c>
      <c r="B4543" s="158">
        <v>-0.55000000000000004</v>
      </c>
    </row>
    <row r="4544" spans="1:2" x14ac:dyDescent="0.25">
      <c r="A4544" s="157">
        <v>44545</v>
      </c>
      <c r="B4544" s="158">
        <v>-0.54</v>
      </c>
    </row>
    <row r="4545" spans="1:2" x14ac:dyDescent="0.25">
      <c r="A4545" s="157">
        <v>44546</v>
      </c>
      <c r="B4545" s="158">
        <v>-0.55000000000000004</v>
      </c>
    </row>
    <row r="4546" spans="1:2" x14ac:dyDescent="0.25">
      <c r="A4546" s="157">
        <v>44547</v>
      </c>
      <c r="B4546" s="158">
        <v>-0.56999999999999995</v>
      </c>
    </row>
    <row r="4547" spans="1:2" x14ac:dyDescent="0.25">
      <c r="A4547" s="157">
        <v>44550</v>
      </c>
      <c r="B4547" s="158">
        <v>-0.56000000000000005</v>
      </c>
    </row>
    <row r="4548" spans="1:2" x14ac:dyDescent="0.25">
      <c r="A4548" s="157">
        <v>44551</v>
      </c>
      <c r="B4548" s="158">
        <v>-0.57999999999999996</v>
      </c>
    </row>
    <row r="4549" spans="1:2" x14ac:dyDescent="0.25">
      <c r="A4549" s="157">
        <v>44552</v>
      </c>
      <c r="B4549" s="158">
        <v>-0.62</v>
      </c>
    </row>
    <row r="4550" spans="1:2" x14ac:dyDescent="0.25">
      <c r="A4550" s="157">
        <v>44553</v>
      </c>
      <c r="B4550" s="158">
        <v>-0.57999999999999996</v>
      </c>
    </row>
    <row r="4551" spans="1:2" x14ac:dyDescent="0.25">
      <c r="A4551" s="157">
        <v>44554</v>
      </c>
      <c r="B4551" s="158" t="e">
        <f>NA()</f>
        <v>#N/A</v>
      </c>
    </row>
    <row r="4552" spans="1:2" x14ac:dyDescent="0.25">
      <c r="A4552" s="157">
        <v>44557</v>
      </c>
      <c r="B4552" s="158">
        <v>-0.62</v>
      </c>
    </row>
    <row r="4553" spans="1:2" x14ac:dyDescent="0.25">
      <c r="A4553" s="157">
        <v>44558</v>
      </c>
      <c r="B4553" s="158">
        <v>-0.61</v>
      </c>
    </row>
    <row r="4554" spans="1:2" x14ac:dyDescent="0.25">
      <c r="A4554" s="157">
        <v>44559</v>
      </c>
      <c r="B4554" s="158">
        <v>-0.56999999999999995</v>
      </c>
    </row>
    <row r="4555" spans="1:2" x14ac:dyDescent="0.25">
      <c r="A4555" s="157">
        <v>44560</v>
      </c>
      <c r="B4555" s="158">
        <v>-0.64</v>
      </c>
    </row>
    <row r="4556" spans="1:2" x14ac:dyDescent="0.25">
      <c r="A4556" s="157">
        <v>44561</v>
      </c>
      <c r="B4556" s="158">
        <v>-0.63</v>
      </c>
    </row>
    <row r="4557" spans="1:2" x14ac:dyDescent="0.25">
      <c r="A4557" s="157">
        <v>44564</v>
      </c>
      <c r="B4557" s="158">
        <v>-0.55000000000000004</v>
      </c>
    </row>
    <row r="4558" spans="1:2" x14ac:dyDescent="0.25">
      <c r="A4558" s="157">
        <v>44565</v>
      </c>
      <c r="B4558" s="158">
        <v>-0.47</v>
      </c>
    </row>
    <row r="4559" spans="1:2" x14ac:dyDescent="0.25">
      <c r="A4559" s="157">
        <v>44566</v>
      </c>
      <c r="B4559" s="158">
        <v>-0.39</v>
      </c>
    </row>
    <row r="4560" spans="1:2" x14ac:dyDescent="0.25">
      <c r="A4560" s="157">
        <v>44567</v>
      </c>
      <c r="B4560" s="158">
        <v>-0.33</v>
      </c>
    </row>
    <row r="4561" spans="1:2" x14ac:dyDescent="0.25">
      <c r="A4561" s="157">
        <v>44568</v>
      </c>
      <c r="B4561" s="158">
        <v>-0.33</v>
      </c>
    </row>
    <row r="4562" spans="1:2" x14ac:dyDescent="0.25">
      <c r="A4562" s="157">
        <v>44571</v>
      </c>
      <c r="B4562" s="158">
        <v>-0.33</v>
      </c>
    </row>
    <row r="4563" spans="1:2" x14ac:dyDescent="0.25">
      <c r="A4563" s="157">
        <v>44572</v>
      </c>
      <c r="B4563" s="158">
        <v>-0.4</v>
      </c>
    </row>
    <row r="4564" spans="1:2" x14ac:dyDescent="0.25">
      <c r="A4564" s="157">
        <v>44573</v>
      </c>
      <c r="B4564" s="158">
        <v>-0.35</v>
      </c>
    </row>
    <row r="4565" spans="1:2" x14ac:dyDescent="0.25">
      <c r="A4565" s="157">
        <v>44574</v>
      </c>
      <c r="B4565" s="158">
        <v>-0.34</v>
      </c>
    </row>
    <row r="4566" spans="1:2" x14ac:dyDescent="0.25">
      <c r="A4566" s="157">
        <v>44575</v>
      </c>
      <c r="B4566" s="158">
        <v>-0.27</v>
      </c>
    </row>
    <row r="4567" spans="1:2" x14ac:dyDescent="0.25">
      <c r="A4567" s="157">
        <v>44578</v>
      </c>
      <c r="B4567" s="158" t="e">
        <f>NA()</f>
        <v>#N/A</v>
      </c>
    </row>
    <row r="4568" spans="1:2" x14ac:dyDescent="0.25">
      <c r="A4568" s="157">
        <v>44579</v>
      </c>
      <c r="B4568" s="158">
        <v>-0.22</v>
      </c>
    </row>
    <row r="4569" spans="1:2" x14ac:dyDescent="0.25">
      <c r="A4569" s="157">
        <v>44580</v>
      </c>
      <c r="B4569" s="158">
        <v>-0.21</v>
      </c>
    </row>
    <row r="4570" spans="1:2" x14ac:dyDescent="0.25">
      <c r="A4570" s="157">
        <v>44581</v>
      </c>
      <c r="B4570" s="158">
        <v>-0.17</v>
      </c>
    </row>
    <row r="4571" spans="1:2" x14ac:dyDescent="0.25">
      <c r="A4571" s="157">
        <v>44582</v>
      </c>
      <c r="B4571" s="158">
        <v>-0.26</v>
      </c>
    </row>
    <row r="4572" spans="1:2" x14ac:dyDescent="0.25">
      <c r="A4572" s="157">
        <v>44585</v>
      </c>
      <c r="B4572" s="158">
        <v>-0.27</v>
      </c>
    </row>
    <row r="4573" spans="1:2" x14ac:dyDescent="0.25">
      <c r="A4573" s="157">
        <v>44586</v>
      </c>
      <c r="B4573" s="158">
        <v>-0.25</v>
      </c>
    </row>
    <row r="4574" spans="1:2" x14ac:dyDescent="0.25">
      <c r="A4574" s="157">
        <v>44587</v>
      </c>
      <c r="B4574" s="158">
        <v>-0.18</v>
      </c>
    </row>
    <row r="4575" spans="1:2" x14ac:dyDescent="0.25">
      <c r="A4575" s="157">
        <v>44588</v>
      </c>
      <c r="B4575" s="158">
        <v>-0.26</v>
      </c>
    </row>
    <row r="4576" spans="1:2" x14ac:dyDescent="0.25">
      <c r="A4576" s="157">
        <v>44589</v>
      </c>
      <c r="B4576" s="158">
        <v>-0.3</v>
      </c>
    </row>
    <row r="4577" spans="1:2" x14ac:dyDescent="0.25">
      <c r="A4577" s="157">
        <v>44592</v>
      </c>
      <c r="B4577" s="158">
        <v>-0.28999999999999998</v>
      </c>
    </row>
    <row r="4578" spans="1:2" x14ac:dyDescent="0.25">
      <c r="A4578" s="157">
        <v>44593</v>
      </c>
      <c r="B4578" s="158">
        <v>-0.25</v>
      </c>
    </row>
    <row r="4579" spans="1:2" x14ac:dyDescent="0.25">
      <c r="A4579" s="157">
        <v>44594</v>
      </c>
      <c r="B4579" s="158">
        <v>-0.25</v>
      </c>
    </row>
    <row r="4580" spans="1:2" x14ac:dyDescent="0.25">
      <c r="A4580" s="157">
        <v>44595</v>
      </c>
      <c r="B4580" s="158">
        <v>-0.18</v>
      </c>
    </row>
    <row r="4581" spans="1:2" x14ac:dyDescent="0.25">
      <c r="A4581" s="157">
        <v>44596</v>
      </c>
      <c r="B4581" s="158">
        <v>-0.11</v>
      </c>
    </row>
    <row r="4582" spans="1:2" x14ac:dyDescent="0.25">
      <c r="A4582" s="157">
        <v>44599</v>
      </c>
      <c r="B4582" s="158">
        <v>-0.12</v>
      </c>
    </row>
    <row r="4583" spans="1:2" x14ac:dyDescent="0.25">
      <c r="A4583" s="157">
        <v>44600</v>
      </c>
      <c r="B4583" s="158">
        <v>-0.11</v>
      </c>
    </row>
    <row r="4584" spans="1:2" x14ac:dyDescent="0.25">
      <c r="A4584" s="157">
        <v>44601</v>
      </c>
      <c r="B4584" s="158">
        <v>-0.12</v>
      </c>
    </row>
    <row r="4585" spans="1:2" x14ac:dyDescent="0.25">
      <c r="A4585" s="157">
        <v>44602</v>
      </c>
      <c r="B4585" s="158">
        <v>-7.0000000000000007E-2</v>
      </c>
    </row>
    <row r="4586" spans="1:2" x14ac:dyDescent="0.25">
      <c r="A4586" s="157">
        <v>44603</v>
      </c>
      <c r="B4586" s="158">
        <v>-0.11</v>
      </c>
    </row>
    <row r="4587" spans="1:2" x14ac:dyDescent="0.25">
      <c r="A4587" s="157">
        <v>44606</v>
      </c>
      <c r="B4587" s="158">
        <v>-0.08</v>
      </c>
    </row>
    <row r="4588" spans="1:2" x14ac:dyDescent="0.25">
      <c r="A4588" s="157">
        <v>44607</v>
      </c>
      <c r="B4588" s="158">
        <v>-0.02</v>
      </c>
    </row>
    <row r="4589" spans="1:2" x14ac:dyDescent="0.25">
      <c r="A4589" s="157">
        <v>44608</v>
      </c>
      <c r="B4589" s="158">
        <v>-0.03</v>
      </c>
    </row>
    <row r="4590" spans="1:2" x14ac:dyDescent="0.25">
      <c r="A4590" s="157">
        <v>44609</v>
      </c>
      <c r="B4590" s="158">
        <v>-0.04</v>
      </c>
    </row>
    <row r="4591" spans="1:2" x14ac:dyDescent="0.25">
      <c r="A4591" s="157">
        <v>44610</v>
      </c>
      <c r="B4591" s="158">
        <v>-0.09</v>
      </c>
    </row>
    <row r="4592" spans="1:2" x14ac:dyDescent="0.25">
      <c r="A4592" s="157">
        <v>44613</v>
      </c>
      <c r="B4592" s="158" t="e">
        <f>NA()</f>
        <v>#N/A</v>
      </c>
    </row>
    <row r="4593" spans="1:2" x14ac:dyDescent="0.25">
      <c r="A4593" s="157">
        <v>44614</v>
      </c>
      <c r="B4593" s="158">
        <v>-0.11</v>
      </c>
    </row>
    <row r="4594" spans="1:2" x14ac:dyDescent="0.25">
      <c r="A4594" s="157">
        <v>44615</v>
      </c>
      <c r="B4594" s="158">
        <v>-0.11</v>
      </c>
    </row>
    <row r="4595" spans="1:2" x14ac:dyDescent="0.25">
      <c r="A4595" s="157">
        <v>44616</v>
      </c>
      <c r="B4595" s="158">
        <v>-0.14000000000000001</v>
      </c>
    </row>
    <row r="4596" spans="1:2" x14ac:dyDescent="0.25">
      <c r="A4596" s="157">
        <v>44617</v>
      </c>
      <c r="B4596" s="158">
        <v>-0.14000000000000001</v>
      </c>
    </row>
    <row r="4597" spans="1:2" x14ac:dyDescent="0.25">
      <c r="A4597" s="157">
        <v>44620</v>
      </c>
      <c r="B4597" s="158">
        <v>-0.34</v>
      </c>
    </row>
    <row r="4598" spans="1:2" x14ac:dyDescent="0.25">
      <c r="A4598" s="157">
        <v>44621</v>
      </c>
      <c r="B4598" s="158">
        <v>-0.41</v>
      </c>
    </row>
    <row r="4599" spans="1:2" x14ac:dyDescent="0.25">
      <c r="A4599" s="157">
        <v>44622</v>
      </c>
      <c r="B4599" s="158">
        <v>-0.39</v>
      </c>
    </row>
    <row r="4600" spans="1:2" x14ac:dyDescent="0.25">
      <c r="A4600" s="157">
        <v>44623</v>
      </c>
      <c r="B4600" s="158">
        <v>-0.36</v>
      </c>
    </row>
    <row r="4601" spans="1:2" x14ac:dyDescent="0.25">
      <c r="A4601" s="157">
        <v>44624</v>
      </c>
      <c r="B4601" s="158">
        <v>-0.44</v>
      </c>
    </row>
    <row r="4602" spans="1:2" x14ac:dyDescent="0.25">
      <c r="A4602" s="157">
        <v>44627</v>
      </c>
      <c r="B4602" s="158">
        <v>-0.51</v>
      </c>
    </row>
    <row r="4603" spans="1:2" x14ac:dyDescent="0.25">
      <c r="A4603" s="157">
        <v>44628</v>
      </c>
      <c r="B4603" s="158">
        <v>-0.56999999999999995</v>
      </c>
    </row>
    <row r="4604" spans="1:2" x14ac:dyDescent="0.25">
      <c r="A4604" s="157">
        <v>44629</v>
      </c>
      <c r="B4604" s="158">
        <v>-0.45</v>
      </c>
    </row>
    <row r="4605" spans="1:2" x14ac:dyDescent="0.25">
      <c r="A4605" s="157">
        <v>44630</v>
      </c>
      <c r="B4605" s="158">
        <v>-0.4</v>
      </c>
    </row>
    <row r="4606" spans="1:2" x14ac:dyDescent="0.25">
      <c r="A4606" s="157">
        <v>44631</v>
      </c>
      <c r="B4606" s="158">
        <v>-0.47</v>
      </c>
    </row>
    <row r="4607" spans="1:2" x14ac:dyDescent="0.25">
      <c r="A4607" s="157">
        <v>44634</v>
      </c>
      <c r="B4607" s="158">
        <v>-0.36</v>
      </c>
    </row>
    <row r="4608" spans="1:2" x14ac:dyDescent="0.25">
      <c r="A4608" s="157">
        <v>44635</v>
      </c>
      <c r="B4608" s="158">
        <v>-0.25</v>
      </c>
    </row>
    <row r="4609" spans="1:2" x14ac:dyDescent="0.25">
      <c r="A4609" s="157">
        <v>44636</v>
      </c>
      <c r="B4609" s="158">
        <v>-0.22</v>
      </c>
    </row>
    <row r="4610" spans="1:2" x14ac:dyDescent="0.25">
      <c r="A4610" s="157">
        <v>44637</v>
      </c>
      <c r="B4610" s="158">
        <v>-0.28999999999999998</v>
      </c>
    </row>
    <row r="4611" spans="1:2" x14ac:dyDescent="0.25">
      <c r="A4611" s="157">
        <v>44638</v>
      </c>
      <c r="B4611" s="158">
        <v>-0.3</v>
      </c>
    </row>
    <row r="4612" spans="1:2" x14ac:dyDescent="0.25">
      <c r="A4612" s="157">
        <v>44641</v>
      </c>
      <c r="B4612" s="158">
        <v>-0.19</v>
      </c>
    </row>
    <row r="4613" spans="1:2" x14ac:dyDescent="0.25">
      <c r="A4613" s="157">
        <v>44642</v>
      </c>
      <c r="B4613" s="158">
        <v>-0.14000000000000001</v>
      </c>
    </row>
    <row r="4614" spans="1:2" x14ac:dyDescent="0.25">
      <c r="A4614" s="157">
        <v>44643</v>
      </c>
      <c r="B4614" s="158">
        <v>-0.24</v>
      </c>
    </row>
    <row r="4615" spans="1:2" x14ac:dyDescent="0.25">
      <c r="A4615" s="157">
        <v>44644</v>
      </c>
      <c r="B4615" s="158">
        <v>-0.2</v>
      </c>
    </row>
    <row r="4616" spans="1:2" x14ac:dyDescent="0.25">
      <c r="A4616" s="157">
        <v>44645</v>
      </c>
      <c r="B4616" s="158">
        <v>-0.11</v>
      </c>
    </row>
    <row r="4617" spans="1:2" x14ac:dyDescent="0.25">
      <c r="A4617" s="157">
        <v>44648</v>
      </c>
      <c r="B4617" s="158">
        <v>-0.15</v>
      </c>
    </row>
    <row r="4618" spans="1:2" x14ac:dyDescent="0.25">
      <c r="A4618" s="157">
        <v>44649</v>
      </c>
      <c r="B4618" s="158">
        <v>-0.12</v>
      </c>
    </row>
    <row r="4619" spans="1:2" x14ac:dyDescent="0.25">
      <c r="A4619" s="157">
        <v>44650</v>
      </c>
      <c r="B4619" s="158">
        <v>-0.18</v>
      </c>
    </row>
    <row r="4620" spans="1:2" x14ac:dyDescent="0.25">
      <c r="A4620" s="157">
        <v>44651</v>
      </c>
      <c r="B4620" s="158">
        <v>-0.2</v>
      </c>
    </row>
    <row r="4621" spans="1:2" x14ac:dyDescent="0.25">
      <c r="A4621" s="157">
        <v>44652</v>
      </c>
      <c r="B4621" s="158">
        <v>-0.15</v>
      </c>
    </row>
    <row r="4622" spans="1:2" x14ac:dyDescent="0.25">
      <c r="A4622" s="157">
        <v>44655</v>
      </c>
      <c r="B4622" s="158">
        <v>-0.12</v>
      </c>
    </row>
    <row r="4623" spans="1:2" x14ac:dyDescent="0.25">
      <c r="A4623" s="157">
        <v>44656</v>
      </c>
      <c r="B4623" s="158">
        <v>-0.05</v>
      </c>
    </row>
    <row r="4624" spans="1:2" x14ac:dyDescent="0.25">
      <c r="A4624" s="157">
        <v>44657</v>
      </c>
      <c r="B4624" s="158">
        <v>0.02</v>
      </c>
    </row>
    <row r="4625" spans="1:2" x14ac:dyDescent="0.25">
      <c r="A4625" s="157">
        <v>44658</v>
      </c>
      <c r="B4625" s="158">
        <v>0.09</v>
      </c>
    </row>
    <row r="4626" spans="1:2" x14ac:dyDescent="0.25">
      <c r="A4626" s="157">
        <v>44659</v>
      </c>
      <c r="B4626" s="158">
        <v>0.11</v>
      </c>
    </row>
    <row r="4627" spans="1:2" x14ac:dyDescent="0.25">
      <c r="A4627" s="157">
        <v>44662</v>
      </c>
      <c r="B4627" s="158">
        <v>0.15</v>
      </c>
    </row>
    <row r="4628" spans="1:2" x14ac:dyDescent="0.25">
      <c r="A4628" s="157">
        <v>44663</v>
      </c>
      <c r="B4628" s="158">
        <v>0.15</v>
      </c>
    </row>
    <row r="4629" spans="1:2" x14ac:dyDescent="0.25">
      <c r="A4629" s="157">
        <v>44664</v>
      </c>
      <c r="B4629" s="158">
        <v>0.18</v>
      </c>
    </row>
    <row r="4630" spans="1:2" x14ac:dyDescent="0.25">
      <c r="A4630" s="157">
        <v>44665</v>
      </c>
      <c r="B4630" s="158">
        <v>0.22</v>
      </c>
    </row>
    <row r="4631" spans="1:2" x14ac:dyDescent="0.25">
      <c r="A4631" s="157">
        <v>44666</v>
      </c>
      <c r="B4631" s="158" t="e">
        <f>NA()</f>
        <v>#N/A</v>
      </c>
    </row>
    <row r="4632" spans="1:2" x14ac:dyDescent="0.25">
      <c r="A4632" s="157">
        <v>44669</v>
      </c>
      <c r="B4632" s="158">
        <v>0.22</v>
      </c>
    </row>
    <row r="4633" spans="1:2" x14ac:dyDescent="0.25">
      <c r="A4633" s="157">
        <v>44670</v>
      </c>
      <c r="B4633" s="158">
        <v>0.27</v>
      </c>
    </row>
    <row r="4634" spans="1:2" x14ac:dyDescent="0.25">
      <c r="A4634" s="157">
        <v>44671</v>
      </c>
      <c r="B4634" s="158">
        <v>0.17</v>
      </c>
    </row>
    <row r="4635" spans="1:2" x14ac:dyDescent="0.25">
      <c r="A4635" s="157">
        <v>44672</v>
      </c>
      <c r="B4635" s="158">
        <v>0.12</v>
      </c>
    </row>
    <row r="4636" spans="1:2" x14ac:dyDescent="0.25">
      <c r="A4636" s="157">
        <v>44673</v>
      </c>
      <c r="B4636" s="158">
        <v>0.18</v>
      </c>
    </row>
    <row r="4637" spans="1:2" x14ac:dyDescent="0.25">
      <c r="A4637" s="157">
        <v>44676</v>
      </c>
      <c r="B4637" s="158">
        <v>0.16</v>
      </c>
    </row>
    <row r="4638" spans="1:2" x14ac:dyDescent="0.25">
      <c r="A4638" s="157">
        <v>44677</v>
      </c>
      <c r="B4638" s="158">
        <v>0.19</v>
      </c>
    </row>
    <row r="4639" spans="1:2" x14ac:dyDescent="0.25">
      <c r="A4639" s="157">
        <v>44678</v>
      </c>
      <c r="B4639" s="158">
        <v>0.22</v>
      </c>
    </row>
    <row r="4640" spans="1:2" x14ac:dyDescent="0.25">
      <c r="A4640" s="157">
        <v>44679</v>
      </c>
      <c r="B4640" s="158">
        <v>0.16</v>
      </c>
    </row>
    <row r="4641" spans="1:2" x14ac:dyDescent="0.25">
      <c r="A4641" s="157">
        <v>44680</v>
      </c>
      <c r="B4641" s="158">
        <v>0.27</v>
      </c>
    </row>
    <row r="4642" spans="1:2" x14ac:dyDescent="0.25">
      <c r="A4642" s="157">
        <v>44683</v>
      </c>
      <c r="B4642" s="158">
        <v>0.43</v>
      </c>
    </row>
    <row r="4643" spans="1:2" x14ac:dyDescent="0.25">
      <c r="A4643" s="157">
        <v>44684</v>
      </c>
      <c r="B4643" s="158">
        <v>0.37</v>
      </c>
    </row>
    <row r="4644" spans="1:2" x14ac:dyDescent="0.25">
      <c r="A4644" s="157">
        <v>44685</v>
      </c>
      <c r="B4644" s="158">
        <v>0.32</v>
      </c>
    </row>
    <row r="4645" spans="1:2" x14ac:dyDescent="0.25">
      <c r="A4645" s="157">
        <v>44686</v>
      </c>
      <c r="B4645" s="158">
        <v>0.44</v>
      </c>
    </row>
    <row r="4646" spans="1:2" x14ac:dyDescent="0.25">
      <c r="A4646" s="157">
        <v>44687</v>
      </c>
      <c r="B4646" s="158">
        <v>0.52</v>
      </c>
    </row>
    <row r="4647" spans="1:2" x14ac:dyDescent="0.25">
      <c r="A4647" s="157">
        <v>44690</v>
      </c>
      <c r="B4647" s="158">
        <v>0.55000000000000004</v>
      </c>
    </row>
    <row r="4648" spans="1:2" x14ac:dyDescent="0.25">
      <c r="A4648" s="157">
        <v>44691</v>
      </c>
      <c r="B4648" s="158">
        <v>0.56999999999999995</v>
      </c>
    </row>
    <row r="4649" spans="1:2" x14ac:dyDescent="0.25">
      <c r="A4649" s="157">
        <v>44692</v>
      </c>
      <c r="B4649" s="158">
        <v>0.42</v>
      </c>
    </row>
    <row r="4650" spans="1:2" x14ac:dyDescent="0.25">
      <c r="A4650" s="157">
        <v>44693</v>
      </c>
      <c r="B4650" s="158">
        <v>0.47</v>
      </c>
    </row>
    <row r="4651" spans="1:2" x14ac:dyDescent="0.25">
      <c r="A4651" s="157">
        <v>44694</v>
      </c>
      <c r="B4651" s="158">
        <v>0.47</v>
      </c>
    </row>
    <row r="4652" spans="1:2" x14ac:dyDescent="0.25">
      <c r="A4652" s="157">
        <v>44697</v>
      </c>
      <c r="B4652" s="158">
        <v>0.47</v>
      </c>
    </row>
    <row r="4653" spans="1:2" x14ac:dyDescent="0.25">
      <c r="A4653" s="157">
        <v>44698</v>
      </c>
      <c r="B4653" s="158">
        <v>0.53</v>
      </c>
    </row>
    <row r="4654" spans="1:2" x14ac:dyDescent="0.25">
      <c r="A4654" s="157">
        <v>44699</v>
      </c>
      <c r="B4654" s="158">
        <v>0.41</v>
      </c>
    </row>
    <row r="4655" spans="1:2" x14ac:dyDescent="0.25">
      <c r="A4655" s="157">
        <v>44700</v>
      </c>
      <c r="B4655" s="158">
        <v>0.51</v>
      </c>
    </row>
    <row r="4656" spans="1:2" x14ac:dyDescent="0.25">
      <c r="A4656" s="157">
        <v>44701</v>
      </c>
      <c r="B4656" s="158">
        <v>0.5</v>
      </c>
    </row>
    <row r="4657" spans="1:2" x14ac:dyDescent="0.25">
      <c r="A4657" s="157">
        <v>44704</v>
      </c>
      <c r="B4657" s="158">
        <v>0.53</v>
      </c>
    </row>
    <row r="4658" spans="1:2" x14ac:dyDescent="0.25">
      <c r="A4658" s="157">
        <v>44705</v>
      </c>
      <c r="B4658" s="158">
        <v>0.48</v>
      </c>
    </row>
    <row r="4659" spans="1:2" x14ac:dyDescent="0.25">
      <c r="A4659" s="157">
        <v>44706</v>
      </c>
      <c r="B4659" s="158">
        <v>0.48</v>
      </c>
    </row>
    <row r="4660" spans="1:2" x14ac:dyDescent="0.25">
      <c r="A4660" s="157">
        <v>44707</v>
      </c>
      <c r="B4660" s="158">
        <v>0.45</v>
      </c>
    </row>
    <row r="4661" spans="1:2" x14ac:dyDescent="0.25">
      <c r="A4661" s="157">
        <v>44708</v>
      </c>
      <c r="B4661" s="158">
        <v>0.42</v>
      </c>
    </row>
    <row r="4662" spans="1:2" x14ac:dyDescent="0.25">
      <c r="A4662" s="157">
        <v>44711</v>
      </c>
      <c r="B4662" s="158" t="e">
        <f>NA()</f>
        <v>#N/A</v>
      </c>
    </row>
    <row r="4663" spans="1:2" x14ac:dyDescent="0.25">
      <c r="A4663" s="157">
        <v>44712</v>
      </c>
      <c r="B4663" s="158">
        <v>0.51</v>
      </c>
    </row>
    <row r="4664" spans="1:2" x14ac:dyDescent="0.25">
      <c r="A4664" s="157">
        <v>44713</v>
      </c>
      <c r="B4664" s="158">
        <v>0.54</v>
      </c>
    </row>
    <row r="4665" spans="1:2" x14ac:dyDescent="0.25">
      <c r="A4665" s="157">
        <v>44714</v>
      </c>
      <c r="B4665" s="158">
        <v>0.5</v>
      </c>
    </row>
    <row r="4666" spans="1:2" x14ac:dyDescent="0.25">
      <c r="A4666" s="157">
        <v>44715</v>
      </c>
      <c r="B4666" s="158">
        <v>0.44</v>
      </c>
    </row>
    <row r="4667" spans="1:2" x14ac:dyDescent="0.25">
      <c r="A4667" s="157">
        <v>44718</v>
      </c>
      <c r="B4667" s="158">
        <v>0.5</v>
      </c>
    </row>
    <row r="4668" spans="1:2" x14ac:dyDescent="0.25">
      <c r="A4668" s="157">
        <v>44719</v>
      </c>
      <c r="B4668" s="158">
        <v>0.47</v>
      </c>
    </row>
    <row r="4669" spans="1:2" x14ac:dyDescent="0.25">
      <c r="A4669" s="157">
        <v>44720</v>
      </c>
      <c r="B4669" s="158">
        <v>0.51</v>
      </c>
    </row>
    <row r="4670" spans="1:2" x14ac:dyDescent="0.25">
      <c r="A4670" s="157">
        <v>44721</v>
      </c>
      <c r="B4670" s="158">
        <v>0.51</v>
      </c>
    </row>
    <row r="4671" spans="1:2" x14ac:dyDescent="0.25">
      <c r="A4671" s="157">
        <v>44722</v>
      </c>
      <c r="B4671" s="158">
        <v>0.57999999999999996</v>
      </c>
    </row>
    <row r="4672" spans="1:2" x14ac:dyDescent="0.25">
      <c r="A4672" s="157">
        <v>44725</v>
      </c>
      <c r="B4672" s="158">
        <v>0.84</v>
      </c>
    </row>
    <row r="4673" spans="1:2" x14ac:dyDescent="0.25">
      <c r="A4673" s="157">
        <v>44726</v>
      </c>
      <c r="B4673" s="158">
        <v>0.97</v>
      </c>
    </row>
    <row r="4674" spans="1:2" x14ac:dyDescent="0.25">
      <c r="A4674" s="157">
        <v>44727</v>
      </c>
      <c r="B4674" s="158">
        <v>0.79</v>
      </c>
    </row>
    <row r="4675" spans="1:2" x14ac:dyDescent="0.25">
      <c r="A4675" s="157">
        <v>44728</v>
      </c>
      <c r="B4675" s="158">
        <v>0.79</v>
      </c>
    </row>
    <row r="4676" spans="1:2" x14ac:dyDescent="0.25">
      <c r="A4676" s="157">
        <v>44729</v>
      </c>
      <c r="B4676" s="158">
        <v>0.79</v>
      </c>
    </row>
    <row r="4677" spans="1:2" x14ac:dyDescent="0.25">
      <c r="A4677" s="157">
        <v>44732</v>
      </c>
      <c r="B4677" s="158" t="e">
        <f>NA()</f>
        <v>#N/A</v>
      </c>
    </row>
    <row r="4678" spans="1:2" x14ac:dyDescent="0.25">
      <c r="A4678" s="157">
        <v>44733</v>
      </c>
      <c r="B4678" s="158">
        <v>0.83</v>
      </c>
    </row>
    <row r="4679" spans="1:2" x14ac:dyDescent="0.25">
      <c r="A4679" s="157">
        <v>44734</v>
      </c>
      <c r="B4679" s="158">
        <v>0.73</v>
      </c>
    </row>
    <row r="4680" spans="1:2" x14ac:dyDescent="0.25">
      <c r="A4680" s="157">
        <v>44735</v>
      </c>
      <c r="B4680" s="158">
        <v>0.73</v>
      </c>
    </row>
    <row r="4681" spans="1:2" x14ac:dyDescent="0.25">
      <c r="A4681" s="157">
        <v>44736</v>
      </c>
      <c r="B4681" s="158">
        <v>0.73</v>
      </c>
    </row>
    <row r="4682" spans="1:2" x14ac:dyDescent="0.25">
      <c r="A4682" s="157">
        <v>44739</v>
      </c>
      <c r="B4682" s="158">
        <v>0.8</v>
      </c>
    </row>
    <row r="4683" spans="1:2" x14ac:dyDescent="0.25">
      <c r="A4683" s="157">
        <v>44740</v>
      </c>
      <c r="B4683" s="158">
        <v>0.85</v>
      </c>
    </row>
    <row r="4684" spans="1:2" x14ac:dyDescent="0.25">
      <c r="A4684" s="157">
        <v>44741</v>
      </c>
      <c r="B4684" s="158">
        <v>0.89</v>
      </c>
    </row>
    <row r="4685" spans="1:2" x14ac:dyDescent="0.25">
      <c r="A4685" s="157">
        <v>44742</v>
      </c>
      <c r="B4685" s="158">
        <v>0.82</v>
      </c>
    </row>
    <row r="4686" spans="1:2" x14ac:dyDescent="0.25">
      <c r="A4686" s="157">
        <v>44743</v>
      </c>
      <c r="B4686" s="158">
        <v>0.76</v>
      </c>
    </row>
    <row r="4687" spans="1:2" x14ac:dyDescent="0.25">
      <c r="A4687" s="157">
        <v>44746</v>
      </c>
      <c r="B4687" s="158" t="e">
        <f>NA()</f>
        <v>#N/A</v>
      </c>
    </row>
    <row r="4688" spans="1:2" x14ac:dyDescent="0.25">
      <c r="A4688" s="157">
        <v>44747</v>
      </c>
      <c r="B4688" s="158">
        <v>0.72</v>
      </c>
    </row>
    <row r="4689" spans="1:2" x14ac:dyDescent="0.25">
      <c r="A4689" s="157">
        <v>44748</v>
      </c>
      <c r="B4689" s="158">
        <v>0.82</v>
      </c>
    </row>
    <row r="4690" spans="1:2" x14ac:dyDescent="0.25">
      <c r="A4690" s="157">
        <v>44749</v>
      </c>
      <c r="B4690" s="158">
        <v>0.87</v>
      </c>
    </row>
    <row r="4691" spans="1:2" x14ac:dyDescent="0.25">
      <c r="A4691" s="157">
        <v>44750</v>
      </c>
      <c r="B4691" s="158">
        <v>0.91</v>
      </c>
    </row>
    <row r="4692" spans="1:2" x14ac:dyDescent="0.25">
      <c r="A4692" s="157">
        <v>44753</v>
      </c>
      <c r="B4692" s="158">
        <v>0.87</v>
      </c>
    </row>
    <row r="4693" spans="1:2" x14ac:dyDescent="0.25">
      <c r="A4693" s="157">
        <v>44754</v>
      </c>
      <c r="B4693" s="158">
        <v>0.83</v>
      </c>
    </row>
    <row r="4694" spans="1:2" x14ac:dyDescent="0.25">
      <c r="A4694" s="157">
        <v>44755</v>
      </c>
      <c r="B4694" s="158">
        <v>0.77</v>
      </c>
    </row>
    <row r="4695" spans="1:2" x14ac:dyDescent="0.25">
      <c r="A4695" s="157">
        <v>44756</v>
      </c>
      <c r="B4695" s="158">
        <v>0.78</v>
      </c>
    </row>
    <row r="4696" spans="1:2" x14ac:dyDescent="0.25">
      <c r="A4696" s="157">
        <v>44757</v>
      </c>
      <c r="B4696" s="158">
        <v>0.74</v>
      </c>
    </row>
    <row r="4697" spans="1:2" x14ac:dyDescent="0.25">
      <c r="A4697" s="157">
        <v>44760</v>
      </c>
      <c r="B4697" s="158">
        <v>0.78</v>
      </c>
    </row>
    <row r="4698" spans="1:2" x14ac:dyDescent="0.25">
      <c r="A4698" s="157">
        <v>44761</v>
      </c>
      <c r="B4698" s="158">
        <v>0.81</v>
      </c>
    </row>
    <row r="4699" spans="1:2" x14ac:dyDescent="0.25">
      <c r="A4699" s="157">
        <v>44762</v>
      </c>
      <c r="B4699" s="158">
        <v>0.84</v>
      </c>
    </row>
    <row r="4700" spans="1:2" x14ac:dyDescent="0.25">
      <c r="A4700" s="157">
        <v>44763</v>
      </c>
      <c r="B4700" s="158">
        <v>0.79</v>
      </c>
    </row>
    <row r="4701" spans="1:2" x14ac:dyDescent="0.25">
      <c r="A4701" s="157">
        <v>44764</v>
      </c>
      <c r="B4701" s="158">
        <v>0.66</v>
      </c>
    </row>
    <row r="4702" spans="1:2" x14ac:dyDescent="0.25">
      <c r="A4702" s="157">
        <v>44767</v>
      </c>
      <c r="B4702" s="158">
        <v>0.69</v>
      </c>
    </row>
    <row r="4703" spans="1:2" x14ac:dyDescent="0.25">
      <c r="A4703" s="157">
        <v>44768</v>
      </c>
      <c r="B4703" s="158">
        <v>0.68</v>
      </c>
    </row>
    <row r="4704" spans="1:2" x14ac:dyDescent="0.25">
      <c r="A4704" s="157">
        <v>44769</v>
      </c>
      <c r="B4704" s="158">
        <v>0.62</v>
      </c>
    </row>
    <row r="4705" spans="1:2" x14ac:dyDescent="0.25">
      <c r="A4705" s="157">
        <v>44770</v>
      </c>
      <c r="B4705" s="158">
        <v>0.53</v>
      </c>
    </row>
    <row r="4706" spans="1:2" x14ac:dyDescent="0.25">
      <c r="A4706" s="157">
        <v>44771</v>
      </c>
      <c r="B4706" s="158">
        <v>0.47</v>
      </c>
    </row>
    <row r="4707" spans="1:2" x14ac:dyDescent="0.25">
      <c r="A4707" s="157">
        <v>44774</v>
      </c>
      <c r="B4707" s="158">
        <v>0.43</v>
      </c>
    </row>
    <row r="4708" spans="1:2" x14ac:dyDescent="0.25">
      <c r="A4708" s="157">
        <v>44775</v>
      </c>
      <c r="B4708" s="158">
        <v>0.56999999999999995</v>
      </c>
    </row>
    <row r="4709" spans="1:2" x14ac:dyDescent="0.25">
      <c r="A4709" s="157">
        <v>44776</v>
      </c>
      <c r="B4709" s="158">
        <v>0.51</v>
      </c>
    </row>
    <row r="4710" spans="1:2" x14ac:dyDescent="0.25">
      <c r="A4710" s="157">
        <v>44777</v>
      </c>
      <c r="B4710" s="158">
        <v>0.53</v>
      </c>
    </row>
    <row r="4711" spans="1:2" x14ac:dyDescent="0.25">
      <c r="A4711" s="157">
        <v>44778</v>
      </c>
      <c r="B4711" s="158">
        <v>0.62</v>
      </c>
    </row>
    <row r="4712" spans="1:2" x14ac:dyDescent="0.25">
      <c r="A4712" s="157">
        <v>44781</v>
      </c>
      <c r="B4712" s="158">
        <v>0.55000000000000004</v>
      </c>
    </row>
    <row r="4713" spans="1:2" x14ac:dyDescent="0.25">
      <c r="A4713" s="157">
        <v>44782</v>
      </c>
      <c r="B4713" s="158">
        <v>0.57999999999999996</v>
      </c>
    </row>
    <row r="4714" spans="1:2" x14ac:dyDescent="0.25">
      <c r="A4714" s="157">
        <v>44783</v>
      </c>
      <c r="B4714" s="158">
        <v>0.61</v>
      </c>
    </row>
    <row r="4715" spans="1:2" x14ac:dyDescent="0.25">
      <c r="A4715" s="157">
        <v>44784</v>
      </c>
      <c r="B4715" s="158">
        <v>0.69</v>
      </c>
    </row>
    <row r="4716" spans="1:2" x14ac:dyDescent="0.25">
      <c r="A4716" s="157">
        <v>44785</v>
      </c>
      <c r="B4716" s="158">
        <v>0.67</v>
      </c>
    </row>
    <row r="4717" spans="1:2" x14ac:dyDescent="0.25">
      <c r="A4717" s="157">
        <v>44788</v>
      </c>
      <c r="B4717" s="158">
        <v>0.66</v>
      </c>
    </row>
    <row r="4718" spans="1:2" x14ac:dyDescent="0.25">
      <c r="A4718" s="157">
        <v>44789</v>
      </c>
      <c r="B4718" s="158">
        <v>0.67</v>
      </c>
    </row>
    <row r="4719" spans="1:2" x14ac:dyDescent="0.25">
      <c r="A4719" s="157">
        <v>44790</v>
      </c>
      <c r="B4719" s="158">
        <v>0.71</v>
      </c>
    </row>
    <row r="4720" spans="1:2" x14ac:dyDescent="0.25">
      <c r="A4720" s="157">
        <v>44791</v>
      </c>
      <c r="B4720" s="158">
        <v>0.64</v>
      </c>
    </row>
    <row r="4721" spans="1:2" x14ac:dyDescent="0.25">
      <c r="A4721" s="157">
        <v>44792</v>
      </c>
      <c r="B4721" s="158">
        <v>0.68</v>
      </c>
    </row>
    <row r="4722" spans="1:2" x14ac:dyDescent="0.25">
      <c r="A4722" s="157">
        <v>44795</v>
      </c>
      <c r="B4722" s="158">
        <v>0.7</v>
      </c>
    </row>
    <row r="4723" spans="1:2" x14ac:dyDescent="0.25">
      <c r="A4723" s="157">
        <v>44796</v>
      </c>
      <c r="B4723" s="158">
        <v>0.71</v>
      </c>
    </row>
    <row r="4724" spans="1:2" x14ac:dyDescent="0.25">
      <c r="A4724" s="157">
        <v>44797</v>
      </c>
      <c r="B4724" s="158">
        <v>0.74</v>
      </c>
    </row>
    <row r="4725" spans="1:2" x14ac:dyDescent="0.25">
      <c r="A4725" s="157">
        <v>44798</v>
      </c>
      <c r="B4725" s="158">
        <v>0.68</v>
      </c>
    </row>
    <row r="4726" spans="1:2" x14ac:dyDescent="0.25">
      <c r="A4726" s="157">
        <v>44799</v>
      </c>
      <c r="B4726" s="158">
        <v>0.68</v>
      </c>
    </row>
    <row r="4727" spans="1:2" x14ac:dyDescent="0.25">
      <c r="A4727" s="157">
        <v>44802</v>
      </c>
      <c r="B4727" s="158">
        <v>0.74</v>
      </c>
    </row>
    <row r="4728" spans="1:2" x14ac:dyDescent="0.25">
      <c r="A4728" s="157">
        <v>44803</v>
      </c>
      <c r="B4728" s="158">
        <v>0.73</v>
      </c>
    </row>
    <row r="4729" spans="1:2" x14ac:dyDescent="0.25">
      <c r="A4729" s="157">
        <v>44804</v>
      </c>
      <c r="B4729" s="158">
        <v>0.82</v>
      </c>
    </row>
    <row r="4730" spans="1:2" x14ac:dyDescent="0.25">
      <c r="A4730" s="157">
        <v>44805</v>
      </c>
      <c r="B4730" s="158">
        <v>0.95</v>
      </c>
    </row>
    <row r="4731" spans="1:2" x14ac:dyDescent="0.25">
      <c r="A4731" s="157">
        <v>44806</v>
      </c>
      <c r="B4731" s="158">
        <v>0.89</v>
      </c>
    </row>
    <row r="4732" spans="1:2" x14ac:dyDescent="0.25">
      <c r="A4732" s="157">
        <v>44809</v>
      </c>
      <c r="B4732" s="158" t="e">
        <f>NA()</f>
        <v>#N/A</v>
      </c>
    </row>
    <row r="4733" spans="1:2" x14ac:dyDescent="0.25">
      <c r="A4733" s="157">
        <v>44810</v>
      </c>
      <c r="B4733" s="158">
        <v>0.99</v>
      </c>
    </row>
    <row r="4734" spans="1:2" x14ac:dyDescent="0.25">
      <c r="A4734" s="157">
        <v>44811</v>
      </c>
      <c r="B4734" s="158">
        <v>0.95</v>
      </c>
    </row>
    <row r="4735" spans="1:2" x14ac:dyDescent="0.25">
      <c r="A4735" s="157">
        <v>44812</v>
      </c>
      <c r="B4735" s="158">
        <v>1.01</v>
      </c>
    </row>
    <row r="4736" spans="1:2" x14ac:dyDescent="0.25">
      <c r="A4736" s="157">
        <v>44813</v>
      </c>
      <c r="B4736" s="158">
        <v>1.03</v>
      </c>
    </row>
    <row r="4737" spans="1:2" x14ac:dyDescent="0.25">
      <c r="A4737" s="157">
        <v>44816</v>
      </c>
      <c r="B4737" s="158">
        <v>1.0900000000000001</v>
      </c>
    </row>
    <row r="4738" spans="1:2" x14ac:dyDescent="0.25">
      <c r="A4738" s="157">
        <v>44817</v>
      </c>
      <c r="B4738" s="158">
        <v>1.0900000000000001</v>
      </c>
    </row>
    <row r="4739" spans="1:2" x14ac:dyDescent="0.25">
      <c r="A4739" s="157">
        <v>44818</v>
      </c>
      <c r="B4739" s="158">
        <v>1.06</v>
      </c>
    </row>
    <row r="4740" spans="1:2" x14ac:dyDescent="0.25">
      <c r="A4740" s="157">
        <v>44819</v>
      </c>
      <c r="B4740" s="158">
        <v>1.1000000000000001</v>
      </c>
    </row>
    <row r="4741" spans="1:2" x14ac:dyDescent="0.25">
      <c r="A4741" s="157">
        <v>44820</v>
      </c>
      <c r="B4741" s="158">
        <v>1.1599999999999999</v>
      </c>
    </row>
    <row r="4742" spans="1:2" x14ac:dyDescent="0.25">
      <c r="A4742" s="157">
        <v>44823</v>
      </c>
      <c r="B4742" s="158">
        <v>1.21</v>
      </c>
    </row>
    <row r="4743" spans="1:2" x14ac:dyDescent="0.25">
      <c r="A4743" s="157">
        <v>44824</v>
      </c>
      <c r="B4743" s="158">
        <v>1.23</v>
      </c>
    </row>
    <row r="4744" spans="1:2" x14ac:dyDescent="0.25">
      <c r="A4744" s="157">
        <v>44825</v>
      </c>
      <c r="B4744" s="158">
        <v>1.17</v>
      </c>
    </row>
    <row r="4745" spans="1:2" x14ac:dyDescent="0.25">
      <c r="A4745" s="157">
        <v>44826</v>
      </c>
      <c r="B4745" s="158">
        <v>1.32</v>
      </c>
    </row>
    <row r="4746" spans="1:2" x14ac:dyDescent="0.25">
      <c r="A4746" s="157">
        <v>44827</v>
      </c>
      <c r="B4746" s="158">
        <v>1.32</v>
      </c>
    </row>
    <row r="4747" spans="1:2" x14ac:dyDescent="0.25">
      <c r="A4747" s="157">
        <v>44830</v>
      </c>
      <c r="B4747" s="158">
        <v>1.51</v>
      </c>
    </row>
    <row r="4748" spans="1:2" x14ac:dyDescent="0.25">
      <c r="A4748" s="157">
        <v>44831</v>
      </c>
      <c r="B4748" s="158">
        <v>1.62</v>
      </c>
    </row>
    <row r="4749" spans="1:2" x14ac:dyDescent="0.25">
      <c r="A4749" s="157">
        <v>44832</v>
      </c>
      <c r="B4749" s="158">
        <v>1.43</v>
      </c>
    </row>
    <row r="4750" spans="1:2" x14ac:dyDescent="0.25">
      <c r="A4750" s="157">
        <v>44833</v>
      </c>
      <c r="B4750" s="158">
        <v>1.58</v>
      </c>
    </row>
    <row r="4751" spans="1:2" x14ac:dyDescent="0.25">
      <c r="A4751" s="157">
        <v>44834</v>
      </c>
      <c r="B4751" s="158">
        <v>1.68</v>
      </c>
    </row>
    <row r="4752" spans="1:2" x14ac:dyDescent="0.25">
      <c r="A4752" s="157">
        <v>44837</v>
      </c>
      <c r="B4752" s="158">
        <v>1.49</v>
      </c>
    </row>
    <row r="4753" spans="1:2" x14ac:dyDescent="0.25">
      <c r="A4753" s="157">
        <v>44838</v>
      </c>
      <c r="B4753" s="158">
        <v>1.47</v>
      </c>
    </row>
    <row r="4754" spans="1:2" x14ac:dyDescent="0.25">
      <c r="A4754" s="157">
        <v>44839</v>
      </c>
      <c r="B4754" s="158">
        <v>1.6</v>
      </c>
    </row>
    <row r="4755" spans="1:2" x14ac:dyDescent="0.25">
      <c r="A4755" s="157">
        <v>44840</v>
      </c>
      <c r="B4755" s="158">
        <v>1.66</v>
      </c>
    </row>
    <row r="4756" spans="1:2" x14ac:dyDescent="0.25">
      <c r="A4756" s="157">
        <v>44841</v>
      </c>
      <c r="B4756" s="158">
        <v>1.66</v>
      </c>
    </row>
    <row r="4757" spans="1:2" x14ac:dyDescent="0.25">
      <c r="A4757" s="157">
        <v>44844</v>
      </c>
      <c r="B4757" s="158" t="e">
        <f>NA()</f>
        <v>#N/A</v>
      </c>
    </row>
    <row r="4758" spans="1:2" x14ac:dyDescent="0.25">
      <c r="A4758" s="157">
        <v>44845</v>
      </c>
      <c r="B4758" s="158">
        <v>1.66</v>
      </c>
    </row>
    <row r="4759" spans="1:2" x14ac:dyDescent="0.25">
      <c r="A4759" s="157">
        <v>44846</v>
      </c>
      <c r="B4759" s="158">
        <v>1.65</v>
      </c>
    </row>
    <row r="4760" spans="1:2" x14ac:dyDescent="0.25">
      <c r="A4760" s="157">
        <v>44847</v>
      </c>
      <c r="B4760" s="158">
        <v>1.65</v>
      </c>
    </row>
    <row r="4761" spans="1:2" x14ac:dyDescent="0.25">
      <c r="A4761" s="157">
        <v>44848</v>
      </c>
      <c r="B4761" s="158">
        <v>1.6</v>
      </c>
    </row>
    <row r="4762" spans="1:2" x14ac:dyDescent="0.25">
      <c r="A4762" s="157">
        <v>44851</v>
      </c>
      <c r="B4762" s="158">
        <v>1.59</v>
      </c>
    </row>
    <row r="4763" spans="1:2" x14ac:dyDescent="0.25">
      <c r="A4763" s="157">
        <v>44852</v>
      </c>
      <c r="B4763" s="158">
        <v>1.64</v>
      </c>
    </row>
    <row r="4764" spans="1:2" x14ac:dyDescent="0.25">
      <c r="A4764" s="157">
        <v>44853</v>
      </c>
      <c r="B4764" s="158">
        <v>1.74</v>
      </c>
    </row>
    <row r="4765" spans="1:2" x14ac:dyDescent="0.25">
      <c r="A4765" s="157">
        <v>44854</v>
      </c>
      <c r="B4765" s="158">
        <v>1.74</v>
      </c>
    </row>
    <row r="4766" spans="1:2" x14ac:dyDescent="0.25">
      <c r="A4766" s="157">
        <v>44855</v>
      </c>
      <c r="B4766" s="158">
        <v>1.77</v>
      </c>
    </row>
    <row r="4767" spans="1:2" x14ac:dyDescent="0.25">
      <c r="A4767" s="157">
        <v>44858</v>
      </c>
      <c r="B4767" s="158">
        <v>1.73</v>
      </c>
    </row>
    <row r="4768" spans="1:2" x14ac:dyDescent="0.25">
      <c r="A4768" s="157">
        <v>44859</v>
      </c>
      <c r="B4768" s="158">
        <v>1.67</v>
      </c>
    </row>
    <row r="4769" spans="1:2" x14ac:dyDescent="0.25">
      <c r="A4769" s="157">
        <v>44860</v>
      </c>
      <c r="B4769" s="158">
        <v>1.68</v>
      </c>
    </row>
    <row r="4770" spans="1:2" x14ac:dyDescent="0.25">
      <c r="A4770" s="157">
        <v>44861</v>
      </c>
      <c r="B4770" s="158">
        <v>1.6</v>
      </c>
    </row>
    <row r="4771" spans="1:2" x14ac:dyDescent="0.25">
      <c r="A4771" s="157">
        <v>44862</v>
      </c>
      <c r="B4771" s="158">
        <v>1.58</v>
      </c>
    </row>
    <row r="4772" spans="1:2" x14ac:dyDescent="0.25">
      <c r="A4772" s="157">
        <v>44865</v>
      </c>
      <c r="B4772" s="158">
        <v>1.64</v>
      </c>
    </row>
    <row r="4773" spans="1:2" x14ac:dyDescent="0.25">
      <c r="A4773" s="157">
        <v>44866</v>
      </c>
      <c r="B4773" s="158">
        <v>1.59</v>
      </c>
    </row>
    <row r="4774" spans="1:2" x14ac:dyDescent="0.25">
      <c r="A4774" s="157">
        <v>44867</v>
      </c>
      <c r="B4774" s="158">
        <v>1.6</v>
      </c>
    </row>
    <row r="4775" spans="1:2" x14ac:dyDescent="0.25">
      <c r="A4775" s="157">
        <v>44868</v>
      </c>
      <c r="B4775" s="158">
        <v>1.74</v>
      </c>
    </row>
    <row r="4776" spans="1:2" x14ac:dyDescent="0.25">
      <c r="A4776" s="157">
        <v>44869</v>
      </c>
      <c r="B4776" s="158">
        <v>1.73</v>
      </c>
    </row>
    <row r="4777" spans="1:2" x14ac:dyDescent="0.25">
      <c r="A4777" s="157">
        <v>44872</v>
      </c>
      <c r="B4777" s="158">
        <v>1.73</v>
      </c>
    </row>
    <row r="4778" spans="1:2" x14ac:dyDescent="0.25">
      <c r="A4778" s="157">
        <v>44873</v>
      </c>
      <c r="B4778" s="158">
        <v>1.69</v>
      </c>
    </row>
    <row r="4779" spans="1:2" x14ac:dyDescent="0.25">
      <c r="A4779" s="157">
        <v>44874</v>
      </c>
      <c r="B4779" s="158">
        <v>1.75</v>
      </c>
    </row>
    <row r="4780" spans="1:2" x14ac:dyDescent="0.25">
      <c r="A4780" s="157">
        <v>44875</v>
      </c>
      <c r="B4780" s="158">
        <v>1.51</v>
      </c>
    </row>
    <row r="4781" spans="1:2" x14ac:dyDescent="0.25">
      <c r="A4781" s="157">
        <v>44876</v>
      </c>
      <c r="B4781" s="158" t="e">
        <f>NA()</f>
        <v>#N/A</v>
      </c>
    </row>
    <row r="4782" spans="1:2" x14ac:dyDescent="0.25">
      <c r="A4782" s="157">
        <v>44879</v>
      </c>
      <c r="B4782" s="158">
        <v>1.58</v>
      </c>
    </row>
    <row r="4783" spans="1:2" x14ac:dyDescent="0.25">
      <c r="A4783" s="157">
        <v>44880</v>
      </c>
      <c r="B4783" s="158">
        <v>1.5</v>
      </c>
    </row>
    <row r="4784" spans="1:2" x14ac:dyDescent="0.25">
      <c r="A4784" s="157">
        <v>44881</v>
      </c>
      <c r="B4784" s="158">
        <v>1.44</v>
      </c>
    </row>
    <row r="4785" spans="1:2" x14ac:dyDescent="0.25">
      <c r="A4785" s="157">
        <v>44882</v>
      </c>
      <c r="B4785" s="158">
        <v>1.52</v>
      </c>
    </row>
    <row r="4786" spans="1:2" x14ac:dyDescent="0.25">
      <c r="A4786" s="157">
        <v>44883</v>
      </c>
      <c r="B4786" s="158">
        <v>1.59</v>
      </c>
    </row>
    <row r="4787" spans="1:2" x14ac:dyDescent="0.25">
      <c r="A4787" s="157">
        <v>44886</v>
      </c>
      <c r="B4787" s="158">
        <v>1.53</v>
      </c>
    </row>
    <row r="4788" spans="1:2" x14ac:dyDescent="0.25">
      <c r="A4788" s="157">
        <v>44887</v>
      </c>
      <c r="B4788" s="158">
        <v>1.46</v>
      </c>
    </row>
    <row r="4789" spans="1:2" x14ac:dyDescent="0.25">
      <c r="A4789" s="157">
        <v>44888</v>
      </c>
      <c r="B4789" s="158">
        <v>1.4</v>
      </c>
    </row>
    <row r="4790" spans="1:2" x14ac:dyDescent="0.25">
      <c r="A4790" s="157">
        <v>44889</v>
      </c>
      <c r="B4790" s="158" t="e">
        <f>NA()</f>
        <v>#N/A</v>
      </c>
    </row>
    <row r="4791" spans="1:2" x14ac:dyDescent="0.25">
      <c r="A4791" s="157">
        <v>44890</v>
      </c>
      <c r="B4791" s="158">
        <v>1.38</v>
      </c>
    </row>
    <row r="4792" spans="1:2" x14ac:dyDescent="0.25">
      <c r="A4792" s="157">
        <v>44893</v>
      </c>
      <c r="B4792" s="158">
        <v>1.43</v>
      </c>
    </row>
    <row r="4793" spans="1:2" x14ac:dyDescent="0.25">
      <c r="A4793" s="157">
        <v>44894</v>
      </c>
      <c r="B4793" s="158">
        <v>1.51</v>
      </c>
    </row>
    <row r="4794" spans="1:2" x14ac:dyDescent="0.25">
      <c r="A4794" s="157">
        <v>44895</v>
      </c>
      <c r="B4794" s="158">
        <v>1.4</v>
      </c>
    </row>
    <row r="4795" spans="1:2" x14ac:dyDescent="0.25">
      <c r="A4795" s="157">
        <v>44896</v>
      </c>
      <c r="B4795" s="158">
        <v>1.23</v>
      </c>
    </row>
    <row r="4796" spans="1:2" x14ac:dyDescent="0.25">
      <c r="A4796" s="157">
        <v>44897</v>
      </c>
      <c r="B4796" s="158">
        <v>1.1100000000000001</v>
      </c>
    </row>
    <row r="4797" spans="1:2" x14ac:dyDescent="0.25">
      <c r="A4797" s="157">
        <v>44900</v>
      </c>
      <c r="B4797" s="158">
        <v>1.21</v>
      </c>
    </row>
    <row r="4798" spans="1:2" x14ac:dyDescent="0.25">
      <c r="A4798" s="157">
        <v>44901</v>
      </c>
      <c r="B4798" s="158">
        <v>1.19</v>
      </c>
    </row>
    <row r="4799" spans="1:2" x14ac:dyDescent="0.25">
      <c r="A4799" s="157">
        <v>44902</v>
      </c>
      <c r="B4799" s="158">
        <v>1.1399999999999999</v>
      </c>
    </row>
    <row r="4800" spans="1:2" x14ac:dyDescent="0.25">
      <c r="A4800" s="157">
        <v>44903</v>
      </c>
      <c r="B4800" s="158">
        <v>1.1499999999999999</v>
      </c>
    </row>
    <row r="4801" spans="1:2" x14ac:dyDescent="0.25">
      <c r="A4801" s="157">
        <v>44904</v>
      </c>
      <c r="B4801" s="158">
        <v>1.28</v>
      </c>
    </row>
    <row r="4802" spans="1:2" x14ac:dyDescent="0.25">
      <c r="A4802" s="157">
        <v>44907</v>
      </c>
      <c r="B4802" s="158">
        <v>1.29</v>
      </c>
    </row>
    <row r="4803" spans="1:2" x14ac:dyDescent="0.25">
      <c r="A4803" s="157">
        <v>44908</v>
      </c>
      <c r="B4803" s="158">
        <v>1.28</v>
      </c>
    </row>
    <row r="4804" spans="1:2" x14ac:dyDescent="0.25">
      <c r="A4804" s="157">
        <v>44909</v>
      </c>
      <c r="B4804" s="158">
        <v>1.32</v>
      </c>
    </row>
    <row r="4805" spans="1:2" x14ac:dyDescent="0.25">
      <c r="A4805" s="157">
        <v>44910</v>
      </c>
      <c r="B4805" s="158">
        <v>1.29</v>
      </c>
    </row>
    <row r="4806" spans="1:2" x14ac:dyDescent="0.25">
      <c r="A4806" s="157">
        <v>44911</v>
      </c>
      <c r="B4806" s="158">
        <v>1.36</v>
      </c>
    </row>
    <row r="4807" spans="1:2" x14ac:dyDescent="0.25">
      <c r="A4807" s="157">
        <v>44914</v>
      </c>
      <c r="B4807" s="158">
        <v>1.43</v>
      </c>
    </row>
    <row r="4808" spans="1:2" x14ac:dyDescent="0.25">
      <c r="A4808" s="157">
        <v>44915</v>
      </c>
      <c r="B4808" s="158">
        <v>1.47</v>
      </c>
    </row>
    <row r="4809" spans="1:2" x14ac:dyDescent="0.25">
      <c r="A4809" s="157">
        <v>44916</v>
      </c>
      <c r="B4809" s="158">
        <v>1.44</v>
      </c>
    </row>
    <row r="4810" spans="1:2" x14ac:dyDescent="0.25">
      <c r="A4810" s="157">
        <v>44917</v>
      </c>
      <c r="B4810" s="158">
        <v>1.5</v>
      </c>
    </row>
    <row r="4811" spans="1:2" x14ac:dyDescent="0.25">
      <c r="A4811" s="157">
        <v>44918</v>
      </c>
      <c r="B4811" s="158">
        <v>1.57</v>
      </c>
    </row>
    <row r="4812" spans="1:2" x14ac:dyDescent="0.25">
      <c r="A4812" s="157">
        <v>44921</v>
      </c>
      <c r="B4812" s="158" t="e">
        <f>NA()</f>
        <v>#N/A</v>
      </c>
    </row>
    <row r="4813" spans="1:2" x14ac:dyDescent="0.25">
      <c r="A4813" s="157">
        <v>44922</v>
      </c>
      <c r="B4813" s="158">
        <v>1.61</v>
      </c>
    </row>
    <row r="4814" spans="1:2" x14ac:dyDescent="0.25">
      <c r="A4814" s="157">
        <v>44923</v>
      </c>
      <c r="B4814" s="158">
        <v>1.63</v>
      </c>
    </row>
    <row r="4815" spans="1:2" x14ac:dyDescent="0.25">
      <c r="A4815" s="157">
        <v>44924</v>
      </c>
      <c r="B4815" s="158">
        <v>1.59</v>
      </c>
    </row>
    <row r="4816" spans="1:2" x14ac:dyDescent="0.25">
      <c r="A4816" s="157">
        <v>44925</v>
      </c>
      <c r="B4816" s="158">
        <v>1.62</v>
      </c>
    </row>
    <row r="4817" spans="1:2" x14ac:dyDescent="0.25">
      <c r="A4817" s="157">
        <v>44928</v>
      </c>
      <c r="B4817" s="158" t="e">
        <f>NA()</f>
        <v>#N/A</v>
      </c>
    </row>
    <row r="4818" spans="1:2" x14ac:dyDescent="0.25">
      <c r="A4818" s="157">
        <v>44929</v>
      </c>
      <c r="B4818" s="158">
        <v>1.56</v>
      </c>
    </row>
    <row r="4819" spans="1:2" x14ac:dyDescent="0.25">
      <c r="A4819" s="157">
        <v>44930</v>
      </c>
      <c r="B4819" s="158">
        <v>1.51</v>
      </c>
    </row>
    <row r="4820" spans="1:2" x14ac:dyDescent="0.25">
      <c r="A4820" s="157">
        <v>44931</v>
      </c>
      <c r="B4820" s="158">
        <v>1.5</v>
      </c>
    </row>
    <row r="4821" spans="1:2" x14ac:dyDescent="0.25">
      <c r="A4821" s="157">
        <v>44932</v>
      </c>
      <c r="B4821" s="158">
        <v>1.37</v>
      </c>
    </row>
    <row r="4822" spans="1:2" x14ac:dyDescent="0.25">
      <c r="A4822" s="157">
        <v>44935</v>
      </c>
      <c r="B4822" s="158">
        <v>1.35</v>
      </c>
    </row>
    <row r="4823" spans="1:2" x14ac:dyDescent="0.25">
      <c r="A4823" s="157">
        <v>44936</v>
      </c>
      <c r="B4823" s="158">
        <v>1.41</v>
      </c>
    </row>
    <row r="4824" spans="1:2" x14ac:dyDescent="0.25">
      <c r="A4824" s="157">
        <v>44937</v>
      </c>
      <c r="B4824" s="158">
        <v>1.35</v>
      </c>
    </row>
    <row r="4825" spans="1:2" x14ac:dyDescent="0.25">
      <c r="A4825" s="157">
        <v>44938</v>
      </c>
      <c r="B4825" s="158">
        <v>1.27</v>
      </c>
    </row>
    <row r="4826" spans="1:2" x14ac:dyDescent="0.25">
      <c r="A4826" s="157">
        <v>44939</v>
      </c>
      <c r="B4826" s="158">
        <v>1.37</v>
      </c>
    </row>
    <row r="4827" spans="1:2" x14ac:dyDescent="0.25">
      <c r="A4827" s="157">
        <v>44942</v>
      </c>
      <c r="B4827" s="158" t="e">
        <f>NA()</f>
        <v>#N/A</v>
      </c>
    </row>
    <row r="4828" spans="1:2" x14ac:dyDescent="0.25">
      <c r="A4828" s="157">
        <v>44943</v>
      </c>
      <c r="B4828" s="158">
        <v>1.42</v>
      </c>
    </row>
    <row r="4829" spans="1:2" x14ac:dyDescent="0.25">
      <c r="A4829" s="157">
        <v>44944</v>
      </c>
      <c r="B4829" s="158">
        <v>1.32</v>
      </c>
    </row>
    <row r="4830" spans="1:2" x14ac:dyDescent="0.25">
      <c r="A4830" s="157">
        <v>44945</v>
      </c>
      <c r="B4830" s="158">
        <v>1.27</v>
      </c>
    </row>
    <row r="4831" spans="1:2" x14ac:dyDescent="0.25">
      <c r="A4831" s="157">
        <v>44946</v>
      </c>
      <c r="B4831" s="158">
        <v>1.33</v>
      </c>
    </row>
    <row r="4832" spans="1:2" x14ac:dyDescent="0.25">
      <c r="A4832" s="157">
        <v>44949</v>
      </c>
      <c r="B4832" s="158">
        <v>1.32</v>
      </c>
    </row>
    <row r="4833" spans="1:2" x14ac:dyDescent="0.25">
      <c r="A4833" s="157">
        <v>44950</v>
      </c>
      <c r="B4833" s="158">
        <v>1.26</v>
      </c>
    </row>
    <row r="4834" spans="1:2" x14ac:dyDescent="0.25">
      <c r="A4834" s="157">
        <v>44951</v>
      </c>
      <c r="B4834" s="158">
        <v>1.25</v>
      </c>
    </row>
    <row r="4835" spans="1:2" x14ac:dyDescent="0.25">
      <c r="A4835" s="157">
        <v>44952</v>
      </c>
      <c r="B4835" s="158">
        <v>1.23</v>
      </c>
    </row>
    <row r="4836" spans="1:2" x14ac:dyDescent="0.25">
      <c r="A4836" s="157">
        <v>44953</v>
      </c>
      <c r="B4836" s="158">
        <v>1.26</v>
      </c>
    </row>
    <row r="4837" spans="1:2" x14ac:dyDescent="0.25">
      <c r="A4837" s="157">
        <v>44956</v>
      </c>
      <c r="B4837" s="158">
        <v>1.32</v>
      </c>
    </row>
    <row r="4838" spans="1:2" x14ac:dyDescent="0.25">
      <c r="A4838" s="157">
        <v>44957</v>
      </c>
      <c r="B4838" s="158">
        <v>1.36</v>
      </c>
    </row>
    <row r="4839" spans="1:2" x14ac:dyDescent="0.25">
      <c r="A4839" s="157">
        <v>44958</v>
      </c>
      <c r="B4839" s="158">
        <v>1.24</v>
      </c>
    </row>
    <row r="4840" spans="1:2" x14ac:dyDescent="0.25">
      <c r="A4840" s="157">
        <v>44959</v>
      </c>
      <c r="B4840" s="158">
        <v>1.28</v>
      </c>
    </row>
    <row r="4841" spans="1:2" x14ac:dyDescent="0.25">
      <c r="A4841" s="157">
        <v>44960</v>
      </c>
      <c r="B4841" s="158">
        <v>1.38</v>
      </c>
    </row>
    <row r="4842" spans="1:2" x14ac:dyDescent="0.25">
      <c r="A4842" s="157">
        <v>44963</v>
      </c>
      <c r="B4842" s="158">
        <v>1.42</v>
      </c>
    </row>
    <row r="4843" spans="1:2" x14ac:dyDescent="0.25">
      <c r="A4843" s="157">
        <v>44964</v>
      </c>
      <c r="B4843" s="158">
        <v>1.41</v>
      </c>
    </row>
    <row r="4844" spans="1:2" x14ac:dyDescent="0.25">
      <c r="A4844" s="157">
        <v>44965</v>
      </c>
      <c r="B4844" s="158">
        <v>1.35</v>
      </c>
    </row>
    <row r="4845" spans="1:2" x14ac:dyDescent="0.25">
      <c r="A4845" s="157">
        <v>44966</v>
      </c>
      <c r="B4845" s="158">
        <v>1.41</v>
      </c>
    </row>
    <row r="4846" spans="1:2" x14ac:dyDescent="0.25">
      <c r="A4846" s="157">
        <v>44967</v>
      </c>
      <c r="B4846" s="158">
        <v>1.47</v>
      </c>
    </row>
    <row r="4847" spans="1:2" x14ac:dyDescent="0.25">
      <c r="A4847" s="157">
        <v>44970</v>
      </c>
      <c r="B4847" s="158">
        <v>1.46</v>
      </c>
    </row>
    <row r="4848" spans="1:2" x14ac:dyDescent="0.25">
      <c r="A4848" s="157">
        <v>44971</v>
      </c>
      <c r="B4848" s="158">
        <v>1.49</v>
      </c>
    </row>
    <row r="4849" spans="1:2" x14ac:dyDescent="0.25">
      <c r="A4849" s="157">
        <v>44972</v>
      </c>
      <c r="B4849" s="158">
        <v>1.49</v>
      </c>
    </row>
    <row r="4850" spans="1:2" x14ac:dyDescent="0.25">
      <c r="A4850" s="157">
        <v>44973</v>
      </c>
      <c r="B4850" s="158">
        <v>1.52</v>
      </c>
    </row>
    <row r="4851" spans="1:2" x14ac:dyDescent="0.25">
      <c r="A4851" s="157">
        <v>44974</v>
      </c>
      <c r="B4851" s="158">
        <v>1.5</v>
      </c>
    </row>
    <row r="4852" spans="1:2" x14ac:dyDescent="0.25">
      <c r="A4852" s="157">
        <v>44977</v>
      </c>
      <c r="B4852" s="158" t="e">
        <f>NA()</f>
        <v>#N/A</v>
      </c>
    </row>
    <row r="4853" spans="1:2" x14ac:dyDescent="0.25">
      <c r="A4853" s="157">
        <v>44978</v>
      </c>
      <c r="B4853" s="158">
        <v>1.56</v>
      </c>
    </row>
    <row r="4854" spans="1:2" x14ac:dyDescent="0.25">
      <c r="A4854" s="157">
        <v>44979</v>
      </c>
      <c r="B4854" s="158">
        <v>1.54</v>
      </c>
    </row>
    <row r="4855" spans="1:2" x14ac:dyDescent="0.25">
      <c r="A4855" s="157">
        <v>44980</v>
      </c>
      <c r="B4855" s="158">
        <v>1.51</v>
      </c>
    </row>
    <row r="4856" spans="1:2" x14ac:dyDescent="0.25">
      <c r="A4856" s="157">
        <v>44981</v>
      </c>
      <c r="B4856" s="158">
        <v>1.57</v>
      </c>
    </row>
    <row r="4857" spans="1:2" x14ac:dyDescent="0.25">
      <c r="A4857" s="157">
        <v>44984</v>
      </c>
      <c r="B4857" s="158">
        <v>1.57</v>
      </c>
    </row>
    <row r="4858" spans="1:2" x14ac:dyDescent="0.25">
      <c r="A4858" s="157">
        <v>44985</v>
      </c>
      <c r="B4858" s="158">
        <v>1.52</v>
      </c>
    </row>
    <row r="4859" spans="1:2" x14ac:dyDescent="0.25">
      <c r="A4859" s="157">
        <v>44986</v>
      </c>
      <c r="B4859" s="158">
        <v>1.58</v>
      </c>
    </row>
    <row r="4860" spans="1:2" x14ac:dyDescent="0.25">
      <c r="A4860" s="157">
        <v>44987</v>
      </c>
      <c r="B4860" s="158">
        <v>1.61</v>
      </c>
    </row>
    <row r="4861" spans="1:2" x14ac:dyDescent="0.25">
      <c r="A4861" s="157">
        <v>44988</v>
      </c>
      <c r="B4861" s="158">
        <v>1.46</v>
      </c>
    </row>
    <row r="4862" spans="1:2" x14ac:dyDescent="0.25">
      <c r="A4862" s="157">
        <v>44991</v>
      </c>
      <c r="B4862" s="158">
        <v>1.5</v>
      </c>
    </row>
    <row r="4863" spans="1:2" x14ac:dyDescent="0.25">
      <c r="A4863" s="157">
        <v>44992</v>
      </c>
      <c r="B4863" s="158">
        <v>1.55</v>
      </c>
    </row>
    <row r="4864" spans="1:2" x14ac:dyDescent="0.25">
      <c r="A4864" s="157">
        <v>44993</v>
      </c>
      <c r="B4864" s="158">
        <v>1.61</v>
      </c>
    </row>
    <row r="4865" spans="1:2" x14ac:dyDescent="0.25">
      <c r="A4865" s="157">
        <v>44994</v>
      </c>
      <c r="B4865" s="158">
        <v>1.61</v>
      </c>
    </row>
    <row r="4866" spans="1:2" x14ac:dyDescent="0.25">
      <c r="A4866" s="157">
        <v>44995</v>
      </c>
      <c r="B4866" s="158">
        <v>1.42</v>
      </c>
    </row>
    <row r="4867" spans="1:2" x14ac:dyDescent="0.25">
      <c r="A4867" s="157">
        <v>44998</v>
      </c>
      <c r="B4867" s="158">
        <v>1.38</v>
      </c>
    </row>
    <row r="4868" spans="1:2" x14ac:dyDescent="0.25">
      <c r="A4868" s="157">
        <v>44999</v>
      </c>
      <c r="B4868" s="158">
        <v>1.41</v>
      </c>
    </row>
    <row r="4869" spans="1:2" x14ac:dyDescent="0.25">
      <c r="A4869" s="157">
        <v>45000</v>
      </c>
      <c r="B4869" s="158">
        <v>1.33</v>
      </c>
    </row>
    <row r="4870" spans="1:2" x14ac:dyDescent="0.25">
      <c r="A4870" s="157">
        <v>45001</v>
      </c>
      <c r="B4870" s="158">
        <v>1.4</v>
      </c>
    </row>
    <row r="4871" spans="1:2" x14ac:dyDescent="0.25">
      <c r="A4871" s="157">
        <v>45002</v>
      </c>
      <c r="B4871" s="158">
        <v>1.4</v>
      </c>
    </row>
    <row r="4872" spans="1:2" x14ac:dyDescent="0.25">
      <c r="A4872" s="157">
        <v>45005</v>
      </c>
      <c r="B4872" s="158">
        <v>1.42</v>
      </c>
    </row>
    <row r="4873" spans="1:2" x14ac:dyDescent="0.25">
      <c r="A4873" s="157">
        <v>45006</v>
      </c>
      <c r="B4873" s="158">
        <v>1.43</v>
      </c>
    </row>
    <row r="4874" spans="1:2" x14ac:dyDescent="0.25">
      <c r="A4874" s="157">
        <v>45007</v>
      </c>
      <c r="B4874" s="158">
        <v>1.32</v>
      </c>
    </row>
    <row r="4875" spans="1:2" x14ac:dyDescent="0.25">
      <c r="A4875" s="157">
        <v>45008</v>
      </c>
      <c r="B4875" s="158">
        <v>1.33</v>
      </c>
    </row>
    <row r="4876" spans="1:2" x14ac:dyDescent="0.25">
      <c r="A4876" s="157">
        <v>45009</v>
      </c>
      <c r="B4876" s="158">
        <v>1.31</v>
      </c>
    </row>
    <row r="4877" spans="1:2" x14ac:dyDescent="0.25">
      <c r="A4877" s="157">
        <v>45012</v>
      </c>
      <c r="B4877" s="158">
        <v>1.43</v>
      </c>
    </row>
    <row r="4878" spans="1:2" x14ac:dyDescent="0.25">
      <c r="A4878" s="157">
        <v>45013</v>
      </c>
      <c r="B4878" s="158">
        <v>1.38</v>
      </c>
    </row>
    <row r="4879" spans="1:2" x14ac:dyDescent="0.25">
      <c r="A4879" s="157">
        <v>45014</v>
      </c>
      <c r="B4879" s="158">
        <v>1.38</v>
      </c>
    </row>
    <row r="4880" spans="1:2" x14ac:dyDescent="0.25">
      <c r="A4880" s="157">
        <v>45015</v>
      </c>
      <c r="B4880" s="158">
        <v>1.35</v>
      </c>
    </row>
    <row r="4881" spans="1:2" x14ac:dyDescent="0.25">
      <c r="A4881" s="157">
        <v>45016</v>
      </c>
      <c r="B4881" s="158">
        <v>1.31</v>
      </c>
    </row>
    <row r="4882" spans="1:2" x14ac:dyDescent="0.25">
      <c r="A4882" s="157">
        <v>45019</v>
      </c>
      <c r="B4882" s="158">
        <v>1.3</v>
      </c>
    </row>
    <row r="4883" spans="1:2" x14ac:dyDescent="0.25">
      <c r="A4883" s="157">
        <v>45020</v>
      </c>
      <c r="B4883" s="158">
        <v>1.27</v>
      </c>
    </row>
    <row r="4884" spans="1:2" x14ac:dyDescent="0.25">
      <c r="A4884" s="157">
        <v>45021</v>
      </c>
      <c r="B4884" s="158">
        <v>1.25</v>
      </c>
    </row>
    <row r="4885" spans="1:2" x14ac:dyDescent="0.25">
      <c r="A4885" s="157">
        <v>45022</v>
      </c>
      <c r="B4885" s="158">
        <v>1.22</v>
      </c>
    </row>
    <row r="4886" spans="1:2" x14ac:dyDescent="0.25">
      <c r="A4886" s="157">
        <v>45023</v>
      </c>
      <c r="B4886" s="158">
        <v>1.28</v>
      </c>
    </row>
    <row r="4887" spans="1:2" x14ac:dyDescent="0.25">
      <c r="A4887" s="157">
        <v>45026</v>
      </c>
      <c r="B4887" s="158">
        <v>1.28</v>
      </c>
    </row>
    <row r="4888" spans="1:2" x14ac:dyDescent="0.25">
      <c r="A4888" s="157">
        <v>45027</v>
      </c>
      <c r="B4888" s="158">
        <v>1.27</v>
      </c>
    </row>
    <row r="4889" spans="1:2" x14ac:dyDescent="0.25">
      <c r="A4889" s="157">
        <v>45028</v>
      </c>
      <c r="B4889" s="158">
        <v>1.27</v>
      </c>
    </row>
    <row r="4890" spans="1:2" x14ac:dyDescent="0.25">
      <c r="A4890" s="157">
        <v>45029</v>
      </c>
      <c r="B4890" s="158">
        <v>1.29</v>
      </c>
    </row>
    <row r="4891" spans="1:2" x14ac:dyDescent="0.25">
      <c r="A4891" s="157">
        <v>45030</v>
      </c>
      <c r="B4891" s="158">
        <v>1.34</v>
      </c>
    </row>
    <row r="4892" spans="1:2" x14ac:dyDescent="0.25">
      <c r="A4892" s="157">
        <v>45033</v>
      </c>
      <c r="B4892" s="158">
        <v>1.41</v>
      </c>
    </row>
    <row r="4893" spans="1:2" x14ac:dyDescent="0.25">
      <c r="A4893" s="157">
        <v>45034</v>
      </c>
      <c r="B4893" s="158">
        <v>1.42</v>
      </c>
    </row>
    <row r="4894" spans="1:2" x14ac:dyDescent="0.25">
      <c r="A4894" s="157">
        <v>45035</v>
      </c>
      <c r="B4894" s="158">
        <v>1.43</v>
      </c>
    </row>
    <row r="4895" spans="1:2" x14ac:dyDescent="0.25">
      <c r="A4895" s="157">
        <v>45036</v>
      </c>
      <c r="B4895" s="158">
        <v>1.39</v>
      </c>
    </row>
    <row r="4896" spans="1:2" x14ac:dyDescent="0.25">
      <c r="A4896" s="157">
        <v>45037</v>
      </c>
      <c r="B4896" s="158">
        <v>1.41</v>
      </c>
    </row>
    <row r="4897" spans="1:2" x14ac:dyDescent="0.25">
      <c r="A4897" s="157">
        <v>45040</v>
      </c>
      <c r="B4897" s="158">
        <v>1.36</v>
      </c>
    </row>
    <row r="4898" spans="1:2" x14ac:dyDescent="0.25">
      <c r="A4898" s="157">
        <v>45041</v>
      </c>
      <c r="B4898" s="158">
        <v>1.3</v>
      </c>
    </row>
    <row r="4899" spans="1:2" x14ac:dyDescent="0.25">
      <c r="A4899" s="157">
        <v>45042</v>
      </c>
      <c r="B4899" s="158">
        <v>1.33</v>
      </c>
    </row>
    <row r="4900" spans="1:2" x14ac:dyDescent="0.25">
      <c r="A4900" s="157">
        <v>45043</v>
      </c>
      <c r="B4900" s="158">
        <v>1.38</v>
      </c>
    </row>
    <row r="4901" spans="1:2" x14ac:dyDescent="0.25">
      <c r="A4901" s="157">
        <v>45044</v>
      </c>
      <c r="B4901" s="158">
        <v>1.39</v>
      </c>
    </row>
    <row r="4902" spans="1:2" x14ac:dyDescent="0.25">
      <c r="A4902" s="157">
        <v>45047</v>
      </c>
      <c r="B4902" s="158">
        <v>1.49</v>
      </c>
    </row>
    <row r="4903" spans="1:2" x14ac:dyDescent="0.25">
      <c r="A4903" s="157">
        <v>45048</v>
      </c>
      <c r="B4903" s="158">
        <v>1.4</v>
      </c>
    </row>
    <row r="4904" spans="1:2" x14ac:dyDescent="0.25">
      <c r="A4904" s="157">
        <v>45049</v>
      </c>
      <c r="B4904" s="158">
        <v>1.35</v>
      </c>
    </row>
    <row r="4905" spans="1:2" x14ac:dyDescent="0.25">
      <c r="A4905" s="157">
        <v>45050</v>
      </c>
      <c r="B4905" s="158">
        <v>1.37</v>
      </c>
    </row>
    <row r="4906" spans="1:2" x14ac:dyDescent="0.25">
      <c r="A4906" s="157">
        <v>45051</v>
      </c>
      <c r="B4906" s="158">
        <v>1.4</v>
      </c>
    </row>
    <row r="4907" spans="1:2" x14ac:dyDescent="0.25">
      <c r="A4907" s="157">
        <v>45054</v>
      </c>
      <c r="B4907" s="158">
        <v>1.46</v>
      </c>
    </row>
    <row r="4908" spans="1:2" x14ac:dyDescent="0.25">
      <c r="A4908" s="157">
        <v>45055</v>
      </c>
      <c r="B4908" s="158">
        <v>1.47</v>
      </c>
    </row>
    <row r="4909" spans="1:2" x14ac:dyDescent="0.25">
      <c r="A4909" s="157">
        <v>45056</v>
      </c>
      <c r="B4909" s="158">
        <v>1.44</v>
      </c>
    </row>
    <row r="4910" spans="1:2" x14ac:dyDescent="0.25">
      <c r="A4910" s="157">
        <v>45057</v>
      </c>
      <c r="B4910" s="158">
        <v>1.4</v>
      </c>
    </row>
    <row r="4911" spans="1:2" x14ac:dyDescent="0.25">
      <c r="A4911" s="157">
        <v>45058</v>
      </c>
      <c r="B4911" s="158">
        <v>1.42</v>
      </c>
    </row>
    <row r="4912" spans="1:2" x14ac:dyDescent="0.25">
      <c r="A4912" s="157">
        <v>45061</v>
      </c>
      <c r="B4912" s="158">
        <v>1.46</v>
      </c>
    </row>
    <row r="4913" spans="1:2" x14ac:dyDescent="0.25">
      <c r="A4913" s="157">
        <v>45062</v>
      </c>
      <c r="B4913" s="158">
        <v>1.49</v>
      </c>
    </row>
    <row r="4914" spans="1:2" x14ac:dyDescent="0.25">
      <c r="A4914" s="157">
        <v>45063</v>
      </c>
      <c r="B4914" s="158">
        <v>1.48</v>
      </c>
    </row>
    <row r="4915" spans="1:2" x14ac:dyDescent="0.25">
      <c r="A4915" s="157">
        <v>45064</v>
      </c>
      <c r="B4915" s="158">
        <v>1.52</v>
      </c>
    </row>
    <row r="4916" spans="1:2" x14ac:dyDescent="0.25">
      <c r="A4916" s="157">
        <v>45065</v>
      </c>
      <c r="B4916" s="158">
        <v>1.55</v>
      </c>
    </row>
    <row r="4917" spans="1:2" x14ac:dyDescent="0.25">
      <c r="A4917" s="157">
        <v>45068</v>
      </c>
      <c r="B4917" s="158">
        <v>1.57</v>
      </c>
    </row>
    <row r="4918" spans="1:2" x14ac:dyDescent="0.25">
      <c r="A4918" s="157">
        <v>45069</v>
      </c>
      <c r="B4918" s="158">
        <v>1.54</v>
      </c>
    </row>
    <row r="4919" spans="1:2" x14ac:dyDescent="0.25">
      <c r="A4919" s="157">
        <v>45070</v>
      </c>
      <c r="B4919" s="158">
        <v>1.56</v>
      </c>
    </row>
    <row r="4920" spans="1:2" x14ac:dyDescent="0.25">
      <c r="A4920" s="157">
        <v>45071</v>
      </c>
      <c r="B4920" s="158">
        <v>1.61</v>
      </c>
    </row>
    <row r="4921" spans="1:2" x14ac:dyDescent="0.25">
      <c r="A4921" s="157">
        <v>45072</v>
      </c>
      <c r="B4921" s="158">
        <v>1.58</v>
      </c>
    </row>
    <row r="4922" spans="1:2" x14ac:dyDescent="0.25">
      <c r="A4922" s="157">
        <v>45075</v>
      </c>
      <c r="B4922" s="158" t="e">
        <f>NA()</f>
        <v>#N/A</v>
      </c>
    </row>
    <row r="4923" spans="1:2" x14ac:dyDescent="0.25">
      <c r="A4923" s="157">
        <v>45076</v>
      </c>
      <c r="B4923" s="158">
        <v>1.52</v>
      </c>
    </row>
    <row r="4924" spans="1:2" x14ac:dyDescent="0.25">
      <c r="A4924" s="157">
        <v>45077</v>
      </c>
      <c r="B4924" s="158">
        <v>1.52</v>
      </c>
    </row>
    <row r="4925" spans="1:2" x14ac:dyDescent="0.25">
      <c r="A4925" s="157">
        <v>45078</v>
      </c>
      <c r="B4925" s="158">
        <v>1.52</v>
      </c>
    </row>
    <row r="4926" spans="1:2" x14ac:dyDescent="0.25">
      <c r="A4926" s="157">
        <v>45079</v>
      </c>
      <c r="B4926" s="158">
        <v>1.57</v>
      </c>
    </row>
    <row r="4927" spans="1:2" x14ac:dyDescent="0.25">
      <c r="A4927" s="157">
        <v>45082</v>
      </c>
      <c r="B4927" s="158">
        <v>1.57</v>
      </c>
    </row>
    <row r="4928" spans="1:2" x14ac:dyDescent="0.25">
      <c r="A4928" s="157">
        <v>45083</v>
      </c>
      <c r="B4928" s="158">
        <v>1.55</v>
      </c>
    </row>
    <row r="4929" spans="1:2" x14ac:dyDescent="0.25">
      <c r="A4929" s="157">
        <v>45084</v>
      </c>
      <c r="B4929" s="158">
        <v>1.62</v>
      </c>
    </row>
    <row r="4930" spans="1:2" x14ac:dyDescent="0.25">
      <c r="A4930" s="157">
        <v>45085</v>
      </c>
      <c r="B4930" s="158">
        <v>1.57</v>
      </c>
    </row>
    <row r="4931" spans="1:2" x14ac:dyDescent="0.25">
      <c r="A4931" s="157">
        <v>45086</v>
      </c>
      <c r="B4931" s="158">
        <v>1.57</v>
      </c>
    </row>
    <row r="4932" spans="1:2" x14ac:dyDescent="0.25">
      <c r="A4932" s="157">
        <v>45089</v>
      </c>
      <c r="B4932" s="158">
        <v>1.58</v>
      </c>
    </row>
    <row r="4933" spans="1:2" x14ac:dyDescent="0.25">
      <c r="A4933" s="157">
        <v>45090</v>
      </c>
      <c r="B4933" s="158">
        <v>1.64</v>
      </c>
    </row>
    <row r="4934" spans="1:2" x14ac:dyDescent="0.25">
      <c r="A4934" s="157">
        <v>45091</v>
      </c>
      <c r="B4934" s="158">
        <v>1.61</v>
      </c>
    </row>
    <row r="4935" spans="1:2" x14ac:dyDescent="0.25">
      <c r="A4935" s="157">
        <v>45092</v>
      </c>
      <c r="B4935" s="158">
        <v>1.54</v>
      </c>
    </row>
    <row r="4936" spans="1:2" x14ac:dyDescent="0.25">
      <c r="A4936" s="157">
        <v>45093</v>
      </c>
      <c r="B4936" s="158">
        <v>1.56</v>
      </c>
    </row>
    <row r="4937" spans="1:2" x14ac:dyDescent="0.25">
      <c r="A4937" s="157">
        <v>45096</v>
      </c>
      <c r="B4937" s="158" t="e">
        <f>NA()</f>
        <v>#N/A</v>
      </c>
    </row>
    <row r="4938" spans="1:2" x14ac:dyDescent="0.25">
      <c r="A4938" s="157">
        <v>45097</v>
      </c>
      <c r="B4938" s="158">
        <v>1.52</v>
      </c>
    </row>
    <row r="4939" spans="1:2" x14ac:dyDescent="0.25">
      <c r="A4939" s="157">
        <v>45098</v>
      </c>
      <c r="B4939" s="158">
        <v>1.51</v>
      </c>
    </row>
    <row r="4940" spans="1:2" x14ac:dyDescent="0.25">
      <c r="A4940" s="157">
        <v>45099</v>
      </c>
      <c r="B4940" s="158">
        <v>1.56</v>
      </c>
    </row>
    <row r="4941" spans="1:2" x14ac:dyDescent="0.25">
      <c r="A4941" s="157">
        <v>45100</v>
      </c>
      <c r="B4941" s="158">
        <v>1.52</v>
      </c>
    </row>
    <row r="4942" spans="1:2" x14ac:dyDescent="0.25">
      <c r="A4942" s="157">
        <v>45103</v>
      </c>
      <c r="B4942" s="158">
        <v>1.54</v>
      </c>
    </row>
    <row r="4943" spans="1:2" x14ac:dyDescent="0.25">
      <c r="A4943" s="157">
        <v>45104</v>
      </c>
      <c r="B4943" s="158">
        <v>1.56</v>
      </c>
    </row>
    <row r="4944" spans="1:2" x14ac:dyDescent="0.25">
      <c r="A4944" s="157">
        <v>45105</v>
      </c>
      <c r="B4944" s="158">
        <v>1.53</v>
      </c>
    </row>
    <row r="4945" spans="1:2" x14ac:dyDescent="0.25">
      <c r="A4945" s="157">
        <v>45106</v>
      </c>
      <c r="B4945" s="158">
        <v>1.63</v>
      </c>
    </row>
    <row r="4946" spans="1:2" x14ac:dyDescent="0.25">
      <c r="A4946" s="157">
        <v>45107</v>
      </c>
      <c r="B4946" s="158">
        <v>1.56</v>
      </c>
    </row>
    <row r="4947" spans="1:2" x14ac:dyDescent="0.25">
      <c r="A4947" s="157">
        <v>45110</v>
      </c>
      <c r="B4947" s="158">
        <v>1.56</v>
      </c>
    </row>
    <row r="4948" spans="1:2" x14ac:dyDescent="0.25">
      <c r="A4948" s="157">
        <v>45111</v>
      </c>
      <c r="B4948" s="158" t="e">
        <f>NA()</f>
        <v>#N/A</v>
      </c>
    </row>
    <row r="4949" spans="1:2" x14ac:dyDescent="0.25">
      <c r="A4949" s="157">
        <v>45112</v>
      </c>
      <c r="B4949" s="158">
        <v>1.65</v>
      </c>
    </row>
    <row r="4950" spans="1:2" x14ac:dyDescent="0.25">
      <c r="A4950" s="157">
        <v>45113</v>
      </c>
      <c r="B4950" s="158">
        <v>1.71</v>
      </c>
    </row>
    <row r="4951" spans="1:2" x14ac:dyDescent="0.25">
      <c r="A4951" s="157">
        <v>45114</v>
      </c>
      <c r="B4951" s="158">
        <v>1.74</v>
      </c>
    </row>
    <row r="4952" spans="1:2" x14ac:dyDescent="0.25">
      <c r="A4952" s="157">
        <v>45117</v>
      </c>
      <c r="B4952" s="158">
        <v>1.74</v>
      </c>
    </row>
    <row r="4953" spans="1:2" x14ac:dyDescent="0.25">
      <c r="A4953" s="157">
        <v>45118</v>
      </c>
      <c r="B4953" s="158">
        <v>1.73</v>
      </c>
    </row>
    <row r="4954" spans="1:2" x14ac:dyDescent="0.25">
      <c r="A4954" s="157">
        <v>45119</v>
      </c>
      <c r="B4954" s="158">
        <v>1.6</v>
      </c>
    </row>
    <row r="4955" spans="1:2" x14ac:dyDescent="0.25">
      <c r="A4955" s="157">
        <v>45120</v>
      </c>
      <c r="B4955" s="158">
        <v>1.55</v>
      </c>
    </row>
    <row r="4956" spans="1:2" x14ac:dyDescent="0.25">
      <c r="A4956" s="157">
        <v>45121</v>
      </c>
      <c r="B4956" s="158">
        <v>1.6</v>
      </c>
    </row>
    <row r="4957" spans="1:2" x14ac:dyDescent="0.25">
      <c r="A4957" s="157">
        <v>45124</v>
      </c>
      <c r="B4957" s="158">
        <v>1.58</v>
      </c>
    </row>
    <row r="4958" spans="1:2" x14ac:dyDescent="0.25">
      <c r="A4958" s="157">
        <v>45125</v>
      </c>
      <c r="B4958" s="158">
        <v>1.58</v>
      </c>
    </row>
    <row r="4959" spans="1:2" x14ac:dyDescent="0.25">
      <c r="A4959" s="157">
        <v>45126</v>
      </c>
      <c r="B4959" s="158">
        <v>1.53</v>
      </c>
    </row>
    <row r="4960" spans="1:2" x14ac:dyDescent="0.25">
      <c r="A4960" s="157">
        <v>45127</v>
      </c>
      <c r="B4960" s="158">
        <v>1.52</v>
      </c>
    </row>
    <row r="4961" spans="1:2" x14ac:dyDescent="0.25">
      <c r="A4961" s="157">
        <v>45128</v>
      </c>
      <c r="B4961" s="158">
        <v>1.51</v>
      </c>
    </row>
    <row r="4962" spans="1:2" x14ac:dyDescent="0.25">
      <c r="A4962" s="157">
        <v>45131</v>
      </c>
      <c r="B4962" s="158">
        <v>1.5</v>
      </c>
    </row>
    <row r="4963" spans="1:2" x14ac:dyDescent="0.25">
      <c r="A4963" s="157">
        <v>45132</v>
      </c>
      <c r="B4963" s="158">
        <v>1.54</v>
      </c>
    </row>
    <row r="4964" spans="1:2" x14ac:dyDescent="0.25">
      <c r="A4964" s="157">
        <v>45133</v>
      </c>
      <c r="B4964" s="158">
        <v>1.53</v>
      </c>
    </row>
    <row r="4965" spans="1:2" x14ac:dyDescent="0.25">
      <c r="A4965" s="157">
        <v>45134</v>
      </c>
      <c r="B4965" s="158">
        <v>1.66</v>
      </c>
    </row>
    <row r="4966" spans="1:2" x14ac:dyDescent="0.25">
      <c r="A4966" s="157">
        <v>45135</v>
      </c>
      <c r="B4966" s="158">
        <v>1.61</v>
      </c>
    </row>
    <row r="4967" spans="1:2" x14ac:dyDescent="0.25">
      <c r="A4967" s="157">
        <v>45138</v>
      </c>
      <c r="B4967" s="158">
        <v>1.65</v>
      </c>
    </row>
    <row r="4968" spans="1:2" x14ac:dyDescent="0.25">
      <c r="A4968" s="157">
        <v>45139</v>
      </c>
      <c r="B4968" s="158">
        <v>1.72</v>
      </c>
    </row>
    <row r="4969" spans="1:2" x14ac:dyDescent="0.25">
      <c r="A4969" s="157">
        <v>45140</v>
      </c>
      <c r="B4969" s="158">
        <v>1.76</v>
      </c>
    </row>
    <row r="4970" spans="1:2" x14ac:dyDescent="0.25">
      <c r="A4970" s="157">
        <v>45141</v>
      </c>
      <c r="B4970" s="158">
        <v>1.89</v>
      </c>
    </row>
    <row r="4971" spans="1:2" x14ac:dyDescent="0.25">
      <c r="A4971" s="157">
        <v>45142</v>
      </c>
      <c r="B4971" s="158">
        <v>1.76</v>
      </c>
    </row>
    <row r="4972" spans="1:2" x14ac:dyDescent="0.25">
      <c r="A4972" s="157">
        <v>45145</v>
      </c>
      <c r="B4972" s="158">
        <v>1.77</v>
      </c>
    </row>
    <row r="4973" spans="1:2" x14ac:dyDescent="0.25">
      <c r="A4973" s="157">
        <v>45146</v>
      </c>
      <c r="B4973" s="158">
        <v>1.75</v>
      </c>
    </row>
    <row r="4974" spans="1:2" x14ac:dyDescent="0.25">
      <c r="A4974" s="157">
        <v>45147</v>
      </c>
      <c r="B4974" s="158">
        <v>1.75</v>
      </c>
    </row>
    <row r="4975" spans="1:2" x14ac:dyDescent="0.25">
      <c r="A4975" s="157">
        <v>45148</v>
      </c>
      <c r="B4975" s="158">
        <v>1.84</v>
      </c>
    </row>
    <row r="4976" spans="1:2" x14ac:dyDescent="0.25">
      <c r="A4976" s="157">
        <v>45149</v>
      </c>
      <c r="B4976" s="158">
        <v>1.86</v>
      </c>
    </row>
    <row r="4977" spans="1:2" x14ac:dyDescent="0.25">
      <c r="A4977" s="157">
        <v>45152</v>
      </c>
      <c r="B4977" s="158">
        <v>1.88</v>
      </c>
    </row>
    <row r="4978" spans="1:2" x14ac:dyDescent="0.25">
      <c r="A4978" s="157">
        <v>45153</v>
      </c>
      <c r="B4978" s="158">
        <v>1.93</v>
      </c>
    </row>
    <row r="4979" spans="1:2" x14ac:dyDescent="0.25">
      <c r="A4979" s="157">
        <v>45154</v>
      </c>
      <c r="B4979" s="158">
        <v>1.98</v>
      </c>
    </row>
    <row r="4980" spans="1:2" x14ac:dyDescent="0.25">
      <c r="A4980" s="157">
        <v>45155</v>
      </c>
      <c r="B4980" s="158">
        <v>2.0099999999999998</v>
      </c>
    </row>
    <row r="4981" spans="1:2" x14ac:dyDescent="0.25">
      <c r="A4981" s="157">
        <v>45156</v>
      </c>
      <c r="B4981" s="158">
        <v>1.99</v>
      </c>
    </row>
    <row r="4982" spans="1:2" x14ac:dyDescent="0.25">
      <c r="A4982" s="157">
        <v>45159</v>
      </c>
      <c r="B4982" s="158">
        <v>2.04</v>
      </c>
    </row>
    <row r="4983" spans="1:2" x14ac:dyDescent="0.25">
      <c r="A4983" s="157">
        <v>45160</v>
      </c>
      <c r="B4983" s="158">
        <v>2</v>
      </c>
    </row>
    <row r="4984" spans="1:2" x14ac:dyDescent="0.25">
      <c r="A4984" s="157">
        <v>45161</v>
      </c>
      <c r="B4984" s="158">
        <v>1.86</v>
      </c>
    </row>
    <row r="4985" spans="1:2" x14ac:dyDescent="0.25">
      <c r="A4985" s="157">
        <v>45162</v>
      </c>
      <c r="B4985" s="158">
        <v>1.91</v>
      </c>
    </row>
    <row r="4986" spans="1:2" x14ac:dyDescent="0.25">
      <c r="A4986" s="157">
        <v>45163</v>
      </c>
      <c r="B4986" s="158">
        <v>1.92</v>
      </c>
    </row>
    <row r="4987" spans="1:2" x14ac:dyDescent="0.25">
      <c r="A4987" s="157">
        <v>45166</v>
      </c>
      <c r="B4987" s="158">
        <v>1.92</v>
      </c>
    </row>
    <row r="4988" spans="1:2" x14ac:dyDescent="0.25">
      <c r="A4988" s="157">
        <v>45167</v>
      </c>
      <c r="B4988" s="158">
        <v>1.86</v>
      </c>
    </row>
    <row r="4989" spans="1:2" x14ac:dyDescent="0.25">
      <c r="A4989" s="157">
        <v>45168</v>
      </c>
      <c r="B4989" s="158">
        <v>1.89</v>
      </c>
    </row>
    <row r="4990" spans="1:2" x14ac:dyDescent="0.25">
      <c r="A4990" s="157">
        <v>45169</v>
      </c>
      <c r="B4990" s="158">
        <v>1.88</v>
      </c>
    </row>
    <row r="4991" spans="1:2" x14ac:dyDescent="0.25">
      <c r="A4991" s="157">
        <v>45170</v>
      </c>
      <c r="B4991" s="158">
        <v>1.96</v>
      </c>
    </row>
    <row r="4992" spans="1:2" x14ac:dyDescent="0.25">
      <c r="A4992" s="157">
        <v>45173</v>
      </c>
      <c r="B4992" s="158" t="e">
        <f>NA()</f>
        <v>#N/A</v>
      </c>
    </row>
    <row r="4993" spans="1:2" x14ac:dyDescent="0.25">
      <c r="A4993" s="157">
        <v>45174</v>
      </c>
      <c r="B4993" s="158">
        <v>2.02</v>
      </c>
    </row>
    <row r="4994" spans="1:2" x14ac:dyDescent="0.25">
      <c r="A4994" s="157">
        <v>45175</v>
      </c>
      <c r="B4994" s="158">
        <v>2.02</v>
      </c>
    </row>
    <row r="4995" spans="1:2" x14ac:dyDescent="0.25">
      <c r="A4995" s="157">
        <v>45176</v>
      </c>
      <c r="B4995" s="158">
        <v>1.99</v>
      </c>
    </row>
    <row r="4996" spans="1:2" x14ac:dyDescent="0.25">
      <c r="A4996" s="157">
        <v>45177</v>
      </c>
      <c r="B4996" s="158">
        <v>1.95</v>
      </c>
    </row>
    <row r="4997" spans="1:2" x14ac:dyDescent="0.25">
      <c r="A4997" s="157">
        <v>45180</v>
      </c>
      <c r="B4997" s="158">
        <v>1.97</v>
      </c>
    </row>
    <row r="4998" spans="1:2" x14ac:dyDescent="0.25">
      <c r="A4998" s="157">
        <v>45181</v>
      </c>
      <c r="B4998" s="158">
        <v>1.96</v>
      </c>
    </row>
    <row r="4999" spans="1:2" x14ac:dyDescent="0.25">
      <c r="A4999" s="157">
        <v>45182</v>
      </c>
      <c r="B4999" s="158">
        <v>1.93</v>
      </c>
    </row>
    <row r="5000" spans="1:2" x14ac:dyDescent="0.25">
      <c r="A5000" s="157">
        <v>45183</v>
      </c>
      <c r="B5000" s="158">
        <v>1.99</v>
      </c>
    </row>
    <row r="5001" spans="1:2" x14ac:dyDescent="0.25">
      <c r="A5001" s="157">
        <v>45184</v>
      </c>
      <c r="B5001" s="158">
        <v>2.0099999999999998</v>
      </c>
    </row>
    <row r="5002" spans="1:2" x14ac:dyDescent="0.25">
      <c r="A5002" s="157">
        <v>45187</v>
      </c>
      <c r="B5002" s="158">
        <v>1.99</v>
      </c>
    </row>
    <row r="5003" spans="1:2" x14ac:dyDescent="0.25">
      <c r="A5003" s="157">
        <v>45188</v>
      </c>
      <c r="B5003" s="158">
        <v>2.02</v>
      </c>
    </row>
    <row r="5004" spans="1:2" x14ac:dyDescent="0.25">
      <c r="A5004" s="157">
        <v>45189</v>
      </c>
      <c r="B5004" s="158">
        <v>2.0099999999999998</v>
      </c>
    </row>
    <row r="5005" spans="1:2" x14ac:dyDescent="0.25">
      <c r="A5005" s="157">
        <v>45190</v>
      </c>
      <c r="B5005" s="158">
        <v>2.13</v>
      </c>
    </row>
    <row r="5006" spans="1:2" x14ac:dyDescent="0.25">
      <c r="A5006" s="157">
        <v>45191</v>
      </c>
      <c r="B5006" s="158">
        <v>2.09</v>
      </c>
    </row>
    <row r="5007" spans="1:2" x14ac:dyDescent="0.25">
      <c r="A5007" s="157">
        <v>45194</v>
      </c>
      <c r="B5007" s="158">
        <v>2.2200000000000002</v>
      </c>
    </row>
    <row r="5008" spans="1:2" x14ac:dyDescent="0.25">
      <c r="A5008" s="157">
        <v>45195</v>
      </c>
      <c r="B5008" s="158">
        <v>2.2599999999999998</v>
      </c>
    </row>
    <row r="5009" spans="1:2" x14ac:dyDescent="0.25">
      <c r="A5009" s="157">
        <v>45196</v>
      </c>
      <c r="B5009" s="158">
        <v>2.29</v>
      </c>
    </row>
    <row r="5010" spans="1:2" x14ac:dyDescent="0.25">
      <c r="A5010" s="157">
        <v>45197</v>
      </c>
      <c r="B5010" s="158">
        <v>2.23</v>
      </c>
    </row>
    <row r="5011" spans="1:2" x14ac:dyDescent="0.25">
      <c r="A5011" s="157">
        <v>45198</v>
      </c>
      <c r="B5011" s="158">
        <v>2.27</v>
      </c>
    </row>
    <row r="5012" spans="1:2" x14ac:dyDescent="0.25">
      <c r="A5012" s="157">
        <v>45201</v>
      </c>
      <c r="B5012" s="158">
        <v>2.36</v>
      </c>
    </row>
    <row r="5013" spans="1:2" x14ac:dyDescent="0.25">
      <c r="A5013" s="157">
        <v>45202</v>
      </c>
      <c r="B5013" s="158">
        <v>2.4700000000000002</v>
      </c>
    </row>
    <row r="5014" spans="1:2" x14ac:dyDescent="0.25">
      <c r="A5014" s="157">
        <v>45203</v>
      </c>
      <c r="B5014" s="158">
        <v>2.41</v>
      </c>
    </row>
    <row r="5015" spans="1:2" x14ac:dyDescent="0.25">
      <c r="A5015" s="157">
        <v>45204</v>
      </c>
      <c r="B5015" s="158">
        <v>2.44</v>
      </c>
    </row>
    <row r="5016" spans="1:2" x14ac:dyDescent="0.25">
      <c r="A5016" s="157">
        <v>45205</v>
      </c>
      <c r="B5016" s="158">
        <v>2.4900000000000002</v>
      </c>
    </row>
    <row r="5017" spans="1:2" x14ac:dyDescent="0.25">
      <c r="A5017" s="157">
        <v>45208</v>
      </c>
      <c r="B5017" s="158" t="e">
        <f>NA()</f>
        <v>#N/A</v>
      </c>
    </row>
    <row r="5018" spans="1:2" x14ac:dyDescent="0.25">
      <c r="A5018" s="157">
        <v>45209</v>
      </c>
      <c r="B5018" s="158">
        <v>2.38</v>
      </c>
    </row>
    <row r="5019" spans="1:2" x14ac:dyDescent="0.25">
      <c r="A5019" s="157">
        <v>45210</v>
      </c>
      <c r="B5019" s="158">
        <v>2.29</v>
      </c>
    </row>
    <row r="5020" spans="1:2" x14ac:dyDescent="0.25">
      <c r="A5020" s="157">
        <v>45211</v>
      </c>
      <c r="B5020" s="158">
        <v>2.41</v>
      </c>
    </row>
    <row r="5021" spans="1:2" x14ac:dyDescent="0.25">
      <c r="A5021" s="157">
        <v>45212</v>
      </c>
      <c r="B5021" s="158">
        <v>2.33</v>
      </c>
    </row>
    <row r="5022" spans="1:2" x14ac:dyDescent="0.25">
      <c r="A5022" s="157">
        <v>45215</v>
      </c>
      <c r="B5022" s="158">
        <v>2.38</v>
      </c>
    </row>
    <row r="5023" spans="1:2" x14ac:dyDescent="0.25">
      <c r="A5023" s="157">
        <v>45216</v>
      </c>
      <c r="B5023" s="158">
        <v>2.4300000000000002</v>
      </c>
    </row>
    <row r="5024" spans="1:2" x14ac:dyDescent="0.25">
      <c r="A5024" s="157">
        <v>45217</v>
      </c>
      <c r="B5024" s="158">
        <v>2.48</v>
      </c>
    </row>
    <row r="5025" spans="1:2" x14ac:dyDescent="0.25">
      <c r="A5025" s="157">
        <v>45218</v>
      </c>
      <c r="B5025" s="158">
        <v>2.5299999999999998</v>
      </c>
    </row>
    <row r="5026" spans="1:2" x14ac:dyDescent="0.25">
      <c r="A5026" s="157">
        <v>45219</v>
      </c>
      <c r="B5026" s="158">
        <v>2.52</v>
      </c>
    </row>
    <row r="5027" spans="1:2" x14ac:dyDescent="0.25">
      <c r="A5027" s="157">
        <v>45222</v>
      </c>
      <c r="B5027" s="158">
        <v>2.4900000000000002</v>
      </c>
    </row>
    <row r="5028" spans="1:2" x14ac:dyDescent="0.25">
      <c r="A5028" s="157">
        <v>45223</v>
      </c>
      <c r="B5028" s="158">
        <v>2.46</v>
      </c>
    </row>
    <row r="5029" spans="1:2" x14ac:dyDescent="0.25">
      <c r="A5029" s="157">
        <v>45224</v>
      </c>
      <c r="B5029" s="158">
        <v>2.5499999999999998</v>
      </c>
    </row>
    <row r="5030" spans="1:2" x14ac:dyDescent="0.25">
      <c r="A5030" s="157">
        <v>45225</v>
      </c>
      <c r="B5030" s="158">
        <v>2.4700000000000002</v>
      </c>
    </row>
    <row r="5031" spans="1:2" x14ac:dyDescent="0.25">
      <c r="A5031" s="157">
        <v>45226</v>
      </c>
      <c r="B5031" s="158">
        <v>2.48</v>
      </c>
    </row>
    <row r="5032" spans="1:2" x14ac:dyDescent="0.25">
      <c r="A5032" s="157">
        <v>45229</v>
      </c>
      <c r="B5032" s="158">
        <v>2.4900000000000002</v>
      </c>
    </row>
    <row r="5033" spans="1:2" x14ac:dyDescent="0.25">
      <c r="A5033" s="157">
        <v>45230</v>
      </c>
      <c r="B5033" s="158">
        <v>2.4900000000000002</v>
      </c>
    </row>
    <row r="5034" spans="1:2" x14ac:dyDescent="0.25">
      <c r="A5034" s="157">
        <v>45231</v>
      </c>
      <c r="B5034" s="158">
        <v>2.41</v>
      </c>
    </row>
    <row r="5035" spans="1:2" x14ac:dyDescent="0.25">
      <c r="A5035" s="157">
        <v>45232</v>
      </c>
      <c r="B5035" s="158">
        <v>2.29</v>
      </c>
    </row>
    <row r="5036" spans="1:2" x14ac:dyDescent="0.25">
      <c r="A5036" s="157">
        <v>45233</v>
      </c>
      <c r="B5036" s="158">
        <v>2.2400000000000002</v>
      </c>
    </row>
    <row r="5037" spans="1:2" x14ac:dyDescent="0.25">
      <c r="A5037" s="157">
        <v>45236</v>
      </c>
      <c r="B5037" s="158">
        <v>2.29</v>
      </c>
    </row>
    <row r="5038" spans="1:2" x14ac:dyDescent="0.25">
      <c r="A5038" s="157">
        <v>45237</v>
      </c>
      <c r="B5038" s="158">
        <v>2.2200000000000002</v>
      </c>
    </row>
    <row r="5039" spans="1:2" x14ac:dyDescent="0.25">
      <c r="A5039" s="157">
        <v>45238</v>
      </c>
      <c r="B5039" s="158">
        <v>2.16</v>
      </c>
    </row>
    <row r="5040" spans="1:2" x14ac:dyDescent="0.25">
      <c r="A5040" s="157">
        <v>45239</v>
      </c>
      <c r="B5040" s="158">
        <v>2.29</v>
      </c>
    </row>
    <row r="5041" spans="1:2" x14ac:dyDescent="0.25">
      <c r="A5041" s="157">
        <v>45240</v>
      </c>
      <c r="B5041" s="158">
        <v>2.2799999999999998</v>
      </c>
    </row>
    <row r="5042" spans="1:2" x14ac:dyDescent="0.25">
      <c r="A5042" s="157">
        <v>45243</v>
      </c>
      <c r="B5042" s="158">
        <v>2.3199999999999998</v>
      </c>
    </row>
    <row r="5043" spans="1:2" x14ac:dyDescent="0.25">
      <c r="A5043" s="157">
        <v>45244</v>
      </c>
      <c r="B5043" s="158">
        <v>2.2000000000000002</v>
      </c>
    </row>
    <row r="5044" spans="1:2" x14ac:dyDescent="0.25">
      <c r="A5044" s="157">
        <v>45245</v>
      </c>
      <c r="B5044" s="158">
        <v>2.25</v>
      </c>
    </row>
    <row r="5045" spans="1:2" x14ac:dyDescent="0.25">
      <c r="A5045" s="157">
        <v>45246</v>
      </c>
      <c r="B5045" s="158">
        <v>2.2200000000000002</v>
      </c>
    </row>
    <row r="5046" spans="1:2" x14ac:dyDescent="0.25">
      <c r="A5046" s="157">
        <v>45247</v>
      </c>
      <c r="B5046" s="158">
        <v>2.2000000000000002</v>
      </c>
    </row>
    <row r="5047" spans="1:2" x14ac:dyDescent="0.25">
      <c r="A5047" s="157">
        <v>45250</v>
      </c>
      <c r="B5047" s="158">
        <v>2.16</v>
      </c>
    </row>
    <row r="5048" spans="1:2" x14ac:dyDescent="0.25">
      <c r="A5048" s="157">
        <v>45251</v>
      </c>
      <c r="B5048" s="158">
        <v>2.2000000000000002</v>
      </c>
    </row>
    <row r="5049" spans="1:2" x14ac:dyDescent="0.25">
      <c r="A5049" s="157">
        <v>45252</v>
      </c>
      <c r="B5049" s="158">
        <v>2.17</v>
      </c>
    </row>
    <row r="5050" spans="1:2" x14ac:dyDescent="0.25">
      <c r="A5050" s="157">
        <v>45253</v>
      </c>
      <c r="B5050" s="158" t="e">
        <f>NA()</f>
        <v>#N/A</v>
      </c>
    </row>
    <row r="5051" spans="1:2" x14ac:dyDescent="0.25">
      <c r="A5051" s="157">
        <v>45254</v>
      </c>
      <c r="B5051" s="158">
        <v>2.2200000000000002</v>
      </c>
    </row>
    <row r="5052" spans="1:2" x14ac:dyDescent="0.25">
      <c r="A5052" s="157">
        <v>45257</v>
      </c>
      <c r="B5052" s="158">
        <v>2.19</v>
      </c>
    </row>
    <row r="5053" spans="1:2" x14ac:dyDescent="0.25">
      <c r="A5053" s="157">
        <v>45258</v>
      </c>
      <c r="B5053" s="158">
        <v>2.17</v>
      </c>
    </row>
    <row r="5054" spans="1:2" x14ac:dyDescent="0.25">
      <c r="A5054" s="157">
        <v>45259</v>
      </c>
      <c r="B5054" s="158">
        <v>2.11</v>
      </c>
    </row>
    <row r="5055" spans="1:2" x14ac:dyDescent="0.25">
      <c r="A5055" s="157">
        <v>45260</v>
      </c>
      <c r="B5055" s="158">
        <v>2.1800000000000002</v>
      </c>
    </row>
    <row r="5056" spans="1:2" x14ac:dyDescent="0.25">
      <c r="A5056" s="157">
        <v>45261</v>
      </c>
      <c r="B5056" s="158">
        <v>2.0699999999999998</v>
      </c>
    </row>
    <row r="5057" spans="1:2" x14ac:dyDescent="0.25">
      <c r="A5057" s="157">
        <v>45264</v>
      </c>
      <c r="B5057" s="158">
        <v>2.13</v>
      </c>
    </row>
    <row r="5058" spans="1:2" x14ac:dyDescent="0.25">
      <c r="A5058" s="157">
        <v>45265</v>
      </c>
      <c r="B5058" s="158">
        <v>2.04</v>
      </c>
    </row>
    <row r="5059" spans="1:2" x14ac:dyDescent="0.25">
      <c r="A5059" s="157">
        <v>45266</v>
      </c>
      <c r="B5059" s="158">
        <v>1.99</v>
      </c>
    </row>
    <row r="5060" spans="1:2" x14ac:dyDescent="0.25">
      <c r="A5060" s="157">
        <v>45267</v>
      </c>
      <c r="B5060" s="158">
        <v>1.99</v>
      </c>
    </row>
    <row r="5061" spans="1:2" x14ac:dyDescent="0.25">
      <c r="A5061" s="157">
        <v>45268</v>
      </c>
      <c r="B5061" s="158">
        <v>2.0299999999999998</v>
      </c>
    </row>
    <row r="5062" spans="1:2" x14ac:dyDescent="0.25">
      <c r="A5062" s="157">
        <v>45271</v>
      </c>
      <c r="B5062" s="158">
        <v>2.0499999999999998</v>
      </c>
    </row>
    <row r="5063" spans="1:2" x14ac:dyDescent="0.25">
      <c r="A5063" s="157">
        <v>45272</v>
      </c>
      <c r="B5063" s="158">
        <v>2.0499999999999998</v>
      </c>
    </row>
    <row r="5064" spans="1:2" x14ac:dyDescent="0.25">
      <c r="A5064" s="157">
        <v>45273</v>
      </c>
      <c r="B5064" s="158">
        <v>1.94</v>
      </c>
    </row>
    <row r="5065" spans="1:2" x14ac:dyDescent="0.25">
      <c r="A5065" s="157">
        <v>45274</v>
      </c>
      <c r="B5065" s="158">
        <v>1.77</v>
      </c>
    </row>
    <row r="5066" spans="1:2" x14ac:dyDescent="0.25">
      <c r="A5066" s="157">
        <v>45275</v>
      </c>
      <c r="B5066" s="158">
        <v>1.76</v>
      </c>
    </row>
    <row r="5067" spans="1:2" x14ac:dyDescent="0.25">
      <c r="A5067" s="157">
        <v>45278</v>
      </c>
      <c r="B5067" s="158">
        <v>1.81</v>
      </c>
    </row>
    <row r="5068" spans="1:2" x14ac:dyDescent="0.25">
      <c r="A5068" s="157">
        <v>45279</v>
      </c>
      <c r="B5068" s="158">
        <v>1.81</v>
      </c>
    </row>
    <row r="5069" spans="1:2" x14ac:dyDescent="0.25">
      <c r="A5069" s="157">
        <v>45280</v>
      </c>
      <c r="B5069" s="158">
        <v>1.76</v>
      </c>
    </row>
    <row r="5070" spans="1:2" x14ac:dyDescent="0.25">
      <c r="A5070" s="157">
        <v>45281</v>
      </c>
      <c r="B5070" s="158">
        <v>1.79</v>
      </c>
    </row>
    <row r="5071" spans="1:2" x14ac:dyDescent="0.25">
      <c r="A5071" s="157">
        <v>45282</v>
      </c>
      <c r="B5071" s="158">
        <v>1.81</v>
      </c>
    </row>
    <row r="5072" spans="1:2" x14ac:dyDescent="0.25">
      <c r="A5072" s="157">
        <v>45285</v>
      </c>
      <c r="B5072" s="158" t="e">
        <f>NA()</f>
        <v>#N/A</v>
      </c>
    </row>
    <row r="5073" spans="1:2" x14ac:dyDescent="0.25">
      <c r="A5073" s="157">
        <v>45286</v>
      </c>
      <c r="B5073" s="158">
        <v>1.81</v>
      </c>
    </row>
    <row r="5074" spans="1:2" x14ac:dyDescent="0.25">
      <c r="A5074" s="157">
        <v>45287</v>
      </c>
      <c r="B5074" s="158">
        <v>1.74</v>
      </c>
    </row>
    <row r="5075" spans="1:2" x14ac:dyDescent="0.25">
      <c r="A5075" s="157">
        <v>45288</v>
      </c>
      <c r="B5075" s="158">
        <v>1.77</v>
      </c>
    </row>
    <row r="5076" spans="1:2" x14ac:dyDescent="0.25">
      <c r="A5076" s="157">
        <v>45289</v>
      </c>
      <c r="B5076" s="158">
        <v>1.82</v>
      </c>
    </row>
    <row r="5077" spans="1:2" x14ac:dyDescent="0.25">
      <c r="A5077" s="157">
        <v>45292</v>
      </c>
      <c r="B5077" s="158" t="e">
        <f>NA()</f>
        <v>#N/A</v>
      </c>
    </row>
    <row r="5078" spans="1:2" x14ac:dyDescent="0.25">
      <c r="A5078" s="157">
        <v>45293</v>
      </c>
      <c r="B5078" s="158">
        <v>1.84</v>
      </c>
    </row>
    <row r="5079" spans="1:2" x14ac:dyDescent="0.25">
      <c r="A5079" s="157">
        <v>45294</v>
      </c>
      <c r="B5079" s="158">
        <v>1.81</v>
      </c>
    </row>
    <row r="5080" spans="1:2" x14ac:dyDescent="0.25">
      <c r="A5080" s="157">
        <v>45295</v>
      </c>
      <c r="B5080" s="158">
        <v>1.88</v>
      </c>
    </row>
    <row r="5081" spans="1:2" x14ac:dyDescent="0.25">
      <c r="A5081" s="157">
        <v>45296</v>
      </c>
      <c r="B5081" s="158">
        <v>1.94</v>
      </c>
    </row>
    <row r="5082" spans="1:2" x14ac:dyDescent="0.25">
      <c r="A5082" s="157">
        <v>45299</v>
      </c>
      <c r="B5082" s="158">
        <v>1.9</v>
      </c>
    </row>
    <row r="5083" spans="1:2" x14ac:dyDescent="0.25">
      <c r="A5083" s="157">
        <v>45300</v>
      </c>
      <c r="B5083" s="158">
        <v>1.91</v>
      </c>
    </row>
    <row r="5084" spans="1:2" x14ac:dyDescent="0.25">
      <c r="A5084" s="157">
        <v>45301</v>
      </c>
      <c r="B5084" s="158">
        <v>1.93</v>
      </c>
    </row>
    <row r="5085" spans="1:2" x14ac:dyDescent="0.25">
      <c r="A5085" s="157">
        <v>45302</v>
      </c>
      <c r="B5085" s="158">
        <v>1.89</v>
      </c>
    </row>
    <row r="5086" spans="1:2" x14ac:dyDescent="0.25">
      <c r="A5086" s="157">
        <v>45303</v>
      </c>
      <c r="B5086" s="158">
        <v>1.85</v>
      </c>
    </row>
    <row r="5087" spans="1:2" x14ac:dyDescent="0.25">
      <c r="A5087" s="157">
        <v>45306</v>
      </c>
      <c r="B5087" s="158" t="e">
        <f>NA()</f>
        <v>#N/A</v>
      </c>
    </row>
    <row r="5088" spans="1:2" x14ac:dyDescent="0.25">
      <c r="A5088" s="157">
        <v>45307</v>
      </c>
      <c r="B5088" s="158">
        <v>1.93</v>
      </c>
    </row>
    <row r="5089" spans="1:2" x14ac:dyDescent="0.25">
      <c r="A5089" s="157">
        <v>45308</v>
      </c>
      <c r="B5089" s="158">
        <v>1.94</v>
      </c>
    </row>
    <row r="5090" spans="1:2" x14ac:dyDescent="0.25">
      <c r="A5090" s="157">
        <v>45309</v>
      </c>
      <c r="B5090" s="158">
        <v>1.95</v>
      </c>
    </row>
    <row r="5091" spans="1:2" x14ac:dyDescent="0.25">
      <c r="A5091" s="157">
        <v>45310</v>
      </c>
      <c r="B5091" s="158">
        <v>1.94</v>
      </c>
    </row>
    <row r="5092" spans="1:2" x14ac:dyDescent="0.25">
      <c r="A5092" s="157">
        <v>45313</v>
      </c>
      <c r="B5092" s="158">
        <v>1.93</v>
      </c>
    </row>
    <row r="5093" spans="1:2" x14ac:dyDescent="0.25">
      <c r="A5093" s="157">
        <v>45314</v>
      </c>
      <c r="B5093" s="158">
        <v>1.99</v>
      </c>
    </row>
    <row r="5094" spans="1:2" x14ac:dyDescent="0.25">
      <c r="A5094" s="157">
        <v>45315</v>
      </c>
      <c r="B5094" s="158">
        <v>2.02</v>
      </c>
    </row>
    <row r="5095" spans="1:2" x14ac:dyDescent="0.25">
      <c r="A5095" s="157">
        <v>45316</v>
      </c>
      <c r="B5095" s="158">
        <v>2</v>
      </c>
    </row>
    <row r="5096" spans="1:2" x14ac:dyDescent="0.25">
      <c r="A5096" s="157">
        <v>45317</v>
      </c>
      <c r="B5096" s="158">
        <v>2</v>
      </c>
    </row>
    <row r="5097" spans="1:2" x14ac:dyDescent="0.25">
      <c r="A5097" s="157">
        <v>45320</v>
      </c>
      <c r="B5097" s="158">
        <v>1.94</v>
      </c>
    </row>
    <row r="5098" spans="1:2" x14ac:dyDescent="0.25">
      <c r="A5098" s="157">
        <v>45321</v>
      </c>
      <c r="B5098" s="158">
        <v>1.94</v>
      </c>
    </row>
    <row r="5099" spans="1:2" x14ac:dyDescent="0.25">
      <c r="A5099" s="157">
        <v>45322</v>
      </c>
      <c r="B5099" s="158">
        <v>1.89</v>
      </c>
    </row>
    <row r="5100" spans="1:2" x14ac:dyDescent="0.25">
      <c r="A5100" s="157">
        <v>45323</v>
      </c>
      <c r="B5100" s="158">
        <v>1.82</v>
      </c>
    </row>
    <row r="5101" spans="1:2" x14ac:dyDescent="0.25">
      <c r="A5101" s="157">
        <v>45324</v>
      </c>
      <c r="B5101" s="158">
        <v>1.93</v>
      </c>
    </row>
    <row r="5102" spans="1:2" x14ac:dyDescent="0.25">
      <c r="A5102" s="157">
        <v>45327</v>
      </c>
      <c r="B5102" s="158">
        <v>2.0099999999999998</v>
      </c>
    </row>
    <row r="5103" spans="1:2" x14ac:dyDescent="0.25">
      <c r="A5103" s="157">
        <v>45328</v>
      </c>
      <c r="B5103" s="158">
        <v>1.98</v>
      </c>
    </row>
    <row r="5104" spans="1:2" x14ac:dyDescent="0.25">
      <c r="A5104" s="157">
        <v>45329</v>
      </c>
      <c r="B5104" s="158">
        <v>2</v>
      </c>
    </row>
    <row r="5105" spans="1:2" x14ac:dyDescent="0.25">
      <c r="A5105" s="157">
        <v>45330</v>
      </c>
      <c r="B5105" s="158">
        <v>2.04</v>
      </c>
    </row>
    <row r="5106" spans="1:2" x14ac:dyDescent="0.25">
      <c r="A5106" s="157">
        <v>45331</v>
      </c>
      <c r="B5106" s="158">
        <v>2.0499999999999998</v>
      </c>
    </row>
    <row r="5107" spans="1:2" x14ac:dyDescent="0.25">
      <c r="A5107" s="157">
        <v>45334</v>
      </c>
      <c r="B5107" s="158">
        <v>2.06</v>
      </c>
    </row>
    <row r="5108" spans="1:2" x14ac:dyDescent="0.25">
      <c r="A5108" s="157">
        <v>45335</v>
      </c>
      <c r="B5108" s="158">
        <v>2.13</v>
      </c>
    </row>
    <row r="5109" spans="1:2" x14ac:dyDescent="0.25">
      <c r="A5109" s="157">
        <v>45336</v>
      </c>
      <c r="B5109" s="158">
        <v>2.1</v>
      </c>
    </row>
    <row r="5110" spans="1:2" x14ac:dyDescent="0.25">
      <c r="A5110" s="157">
        <v>45337</v>
      </c>
      <c r="B5110" s="158">
        <v>2.0699999999999998</v>
      </c>
    </row>
    <row r="5111" spans="1:2" x14ac:dyDescent="0.25">
      <c r="A5111" s="157">
        <v>45338</v>
      </c>
      <c r="B5111" s="158">
        <v>2.09</v>
      </c>
    </row>
    <row r="5112" spans="1:2" x14ac:dyDescent="0.25">
      <c r="A5112" s="157">
        <v>45341</v>
      </c>
      <c r="B5112" s="158" t="e">
        <f>NA()</f>
        <v>#N/A</v>
      </c>
    </row>
    <row r="5113" spans="1:2" x14ac:dyDescent="0.25">
      <c r="A5113" s="157">
        <v>45342</v>
      </c>
      <c r="B5113" s="158">
        <v>2.08</v>
      </c>
    </row>
    <row r="5114" spans="1:2" x14ac:dyDescent="0.25">
      <c r="A5114" s="157">
        <v>45343</v>
      </c>
      <c r="B5114" s="158">
        <v>2.11</v>
      </c>
    </row>
    <row r="5115" spans="1:2" x14ac:dyDescent="0.25">
      <c r="A5115" s="157">
        <v>45344</v>
      </c>
      <c r="B5115" s="158">
        <v>2.12</v>
      </c>
    </row>
    <row r="5116" spans="1:2" x14ac:dyDescent="0.25">
      <c r="A5116" s="157">
        <v>45345</v>
      </c>
      <c r="B5116" s="158">
        <v>2.0499999999999998</v>
      </c>
    </row>
    <row r="5117" spans="1:2" x14ac:dyDescent="0.25">
      <c r="A5117" s="157">
        <v>45348</v>
      </c>
      <c r="B5117" s="158">
        <v>2.06</v>
      </c>
    </row>
    <row r="5118" spans="1:2" x14ac:dyDescent="0.25">
      <c r="A5118" s="157">
        <v>45349</v>
      </c>
      <c r="B5118" s="158">
        <v>2.09</v>
      </c>
    </row>
    <row r="5119" spans="1:2" x14ac:dyDescent="0.25">
      <c r="A5119" s="157">
        <v>45350</v>
      </c>
      <c r="B5119" s="158">
        <v>2.0499999999999998</v>
      </c>
    </row>
    <row r="5120" spans="1:2" x14ac:dyDescent="0.25">
      <c r="A5120" s="157">
        <v>45351</v>
      </c>
      <c r="B5120" s="158">
        <v>2.02</v>
      </c>
    </row>
    <row r="5121" spans="1:2" x14ac:dyDescent="0.25">
      <c r="A5121" s="157">
        <v>45352</v>
      </c>
      <c r="B5121" s="158">
        <v>1.98</v>
      </c>
    </row>
    <row r="5122" spans="1:2" x14ac:dyDescent="0.25">
      <c r="A5122" s="157">
        <v>45355</v>
      </c>
      <c r="B5122" s="158">
        <v>1.98</v>
      </c>
    </row>
    <row r="5123" spans="1:2" x14ac:dyDescent="0.25">
      <c r="A5123" s="157">
        <v>45356</v>
      </c>
      <c r="B5123" s="158">
        <v>1.91</v>
      </c>
    </row>
    <row r="5124" spans="1:2" x14ac:dyDescent="0.25">
      <c r="A5124" s="157">
        <v>45357</v>
      </c>
      <c r="B5124" s="158">
        <v>1.91</v>
      </c>
    </row>
    <row r="5125" spans="1:2" x14ac:dyDescent="0.25">
      <c r="A5125" s="157">
        <v>45358</v>
      </c>
      <c r="B5125" s="158">
        <v>1.93</v>
      </c>
    </row>
    <row r="5126" spans="1:2" x14ac:dyDescent="0.25">
      <c r="A5126" s="157">
        <v>45359</v>
      </c>
      <c r="B5126" s="158">
        <v>1.93</v>
      </c>
    </row>
    <row r="5127" spans="1:2" x14ac:dyDescent="0.25">
      <c r="A5127" s="157">
        <v>45362</v>
      </c>
      <c r="B5127" s="158">
        <v>1.94</v>
      </c>
    </row>
    <row r="5128" spans="1:2" x14ac:dyDescent="0.25">
      <c r="A5128" s="157">
        <v>45363</v>
      </c>
      <c r="B5128" s="158">
        <v>1.98</v>
      </c>
    </row>
    <row r="5129" spans="1:2" x14ac:dyDescent="0.25">
      <c r="A5129" s="157">
        <v>45364</v>
      </c>
      <c r="B5129" s="158">
        <v>2.0099999999999998</v>
      </c>
    </row>
    <row r="5130" spans="1:2" x14ac:dyDescent="0.25">
      <c r="A5130" s="157">
        <v>45365</v>
      </c>
      <c r="B5130" s="158">
        <v>2.1</v>
      </c>
    </row>
    <row r="5131" spans="1:2" x14ac:dyDescent="0.25">
      <c r="A5131" s="157">
        <v>45366</v>
      </c>
      <c r="B5131" s="158">
        <v>2.09</v>
      </c>
    </row>
    <row r="5132" spans="1:2" x14ac:dyDescent="0.25">
      <c r="A5132" s="157">
        <v>45369</v>
      </c>
      <c r="B5132" s="158">
        <v>2.12</v>
      </c>
    </row>
    <row r="5133" spans="1:2" x14ac:dyDescent="0.25">
      <c r="A5133" s="157">
        <v>45370</v>
      </c>
      <c r="B5133" s="158">
        <v>2.1</v>
      </c>
    </row>
    <row r="5134" spans="1:2" x14ac:dyDescent="0.25">
      <c r="A5134" s="157">
        <v>45371</v>
      </c>
      <c r="B5134" s="158">
        <v>2.08</v>
      </c>
    </row>
    <row r="5135" spans="1:2" x14ac:dyDescent="0.25">
      <c r="A5135" s="157">
        <v>45372</v>
      </c>
      <c r="B5135" s="158">
        <v>2.06</v>
      </c>
    </row>
    <row r="5136" spans="1:2" x14ac:dyDescent="0.25">
      <c r="A5136" s="157">
        <v>45373</v>
      </c>
      <c r="B5136" s="158">
        <v>2.0099999999999998</v>
      </c>
    </row>
    <row r="5137" spans="1:2" x14ac:dyDescent="0.25">
      <c r="A5137" s="157">
        <v>45376</v>
      </c>
      <c r="B5137" s="158">
        <v>2.0499999999999998</v>
      </c>
    </row>
    <row r="5138" spans="1:2" x14ac:dyDescent="0.25">
      <c r="A5138" s="157">
        <v>45377</v>
      </c>
      <c r="B5138" s="158">
        <v>2.0499999999999998</v>
      </c>
    </row>
    <row r="5139" spans="1:2" x14ac:dyDescent="0.25">
      <c r="A5139" s="157">
        <v>45378</v>
      </c>
      <c r="B5139" s="158">
        <v>2</v>
      </c>
    </row>
    <row r="5140" spans="1:2" x14ac:dyDescent="0.25">
      <c r="A5140" s="157">
        <v>45379</v>
      </c>
      <c r="B5140" s="158">
        <v>1.99</v>
      </c>
    </row>
    <row r="5141" spans="1:2" x14ac:dyDescent="0.25">
      <c r="A5141" s="157">
        <v>45380</v>
      </c>
      <c r="B5141" s="158" t="e">
        <f>NA()</f>
        <v>#N/A</v>
      </c>
    </row>
    <row r="5142" spans="1:2" x14ac:dyDescent="0.25">
      <c r="A5142" s="157">
        <v>45383</v>
      </c>
      <c r="B5142" s="158">
        <v>2.09</v>
      </c>
    </row>
    <row r="5143" spans="1:2" x14ac:dyDescent="0.25">
      <c r="A5143" s="157">
        <v>45384</v>
      </c>
      <c r="B5143" s="158">
        <v>2.11</v>
      </c>
    </row>
    <row r="5144" spans="1:2" x14ac:dyDescent="0.25">
      <c r="A5144" s="157">
        <v>45385</v>
      </c>
      <c r="B5144" s="158">
        <v>2.12</v>
      </c>
    </row>
    <row r="5145" spans="1:2" x14ac:dyDescent="0.25">
      <c r="A5145" s="157">
        <v>45386</v>
      </c>
      <c r="B5145" s="158">
        <v>2.09</v>
      </c>
    </row>
    <row r="5146" spans="1:2" x14ac:dyDescent="0.25">
      <c r="A5146" s="157">
        <v>45387</v>
      </c>
      <c r="B5146" s="158">
        <v>2.14</v>
      </c>
    </row>
    <row r="5147" spans="1:2" x14ac:dyDescent="0.25">
      <c r="A5147" s="157">
        <v>45390</v>
      </c>
      <c r="B5147" s="158">
        <v>2.15</v>
      </c>
    </row>
    <row r="5148" spans="1:2" x14ac:dyDescent="0.25">
      <c r="A5148" s="157">
        <v>45391</v>
      </c>
      <c r="B5148" s="158">
        <v>2.1</v>
      </c>
    </row>
    <row r="5149" spans="1:2" x14ac:dyDescent="0.25">
      <c r="A5149" s="157">
        <v>45392</v>
      </c>
      <c r="B5149" s="158">
        <v>2.23</v>
      </c>
    </row>
    <row r="5150" spans="1:2" x14ac:dyDescent="0.25">
      <c r="A5150" s="157">
        <v>45393</v>
      </c>
      <c r="B5150" s="158">
        <v>2.25</v>
      </c>
    </row>
    <row r="5151" spans="1:2" x14ac:dyDescent="0.25">
      <c r="A5151" s="157">
        <v>45394</v>
      </c>
      <c r="B5151" s="158">
        <v>2.21</v>
      </c>
    </row>
    <row r="5152" spans="1:2" x14ac:dyDescent="0.25">
      <c r="A5152" s="157">
        <v>45397</v>
      </c>
      <c r="B5152" s="158">
        <v>2.2999999999999998</v>
      </c>
    </row>
    <row r="5153" spans="1:2" x14ac:dyDescent="0.25">
      <c r="A5153" s="157">
        <v>45398</v>
      </c>
      <c r="B5153" s="158">
        <v>2.34</v>
      </c>
    </row>
    <row r="5154" spans="1:2" x14ac:dyDescent="0.25">
      <c r="A5154" s="157">
        <v>45399</v>
      </c>
      <c r="B5154" s="158">
        <v>2.2999999999999998</v>
      </c>
    </row>
    <row r="5155" spans="1:2" x14ac:dyDescent="0.25">
      <c r="A5155" s="157">
        <v>45400</v>
      </c>
      <c r="B5155" s="158">
        <v>2.3199999999999998</v>
      </c>
    </row>
    <row r="5156" spans="1:2" x14ac:dyDescent="0.25">
      <c r="A5156" s="157">
        <v>45401</v>
      </c>
      <c r="B5156" s="158">
        <v>2.29</v>
      </c>
    </row>
    <row r="5157" spans="1:2" x14ac:dyDescent="0.25">
      <c r="A5157" s="157">
        <v>45404</v>
      </c>
      <c r="B5157" s="158">
        <v>2.2999999999999998</v>
      </c>
    </row>
    <row r="5158" spans="1:2" x14ac:dyDescent="0.25">
      <c r="A5158" s="157">
        <v>45405</v>
      </c>
      <c r="B5158" s="158">
        <v>2.2999999999999998</v>
      </c>
    </row>
    <row r="5159" spans="1:2" x14ac:dyDescent="0.25">
      <c r="A5159" s="157">
        <v>45406</v>
      </c>
      <c r="B5159" s="158">
        <v>2.34</v>
      </c>
    </row>
    <row r="5160" spans="1:2" x14ac:dyDescent="0.25">
      <c r="A5160" s="157">
        <v>45407</v>
      </c>
      <c r="B5160" s="158">
        <v>2.36</v>
      </c>
    </row>
    <row r="5161" spans="1:2" x14ac:dyDescent="0.25">
      <c r="A5161" s="157">
        <v>45408</v>
      </c>
      <c r="B5161" s="158">
        <v>2.3199999999999998</v>
      </c>
    </row>
    <row r="5162" spans="1:2" x14ac:dyDescent="0.25">
      <c r="A5162" s="157">
        <v>45411</v>
      </c>
      <c r="B5162" s="158">
        <v>2.2999999999999998</v>
      </c>
    </row>
    <row r="5163" spans="1:2" x14ac:dyDescent="0.25">
      <c r="A5163" s="157">
        <v>45412</v>
      </c>
      <c r="B5163" s="158">
        <v>2.35</v>
      </c>
    </row>
    <row r="5164" spans="1:2" x14ac:dyDescent="0.25">
      <c r="A5164" s="157">
        <v>45413</v>
      </c>
      <c r="B5164" s="158">
        <v>2.33</v>
      </c>
    </row>
    <row r="5165" spans="1:2" x14ac:dyDescent="0.25">
      <c r="A5165" s="157">
        <v>45414</v>
      </c>
      <c r="B5165" s="158">
        <v>2.2999999999999998</v>
      </c>
    </row>
    <row r="5166" spans="1:2" x14ac:dyDescent="0.25">
      <c r="A5166" s="157">
        <v>45415</v>
      </c>
      <c r="B5166" s="158">
        <v>2.2400000000000002</v>
      </c>
    </row>
    <row r="5167" spans="1:2" x14ac:dyDescent="0.25">
      <c r="A5167" s="157">
        <v>45418</v>
      </c>
      <c r="B5167" s="158">
        <v>2.2200000000000002</v>
      </c>
    </row>
    <row r="5168" spans="1:2" x14ac:dyDescent="0.25">
      <c r="A5168" s="157">
        <v>45419</v>
      </c>
      <c r="B5168" s="158">
        <v>2.2200000000000002</v>
      </c>
    </row>
    <row r="5169" spans="1:2" x14ac:dyDescent="0.25">
      <c r="A5169" s="157">
        <v>45420</v>
      </c>
      <c r="B5169" s="158">
        <v>2.2400000000000002</v>
      </c>
    </row>
    <row r="5170" spans="1:2" x14ac:dyDescent="0.25">
      <c r="A5170" s="157">
        <v>45421</v>
      </c>
      <c r="B5170" s="158">
        <v>2.2000000000000002</v>
      </c>
    </row>
    <row r="5171" spans="1:2" x14ac:dyDescent="0.25">
      <c r="A5171" s="157">
        <v>45422</v>
      </c>
      <c r="B5171" s="158">
        <v>2.23</v>
      </c>
    </row>
  </sheetData>
  <hyperlinks>
    <hyperlink ref="A5" r:id="rId1"/>
    <hyperlink ref="F5" r:id="rId2"/>
    <hyperlink ref="K5" r:id="rId3"/>
  </hyperlinks>
  <pageMargins left="0.75" right="0.75" top="1" bottom="1" header="0.5" footer="0.5"/>
  <pageSetup orientation="portrait" r:id="rId4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00B050"/>
  </sheetPr>
  <dimension ref="A1:K16276"/>
  <sheetViews>
    <sheetView workbookViewId="0">
      <pane ySplit="7" topLeftCell="A16250" activePane="bottomLeft" state="frozen"/>
      <selection activeCell="C50" sqref="C50"/>
      <selection pane="bottomLeft" activeCell="B16276" sqref="B16276"/>
    </sheetView>
  </sheetViews>
  <sheetFormatPr defaultColWidth="11.8984375" defaultRowHeight="13.2" x14ac:dyDescent="0.25"/>
  <cols>
    <col min="1" max="1" width="11.8984375" style="157"/>
    <col min="2" max="5" width="11.8984375" style="158"/>
    <col min="6" max="6" width="11.8984375" style="157"/>
    <col min="7" max="7" width="11.8984375" style="158"/>
    <col min="8" max="9" width="11.8984375" style="159"/>
    <col min="10" max="10" width="11.8984375" style="157"/>
    <col min="11" max="11" width="11.8984375" style="158"/>
    <col min="12" max="16384" width="11.8984375" style="159"/>
  </cols>
  <sheetData>
    <row r="1" spans="1:11" x14ac:dyDescent="0.25">
      <c r="A1" s="157" t="s">
        <v>403</v>
      </c>
      <c r="F1" s="165" t="s">
        <v>404</v>
      </c>
      <c r="J1" s="165" t="s">
        <v>405</v>
      </c>
    </row>
    <row r="2" spans="1:11" ht="13.8" x14ac:dyDescent="0.25">
      <c r="A2" s="157" t="s">
        <v>393</v>
      </c>
      <c r="B2" s="33" t="s">
        <v>394</v>
      </c>
      <c r="F2" s="157" t="s">
        <v>393</v>
      </c>
      <c r="G2" s="33" t="s">
        <v>394</v>
      </c>
      <c r="J2" s="157" t="s">
        <v>393</v>
      </c>
      <c r="K2" s="33" t="s">
        <v>394</v>
      </c>
    </row>
    <row r="3" spans="1:11" x14ac:dyDescent="0.25">
      <c r="A3" s="157" t="s">
        <v>11</v>
      </c>
      <c r="B3" s="158" t="s">
        <v>395</v>
      </c>
      <c r="F3" s="157" t="s">
        <v>396</v>
      </c>
      <c r="G3" s="158" t="s">
        <v>397</v>
      </c>
      <c r="J3" s="157" t="s">
        <v>398</v>
      </c>
      <c r="K3" s="158" t="s">
        <v>399</v>
      </c>
    </row>
    <row r="4" spans="1:11" x14ac:dyDescent="0.25">
      <c r="A4" s="157">
        <v>1</v>
      </c>
      <c r="B4" s="158" t="s">
        <v>576</v>
      </c>
      <c r="E4" s="159">
        <f>MATCH(9.99999999999999E+307,$A:$A)</f>
        <v>16276</v>
      </c>
      <c r="F4" s="157">
        <v>1</v>
      </c>
      <c r="G4" s="158" t="s">
        <v>577</v>
      </c>
      <c r="J4" s="157">
        <v>1</v>
      </c>
      <c r="K4" s="158" t="s">
        <v>578</v>
      </c>
    </row>
    <row r="5" spans="1:11" ht="13.8" x14ac:dyDescent="0.25">
      <c r="A5" s="160" t="s">
        <v>546</v>
      </c>
      <c r="F5" s="160" t="s">
        <v>546</v>
      </c>
      <c r="J5" s="160" t="s">
        <v>546</v>
      </c>
    </row>
    <row r="6" spans="1:11" x14ac:dyDescent="0.25">
      <c r="A6" s="157" t="s">
        <v>400</v>
      </c>
      <c r="F6" s="157" t="s">
        <v>400</v>
      </c>
      <c r="J6" s="157" t="s">
        <v>400</v>
      </c>
    </row>
    <row r="7" spans="1:11" x14ac:dyDescent="0.25">
      <c r="A7" s="157" t="s">
        <v>401</v>
      </c>
      <c r="B7" s="158" t="s">
        <v>402</v>
      </c>
      <c r="F7" s="157" t="s">
        <v>401</v>
      </c>
      <c r="G7" s="158" t="s">
        <v>402</v>
      </c>
      <c r="J7" s="157" t="s">
        <v>401</v>
      </c>
      <c r="K7" s="158" t="s">
        <v>402</v>
      </c>
    </row>
    <row r="8" spans="1:11" x14ac:dyDescent="0.25">
      <c r="A8" s="157">
        <v>22648</v>
      </c>
      <c r="B8" s="158">
        <v>4.07</v>
      </c>
      <c r="E8" s="166">
        <f>YEAR(F8)</f>
        <v>1953</v>
      </c>
      <c r="F8" s="157">
        <v>19450</v>
      </c>
      <c r="G8" s="158">
        <v>3.08</v>
      </c>
      <c r="J8" s="157">
        <v>22651</v>
      </c>
      <c r="K8" s="158">
        <v>4.07</v>
      </c>
    </row>
    <row r="9" spans="1:11" x14ac:dyDescent="0.25">
      <c r="A9" s="157">
        <v>22649</v>
      </c>
      <c r="B9" s="158">
        <v>4.07</v>
      </c>
      <c r="E9" s="166">
        <f t="shared" ref="E9:E72" si="0">YEAR(F9)</f>
        <v>1953</v>
      </c>
      <c r="F9" s="157">
        <v>19480</v>
      </c>
      <c r="G9" s="158">
        <v>3.18</v>
      </c>
      <c r="J9" s="157">
        <v>22658</v>
      </c>
      <c r="K9" s="158">
        <v>4.08</v>
      </c>
    </row>
    <row r="10" spans="1:11" x14ac:dyDescent="0.25">
      <c r="A10" s="157">
        <v>22650</v>
      </c>
      <c r="B10" s="158">
        <v>4.0599999999999996</v>
      </c>
      <c r="E10" s="166">
        <f t="shared" si="0"/>
        <v>1953</v>
      </c>
      <c r="F10" s="157">
        <v>19511</v>
      </c>
      <c r="G10" s="158">
        <v>3.21</v>
      </c>
      <c r="J10" s="157">
        <v>22665</v>
      </c>
      <c r="K10" s="158">
        <v>4.0999999999999996</v>
      </c>
    </row>
    <row r="11" spans="1:11" x14ac:dyDescent="0.25">
      <c r="A11" s="157">
        <v>22651</v>
      </c>
      <c r="B11" s="158">
        <v>4.07</v>
      </c>
      <c r="E11" s="166">
        <f t="shared" si="0"/>
        <v>1953</v>
      </c>
      <c r="F11" s="157">
        <v>19541</v>
      </c>
      <c r="G11" s="158">
        <v>3.12</v>
      </c>
      <c r="J11" s="157">
        <v>22672</v>
      </c>
      <c r="K11" s="158">
        <v>4.1100000000000003</v>
      </c>
    </row>
    <row r="12" spans="1:11" x14ac:dyDescent="0.25">
      <c r="A12" s="162">
        <v>22654</v>
      </c>
      <c r="B12" s="163">
        <v>4.08</v>
      </c>
      <c r="C12" s="163"/>
      <c r="D12" s="163"/>
      <c r="E12" s="166">
        <f t="shared" si="0"/>
        <v>1953</v>
      </c>
      <c r="F12" s="157">
        <v>19572</v>
      </c>
      <c r="G12" s="158">
        <v>3.1</v>
      </c>
      <c r="J12" s="157">
        <v>22679</v>
      </c>
      <c r="K12" s="158">
        <v>4.13</v>
      </c>
    </row>
    <row r="13" spans="1:11" x14ac:dyDescent="0.25">
      <c r="A13" s="162">
        <v>22655</v>
      </c>
      <c r="B13" s="163">
        <v>4.08</v>
      </c>
      <c r="C13" s="163"/>
      <c r="D13" s="163"/>
      <c r="E13" s="166">
        <f t="shared" si="0"/>
        <v>1953</v>
      </c>
      <c r="F13" s="157">
        <v>19603</v>
      </c>
      <c r="G13" s="158">
        <v>3.07</v>
      </c>
      <c r="J13" s="157">
        <v>22686</v>
      </c>
      <c r="K13" s="158">
        <v>4.12</v>
      </c>
    </row>
    <row r="14" spans="1:11" x14ac:dyDescent="0.25">
      <c r="A14" s="162">
        <v>22656</v>
      </c>
      <c r="B14" s="164">
        <v>4.09</v>
      </c>
      <c r="C14" s="164"/>
      <c r="D14" s="164"/>
      <c r="E14" s="166">
        <f t="shared" si="0"/>
        <v>1953</v>
      </c>
      <c r="F14" s="157">
        <v>19633</v>
      </c>
      <c r="G14" s="158">
        <v>2.95</v>
      </c>
      <c r="J14" s="157">
        <v>22693</v>
      </c>
      <c r="K14" s="158">
        <v>4.0999999999999996</v>
      </c>
    </row>
    <row r="15" spans="1:11" x14ac:dyDescent="0.25">
      <c r="A15" s="162">
        <v>22657</v>
      </c>
      <c r="B15" s="163">
        <v>4.08</v>
      </c>
      <c r="C15" s="163"/>
      <c r="D15" s="163"/>
      <c r="E15" s="166">
        <f t="shared" si="0"/>
        <v>1953</v>
      </c>
      <c r="F15" s="157">
        <v>19664</v>
      </c>
      <c r="G15" s="158">
        <v>2.95</v>
      </c>
      <c r="J15" s="157">
        <v>22700</v>
      </c>
      <c r="K15" s="158">
        <v>4.13</v>
      </c>
    </row>
    <row r="16" spans="1:11" x14ac:dyDescent="0.25">
      <c r="A16" s="162">
        <v>22658</v>
      </c>
      <c r="B16" s="163">
        <v>4.09</v>
      </c>
      <c r="C16" s="163"/>
      <c r="D16" s="163"/>
      <c r="E16" s="166">
        <f t="shared" si="0"/>
        <v>1953</v>
      </c>
      <c r="F16" s="157">
        <v>19694</v>
      </c>
      <c r="G16" s="158">
        <v>2.89</v>
      </c>
      <c r="J16" s="157">
        <v>22707</v>
      </c>
      <c r="K16" s="158">
        <v>4.0999999999999996</v>
      </c>
    </row>
    <row r="17" spans="1:11" x14ac:dyDescent="0.25">
      <c r="A17" s="162">
        <v>22661</v>
      </c>
      <c r="B17" s="163">
        <v>4.0999999999999996</v>
      </c>
      <c r="C17" s="163"/>
      <c r="D17" s="163"/>
      <c r="E17" s="166">
        <f t="shared" si="0"/>
        <v>1954</v>
      </c>
      <c r="F17" s="157">
        <v>19725</v>
      </c>
      <c r="G17" s="158">
        <v>2.8</v>
      </c>
      <c r="J17" s="157">
        <v>22714</v>
      </c>
      <c r="K17" s="158">
        <v>4.09</v>
      </c>
    </row>
    <row r="18" spans="1:11" x14ac:dyDescent="0.25">
      <c r="A18" s="162">
        <v>22662</v>
      </c>
      <c r="B18" s="163">
        <v>4.1100000000000003</v>
      </c>
      <c r="C18" s="163"/>
      <c r="D18" s="163"/>
      <c r="E18" s="166">
        <f t="shared" si="0"/>
        <v>1954</v>
      </c>
      <c r="F18" s="157">
        <v>19756</v>
      </c>
      <c r="G18" s="158">
        <v>2.72</v>
      </c>
      <c r="J18" s="157">
        <v>22721</v>
      </c>
      <c r="K18" s="158">
        <v>4.05</v>
      </c>
    </row>
    <row r="19" spans="1:11" x14ac:dyDescent="0.25">
      <c r="A19" s="162">
        <v>22663</v>
      </c>
      <c r="B19" s="163">
        <v>4.0999999999999996</v>
      </c>
      <c r="C19" s="163"/>
      <c r="D19" s="163"/>
      <c r="E19" s="166">
        <f t="shared" si="0"/>
        <v>1954</v>
      </c>
      <c r="F19" s="157">
        <v>19784</v>
      </c>
      <c r="G19" s="158">
        <v>2.61</v>
      </c>
      <c r="J19" s="157">
        <v>22728</v>
      </c>
      <c r="K19" s="158">
        <v>4.01</v>
      </c>
    </row>
    <row r="20" spans="1:11" x14ac:dyDescent="0.25">
      <c r="A20" s="162">
        <v>22664</v>
      </c>
      <c r="B20" s="163">
        <v>4.0999999999999996</v>
      </c>
      <c r="C20" s="163"/>
      <c r="D20" s="163"/>
      <c r="E20" s="166">
        <f t="shared" si="0"/>
        <v>1954</v>
      </c>
      <c r="F20" s="157">
        <v>19815</v>
      </c>
      <c r="G20" s="158">
        <v>2.6</v>
      </c>
      <c r="J20" s="157">
        <v>22735</v>
      </c>
      <c r="K20" s="158">
        <v>4</v>
      </c>
    </row>
    <row r="21" spans="1:11" x14ac:dyDescent="0.25">
      <c r="A21" s="162">
        <v>22665</v>
      </c>
      <c r="B21" s="163">
        <v>4.0999999999999996</v>
      </c>
      <c r="C21" s="163"/>
      <c r="D21" s="163"/>
      <c r="E21" s="166">
        <f t="shared" si="0"/>
        <v>1954</v>
      </c>
      <c r="F21" s="157">
        <v>19845</v>
      </c>
      <c r="G21" s="158">
        <v>2.66</v>
      </c>
      <c r="J21" s="157">
        <v>22742</v>
      </c>
      <c r="K21" s="158">
        <v>3.94</v>
      </c>
    </row>
    <row r="22" spans="1:11" x14ac:dyDescent="0.25">
      <c r="A22" s="162">
        <v>22668</v>
      </c>
      <c r="B22" s="163">
        <v>4.09</v>
      </c>
      <c r="C22" s="163"/>
      <c r="D22" s="163"/>
      <c r="E22" s="166">
        <f t="shared" si="0"/>
        <v>1954</v>
      </c>
      <c r="F22" s="157">
        <v>19876</v>
      </c>
      <c r="G22" s="158">
        <v>2.64</v>
      </c>
      <c r="J22" s="157">
        <v>22749</v>
      </c>
      <c r="K22" s="158">
        <v>3.93</v>
      </c>
    </row>
    <row r="23" spans="1:11" x14ac:dyDescent="0.25">
      <c r="A23" s="162">
        <v>22669</v>
      </c>
      <c r="B23" s="163">
        <v>4.0999999999999996</v>
      </c>
      <c r="C23" s="163"/>
      <c r="D23" s="163"/>
      <c r="E23" s="166">
        <f t="shared" si="0"/>
        <v>1954</v>
      </c>
      <c r="F23" s="157">
        <v>19906</v>
      </c>
      <c r="G23" s="158">
        <v>2.57</v>
      </c>
      <c r="J23" s="157">
        <v>22756</v>
      </c>
      <c r="K23" s="158">
        <v>3.91</v>
      </c>
    </row>
    <row r="24" spans="1:11" x14ac:dyDescent="0.25">
      <c r="A24" s="162">
        <v>22670</v>
      </c>
      <c r="B24" s="163">
        <v>4.0999999999999996</v>
      </c>
      <c r="C24" s="163"/>
      <c r="D24" s="163"/>
      <c r="E24" s="166">
        <f t="shared" si="0"/>
        <v>1954</v>
      </c>
      <c r="F24" s="157">
        <v>19937</v>
      </c>
      <c r="G24" s="158">
        <v>2.58</v>
      </c>
      <c r="J24" s="157">
        <v>22763</v>
      </c>
      <c r="K24" s="158">
        <v>3.93</v>
      </c>
    </row>
    <row r="25" spans="1:11" x14ac:dyDescent="0.25">
      <c r="A25" s="162">
        <v>22671</v>
      </c>
      <c r="B25" s="163">
        <v>4.12</v>
      </c>
      <c r="C25" s="163"/>
      <c r="D25" s="163"/>
      <c r="E25" s="166">
        <f t="shared" si="0"/>
        <v>1954</v>
      </c>
      <c r="F25" s="157">
        <v>19968</v>
      </c>
      <c r="G25" s="158">
        <v>2.6</v>
      </c>
      <c r="J25" s="157">
        <v>22770</v>
      </c>
      <c r="K25" s="158">
        <v>3.91</v>
      </c>
    </row>
    <row r="26" spans="1:11" x14ac:dyDescent="0.25">
      <c r="A26" s="162">
        <v>22672</v>
      </c>
      <c r="B26" s="163">
        <v>4.12</v>
      </c>
      <c r="C26" s="163"/>
      <c r="D26" s="163"/>
      <c r="E26" s="166">
        <f t="shared" si="0"/>
        <v>1954</v>
      </c>
      <c r="F26" s="157">
        <v>19998</v>
      </c>
      <c r="G26" s="158">
        <v>2.61</v>
      </c>
      <c r="J26" s="157">
        <v>22777</v>
      </c>
      <c r="K26" s="158">
        <v>3.89</v>
      </c>
    </row>
    <row r="27" spans="1:11" x14ac:dyDescent="0.25">
      <c r="A27" s="162">
        <v>22675</v>
      </c>
      <c r="B27" s="163">
        <v>4.13</v>
      </c>
      <c r="C27" s="163"/>
      <c r="D27" s="163"/>
      <c r="E27" s="166">
        <f t="shared" si="0"/>
        <v>1954</v>
      </c>
      <c r="F27" s="157">
        <v>20029</v>
      </c>
      <c r="G27" s="158">
        <v>2.65</v>
      </c>
      <c r="J27" s="157">
        <v>22784</v>
      </c>
      <c r="K27" s="158">
        <v>3.91</v>
      </c>
    </row>
    <row r="28" spans="1:11" x14ac:dyDescent="0.25">
      <c r="A28" s="162">
        <v>22676</v>
      </c>
      <c r="B28" s="163">
        <v>4.13</v>
      </c>
      <c r="C28" s="163"/>
      <c r="D28" s="163"/>
      <c r="E28" s="166">
        <f t="shared" si="0"/>
        <v>1954</v>
      </c>
      <c r="F28" s="157">
        <v>20059</v>
      </c>
      <c r="G28" s="158">
        <v>2.67</v>
      </c>
      <c r="J28" s="157">
        <v>22791</v>
      </c>
      <c r="K28" s="158">
        <v>3.95</v>
      </c>
    </row>
    <row r="29" spans="1:11" x14ac:dyDescent="0.25">
      <c r="A29" s="162">
        <v>22677</v>
      </c>
      <c r="B29" s="163">
        <v>4.13</v>
      </c>
      <c r="C29" s="163"/>
      <c r="D29" s="163"/>
      <c r="E29" s="166">
        <f t="shared" si="0"/>
        <v>1955</v>
      </c>
      <c r="F29" s="157">
        <v>20090</v>
      </c>
      <c r="G29" s="158">
        <v>2.75</v>
      </c>
      <c r="J29" s="157">
        <v>22798</v>
      </c>
      <c r="K29" s="158">
        <v>3.93</v>
      </c>
    </row>
    <row r="30" spans="1:11" x14ac:dyDescent="0.25">
      <c r="A30" s="162">
        <v>22678</v>
      </c>
      <c r="B30" s="163">
        <v>4.13</v>
      </c>
      <c r="C30" s="163"/>
      <c r="D30" s="163"/>
      <c r="E30" s="166">
        <f t="shared" si="0"/>
        <v>1955</v>
      </c>
      <c r="F30" s="157">
        <v>20121</v>
      </c>
      <c r="G30" s="158">
        <v>2.83</v>
      </c>
      <c r="J30" s="157">
        <v>22805</v>
      </c>
      <c r="K30" s="158">
        <v>3.93</v>
      </c>
    </row>
    <row r="31" spans="1:11" x14ac:dyDescent="0.25">
      <c r="A31" s="162">
        <v>22679</v>
      </c>
      <c r="B31" s="163">
        <v>4.13</v>
      </c>
      <c r="C31" s="163"/>
      <c r="D31" s="163"/>
      <c r="E31" s="166">
        <f t="shared" si="0"/>
        <v>1955</v>
      </c>
      <c r="F31" s="157">
        <v>20149</v>
      </c>
      <c r="G31" s="158">
        <v>2.84</v>
      </c>
      <c r="J31" s="157">
        <v>22812</v>
      </c>
      <c r="K31" s="158">
        <v>3.93</v>
      </c>
    </row>
    <row r="32" spans="1:11" x14ac:dyDescent="0.25">
      <c r="A32" s="162">
        <v>22682</v>
      </c>
      <c r="B32" s="163">
        <v>4.12</v>
      </c>
      <c r="C32" s="163"/>
      <c r="D32" s="163"/>
      <c r="E32" s="166">
        <f t="shared" si="0"/>
        <v>1955</v>
      </c>
      <c r="F32" s="157">
        <v>20180</v>
      </c>
      <c r="G32" s="158">
        <v>2.85</v>
      </c>
      <c r="J32" s="157">
        <v>22819</v>
      </c>
      <c r="K32" s="158">
        <v>3.96</v>
      </c>
    </row>
    <row r="33" spans="1:11" x14ac:dyDescent="0.25">
      <c r="A33" s="162">
        <v>22683</v>
      </c>
      <c r="B33" s="163">
        <v>4.13</v>
      </c>
      <c r="C33" s="163"/>
      <c r="D33" s="163"/>
      <c r="E33" s="166">
        <f t="shared" si="0"/>
        <v>1955</v>
      </c>
      <c r="F33" s="157">
        <v>20210</v>
      </c>
      <c r="G33" s="158">
        <v>2.87</v>
      </c>
      <c r="J33" s="157">
        <v>22826</v>
      </c>
      <c r="K33" s="158">
        <v>4.01</v>
      </c>
    </row>
    <row r="34" spans="1:11" x14ac:dyDescent="0.25">
      <c r="A34" s="162">
        <v>22684</v>
      </c>
      <c r="B34" s="163">
        <v>4.13</v>
      </c>
      <c r="C34" s="163"/>
      <c r="D34" s="163"/>
      <c r="E34" s="166">
        <f t="shared" si="0"/>
        <v>1955</v>
      </c>
      <c r="F34" s="157">
        <v>20241</v>
      </c>
      <c r="G34" s="158">
        <v>2.86</v>
      </c>
      <c r="J34" s="157">
        <v>22833</v>
      </c>
      <c r="K34" s="158">
        <v>4.03</v>
      </c>
    </row>
    <row r="35" spans="1:11" x14ac:dyDescent="0.25">
      <c r="A35" s="162">
        <v>22685</v>
      </c>
      <c r="B35" s="163">
        <v>4.12</v>
      </c>
      <c r="C35" s="163"/>
      <c r="D35" s="163"/>
      <c r="E35" s="166">
        <f t="shared" si="0"/>
        <v>1955</v>
      </c>
      <c r="F35" s="157">
        <v>20271</v>
      </c>
      <c r="G35" s="158">
        <v>2.94</v>
      </c>
      <c r="J35" s="157">
        <v>22840</v>
      </c>
      <c r="K35" s="158">
        <v>4.0599999999999996</v>
      </c>
    </row>
    <row r="36" spans="1:11" x14ac:dyDescent="0.25">
      <c r="A36" s="162">
        <v>22686</v>
      </c>
      <c r="B36" s="163">
        <v>4.1100000000000003</v>
      </c>
      <c r="C36" s="163"/>
      <c r="D36" s="163"/>
      <c r="E36" s="166">
        <f t="shared" si="0"/>
        <v>1955</v>
      </c>
      <c r="F36" s="157">
        <v>20302</v>
      </c>
      <c r="G36" s="158">
        <v>3.01</v>
      </c>
      <c r="J36" s="157">
        <v>22847</v>
      </c>
      <c r="K36" s="158">
        <v>4.0599999999999996</v>
      </c>
    </row>
    <row r="37" spans="1:11" x14ac:dyDescent="0.25">
      <c r="A37" s="162">
        <v>22689</v>
      </c>
      <c r="B37" s="163" t="e">
        <f>NA()</f>
        <v>#N/A</v>
      </c>
      <c r="C37" s="163"/>
      <c r="D37" s="163"/>
      <c r="E37" s="166">
        <f t="shared" si="0"/>
        <v>1955</v>
      </c>
      <c r="F37" s="157">
        <v>20333</v>
      </c>
      <c r="G37" s="158">
        <v>3</v>
      </c>
      <c r="J37" s="157">
        <v>22854</v>
      </c>
      <c r="K37" s="158">
        <v>4.05</v>
      </c>
    </row>
    <row r="38" spans="1:11" x14ac:dyDescent="0.25">
      <c r="A38" s="162">
        <v>22690</v>
      </c>
      <c r="B38" s="163">
        <v>4.0999999999999996</v>
      </c>
      <c r="C38" s="163"/>
      <c r="D38" s="163"/>
      <c r="E38" s="166">
        <f t="shared" si="0"/>
        <v>1955</v>
      </c>
      <c r="F38" s="157">
        <v>20363</v>
      </c>
      <c r="G38" s="158">
        <v>2.93</v>
      </c>
      <c r="J38" s="157">
        <v>22861</v>
      </c>
      <c r="K38" s="158">
        <v>4.05</v>
      </c>
    </row>
    <row r="39" spans="1:11" x14ac:dyDescent="0.25">
      <c r="A39" s="162">
        <v>22691</v>
      </c>
      <c r="B39" s="163">
        <v>4.09</v>
      </c>
      <c r="C39" s="163"/>
      <c r="D39" s="163"/>
      <c r="E39" s="166">
        <f t="shared" si="0"/>
        <v>1955</v>
      </c>
      <c r="F39" s="157">
        <v>20394</v>
      </c>
      <c r="G39" s="158">
        <v>2.93</v>
      </c>
      <c r="J39" s="157">
        <v>22868</v>
      </c>
      <c r="K39" s="158">
        <v>4.04</v>
      </c>
    </row>
    <row r="40" spans="1:11" x14ac:dyDescent="0.25">
      <c r="A40" s="162">
        <v>22692</v>
      </c>
      <c r="B40" s="163">
        <v>4.0999999999999996</v>
      </c>
      <c r="C40" s="163"/>
      <c r="D40" s="163"/>
      <c r="E40" s="166">
        <f t="shared" si="0"/>
        <v>1955</v>
      </c>
      <c r="F40" s="157">
        <v>20424</v>
      </c>
      <c r="G40" s="158">
        <v>2.98</v>
      </c>
      <c r="J40" s="157">
        <v>22875</v>
      </c>
      <c r="K40" s="158">
        <v>4.01</v>
      </c>
    </row>
    <row r="41" spans="1:11" x14ac:dyDescent="0.25">
      <c r="A41" s="162">
        <v>22693</v>
      </c>
      <c r="B41" s="163">
        <v>4.12</v>
      </c>
      <c r="C41" s="163"/>
      <c r="D41" s="163"/>
      <c r="E41" s="166">
        <f t="shared" si="0"/>
        <v>1956</v>
      </c>
      <c r="F41" s="157">
        <v>20455</v>
      </c>
      <c r="G41" s="158">
        <v>2.94</v>
      </c>
      <c r="J41" s="157">
        <v>22882</v>
      </c>
      <c r="K41" s="158">
        <v>3.97</v>
      </c>
    </row>
    <row r="42" spans="1:11" x14ac:dyDescent="0.25">
      <c r="A42" s="162">
        <v>22696</v>
      </c>
      <c r="B42" s="163">
        <v>4.1100000000000003</v>
      </c>
      <c r="C42" s="163"/>
      <c r="D42" s="163"/>
      <c r="E42" s="166">
        <f t="shared" si="0"/>
        <v>1956</v>
      </c>
      <c r="F42" s="157">
        <v>20486</v>
      </c>
      <c r="G42" s="158">
        <v>2.91</v>
      </c>
      <c r="J42" s="157">
        <v>22889</v>
      </c>
      <c r="K42" s="158">
        <v>3.98</v>
      </c>
    </row>
    <row r="43" spans="1:11" x14ac:dyDescent="0.25">
      <c r="A43" s="162">
        <v>22697</v>
      </c>
      <c r="B43" s="163">
        <v>4.1500000000000004</v>
      </c>
      <c r="C43" s="163"/>
      <c r="D43" s="163"/>
      <c r="E43" s="166">
        <f t="shared" si="0"/>
        <v>1956</v>
      </c>
      <c r="F43" s="157">
        <v>20515</v>
      </c>
      <c r="G43" s="158">
        <v>2.99</v>
      </c>
      <c r="J43" s="157">
        <v>22896</v>
      </c>
      <c r="K43" s="158">
        <v>4</v>
      </c>
    </row>
    <row r="44" spans="1:11" x14ac:dyDescent="0.25">
      <c r="A44" s="162">
        <v>22698</v>
      </c>
      <c r="B44" s="163">
        <v>4.13</v>
      </c>
      <c r="C44" s="163"/>
      <c r="D44" s="163"/>
      <c r="E44" s="166">
        <f t="shared" si="0"/>
        <v>1956</v>
      </c>
      <c r="F44" s="157">
        <v>20546</v>
      </c>
      <c r="G44" s="158">
        <v>3.14</v>
      </c>
      <c r="J44" s="157">
        <v>22903</v>
      </c>
      <c r="K44" s="158">
        <v>4</v>
      </c>
    </row>
    <row r="45" spans="1:11" x14ac:dyDescent="0.25">
      <c r="A45" s="162">
        <v>22699</v>
      </c>
      <c r="B45" s="163" t="e">
        <f>NA()</f>
        <v>#N/A</v>
      </c>
      <c r="C45" s="163"/>
      <c r="D45" s="163"/>
      <c r="E45" s="166">
        <f t="shared" si="0"/>
        <v>1956</v>
      </c>
      <c r="F45" s="157">
        <v>20576</v>
      </c>
      <c r="G45" s="158">
        <v>3.06</v>
      </c>
      <c r="J45" s="157">
        <v>22910</v>
      </c>
      <c r="K45" s="158">
        <v>4</v>
      </c>
    </row>
    <row r="46" spans="1:11" x14ac:dyDescent="0.25">
      <c r="A46" s="162">
        <v>22700</v>
      </c>
      <c r="B46" s="163">
        <v>4.12</v>
      </c>
      <c r="C46" s="163"/>
      <c r="D46" s="163"/>
      <c r="E46" s="166">
        <f t="shared" si="0"/>
        <v>1956</v>
      </c>
      <c r="F46" s="157">
        <v>20607</v>
      </c>
      <c r="G46" s="158">
        <v>3</v>
      </c>
      <c r="J46" s="157">
        <v>22917</v>
      </c>
      <c r="K46" s="158">
        <v>3.98</v>
      </c>
    </row>
    <row r="47" spans="1:11" x14ac:dyDescent="0.25">
      <c r="A47" s="162">
        <v>22703</v>
      </c>
      <c r="B47" s="163">
        <v>4.1100000000000003</v>
      </c>
      <c r="C47" s="163"/>
      <c r="D47" s="163"/>
      <c r="E47" s="166">
        <f t="shared" si="0"/>
        <v>1956</v>
      </c>
      <c r="F47" s="157">
        <v>20637</v>
      </c>
      <c r="G47" s="158">
        <v>3.08</v>
      </c>
      <c r="J47" s="157">
        <v>22924</v>
      </c>
      <c r="K47" s="158">
        <v>3.95</v>
      </c>
    </row>
    <row r="48" spans="1:11" x14ac:dyDescent="0.25">
      <c r="A48" s="162">
        <v>22704</v>
      </c>
      <c r="B48" s="163">
        <v>4.12</v>
      </c>
      <c r="C48" s="163"/>
      <c r="D48" s="163"/>
      <c r="E48" s="166">
        <f t="shared" si="0"/>
        <v>1956</v>
      </c>
      <c r="F48" s="157">
        <v>20668</v>
      </c>
      <c r="G48" s="158">
        <v>3.22</v>
      </c>
      <c r="J48" s="157">
        <v>22931</v>
      </c>
      <c r="K48" s="158">
        <v>3.95</v>
      </c>
    </row>
    <row r="49" spans="1:11" x14ac:dyDescent="0.25">
      <c r="A49" s="162">
        <v>22705</v>
      </c>
      <c r="B49" s="163">
        <v>4.0999999999999996</v>
      </c>
      <c r="C49" s="163"/>
      <c r="D49" s="163"/>
      <c r="E49" s="166">
        <f t="shared" si="0"/>
        <v>1956</v>
      </c>
      <c r="F49" s="157">
        <v>20699</v>
      </c>
      <c r="G49" s="158">
        <v>3.28</v>
      </c>
      <c r="J49" s="157">
        <v>22938</v>
      </c>
      <c r="K49" s="158">
        <v>3.93</v>
      </c>
    </row>
    <row r="50" spans="1:11" x14ac:dyDescent="0.25">
      <c r="A50" s="162">
        <v>22706</v>
      </c>
      <c r="B50" s="163">
        <v>4.09</v>
      </c>
      <c r="C50" s="163"/>
      <c r="D50" s="163"/>
      <c r="E50" s="166">
        <f t="shared" si="0"/>
        <v>1956</v>
      </c>
      <c r="F50" s="157">
        <v>20729</v>
      </c>
      <c r="G50" s="158">
        <v>3.26</v>
      </c>
      <c r="J50" s="157">
        <v>22945</v>
      </c>
      <c r="K50" s="158">
        <v>3.94</v>
      </c>
    </row>
    <row r="51" spans="1:11" x14ac:dyDescent="0.25">
      <c r="A51" s="162">
        <v>22707</v>
      </c>
      <c r="B51" s="163">
        <v>4.09</v>
      </c>
      <c r="C51" s="163"/>
      <c r="D51" s="163"/>
      <c r="E51" s="166">
        <f t="shared" si="0"/>
        <v>1956</v>
      </c>
      <c r="F51" s="157">
        <v>20760</v>
      </c>
      <c r="G51" s="158">
        <v>3.37</v>
      </c>
      <c r="J51" s="157">
        <v>22952</v>
      </c>
      <c r="K51" s="158">
        <v>3.94</v>
      </c>
    </row>
    <row r="52" spans="1:11" x14ac:dyDescent="0.25">
      <c r="A52" s="162">
        <v>22710</v>
      </c>
      <c r="B52" s="163">
        <v>4.0999999999999996</v>
      </c>
      <c r="C52" s="163"/>
      <c r="D52" s="163"/>
      <c r="E52" s="166">
        <f t="shared" si="0"/>
        <v>1956</v>
      </c>
      <c r="F52" s="157">
        <v>20790</v>
      </c>
      <c r="G52" s="158">
        <v>3.45</v>
      </c>
      <c r="J52" s="157">
        <v>22959</v>
      </c>
      <c r="K52" s="158">
        <v>3.92</v>
      </c>
    </row>
    <row r="53" spans="1:11" x14ac:dyDescent="0.25">
      <c r="A53" s="162">
        <v>22711</v>
      </c>
      <c r="B53" s="163">
        <v>4.0999999999999996</v>
      </c>
      <c r="C53" s="163"/>
      <c r="D53" s="163"/>
      <c r="E53" s="166">
        <f t="shared" si="0"/>
        <v>1957</v>
      </c>
      <c r="F53" s="157">
        <v>20821</v>
      </c>
      <c r="G53" s="158">
        <v>3.41</v>
      </c>
      <c r="J53" s="157">
        <v>22966</v>
      </c>
      <c r="K53" s="158">
        <v>3.93</v>
      </c>
    </row>
    <row r="54" spans="1:11" x14ac:dyDescent="0.25">
      <c r="A54" s="162">
        <v>22712</v>
      </c>
      <c r="B54" s="163">
        <v>4.09</v>
      </c>
      <c r="C54" s="163"/>
      <c r="D54" s="163"/>
      <c r="E54" s="166">
        <f t="shared" si="0"/>
        <v>1957</v>
      </c>
      <c r="F54" s="157">
        <v>20852</v>
      </c>
      <c r="G54" s="158">
        <v>3.3</v>
      </c>
      <c r="J54" s="157">
        <v>22973</v>
      </c>
      <c r="K54" s="158">
        <v>3.94</v>
      </c>
    </row>
    <row r="55" spans="1:11" x14ac:dyDescent="0.25">
      <c r="A55" s="162">
        <v>22713</v>
      </c>
      <c r="B55" s="163">
        <v>4.08</v>
      </c>
      <c r="C55" s="163"/>
      <c r="D55" s="163"/>
      <c r="E55" s="166">
        <f t="shared" si="0"/>
        <v>1957</v>
      </c>
      <c r="F55" s="157">
        <v>20880</v>
      </c>
      <c r="G55" s="158">
        <v>3.32</v>
      </c>
      <c r="J55" s="157">
        <v>22980</v>
      </c>
      <c r="K55" s="158">
        <v>3.94</v>
      </c>
    </row>
    <row r="56" spans="1:11" x14ac:dyDescent="0.25">
      <c r="A56" s="162">
        <v>22714</v>
      </c>
      <c r="B56" s="163">
        <v>4.07</v>
      </c>
      <c r="C56" s="163"/>
      <c r="D56" s="163"/>
      <c r="E56" s="166">
        <f t="shared" si="0"/>
        <v>1957</v>
      </c>
      <c r="F56" s="157">
        <v>20911</v>
      </c>
      <c r="G56" s="158">
        <v>3.4</v>
      </c>
      <c r="J56" s="157">
        <v>22987</v>
      </c>
      <c r="K56" s="158">
        <v>3.95</v>
      </c>
    </row>
    <row r="57" spans="1:11" x14ac:dyDescent="0.25">
      <c r="A57" s="162">
        <v>22717</v>
      </c>
      <c r="B57" s="163">
        <v>4.0599999999999996</v>
      </c>
      <c r="C57" s="163"/>
      <c r="D57" s="163"/>
      <c r="E57" s="166">
        <f t="shared" si="0"/>
        <v>1957</v>
      </c>
      <c r="F57" s="157">
        <v>20941</v>
      </c>
      <c r="G57" s="158">
        <v>3.49</v>
      </c>
      <c r="J57" s="157">
        <v>22994</v>
      </c>
      <c r="K57" s="158">
        <v>3.93</v>
      </c>
    </row>
    <row r="58" spans="1:11" x14ac:dyDescent="0.25">
      <c r="A58" s="162">
        <v>22718</v>
      </c>
      <c r="B58" s="163">
        <v>4.04</v>
      </c>
      <c r="C58" s="163"/>
      <c r="D58" s="163"/>
      <c r="E58" s="166">
        <f t="shared" si="0"/>
        <v>1957</v>
      </c>
      <c r="F58" s="157">
        <v>20972</v>
      </c>
      <c r="G58" s="158">
        <v>3.65</v>
      </c>
      <c r="J58" s="157">
        <v>23001</v>
      </c>
      <c r="K58" s="158">
        <v>3.9</v>
      </c>
    </row>
    <row r="59" spans="1:11" x14ac:dyDescent="0.25">
      <c r="A59" s="162">
        <v>22719</v>
      </c>
      <c r="B59" s="164">
        <v>4.04</v>
      </c>
      <c r="C59" s="164"/>
      <c r="D59" s="164"/>
      <c r="E59" s="166">
        <f t="shared" si="0"/>
        <v>1957</v>
      </c>
      <c r="F59" s="157">
        <v>21002</v>
      </c>
      <c r="G59" s="158">
        <v>3.72</v>
      </c>
      <c r="J59" s="157">
        <v>23008</v>
      </c>
      <c r="K59" s="158">
        <v>3.9</v>
      </c>
    </row>
    <row r="60" spans="1:11" x14ac:dyDescent="0.25">
      <c r="A60" s="162">
        <v>22720</v>
      </c>
      <c r="B60" s="163">
        <v>4.0599999999999996</v>
      </c>
      <c r="C60" s="163"/>
      <c r="D60" s="163"/>
      <c r="E60" s="166">
        <f t="shared" si="0"/>
        <v>1957</v>
      </c>
      <c r="F60" s="157">
        <v>21033</v>
      </c>
      <c r="G60" s="158">
        <v>3.75</v>
      </c>
      <c r="J60" s="157">
        <v>23015</v>
      </c>
      <c r="K60" s="158">
        <v>3.92</v>
      </c>
    </row>
    <row r="61" spans="1:11" x14ac:dyDescent="0.25">
      <c r="A61" s="162">
        <v>22721</v>
      </c>
      <c r="B61" s="163">
        <v>4.05</v>
      </c>
      <c r="C61" s="163"/>
      <c r="D61" s="163"/>
      <c r="E61" s="166">
        <f t="shared" si="0"/>
        <v>1957</v>
      </c>
      <c r="F61" s="157">
        <v>21064</v>
      </c>
      <c r="G61" s="158">
        <v>3.73</v>
      </c>
      <c r="J61" s="157">
        <v>23022</v>
      </c>
      <c r="K61" s="158">
        <v>3.92</v>
      </c>
    </row>
    <row r="62" spans="1:11" x14ac:dyDescent="0.25">
      <c r="A62" s="162">
        <v>22724</v>
      </c>
      <c r="B62" s="163">
        <v>4.04</v>
      </c>
      <c r="C62" s="163"/>
      <c r="D62" s="163"/>
      <c r="E62" s="166">
        <f t="shared" si="0"/>
        <v>1957</v>
      </c>
      <c r="F62" s="157">
        <v>21094</v>
      </c>
      <c r="G62" s="158">
        <v>3.76</v>
      </c>
      <c r="J62" s="157">
        <v>23029</v>
      </c>
      <c r="K62" s="158">
        <v>3.92</v>
      </c>
    </row>
    <row r="63" spans="1:11" x14ac:dyDescent="0.25">
      <c r="A63" s="162">
        <v>22725</v>
      </c>
      <c r="B63" s="163">
        <v>4.0199999999999996</v>
      </c>
      <c r="C63" s="163"/>
      <c r="D63" s="163"/>
      <c r="E63" s="166">
        <f t="shared" si="0"/>
        <v>1957</v>
      </c>
      <c r="F63" s="157">
        <v>21125</v>
      </c>
      <c r="G63" s="158">
        <v>3.61</v>
      </c>
      <c r="J63" s="157">
        <v>23036</v>
      </c>
      <c r="K63" s="158">
        <v>3.96</v>
      </c>
    </row>
    <row r="64" spans="1:11" x14ac:dyDescent="0.25">
      <c r="A64" s="162">
        <v>22726</v>
      </c>
      <c r="B64" s="163">
        <v>4.01</v>
      </c>
      <c r="C64" s="163"/>
      <c r="D64" s="163"/>
      <c r="E64" s="166">
        <f t="shared" si="0"/>
        <v>1957</v>
      </c>
      <c r="F64" s="157">
        <v>21155</v>
      </c>
      <c r="G64" s="158">
        <v>3.38</v>
      </c>
      <c r="J64" s="157">
        <v>23043</v>
      </c>
      <c r="K64" s="158">
        <v>3.96</v>
      </c>
    </row>
    <row r="65" spans="1:11" x14ac:dyDescent="0.25">
      <c r="A65" s="162">
        <v>22727</v>
      </c>
      <c r="B65" s="163">
        <v>3.97</v>
      </c>
      <c r="C65" s="163"/>
      <c r="D65" s="163"/>
      <c r="E65" s="166">
        <f t="shared" si="0"/>
        <v>1958</v>
      </c>
      <c r="F65" s="157">
        <v>21186</v>
      </c>
      <c r="G65" s="158">
        <v>3.27</v>
      </c>
      <c r="J65" s="157">
        <v>23050</v>
      </c>
      <c r="K65" s="158">
        <v>3.97</v>
      </c>
    </row>
    <row r="66" spans="1:11" x14ac:dyDescent="0.25">
      <c r="A66" s="162">
        <v>22728</v>
      </c>
      <c r="B66" s="163">
        <v>3.99</v>
      </c>
      <c r="C66" s="163"/>
      <c r="D66" s="163"/>
      <c r="E66" s="166">
        <f t="shared" si="0"/>
        <v>1958</v>
      </c>
      <c r="F66" s="157">
        <v>21217</v>
      </c>
      <c r="G66" s="158">
        <v>3.31</v>
      </c>
      <c r="J66" s="157">
        <v>23057</v>
      </c>
      <c r="K66" s="158">
        <v>3.97</v>
      </c>
    </row>
    <row r="67" spans="1:11" x14ac:dyDescent="0.25">
      <c r="A67" s="162">
        <v>22731</v>
      </c>
      <c r="B67" s="163">
        <v>4.01</v>
      </c>
      <c r="C67" s="163"/>
      <c r="D67" s="163"/>
      <c r="E67" s="166">
        <f t="shared" si="0"/>
        <v>1958</v>
      </c>
      <c r="F67" s="157">
        <v>21245</v>
      </c>
      <c r="G67" s="158">
        <v>3.29</v>
      </c>
      <c r="J67" s="157">
        <v>23064</v>
      </c>
      <c r="K67" s="158">
        <v>3.96</v>
      </c>
    </row>
    <row r="68" spans="1:11" x14ac:dyDescent="0.25">
      <c r="A68" s="162">
        <v>22732</v>
      </c>
      <c r="B68" s="163">
        <v>4</v>
      </c>
      <c r="C68" s="163"/>
      <c r="D68" s="163"/>
      <c r="E68" s="166">
        <f t="shared" si="0"/>
        <v>1958</v>
      </c>
      <c r="F68" s="157">
        <v>21276</v>
      </c>
      <c r="G68" s="158">
        <v>3.17</v>
      </c>
      <c r="J68" s="157">
        <v>23071</v>
      </c>
      <c r="K68" s="158">
        <v>3.98</v>
      </c>
    </row>
    <row r="69" spans="1:11" x14ac:dyDescent="0.25">
      <c r="A69" s="162">
        <v>22733</v>
      </c>
      <c r="B69" s="163">
        <v>4</v>
      </c>
      <c r="C69" s="163"/>
      <c r="D69" s="163"/>
      <c r="E69" s="166">
        <f t="shared" si="0"/>
        <v>1958</v>
      </c>
      <c r="F69" s="157">
        <v>21306</v>
      </c>
      <c r="G69" s="158">
        <v>3.17</v>
      </c>
      <c r="J69" s="157">
        <v>23078</v>
      </c>
      <c r="K69" s="158">
        <v>3.96</v>
      </c>
    </row>
    <row r="70" spans="1:11" x14ac:dyDescent="0.25">
      <c r="A70" s="162">
        <v>22734</v>
      </c>
      <c r="B70" s="163">
        <v>3.99</v>
      </c>
      <c r="C70" s="163"/>
      <c r="D70" s="163"/>
      <c r="E70" s="166">
        <f t="shared" si="0"/>
        <v>1958</v>
      </c>
      <c r="F70" s="157">
        <v>21337</v>
      </c>
      <c r="G70" s="158">
        <v>3.23</v>
      </c>
      <c r="J70" s="157">
        <v>23085</v>
      </c>
      <c r="K70" s="158">
        <v>3.98</v>
      </c>
    </row>
    <row r="71" spans="1:11" x14ac:dyDescent="0.25">
      <c r="A71" s="162">
        <v>22735</v>
      </c>
      <c r="B71" s="163">
        <v>3.98</v>
      </c>
      <c r="C71" s="163"/>
      <c r="D71" s="163"/>
      <c r="E71" s="166">
        <f t="shared" si="0"/>
        <v>1958</v>
      </c>
      <c r="F71" s="157">
        <v>21367</v>
      </c>
      <c r="G71" s="158">
        <v>3.39</v>
      </c>
      <c r="J71" s="157">
        <v>23092</v>
      </c>
      <c r="K71" s="158">
        <v>3.99</v>
      </c>
    </row>
    <row r="72" spans="1:11" x14ac:dyDescent="0.25">
      <c r="A72" s="162">
        <v>22738</v>
      </c>
      <c r="B72" s="163">
        <v>3.97</v>
      </c>
      <c r="C72" s="163"/>
      <c r="D72" s="163"/>
      <c r="E72" s="166">
        <f t="shared" si="0"/>
        <v>1958</v>
      </c>
      <c r="F72" s="157">
        <v>21398</v>
      </c>
      <c r="G72" s="158">
        <v>3.65</v>
      </c>
      <c r="J72" s="157">
        <v>23099</v>
      </c>
      <c r="K72" s="158">
        <v>4</v>
      </c>
    </row>
    <row r="73" spans="1:11" x14ac:dyDescent="0.25">
      <c r="A73" s="162">
        <v>22739</v>
      </c>
      <c r="B73" s="163">
        <v>3.95</v>
      </c>
      <c r="C73" s="163"/>
      <c r="D73" s="163"/>
      <c r="E73" s="166">
        <f t="shared" ref="E73:E136" si="1">YEAR(F73)</f>
        <v>1958</v>
      </c>
      <c r="F73" s="157">
        <v>21429</v>
      </c>
      <c r="G73" s="158">
        <v>3.8</v>
      </c>
      <c r="J73" s="157">
        <v>23106</v>
      </c>
      <c r="K73" s="158">
        <v>4</v>
      </c>
    </row>
    <row r="74" spans="1:11" x14ac:dyDescent="0.25">
      <c r="A74" s="162">
        <v>22740</v>
      </c>
      <c r="B74" s="163">
        <v>3.91</v>
      </c>
      <c r="C74" s="163"/>
      <c r="D74" s="163"/>
      <c r="E74" s="166">
        <f t="shared" si="1"/>
        <v>1958</v>
      </c>
      <c r="F74" s="157">
        <v>21459</v>
      </c>
      <c r="G74" s="158">
        <v>3.81</v>
      </c>
      <c r="J74" s="157">
        <v>23113</v>
      </c>
      <c r="K74" s="158">
        <v>4.03</v>
      </c>
    </row>
    <row r="75" spans="1:11" x14ac:dyDescent="0.25">
      <c r="A75" s="162">
        <v>22741</v>
      </c>
      <c r="B75" s="163">
        <v>3.94</v>
      </c>
      <c r="C75" s="163"/>
      <c r="D75" s="163"/>
      <c r="E75" s="166">
        <f t="shared" si="1"/>
        <v>1958</v>
      </c>
      <c r="F75" s="157">
        <v>21490</v>
      </c>
      <c r="G75" s="158">
        <v>3.76</v>
      </c>
      <c r="J75" s="157">
        <v>23120</v>
      </c>
      <c r="K75" s="158">
        <v>4.05</v>
      </c>
    </row>
    <row r="76" spans="1:11" x14ac:dyDescent="0.25">
      <c r="A76" s="162">
        <v>22742</v>
      </c>
      <c r="B76" s="163">
        <v>3.92</v>
      </c>
      <c r="C76" s="163"/>
      <c r="D76" s="163"/>
      <c r="E76" s="166">
        <f t="shared" si="1"/>
        <v>1958</v>
      </c>
      <c r="F76" s="157">
        <v>21520</v>
      </c>
      <c r="G76" s="158">
        <v>3.86</v>
      </c>
      <c r="J76" s="157">
        <v>23127</v>
      </c>
      <c r="K76" s="158">
        <v>4.04</v>
      </c>
    </row>
    <row r="77" spans="1:11" x14ac:dyDescent="0.25">
      <c r="A77" s="162">
        <v>22745</v>
      </c>
      <c r="B77" s="163">
        <v>3.92</v>
      </c>
      <c r="C77" s="163"/>
      <c r="D77" s="163"/>
      <c r="E77" s="166">
        <f t="shared" si="1"/>
        <v>1959</v>
      </c>
      <c r="F77" s="157">
        <v>21551</v>
      </c>
      <c r="G77" s="158">
        <v>3.95</v>
      </c>
      <c r="J77" s="157">
        <v>23134</v>
      </c>
      <c r="K77" s="158">
        <v>4.03</v>
      </c>
    </row>
    <row r="78" spans="1:11" x14ac:dyDescent="0.25">
      <c r="A78" s="162">
        <v>22746</v>
      </c>
      <c r="B78" s="163">
        <v>3.92</v>
      </c>
      <c r="C78" s="163"/>
      <c r="D78" s="163"/>
      <c r="E78" s="166">
        <f t="shared" si="1"/>
        <v>1959</v>
      </c>
      <c r="F78" s="157">
        <v>21582</v>
      </c>
      <c r="G78" s="158">
        <v>3.96</v>
      </c>
      <c r="J78" s="157">
        <v>23141</v>
      </c>
      <c r="K78" s="158">
        <v>4.0199999999999996</v>
      </c>
    </row>
    <row r="79" spans="1:11" x14ac:dyDescent="0.25">
      <c r="A79" s="162">
        <v>22747</v>
      </c>
      <c r="B79" s="163">
        <v>3.94</v>
      </c>
      <c r="C79" s="163"/>
      <c r="D79" s="163"/>
      <c r="E79" s="166">
        <f t="shared" si="1"/>
        <v>1959</v>
      </c>
      <c r="F79" s="157">
        <v>21610</v>
      </c>
      <c r="G79" s="158">
        <v>3.99</v>
      </c>
      <c r="J79" s="157">
        <v>23148</v>
      </c>
      <c r="K79" s="158">
        <v>4.01</v>
      </c>
    </row>
    <row r="80" spans="1:11" x14ac:dyDescent="0.25">
      <c r="A80" s="162">
        <v>22748</v>
      </c>
      <c r="B80" s="163">
        <v>3.93</v>
      </c>
      <c r="C80" s="163"/>
      <c r="D80" s="163"/>
      <c r="E80" s="166">
        <f t="shared" si="1"/>
        <v>1959</v>
      </c>
      <c r="F80" s="157">
        <v>21641</v>
      </c>
      <c r="G80" s="158">
        <v>4.0599999999999996</v>
      </c>
      <c r="J80" s="157">
        <v>23155</v>
      </c>
      <c r="K80" s="158">
        <v>4.0199999999999996</v>
      </c>
    </row>
    <row r="81" spans="1:11" x14ac:dyDescent="0.25">
      <c r="A81" s="162">
        <v>22749</v>
      </c>
      <c r="B81" s="163">
        <v>3.92</v>
      </c>
      <c r="C81" s="163"/>
      <c r="D81" s="163"/>
      <c r="E81" s="166">
        <f t="shared" si="1"/>
        <v>1959</v>
      </c>
      <c r="F81" s="157">
        <v>21671</v>
      </c>
      <c r="G81" s="158">
        <v>4.13</v>
      </c>
      <c r="J81" s="157">
        <v>23162</v>
      </c>
      <c r="K81" s="158">
        <v>4.03</v>
      </c>
    </row>
    <row r="82" spans="1:11" x14ac:dyDescent="0.25">
      <c r="A82" s="162">
        <v>22752</v>
      </c>
      <c r="B82" s="163">
        <v>3.92</v>
      </c>
      <c r="C82" s="163"/>
      <c r="D82" s="163"/>
      <c r="E82" s="166">
        <f t="shared" si="1"/>
        <v>1959</v>
      </c>
      <c r="F82" s="157">
        <v>21702</v>
      </c>
      <c r="G82" s="158">
        <v>4.1399999999999997</v>
      </c>
      <c r="J82" s="157">
        <v>23169</v>
      </c>
      <c r="K82" s="158">
        <v>4.03</v>
      </c>
    </row>
    <row r="83" spans="1:11" x14ac:dyDescent="0.25">
      <c r="A83" s="162">
        <v>22753</v>
      </c>
      <c r="B83" s="163">
        <v>3.92</v>
      </c>
      <c r="C83" s="163"/>
      <c r="D83" s="163"/>
      <c r="E83" s="166">
        <f t="shared" si="1"/>
        <v>1959</v>
      </c>
      <c r="F83" s="157">
        <v>21732</v>
      </c>
      <c r="G83" s="158">
        <v>4.16</v>
      </c>
      <c r="J83" s="157">
        <v>23176</v>
      </c>
      <c r="K83" s="158">
        <v>4.0199999999999996</v>
      </c>
    </row>
    <row r="84" spans="1:11" x14ac:dyDescent="0.25">
      <c r="A84" s="162">
        <v>22754</v>
      </c>
      <c r="B84" s="164">
        <v>3.9</v>
      </c>
      <c r="C84" s="164"/>
      <c r="D84" s="164"/>
      <c r="E84" s="166">
        <f t="shared" si="1"/>
        <v>1959</v>
      </c>
      <c r="F84" s="157">
        <v>21763</v>
      </c>
      <c r="G84" s="158">
        <v>4.1500000000000004</v>
      </c>
      <c r="J84" s="157">
        <v>23183</v>
      </c>
      <c r="K84" s="158">
        <v>4.0199999999999996</v>
      </c>
    </row>
    <row r="85" spans="1:11" x14ac:dyDescent="0.25">
      <c r="A85" s="162">
        <v>22755</v>
      </c>
      <c r="B85" s="163">
        <v>3.91</v>
      </c>
      <c r="C85" s="163"/>
      <c r="D85" s="163"/>
      <c r="E85" s="166">
        <f t="shared" si="1"/>
        <v>1959</v>
      </c>
      <c r="F85" s="157">
        <v>21794</v>
      </c>
      <c r="G85" s="158">
        <v>4.29</v>
      </c>
      <c r="J85" s="157">
        <v>23190</v>
      </c>
      <c r="K85" s="158">
        <v>4.03</v>
      </c>
    </row>
    <row r="86" spans="1:11" x14ac:dyDescent="0.25">
      <c r="A86" s="162">
        <v>22756</v>
      </c>
      <c r="B86" s="163" t="e">
        <f>NA()</f>
        <v>#N/A</v>
      </c>
      <c r="C86" s="163"/>
      <c r="D86" s="163"/>
      <c r="E86" s="166">
        <f t="shared" si="1"/>
        <v>1959</v>
      </c>
      <c r="F86" s="157">
        <v>21824</v>
      </c>
      <c r="G86" s="158">
        <v>4.1900000000000004</v>
      </c>
      <c r="J86" s="157">
        <v>23197</v>
      </c>
      <c r="K86" s="158">
        <v>4.0599999999999996</v>
      </c>
    </row>
    <row r="87" spans="1:11" x14ac:dyDescent="0.25">
      <c r="A87" s="162">
        <v>22759</v>
      </c>
      <c r="B87" s="163">
        <v>3.93</v>
      </c>
      <c r="C87" s="163"/>
      <c r="D87" s="163"/>
      <c r="E87" s="166">
        <f t="shared" si="1"/>
        <v>1959</v>
      </c>
      <c r="F87" s="157">
        <v>21855</v>
      </c>
      <c r="G87" s="158">
        <v>4.2</v>
      </c>
      <c r="J87" s="157">
        <v>23204</v>
      </c>
      <c r="K87" s="158">
        <v>4.08</v>
      </c>
    </row>
    <row r="88" spans="1:11" x14ac:dyDescent="0.25">
      <c r="A88" s="162">
        <v>22760</v>
      </c>
      <c r="B88" s="163">
        <v>3.94</v>
      </c>
      <c r="C88" s="163"/>
      <c r="D88" s="163"/>
      <c r="E88" s="166">
        <f t="shared" si="1"/>
        <v>1959</v>
      </c>
      <c r="F88" s="157">
        <v>21885</v>
      </c>
      <c r="G88" s="158">
        <v>4.33</v>
      </c>
      <c r="J88" s="157">
        <v>23211</v>
      </c>
      <c r="K88" s="158">
        <v>4.0599999999999996</v>
      </c>
    </row>
    <row r="89" spans="1:11" x14ac:dyDescent="0.25">
      <c r="A89" s="162">
        <v>22761</v>
      </c>
      <c r="B89" s="163">
        <v>3.94</v>
      </c>
      <c r="C89" s="163"/>
      <c r="D89" s="163"/>
      <c r="E89" s="166">
        <f t="shared" si="1"/>
        <v>1960</v>
      </c>
      <c r="F89" s="157">
        <v>21916</v>
      </c>
      <c r="G89" s="158">
        <v>4.42</v>
      </c>
      <c r="J89" s="157">
        <v>23218</v>
      </c>
      <c r="K89" s="158">
        <v>4.04</v>
      </c>
    </row>
    <row r="90" spans="1:11" x14ac:dyDescent="0.25">
      <c r="A90" s="162">
        <v>22762</v>
      </c>
      <c r="B90" s="163">
        <v>3.94</v>
      </c>
      <c r="C90" s="163"/>
      <c r="D90" s="163"/>
      <c r="E90" s="166">
        <f t="shared" si="1"/>
        <v>1960</v>
      </c>
      <c r="F90" s="157">
        <v>21947</v>
      </c>
      <c r="G90" s="158">
        <v>4.28</v>
      </c>
      <c r="J90" s="157">
        <v>23225</v>
      </c>
      <c r="K90" s="158">
        <v>4.03</v>
      </c>
    </row>
    <row r="91" spans="1:11" x14ac:dyDescent="0.25">
      <c r="A91" s="162">
        <v>22763</v>
      </c>
      <c r="B91" s="163">
        <v>3.91</v>
      </c>
      <c r="C91" s="163"/>
      <c r="D91" s="163"/>
      <c r="E91" s="166">
        <f t="shared" si="1"/>
        <v>1960</v>
      </c>
      <c r="F91" s="157">
        <v>21976</v>
      </c>
      <c r="G91" s="158">
        <v>4.1399999999999997</v>
      </c>
      <c r="J91" s="157">
        <v>23232</v>
      </c>
      <c r="K91" s="158">
        <v>4.03</v>
      </c>
    </row>
    <row r="92" spans="1:11" x14ac:dyDescent="0.25">
      <c r="A92" s="162">
        <v>22766</v>
      </c>
      <c r="B92" s="163">
        <v>3.91</v>
      </c>
      <c r="C92" s="163"/>
      <c r="D92" s="163"/>
      <c r="E92" s="166">
        <f t="shared" si="1"/>
        <v>1960</v>
      </c>
      <c r="F92" s="157">
        <v>22007</v>
      </c>
      <c r="G92" s="158">
        <v>4.2300000000000004</v>
      </c>
      <c r="J92" s="157">
        <v>23239</v>
      </c>
      <c r="K92" s="158">
        <v>4.03</v>
      </c>
    </row>
    <row r="93" spans="1:11" x14ac:dyDescent="0.25">
      <c r="A93" s="162">
        <v>22767</v>
      </c>
      <c r="B93" s="163">
        <v>3.91</v>
      </c>
      <c r="C93" s="163"/>
      <c r="D93" s="163"/>
      <c r="E93" s="166">
        <f t="shared" si="1"/>
        <v>1960</v>
      </c>
      <c r="F93" s="157">
        <v>22037</v>
      </c>
      <c r="G93" s="158">
        <v>4.2</v>
      </c>
      <c r="J93" s="157">
        <v>23246</v>
      </c>
      <c r="K93" s="158">
        <v>4.03</v>
      </c>
    </row>
    <row r="94" spans="1:11" x14ac:dyDescent="0.25">
      <c r="A94" s="162">
        <v>22768</v>
      </c>
      <c r="B94" s="163">
        <v>3.91</v>
      </c>
      <c r="C94" s="163"/>
      <c r="D94" s="163"/>
      <c r="E94" s="166">
        <f t="shared" si="1"/>
        <v>1960</v>
      </c>
      <c r="F94" s="157">
        <v>22068</v>
      </c>
      <c r="G94" s="158">
        <v>4.04</v>
      </c>
      <c r="J94" s="157">
        <v>23253</v>
      </c>
      <c r="K94" s="158">
        <v>4.03</v>
      </c>
    </row>
    <row r="95" spans="1:11" x14ac:dyDescent="0.25">
      <c r="A95" s="162">
        <v>22769</v>
      </c>
      <c r="B95" s="163">
        <v>3.9</v>
      </c>
      <c r="C95" s="163"/>
      <c r="D95" s="163"/>
      <c r="E95" s="166">
        <f t="shared" si="1"/>
        <v>1960</v>
      </c>
      <c r="F95" s="157">
        <v>22098</v>
      </c>
      <c r="G95" s="158">
        <v>3.91</v>
      </c>
      <c r="J95" s="157">
        <v>23260</v>
      </c>
      <c r="K95" s="158">
        <v>4.08</v>
      </c>
    </row>
    <row r="96" spans="1:11" x14ac:dyDescent="0.25">
      <c r="A96" s="162">
        <v>22770</v>
      </c>
      <c r="B96" s="163">
        <v>3.9</v>
      </c>
      <c r="C96" s="163"/>
      <c r="D96" s="163"/>
      <c r="E96" s="166">
        <f t="shared" si="1"/>
        <v>1960</v>
      </c>
      <c r="F96" s="157">
        <v>22129</v>
      </c>
      <c r="G96" s="158">
        <v>3.84</v>
      </c>
      <c r="J96" s="157">
        <v>23267</v>
      </c>
      <c r="K96" s="158">
        <v>4.0999999999999996</v>
      </c>
    </row>
    <row r="97" spans="1:11" x14ac:dyDescent="0.25">
      <c r="A97" s="162">
        <v>22773</v>
      </c>
      <c r="B97" s="163">
        <v>3.9</v>
      </c>
      <c r="C97" s="163"/>
      <c r="D97" s="163"/>
      <c r="E97" s="166">
        <f t="shared" si="1"/>
        <v>1960</v>
      </c>
      <c r="F97" s="157">
        <v>22160</v>
      </c>
      <c r="G97" s="158">
        <v>3.86</v>
      </c>
      <c r="J97" s="157">
        <v>23274</v>
      </c>
      <c r="K97" s="158">
        <v>4.0999999999999996</v>
      </c>
    </row>
    <row r="98" spans="1:11" x14ac:dyDescent="0.25">
      <c r="A98" s="162">
        <v>22774</v>
      </c>
      <c r="B98" s="163">
        <v>3.9</v>
      </c>
      <c r="C98" s="163"/>
      <c r="D98" s="163"/>
      <c r="E98" s="166">
        <f t="shared" si="1"/>
        <v>1960</v>
      </c>
      <c r="F98" s="157">
        <v>22190</v>
      </c>
      <c r="G98" s="158">
        <v>3.92</v>
      </c>
      <c r="J98" s="157">
        <v>23281</v>
      </c>
      <c r="K98" s="158">
        <v>4.09</v>
      </c>
    </row>
    <row r="99" spans="1:11" x14ac:dyDescent="0.25">
      <c r="A99" s="162">
        <v>22775</v>
      </c>
      <c r="B99" s="163">
        <v>3.89</v>
      </c>
      <c r="C99" s="163"/>
      <c r="D99" s="163"/>
      <c r="E99" s="166">
        <f t="shared" si="1"/>
        <v>1960</v>
      </c>
      <c r="F99" s="157">
        <v>22221</v>
      </c>
      <c r="G99" s="158">
        <v>3.96</v>
      </c>
      <c r="J99" s="157">
        <v>23288</v>
      </c>
      <c r="K99" s="158">
        <v>4.08</v>
      </c>
    </row>
    <row r="100" spans="1:11" x14ac:dyDescent="0.25">
      <c r="A100" s="162">
        <v>22776</v>
      </c>
      <c r="B100" s="163">
        <v>3.88</v>
      </c>
      <c r="C100" s="163"/>
      <c r="D100" s="163"/>
      <c r="E100" s="166">
        <f t="shared" si="1"/>
        <v>1960</v>
      </c>
      <c r="F100" s="157">
        <v>22251</v>
      </c>
      <c r="G100" s="158">
        <v>3.91</v>
      </c>
      <c r="J100" s="157">
        <v>23295</v>
      </c>
      <c r="K100" s="158">
        <v>4.1100000000000003</v>
      </c>
    </row>
    <row r="101" spans="1:11" x14ac:dyDescent="0.25">
      <c r="A101" s="162">
        <v>22777</v>
      </c>
      <c r="B101" s="163">
        <v>3.88</v>
      </c>
      <c r="C101" s="163"/>
      <c r="D101" s="163"/>
      <c r="E101" s="166">
        <f t="shared" si="1"/>
        <v>1961</v>
      </c>
      <c r="F101" s="157">
        <v>22282</v>
      </c>
      <c r="G101" s="158">
        <v>3.9</v>
      </c>
      <c r="J101" s="157">
        <v>23302</v>
      </c>
      <c r="K101" s="158">
        <v>4.12</v>
      </c>
    </row>
    <row r="102" spans="1:11" x14ac:dyDescent="0.25">
      <c r="A102" s="162">
        <v>22780</v>
      </c>
      <c r="B102" s="163">
        <v>3.89</v>
      </c>
      <c r="C102" s="163"/>
      <c r="D102" s="163"/>
      <c r="E102" s="166">
        <f t="shared" si="1"/>
        <v>1961</v>
      </c>
      <c r="F102" s="157">
        <v>22313</v>
      </c>
      <c r="G102" s="158">
        <v>3.84</v>
      </c>
      <c r="J102" s="157">
        <v>23309</v>
      </c>
      <c r="K102" s="158">
        <v>4.13</v>
      </c>
    </row>
    <row r="103" spans="1:11" x14ac:dyDescent="0.25">
      <c r="A103" s="162">
        <v>22781</v>
      </c>
      <c r="B103" s="163">
        <v>3.9</v>
      </c>
      <c r="C103" s="163"/>
      <c r="D103" s="163"/>
      <c r="E103" s="166">
        <f t="shared" si="1"/>
        <v>1961</v>
      </c>
      <c r="F103" s="157">
        <v>22341</v>
      </c>
      <c r="G103" s="158">
        <v>3.81</v>
      </c>
      <c r="J103" s="157">
        <v>23316</v>
      </c>
      <c r="K103" s="158">
        <v>4.1399999999999997</v>
      </c>
    </row>
    <row r="104" spans="1:11" x14ac:dyDescent="0.25">
      <c r="A104" s="162">
        <v>22782</v>
      </c>
      <c r="B104" s="163">
        <v>3.91</v>
      </c>
      <c r="C104" s="163"/>
      <c r="D104" s="163"/>
      <c r="E104" s="166">
        <f t="shared" si="1"/>
        <v>1961</v>
      </c>
      <c r="F104" s="157">
        <v>22372</v>
      </c>
      <c r="G104" s="158">
        <v>3.81</v>
      </c>
      <c r="J104" s="157">
        <v>23323</v>
      </c>
      <c r="K104" s="158">
        <v>4.17</v>
      </c>
    </row>
    <row r="105" spans="1:11" x14ac:dyDescent="0.25">
      <c r="A105" s="162">
        <v>22783</v>
      </c>
      <c r="B105" s="163">
        <v>3.91</v>
      </c>
      <c r="C105" s="163"/>
      <c r="D105" s="163"/>
      <c r="E105" s="166">
        <f t="shared" si="1"/>
        <v>1961</v>
      </c>
      <c r="F105" s="157">
        <v>22402</v>
      </c>
      <c r="G105" s="158">
        <v>3.74</v>
      </c>
      <c r="J105" s="157">
        <v>23330</v>
      </c>
      <c r="K105" s="158">
        <v>4.16</v>
      </c>
    </row>
    <row r="106" spans="1:11" x14ac:dyDescent="0.25">
      <c r="A106" s="162">
        <v>22784</v>
      </c>
      <c r="B106" s="163">
        <v>3.94</v>
      </c>
      <c r="C106" s="163"/>
      <c r="D106" s="163"/>
      <c r="E106" s="166">
        <f t="shared" si="1"/>
        <v>1961</v>
      </c>
      <c r="F106" s="157">
        <v>22433</v>
      </c>
      <c r="G106" s="158">
        <v>3.89</v>
      </c>
      <c r="J106" s="157">
        <v>23337</v>
      </c>
      <c r="K106" s="158">
        <v>4.1500000000000004</v>
      </c>
    </row>
    <row r="107" spans="1:11" x14ac:dyDescent="0.25">
      <c r="A107" s="162">
        <v>22787</v>
      </c>
      <c r="B107" s="164">
        <v>3.96</v>
      </c>
      <c r="C107" s="164"/>
      <c r="D107" s="164"/>
      <c r="E107" s="166">
        <f t="shared" si="1"/>
        <v>1961</v>
      </c>
      <c r="F107" s="157">
        <v>22463</v>
      </c>
      <c r="G107" s="158">
        <v>3.93</v>
      </c>
      <c r="J107" s="157">
        <v>23344</v>
      </c>
      <c r="K107" s="158">
        <v>4.1500000000000004</v>
      </c>
    </row>
    <row r="108" spans="1:11" x14ac:dyDescent="0.25">
      <c r="A108" s="162">
        <v>22788</v>
      </c>
      <c r="B108" s="163">
        <v>3.95</v>
      </c>
      <c r="C108" s="163"/>
      <c r="D108" s="163"/>
      <c r="E108" s="166">
        <f t="shared" si="1"/>
        <v>1961</v>
      </c>
      <c r="F108" s="157">
        <v>22494</v>
      </c>
      <c r="G108" s="158">
        <v>4.04</v>
      </c>
      <c r="J108" s="157">
        <v>23351</v>
      </c>
      <c r="K108" s="158">
        <v>4.17</v>
      </c>
    </row>
    <row r="109" spans="1:11" x14ac:dyDescent="0.25">
      <c r="A109" s="162">
        <v>22789</v>
      </c>
      <c r="B109" s="163">
        <v>3.95</v>
      </c>
      <c r="C109" s="163"/>
      <c r="D109" s="163"/>
      <c r="E109" s="166">
        <f t="shared" si="1"/>
        <v>1961</v>
      </c>
      <c r="F109" s="157">
        <v>22525</v>
      </c>
      <c r="G109" s="158">
        <v>4.04</v>
      </c>
      <c r="J109" s="157">
        <v>23358</v>
      </c>
      <c r="K109" s="158">
        <v>4.18</v>
      </c>
    </row>
    <row r="110" spans="1:11" x14ac:dyDescent="0.25">
      <c r="A110" s="162">
        <v>22790</v>
      </c>
      <c r="B110" s="163">
        <v>3.94</v>
      </c>
      <c r="C110" s="163"/>
      <c r="D110" s="163"/>
      <c r="E110" s="166">
        <f t="shared" si="1"/>
        <v>1961</v>
      </c>
      <c r="F110" s="157">
        <v>22555</v>
      </c>
      <c r="G110" s="158">
        <v>4.01</v>
      </c>
      <c r="J110" s="157">
        <v>23365</v>
      </c>
      <c r="K110" s="158">
        <v>4.21</v>
      </c>
    </row>
    <row r="111" spans="1:11" x14ac:dyDescent="0.25">
      <c r="A111" s="162">
        <v>22791</v>
      </c>
      <c r="B111" s="163">
        <v>3.93</v>
      </c>
      <c r="C111" s="163"/>
      <c r="D111" s="163"/>
      <c r="E111" s="166">
        <f t="shared" si="1"/>
        <v>1961</v>
      </c>
      <c r="F111" s="157">
        <v>22586</v>
      </c>
      <c r="G111" s="158">
        <v>4</v>
      </c>
      <c r="J111" s="157">
        <v>23372</v>
      </c>
      <c r="K111" s="158">
        <v>4.21</v>
      </c>
    </row>
    <row r="112" spans="1:11" x14ac:dyDescent="0.25">
      <c r="A112" s="162">
        <v>22794</v>
      </c>
      <c r="B112" s="163">
        <v>3.92</v>
      </c>
      <c r="C112" s="163"/>
      <c r="D112" s="163"/>
      <c r="E112" s="166">
        <f t="shared" si="1"/>
        <v>1961</v>
      </c>
      <c r="F112" s="157">
        <v>22616</v>
      </c>
      <c r="G112" s="158">
        <v>4.07</v>
      </c>
      <c r="J112" s="157">
        <v>23379</v>
      </c>
      <c r="K112" s="158">
        <v>4.1900000000000004</v>
      </c>
    </row>
    <row r="113" spans="1:11" x14ac:dyDescent="0.25">
      <c r="A113" s="162">
        <v>22795</v>
      </c>
      <c r="B113" s="163">
        <v>3.94</v>
      </c>
      <c r="C113" s="163"/>
      <c r="D113" s="163"/>
      <c r="E113" s="166">
        <f t="shared" si="1"/>
        <v>1962</v>
      </c>
      <c r="F113" s="157">
        <v>22647</v>
      </c>
      <c r="G113" s="158">
        <v>4.0999999999999996</v>
      </c>
      <c r="J113" s="157">
        <v>23386</v>
      </c>
      <c r="K113" s="158">
        <v>4.2</v>
      </c>
    </row>
    <row r="114" spans="1:11" x14ac:dyDescent="0.25">
      <c r="A114" s="162">
        <v>22796</v>
      </c>
      <c r="B114" s="163" t="e">
        <f>NA()</f>
        <v>#N/A</v>
      </c>
      <c r="C114" s="163"/>
      <c r="D114" s="163"/>
      <c r="E114" s="166">
        <f t="shared" si="1"/>
        <v>1962</v>
      </c>
      <c r="F114" s="157">
        <v>22678</v>
      </c>
      <c r="G114" s="158">
        <v>4.12</v>
      </c>
      <c r="J114" s="157">
        <v>23393</v>
      </c>
      <c r="K114" s="158">
        <v>4.2</v>
      </c>
    </row>
    <row r="115" spans="1:11" x14ac:dyDescent="0.25">
      <c r="A115" s="162">
        <v>22797</v>
      </c>
      <c r="B115" s="163">
        <v>3.94</v>
      </c>
      <c r="C115" s="163"/>
      <c r="D115" s="163"/>
      <c r="E115" s="166">
        <f t="shared" si="1"/>
        <v>1962</v>
      </c>
      <c r="F115" s="157">
        <v>22706</v>
      </c>
      <c r="G115" s="158">
        <v>4.04</v>
      </c>
      <c r="J115" s="157">
        <v>23400</v>
      </c>
      <c r="K115" s="158">
        <v>4.18</v>
      </c>
    </row>
    <row r="116" spans="1:11" x14ac:dyDescent="0.25">
      <c r="A116" s="162">
        <v>22798</v>
      </c>
      <c r="B116" s="163">
        <v>3.93</v>
      </c>
      <c r="C116" s="163"/>
      <c r="D116" s="163"/>
      <c r="E116" s="166">
        <f t="shared" si="1"/>
        <v>1962</v>
      </c>
      <c r="F116" s="157">
        <v>22737</v>
      </c>
      <c r="G116" s="158">
        <v>3.93</v>
      </c>
      <c r="J116" s="157">
        <v>23407</v>
      </c>
      <c r="K116" s="158">
        <v>4.18</v>
      </c>
    </row>
    <row r="117" spans="1:11" x14ac:dyDescent="0.25">
      <c r="A117" s="162">
        <v>22801</v>
      </c>
      <c r="B117" s="164">
        <v>3.93</v>
      </c>
      <c r="C117" s="164"/>
      <c r="D117" s="164"/>
      <c r="E117" s="166">
        <f t="shared" si="1"/>
        <v>1962</v>
      </c>
      <c r="F117" s="157">
        <v>22767</v>
      </c>
      <c r="G117" s="158">
        <v>3.92</v>
      </c>
      <c r="J117" s="157">
        <v>23414</v>
      </c>
      <c r="K117" s="158">
        <v>4.17</v>
      </c>
    </row>
    <row r="118" spans="1:11" x14ac:dyDescent="0.25">
      <c r="A118" s="162">
        <v>22802</v>
      </c>
      <c r="B118" s="163">
        <v>3.94</v>
      </c>
      <c r="C118" s="163"/>
      <c r="D118" s="163"/>
      <c r="E118" s="166">
        <f t="shared" si="1"/>
        <v>1962</v>
      </c>
      <c r="F118" s="157">
        <v>22798</v>
      </c>
      <c r="G118" s="158">
        <v>3.96</v>
      </c>
      <c r="J118" s="157">
        <v>23421</v>
      </c>
      <c r="K118" s="158">
        <v>4.17</v>
      </c>
    </row>
    <row r="119" spans="1:11" x14ac:dyDescent="0.25">
      <c r="A119" s="162">
        <v>22803</v>
      </c>
      <c r="B119" s="163">
        <v>3.93</v>
      </c>
      <c r="C119" s="163"/>
      <c r="D119" s="163"/>
      <c r="E119" s="166">
        <f t="shared" si="1"/>
        <v>1962</v>
      </c>
      <c r="F119" s="157">
        <v>22828</v>
      </c>
      <c r="G119" s="158">
        <v>4.05</v>
      </c>
      <c r="J119" s="157">
        <v>23428</v>
      </c>
      <c r="K119" s="158">
        <v>4.17</v>
      </c>
    </row>
    <row r="120" spans="1:11" x14ac:dyDescent="0.25">
      <c r="A120" s="162">
        <v>22804</v>
      </c>
      <c r="B120" s="163">
        <v>3.93</v>
      </c>
      <c r="C120" s="163"/>
      <c r="D120" s="163"/>
      <c r="E120" s="166">
        <f t="shared" si="1"/>
        <v>1962</v>
      </c>
      <c r="F120" s="157">
        <v>22859</v>
      </c>
      <c r="G120" s="158">
        <v>4.01</v>
      </c>
      <c r="J120" s="157">
        <v>23435</v>
      </c>
      <c r="K120" s="158">
        <v>4.18</v>
      </c>
    </row>
    <row r="121" spans="1:11" x14ac:dyDescent="0.25">
      <c r="A121" s="162">
        <v>22805</v>
      </c>
      <c r="B121" s="163">
        <v>3.92</v>
      </c>
      <c r="C121" s="163"/>
      <c r="D121" s="163"/>
      <c r="E121" s="166">
        <f t="shared" si="1"/>
        <v>1962</v>
      </c>
      <c r="F121" s="157">
        <v>22890</v>
      </c>
      <c r="G121" s="158">
        <v>4</v>
      </c>
      <c r="J121" s="157">
        <v>23442</v>
      </c>
      <c r="K121" s="158">
        <v>4.1900000000000004</v>
      </c>
    </row>
    <row r="122" spans="1:11" x14ac:dyDescent="0.25">
      <c r="A122" s="162">
        <v>22808</v>
      </c>
      <c r="B122" s="163">
        <v>3.92</v>
      </c>
      <c r="C122" s="163"/>
      <c r="D122" s="163"/>
      <c r="E122" s="166">
        <f t="shared" si="1"/>
        <v>1962</v>
      </c>
      <c r="F122" s="157">
        <v>22920</v>
      </c>
      <c r="G122" s="158">
        <v>3.94</v>
      </c>
      <c r="J122" s="157">
        <v>23449</v>
      </c>
      <c r="K122" s="158">
        <v>4.2</v>
      </c>
    </row>
    <row r="123" spans="1:11" x14ac:dyDescent="0.25">
      <c r="A123" s="162">
        <v>22809</v>
      </c>
      <c r="B123" s="163">
        <v>3.91</v>
      </c>
      <c r="C123" s="163"/>
      <c r="D123" s="163"/>
      <c r="E123" s="166">
        <f t="shared" si="1"/>
        <v>1962</v>
      </c>
      <c r="F123" s="157">
        <v>22951</v>
      </c>
      <c r="G123" s="158">
        <v>3.93</v>
      </c>
      <c r="J123" s="157">
        <v>23456</v>
      </c>
      <c r="K123" s="158">
        <v>4.22</v>
      </c>
    </row>
    <row r="124" spans="1:11" x14ac:dyDescent="0.25">
      <c r="A124" s="162">
        <v>22810</v>
      </c>
      <c r="B124" s="163">
        <v>3.92</v>
      </c>
      <c r="C124" s="163"/>
      <c r="D124" s="163"/>
      <c r="E124" s="166">
        <f t="shared" si="1"/>
        <v>1962</v>
      </c>
      <c r="F124" s="157">
        <v>22981</v>
      </c>
      <c r="G124" s="158">
        <v>3.92</v>
      </c>
      <c r="J124" s="157">
        <v>23463</v>
      </c>
      <c r="K124" s="158">
        <v>4.25</v>
      </c>
    </row>
    <row r="125" spans="1:11" x14ac:dyDescent="0.25">
      <c r="A125" s="162">
        <v>22811</v>
      </c>
      <c r="B125" s="163">
        <v>3.94</v>
      </c>
      <c r="C125" s="163"/>
      <c r="D125" s="163"/>
      <c r="E125" s="166">
        <f t="shared" si="1"/>
        <v>1963</v>
      </c>
      <c r="F125" s="157">
        <v>23012</v>
      </c>
      <c r="G125" s="158">
        <v>3.94</v>
      </c>
      <c r="J125" s="157">
        <v>23470</v>
      </c>
      <c r="K125" s="158">
        <v>4.25</v>
      </c>
    </row>
    <row r="126" spans="1:11" x14ac:dyDescent="0.25">
      <c r="A126" s="162">
        <v>22812</v>
      </c>
      <c r="B126" s="163">
        <v>3.94</v>
      </c>
      <c r="C126" s="163"/>
      <c r="D126" s="163"/>
      <c r="E126" s="166">
        <f t="shared" si="1"/>
        <v>1963</v>
      </c>
      <c r="F126" s="157">
        <v>23043</v>
      </c>
      <c r="G126" s="158">
        <v>3.97</v>
      </c>
      <c r="J126" s="157">
        <v>23477</v>
      </c>
      <c r="K126" s="158">
        <v>4.25</v>
      </c>
    </row>
    <row r="127" spans="1:11" x14ac:dyDescent="0.25">
      <c r="A127" s="162">
        <v>22815</v>
      </c>
      <c r="B127" s="163">
        <v>3.95</v>
      </c>
      <c r="C127" s="163"/>
      <c r="D127" s="163"/>
      <c r="E127" s="166">
        <f t="shared" si="1"/>
        <v>1963</v>
      </c>
      <c r="F127" s="157">
        <v>23071</v>
      </c>
      <c r="G127" s="158">
        <v>3.98</v>
      </c>
      <c r="J127" s="157">
        <v>23484</v>
      </c>
      <c r="K127" s="158">
        <v>4.24</v>
      </c>
    </row>
    <row r="128" spans="1:11" x14ac:dyDescent="0.25">
      <c r="A128" s="162">
        <v>22816</v>
      </c>
      <c r="B128" s="163">
        <v>3.97</v>
      </c>
      <c r="C128" s="163"/>
      <c r="D128" s="163"/>
      <c r="E128" s="166">
        <f t="shared" si="1"/>
        <v>1963</v>
      </c>
      <c r="F128" s="157">
        <v>23102</v>
      </c>
      <c r="G128" s="158">
        <v>4.03</v>
      </c>
      <c r="J128" s="157">
        <v>23491</v>
      </c>
      <c r="K128" s="158">
        <v>4.2300000000000004</v>
      </c>
    </row>
    <row r="129" spans="1:11" x14ac:dyDescent="0.25">
      <c r="A129" s="162">
        <v>22817</v>
      </c>
      <c r="B129" s="163">
        <v>3.97</v>
      </c>
      <c r="C129" s="163"/>
      <c r="D129" s="163"/>
      <c r="E129" s="166">
        <f t="shared" si="1"/>
        <v>1963</v>
      </c>
      <c r="F129" s="157">
        <v>23132</v>
      </c>
      <c r="G129" s="158">
        <v>4.0199999999999996</v>
      </c>
      <c r="J129" s="157">
        <v>23498</v>
      </c>
      <c r="K129" s="158">
        <v>4.24</v>
      </c>
    </row>
    <row r="130" spans="1:11" x14ac:dyDescent="0.25">
      <c r="A130" s="162">
        <v>22818</v>
      </c>
      <c r="B130" s="163">
        <v>3.96</v>
      </c>
      <c r="C130" s="163"/>
      <c r="D130" s="163"/>
      <c r="E130" s="166">
        <f t="shared" si="1"/>
        <v>1963</v>
      </c>
      <c r="F130" s="157">
        <v>23163</v>
      </c>
      <c r="G130" s="158">
        <v>4.0199999999999996</v>
      </c>
      <c r="J130" s="157">
        <v>23505</v>
      </c>
      <c r="K130" s="158">
        <v>4.2300000000000004</v>
      </c>
    </row>
    <row r="131" spans="1:11" x14ac:dyDescent="0.25">
      <c r="A131" s="162">
        <v>22819</v>
      </c>
      <c r="B131" s="163">
        <v>3.96</v>
      </c>
      <c r="C131" s="163"/>
      <c r="D131" s="163"/>
      <c r="E131" s="166">
        <f t="shared" si="1"/>
        <v>1963</v>
      </c>
      <c r="F131" s="157">
        <v>23193</v>
      </c>
      <c r="G131" s="158">
        <v>4.0599999999999996</v>
      </c>
      <c r="J131" s="157">
        <v>23512</v>
      </c>
      <c r="K131" s="158">
        <v>4.21</v>
      </c>
    </row>
    <row r="132" spans="1:11" x14ac:dyDescent="0.25">
      <c r="A132" s="162">
        <v>22822</v>
      </c>
      <c r="B132" s="163">
        <v>4</v>
      </c>
      <c r="C132" s="163"/>
      <c r="D132" s="163"/>
      <c r="E132" s="166">
        <f t="shared" si="1"/>
        <v>1963</v>
      </c>
      <c r="F132" s="157">
        <v>23224</v>
      </c>
      <c r="G132" s="158">
        <v>4.03</v>
      </c>
      <c r="J132" s="157">
        <v>23519</v>
      </c>
      <c r="K132" s="158">
        <v>4.1900000000000004</v>
      </c>
    </row>
    <row r="133" spans="1:11" x14ac:dyDescent="0.25">
      <c r="A133" s="162">
        <v>22823</v>
      </c>
      <c r="B133" s="163">
        <v>4.01</v>
      </c>
      <c r="C133" s="163"/>
      <c r="D133" s="163"/>
      <c r="E133" s="166">
        <f t="shared" si="1"/>
        <v>1963</v>
      </c>
      <c r="F133" s="157">
        <v>23255</v>
      </c>
      <c r="G133" s="158">
        <v>4.09</v>
      </c>
      <c r="J133" s="157">
        <v>23526</v>
      </c>
      <c r="K133" s="158">
        <v>4.18</v>
      </c>
    </row>
    <row r="134" spans="1:11" x14ac:dyDescent="0.25">
      <c r="A134" s="162">
        <v>22824</v>
      </c>
      <c r="B134" s="163">
        <v>4</v>
      </c>
      <c r="C134" s="163"/>
      <c r="D134" s="163"/>
      <c r="E134" s="166">
        <f t="shared" si="1"/>
        <v>1963</v>
      </c>
      <c r="F134" s="157">
        <v>23285</v>
      </c>
      <c r="G134" s="158">
        <v>4.12</v>
      </c>
      <c r="J134" s="157">
        <v>23533</v>
      </c>
      <c r="K134" s="158">
        <v>4.18</v>
      </c>
    </row>
    <row r="135" spans="1:11" x14ac:dyDescent="0.25">
      <c r="A135" s="162">
        <v>22825</v>
      </c>
      <c r="B135" s="163">
        <v>4.01</v>
      </c>
      <c r="C135" s="163"/>
      <c r="D135" s="163"/>
      <c r="E135" s="166">
        <f t="shared" si="1"/>
        <v>1963</v>
      </c>
      <c r="F135" s="157">
        <v>23316</v>
      </c>
      <c r="G135" s="158">
        <v>4.16</v>
      </c>
      <c r="J135" s="157">
        <v>23540</v>
      </c>
      <c r="K135" s="158">
        <v>4.17</v>
      </c>
    </row>
    <row r="136" spans="1:11" x14ac:dyDescent="0.25">
      <c r="A136" s="162">
        <v>22826</v>
      </c>
      <c r="B136" s="163">
        <v>4.0199999999999996</v>
      </c>
      <c r="C136" s="163"/>
      <c r="D136" s="163"/>
      <c r="E136" s="166">
        <f t="shared" si="1"/>
        <v>1963</v>
      </c>
      <c r="F136" s="157">
        <v>23346</v>
      </c>
      <c r="G136" s="158">
        <v>4.1900000000000004</v>
      </c>
      <c r="J136" s="157">
        <v>23547</v>
      </c>
      <c r="K136" s="158">
        <v>4.17</v>
      </c>
    </row>
    <row r="137" spans="1:11" x14ac:dyDescent="0.25">
      <c r="A137" s="162">
        <v>22829</v>
      </c>
      <c r="B137" s="163">
        <v>4.0199999999999996</v>
      </c>
      <c r="C137" s="163"/>
      <c r="D137" s="163"/>
      <c r="E137" s="166">
        <f t="shared" ref="E137:E200" si="2">YEAR(F137)</f>
        <v>1964</v>
      </c>
      <c r="F137" s="157">
        <v>23377</v>
      </c>
      <c r="G137" s="158">
        <v>4.1900000000000004</v>
      </c>
      <c r="J137" s="157">
        <v>23554</v>
      </c>
      <c r="K137" s="158">
        <v>4.16</v>
      </c>
    </row>
    <row r="138" spans="1:11" x14ac:dyDescent="0.25">
      <c r="A138" s="162">
        <v>22830</v>
      </c>
      <c r="B138" s="164">
        <v>4.0199999999999996</v>
      </c>
      <c r="C138" s="164"/>
      <c r="D138" s="164"/>
      <c r="E138" s="166">
        <f t="shared" si="2"/>
        <v>1964</v>
      </c>
      <c r="F138" s="157">
        <v>23408</v>
      </c>
      <c r="G138" s="158">
        <v>4.17</v>
      </c>
      <c r="J138" s="157">
        <v>23561</v>
      </c>
      <c r="K138" s="158">
        <v>4.1500000000000004</v>
      </c>
    </row>
    <row r="139" spans="1:11" x14ac:dyDescent="0.25">
      <c r="A139" s="162">
        <v>22831</v>
      </c>
      <c r="B139" s="163" t="e">
        <f>NA()</f>
        <v>#N/A</v>
      </c>
      <c r="C139" s="163"/>
      <c r="D139" s="163"/>
      <c r="E139" s="166">
        <f t="shared" si="2"/>
        <v>1964</v>
      </c>
      <c r="F139" s="157">
        <v>23437</v>
      </c>
      <c r="G139" s="158">
        <v>4.22</v>
      </c>
      <c r="J139" s="157">
        <v>23568</v>
      </c>
      <c r="K139" s="158">
        <v>4.1500000000000004</v>
      </c>
    </row>
    <row r="140" spans="1:11" x14ac:dyDescent="0.25">
      <c r="A140" s="162">
        <v>22832</v>
      </c>
      <c r="B140" s="163">
        <v>4.0199999999999996</v>
      </c>
      <c r="C140" s="163"/>
      <c r="D140" s="163"/>
      <c r="E140" s="166">
        <f t="shared" si="2"/>
        <v>1964</v>
      </c>
      <c r="F140" s="157">
        <v>23468</v>
      </c>
      <c r="G140" s="158">
        <v>4.24</v>
      </c>
      <c r="J140" s="157">
        <v>23575</v>
      </c>
      <c r="K140" s="158">
        <v>4.16</v>
      </c>
    </row>
    <row r="141" spans="1:11" x14ac:dyDescent="0.25">
      <c r="A141" s="162">
        <v>22833</v>
      </c>
      <c r="B141" s="163">
        <v>4.05</v>
      </c>
      <c r="C141" s="163"/>
      <c r="D141" s="163"/>
      <c r="E141" s="166">
        <f t="shared" si="2"/>
        <v>1964</v>
      </c>
      <c r="F141" s="157">
        <v>23498</v>
      </c>
      <c r="G141" s="158">
        <v>4.2</v>
      </c>
      <c r="J141" s="157">
        <v>23582</v>
      </c>
      <c r="K141" s="158">
        <v>4.18</v>
      </c>
    </row>
    <row r="142" spans="1:11" x14ac:dyDescent="0.25">
      <c r="A142" s="162">
        <v>22836</v>
      </c>
      <c r="B142" s="163">
        <v>4.07</v>
      </c>
      <c r="C142" s="163"/>
      <c r="D142" s="163"/>
      <c r="E142" s="166">
        <f t="shared" si="2"/>
        <v>1964</v>
      </c>
      <c r="F142" s="157">
        <v>23529</v>
      </c>
      <c r="G142" s="158">
        <v>4.17</v>
      </c>
      <c r="J142" s="157">
        <v>23589</v>
      </c>
      <c r="K142" s="158">
        <v>4.17</v>
      </c>
    </row>
    <row r="143" spans="1:11" x14ac:dyDescent="0.25">
      <c r="A143" s="162">
        <v>22837</v>
      </c>
      <c r="B143" s="163">
        <v>4.0599999999999996</v>
      </c>
      <c r="C143" s="163"/>
      <c r="D143" s="163"/>
      <c r="E143" s="166">
        <f t="shared" si="2"/>
        <v>1964</v>
      </c>
      <c r="F143" s="157">
        <v>23559</v>
      </c>
      <c r="G143" s="158">
        <v>4.16</v>
      </c>
      <c r="J143" s="157">
        <v>23596</v>
      </c>
      <c r="K143" s="158">
        <v>4.17</v>
      </c>
    </row>
    <row r="144" spans="1:11" x14ac:dyDescent="0.25">
      <c r="A144" s="162">
        <v>22838</v>
      </c>
      <c r="B144" s="163">
        <v>4.0599999999999996</v>
      </c>
      <c r="C144" s="163"/>
      <c r="D144" s="163"/>
      <c r="E144" s="166">
        <f t="shared" si="2"/>
        <v>1964</v>
      </c>
      <c r="F144" s="157">
        <v>23590</v>
      </c>
      <c r="G144" s="158">
        <v>4.18</v>
      </c>
      <c r="J144" s="157">
        <v>23603</v>
      </c>
      <c r="K144" s="158">
        <v>4.18</v>
      </c>
    </row>
    <row r="145" spans="1:11" x14ac:dyDescent="0.25">
      <c r="A145" s="162">
        <v>22839</v>
      </c>
      <c r="B145" s="163">
        <v>4.05</v>
      </c>
      <c r="C145" s="163"/>
      <c r="D145" s="163"/>
      <c r="E145" s="166">
        <f t="shared" si="2"/>
        <v>1964</v>
      </c>
      <c r="F145" s="157">
        <v>23621</v>
      </c>
      <c r="G145" s="158">
        <v>4.2</v>
      </c>
      <c r="J145" s="157">
        <v>23610</v>
      </c>
      <c r="K145" s="158">
        <v>4.18</v>
      </c>
    </row>
    <row r="146" spans="1:11" x14ac:dyDescent="0.25">
      <c r="A146" s="162">
        <v>22840</v>
      </c>
      <c r="B146" s="163">
        <v>4.05</v>
      </c>
      <c r="C146" s="163"/>
      <c r="D146" s="163"/>
      <c r="E146" s="166">
        <f t="shared" si="2"/>
        <v>1964</v>
      </c>
      <c r="F146" s="157">
        <v>23651</v>
      </c>
      <c r="G146" s="158">
        <v>4.2</v>
      </c>
      <c r="J146" s="157">
        <v>23617</v>
      </c>
      <c r="K146" s="158">
        <v>4.1900000000000004</v>
      </c>
    </row>
    <row r="147" spans="1:11" x14ac:dyDescent="0.25">
      <c r="A147" s="162">
        <v>22843</v>
      </c>
      <c r="B147" s="163">
        <v>4.0599999999999996</v>
      </c>
      <c r="C147" s="163"/>
      <c r="D147" s="163"/>
      <c r="E147" s="166">
        <f t="shared" si="2"/>
        <v>1964</v>
      </c>
      <c r="F147" s="157">
        <v>23682</v>
      </c>
      <c r="G147" s="158">
        <v>4.17</v>
      </c>
      <c r="J147" s="157">
        <v>23624</v>
      </c>
      <c r="K147" s="158">
        <v>4.21</v>
      </c>
    </row>
    <row r="148" spans="1:11" x14ac:dyDescent="0.25">
      <c r="A148" s="162">
        <v>22844</v>
      </c>
      <c r="B148" s="163">
        <v>4.0599999999999996</v>
      </c>
      <c r="C148" s="163"/>
      <c r="D148" s="163"/>
      <c r="E148" s="166">
        <f t="shared" si="2"/>
        <v>1964</v>
      </c>
      <c r="F148" s="157">
        <v>23712</v>
      </c>
      <c r="G148" s="158">
        <v>4.18</v>
      </c>
      <c r="J148" s="157">
        <v>23631</v>
      </c>
      <c r="K148" s="158">
        <v>4.22</v>
      </c>
    </row>
    <row r="149" spans="1:11" x14ac:dyDescent="0.25">
      <c r="A149" s="162">
        <v>22845</v>
      </c>
      <c r="B149" s="163">
        <v>4.0599999999999996</v>
      </c>
      <c r="C149" s="163"/>
      <c r="D149" s="163"/>
      <c r="E149" s="166">
        <f t="shared" si="2"/>
        <v>1965</v>
      </c>
      <c r="F149" s="157">
        <v>23743</v>
      </c>
      <c r="G149" s="158">
        <v>4.1900000000000004</v>
      </c>
      <c r="J149" s="157">
        <v>23638</v>
      </c>
      <c r="K149" s="158">
        <v>4.21</v>
      </c>
    </row>
    <row r="150" spans="1:11" x14ac:dyDescent="0.25">
      <c r="A150" s="162">
        <v>22846</v>
      </c>
      <c r="B150" s="163">
        <v>4.0599999999999996</v>
      </c>
      <c r="C150" s="163"/>
      <c r="D150" s="163"/>
      <c r="E150" s="166">
        <f t="shared" si="2"/>
        <v>1965</v>
      </c>
      <c r="F150" s="157">
        <v>23774</v>
      </c>
      <c r="G150" s="158">
        <v>4.21</v>
      </c>
      <c r="J150" s="157">
        <v>23645</v>
      </c>
      <c r="K150" s="158">
        <v>4.1900000000000004</v>
      </c>
    </row>
    <row r="151" spans="1:11" x14ac:dyDescent="0.25">
      <c r="A151" s="162">
        <v>22847</v>
      </c>
      <c r="B151" s="163">
        <v>4.05</v>
      </c>
      <c r="C151" s="163"/>
      <c r="D151" s="163"/>
      <c r="E151" s="166">
        <f t="shared" si="2"/>
        <v>1965</v>
      </c>
      <c r="F151" s="157">
        <v>23802</v>
      </c>
      <c r="G151" s="158">
        <v>4.2</v>
      </c>
      <c r="J151" s="157">
        <v>23652</v>
      </c>
      <c r="K151" s="158">
        <v>4.1900000000000004</v>
      </c>
    </row>
    <row r="152" spans="1:11" x14ac:dyDescent="0.25">
      <c r="A152" s="162">
        <v>22850</v>
      </c>
      <c r="B152" s="163">
        <v>4.05</v>
      </c>
      <c r="C152" s="163"/>
      <c r="D152" s="163"/>
      <c r="E152" s="166">
        <f t="shared" si="2"/>
        <v>1965</v>
      </c>
      <c r="F152" s="157">
        <v>23833</v>
      </c>
      <c r="G152" s="158">
        <v>4.2</v>
      </c>
      <c r="J152" s="157">
        <v>23659</v>
      </c>
      <c r="K152" s="158">
        <v>4.2</v>
      </c>
    </row>
    <row r="153" spans="1:11" x14ac:dyDescent="0.25">
      <c r="A153" s="162">
        <v>22851</v>
      </c>
      <c r="B153" s="163">
        <v>4.05</v>
      </c>
      <c r="C153" s="163"/>
      <c r="D153" s="163"/>
      <c r="E153" s="166">
        <f t="shared" si="2"/>
        <v>1965</v>
      </c>
      <c r="F153" s="157">
        <v>23863</v>
      </c>
      <c r="G153" s="158">
        <v>4.21</v>
      </c>
      <c r="J153" s="157">
        <v>23666</v>
      </c>
      <c r="K153" s="158">
        <v>4.21</v>
      </c>
    </row>
    <row r="154" spans="1:11" x14ac:dyDescent="0.25">
      <c r="A154" s="162">
        <v>22852</v>
      </c>
      <c r="B154" s="164">
        <v>4.05</v>
      </c>
      <c r="C154" s="164"/>
      <c r="D154" s="164"/>
      <c r="E154" s="166">
        <f t="shared" si="2"/>
        <v>1965</v>
      </c>
      <c r="F154" s="157">
        <v>23894</v>
      </c>
      <c r="G154" s="158">
        <v>4.21</v>
      </c>
      <c r="J154" s="157">
        <v>23673</v>
      </c>
      <c r="K154" s="158">
        <v>4.21</v>
      </c>
    </row>
    <row r="155" spans="1:11" x14ac:dyDescent="0.25">
      <c r="A155" s="162">
        <v>22853</v>
      </c>
      <c r="B155" s="163">
        <v>4.04</v>
      </c>
      <c r="C155" s="163"/>
      <c r="D155" s="163"/>
      <c r="E155" s="166">
        <f t="shared" si="2"/>
        <v>1965</v>
      </c>
      <c r="F155" s="157">
        <v>23924</v>
      </c>
      <c r="G155" s="158">
        <v>4.21</v>
      </c>
      <c r="J155" s="157">
        <v>23680</v>
      </c>
      <c r="K155" s="158">
        <v>4.1900000000000004</v>
      </c>
    </row>
    <row r="156" spans="1:11" x14ac:dyDescent="0.25">
      <c r="A156" s="162">
        <v>22854</v>
      </c>
      <c r="B156" s="163">
        <v>4.05</v>
      </c>
      <c r="C156" s="163"/>
      <c r="D156" s="163"/>
      <c r="E156" s="166">
        <f t="shared" si="2"/>
        <v>1965</v>
      </c>
      <c r="F156" s="157">
        <v>23955</v>
      </c>
      <c r="G156" s="158">
        <v>4.25</v>
      </c>
      <c r="J156" s="157">
        <v>23687</v>
      </c>
      <c r="K156" s="158">
        <v>4.16</v>
      </c>
    </row>
    <row r="157" spans="1:11" x14ac:dyDescent="0.25">
      <c r="A157" s="162">
        <v>22857</v>
      </c>
      <c r="B157" s="163">
        <v>4.0599999999999996</v>
      </c>
      <c r="C157" s="163"/>
      <c r="D157" s="163"/>
      <c r="E157" s="166">
        <f t="shared" si="2"/>
        <v>1965</v>
      </c>
      <c r="F157" s="157">
        <v>23986</v>
      </c>
      <c r="G157" s="158">
        <v>4.3</v>
      </c>
      <c r="J157" s="157">
        <v>23694</v>
      </c>
      <c r="K157" s="158">
        <v>4.1500000000000004</v>
      </c>
    </row>
    <row r="158" spans="1:11" x14ac:dyDescent="0.25">
      <c r="A158" s="162">
        <v>22858</v>
      </c>
      <c r="B158" s="163">
        <v>4.0599999999999996</v>
      </c>
      <c r="C158" s="163"/>
      <c r="D158" s="163"/>
      <c r="E158" s="166">
        <f t="shared" si="2"/>
        <v>1965</v>
      </c>
      <c r="F158" s="157">
        <v>24016</v>
      </c>
      <c r="G158" s="158">
        <v>4.32</v>
      </c>
      <c r="J158" s="157">
        <v>23701</v>
      </c>
      <c r="K158" s="158">
        <v>4.1500000000000004</v>
      </c>
    </row>
    <row r="159" spans="1:11" x14ac:dyDescent="0.25">
      <c r="A159" s="162">
        <v>22859</v>
      </c>
      <c r="B159" s="163">
        <v>4.0599999999999996</v>
      </c>
      <c r="C159" s="163"/>
      <c r="D159" s="163"/>
      <c r="E159" s="166">
        <f t="shared" si="2"/>
        <v>1965</v>
      </c>
      <c r="F159" s="157">
        <v>24047</v>
      </c>
      <c r="G159" s="158">
        <v>4.4000000000000004</v>
      </c>
      <c r="J159" s="157">
        <v>23708</v>
      </c>
      <c r="K159" s="158">
        <v>4.2</v>
      </c>
    </row>
    <row r="160" spans="1:11" x14ac:dyDescent="0.25">
      <c r="A160" s="162">
        <v>22860</v>
      </c>
      <c r="B160" s="163">
        <v>4.03</v>
      </c>
      <c r="C160" s="163"/>
      <c r="D160" s="163"/>
      <c r="E160" s="166">
        <f t="shared" si="2"/>
        <v>1965</v>
      </c>
      <c r="F160" s="157">
        <v>24077</v>
      </c>
      <c r="G160" s="158">
        <v>4.5</v>
      </c>
      <c r="J160" s="157">
        <v>23715</v>
      </c>
      <c r="K160" s="158">
        <v>4.1900000000000004</v>
      </c>
    </row>
    <row r="161" spans="1:11" x14ac:dyDescent="0.25">
      <c r="A161" s="162">
        <v>22861</v>
      </c>
      <c r="B161" s="163">
        <v>4.04</v>
      </c>
      <c r="C161" s="163"/>
      <c r="D161" s="163"/>
      <c r="E161" s="166">
        <f t="shared" si="2"/>
        <v>1966</v>
      </c>
      <c r="F161" s="157">
        <v>24108</v>
      </c>
      <c r="G161" s="158">
        <v>4.5199999999999996</v>
      </c>
      <c r="J161" s="157">
        <v>23722</v>
      </c>
      <c r="K161" s="158">
        <v>4.16</v>
      </c>
    </row>
    <row r="162" spans="1:11" x14ac:dyDescent="0.25">
      <c r="A162" s="162">
        <v>22864</v>
      </c>
      <c r="B162" s="163">
        <v>4.04</v>
      </c>
      <c r="C162" s="163"/>
      <c r="D162" s="163"/>
      <c r="E162" s="166">
        <f t="shared" si="2"/>
        <v>1966</v>
      </c>
      <c r="F162" s="157">
        <v>24139</v>
      </c>
      <c r="G162" s="158">
        <v>4.71</v>
      </c>
      <c r="J162" s="157">
        <v>23729</v>
      </c>
      <c r="K162" s="158">
        <v>4.17</v>
      </c>
    </row>
    <row r="163" spans="1:11" x14ac:dyDescent="0.25">
      <c r="A163" s="162">
        <v>22865</v>
      </c>
      <c r="B163" s="163">
        <v>4.04</v>
      </c>
      <c r="C163" s="163"/>
      <c r="D163" s="163"/>
      <c r="E163" s="166">
        <f t="shared" si="2"/>
        <v>1966</v>
      </c>
      <c r="F163" s="157">
        <v>24167</v>
      </c>
      <c r="G163" s="158">
        <v>4.72</v>
      </c>
      <c r="J163" s="157">
        <v>23736</v>
      </c>
      <c r="K163" s="158">
        <v>4.1900000000000004</v>
      </c>
    </row>
    <row r="164" spans="1:11" x14ac:dyDescent="0.25">
      <c r="A164" s="162">
        <v>22866</v>
      </c>
      <c r="B164" s="163">
        <v>4.04</v>
      </c>
      <c r="C164" s="163"/>
      <c r="D164" s="163"/>
      <c r="E164" s="166">
        <f t="shared" si="2"/>
        <v>1966</v>
      </c>
      <c r="F164" s="157">
        <v>24198</v>
      </c>
      <c r="G164" s="158">
        <v>4.6500000000000004</v>
      </c>
      <c r="J164" s="157">
        <v>23743</v>
      </c>
      <c r="K164" s="158">
        <v>4.2</v>
      </c>
    </row>
    <row r="165" spans="1:11" x14ac:dyDescent="0.25">
      <c r="A165" s="162">
        <v>22867</v>
      </c>
      <c r="B165" s="163">
        <v>4.03</v>
      </c>
      <c r="C165" s="163"/>
      <c r="D165" s="163"/>
      <c r="E165" s="166">
        <f t="shared" si="2"/>
        <v>1966</v>
      </c>
      <c r="F165" s="157">
        <v>24228</v>
      </c>
      <c r="G165" s="158">
        <v>4.6900000000000004</v>
      </c>
      <c r="J165" s="157">
        <v>23750</v>
      </c>
      <c r="K165" s="158">
        <v>4.2</v>
      </c>
    </row>
    <row r="166" spans="1:11" x14ac:dyDescent="0.25">
      <c r="A166" s="162">
        <v>22868</v>
      </c>
      <c r="B166" s="163">
        <v>4.03</v>
      </c>
      <c r="C166" s="163"/>
      <c r="D166" s="163"/>
      <c r="E166" s="166">
        <f t="shared" si="2"/>
        <v>1966</v>
      </c>
      <c r="F166" s="157">
        <v>24259</v>
      </c>
      <c r="G166" s="158">
        <v>4.7300000000000004</v>
      </c>
      <c r="J166" s="157">
        <v>23757</v>
      </c>
      <c r="K166" s="158">
        <v>4.1900000000000004</v>
      </c>
    </row>
    <row r="167" spans="1:11" x14ac:dyDescent="0.25">
      <c r="A167" s="162">
        <v>22871</v>
      </c>
      <c r="B167" s="163">
        <v>4.03</v>
      </c>
      <c r="C167" s="163"/>
      <c r="D167" s="163"/>
      <c r="E167" s="166">
        <f t="shared" si="2"/>
        <v>1966</v>
      </c>
      <c r="F167" s="157">
        <v>24289</v>
      </c>
      <c r="G167" s="158">
        <v>4.84</v>
      </c>
      <c r="J167" s="157">
        <v>23764</v>
      </c>
      <c r="K167" s="158">
        <v>4.18</v>
      </c>
    </row>
    <row r="168" spans="1:11" x14ac:dyDescent="0.25">
      <c r="A168" s="162">
        <v>22872</v>
      </c>
      <c r="B168" s="163">
        <v>4.01</v>
      </c>
      <c r="C168" s="163"/>
      <c r="D168" s="163"/>
      <c r="E168" s="166">
        <f t="shared" si="2"/>
        <v>1966</v>
      </c>
      <c r="F168" s="157">
        <v>24320</v>
      </c>
      <c r="G168" s="158">
        <v>4.95</v>
      </c>
      <c r="J168" s="157">
        <v>23771</v>
      </c>
      <c r="K168" s="158">
        <v>4.18</v>
      </c>
    </row>
    <row r="169" spans="1:11" x14ac:dyDescent="0.25">
      <c r="A169" s="162">
        <v>22873</v>
      </c>
      <c r="B169" s="163">
        <v>4.01</v>
      </c>
      <c r="C169" s="163"/>
      <c r="D169" s="163"/>
      <c r="E169" s="166">
        <f t="shared" si="2"/>
        <v>1966</v>
      </c>
      <c r="F169" s="157">
        <v>24351</v>
      </c>
      <c r="G169" s="158">
        <v>4.9400000000000004</v>
      </c>
      <c r="J169" s="157">
        <v>23778</v>
      </c>
      <c r="K169" s="158">
        <v>4.2</v>
      </c>
    </row>
    <row r="170" spans="1:11" x14ac:dyDescent="0.25">
      <c r="A170" s="162">
        <v>22874</v>
      </c>
      <c r="B170" s="163">
        <v>3.99</v>
      </c>
      <c r="C170" s="163"/>
      <c r="D170" s="163"/>
      <c r="E170" s="166">
        <f t="shared" si="2"/>
        <v>1966</v>
      </c>
      <c r="F170" s="157">
        <v>24381</v>
      </c>
      <c r="G170" s="158">
        <v>4.83</v>
      </c>
      <c r="J170" s="157">
        <v>23785</v>
      </c>
      <c r="K170" s="158">
        <v>4.21</v>
      </c>
    </row>
    <row r="171" spans="1:11" x14ac:dyDescent="0.25">
      <c r="A171" s="162">
        <v>22875</v>
      </c>
      <c r="B171" s="163">
        <v>3.99</v>
      </c>
      <c r="C171" s="163"/>
      <c r="D171" s="163"/>
      <c r="E171" s="166">
        <f t="shared" si="2"/>
        <v>1966</v>
      </c>
      <c r="F171" s="157">
        <v>24412</v>
      </c>
      <c r="G171" s="158">
        <v>4.87</v>
      </c>
      <c r="J171" s="157">
        <v>23792</v>
      </c>
      <c r="K171" s="158">
        <v>4.21</v>
      </c>
    </row>
    <row r="172" spans="1:11" x14ac:dyDescent="0.25">
      <c r="A172" s="162">
        <v>22878</v>
      </c>
      <c r="B172" s="163">
        <v>3.98</v>
      </c>
      <c r="C172" s="163"/>
      <c r="D172" s="163"/>
      <c r="E172" s="166">
        <f t="shared" si="2"/>
        <v>1966</v>
      </c>
      <c r="F172" s="157">
        <v>24442</v>
      </c>
      <c r="G172" s="158">
        <v>4.76</v>
      </c>
      <c r="J172" s="157">
        <v>23799</v>
      </c>
      <c r="K172" s="158">
        <v>4.21</v>
      </c>
    </row>
    <row r="173" spans="1:11" x14ac:dyDescent="0.25">
      <c r="A173" s="162">
        <v>22879</v>
      </c>
      <c r="B173" s="163">
        <v>3.97</v>
      </c>
      <c r="C173" s="163"/>
      <c r="D173" s="163"/>
      <c r="E173" s="166">
        <f t="shared" si="2"/>
        <v>1967</v>
      </c>
      <c r="F173" s="157">
        <v>24473</v>
      </c>
      <c r="G173" s="158">
        <v>4.51</v>
      </c>
      <c r="J173" s="157">
        <v>23806</v>
      </c>
      <c r="K173" s="158">
        <v>4.21</v>
      </c>
    </row>
    <row r="174" spans="1:11" x14ac:dyDescent="0.25">
      <c r="A174" s="162">
        <v>22880</v>
      </c>
      <c r="B174" s="163">
        <v>3.97</v>
      </c>
      <c r="C174" s="163"/>
      <c r="D174" s="163"/>
      <c r="E174" s="166">
        <f t="shared" si="2"/>
        <v>1967</v>
      </c>
      <c r="F174" s="157">
        <v>24504</v>
      </c>
      <c r="G174" s="158">
        <v>4.6100000000000003</v>
      </c>
      <c r="J174" s="157">
        <v>23813</v>
      </c>
      <c r="K174" s="158">
        <v>4.21</v>
      </c>
    </row>
    <row r="175" spans="1:11" x14ac:dyDescent="0.25">
      <c r="A175" s="162">
        <v>22881</v>
      </c>
      <c r="B175" s="163">
        <v>3.97</v>
      </c>
      <c r="C175" s="163"/>
      <c r="D175" s="163"/>
      <c r="E175" s="166">
        <f t="shared" si="2"/>
        <v>1967</v>
      </c>
      <c r="F175" s="157">
        <v>24532</v>
      </c>
      <c r="G175" s="158">
        <v>4.57</v>
      </c>
      <c r="J175" s="157">
        <v>23820</v>
      </c>
      <c r="K175" s="158">
        <v>4.2</v>
      </c>
    </row>
    <row r="176" spans="1:11" x14ac:dyDescent="0.25">
      <c r="A176" s="162">
        <v>22882</v>
      </c>
      <c r="B176" s="163">
        <v>3.97</v>
      </c>
      <c r="C176" s="163"/>
      <c r="D176" s="163"/>
      <c r="E176" s="166">
        <f t="shared" si="2"/>
        <v>1967</v>
      </c>
      <c r="F176" s="157">
        <v>24563</v>
      </c>
      <c r="G176" s="158">
        <v>4.6399999999999997</v>
      </c>
      <c r="J176" s="157">
        <v>23827</v>
      </c>
      <c r="K176" s="158">
        <v>4.1900000000000004</v>
      </c>
    </row>
    <row r="177" spans="1:11" x14ac:dyDescent="0.25">
      <c r="A177" s="162">
        <v>22885</v>
      </c>
      <c r="B177" s="163">
        <v>3.98</v>
      </c>
      <c r="C177" s="163"/>
      <c r="D177" s="163"/>
      <c r="E177" s="166">
        <f t="shared" si="2"/>
        <v>1967</v>
      </c>
      <c r="F177" s="157">
        <v>24593</v>
      </c>
      <c r="G177" s="158">
        <v>4.9000000000000004</v>
      </c>
      <c r="J177" s="157">
        <v>23834</v>
      </c>
      <c r="K177" s="158">
        <v>4.2</v>
      </c>
    </row>
    <row r="178" spans="1:11" x14ac:dyDescent="0.25">
      <c r="A178" s="162">
        <v>22886</v>
      </c>
      <c r="B178" s="163">
        <v>3.98</v>
      </c>
      <c r="C178" s="163"/>
      <c r="D178" s="163"/>
      <c r="E178" s="166">
        <f t="shared" si="2"/>
        <v>1967</v>
      </c>
      <c r="F178" s="157">
        <v>24624</v>
      </c>
      <c r="G178" s="158">
        <v>4.99</v>
      </c>
      <c r="J178" s="157">
        <v>23841</v>
      </c>
      <c r="K178" s="158">
        <v>4.2</v>
      </c>
    </row>
    <row r="179" spans="1:11" x14ac:dyDescent="0.25">
      <c r="A179" s="162">
        <v>22887</v>
      </c>
      <c r="B179" s="164">
        <v>3.98</v>
      </c>
      <c r="C179" s="164"/>
      <c r="D179" s="164"/>
      <c r="E179" s="166">
        <f t="shared" si="2"/>
        <v>1967</v>
      </c>
      <c r="F179" s="157">
        <v>24654</v>
      </c>
      <c r="G179" s="158">
        <v>5.01</v>
      </c>
      <c r="J179" s="157">
        <v>23848</v>
      </c>
      <c r="K179" s="158">
        <v>4.2</v>
      </c>
    </row>
    <row r="180" spans="1:11" x14ac:dyDescent="0.25">
      <c r="A180" s="162">
        <v>22888</v>
      </c>
      <c r="B180" s="163">
        <v>3.99</v>
      </c>
      <c r="C180" s="163"/>
      <c r="D180" s="163"/>
      <c r="E180" s="166">
        <f t="shared" si="2"/>
        <v>1967</v>
      </c>
      <c r="F180" s="157">
        <v>24685</v>
      </c>
      <c r="G180" s="158">
        <v>5.12</v>
      </c>
      <c r="J180" s="157">
        <v>23855</v>
      </c>
      <c r="K180" s="158">
        <v>4.21</v>
      </c>
    </row>
    <row r="181" spans="1:11" x14ac:dyDescent="0.25">
      <c r="A181" s="162">
        <v>22889</v>
      </c>
      <c r="B181" s="163">
        <v>3.99</v>
      </c>
      <c r="C181" s="163"/>
      <c r="D181" s="163"/>
      <c r="E181" s="166">
        <f t="shared" si="2"/>
        <v>1967</v>
      </c>
      <c r="F181" s="157">
        <v>24716</v>
      </c>
      <c r="G181" s="158">
        <v>5.16</v>
      </c>
      <c r="J181" s="157">
        <v>23862</v>
      </c>
      <c r="K181" s="158">
        <v>4.21</v>
      </c>
    </row>
    <row r="182" spans="1:11" x14ac:dyDescent="0.25">
      <c r="A182" s="162">
        <v>22892</v>
      </c>
      <c r="B182" s="163" t="e">
        <f>NA()</f>
        <v>#N/A</v>
      </c>
      <c r="C182" s="163"/>
      <c r="D182" s="163"/>
      <c r="E182" s="166">
        <f t="shared" si="2"/>
        <v>1967</v>
      </c>
      <c r="F182" s="157">
        <v>24746</v>
      </c>
      <c r="G182" s="158">
        <v>5.36</v>
      </c>
      <c r="J182" s="157">
        <v>23869</v>
      </c>
      <c r="K182" s="158">
        <v>4.2</v>
      </c>
    </row>
    <row r="183" spans="1:11" x14ac:dyDescent="0.25">
      <c r="A183" s="162">
        <v>22893</v>
      </c>
      <c r="B183" s="163">
        <v>3.99</v>
      </c>
      <c r="C183" s="163"/>
      <c r="D183" s="163"/>
      <c r="E183" s="166">
        <f t="shared" si="2"/>
        <v>1967</v>
      </c>
      <c r="F183" s="157">
        <v>24777</v>
      </c>
      <c r="G183" s="158">
        <v>5.66</v>
      </c>
      <c r="J183" s="157">
        <v>23876</v>
      </c>
      <c r="K183" s="158">
        <v>4.21</v>
      </c>
    </row>
    <row r="184" spans="1:11" x14ac:dyDescent="0.25">
      <c r="A184" s="162">
        <v>22894</v>
      </c>
      <c r="B184" s="163">
        <v>4</v>
      </c>
      <c r="C184" s="163"/>
      <c r="D184" s="163"/>
      <c r="E184" s="166">
        <f t="shared" si="2"/>
        <v>1967</v>
      </c>
      <c r="F184" s="157">
        <v>24807</v>
      </c>
      <c r="G184" s="158">
        <v>5.59</v>
      </c>
      <c r="J184" s="157">
        <v>23883</v>
      </c>
      <c r="K184" s="158">
        <v>4.21</v>
      </c>
    </row>
    <row r="185" spans="1:11" x14ac:dyDescent="0.25">
      <c r="A185" s="162">
        <v>22895</v>
      </c>
      <c r="B185" s="163">
        <v>4</v>
      </c>
      <c r="C185" s="163"/>
      <c r="D185" s="163"/>
      <c r="E185" s="166">
        <f t="shared" si="2"/>
        <v>1968</v>
      </c>
      <c r="F185" s="157">
        <v>24838</v>
      </c>
      <c r="G185" s="158">
        <v>5.39</v>
      </c>
      <c r="J185" s="157">
        <v>23890</v>
      </c>
      <c r="K185" s="158">
        <v>4.22</v>
      </c>
    </row>
    <row r="186" spans="1:11" x14ac:dyDescent="0.25">
      <c r="A186" s="162">
        <v>22896</v>
      </c>
      <c r="B186" s="163">
        <v>4.01</v>
      </c>
      <c r="C186" s="163"/>
      <c r="D186" s="163"/>
      <c r="E186" s="166">
        <f t="shared" si="2"/>
        <v>1968</v>
      </c>
      <c r="F186" s="157">
        <v>24869</v>
      </c>
      <c r="G186" s="158">
        <v>5.38</v>
      </c>
      <c r="J186" s="157">
        <v>23897</v>
      </c>
      <c r="K186" s="158">
        <v>4.22</v>
      </c>
    </row>
    <row r="187" spans="1:11" x14ac:dyDescent="0.25">
      <c r="A187" s="162">
        <v>22899</v>
      </c>
      <c r="B187" s="163">
        <v>4.01</v>
      </c>
      <c r="C187" s="163"/>
      <c r="D187" s="163"/>
      <c r="E187" s="166">
        <f t="shared" si="2"/>
        <v>1968</v>
      </c>
      <c r="F187" s="157">
        <v>24898</v>
      </c>
      <c r="G187" s="158">
        <v>5.59</v>
      </c>
      <c r="J187" s="157">
        <v>23904</v>
      </c>
      <c r="K187" s="158">
        <v>4.22</v>
      </c>
    </row>
    <row r="188" spans="1:11" x14ac:dyDescent="0.25">
      <c r="A188" s="162">
        <v>22900</v>
      </c>
      <c r="B188" s="163">
        <v>4.01</v>
      </c>
      <c r="C188" s="163"/>
      <c r="D188" s="163"/>
      <c r="E188" s="166">
        <f t="shared" si="2"/>
        <v>1968</v>
      </c>
      <c r="F188" s="157">
        <v>24929</v>
      </c>
      <c r="G188" s="158">
        <v>5.46</v>
      </c>
      <c r="J188" s="157">
        <v>23911</v>
      </c>
      <c r="K188" s="158">
        <v>4.21</v>
      </c>
    </row>
    <row r="189" spans="1:11" x14ac:dyDescent="0.25">
      <c r="A189" s="162">
        <v>22901</v>
      </c>
      <c r="B189" s="163">
        <v>4</v>
      </c>
      <c r="C189" s="163"/>
      <c r="D189" s="163"/>
      <c r="E189" s="166">
        <f t="shared" si="2"/>
        <v>1968</v>
      </c>
      <c r="F189" s="157">
        <v>24959</v>
      </c>
      <c r="G189" s="158">
        <v>5.55</v>
      </c>
      <c r="J189" s="157">
        <v>23918</v>
      </c>
      <c r="K189" s="158">
        <v>4.2</v>
      </c>
    </row>
    <row r="190" spans="1:11" x14ac:dyDescent="0.25">
      <c r="A190" s="162">
        <v>22902</v>
      </c>
      <c r="B190" s="163">
        <v>4</v>
      </c>
      <c r="C190" s="163"/>
      <c r="D190" s="163"/>
      <c r="E190" s="166">
        <f t="shared" si="2"/>
        <v>1968</v>
      </c>
      <c r="F190" s="157">
        <v>24990</v>
      </c>
      <c r="G190" s="158">
        <v>5.4</v>
      </c>
      <c r="J190" s="157">
        <v>23925</v>
      </c>
      <c r="K190" s="158">
        <v>4.2</v>
      </c>
    </row>
    <row r="191" spans="1:11" x14ac:dyDescent="0.25">
      <c r="A191" s="162">
        <v>22903</v>
      </c>
      <c r="B191" s="163">
        <v>4</v>
      </c>
      <c r="C191" s="163"/>
      <c r="D191" s="163"/>
      <c r="E191" s="166">
        <f t="shared" si="2"/>
        <v>1968</v>
      </c>
      <c r="F191" s="157">
        <v>25020</v>
      </c>
      <c r="G191" s="158">
        <v>5.29</v>
      </c>
      <c r="J191" s="157">
        <v>23932</v>
      </c>
      <c r="K191" s="158">
        <v>4.21</v>
      </c>
    </row>
    <row r="192" spans="1:11" x14ac:dyDescent="0.25">
      <c r="A192" s="162">
        <v>22906</v>
      </c>
      <c r="B192" s="163">
        <v>4</v>
      </c>
      <c r="C192" s="163"/>
      <c r="D192" s="163"/>
      <c r="E192" s="166">
        <f t="shared" si="2"/>
        <v>1968</v>
      </c>
      <c r="F192" s="157">
        <v>25051</v>
      </c>
      <c r="G192" s="158">
        <v>5.23</v>
      </c>
      <c r="J192" s="157">
        <v>23939</v>
      </c>
      <c r="K192" s="158">
        <v>4.21</v>
      </c>
    </row>
    <row r="193" spans="1:11" x14ac:dyDescent="0.25">
      <c r="A193" s="162">
        <v>22907</v>
      </c>
      <c r="B193" s="163">
        <v>4</v>
      </c>
      <c r="C193" s="163"/>
      <c r="D193" s="163"/>
      <c r="E193" s="166">
        <f t="shared" si="2"/>
        <v>1968</v>
      </c>
      <c r="F193" s="157">
        <v>25082</v>
      </c>
      <c r="G193" s="158">
        <v>5.28</v>
      </c>
      <c r="J193" s="157">
        <v>23946</v>
      </c>
      <c r="K193" s="158">
        <v>4.2</v>
      </c>
    </row>
    <row r="194" spans="1:11" x14ac:dyDescent="0.25">
      <c r="A194" s="162">
        <v>22908</v>
      </c>
      <c r="B194" s="163">
        <v>4</v>
      </c>
      <c r="C194" s="163"/>
      <c r="D194" s="163"/>
      <c r="E194" s="166">
        <f t="shared" si="2"/>
        <v>1968</v>
      </c>
      <c r="F194" s="157">
        <v>25112</v>
      </c>
      <c r="G194" s="158">
        <v>5.44</v>
      </c>
      <c r="J194" s="157">
        <v>23953</v>
      </c>
      <c r="K194" s="158">
        <v>4.21</v>
      </c>
    </row>
    <row r="195" spans="1:11" x14ac:dyDescent="0.25">
      <c r="A195" s="162">
        <v>22909</v>
      </c>
      <c r="B195" s="163">
        <v>4</v>
      </c>
      <c r="C195" s="163"/>
      <c r="D195" s="163"/>
      <c r="E195" s="166">
        <f t="shared" si="2"/>
        <v>1968</v>
      </c>
      <c r="F195" s="157">
        <v>25143</v>
      </c>
      <c r="G195" s="158">
        <v>5.56</v>
      </c>
      <c r="J195" s="157">
        <v>23960</v>
      </c>
      <c r="K195" s="158">
        <v>4.2300000000000004</v>
      </c>
    </row>
    <row r="196" spans="1:11" x14ac:dyDescent="0.25">
      <c r="A196" s="162">
        <v>22910</v>
      </c>
      <c r="B196" s="163">
        <v>4</v>
      </c>
      <c r="C196" s="163"/>
      <c r="D196" s="163"/>
      <c r="E196" s="166">
        <f t="shared" si="2"/>
        <v>1968</v>
      </c>
      <c r="F196" s="157">
        <v>25173</v>
      </c>
      <c r="G196" s="158">
        <v>5.88</v>
      </c>
      <c r="J196" s="157">
        <v>23967</v>
      </c>
      <c r="K196" s="158">
        <v>4.25</v>
      </c>
    </row>
    <row r="197" spans="1:11" x14ac:dyDescent="0.25">
      <c r="A197" s="162">
        <v>22913</v>
      </c>
      <c r="B197" s="163">
        <v>3.99</v>
      </c>
      <c r="C197" s="163"/>
      <c r="D197" s="163"/>
      <c r="E197" s="166">
        <f t="shared" si="2"/>
        <v>1969</v>
      </c>
      <c r="F197" s="157">
        <v>25204</v>
      </c>
      <c r="G197" s="158">
        <v>5.99</v>
      </c>
      <c r="J197" s="157">
        <v>23974</v>
      </c>
      <c r="K197" s="158">
        <v>4.26</v>
      </c>
    </row>
    <row r="198" spans="1:11" x14ac:dyDescent="0.25">
      <c r="A198" s="162">
        <v>22914</v>
      </c>
      <c r="B198" s="163">
        <v>3.99</v>
      </c>
      <c r="C198" s="163"/>
      <c r="D198" s="163"/>
      <c r="E198" s="166">
        <f t="shared" si="2"/>
        <v>1969</v>
      </c>
      <c r="F198" s="157">
        <v>25235</v>
      </c>
      <c r="G198" s="158">
        <v>6.11</v>
      </c>
      <c r="J198" s="157">
        <v>23981</v>
      </c>
      <c r="K198" s="158">
        <v>4.28</v>
      </c>
    </row>
    <row r="199" spans="1:11" x14ac:dyDescent="0.25">
      <c r="A199" s="162">
        <v>22915</v>
      </c>
      <c r="B199" s="163">
        <v>3.99</v>
      </c>
      <c r="C199" s="163"/>
      <c r="D199" s="163"/>
      <c r="E199" s="166">
        <f t="shared" si="2"/>
        <v>1969</v>
      </c>
      <c r="F199" s="157">
        <v>25263</v>
      </c>
      <c r="G199" s="158">
        <v>6.22</v>
      </c>
      <c r="J199" s="157">
        <v>23988</v>
      </c>
      <c r="K199" s="158">
        <v>4.28</v>
      </c>
    </row>
    <row r="200" spans="1:11" x14ac:dyDescent="0.25">
      <c r="A200" s="162">
        <v>22916</v>
      </c>
      <c r="B200" s="163">
        <v>3.98</v>
      </c>
      <c r="C200" s="163"/>
      <c r="D200" s="163"/>
      <c r="E200" s="166">
        <f t="shared" si="2"/>
        <v>1969</v>
      </c>
      <c r="F200" s="157">
        <v>25294</v>
      </c>
      <c r="G200" s="158">
        <v>6.03</v>
      </c>
      <c r="J200" s="157">
        <v>23995</v>
      </c>
      <c r="K200" s="158">
        <v>4.29</v>
      </c>
    </row>
    <row r="201" spans="1:11" x14ac:dyDescent="0.25">
      <c r="A201" s="162">
        <v>22917</v>
      </c>
      <c r="B201" s="163">
        <v>3.97</v>
      </c>
      <c r="C201" s="163"/>
      <c r="D201" s="163"/>
      <c r="E201" s="166">
        <f t="shared" ref="E201:E264" si="3">YEAR(F201)</f>
        <v>1969</v>
      </c>
      <c r="F201" s="157">
        <v>25324</v>
      </c>
      <c r="G201" s="158">
        <v>6.11</v>
      </c>
      <c r="J201" s="157">
        <v>24002</v>
      </c>
      <c r="K201" s="158">
        <v>4.3</v>
      </c>
    </row>
    <row r="202" spans="1:11" x14ac:dyDescent="0.25">
      <c r="A202" s="162">
        <v>22920</v>
      </c>
      <c r="B202" s="163">
        <v>3.96</v>
      </c>
      <c r="C202" s="163"/>
      <c r="D202" s="163"/>
      <c r="E202" s="166">
        <f t="shared" si="3"/>
        <v>1969</v>
      </c>
      <c r="F202" s="157">
        <v>25355</v>
      </c>
      <c r="G202" s="158">
        <v>6.28</v>
      </c>
      <c r="J202" s="157">
        <v>24009</v>
      </c>
      <c r="K202" s="158">
        <v>4.3</v>
      </c>
    </row>
    <row r="203" spans="1:11" x14ac:dyDescent="0.25">
      <c r="A203" s="162">
        <v>22921</v>
      </c>
      <c r="B203" s="164">
        <v>3.95</v>
      </c>
      <c r="C203" s="164"/>
      <c r="D203" s="164"/>
      <c r="E203" s="166">
        <f t="shared" si="3"/>
        <v>1969</v>
      </c>
      <c r="F203" s="157">
        <v>25385</v>
      </c>
      <c r="G203" s="158">
        <v>6.27</v>
      </c>
      <c r="J203" s="157">
        <v>24016</v>
      </c>
      <c r="K203" s="158">
        <v>4.33</v>
      </c>
    </row>
    <row r="204" spans="1:11" x14ac:dyDescent="0.25">
      <c r="A204" s="162">
        <v>22922</v>
      </c>
      <c r="B204" s="163">
        <v>3.94</v>
      </c>
      <c r="C204" s="163"/>
      <c r="D204" s="163"/>
      <c r="E204" s="166">
        <f t="shared" si="3"/>
        <v>1969</v>
      </c>
      <c r="F204" s="157">
        <v>25416</v>
      </c>
      <c r="G204" s="158">
        <v>6.22</v>
      </c>
      <c r="J204" s="157">
        <v>24023</v>
      </c>
      <c r="K204" s="158">
        <v>4.32</v>
      </c>
    </row>
    <row r="205" spans="1:11" x14ac:dyDescent="0.25">
      <c r="A205" s="162">
        <v>22923</v>
      </c>
      <c r="B205" s="163">
        <v>3.94</v>
      </c>
      <c r="C205" s="163"/>
      <c r="D205" s="163"/>
      <c r="E205" s="166">
        <f t="shared" si="3"/>
        <v>1969</v>
      </c>
      <c r="F205" s="157">
        <v>25447</v>
      </c>
      <c r="G205" s="158">
        <v>6.55</v>
      </c>
      <c r="J205" s="157">
        <v>24030</v>
      </c>
      <c r="K205" s="158">
        <v>4.3</v>
      </c>
    </row>
    <row r="206" spans="1:11" x14ac:dyDescent="0.25">
      <c r="A206" s="162">
        <v>22924</v>
      </c>
      <c r="B206" s="163">
        <v>3.95</v>
      </c>
      <c r="C206" s="163"/>
      <c r="D206" s="163"/>
      <c r="E206" s="166">
        <f t="shared" si="3"/>
        <v>1969</v>
      </c>
      <c r="F206" s="157">
        <v>25477</v>
      </c>
      <c r="G206" s="158">
        <v>6.49</v>
      </c>
      <c r="J206" s="157">
        <v>24037</v>
      </c>
      <c r="K206" s="158">
        <v>4.32</v>
      </c>
    </row>
    <row r="207" spans="1:11" x14ac:dyDescent="0.25">
      <c r="A207" s="162">
        <v>22927</v>
      </c>
      <c r="B207" s="163">
        <v>3.95</v>
      </c>
      <c r="C207" s="163"/>
      <c r="D207" s="163"/>
      <c r="E207" s="166">
        <f t="shared" si="3"/>
        <v>1969</v>
      </c>
      <c r="F207" s="157">
        <v>25508</v>
      </c>
      <c r="G207" s="158">
        <v>6.74</v>
      </c>
      <c r="J207" s="157">
        <v>24044</v>
      </c>
      <c r="K207" s="158">
        <v>4.34</v>
      </c>
    </row>
    <row r="208" spans="1:11" x14ac:dyDescent="0.25">
      <c r="A208" s="162">
        <v>22928</v>
      </c>
      <c r="B208" s="163">
        <v>3.95</v>
      </c>
      <c r="C208" s="163"/>
      <c r="D208" s="163"/>
      <c r="E208" s="166">
        <f t="shared" si="3"/>
        <v>1969</v>
      </c>
      <c r="F208" s="157">
        <v>25538</v>
      </c>
      <c r="G208" s="158">
        <v>6.91</v>
      </c>
      <c r="J208" s="157">
        <v>24051</v>
      </c>
      <c r="K208" s="158">
        <v>4.38</v>
      </c>
    </row>
    <row r="209" spans="1:11" x14ac:dyDescent="0.25">
      <c r="A209" s="162">
        <v>22929</v>
      </c>
      <c r="B209" s="163">
        <v>3.94</v>
      </c>
      <c r="C209" s="163"/>
      <c r="D209" s="163"/>
      <c r="E209" s="166">
        <f t="shared" si="3"/>
        <v>1970</v>
      </c>
      <c r="F209" s="157">
        <v>25569</v>
      </c>
      <c r="G209" s="158">
        <v>6.92</v>
      </c>
      <c r="J209" s="157">
        <v>24058</v>
      </c>
      <c r="K209" s="158">
        <v>4.41</v>
      </c>
    </row>
    <row r="210" spans="1:11" x14ac:dyDescent="0.25">
      <c r="A210" s="162">
        <v>22930</v>
      </c>
      <c r="B210" s="163">
        <v>3.94</v>
      </c>
      <c r="C210" s="163"/>
      <c r="D210" s="163"/>
      <c r="E210" s="166">
        <f t="shared" si="3"/>
        <v>1970</v>
      </c>
      <c r="F210" s="157">
        <v>25600</v>
      </c>
      <c r="G210" s="158">
        <v>6.67</v>
      </c>
      <c r="J210" s="157">
        <v>24065</v>
      </c>
      <c r="K210" s="158">
        <v>4.4000000000000004</v>
      </c>
    </row>
    <row r="211" spans="1:11" x14ac:dyDescent="0.25">
      <c r="A211" s="162">
        <v>22931</v>
      </c>
      <c r="B211" s="163" t="e">
        <f>NA()</f>
        <v>#N/A</v>
      </c>
      <c r="C211" s="163"/>
      <c r="D211" s="163"/>
      <c r="E211" s="166">
        <f t="shared" si="3"/>
        <v>1970</v>
      </c>
      <c r="F211" s="157">
        <v>25628</v>
      </c>
      <c r="G211" s="158">
        <v>6.72</v>
      </c>
      <c r="J211" s="157">
        <v>24072</v>
      </c>
      <c r="K211" s="158">
        <v>4.4000000000000004</v>
      </c>
    </row>
    <row r="212" spans="1:11" x14ac:dyDescent="0.25">
      <c r="A212" s="162">
        <v>22934</v>
      </c>
      <c r="B212" s="163">
        <v>3.94</v>
      </c>
      <c r="C212" s="163"/>
      <c r="D212" s="163"/>
      <c r="E212" s="166">
        <f t="shared" si="3"/>
        <v>1970</v>
      </c>
      <c r="F212" s="157">
        <v>25659</v>
      </c>
      <c r="G212" s="158">
        <v>6.85</v>
      </c>
      <c r="J212" s="157">
        <v>24079</v>
      </c>
      <c r="K212" s="158">
        <v>4.43</v>
      </c>
    </row>
    <row r="213" spans="1:11" x14ac:dyDescent="0.25">
      <c r="A213" s="162">
        <v>22935</v>
      </c>
      <c r="B213" s="163">
        <v>3.94</v>
      </c>
      <c r="C213" s="163"/>
      <c r="D213" s="163"/>
      <c r="E213" s="166">
        <f t="shared" si="3"/>
        <v>1970</v>
      </c>
      <c r="F213" s="157">
        <v>25689</v>
      </c>
      <c r="G213" s="158">
        <v>7.24</v>
      </c>
      <c r="J213" s="157">
        <v>24086</v>
      </c>
      <c r="K213" s="158">
        <v>4.5</v>
      </c>
    </row>
    <row r="214" spans="1:11" x14ac:dyDescent="0.25">
      <c r="A214" s="162">
        <v>22936</v>
      </c>
      <c r="B214" s="163">
        <v>3.95</v>
      </c>
      <c r="C214" s="163"/>
      <c r="D214" s="163"/>
      <c r="E214" s="166">
        <f t="shared" si="3"/>
        <v>1970</v>
      </c>
      <c r="F214" s="157">
        <v>25720</v>
      </c>
      <c r="G214" s="158">
        <v>7.34</v>
      </c>
      <c r="J214" s="157">
        <v>24093</v>
      </c>
      <c r="K214" s="158">
        <v>4.53</v>
      </c>
    </row>
    <row r="215" spans="1:11" x14ac:dyDescent="0.25">
      <c r="A215" s="162">
        <v>22937</v>
      </c>
      <c r="B215" s="163">
        <v>3.94</v>
      </c>
      <c r="C215" s="163"/>
      <c r="D215" s="163"/>
      <c r="E215" s="166">
        <f t="shared" si="3"/>
        <v>1970</v>
      </c>
      <c r="F215" s="157">
        <v>25750</v>
      </c>
      <c r="G215" s="158">
        <v>6.92</v>
      </c>
      <c r="J215" s="157">
        <v>24100</v>
      </c>
      <c r="K215" s="158">
        <v>4.51</v>
      </c>
    </row>
    <row r="216" spans="1:11" x14ac:dyDescent="0.25">
      <c r="A216" s="162">
        <v>22938</v>
      </c>
      <c r="B216" s="163">
        <v>3.9</v>
      </c>
      <c r="C216" s="163"/>
      <c r="D216" s="163"/>
      <c r="E216" s="166">
        <f t="shared" si="3"/>
        <v>1970</v>
      </c>
      <c r="F216" s="157">
        <v>25781</v>
      </c>
      <c r="G216" s="158">
        <v>7.07</v>
      </c>
      <c r="J216" s="157">
        <v>24107</v>
      </c>
      <c r="K216" s="158">
        <v>4.51</v>
      </c>
    </row>
    <row r="217" spans="1:11" x14ac:dyDescent="0.25">
      <c r="A217" s="162">
        <v>22941</v>
      </c>
      <c r="B217" s="163">
        <v>3.93</v>
      </c>
      <c r="C217" s="163"/>
      <c r="D217" s="163"/>
      <c r="E217" s="166">
        <f t="shared" si="3"/>
        <v>1970</v>
      </c>
      <c r="F217" s="157">
        <v>25812</v>
      </c>
      <c r="G217" s="158">
        <v>6.88</v>
      </c>
      <c r="J217" s="157">
        <v>24114</v>
      </c>
      <c r="K217" s="158">
        <v>4.51</v>
      </c>
    </row>
    <row r="218" spans="1:11" x14ac:dyDescent="0.25">
      <c r="A218" s="162">
        <v>22942</v>
      </c>
      <c r="B218" s="163">
        <v>3.94</v>
      </c>
      <c r="C218" s="163"/>
      <c r="D218" s="163"/>
      <c r="E218" s="166">
        <f t="shared" si="3"/>
        <v>1970</v>
      </c>
      <c r="F218" s="157">
        <v>25842</v>
      </c>
      <c r="G218" s="158">
        <v>6.88</v>
      </c>
      <c r="J218" s="157">
        <v>24121</v>
      </c>
      <c r="K218" s="158">
        <v>4.5</v>
      </c>
    </row>
    <row r="219" spans="1:11" x14ac:dyDescent="0.25">
      <c r="A219" s="162">
        <v>22943</v>
      </c>
      <c r="B219" s="163">
        <v>3.94</v>
      </c>
      <c r="C219" s="163"/>
      <c r="D219" s="163"/>
      <c r="E219" s="166">
        <f t="shared" si="3"/>
        <v>1970</v>
      </c>
      <c r="F219" s="157">
        <v>25873</v>
      </c>
      <c r="G219" s="158">
        <v>6.58</v>
      </c>
      <c r="J219" s="157">
        <v>24128</v>
      </c>
      <c r="K219" s="158">
        <v>4.5</v>
      </c>
    </row>
    <row r="220" spans="1:11" x14ac:dyDescent="0.25">
      <c r="A220" s="162">
        <v>22944</v>
      </c>
      <c r="B220" s="163">
        <v>3.95</v>
      </c>
      <c r="C220" s="163"/>
      <c r="D220" s="163"/>
      <c r="E220" s="166">
        <f t="shared" si="3"/>
        <v>1970</v>
      </c>
      <c r="F220" s="157">
        <v>25903</v>
      </c>
      <c r="G220" s="158">
        <v>6.28</v>
      </c>
      <c r="J220" s="157">
        <v>24135</v>
      </c>
      <c r="K220" s="158">
        <v>4.53</v>
      </c>
    </row>
    <row r="221" spans="1:11" x14ac:dyDescent="0.25">
      <c r="A221" s="162">
        <v>22945</v>
      </c>
      <c r="B221" s="163">
        <v>3.94</v>
      </c>
      <c r="C221" s="163"/>
      <c r="D221" s="163"/>
      <c r="E221" s="166">
        <f t="shared" si="3"/>
        <v>1971</v>
      </c>
      <c r="F221" s="157">
        <v>25934</v>
      </c>
      <c r="G221" s="158">
        <v>6.18</v>
      </c>
      <c r="J221" s="157">
        <v>24142</v>
      </c>
      <c r="K221" s="158">
        <v>4.6100000000000003</v>
      </c>
    </row>
    <row r="222" spans="1:11" x14ac:dyDescent="0.25">
      <c r="A222" s="162">
        <v>22948</v>
      </c>
      <c r="B222" s="163">
        <v>3.94</v>
      </c>
      <c r="C222" s="163"/>
      <c r="D222" s="163"/>
      <c r="E222" s="166">
        <f t="shared" si="3"/>
        <v>1971</v>
      </c>
      <c r="F222" s="157">
        <v>25965</v>
      </c>
      <c r="G222" s="158">
        <v>6.14</v>
      </c>
      <c r="J222" s="157">
        <v>24149</v>
      </c>
      <c r="K222" s="158">
        <v>4.68</v>
      </c>
    </row>
    <row r="223" spans="1:11" x14ac:dyDescent="0.25">
      <c r="A223" s="162">
        <v>22949</v>
      </c>
      <c r="B223" s="163">
        <v>3.94</v>
      </c>
      <c r="C223" s="163"/>
      <c r="D223" s="163"/>
      <c r="E223" s="166">
        <f t="shared" si="3"/>
        <v>1971</v>
      </c>
      <c r="F223" s="157">
        <v>25993</v>
      </c>
      <c r="G223" s="158">
        <v>5.94</v>
      </c>
      <c r="J223" s="157">
        <v>24156</v>
      </c>
      <c r="K223" s="158">
        <v>4.75</v>
      </c>
    </row>
    <row r="224" spans="1:11" x14ac:dyDescent="0.25">
      <c r="A224" s="162">
        <v>22950</v>
      </c>
      <c r="B224" s="163">
        <v>3.94</v>
      </c>
      <c r="C224" s="163"/>
      <c r="D224" s="163"/>
      <c r="E224" s="166">
        <f t="shared" si="3"/>
        <v>1971</v>
      </c>
      <c r="F224" s="157">
        <v>26024</v>
      </c>
      <c r="G224" s="158">
        <v>6</v>
      </c>
      <c r="J224" s="157">
        <v>24163</v>
      </c>
      <c r="K224" s="158">
        <v>4.7699999999999996</v>
      </c>
    </row>
    <row r="225" spans="1:11" x14ac:dyDescent="0.25">
      <c r="A225" s="162">
        <v>22951</v>
      </c>
      <c r="B225" s="163">
        <v>3.94</v>
      </c>
      <c r="C225" s="163"/>
      <c r="D225" s="163"/>
      <c r="E225" s="166">
        <f t="shared" si="3"/>
        <v>1971</v>
      </c>
      <c r="F225" s="157">
        <v>26054</v>
      </c>
      <c r="G225" s="158">
        <v>6.32</v>
      </c>
      <c r="J225" s="157">
        <v>24170</v>
      </c>
      <c r="K225" s="158">
        <v>4.8099999999999996</v>
      </c>
    </row>
    <row r="226" spans="1:11" x14ac:dyDescent="0.25">
      <c r="A226" s="162">
        <v>22952</v>
      </c>
      <c r="B226" s="163">
        <v>3.94</v>
      </c>
      <c r="C226" s="163"/>
      <c r="D226" s="163"/>
      <c r="E226" s="166">
        <f t="shared" si="3"/>
        <v>1971</v>
      </c>
      <c r="F226" s="157">
        <v>26085</v>
      </c>
      <c r="G226" s="158">
        <v>6.38</v>
      </c>
      <c r="J226" s="157">
        <v>24177</v>
      </c>
      <c r="K226" s="158">
        <v>4.7699999999999996</v>
      </c>
    </row>
    <row r="227" spans="1:11" x14ac:dyDescent="0.25">
      <c r="A227" s="162">
        <v>22955</v>
      </c>
      <c r="B227" s="163">
        <v>3.93</v>
      </c>
      <c r="C227" s="163"/>
      <c r="D227" s="163"/>
      <c r="E227" s="166">
        <f t="shared" si="3"/>
        <v>1971</v>
      </c>
      <c r="F227" s="157">
        <v>26115</v>
      </c>
      <c r="G227" s="158">
        <v>6.38</v>
      </c>
      <c r="J227" s="157">
        <v>24184</v>
      </c>
      <c r="K227" s="158">
        <v>4.72</v>
      </c>
    </row>
    <row r="228" spans="1:11" x14ac:dyDescent="0.25">
      <c r="A228" s="162">
        <v>22956</v>
      </c>
      <c r="B228" s="163" t="e">
        <f>NA()</f>
        <v>#N/A</v>
      </c>
      <c r="C228" s="163"/>
      <c r="D228" s="163"/>
      <c r="E228" s="166">
        <f t="shared" si="3"/>
        <v>1971</v>
      </c>
      <c r="F228" s="157">
        <v>26146</v>
      </c>
      <c r="G228" s="158">
        <v>6.27</v>
      </c>
      <c r="J228" s="157">
        <v>24191</v>
      </c>
      <c r="K228" s="158">
        <v>4.66</v>
      </c>
    </row>
    <row r="229" spans="1:11" x14ac:dyDescent="0.25">
      <c r="A229" s="162">
        <v>22957</v>
      </c>
      <c r="B229" s="163">
        <v>3.93</v>
      </c>
      <c r="C229" s="163"/>
      <c r="D229" s="163"/>
      <c r="E229" s="166">
        <f t="shared" si="3"/>
        <v>1971</v>
      </c>
      <c r="F229" s="157">
        <v>26177</v>
      </c>
      <c r="G229" s="158">
        <v>6.05</v>
      </c>
      <c r="J229" s="157">
        <v>24198</v>
      </c>
      <c r="K229" s="158">
        <v>4.63</v>
      </c>
    </row>
    <row r="230" spans="1:11" x14ac:dyDescent="0.25">
      <c r="A230" s="162">
        <v>22958</v>
      </c>
      <c r="B230" s="163">
        <v>3.92</v>
      </c>
      <c r="C230" s="163"/>
      <c r="D230" s="163"/>
      <c r="E230" s="166">
        <f t="shared" si="3"/>
        <v>1971</v>
      </c>
      <c r="F230" s="157">
        <v>26207</v>
      </c>
      <c r="G230" s="158">
        <v>5.92</v>
      </c>
      <c r="J230" s="157">
        <v>24205</v>
      </c>
      <c r="K230" s="158">
        <v>4.6100000000000003</v>
      </c>
    </row>
    <row r="231" spans="1:11" x14ac:dyDescent="0.25">
      <c r="A231" s="162">
        <v>22959</v>
      </c>
      <c r="B231" s="163">
        <v>3.91</v>
      </c>
      <c r="C231" s="163"/>
      <c r="D231" s="163"/>
      <c r="E231" s="166">
        <f t="shared" si="3"/>
        <v>1971</v>
      </c>
      <c r="F231" s="157">
        <v>26238</v>
      </c>
      <c r="G231" s="158">
        <v>5.86</v>
      </c>
      <c r="J231" s="157">
        <v>24212</v>
      </c>
      <c r="K231" s="158">
        <v>4.6500000000000004</v>
      </c>
    </row>
    <row r="232" spans="1:11" x14ac:dyDescent="0.25">
      <c r="A232" s="162">
        <v>22962</v>
      </c>
      <c r="B232" s="163" t="e">
        <f>NA()</f>
        <v>#N/A</v>
      </c>
      <c r="C232" s="163"/>
      <c r="D232" s="163"/>
      <c r="E232" s="166">
        <f t="shared" si="3"/>
        <v>1971</v>
      </c>
      <c r="F232" s="157">
        <v>26268</v>
      </c>
      <c r="G232" s="158">
        <v>6</v>
      </c>
      <c r="J232" s="157">
        <v>24219</v>
      </c>
      <c r="K232" s="158">
        <v>4.67</v>
      </c>
    </row>
    <row r="233" spans="1:11" x14ac:dyDescent="0.25">
      <c r="A233" s="162">
        <v>22963</v>
      </c>
      <c r="B233" s="163">
        <v>3.92</v>
      </c>
      <c r="C233" s="163"/>
      <c r="D233" s="163"/>
      <c r="E233" s="166">
        <f t="shared" si="3"/>
        <v>1972</v>
      </c>
      <c r="F233" s="157">
        <v>26299</v>
      </c>
      <c r="G233" s="158">
        <v>6.01</v>
      </c>
      <c r="J233" s="157">
        <v>24226</v>
      </c>
      <c r="K233" s="158">
        <v>4.6900000000000004</v>
      </c>
    </row>
    <row r="234" spans="1:11" x14ac:dyDescent="0.25">
      <c r="A234" s="162">
        <v>22964</v>
      </c>
      <c r="B234" s="163">
        <v>3.93</v>
      </c>
      <c r="C234" s="163"/>
      <c r="D234" s="163"/>
      <c r="E234" s="166">
        <f t="shared" si="3"/>
        <v>1972</v>
      </c>
      <c r="F234" s="157">
        <v>26330</v>
      </c>
      <c r="G234" s="158">
        <v>6.06</v>
      </c>
      <c r="J234" s="157">
        <v>24233</v>
      </c>
      <c r="K234" s="158">
        <v>4.71</v>
      </c>
    </row>
    <row r="235" spans="1:11" x14ac:dyDescent="0.25">
      <c r="A235" s="162">
        <v>22965</v>
      </c>
      <c r="B235" s="163">
        <v>3.93</v>
      </c>
      <c r="C235" s="163"/>
      <c r="D235" s="163"/>
      <c r="E235" s="166">
        <f t="shared" si="3"/>
        <v>1972</v>
      </c>
      <c r="F235" s="157">
        <v>26359</v>
      </c>
      <c r="G235" s="158">
        <v>6.06</v>
      </c>
      <c r="J235" s="157">
        <v>24240</v>
      </c>
      <c r="K235" s="158">
        <v>4.66</v>
      </c>
    </row>
    <row r="236" spans="1:11" x14ac:dyDescent="0.25">
      <c r="A236" s="162">
        <v>22966</v>
      </c>
      <c r="B236" s="163">
        <v>3.94</v>
      </c>
      <c r="C236" s="163"/>
      <c r="D236" s="163"/>
      <c r="E236" s="166">
        <f t="shared" si="3"/>
        <v>1972</v>
      </c>
      <c r="F236" s="157">
        <v>26390</v>
      </c>
      <c r="G236" s="158">
        <v>6.16</v>
      </c>
      <c r="J236" s="157">
        <v>24247</v>
      </c>
      <c r="K236" s="158">
        <v>4.66</v>
      </c>
    </row>
    <row r="237" spans="1:11" x14ac:dyDescent="0.25">
      <c r="A237" s="162">
        <v>22969</v>
      </c>
      <c r="B237" s="163">
        <v>3.95</v>
      </c>
      <c r="C237" s="163"/>
      <c r="D237" s="163"/>
      <c r="E237" s="166">
        <f t="shared" si="3"/>
        <v>1972</v>
      </c>
      <c r="F237" s="157">
        <v>26420</v>
      </c>
      <c r="G237" s="158">
        <v>6.07</v>
      </c>
      <c r="J237" s="157">
        <v>24254</v>
      </c>
      <c r="K237" s="158">
        <v>4.71</v>
      </c>
    </row>
    <row r="238" spans="1:11" x14ac:dyDescent="0.25">
      <c r="A238" s="162">
        <v>22970</v>
      </c>
      <c r="B238" s="163">
        <v>3.94</v>
      </c>
      <c r="C238" s="163"/>
      <c r="D238" s="163"/>
      <c r="E238" s="166">
        <f t="shared" si="3"/>
        <v>1972</v>
      </c>
      <c r="F238" s="157">
        <v>26451</v>
      </c>
      <c r="G238" s="158">
        <v>6.01</v>
      </c>
      <c r="J238" s="157">
        <v>24261</v>
      </c>
      <c r="K238" s="158">
        <v>4.71</v>
      </c>
    </row>
    <row r="239" spans="1:11" x14ac:dyDescent="0.25">
      <c r="A239" s="162">
        <v>22971</v>
      </c>
      <c r="B239" s="163">
        <v>3.94</v>
      </c>
      <c r="C239" s="163"/>
      <c r="D239" s="163"/>
      <c r="E239" s="166">
        <f t="shared" si="3"/>
        <v>1972</v>
      </c>
      <c r="F239" s="157">
        <v>26481</v>
      </c>
      <c r="G239" s="158">
        <v>6.01</v>
      </c>
      <c r="J239" s="157">
        <v>24268</v>
      </c>
      <c r="K239" s="158">
        <v>4.7300000000000004</v>
      </c>
    </row>
    <row r="240" spans="1:11" x14ac:dyDescent="0.25">
      <c r="A240" s="162">
        <v>22972</v>
      </c>
      <c r="B240" s="163" t="e">
        <f>NA()</f>
        <v>#N/A</v>
      </c>
      <c r="C240" s="163"/>
      <c r="D240" s="163"/>
      <c r="E240" s="166">
        <f t="shared" si="3"/>
        <v>1972</v>
      </c>
      <c r="F240" s="157">
        <v>26512</v>
      </c>
      <c r="G240" s="158">
        <v>5.94</v>
      </c>
      <c r="J240" s="157">
        <v>24275</v>
      </c>
      <c r="K240" s="158">
        <v>4.7300000000000004</v>
      </c>
    </row>
    <row r="241" spans="1:11" x14ac:dyDescent="0.25">
      <c r="A241" s="162">
        <v>22973</v>
      </c>
      <c r="B241" s="163">
        <v>3.94</v>
      </c>
      <c r="C241" s="163"/>
      <c r="D241" s="163"/>
      <c r="E241" s="166">
        <f t="shared" si="3"/>
        <v>1972</v>
      </c>
      <c r="F241" s="157">
        <v>26543</v>
      </c>
      <c r="G241" s="158">
        <v>6.05</v>
      </c>
      <c r="J241" s="157">
        <v>24282</v>
      </c>
      <c r="K241" s="158">
        <v>4.7</v>
      </c>
    </row>
    <row r="242" spans="1:11" x14ac:dyDescent="0.25">
      <c r="A242" s="162">
        <v>22976</v>
      </c>
      <c r="B242" s="163">
        <v>3.94</v>
      </c>
      <c r="C242" s="163"/>
      <c r="D242" s="163"/>
      <c r="E242" s="166">
        <f t="shared" si="3"/>
        <v>1972</v>
      </c>
      <c r="F242" s="157">
        <v>26573</v>
      </c>
      <c r="G242" s="158">
        <v>6</v>
      </c>
      <c r="J242" s="157">
        <v>24289</v>
      </c>
      <c r="K242" s="158">
        <v>4.79</v>
      </c>
    </row>
    <row r="243" spans="1:11" x14ac:dyDescent="0.25">
      <c r="A243" s="162">
        <v>22977</v>
      </c>
      <c r="B243" s="163">
        <v>3.94</v>
      </c>
      <c r="C243" s="163"/>
      <c r="D243" s="163"/>
      <c r="E243" s="166">
        <f t="shared" si="3"/>
        <v>1972</v>
      </c>
      <c r="F243" s="157">
        <v>26604</v>
      </c>
      <c r="G243" s="158">
        <v>5.79</v>
      </c>
      <c r="J243" s="157">
        <v>24296</v>
      </c>
      <c r="K243" s="158">
        <v>4.8099999999999996</v>
      </c>
    </row>
    <row r="244" spans="1:11" x14ac:dyDescent="0.25">
      <c r="A244" s="162">
        <v>22978</v>
      </c>
      <c r="B244" s="163">
        <v>3.94</v>
      </c>
      <c r="C244" s="163"/>
      <c r="D244" s="163"/>
      <c r="E244" s="166">
        <f t="shared" si="3"/>
        <v>1972</v>
      </c>
      <c r="F244" s="157">
        <v>26634</v>
      </c>
      <c r="G244" s="158">
        <v>5.96</v>
      </c>
      <c r="J244" s="157">
        <v>24303</v>
      </c>
      <c r="K244" s="158">
        <v>4.87</v>
      </c>
    </row>
    <row r="245" spans="1:11" x14ac:dyDescent="0.25">
      <c r="A245" s="162">
        <v>22979</v>
      </c>
      <c r="B245" s="163">
        <v>3.94</v>
      </c>
      <c r="C245" s="163"/>
      <c r="D245" s="163"/>
      <c r="E245" s="166">
        <f t="shared" si="3"/>
        <v>1973</v>
      </c>
      <c r="F245" s="157">
        <v>26665</v>
      </c>
      <c r="G245" s="158">
        <v>6.78</v>
      </c>
      <c r="J245" s="157">
        <v>24310</v>
      </c>
      <c r="K245" s="158">
        <v>4.8499999999999996</v>
      </c>
    </row>
    <row r="246" spans="1:11" x14ac:dyDescent="0.25">
      <c r="A246" s="162">
        <v>22980</v>
      </c>
      <c r="B246" s="163">
        <v>3.94</v>
      </c>
      <c r="C246" s="163"/>
      <c r="D246" s="163"/>
      <c r="E246" s="166">
        <f t="shared" si="3"/>
        <v>1973</v>
      </c>
      <c r="F246" s="157">
        <v>26696</v>
      </c>
      <c r="G246" s="158">
        <v>6.88</v>
      </c>
      <c r="J246" s="157">
        <v>24317</v>
      </c>
      <c r="K246" s="158">
        <v>4.83</v>
      </c>
    </row>
    <row r="247" spans="1:11" x14ac:dyDescent="0.25">
      <c r="A247" s="162">
        <v>22983</v>
      </c>
      <c r="B247" s="163">
        <v>3.95</v>
      </c>
      <c r="C247" s="163"/>
      <c r="D247" s="163"/>
      <c r="E247" s="166">
        <f t="shared" si="3"/>
        <v>1973</v>
      </c>
      <c r="F247" s="157">
        <v>26724</v>
      </c>
      <c r="G247" s="158">
        <v>6.91</v>
      </c>
      <c r="J247" s="157">
        <v>24324</v>
      </c>
      <c r="K247" s="158">
        <v>4.8600000000000003</v>
      </c>
    </row>
    <row r="248" spans="1:11" x14ac:dyDescent="0.25">
      <c r="A248" s="162">
        <v>22984</v>
      </c>
      <c r="B248" s="163">
        <v>3.96</v>
      </c>
      <c r="C248" s="163"/>
      <c r="D248" s="163"/>
      <c r="E248" s="166">
        <f t="shared" si="3"/>
        <v>1973</v>
      </c>
      <c r="F248" s="157">
        <v>26755</v>
      </c>
      <c r="G248" s="158">
        <v>6.86</v>
      </c>
      <c r="J248" s="157">
        <v>24331</v>
      </c>
      <c r="K248" s="158">
        <v>4.87</v>
      </c>
    </row>
    <row r="249" spans="1:11" x14ac:dyDescent="0.25">
      <c r="A249" s="162">
        <v>22985</v>
      </c>
      <c r="B249" s="164">
        <v>3.96</v>
      </c>
      <c r="C249" s="164"/>
      <c r="D249" s="164"/>
      <c r="E249" s="166">
        <f t="shared" si="3"/>
        <v>1973</v>
      </c>
      <c r="F249" s="157">
        <v>26785</v>
      </c>
      <c r="G249" s="158">
        <v>6.99</v>
      </c>
      <c r="J249" s="157">
        <v>24338</v>
      </c>
      <c r="K249" s="158">
        <v>4.95</v>
      </c>
    </row>
    <row r="250" spans="1:11" x14ac:dyDescent="0.25">
      <c r="A250" s="162">
        <v>22986</v>
      </c>
      <c r="B250" s="163">
        <v>3.95</v>
      </c>
      <c r="C250" s="163"/>
      <c r="D250" s="163"/>
      <c r="E250" s="166">
        <f t="shared" si="3"/>
        <v>1973</v>
      </c>
      <c r="F250" s="157">
        <v>26816</v>
      </c>
      <c r="G250" s="158">
        <v>7.06</v>
      </c>
      <c r="J250" s="157">
        <v>24345</v>
      </c>
      <c r="K250" s="158">
        <v>5.03</v>
      </c>
    </row>
    <row r="251" spans="1:11" x14ac:dyDescent="0.25">
      <c r="A251" s="162">
        <v>22987</v>
      </c>
      <c r="B251" s="163">
        <v>3.95</v>
      </c>
      <c r="C251" s="163"/>
      <c r="D251" s="163"/>
      <c r="E251" s="166">
        <f t="shared" si="3"/>
        <v>1973</v>
      </c>
      <c r="F251" s="157">
        <v>26846</v>
      </c>
      <c r="G251" s="158">
        <v>7.29</v>
      </c>
      <c r="J251" s="157">
        <v>24352</v>
      </c>
      <c r="K251" s="158">
        <v>5.04</v>
      </c>
    </row>
    <row r="252" spans="1:11" x14ac:dyDescent="0.25">
      <c r="A252" s="162">
        <v>22990</v>
      </c>
      <c r="B252" s="163">
        <v>3.94</v>
      </c>
      <c r="C252" s="163"/>
      <c r="D252" s="163"/>
      <c r="E252" s="166">
        <f t="shared" si="3"/>
        <v>1973</v>
      </c>
      <c r="F252" s="157">
        <v>26877</v>
      </c>
      <c r="G252" s="158">
        <v>7.61</v>
      </c>
      <c r="J252" s="157">
        <v>24359</v>
      </c>
      <c r="K252" s="158">
        <v>4.93</v>
      </c>
    </row>
    <row r="253" spans="1:11" x14ac:dyDescent="0.25">
      <c r="A253" s="162">
        <v>22991</v>
      </c>
      <c r="B253" s="163">
        <v>3.93</v>
      </c>
      <c r="C253" s="163"/>
      <c r="D253" s="163"/>
      <c r="E253" s="166">
        <f t="shared" si="3"/>
        <v>1973</v>
      </c>
      <c r="F253" s="157">
        <v>26908</v>
      </c>
      <c r="G253" s="158">
        <v>7.25</v>
      </c>
      <c r="J253" s="157">
        <v>24366</v>
      </c>
      <c r="K253" s="158">
        <v>4.9400000000000004</v>
      </c>
    </row>
    <row r="254" spans="1:11" x14ac:dyDescent="0.25">
      <c r="A254" s="162">
        <v>22992</v>
      </c>
      <c r="B254" s="163">
        <v>3.92</v>
      </c>
      <c r="C254" s="163"/>
      <c r="D254" s="163"/>
      <c r="E254" s="166">
        <f t="shared" si="3"/>
        <v>1973</v>
      </c>
      <c r="F254" s="157">
        <v>26938</v>
      </c>
      <c r="G254" s="158">
        <v>7.18</v>
      </c>
      <c r="J254" s="157">
        <v>24373</v>
      </c>
      <c r="K254" s="158">
        <v>4.9800000000000004</v>
      </c>
    </row>
    <row r="255" spans="1:11" x14ac:dyDescent="0.25">
      <c r="A255" s="162">
        <v>22993</v>
      </c>
      <c r="B255" s="163">
        <v>3.92</v>
      </c>
      <c r="C255" s="163"/>
      <c r="D255" s="163"/>
      <c r="E255" s="166">
        <f t="shared" si="3"/>
        <v>1973</v>
      </c>
      <c r="F255" s="157">
        <v>26969</v>
      </c>
      <c r="G255" s="158">
        <v>7.3</v>
      </c>
      <c r="J255" s="157">
        <v>24380</v>
      </c>
      <c r="K255" s="158">
        <v>4.91</v>
      </c>
    </row>
    <row r="256" spans="1:11" x14ac:dyDescent="0.25">
      <c r="A256" s="162">
        <v>22994</v>
      </c>
      <c r="B256" s="163">
        <v>3.92</v>
      </c>
      <c r="C256" s="163"/>
      <c r="D256" s="163"/>
      <c r="E256" s="166">
        <f t="shared" si="3"/>
        <v>1973</v>
      </c>
      <c r="F256" s="157">
        <v>26999</v>
      </c>
      <c r="G256" s="158">
        <v>7.29</v>
      </c>
      <c r="J256" s="157">
        <v>24387</v>
      </c>
      <c r="K256" s="158">
        <v>4.9000000000000004</v>
      </c>
    </row>
    <row r="257" spans="1:11" x14ac:dyDescent="0.25">
      <c r="A257" s="162">
        <v>22997</v>
      </c>
      <c r="B257" s="163">
        <v>3.91</v>
      </c>
      <c r="C257" s="163"/>
      <c r="D257" s="163"/>
      <c r="E257" s="166">
        <f t="shared" si="3"/>
        <v>1974</v>
      </c>
      <c r="F257" s="157">
        <v>27030</v>
      </c>
      <c r="G257" s="158">
        <v>7.48</v>
      </c>
      <c r="J257" s="157">
        <v>24394</v>
      </c>
      <c r="K257" s="158">
        <v>4.8899999999999997</v>
      </c>
    </row>
    <row r="258" spans="1:11" x14ac:dyDescent="0.25">
      <c r="A258" s="162">
        <v>22998</v>
      </c>
      <c r="B258" s="163">
        <v>3.9</v>
      </c>
      <c r="C258" s="163"/>
      <c r="D258" s="163"/>
      <c r="E258" s="166">
        <f t="shared" si="3"/>
        <v>1974</v>
      </c>
      <c r="F258" s="157">
        <v>27061</v>
      </c>
      <c r="G258" s="158">
        <v>7.46</v>
      </c>
      <c r="J258" s="157">
        <v>24401</v>
      </c>
      <c r="K258" s="158">
        <v>4.83</v>
      </c>
    </row>
    <row r="259" spans="1:11" x14ac:dyDescent="0.25">
      <c r="A259" s="162">
        <v>22999</v>
      </c>
      <c r="B259" s="163">
        <v>3.9</v>
      </c>
      <c r="C259" s="163"/>
      <c r="D259" s="163"/>
      <c r="E259" s="166">
        <f t="shared" si="3"/>
        <v>1974</v>
      </c>
      <c r="F259" s="157">
        <v>27089</v>
      </c>
      <c r="G259" s="158">
        <v>7.73</v>
      </c>
      <c r="J259" s="157">
        <v>24408</v>
      </c>
      <c r="K259" s="158">
        <v>4.75</v>
      </c>
    </row>
    <row r="260" spans="1:11" x14ac:dyDescent="0.25">
      <c r="A260" s="162">
        <v>23000</v>
      </c>
      <c r="B260" s="163">
        <v>3.9</v>
      </c>
      <c r="C260" s="163"/>
      <c r="D260" s="163"/>
      <c r="E260" s="166">
        <f t="shared" si="3"/>
        <v>1974</v>
      </c>
      <c r="F260" s="157">
        <v>27120</v>
      </c>
      <c r="G260" s="158">
        <v>8.01</v>
      </c>
      <c r="J260" s="157">
        <v>24415</v>
      </c>
      <c r="K260" s="158">
        <v>4.8099999999999996</v>
      </c>
    </row>
    <row r="261" spans="1:11" x14ac:dyDescent="0.25">
      <c r="A261" s="162">
        <v>23001</v>
      </c>
      <c r="B261" s="163">
        <v>3.9</v>
      </c>
      <c r="C261" s="163"/>
      <c r="D261" s="163"/>
      <c r="E261" s="166">
        <f t="shared" si="3"/>
        <v>1974</v>
      </c>
      <c r="F261" s="157">
        <v>27150</v>
      </c>
      <c r="G261" s="158">
        <v>8.14</v>
      </c>
      <c r="J261" s="157">
        <v>24422</v>
      </c>
      <c r="K261" s="158">
        <v>4.8600000000000003</v>
      </c>
    </row>
    <row r="262" spans="1:11" x14ac:dyDescent="0.25">
      <c r="A262" s="162">
        <v>23004</v>
      </c>
      <c r="B262" s="163">
        <v>3.89</v>
      </c>
      <c r="C262" s="163"/>
      <c r="D262" s="163"/>
      <c r="E262" s="166">
        <f t="shared" si="3"/>
        <v>1974</v>
      </c>
      <c r="F262" s="157">
        <v>27181</v>
      </c>
      <c r="G262" s="158">
        <v>8.1</v>
      </c>
      <c r="J262" s="157">
        <v>24429</v>
      </c>
      <c r="K262" s="158">
        <v>4.9000000000000004</v>
      </c>
    </row>
    <row r="263" spans="1:11" x14ac:dyDescent="0.25">
      <c r="A263" s="162">
        <v>23005</v>
      </c>
      <c r="B263" s="163" t="e">
        <f>NA()</f>
        <v>#N/A</v>
      </c>
      <c r="C263" s="163"/>
      <c r="D263" s="163"/>
      <c r="E263" s="166">
        <f t="shared" si="3"/>
        <v>1974</v>
      </c>
      <c r="F263" s="157">
        <v>27211</v>
      </c>
      <c r="G263" s="158">
        <v>8.26</v>
      </c>
      <c r="J263" s="157">
        <v>24436</v>
      </c>
      <c r="K263" s="158">
        <v>4.9000000000000004</v>
      </c>
    </row>
    <row r="264" spans="1:11" x14ac:dyDescent="0.25">
      <c r="A264" s="162">
        <v>23006</v>
      </c>
      <c r="B264" s="163">
        <v>3.89</v>
      </c>
      <c r="C264" s="163"/>
      <c r="D264" s="163"/>
      <c r="E264" s="166">
        <f t="shared" si="3"/>
        <v>1974</v>
      </c>
      <c r="F264" s="157">
        <v>27242</v>
      </c>
      <c r="G264" s="158">
        <v>8.6</v>
      </c>
      <c r="J264" s="157">
        <v>24443</v>
      </c>
      <c r="K264" s="158">
        <v>4.87</v>
      </c>
    </row>
    <row r="265" spans="1:11" x14ac:dyDescent="0.25">
      <c r="A265" s="162">
        <v>23007</v>
      </c>
      <c r="B265" s="163">
        <v>3.9</v>
      </c>
      <c r="C265" s="163"/>
      <c r="D265" s="163"/>
      <c r="E265" s="166">
        <f t="shared" ref="E265:E328" si="4">YEAR(F265)</f>
        <v>1974</v>
      </c>
      <c r="F265" s="157">
        <v>27273</v>
      </c>
      <c r="G265" s="158">
        <v>8.6</v>
      </c>
      <c r="J265" s="157">
        <v>24450</v>
      </c>
      <c r="K265" s="158">
        <v>4.8899999999999997</v>
      </c>
    </row>
    <row r="266" spans="1:11" x14ac:dyDescent="0.25">
      <c r="A266" s="162">
        <v>23008</v>
      </c>
      <c r="B266" s="163">
        <v>3.91</v>
      </c>
      <c r="C266" s="163"/>
      <c r="D266" s="163"/>
      <c r="E266" s="166">
        <f t="shared" si="4"/>
        <v>1974</v>
      </c>
      <c r="F266" s="157">
        <v>27303</v>
      </c>
      <c r="G266" s="158">
        <v>8.3699999999999992</v>
      </c>
      <c r="J266" s="157">
        <v>24457</v>
      </c>
      <c r="K266" s="158">
        <v>4.76</v>
      </c>
    </row>
    <row r="267" spans="1:11" x14ac:dyDescent="0.25">
      <c r="A267" s="162">
        <v>23011</v>
      </c>
      <c r="B267" s="163">
        <v>3.92</v>
      </c>
      <c r="C267" s="163"/>
      <c r="D267" s="163"/>
      <c r="E267" s="166">
        <f t="shared" si="4"/>
        <v>1974</v>
      </c>
      <c r="F267" s="157">
        <v>27334</v>
      </c>
      <c r="G267" s="158">
        <v>7.99</v>
      </c>
      <c r="J267" s="157">
        <v>24464</v>
      </c>
      <c r="K267" s="158">
        <v>4.6900000000000004</v>
      </c>
    </row>
    <row r="268" spans="1:11" x14ac:dyDescent="0.25">
      <c r="A268" s="162">
        <v>23012</v>
      </c>
      <c r="B268" s="163" t="e">
        <f>NA()</f>
        <v>#N/A</v>
      </c>
      <c r="C268" s="163"/>
      <c r="D268" s="163"/>
      <c r="E268" s="166">
        <f t="shared" si="4"/>
        <v>1974</v>
      </c>
      <c r="F268" s="157">
        <v>27364</v>
      </c>
      <c r="G268" s="158">
        <v>7.91</v>
      </c>
      <c r="J268" s="157">
        <v>24471</v>
      </c>
      <c r="K268" s="158">
        <v>4.6399999999999997</v>
      </c>
    </row>
    <row r="269" spans="1:11" x14ac:dyDescent="0.25">
      <c r="A269" s="162">
        <v>23013</v>
      </c>
      <c r="B269" s="163">
        <v>3.91</v>
      </c>
      <c r="C269" s="163"/>
      <c r="D269" s="163"/>
      <c r="E269" s="166">
        <f t="shared" si="4"/>
        <v>1975</v>
      </c>
      <c r="F269" s="157">
        <v>27395</v>
      </c>
      <c r="G269" s="158">
        <v>7.88</v>
      </c>
      <c r="J269" s="157">
        <v>24478</v>
      </c>
      <c r="K269" s="158">
        <v>4.5599999999999996</v>
      </c>
    </row>
    <row r="270" spans="1:11" x14ac:dyDescent="0.25">
      <c r="A270" s="162">
        <v>23014</v>
      </c>
      <c r="B270" s="163">
        <v>3.91</v>
      </c>
      <c r="C270" s="163"/>
      <c r="D270" s="163"/>
      <c r="E270" s="166">
        <f t="shared" si="4"/>
        <v>1975</v>
      </c>
      <c r="F270" s="157">
        <v>27426</v>
      </c>
      <c r="G270" s="158">
        <v>7.71</v>
      </c>
      <c r="J270" s="157">
        <v>24485</v>
      </c>
      <c r="K270" s="158">
        <v>4.5</v>
      </c>
    </row>
    <row r="271" spans="1:11" x14ac:dyDescent="0.25">
      <c r="A271" s="162">
        <v>23015</v>
      </c>
      <c r="B271" s="163">
        <v>3.93</v>
      </c>
      <c r="C271" s="163"/>
      <c r="D271" s="163"/>
      <c r="E271" s="166">
        <f t="shared" si="4"/>
        <v>1975</v>
      </c>
      <c r="F271" s="157">
        <v>27454</v>
      </c>
      <c r="G271" s="158">
        <v>7.99</v>
      </c>
      <c r="J271" s="157">
        <v>24492</v>
      </c>
      <c r="K271" s="158">
        <v>4.4800000000000004</v>
      </c>
    </row>
    <row r="272" spans="1:11" x14ac:dyDescent="0.25">
      <c r="A272" s="162">
        <v>23018</v>
      </c>
      <c r="B272" s="163">
        <v>3.92</v>
      </c>
      <c r="C272" s="163"/>
      <c r="D272" s="163"/>
      <c r="E272" s="166">
        <f t="shared" si="4"/>
        <v>1975</v>
      </c>
      <c r="F272" s="157">
        <v>27485</v>
      </c>
      <c r="G272" s="158">
        <v>8.36</v>
      </c>
      <c r="J272" s="157">
        <v>24499</v>
      </c>
      <c r="K272" s="158">
        <v>4.51</v>
      </c>
    </row>
    <row r="273" spans="1:11" x14ac:dyDescent="0.25">
      <c r="A273" s="162">
        <v>23019</v>
      </c>
      <c r="B273" s="163">
        <v>3.93</v>
      </c>
      <c r="C273" s="163"/>
      <c r="D273" s="163"/>
      <c r="E273" s="166">
        <f t="shared" si="4"/>
        <v>1975</v>
      </c>
      <c r="F273" s="157">
        <v>27515</v>
      </c>
      <c r="G273" s="158">
        <v>8.2200000000000006</v>
      </c>
      <c r="J273" s="157">
        <v>24506</v>
      </c>
      <c r="K273" s="158">
        <v>4.49</v>
      </c>
    </row>
    <row r="274" spans="1:11" x14ac:dyDescent="0.25">
      <c r="A274" s="162">
        <v>23020</v>
      </c>
      <c r="B274" s="164">
        <v>3.93</v>
      </c>
      <c r="C274" s="164"/>
      <c r="D274" s="164"/>
      <c r="E274" s="166">
        <f t="shared" si="4"/>
        <v>1975</v>
      </c>
      <c r="F274" s="157">
        <v>27546</v>
      </c>
      <c r="G274" s="158">
        <v>8.0399999999999991</v>
      </c>
      <c r="J274" s="157">
        <v>24513</v>
      </c>
      <c r="K274" s="158">
        <v>4.54</v>
      </c>
    </row>
    <row r="275" spans="1:11" x14ac:dyDescent="0.25">
      <c r="A275" s="162">
        <v>23021</v>
      </c>
      <c r="B275" s="163">
        <v>3.92</v>
      </c>
      <c r="C275" s="163"/>
      <c r="D275" s="163"/>
      <c r="E275" s="166">
        <f t="shared" si="4"/>
        <v>1975</v>
      </c>
      <c r="F275" s="157">
        <v>27576</v>
      </c>
      <c r="G275" s="158">
        <v>8.17</v>
      </c>
      <c r="J275" s="157">
        <v>24520</v>
      </c>
      <c r="K275" s="158">
        <v>4.6399999999999997</v>
      </c>
    </row>
    <row r="276" spans="1:11" x14ac:dyDescent="0.25">
      <c r="A276" s="162">
        <v>23022</v>
      </c>
      <c r="B276" s="163">
        <v>3.91</v>
      </c>
      <c r="C276" s="163"/>
      <c r="D276" s="163"/>
      <c r="E276" s="166">
        <f t="shared" si="4"/>
        <v>1975</v>
      </c>
      <c r="F276" s="157">
        <v>27607</v>
      </c>
      <c r="G276" s="158">
        <v>8.5</v>
      </c>
      <c r="J276" s="157">
        <v>24527</v>
      </c>
      <c r="K276" s="158">
        <v>4.71</v>
      </c>
    </row>
    <row r="277" spans="1:11" x14ac:dyDescent="0.25">
      <c r="A277" s="162">
        <v>23025</v>
      </c>
      <c r="B277" s="163">
        <v>3.91</v>
      </c>
      <c r="C277" s="163"/>
      <c r="D277" s="163"/>
      <c r="E277" s="166">
        <f t="shared" si="4"/>
        <v>1975</v>
      </c>
      <c r="F277" s="157">
        <v>27638</v>
      </c>
      <c r="G277" s="158">
        <v>8.57</v>
      </c>
      <c r="J277" s="157">
        <v>24534</v>
      </c>
      <c r="K277" s="158">
        <v>4.66</v>
      </c>
    </row>
    <row r="278" spans="1:11" x14ac:dyDescent="0.25">
      <c r="A278" s="162">
        <v>23026</v>
      </c>
      <c r="B278" s="163">
        <v>3.91</v>
      </c>
      <c r="C278" s="163"/>
      <c r="D278" s="163"/>
      <c r="E278" s="166">
        <f t="shared" si="4"/>
        <v>1975</v>
      </c>
      <c r="F278" s="157">
        <v>27668</v>
      </c>
      <c r="G278" s="158">
        <v>8.35</v>
      </c>
      <c r="J278" s="157">
        <v>24541</v>
      </c>
      <c r="K278" s="158">
        <v>4.58</v>
      </c>
    </row>
    <row r="279" spans="1:11" x14ac:dyDescent="0.25">
      <c r="A279" s="162">
        <v>23027</v>
      </c>
      <c r="B279" s="163">
        <v>3.91</v>
      </c>
      <c r="C279" s="163"/>
      <c r="D279" s="163"/>
      <c r="E279" s="166">
        <f t="shared" si="4"/>
        <v>1975</v>
      </c>
      <c r="F279" s="157">
        <v>27699</v>
      </c>
      <c r="G279" s="158">
        <v>8.2799999999999994</v>
      </c>
      <c r="J279" s="157">
        <v>24548</v>
      </c>
      <c r="K279" s="158">
        <v>4.53</v>
      </c>
    </row>
    <row r="280" spans="1:11" x14ac:dyDescent="0.25">
      <c r="A280" s="162">
        <v>23028</v>
      </c>
      <c r="B280" s="163">
        <v>3.93</v>
      </c>
      <c r="C280" s="163"/>
      <c r="D280" s="163"/>
      <c r="E280" s="166">
        <f t="shared" si="4"/>
        <v>1975</v>
      </c>
      <c r="F280" s="157">
        <v>27729</v>
      </c>
      <c r="G280" s="158">
        <v>8.23</v>
      </c>
      <c r="J280" s="157">
        <v>24555</v>
      </c>
      <c r="K280" s="158">
        <v>4.54</v>
      </c>
    </row>
    <row r="281" spans="1:11" x14ac:dyDescent="0.25">
      <c r="A281" s="162">
        <v>23029</v>
      </c>
      <c r="B281" s="163">
        <v>3.94</v>
      </c>
      <c r="C281" s="163"/>
      <c r="D281" s="163"/>
      <c r="E281" s="166">
        <f t="shared" si="4"/>
        <v>1976</v>
      </c>
      <c r="F281" s="157">
        <v>27760</v>
      </c>
      <c r="G281" s="158">
        <v>8.01</v>
      </c>
      <c r="J281" s="157">
        <v>24562</v>
      </c>
      <c r="K281" s="158">
        <v>4.57</v>
      </c>
    </row>
    <row r="282" spans="1:11" x14ac:dyDescent="0.25">
      <c r="A282" s="162">
        <v>23032</v>
      </c>
      <c r="B282" s="163">
        <v>3.95</v>
      </c>
      <c r="C282" s="163"/>
      <c r="D282" s="163"/>
      <c r="E282" s="166">
        <f t="shared" si="4"/>
        <v>1976</v>
      </c>
      <c r="F282" s="157">
        <v>27791</v>
      </c>
      <c r="G282" s="158">
        <v>8.0299999999999994</v>
      </c>
      <c r="J282" s="157">
        <v>24569</v>
      </c>
      <c r="K282" s="158">
        <v>4.5599999999999996</v>
      </c>
    </row>
    <row r="283" spans="1:11" x14ac:dyDescent="0.25">
      <c r="A283" s="162">
        <v>23033</v>
      </c>
      <c r="B283" s="163">
        <v>3.96</v>
      </c>
      <c r="C283" s="163"/>
      <c r="D283" s="163"/>
      <c r="E283" s="166">
        <f t="shared" si="4"/>
        <v>1976</v>
      </c>
      <c r="F283" s="157">
        <v>27820</v>
      </c>
      <c r="G283" s="158">
        <v>7.97</v>
      </c>
      <c r="J283" s="157">
        <v>24576</v>
      </c>
      <c r="K283" s="158">
        <v>4.57</v>
      </c>
    </row>
    <row r="284" spans="1:11" x14ac:dyDescent="0.25">
      <c r="A284" s="162">
        <v>23034</v>
      </c>
      <c r="B284" s="163">
        <v>3.96</v>
      </c>
      <c r="C284" s="163"/>
      <c r="D284" s="163"/>
      <c r="E284" s="166">
        <f t="shared" si="4"/>
        <v>1976</v>
      </c>
      <c r="F284" s="157">
        <v>27851</v>
      </c>
      <c r="G284" s="158">
        <v>7.86</v>
      </c>
      <c r="J284" s="157">
        <v>24583</v>
      </c>
      <c r="K284" s="158">
        <v>4.67</v>
      </c>
    </row>
    <row r="285" spans="1:11" x14ac:dyDescent="0.25">
      <c r="A285" s="162">
        <v>23035</v>
      </c>
      <c r="B285" s="163">
        <v>3.96</v>
      </c>
      <c r="C285" s="163"/>
      <c r="D285" s="163"/>
      <c r="E285" s="166">
        <f t="shared" si="4"/>
        <v>1976</v>
      </c>
      <c r="F285" s="157">
        <v>27881</v>
      </c>
      <c r="G285" s="158">
        <v>8.1300000000000008</v>
      </c>
      <c r="J285" s="157">
        <v>24590</v>
      </c>
      <c r="K285" s="158">
        <v>4.76</v>
      </c>
    </row>
    <row r="286" spans="1:11" x14ac:dyDescent="0.25">
      <c r="A286" s="162">
        <v>23036</v>
      </c>
      <c r="B286" s="163">
        <v>3.95</v>
      </c>
      <c r="C286" s="163"/>
      <c r="D286" s="163"/>
      <c r="E286" s="166">
        <f t="shared" si="4"/>
        <v>1976</v>
      </c>
      <c r="F286" s="157">
        <v>27912</v>
      </c>
      <c r="G286" s="158">
        <v>8.0299999999999994</v>
      </c>
      <c r="J286" s="157">
        <v>24597</v>
      </c>
      <c r="K286" s="158">
        <v>4.8099999999999996</v>
      </c>
    </row>
    <row r="287" spans="1:11" x14ac:dyDescent="0.25">
      <c r="A287" s="162">
        <v>23039</v>
      </c>
      <c r="B287" s="163">
        <v>3.96</v>
      </c>
      <c r="C287" s="163"/>
      <c r="D287" s="163"/>
      <c r="E287" s="166">
        <f t="shared" si="4"/>
        <v>1976</v>
      </c>
      <c r="F287" s="157">
        <v>27942</v>
      </c>
      <c r="G287" s="158">
        <v>8</v>
      </c>
      <c r="J287" s="157">
        <v>24604</v>
      </c>
      <c r="K287" s="158">
        <v>4.8899999999999997</v>
      </c>
    </row>
    <row r="288" spans="1:11" x14ac:dyDescent="0.25">
      <c r="A288" s="162">
        <v>23040</v>
      </c>
      <c r="B288" s="163">
        <v>3.96</v>
      </c>
      <c r="C288" s="163"/>
      <c r="D288" s="163"/>
      <c r="E288" s="166">
        <f t="shared" si="4"/>
        <v>1976</v>
      </c>
      <c r="F288" s="157">
        <v>27973</v>
      </c>
      <c r="G288" s="158">
        <v>7.91</v>
      </c>
      <c r="J288" s="157">
        <v>24611</v>
      </c>
      <c r="K288" s="158">
        <v>4.92</v>
      </c>
    </row>
    <row r="289" spans="1:11" x14ac:dyDescent="0.25">
      <c r="A289" s="162">
        <v>23041</v>
      </c>
      <c r="B289" s="163">
        <v>3.95</v>
      </c>
      <c r="C289" s="163"/>
      <c r="D289" s="163"/>
      <c r="E289" s="166">
        <f t="shared" si="4"/>
        <v>1976</v>
      </c>
      <c r="F289" s="157">
        <v>28004</v>
      </c>
      <c r="G289" s="158">
        <v>7.78</v>
      </c>
      <c r="J289" s="157">
        <v>24618</v>
      </c>
      <c r="K289" s="158">
        <v>4.96</v>
      </c>
    </row>
    <row r="290" spans="1:11" x14ac:dyDescent="0.25">
      <c r="A290" s="162">
        <v>23042</v>
      </c>
      <c r="B290" s="163">
        <v>3.96</v>
      </c>
      <c r="C290" s="163"/>
      <c r="D290" s="163"/>
      <c r="E290" s="166">
        <f t="shared" si="4"/>
        <v>1976</v>
      </c>
      <c r="F290" s="157">
        <v>28034</v>
      </c>
      <c r="G290" s="158">
        <v>7.7</v>
      </c>
      <c r="J290" s="157">
        <v>24625</v>
      </c>
      <c r="K290" s="158">
        <v>4.8499999999999996</v>
      </c>
    </row>
    <row r="291" spans="1:11" x14ac:dyDescent="0.25">
      <c r="A291" s="162">
        <v>23043</v>
      </c>
      <c r="B291" s="163">
        <v>3.96</v>
      </c>
      <c r="C291" s="163"/>
      <c r="D291" s="163"/>
      <c r="E291" s="166">
        <f t="shared" si="4"/>
        <v>1976</v>
      </c>
      <c r="F291" s="157">
        <v>28065</v>
      </c>
      <c r="G291" s="158">
        <v>7.64</v>
      </c>
      <c r="J291" s="157">
        <v>24632</v>
      </c>
      <c r="K291" s="158">
        <v>4.88</v>
      </c>
    </row>
    <row r="292" spans="1:11" x14ac:dyDescent="0.25">
      <c r="A292" s="162">
        <v>23046</v>
      </c>
      <c r="B292" s="163">
        <v>3.97</v>
      </c>
      <c r="C292" s="163"/>
      <c r="D292" s="163"/>
      <c r="E292" s="166">
        <f t="shared" si="4"/>
        <v>1976</v>
      </c>
      <c r="F292" s="157">
        <v>28095</v>
      </c>
      <c r="G292" s="158">
        <v>7.3</v>
      </c>
      <c r="J292" s="157">
        <v>24639</v>
      </c>
      <c r="K292" s="158">
        <v>4.9800000000000004</v>
      </c>
    </row>
    <row r="293" spans="1:11" x14ac:dyDescent="0.25">
      <c r="A293" s="162">
        <v>23047</v>
      </c>
      <c r="B293" s="163">
        <v>3.97</v>
      </c>
      <c r="C293" s="163"/>
      <c r="D293" s="163"/>
      <c r="E293" s="166">
        <f t="shared" si="4"/>
        <v>1977</v>
      </c>
      <c r="F293" s="157">
        <v>28126</v>
      </c>
      <c r="G293" s="158">
        <v>7.48</v>
      </c>
      <c r="J293" s="157">
        <v>24646</v>
      </c>
      <c r="K293" s="158">
        <v>5.07</v>
      </c>
    </row>
    <row r="294" spans="1:11" x14ac:dyDescent="0.25">
      <c r="A294" s="162">
        <v>23048</v>
      </c>
      <c r="B294" s="163">
        <v>3.97</v>
      </c>
      <c r="C294" s="163"/>
      <c r="D294" s="163"/>
      <c r="E294" s="166">
        <f t="shared" si="4"/>
        <v>1977</v>
      </c>
      <c r="F294" s="157">
        <v>28157</v>
      </c>
      <c r="G294" s="158">
        <v>7.64</v>
      </c>
      <c r="J294" s="157">
        <v>24653</v>
      </c>
      <c r="K294" s="158">
        <v>5.09</v>
      </c>
    </row>
    <row r="295" spans="1:11" x14ac:dyDescent="0.25">
      <c r="A295" s="162">
        <v>23049</v>
      </c>
      <c r="B295" s="163">
        <v>3.97</v>
      </c>
      <c r="C295" s="163"/>
      <c r="D295" s="163"/>
      <c r="E295" s="166">
        <f t="shared" si="4"/>
        <v>1977</v>
      </c>
      <c r="F295" s="157">
        <v>28185</v>
      </c>
      <c r="G295" s="158">
        <v>7.73</v>
      </c>
      <c r="J295" s="157">
        <v>24660</v>
      </c>
      <c r="K295" s="158">
        <v>5.0199999999999996</v>
      </c>
    </row>
    <row r="296" spans="1:11" x14ac:dyDescent="0.25">
      <c r="A296" s="162">
        <v>23050</v>
      </c>
      <c r="B296" s="163">
        <v>3.96</v>
      </c>
      <c r="C296" s="163"/>
      <c r="D296" s="163"/>
      <c r="E296" s="166">
        <f t="shared" si="4"/>
        <v>1977</v>
      </c>
      <c r="F296" s="157">
        <v>28216</v>
      </c>
      <c r="G296" s="158">
        <v>7.67</v>
      </c>
      <c r="J296" s="157">
        <v>24667</v>
      </c>
      <c r="K296" s="158">
        <v>4.95</v>
      </c>
    </row>
    <row r="297" spans="1:11" x14ac:dyDescent="0.25">
      <c r="A297" s="162">
        <v>23053</v>
      </c>
      <c r="B297" s="163">
        <v>3.96</v>
      </c>
      <c r="C297" s="163"/>
      <c r="D297" s="163"/>
      <c r="E297" s="166">
        <f t="shared" si="4"/>
        <v>1977</v>
      </c>
      <c r="F297" s="157">
        <v>28246</v>
      </c>
      <c r="G297" s="158">
        <v>7.74</v>
      </c>
      <c r="J297" s="157">
        <v>24674</v>
      </c>
      <c r="K297" s="158">
        <v>5</v>
      </c>
    </row>
    <row r="298" spans="1:11" x14ac:dyDescent="0.25">
      <c r="A298" s="162">
        <v>23054</v>
      </c>
      <c r="B298" s="163" t="e">
        <f>NA()</f>
        <v>#N/A</v>
      </c>
      <c r="C298" s="163"/>
      <c r="D298" s="163"/>
      <c r="E298" s="166">
        <f t="shared" si="4"/>
        <v>1977</v>
      </c>
      <c r="F298" s="157">
        <v>28277</v>
      </c>
      <c r="G298" s="158">
        <v>7.64</v>
      </c>
      <c r="J298" s="157">
        <v>24681</v>
      </c>
      <c r="K298" s="158">
        <v>5.07</v>
      </c>
    </row>
    <row r="299" spans="1:11" x14ac:dyDescent="0.25">
      <c r="A299" s="162">
        <v>23055</v>
      </c>
      <c r="B299" s="163">
        <v>3.97</v>
      </c>
      <c r="C299" s="163"/>
      <c r="D299" s="163"/>
      <c r="E299" s="166">
        <f t="shared" si="4"/>
        <v>1977</v>
      </c>
      <c r="F299" s="157">
        <v>28307</v>
      </c>
      <c r="G299" s="158">
        <v>7.6</v>
      </c>
      <c r="J299" s="157">
        <v>24688</v>
      </c>
      <c r="K299" s="158">
        <v>5.07</v>
      </c>
    </row>
    <row r="300" spans="1:11" x14ac:dyDescent="0.25">
      <c r="A300" s="162">
        <v>23056</v>
      </c>
      <c r="B300" s="163">
        <v>3.97</v>
      </c>
      <c r="C300" s="163"/>
      <c r="D300" s="163"/>
      <c r="E300" s="166">
        <f t="shared" si="4"/>
        <v>1977</v>
      </c>
      <c r="F300" s="157">
        <v>28338</v>
      </c>
      <c r="G300" s="158">
        <v>7.64</v>
      </c>
      <c r="J300" s="157">
        <v>24695</v>
      </c>
      <c r="K300" s="158">
        <v>5.1100000000000003</v>
      </c>
    </row>
    <row r="301" spans="1:11" x14ac:dyDescent="0.25">
      <c r="A301" s="162">
        <v>23057</v>
      </c>
      <c r="B301" s="163">
        <v>3.96</v>
      </c>
      <c r="C301" s="163"/>
      <c r="D301" s="163"/>
      <c r="E301" s="166">
        <f t="shared" si="4"/>
        <v>1977</v>
      </c>
      <c r="F301" s="157">
        <v>28369</v>
      </c>
      <c r="G301" s="158">
        <v>7.57</v>
      </c>
      <c r="J301" s="157">
        <v>24702</v>
      </c>
      <c r="K301" s="158">
        <v>5.12</v>
      </c>
    </row>
    <row r="302" spans="1:11" x14ac:dyDescent="0.25">
      <c r="A302" s="162">
        <v>23060</v>
      </c>
      <c r="B302" s="163">
        <v>3.96</v>
      </c>
      <c r="C302" s="163"/>
      <c r="D302" s="163"/>
      <c r="E302" s="166">
        <f t="shared" si="4"/>
        <v>1977</v>
      </c>
      <c r="F302" s="157">
        <v>28399</v>
      </c>
      <c r="G302" s="158">
        <v>7.71</v>
      </c>
      <c r="J302" s="157">
        <v>24709</v>
      </c>
      <c r="K302" s="158">
        <v>5.14</v>
      </c>
    </row>
    <row r="303" spans="1:11" x14ac:dyDescent="0.25">
      <c r="A303" s="162">
        <v>23061</v>
      </c>
      <c r="B303" s="163">
        <v>3.96</v>
      </c>
      <c r="C303" s="163"/>
      <c r="D303" s="163"/>
      <c r="E303" s="166">
        <f t="shared" si="4"/>
        <v>1977</v>
      </c>
      <c r="F303" s="157">
        <v>28430</v>
      </c>
      <c r="G303" s="158">
        <v>7.76</v>
      </c>
      <c r="J303" s="157">
        <v>24716</v>
      </c>
      <c r="K303" s="158">
        <v>5.14</v>
      </c>
    </row>
    <row r="304" spans="1:11" x14ac:dyDescent="0.25">
      <c r="A304" s="162">
        <v>23062</v>
      </c>
      <c r="B304" s="163">
        <v>3.96</v>
      </c>
      <c r="C304" s="163"/>
      <c r="D304" s="163"/>
      <c r="E304" s="166">
        <f t="shared" si="4"/>
        <v>1977</v>
      </c>
      <c r="F304" s="157">
        <v>28460</v>
      </c>
      <c r="G304" s="158">
        <v>7.87</v>
      </c>
      <c r="J304" s="157">
        <v>24723</v>
      </c>
      <c r="K304" s="158">
        <v>5.0999999999999996</v>
      </c>
    </row>
    <row r="305" spans="1:11" x14ac:dyDescent="0.25">
      <c r="A305" s="162">
        <v>23063</v>
      </c>
      <c r="B305" s="163">
        <v>3.97</v>
      </c>
      <c r="C305" s="163"/>
      <c r="D305" s="163"/>
      <c r="E305" s="166">
        <f t="shared" si="4"/>
        <v>1978</v>
      </c>
      <c r="F305" s="157">
        <v>28491</v>
      </c>
      <c r="G305" s="158">
        <v>8.14</v>
      </c>
      <c r="J305" s="157">
        <v>24730</v>
      </c>
      <c r="K305" s="158">
        <v>5.13</v>
      </c>
    </row>
    <row r="306" spans="1:11" x14ac:dyDescent="0.25">
      <c r="A306" s="162">
        <v>23064</v>
      </c>
      <c r="B306" s="163" t="e">
        <f>NA()</f>
        <v>#N/A</v>
      </c>
      <c r="C306" s="163"/>
      <c r="D306" s="163"/>
      <c r="E306" s="166">
        <f t="shared" si="4"/>
        <v>1978</v>
      </c>
      <c r="F306" s="157">
        <v>28522</v>
      </c>
      <c r="G306" s="158">
        <v>8.2200000000000006</v>
      </c>
      <c r="J306" s="157">
        <v>24737</v>
      </c>
      <c r="K306" s="158">
        <v>5.19</v>
      </c>
    </row>
    <row r="307" spans="1:11" x14ac:dyDescent="0.25">
      <c r="A307" s="162">
        <v>23067</v>
      </c>
      <c r="B307" s="163">
        <v>3.98</v>
      </c>
      <c r="C307" s="163"/>
      <c r="D307" s="163"/>
      <c r="E307" s="166">
        <f t="shared" si="4"/>
        <v>1978</v>
      </c>
      <c r="F307" s="157">
        <v>28550</v>
      </c>
      <c r="G307" s="158">
        <v>8.2100000000000009</v>
      </c>
      <c r="J307" s="157">
        <v>24744</v>
      </c>
      <c r="K307" s="158">
        <v>5.22</v>
      </c>
    </row>
    <row r="308" spans="1:11" x14ac:dyDescent="0.25">
      <c r="A308" s="162">
        <v>23068</v>
      </c>
      <c r="B308" s="163">
        <v>3.98</v>
      </c>
      <c r="C308" s="163"/>
      <c r="D308" s="163"/>
      <c r="E308" s="166">
        <f t="shared" si="4"/>
        <v>1978</v>
      </c>
      <c r="F308" s="157">
        <v>28581</v>
      </c>
      <c r="G308" s="158">
        <v>8.32</v>
      </c>
      <c r="J308" s="157">
        <v>24751</v>
      </c>
      <c r="K308" s="158">
        <v>5.22</v>
      </c>
    </row>
    <row r="309" spans="1:11" x14ac:dyDescent="0.25">
      <c r="A309" s="162">
        <v>23069</v>
      </c>
      <c r="B309" s="163">
        <v>3.98</v>
      </c>
      <c r="C309" s="163"/>
      <c r="D309" s="163"/>
      <c r="E309" s="166">
        <f t="shared" si="4"/>
        <v>1978</v>
      </c>
      <c r="F309" s="157">
        <v>28611</v>
      </c>
      <c r="G309" s="158">
        <v>8.44</v>
      </c>
      <c r="J309" s="157">
        <v>24758</v>
      </c>
      <c r="K309" s="158">
        <v>5.28</v>
      </c>
    </row>
    <row r="310" spans="1:11" x14ac:dyDescent="0.25">
      <c r="A310" s="162">
        <v>23070</v>
      </c>
      <c r="B310" s="163">
        <v>3.97</v>
      </c>
      <c r="C310" s="163"/>
      <c r="D310" s="163"/>
      <c r="E310" s="166">
        <f t="shared" si="4"/>
        <v>1978</v>
      </c>
      <c r="F310" s="157">
        <v>28642</v>
      </c>
      <c r="G310" s="158">
        <v>8.5299999999999994</v>
      </c>
      <c r="J310" s="157">
        <v>24765</v>
      </c>
      <c r="K310" s="158">
        <v>5.43</v>
      </c>
    </row>
    <row r="311" spans="1:11" x14ac:dyDescent="0.25">
      <c r="A311" s="162">
        <v>23071</v>
      </c>
      <c r="B311" s="163">
        <v>3.97</v>
      </c>
      <c r="C311" s="163"/>
      <c r="D311" s="163"/>
      <c r="E311" s="166">
        <f t="shared" si="4"/>
        <v>1978</v>
      </c>
      <c r="F311" s="157">
        <v>28672</v>
      </c>
      <c r="G311" s="158">
        <v>8.69</v>
      </c>
      <c r="J311" s="157">
        <v>24772</v>
      </c>
      <c r="K311" s="158">
        <v>5.46</v>
      </c>
    </row>
    <row r="312" spans="1:11" x14ac:dyDescent="0.25">
      <c r="A312" s="162">
        <v>23074</v>
      </c>
      <c r="B312" s="163">
        <v>3.97</v>
      </c>
      <c r="C312" s="163"/>
      <c r="D312" s="163"/>
      <c r="E312" s="166">
        <f t="shared" si="4"/>
        <v>1978</v>
      </c>
      <c r="F312" s="157">
        <v>28703</v>
      </c>
      <c r="G312" s="158">
        <v>8.4499999999999993</v>
      </c>
      <c r="J312" s="157">
        <v>24779</v>
      </c>
      <c r="K312" s="158">
        <v>5.54</v>
      </c>
    </row>
    <row r="313" spans="1:11" x14ac:dyDescent="0.25">
      <c r="A313" s="162">
        <v>23075</v>
      </c>
      <c r="B313" s="163">
        <v>3.96</v>
      </c>
      <c r="C313" s="163"/>
      <c r="D313" s="163"/>
      <c r="E313" s="166">
        <f t="shared" si="4"/>
        <v>1978</v>
      </c>
      <c r="F313" s="157">
        <v>28734</v>
      </c>
      <c r="G313" s="158">
        <v>8.4700000000000006</v>
      </c>
      <c r="J313" s="157">
        <v>24786</v>
      </c>
      <c r="K313" s="158">
        <v>5.67</v>
      </c>
    </row>
    <row r="314" spans="1:11" x14ac:dyDescent="0.25">
      <c r="A314" s="162">
        <v>23076</v>
      </c>
      <c r="B314" s="163">
        <v>3.96</v>
      </c>
      <c r="C314" s="163"/>
      <c r="D314" s="163"/>
      <c r="E314" s="166">
        <f t="shared" si="4"/>
        <v>1978</v>
      </c>
      <c r="F314" s="157">
        <v>28764</v>
      </c>
      <c r="G314" s="158">
        <v>8.69</v>
      </c>
      <c r="J314" s="157">
        <v>24793</v>
      </c>
      <c r="K314" s="158">
        <v>5.73</v>
      </c>
    </row>
    <row r="315" spans="1:11" x14ac:dyDescent="0.25">
      <c r="A315" s="162">
        <v>23077</v>
      </c>
      <c r="B315" s="163">
        <v>3.96</v>
      </c>
      <c r="C315" s="163"/>
      <c r="D315" s="163"/>
      <c r="E315" s="166">
        <f t="shared" si="4"/>
        <v>1978</v>
      </c>
      <c r="F315" s="157">
        <v>28795</v>
      </c>
      <c r="G315" s="158">
        <v>8.75</v>
      </c>
      <c r="J315" s="157">
        <v>24800</v>
      </c>
      <c r="K315" s="158">
        <v>5.69</v>
      </c>
    </row>
    <row r="316" spans="1:11" x14ac:dyDescent="0.25">
      <c r="A316" s="162">
        <v>23078</v>
      </c>
      <c r="B316" s="163">
        <v>3.97</v>
      </c>
      <c r="C316" s="163"/>
      <c r="D316" s="163"/>
      <c r="E316" s="166">
        <f t="shared" si="4"/>
        <v>1978</v>
      </c>
      <c r="F316" s="157">
        <v>28825</v>
      </c>
      <c r="G316" s="158">
        <v>8.9</v>
      </c>
      <c r="J316" s="157">
        <v>24807</v>
      </c>
      <c r="K316" s="158">
        <v>5.63</v>
      </c>
    </row>
    <row r="317" spans="1:11" x14ac:dyDescent="0.25">
      <c r="A317" s="162">
        <v>23081</v>
      </c>
      <c r="B317" s="163">
        <v>3.97</v>
      </c>
      <c r="C317" s="163"/>
      <c r="D317" s="163"/>
      <c r="E317" s="166">
        <f t="shared" si="4"/>
        <v>1979</v>
      </c>
      <c r="F317" s="157">
        <v>28856</v>
      </c>
      <c r="G317" s="158">
        <v>8.98</v>
      </c>
      <c r="J317" s="157">
        <v>24814</v>
      </c>
      <c r="K317" s="158">
        <v>5.62</v>
      </c>
    </row>
    <row r="318" spans="1:11" x14ac:dyDescent="0.25">
      <c r="A318" s="162">
        <v>23082</v>
      </c>
      <c r="B318" s="163">
        <v>3.97</v>
      </c>
      <c r="C318" s="163"/>
      <c r="D318" s="163"/>
      <c r="E318" s="166">
        <f t="shared" si="4"/>
        <v>1979</v>
      </c>
      <c r="F318" s="157">
        <v>28887</v>
      </c>
      <c r="G318" s="158">
        <v>9.0299999999999994</v>
      </c>
      <c r="J318" s="157">
        <v>24821</v>
      </c>
      <c r="K318" s="158">
        <v>5.61</v>
      </c>
    </row>
    <row r="319" spans="1:11" x14ac:dyDescent="0.25">
      <c r="A319" s="162">
        <v>23083</v>
      </c>
      <c r="B319" s="164">
        <v>3.98</v>
      </c>
      <c r="C319" s="164"/>
      <c r="D319" s="164"/>
      <c r="E319" s="166">
        <f t="shared" si="4"/>
        <v>1979</v>
      </c>
      <c r="F319" s="157">
        <v>28915</v>
      </c>
      <c r="G319" s="158">
        <v>9.08</v>
      </c>
      <c r="J319" s="157">
        <v>24828</v>
      </c>
      <c r="K319" s="158">
        <v>5.55</v>
      </c>
    </row>
    <row r="320" spans="1:11" x14ac:dyDescent="0.25">
      <c r="A320" s="162">
        <v>23084</v>
      </c>
      <c r="B320" s="163">
        <v>3.98</v>
      </c>
      <c r="C320" s="163"/>
      <c r="D320" s="163"/>
      <c r="E320" s="166">
        <f t="shared" si="4"/>
        <v>1979</v>
      </c>
      <c r="F320" s="157">
        <v>28946</v>
      </c>
      <c r="G320" s="158">
        <v>9.1199999999999992</v>
      </c>
      <c r="J320" s="157">
        <v>24835</v>
      </c>
      <c r="K320" s="158">
        <v>5.55</v>
      </c>
    </row>
    <row r="321" spans="1:11" x14ac:dyDescent="0.25">
      <c r="A321" s="162">
        <v>23085</v>
      </c>
      <c r="B321" s="163">
        <v>3.98</v>
      </c>
      <c r="C321" s="163"/>
      <c r="D321" s="163"/>
      <c r="E321" s="166">
        <f t="shared" si="4"/>
        <v>1979</v>
      </c>
      <c r="F321" s="157">
        <v>28976</v>
      </c>
      <c r="G321" s="158">
        <v>9.2100000000000009</v>
      </c>
      <c r="J321" s="157">
        <v>24842</v>
      </c>
      <c r="K321" s="158">
        <v>5.42</v>
      </c>
    </row>
    <row r="322" spans="1:11" x14ac:dyDescent="0.25">
      <c r="A322" s="162">
        <v>23088</v>
      </c>
      <c r="B322" s="163">
        <v>3.98</v>
      </c>
      <c r="C322" s="163"/>
      <c r="D322" s="163"/>
      <c r="E322" s="166">
        <f t="shared" si="4"/>
        <v>1979</v>
      </c>
      <c r="F322" s="157">
        <v>29007</v>
      </c>
      <c r="G322" s="158">
        <v>8.91</v>
      </c>
      <c r="J322" s="157">
        <v>24849</v>
      </c>
      <c r="K322" s="158">
        <v>5.32</v>
      </c>
    </row>
    <row r="323" spans="1:11" x14ac:dyDescent="0.25">
      <c r="A323" s="162">
        <v>23089</v>
      </c>
      <c r="B323" s="163">
        <v>3.99</v>
      </c>
      <c r="C323" s="163"/>
      <c r="D323" s="163"/>
      <c r="E323" s="166">
        <f t="shared" si="4"/>
        <v>1979</v>
      </c>
      <c r="F323" s="157">
        <v>29037</v>
      </c>
      <c r="G323" s="158">
        <v>8.92</v>
      </c>
      <c r="J323" s="157">
        <v>24856</v>
      </c>
      <c r="K323" s="158">
        <v>5.41</v>
      </c>
    </row>
    <row r="324" spans="1:11" x14ac:dyDescent="0.25">
      <c r="A324" s="162">
        <v>23090</v>
      </c>
      <c r="B324" s="163">
        <v>3.98</v>
      </c>
      <c r="C324" s="163"/>
      <c r="D324" s="163"/>
      <c r="E324" s="166">
        <f t="shared" si="4"/>
        <v>1979</v>
      </c>
      <c r="F324" s="157">
        <v>29068</v>
      </c>
      <c r="G324" s="158">
        <v>8.9700000000000006</v>
      </c>
      <c r="J324" s="157">
        <v>24863</v>
      </c>
      <c r="K324" s="158">
        <v>5.43</v>
      </c>
    </row>
    <row r="325" spans="1:11" x14ac:dyDescent="0.25">
      <c r="A325" s="162">
        <v>23091</v>
      </c>
      <c r="B325" s="163">
        <v>3.99</v>
      </c>
      <c r="C325" s="163"/>
      <c r="D325" s="163"/>
      <c r="E325" s="166">
        <f t="shared" si="4"/>
        <v>1979</v>
      </c>
      <c r="F325" s="157">
        <v>29099</v>
      </c>
      <c r="G325" s="158">
        <v>9.2100000000000009</v>
      </c>
      <c r="J325" s="157">
        <v>24870</v>
      </c>
      <c r="K325" s="158">
        <v>5.38</v>
      </c>
    </row>
    <row r="326" spans="1:11" x14ac:dyDescent="0.25">
      <c r="A326" s="162">
        <v>23092</v>
      </c>
      <c r="B326" s="163">
        <v>3.99</v>
      </c>
      <c r="C326" s="163"/>
      <c r="D326" s="163"/>
      <c r="E326" s="166">
        <f t="shared" si="4"/>
        <v>1979</v>
      </c>
      <c r="F326" s="157">
        <v>29129</v>
      </c>
      <c r="G326" s="158">
        <v>9.99</v>
      </c>
      <c r="J326" s="157">
        <v>24877</v>
      </c>
      <c r="K326" s="158">
        <v>5.39</v>
      </c>
    </row>
    <row r="327" spans="1:11" x14ac:dyDescent="0.25">
      <c r="A327" s="162">
        <v>23095</v>
      </c>
      <c r="B327" s="163">
        <v>4</v>
      </c>
      <c r="C327" s="163"/>
      <c r="D327" s="163"/>
      <c r="E327" s="166">
        <f t="shared" si="4"/>
        <v>1979</v>
      </c>
      <c r="F327" s="157">
        <v>29160</v>
      </c>
      <c r="G327" s="158">
        <v>10.37</v>
      </c>
      <c r="J327" s="157">
        <v>24884</v>
      </c>
      <c r="K327" s="158">
        <v>5.35</v>
      </c>
    </row>
    <row r="328" spans="1:11" x14ac:dyDescent="0.25">
      <c r="A328" s="162">
        <v>23096</v>
      </c>
      <c r="B328" s="163">
        <v>4</v>
      </c>
      <c r="C328" s="163"/>
      <c r="D328" s="163"/>
      <c r="E328" s="166">
        <f t="shared" si="4"/>
        <v>1979</v>
      </c>
      <c r="F328" s="157">
        <v>29190</v>
      </c>
      <c r="G328" s="158">
        <v>10.18</v>
      </c>
      <c r="J328" s="157">
        <v>24891</v>
      </c>
      <c r="K328" s="158">
        <v>5.36</v>
      </c>
    </row>
    <row r="329" spans="1:11" x14ac:dyDescent="0.25">
      <c r="A329" s="162">
        <v>23097</v>
      </c>
      <c r="B329" s="163">
        <v>4</v>
      </c>
      <c r="C329" s="163"/>
      <c r="D329" s="163"/>
      <c r="E329" s="166">
        <f t="shared" ref="E329:E392" si="5">YEAR(F329)</f>
        <v>1980</v>
      </c>
      <c r="F329" s="157">
        <v>29221</v>
      </c>
      <c r="G329" s="158">
        <v>10.65</v>
      </c>
      <c r="J329" s="157">
        <v>24898</v>
      </c>
      <c r="K329" s="158">
        <v>5.4</v>
      </c>
    </row>
    <row r="330" spans="1:11" x14ac:dyDescent="0.25">
      <c r="A330" s="162">
        <v>23098</v>
      </c>
      <c r="B330" s="163">
        <v>4</v>
      </c>
      <c r="C330" s="163"/>
      <c r="D330" s="163"/>
      <c r="E330" s="166">
        <f t="shared" si="5"/>
        <v>1980</v>
      </c>
      <c r="F330" s="157">
        <v>29252</v>
      </c>
      <c r="G330" s="158">
        <v>12.21</v>
      </c>
      <c r="J330" s="157">
        <v>24905</v>
      </c>
      <c r="K330" s="158">
        <v>5.49</v>
      </c>
    </row>
    <row r="331" spans="1:11" x14ac:dyDescent="0.25">
      <c r="A331" s="162">
        <v>23099</v>
      </c>
      <c r="B331" s="163">
        <v>4</v>
      </c>
      <c r="C331" s="163"/>
      <c r="D331" s="163"/>
      <c r="E331" s="166">
        <f t="shared" si="5"/>
        <v>1980</v>
      </c>
      <c r="F331" s="157">
        <v>29281</v>
      </c>
      <c r="G331" s="158">
        <v>12.49</v>
      </c>
      <c r="J331" s="157">
        <v>24912</v>
      </c>
      <c r="K331" s="158">
        <v>5.68</v>
      </c>
    </row>
    <row r="332" spans="1:11" x14ac:dyDescent="0.25">
      <c r="A332" s="162">
        <v>23102</v>
      </c>
      <c r="B332" s="163">
        <v>4</v>
      </c>
      <c r="C332" s="163"/>
      <c r="D332" s="163"/>
      <c r="E332" s="166">
        <f t="shared" si="5"/>
        <v>1980</v>
      </c>
      <c r="F332" s="157">
        <v>29312</v>
      </c>
      <c r="G332" s="158">
        <v>11.41</v>
      </c>
      <c r="J332" s="157">
        <v>24919</v>
      </c>
      <c r="K332" s="158">
        <v>5.62</v>
      </c>
    </row>
    <row r="333" spans="1:11" x14ac:dyDescent="0.25">
      <c r="A333" s="162">
        <v>23103</v>
      </c>
      <c r="B333" s="163">
        <v>4.01</v>
      </c>
      <c r="C333" s="163"/>
      <c r="D333" s="163"/>
      <c r="E333" s="166">
        <f t="shared" si="5"/>
        <v>1980</v>
      </c>
      <c r="F333" s="157">
        <v>29342</v>
      </c>
      <c r="G333" s="158">
        <v>10.44</v>
      </c>
      <c r="J333" s="157">
        <v>24926</v>
      </c>
      <c r="K333" s="158">
        <v>5.63</v>
      </c>
    </row>
    <row r="334" spans="1:11" x14ac:dyDescent="0.25">
      <c r="A334" s="162">
        <v>23104</v>
      </c>
      <c r="B334" s="163">
        <v>4.01</v>
      </c>
      <c r="C334" s="163"/>
      <c r="D334" s="163"/>
      <c r="E334" s="166">
        <f t="shared" si="5"/>
        <v>1980</v>
      </c>
      <c r="F334" s="157">
        <v>29373</v>
      </c>
      <c r="G334" s="158">
        <v>9.89</v>
      </c>
      <c r="J334" s="157">
        <v>24933</v>
      </c>
      <c r="K334" s="158">
        <v>5.46</v>
      </c>
    </row>
    <row r="335" spans="1:11" x14ac:dyDescent="0.25">
      <c r="A335" s="162">
        <v>23105</v>
      </c>
      <c r="B335" s="163">
        <v>4</v>
      </c>
      <c r="C335" s="163"/>
      <c r="D335" s="163"/>
      <c r="E335" s="166">
        <f t="shared" si="5"/>
        <v>1980</v>
      </c>
      <c r="F335" s="157">
        <v>29403</v>
      </c>
      <c r="G335" s="158">
        <v>10.32</v>
      </c>
      <c r="J335" s="157">
        <v>24940</v>
      </c>
      <c r="K335" s="158">
        <v>5.39</v>
      </c>
    </row>
    <row r="336" spans="1:11" x14ac:dyDescent="0.25">
      <c r="A336" s="162">
        <v>23106</v>
      </c>
      <c r="B336" s="163">
        <v>4</v>
      </c>
      <c r="C336" s="163"/>
      <c r="D336" s="163"/>
      <c r="E336" s="166">
        <f t="shared" si="5"/>
        <v>1980</v>
      </c>
      <c r="F336" s="157">
        <v>29434</v>
      </c>
      <c r="G336" s="158">
        <v>11.07</v>
      </c>
      <c r="J336" s="157">
        <v>24947</v>
      </c>
      <c r="K336" s="158">
        <v>5.45</v>
      </c>
    </row>
    <row r="337" spans="1:11" x14ac:dyDescent="0.25">
      <c r="A337" s="162">
        <v>23109</v>
      </c>
      <c r="B337" s="163">
        <v>4.0199999999999996</v>
      </c>
      <c r="C337" s="163"/>
      <c r="D337" s="163"/>
      <c r="E337" s="166">
        <f t="shared" si="5"/>
        <v>1980</v>
      </c>
      <c r="F337" s="157">
        <v>29465</v>
      </c>
      <c r="G337" s="158">
        <v>11.47</v>
      </c>
      <c r="J337" s="157">
        <v>24954</v>
      </c>
      <c r="K337" s="158">
        <v>5.52</v>
      </c>
    </row>
    <row r="338" spans="1:11" x14ac:dyDescent="0.25">
      <c r="A338" s="162">
        <v>23110</v>
      </c>
      <c r="B338" s="163">
        <v>4.0199999999999996</v>
      </c>
      <c r="C338" s="163"/>
      <c r="D338" s="163"/>
      <c r="E338" s="166">
        <f t="shared" si="5"/>
        <v>1980</v>
      </c>
      <c r="F338" s="157">
        <v>29495</v>
      </c>
      <c r="G338" s="158">
        <v>11.75</v>
      </c>
      <c r="J338" s="157">
        <v>24961</v>
      </c>
      <c r="K338" s="158">
        <v>5.49</v>
      </c>
    </row>
    <row r="339" spans="1:11" x14ac:dyDescent="0.25">
      <c r="A339" s="162">
        <v>23111</v>
      </c>
      <c r="B339" s="163">
        <v>4.04</v>
      </c>
      <c r="C339" s="163"/>
      <c r="D339" s="163"/>
      <c r="E339" s="166">
        <f t="shared" si="5"/>
        <v>1980</v>
      </c>
      <c r="F339" s="157">
        <v>29526</v>
      </c>
      <c r="G339" s="158">
        <v>12.44</v>
      </c>
      <c r="J339" s="157">
        <v>24968</v>
      </c>
      <c r="K339" s="158">
        <v>5.49</v>
      </c>
    </row>
    <row r="340" spans="1:11" x14ac:dyDescent="0.25">
      <c r="A340" s="162">
        <v>23112</v>
      </c>
      <c r="B340" s="163">
        <v>4.04</v>
      </c>
      <c r="C340" s="163"/>
      <c r="D340" s="163"/>
      <c r="E340" s="166">
        <f t="shared" si="5"/>
        <v>1980</v>
      </c>
      <c r="F340" s="157">
        <v>29556</v>
      </c>
      <c r="G340" s="158">
        <v>12.49</v>
      </c>
      <c r="J340" s="157">
        <v>24975</v>
      </c>
      <c r="K340" s="158">
        <v>5.54</v>
      </c>
    </row>
    <row r="341" spans="1:11" x14ac:dyDescent="0.25">
      <c r="A341" s="162">
        <v>23113</v>
      </c>
      <c r="B341" s="163" t="e">
        <f>NA()</f>
        <v>#N/A</v>
      </c>
      <c r="C341" s="163"/>
      <c r="D341" s="163"/>
      <c r="E341" s="166">
        <f t="shared" si="5"/>
        <v>1981</v>
      </c>
      <c r="F341" s="157">
        <v>29587</v>
      </c>
      <c r="G341" s="158">
        <v>12.29</v>
      </c>
      <c r="J341" s="157">
        <v>24982</v>
      </c>
      <c r="K341" s="158">
        <v>5.65</v>
      </c>
    </row>
    <row r="342" spans="1:11" x14ac:dyDescent="0.25">
      <c r="A342" s="162">
        <v>23116</v>
      </c>
      <c r="B342" s="163">
        <v>4.05</v>
      </c>
      <c r="C342" s="163"/>
      <c r="D342" s="163"/>
      <c r="E342" s="166">
        <f t="shared" si="5"/>
        <v>1981</v>
      </c>
      <c r="F342" s="157">
        <v>29618</v>
      </c>
      <c r="G342" s="158">
        <v>12.98</v>
      </c>
      <c r="J342" s="157">
        <v>24989</v>
      </c>
      <c r="K342" s="158">
        <v>5.56</v>
      </c>
    </row>
    <row r="343" spans="1:11" x14ac:dyDescent="0.25">
      <c r="A343" s="162">
        <v>23117</v>
      </c>
      <c r="B343" s="163">
        <v>4.05</v>
      </c>
      <c r="C343" s="163"/>
      <c r="D343" s="163"/>
      <c r="E343" s="166">
        <f t="shared" si="5"/>
        <v>1981</v>
      </c>
      <c r="F343" s="157">
        <v>29646</v>
      </c>
      <c r="G343" s="158">
        <v>12.94</v>
      </c>
      <c r="J343" s="157">
        <v>24996</v>
      </c>
      <c r="K343" s="158">
        <v>5.45</v>
      </c>
    </row>
    <row r="344" spans="1:11" x14ac:dyDescent="0.25">
      <c r="A344" s="162">
        <v>23118</v>
      </c>
      <c r="B344" s="164">
        <v>4.0599999999999996</v>
      </c>
      <c r="C344" s="164"/>
      <c r="D344" s="164"/>
      <c r="E344" s="166">
        <f t="shared" si="5"/>
        <v>1981</v>
      </c>
      <c r="F344" s="157">
        <v>29677</v>
      </c>
      <c r="G344" s="158">
        <v>13.46</v>
      </c>
      <c r="J344" s="157">
        <v>25003</v>
      </c>
      <c r="K344" s="158">
        <v>5.44</v>
      </c>
    </row>
    <row r="345" spans="1:11" x14ac:dyDescent="0.25">
      <c r="A345" s="162">
        <v>23119</v>
      </c>
      <c r="B345" s="163">
        <v>4.05</v>
      </c>
      <c r="C345" s="163"/>
      <c r="D345" s="163"/>
      <c r="E345" s="166">
        <f t="shared" si="5"/>
        <v>1981</v>
      </c>
      <c r="F345" s="157">
        <v>29707</v>
      </c>
      <c r="G345" s="158">
        <v>13.82</v>
      </c>
      <c r="J345" s="157">
        <v>25010</v>
      </c>
      <c r="K345" s="158">
        <v>5.37</v>
      </c>
    </row>
    <row r="346" spans="1:11" x14ac:dyDescent="0.25">
      <c r="A346" s="162">
        <v>23120</v>
      </c>
      <c r="B346" s="163">
        <v>4.04</v>
      </c>
      <c r="C346" s="163"/>
      <c r="D346" s="163"/>
      <c r="E346" s="166">
        <f t="shared" si="5"/>
        <v>1981</v>
      </c>
      <c r="F346" s="157">
        <v>29738</v>
      </c>
      <c r="G346" s="158">
        <v>13.2</v>
      </c>
      <c r="J346" s="157">
        <v>25017</v>
      </c>
      <c r="K346" s="158">
        <v>5.35</v>
      </c>
    </row>
    <row r="347" spans="1:11" x14ac:dyDescent="0.25">
      <c r="A347" s="162">
        <v>23123</v>
      </c>
      <c r="B347" s="163">
        <v>4.04</v>
      </c>
      <c r="C347" s="163"/>
      <c r="D347" s="163"/>
      <c r="E347" s="166">
        <f t="shared" si="5"/>
        <v>1981</v>
      </c>
      <c r="F347" s="157">
        <v>29768</v>
      </c>
      <c r="G347" s="158">
        <v>13.92</v>
      </c>
      <c r="J347" s="157">
        <v>25024</v>
      </c>
      <c r="K347" s="158">
        <v>5.34</v>
      </c>
    </row>
    <row r="348" spans="1:11" x14ac:dyDescent="0.25">
      <c r="A348" s="162">
        <v>23124</v>
      </c>
      <c r="B348" s="163">
        <v>4.04</v>
      </c>
      <c r="C348" s="163"/>
      <c r="D348" s="163"/>
      <c r="E348" s="166">
        <f t="shared" si="5"/>
        <v>1981</v>
      </c>
      <c r="F348" s="157">
        <v>29799</v>
      </c>
      <c r="G348" s="158">
        <v>14.52</v>
      </c>
      <c r="J348" s="157">
        <v>25031</v>
      </c>
      <c r="K348" s="158">
        <v>5.32</v>
      </c>
    </row>
    <row r="349" spans="1:11" x14ac:dyDescent="0.25">
      <c r="A349" s="162">
        <v>23125</v>
      </c>
      <c r="B349" s="163">
        <v>4.04</v>
      </c>
      <c r="C349" s="163"/>
      <c r="D349" s="163"/>
      <c r="E349" s="166">
        <f t="shared" si="5"/>
        <v>1981</v>
      </c>
      <c r="F349" s="157">
        <v>29830</v>
      </c>
      <c r="G349" s="158">
        <v>15.07</v>
      </c>
      <c r="J349" s="157">
        <v>25038</v>
      </c>
      <c r="K349" s="158">
        <v>5.35</v>
      </c>
    </row>
    <row r="350" spans="1:11" x14ac:dyDescent="0.25">
      <c r="A350" s="162">
        <v>23126</v>
      </c>
      <c r="B350" s="163">
        <v>4.04</v>
      </c>
      <c r="C350" s="163"/>
      <c r="D350" s="163"/>
      <c r="E350" s="166">
        <f t="shared" si="5"/>
        <v>1981</v>
      </c>
      <c r="F350" s="157">
        <v>29860</v>
      </c>
      <c r="G350" s="158">
        <v>15.13</v>
      </c>
      <c r="J350" s="157">
        <v>25045</v>
      </c>
      <c r="K350" s="158">
        <v>5.23</v>
      </c>
    </row>
    <row r="351" spans="1:11" x14ac:dyDescent="0.25">
      <c r="A351" s="162">
        <v>23127</v>
      </c>
      <c r="B351" s="163">
        <v>4.04</v>
      </c>
      <c r="C351" s="163"/>
      <c r="D351" s="163"/>
      <c r="E351" s="166">
        <f t="shared" si="5"/>
        <v>1981</v>
      </c>
      <c r="F351" s="157">
        <v>29891</v>
      </c>
      <c r="G351" s="158">
        <v>13.56</v>
      </c>
      <c r="J351" s="157">
        <v>25052</v>
      </c>
      <c r="K351" s="158">
        <v>5.18</v>
      </c>
    </row>
    <row r="352" spans="1:11" x14ac:dyDescent="0.25">
      <c r="A352" s="162">
        <v>23130</v>
      </c>
      <c r="B352" s="163">
        <v>4.04</v>
      </c>
      <c r="C352" s="163"/>
      <c r="D352" s="163"/>
      <c r="E352" s="166">
        <f t="shared" si="5"/>
        <v>1981</v>
      </c>
      <c r="F352" s="157">
        <v>29921</v>
      </c>
      <c r="G352" s="158">
        <v>13.73</v>
      </c>
      <c r="J352" s="157">
        <v>25059</v>
      </c>
      <c r="K352" s="158">
        <v>5.18</v>
      </c>
    </row>
    <row r="353" spans="1:11" x14ac:dyDescent="0.25">
      <c r="A353" s="162">
        <v>23131</v>
      </c>
      <c r="B353" s="163">
        <v>4.04</v>
      </c>
      <c r="C353" s="163"/>
      <c r="D353" s="163"/>
      <c r="E353" s="166">
        <f t="shared" si="5"/>
        <v>1982</v>
      </c>
      <c r="F353" s="157">
        <v>29952</v>
      </c>
      <c r="G353" s="158">
        <v>14.57</v>
      </c>
      <c r="J353" s="157">
        <v>25066</v>
      </c>
      <c r="K353" s="158">
        <v>5.24</v>
      </c>
    </row>
    <row r="354" spans="1:11" x14ac:dyDescent="0.25">
      <c r="A354" s="162">
        <v>23132</v>
      </c>
      <c r="B354" s="163">
        <v>4.03</v>
      </c>
      <c r="C354" s="163"/>
      <c r="D354" s="163"/>
      <c r="E354" s="166">
        <f t="shared" si="5"/>
        <v>1982</v>
      </c>
      <c r="F354" s="157">
        <v>29983</v>
      </c>
      <c r="G354" s="158">
        <v>14.48</v>
      </c>
      <c r="J354" s="157">
        <v>25073</v>
      </c>
      <c r="K354" s="158">
        <v>5.27</v>
      </c>
    </row>
    <row r="355" spans="1:11" x14ac:dyDescent="0.25">
      <c r="A355" s="162">
        <v>23133</v>
      </c>
      <c r="B355" s="163">
        <v>4.03</v>
      </c>
      <c r="C355" s="163"/>
      <c r="D355" s="163"/>
      <c r="E355" s="166">
        <f t="shared" si="5"/>
        <v>1982</v>
      </c>
      <c r="F355" s="157">
        <v>30011</v>
      </c>
      <c r="G355" s="158">
        <v>13.75</v>
      </c>
      <c r="J355" s="157">
        <v>25080</v>
      </c>
      <c r="K355" s="158">
        <v>5.24</v>
      </c>
    </row>
    <row r="356" spans="1:11" x14ac:dyDescent="0.25">
      <c r="A356" s="162">
        <v>23134</v>
      </c>
      <c r="B356" s="163">
        <v>4.03</v>
      </c>
      <c r="C356" s="163"/>
      <c r="D356" s="163"/>
      <c r="E356" s="166">
        <f t="shared" si="5"/>
        <v>1982</v>
      </c>
      <c r="F356" s="157">
        <v>30042</v>
      </c>
      <c r="G356" s="158">
        <v>13.57</v>
      </c>
      <c r="J356" s="157">
        <v>25087</v>
      </c>
      <c r="K356" s="158">
        <v>5.25</v>
      </c>
    </row>
    <row r="357" spans="1:11" x14ac:dyDescent="0.25">
      <c r="A357" s="162">
        <v>23137</v>
      </c>
      <c r="B357" s="163">
        <v>4.0199999999999996</v>
      </c>
      <c r="C357" s="163"/>
      <c r="D357" s="163"/>
      <c r="E357" s="166">
        <f t="shared" si="5"/>
        <v>1982</v>
      </c>
      <c r="F357" s="157">
        <v>30072</v>
      </c>
      <c r="G357" s="158">
        <v>13.46</v>
      </c>
      <c r="J357" s="157">
        <v>25094</v>
      </c>
      <c r="K357" s="158">
        <v>5.3</v>
      </c>
    </row>
    <row r="358" spans="1:11" x14ac:dyDescent="0.25">
      <c r="A358" s="162">
        <v>23138</v>
      </c>
      <c r="B358" s="163">
        <v>4.01</v>
      </c>
      <c r="C358" s="163"/>
      <c r="D358" s="163"/>
      <c r="E358" s="166">
        <f t="shared" si="5"/>
        <v>1982</v>
      </c>
      <c r="F358" s="157">
        <v>30103</v>
      </c>
      <c r="G358" s="158">
        <v>14.18</v>
      </c>
      <c r="J358" s="157">
        <v>25101</v>
      </c>
      <c r="K358" s="158">
        <v>5.27</v>
      </c>
    </row>
    <row r="359" spans="1:11" x14ac:dyDescent="0.25">
      <c r="A359" s="162">
        <v>23139</v>
      </c>
      <c r="B359" s="163">
        <v>4.01</v>
      </c>
      <c r="C359" s="163"/>
      <c r="D359" s="163"/>
      <c r="E359" s="166">
        <f t="shared" si="5"/>
        <v>1982</v>
      </c>
      <c r="F359" s="157">
        <v>30133</v>
      </c>
      <c r="G359" s="158">
        <v>13.76</v>
      </c>
      <c r="J359" s="157">
        <v>25108</v>
      </c>
      <c r="K359" s="158">
        <v>5.28</v>
      </c>
    </row>
    <row r="360" spans="1:11" x14ac:dyDescent="0.25">
      <c r="A360" s="162">
        <v>23140</v>
      </c>
      <c r="B360" s="163">
        <v>4.0199999999999996</v>
      </c>
      <c r="C360" s="163"/>
      <c r="D360" s="163"/>
      <c r="E360" s="166">
        <f t="shared" si="5"/>
        <v>1982</v>
      </c>
      <c r="F360" s="157">
        <v>30164</v>
      </c>
      <c r="G360" s="158">
        <v>12.91</v>
      </c>
      <c r="J360" s="157">
        <v>25115</v>
      </c>
      <c r="K360" s="158">
        <v>5.34</v>
      </c>
    </row>
    <row r="361" spans="1:11" x14ac:dyDescent="0.25">
      <c r="A361" s="162">
        <v>23141</v>
      </c>
      <c r="B361" s="163">
        <v>4.0199999999999996</v>
      </c>
      <c r="C361" s="163"/>
      <c r="D361" s="163"/>
      <c r="E361" s="166">
        <f t="shared" si="5"/>
        <v>1982</v>
      </c>
      <c r="F361" s="157">
        <v>30195</v>
      </c>
      <c r="G361" s="158">
        <v>12.16</v>
      </c>
      <c r="J361" s="157">
        <v>25122</v>
      </c>
      <c r="K361" s="158">
        <v>5.44</v>
      </c>
    </row>
    <row r="362" spans="1:11" x14ac:dyDescent="0.25">
      <c r="A362" s="162">
        <v>23144</v>
      </c>
      <c r="B362" s="163">
        <v>4.0199999999999996</v>
      </c>
      <c r="C362" s="163"/>
      <c r="D362" s="163"/>
      <c r="E362" s="166">
        <f t="shared" si="5"/>
        <v>1982</v>
      </c>
      <c r="F362" s="157">
        <v>30225</v>
      </c>
      <c r="G362" s="158">
        <v>10.97</v>
      </c>
      <c r="J362" s="157">
        <v>25129</v>
      </c>
      <c r="K362" s="158">
        <v>5.47</v>
      </c>
    </row>
    <row r="363" spans="1:11" x14ac:dyDescent="0.25">
      <c r="A363" s="162">
        <v>23145</v>
      </c>
      <c r="B363" s="163">
        <v>4.01</v>
      </c>
      <c r="C363" s="163"/>
      <c r="D363" s="163"/>
      <c r="E363" s="166">
        <f t="shared" si="5"/>
        <v>1982</v>
      </c>
      <c r="F363" s="157">
        <v>30256</v>
      </c>
      <c r="G363" s="158">
        <v>10.57</v>
      </c>
      <c r="J363" s="157">
        <v>25136</v>
      </c>
      <c r="K363" s="158">
        <v>5.44</v>
      </c>
    </row>
    <row r="364" spans="1:11" x14ac:dyDescent="0.25">
      <c r="A364" s="162">
        <v>23146</v>
      </c>
      <c r="B364" s="163">
        <v>4</v>
      </c>
      <c r="C364" s="163"/>
      <c r="D364" s="163"/>
      <c r="E364" s="166">
        <f t="shared" si="5"/>
        <v>1982</v>
      </c>
      <c r="F364" s="157">
        <v>30286</v>
      </c>
      <c r="G364" s="158">
        <v>10.62</v>
      </c>
      <c r="J364" s="157">
        <v>25143</v>
      </c>
      <c r="K364" s="158">
        <v>5.46</v>
      </c>
    </row>
    <row r="365" spans="1:11" x14ac:dyDescent="0.25">
      <c r="A365" s="162">
        <v>23147</v>
      </c>
      <c r="B365" s="163">
        <v>4</v>
      </c>
      <c r="C365" s="163"/>
      <c r="D365" s="163"/>
      <c r="E365" s="166">
        <f t="shared" si="5"/>
        <v>1983</v>
      </c>
      <c r="F365" s="157">
        <v>30317</v>
      </c>
      <c r="G365" s="158">
        <v>10.78</v>
      </c>
      <c r="J365" s="157">
        <v>25150</v>
      </c>
      <c r="K365" s="158">
        <v>5.48</v>
      </c>
    </row>
    <row r="366" spans="1:11" x14ac:dyDescent="0.25">
      <c r="A366" s="162">
        <v>23148</v>
      </c>
      <c r="B366" s="163">
        <v>4.01</v>
      </c>
      <c r="C366" s="163"/>
      <c r="D366" s="163"/>
      <c r="E366" s="166">
        <f t="shared" si="5"/>
        <v>1983</v>
      </c>
      <c r="F366" s="157">
        <v>30348</v>
      </c>
      <c r="G366" s="158">
        <v>11.03</v>
      </c>
      <c r="J366" s="157">
        <v>25157</v>
      </c>
      <c r="K366" s="158">
        <v>5.53</v>
      </c>
    </row>
    <row r="367" spans="1:11" x14ac:dyDescent="0.25">
      <c r="A367" s="162">
        <v>23151</v>
      </c>
      <c r="B367" s="163">
        <v>4.0199999999999996</v>
      </c>
      <c r="C367" s="163"/>
      <c r="D367" s="163"/>
      <c r="E367" s="166">
        <f t="shared" si="5"/>
        <v>1983</v>
      </c>
      <c r="F367" s="157">
        <v>30376</v>
      </c>
      <c r="G367" s="158">
        <v>10.8</v>
      </c>
      <c r="J367" s="157">
        <v>25164</v>
      </c>
      <c r="K367" s="158">
        <v>5.59</v>
      </c>
    </row>
    <row r="368" spans="1:11" x14ac:dyDescent="0.25">
      <c r="A368" s="162">
        <v>23152</v>
      </c>
      <c r="B368" s="164">
        <v>4.01</v>
      </c>
      <c r="C368" s="164"/>
      <c r="D368" s="164"/>
      <c r="E368" s="166">
        <f t="shared" si="5"/>
        <v>1983</v>
      </c>
      <c r="F368" s="157">
        <v>30407</v>
      </c>
      <c r="G368" s="158">
        <v>10.63</v>
      </c>
      <c r="J368" s="157">
        <v>25171</v>
      </c>
      <c r="K368" s="158">
        <v>5.64</v>
      </c>
    </row>
    <row r="369" spans="1:11" x14ac:dyDescent="0.25">
      <c r="A369" s="162">
        <v>23153</v>
      </c>
      <c r="B369" s="163">
        <v>4.0199999999999996</v>
      </c>
      <c r="C369" s="163"/>
      <c r="D369" s="163"/>
      <c r="E369" s="166">
        <f t="shared" si="5"/>
        <v>1983</v>
      </c>
      <c r="F369" s="157">
        <v>30437</v>
      </c>
      <c r="G369" s="158">
        <v>10.67</v>
      </c>
      <c r="J369" s="157">
        <v>25178</v>
      </c>
      <c r="K369" s="158">
        <v>5.76</v>
      </c>
    </row>
    <row r="370" spans="1:11" x14ac:dyDescent="0.25">
      <c r="A370" s="162">
        <v>23154</v>
      </c>
      <c r="B370" s="163">
        <v>4.0199999999999996</v>
      </c>
      <c r="C370" s="163"/>
      <c r="D370" s="163"/>
      <c r="E370" s="166">
        <f t="shared" si="5"/>
        <v>1983</v>
      </c>
      <c r="F370" s="157">
        <v>30468</v>
      </c>
      <c r="G370" s="158">
        <v>11.12</v>
      </c>
      <c r="J370" s="157">
        <v>25185</v>
      </c>
      <c r="K370" s="158">
        <v>5.79</v>
      </c>
    </row>
    <row r="371" spans="1:11" x14ac:dyDescent="0.25">
      <c r="A371" s="162">
        <v>23155</v>
      </c>
      <c r="B371" s="163">
        <v>4.03</v>
      </c>
      <c r="C371" s="163"/>
      <c r="D371" s="163"/>
      <c r="E371" s="166">
        <f t="shared" si="5"/>
        <v>1983</v>
      </c>
      <c r="F371" s="157">
        <v>30498</v>
      </c>
      <c r="G371" s="158">
        <v>11.59</v>
      </c>
      <c r="J371" s="157">
        <v>25192</v>
      </c>
      <c r="K371" s="158">
        <v>5.9</v>
      </c>
    </row>
    <row r="372" spans="1:11" x14ac:dyDescent="0.25">
      <c r="A372" s="162">
        <v>23158</v>
      </c>
      <c r="B372" s="163">
        <v>4.03</v>
      </c>
      <c r="C372" s="163"/>
      <c r="D372" s="163"/>
      <c r="E372" s="166">
        <f t="shared" si="5"/>
        <v>1983</v>
      </c>
      <c r="F372" s="157">
        <v>30529</v>
      </c>
      <c r="G372" s="158">
        <v>11.96</v>
      </c>
      <c r="J372" s="157">
        <v>25199</v>
      </c>
      <c r="K372" s="158">
        <v>6.06</v>
      </c>
    </row>
    <row r="373" spans="1:11" x14ac:dyDescent="0.25">
      <c r="A373" s="162">
        <v>23159</v>
      </c>
      <c r="B373" s="163">
        <v>4.03</v>
      </c>
      <c r="C373" s="163"/>
      <c r="D373" s="163"/>
      <c r="E373" s="166">
        <f t="shared" si="5"/>
        <v>1983</v>
      </c>
      <c r="F373" s="157">
        <v>30560</v>
      </c>
      <c r="G373" s="158">
        <v>11.82</v>
      </c>
      <c r="J373" s="157">
        <v>25206</v>
      </c>
      <c r="K373" s="158">
        <v>5.97</v>
      </c>
    </row>
    <row r="374" spans="1:11" x14ac:dyDescent="0.25">
      <c r="A374" s="162">
        <v>23160</v>
      </c>
      <c r="B374" s="163">
        <v>4.03</v>
      </c>
      <c r="C374" s="163"/>
      <c r="D374" s="163"/>
      <c r="E374" s="166">
        <f t="shared" si="5"/>
        <v>1983</v>
      </c>
      <c r="F374" s="157">
        <v>30590</v>
      </c>
      <c r="G374" s="158">
        <v>11.77</v>
      </c>
      <c r="J374" s="157">
        <v>25213</v>
      </c>
      <c r="K374" s="158">
        <v>6.01</v>
      </c>
    </row>
    <row r="375" spans="1:11" x14ac:dyDescent="0.25">
      <c r="A375" s="162">
        <v>23161</v>
      </c>
      <c r="B375" s="163" t="e">
        <f>NA()</f>
        <v>#N/A</v>
      </c>
      <c r="C375" s="163"/>
      <c r="D375" s="163"/>
      <c r="E375" s="166">
        <f t="shared" si="5"/>
        <v>1983</v>
      </c>
      <c r="F375" s="157">
        <v>30621</v>
      </c>
      <c r="G375" s="158">
        <v>11.92</v>
      </c>
      <c r="J375" s="157">
        <v>25220</v>
      </c>
      <c r="K375" s="158">
        <v>5.97</v>
      </c>
    </row>
    <row r="376" spans="1:11" x14ac:dyDescent="0.25">
      <c r="A376" s="162">
        <v>23162</v>
      </c>
      <c r="B376" s="163">
        <v>4.03</v>
      </c>
      <c r="C376" s="163"/>
      <c r="D376" s="163"/>
      <c r="E376" s="166">
        <f t="shared" si="5"/>
        <v>1983</v>
      </c>
      <c r="F376" s="157">
        <v>30651</v>
      </c>
      <c r="G376" s="158">
        <v>12.02</v>
      </c>
      <c r="J376" s="157">
        <v>25227</v>
      </c>
      <c r="K376" s="158">
        <v>5.96</v>
      </c>
    </row>
    <row r="377" spans="1:11" x14ac:dyDescent="0.25">
      <c r="A377" s="162">
        <v>23165</v>
      </c>
      <c r="B377" s="164">
        <v>4.04</v>
      </c>
      <c r="C377" s="164"/>
      <c r="D377" s="164"/>
      <c r="E377" s="166">
        <f t="shared" si="5"/>
        <v>1984</v>
      </c>
      <c r="F377" s="157">
        <v>30682</v>
      </c>
      <c r="G377" s="158">
        <v>11.82</v>
      </c>
      <c r="J377" s="157">
        <v>25234</v>
      </c>
      <c r="K377" s="158">
        <v>6.05</v>
      </c>
    </row>
    <row r="378" spans="1:11" x14ac:dyDescent="0.25">
      <c r="A378" s="162">
        <v>23166</v>
      </c>
      <c r="B378" s="163">
        <v>4.03</v>
      </c>
      <c r="C378" s="163"/>
      <c r="D378" s="163"/>
      <c r="E378" s="166">
        <f t="shared" si="5"/>
        <v>1984</v>
      </c>
      <c r="F378" s="157">
        <v>30713</v>
      </c>
      <c r="G378" s="158">
        <v>12</v>
      </c>
      <c r="J378" s="157">
        <v>25241</v>
      </c>
      <c r="K378" s="158">
        <v>6.13</v>
      </c>
    </row>
    <row r="379" spans="1:11" x14ac:dyDescent="0.25">
      <c r="A379" s="162">
        <v>23167</v>
      </c>
      <c r="B379" s="163">
        <v>4.03</v>
      </c>
      <c r="C379" s="163"/>
      <c r="D379" s="163"/>
      <c r="E379" s="166">
        <f t="shared" si="5"/>
        <v>1984</v>
      </c>
      <c r="F379" s="157">
        <v>30742</v>
      </c>
      <c r="G379" s="158">
        <v>12.45</v>
      </c>
      <c r="J379" s="157">
        <v>25248</v>
      </c>
      <c r="K379" s="158">
        <v>6.03</v>
      </c>
    </row>
    <row r="380" spans="1:11" x14ac:dyDescent="0.25">
      <c r="A380" s="162">
        <v>23168</v>
      </c>
      <c r="B380" s="163">
        <v>4.03</v>
      </c>
      <c r="C380" s="163"/>
      <c r="D380" s="163"/>
      <c r="E380" s="166">
        <f t="shared" si="5"/>
        <v>1984</v>
      </c>
      <c r="F380" s="157">
        <v>30773</v>
      </c>
      <c r="G380" s="158">
        <v>12.65</v>
      </c>
      <c r="J380" s="157">
        <v>25255</v>
      </c>
      <c r="K380" s="158">
        <v>6.11</v>
      </c>
    </row>
    <row r="381" spans="1:11" x14ac:dyDescent="0.25">
      <c r="A381" s="162">
        <v>23169</v>
      </c>
      <c r="B381" s="163">
        <v>4.0199999999999996</v>
      </c>
      <c r="C381" s="163"/>
      <c r="D381" s="163"/>
      <c r="E381" s="166">
        <f t="shared" si="5"/>
        <v>1984</v>
      </c>
      <c r="F381" s="157">
        <v>30803</v>
      </c>
      <c r="G381" s="158">
        <v>13.43</v>
      </c>
      <c r="J381" s="157">
        <v>25262</v>
      </c>
      <c r="K381" s="158">
        <v>6.15</v>
      </c>
    </row>
    <row r="382" spans="1:11" x14ac:dyDescent="0.25">
      <c r="A382" s="162">
        <v>23172</v>
      </c>
      <c r="B382" s="163">
        <v>4.0199999999999996</v>
      </c>
      <c r="C382" s="163"/>
      <c r="D382" s="163"/>
      <c r="E382" s="166">
        <f t="shared" si="5"/>
        <v>1984</v>
      </c>
      <c r="F382" s="157">
        <v>30834</v>
      </c>
      <c r="G382" s="158">
        <v>13.54</v>
      </c>
      <c r="J382" s="157">
        <v>25269</v>
      </c>
      <c r="K382" s="158">
        <v>6.16</v>
      </c>
    </row>
    <row r="383" spans="1:11" x14ac:dyDescent="0.25">
      <c r="A383" s="162">
        <v>23173</v>
      </c>
      <c r="B383" s="163">
        <v>4.01</v>
      </c>
      <c r="C383" s="163"/>
      <c r="D383" s="163"/>
      <c r="E383" s="166">
        <f t="shared" si="5"/>
        <v>1984</v>
      </c>
      <c r="F383" s="157">
        <v>30864</v>
      </c>
      <c r="G383" s="158">
        <v>13.36</v>
      </c>
      <c r="J383" s="157">
        <v>25276</v>
      </c>
      <c r="K383" s="158">
        <v>6.24</v>
      </c>
    </row>
    <row r="384" spans="1:11" x14ac:dyDescent="0.25">
      <c r="A384" s="162">
        <v>23174</v>
      </c>
      <c r="B384" s="163">
        <v>4.0199999999999996</v>
      </c>
      <c r="C384" s="163"/>
      <c r="D384" s="163"/>
      <c r="E384" s="166">
        <f t="shared" si="5"/>
        <v>1984</v>
      </c>
      <c r="F384" s="157">
        <v>30895</v>
      </c>
      <c r="G384" s="158">
        <v>12.71</v>
      </c>
      <c r="J384" s="157">
        <v>25283</v>
      </c>
      <c r="K384" s="158">
        <v>6.27</v>
      </c>
    </row>
    <row r="385" spans="1:11" x14ac:dyDescent="0.25">
      <c r="A385" s="162">
        <v>23175</v>
      </c>
      <c r="B385" s="163">
        <v>4.0199999999999996</v>
      </c>
      <c r="C385" s="163"/>
      <c r="D385" s="163"/>
      <c r="E385" s="166">
        <f t="shared" si="5"/>
        <v>1984</v>
      </c>
      <c r="F385" s="157">
        <v>30926</v>
      </c>
      <c r="G385" s="158">
        <v>12.42</v>
      </c>
      <c r="J385" s="157">
        <v>25290</v>
      </c>
      <c r="K385" s="158">
        <v>6.22</v>
      </c>
    </row>
    <row r="386" spans="1:11" x14ac:dyDescent="0.25">
      <c r="A386" s="162">
        <v>23176</v>
      </c>
      <c r="B386" s="163">
        <v>4.0199999999999996</v>
      </c>
      <c r="C386" s="163"/>
      <c r="D386" s="163"/>
      <c r="E386" s="166">
        <f t="shared" si="5"/>
        <v>1984</v>
      </c>
      <c r="F386" s="157">
        <v>30956</v>
      </c>
      <c r="G386" s="158">
        <v>12.04</v>
      </c>
      <c r="J386" s="157">
        <v>25297</v>
      </c>
      <c r="K386" s="158">
        <v>6.17</v>
      </c>
    </row>
    <row r="387" spans="1:11" x14ac:dyDescent="0.25">
      <c r="A387" s="162">
        <v>23179</v>
      </c>
      <c r="B387" s="163">
        <v>4.0199999999999996</v>
      </c>
      <c r="C387" s="163"/>
      <c r="D387" s="163"/>
      <c r="E387" s="166">
        <f t="shared" si="5"/>
        <v>1984</v>
      </c>
      <c r="F387" s="157">
        <v>30987</v>
      </c>
      <c r="G387" s="158">
        <v>11.66</v>
      </c>
      <c r="J387" s="157">
        <v>25304</v>
      </c>
      <c r="K387" s="158">
        <v>6.11</v>
      </c>
    </row>
    <row r="388" spans="1:11" x14ac:dyDescent="0.25">
      <c r="A388" s="162">
        <v>23180</v>
      </c>
      <c r="B388" s="163">
        <v>4.0199999999999996</v>
      </c>
      <c r="C388" s="163"/>
      <c r="D388" s="163"/>
      <c r="E388" s="166">
        <f t="shared" si="5"/>
        <v>1984</v>
      </c>
      <c r="F388" s="157">
        <v>31017</v>
      </c>
      <c r="G388" s="158">
        <v>11.64</v>
      </c>
      <c r="J388" s="157">
        <v>25311</v>
      </c>
      <c r="K388" s="158">
        <v>5.97</v>
      </c>
    </row>
    <row r="389" spans="1:11" x14ac:dyDescent="0.25">
      <c r="A389" s="162">
        <v>23181</v>
      </c>
      <c r="B389" s="163">
        <v>4.0199999999999996</v>
      </c>
      <c r="C389" s="163"/>
      <c r="D389" s="163"/>
      <c r="E389" s="166">
        <f t="shared" si="5"/>
        <v>1985</v>
      </c>
      <c r="F389" s="157">
        <v>31048</v>
      </c>
      <c r="G389" s="158">
        <v>11.58</v>
      </c>
      <c r="J389" s="157">
        <v>25318</v>
      </c>
      <c r="K389" s="158">
        <v>5.96</v>
      </c>
    </row>
    <row r="390" spans="1:11" x14ac:dyDescent="0.25">
      <c r="A390" s="162">
        <v>23182</v>
      </c>
      <c r="B390" s="163">
        <v>4.0199999999999996</v>
      </c>
      <c r="C390" s="163"/>
      <c r="D390" s="163"/>
      <c r="E390" s="166">
        <f t="shared" si="5"/>
        <v>1985</v>
      </c>
      <c r="F390" s="157">
        <v>31079</v>
      </c>
      <c r="G390" s="158">
        <v>11.7</v>
      </c>
      <c r="J390" s="157">
        <v>25325</v>
      </c>
      <c r="K390" s="158">
        <v>5.98</v>
      </c>
    </row>
    <row r="391" spans="1:11" x14ac:dyDescent="0.25">
      <c r="A391" s="162">
        <v>23183</v>
      </c>
      <c r="B391" s="163">
        <v>4.0199999999999996</v>
      </c>
      <c r="C391" s="163"/>
      <c r="D391" s="163"/>
      <c r="E391" s="166">
        <f t="shared" si="5"/>
        <v>1985</v>
      </c>
      <c r="F391" s="157">
        <v>31107</v>
      </c>
      <c r="G391" s="158">
        <v>12.06</v>
      </c>
      <c r="J391" s="157">
        <v>25332</v>
      </c>
      <c r="K391" s="158">
        <v>5.93</v>
      </c>
    </row>
    <row r="392" spans="1:11" x14ac:dyDescent="0.25">
      <c r="A392" s="162">
        <v>23186</v>
      </c>
      <c r="B392" s="163">
        <v>4.03</v>
      </c>
      <c r="C392" s="163"/>
      <c r="D392" s="163"/>
      <c r="E392" s="166">
        <f t="shared" si="5"/>
        <v>1985</v>
      </c>
      <c r="F392" s="157">
        <v>31138</v>
      </c>
      <c r="G392" s="158">
        <v>11.69</v>
      </c>
      <c r="J392" s="157">
        <v>25339</v>
      </c>
      <c r="K392" s="158">
        <v>6.01</v>
      </c>
    </row>
    <row r="393" spans="1:11" x14ac:dyDescent="0.25">
      <c r="A393" s="162">
        <v>23187</v>
      </c>
      <c r="B393" s="163">
        <v>4.03</v>
      </c>
      <c r="C393" s="163"/>
      <c r="D393" s="163"/>
      <c r="E393" s="166">
        <f t="shared" ref="E393:E456" si="6">YEAR(F393)</f>
        <v>1985</v>
      </c>
      <c r="F393" s="157">
        <v>31168</v>
      </c>
      <c r="G393" s="158">
        <v>11.19</v>
      </c>
      <c r="J393" s="157">
        <v>25346</v>
      </c>
      <c r="K393" s="158">
        <v>6.19</v>
      </c>
    </row>
    <row r="394" spans="1:11" x14ac:dyDescent="0.25">
      <c r="A394" s="162">
        <v>23188</v>
      </c>
      <c r="B394" s="163">
        <v>4.03</v>
      </c>
      <c r="C394" s="163"/>
      <c r="D394" s="163"/>
      <c r="E394" s="166">
        <f t="shared" si="6"/>
        <v>1985</v>
      </c>
      <c r="F394" s="157">
        <v>31199</v>
      </c>
      <c r="G394" s="158">
        <v>10.57</v>
      </c>
      <c r="J394" s="157">
        <v>25353</v>
      </c>
      <c r="K394" s="158">
        <v>6.41</v>
      </c>
    </row>
    <row r="395" spans="1:11" x14ac:dyDescent="0.25">
      <c r="A395" s="162">
        <v>23189</v>
      </c>
      <c r="B395" s="163">
        <v>4.03</v>
      </c>
      <c r="C395" s="163"/>
      <c r="D395" s="163"/>
      <c r="E395" s="166">
        <f t="shared" si="6"/>
        <v>1985</v>
      </c>
      <c r="F395" s="157">
        <v>31229</v>
      </c>
      <c r="G395" s="158">
        <v>10.68</v>
      </c>
      <c r="J395" s="157">
        <v>25360</v>
      </c>
      <c r="K395" s="158">
        <v>6.36</v>
      </c>
    </row>
    <row r="396" spans="1:11" x14ac:dyDescent="0.25">
      <c r="A396" s="162">
        <v>23190</v>
      </c>
      <c r="B396" s="163">
        <v>4.03</v>
      </c>
      <c r="C396" s="163"/>
      <c r="D396" s="163"/>
      <c r="E396" s="166">
        <f t="shared" si="6"/>
        <v>1985</v>
      </c>
      <c r="F396" s="157">
        <v>31260</v>
      </c>
      <c r="G396" s="158">
        <v>10.73</v>
      </c>
      <c r="J396" s="157">
        <v>25367</v>
      </c>
      <c r="K396" s="158">
        <v>6.27</v>
      </c>
    </row>
    <row r="397" spans="1:11" x14ac:dyDescent="0.25">
      <c r="A397" s="162">
        <v>23193</v>
      </c>
      <c r="B397" s="163">
        <v>4.04</v>
      </c>
      <c r="C397" s="163"/>
      <c r="D397" s="163"/>
      <c r="E397" s="166">
        <f t="shared" si="6"/>
        <v>1985</v>
      </c>
      <c r="F397" s="157">
        <v>31291</v>
      </c>
      <c r="G397" s="158">
        <v>10.8</v>
      </c>
      <c r="J397" s="157">
        <v>25374</v>
      </c>
      <c r="K397" s="158">
        <v>6.25</v>
      </c>
    </row>
    <row r="398" spans="1:11" x14ac:dyDescent="0.25">
      <c r="A398" s="162">
        <v>23194</v>
      </c>
      <c r="B398" s="163">
        <v>4.0599999999999996</v>
      </c>
      <c r="C398" s="163"/>
      <c r="D398" s="163"/>
      <c r="E398" s="166">
        <f t="shared" si="6"/>
        <v>1985</v>
      </c>
      <c r="F398" s="157">
        <v>31321</v>
      </c>
      <c r="G398" s="158">
        <v>10.67</v>
      </c>
      <c r="J398" s="157">
        <v>25381</v>
      </c>
      <c r="K398" s="158">
        <v>6.25</v>
      </c>
    </row>
    <row r="399" spans="1:11" x14ac:dyDescent="0.25">
      <c r="A399" s="162">
        <v>23195</v>
      </c>
      <c r="B399" s="164">
        <v>4.0599999999999996</v>
      </c>
      <c r="C399" s="164"/>
      <c r="D399" s="164"/>
      <c r="E399" s="166">
        <f t="shared" si="6"/>
        <v>1985</v>
      </c>
      <c r="F399" s="157">
        <v>31352</v>
      </c>
      <c r="G399" s="158">
        <v>10.24</v>
      </c>
      <c r="J399" s="157">
        <v>25388</v>
      </c>
      <c r="K399" s="158">
        <v>6.3</v>
      </c>
    </row>
    <row r="400" spans="1:11" x14ac:dyDescent="0.25">
      <c r="A400" s="162">
        <v>23196</v>
      </c>
      <c r="B400" s="163" t="e">
        <f>NA()</f>
        <v>#N/A</v>
      </c>
      <c r="C400" s="163"/>
      <c r="D400" s="163"/>
      <c r="E400" s="166">
        <f t="shared" si="6"/>
        <v>1985</v>
      </c>
      <c r="F400" s="157">
        <v>31382</v>
      </c>
      <c r="G400" s="158">
        <v>9.75</v>
      </c>
      <c r="J400" s="157">
        <v>25395</v>
      </c>
      <c r="K400" s="158">
        <v>6.31</v>
      </c>
    </row>
    <row r="401" spans="1:11" x14ac:dyDescent="0.25">
      <c r="A401" s="162">
        <v>23197</v>
      </c>
      <c r="B401" s="163">
        <v>4.07</v>
      </c>
      <c r="C401" s="163"/>
      <c r="D401" s="163"/>
      <c r="E401" s="166">
        <f t="shared" si="6"/>
        <v>1986</v>
      </c>
      <c r="F401" s="157">
        <v>31413</v>
      </c>
      <c r="G401" s="158">
        <v>9.59</v>
      </c>
      <c r="J401" s="157">
        <v>25402</v>
      </c>
      <c r="K401" s="158">
        <v>6.25</v>
      </c>
    </row>
    <row r="402" spans="1:11" x14ac:dyDescent="0.25">
      <c r="A402" s="162">
        <v>23200</v>
      </c>
      <c r="B402" s="163">
        <v>4.08</v>
      </c>
      <c r="C402" s="163"/>
      <c r="D402" s="163"/>
      <c r="E402" s="166">
        <f t="shared" si="6"/>
        <v>1986</v>
      </c>
      <c r="F402" s="157">
        <v>31444</v>
      </c>
      <c r="G402" s="158">
        <v>9.08</v>
      </c>
      <c r="J402" s="157">
        <v>25409</v>
      </c>
      <c r="K402" s="158">
        <v>6.24</v>
      </c>
    </row>
    <row r="403" spans="1:11" x14ac:dyDescent="0.25">
      <c r="A403" s="162">
        <v>23201</v>
      </c>
      <c r="B403" s="163">
        <v>4.08</v>
      </c>
      <c r="C403" s="163"/>
      <c r="D403" s="163"/>
      <c r="E403" s="166">
        <f t="shared" si="6"/>
        <v>1986</v>
      </c>
      <c r="F403" s="157">
        <v>31472</v>
      </c>
      <c r="G403" s="158">
        <v>8.09</v>
      </c>
      <c r="J403" s="157">
        <v>25416</v>
      </c>
      <c r="K403" s="158">
        <v>6.26</v>
      </c>
    </row>
    <row r="404" spans="1:11" x14ac:dyDescent="0.25">
      <c r="A404" s="162">
        <v>23202</v>
      </c>
      <c r="B404" s="164">
        <v>4.08</v>
      </c>
      <c r="C404" s="164"/>
      <c r="D404" s="164"/>
      <c r="E404" s="166">
        <f t="shared" si="6"/>
        <v>1986</v>
      </c>
      <c r="F404" s="157">
        <v>31503</v>
      </c>
      <c r="G404" s="158">
        <v>7.5</v>
      </c>
      <c r="J404" s="157">
        <v>25423</v>
      </c>
      <c r="K404" s="158">
        <v>6.18</v>
      </c>
    </row>
    <row r="405" spans="1:11" x14ac:dyDescent="0.25">
      <c r="A405" s="162">
        <v>23203</v>
      </c>
      <c r="B405" s="163">
        <v>4.08</v>
      </c>
      <c r="C405" s="163"/>
      <c r="D405" s="163"/>
      <c r="E405" s="166">
        <f t="shared" si="6"/>
        <v>1986</v>
      </c>
      <c r="F405" s="157">
        <v>31533</v>
      </c>
      <c r="G405" s="158">
        <v>7.81</v>
      </c>
      <c r="J405" s="157">
        <v>25430</v>
      </c>
      <c r="K405" s="158">
        <v>6.21</v>
      </c>
    </row>
    <row r="406" spans="1:11" x14ac:dyDescent="0.25">
      <c r="A406" s="162">
        <v>23204</v>
      </c>
      <c r="B406" s="163">
        <v>4.08</v>
      </c>
      <c r="C406" s="163"/>
      <c r="D406" s="163"/>
      <c r="E406" s="166">
        <f t="shared" si="6"/>
        <v>1986</v>
      </c>
      <c r="F406" s="157">
        <v>31564</v>
      </c>
      <c r="G406" s="158">
        <v>7.69</v>
      </c>
      <c r="J406" s="157">
        <v>25437</v>
      </c>
      <c r="K406" s="158">
        <v>6.2</v>
      </c>
    </row>
    <row r="407" spans="1:11" x14ac:dyDescent="0.25">
      <c r="A407" s="162">
        <v>23207</v>
      </c>
      <c r="B407" s="163">
        <v>4.07</v>
      </c>
      <c r="C407" s="163"/>
      <c r="D407" s="163"/>
      <c r="E407" s="166">
        <f t="shared" si="6"/>
        <v>1986</v>
      </c>
      <c r="F407" s="157">
        <v>31594</v>
      </c>
      <c r="G407" s="158">
        <v>7.29</v>
      </c>
      <c r="J407" s="157">
        <v>25444</v>
      </c>
      <c r="K407" s="158">
        <v>6.28</v>
      </c>
    </row>
    <row r="408" spans="1:11" x14ac:dyDescent="0.25">
      <c r="A408" s="162">
        <v>23208</v>
      </c>
      <c r="B408" s="163">
        <v>4.07</v>
      </c>
      <c r="C408" s="163"/>
      <c r="D408" s="163"/>
      <c r="E408" s="166">
        <f t="shared" si="6"/>
        <v>1986</v>
      </c>
      <c r="F408" s="157">
        <v>31625</v>
      </c>
      <c r="G408" s="158">
        <v>7.28</v>
      </c>
      <c r="J408" s="157">
        <v>25451</v>
      </c>
      <c r="K408" s="158">
        <v>6.41</v>
      </c>
    </row>
    <row r="409" spans="1:11" x14ac:dyDescent="0.25">
      <c r="A409" s="162">
        <v>23209</v>
      </c>
      <c r="B409" s="163">
        <v>4.07</v>
      </c>
      <c r="C409" s="163"/>
      <c r="D409" s="163"/>
      <c r="E409" s="166">
        <f t="shared" si="6"/>
        <v>1986</v>
      </c>
      <c r="F409" s="157">
        <v>31656</v>
      </c>
      <c r="G409" s="158">
        <v>7.56</v>
      </c>
      <c r="J409" s="157">
        <v>25458</v>
      </c>
      <c r="K409" s="158">
        <v>6.46</v>
      </c>
    </row>
    <row r="410" spans="1:11" x14ac:dyDescent="0.25">
      <c r="A410" s="162">
        <v>23210</v>
      </c>
      <c r="B410" s="163">
        <v>4.0599999999999996</v>
      </c>
      <c r="C410" s="163"/>
      <c r="D410" s="163"/>
      <c r="E410" s="166">
        <f t="shared" si="6"/>
        <v>1986</v>
      </c>
      <c r="F410" s="157">
        <v>31686</v>
      </c>
      <c r="G410" s="158">
        <v>7.61</v>
      </c>
      <c r="J410" s="157">
        <v>25465</v>
      </c>
      <c r="K410" s="158">
        <v>6.55</v>
      </c>
    </row>
    <row r="411" spans="1:11" x14ac:dyDescent="0.25">
      <c r="A411" s="162">
        <v>23211</v>
      </c>
      <c r="B411" s="163">
        <v>4.05</v>
      </c>
      <c r="C411" s="163"/>
      <c r="D411" s="163"/>
      <c r="E411" s="166">
        <f t="shared" si="6"/>
        <v>1986</v>
      </c>
      <c r="F411" s="157">
        <v>31717</v>
      </c>
      <c r="G411" s="158">
        <v>7.42</v>
      </c>
      <c r="J411" s="157">
        <v>25472</v>
      </c>
      <c r="K411" s="158">
        <v>6.64</v>
      </c>
    </row>
    <row r="412" spans="1:11" x14ac:dyDescent="0.25">
      <c r="A412" s="162">
        <v>23214</v>
      </c>
      <c r="B412" s="163">
        <v>4.05</v>
      </c>
      <c r="C412" s="163"/>
      <c r="D412" s="163"/>
      <c r="E412" s="166">
        <f t="shared" si="6"/>
        <v>1986</v>
      </c>
      <c r="F412" s="157">
        <v>31747</v>
      </c>
      <c r="G412" s="158">
        <v>7.28</v>
      </c>
      <c r="J412" s="157">
        <v>25479</v>
      </c>
      <c r="K412" s="158">
        <v>6.77</v>
      </c>
    </row>
    <row r="413" spans="1:11" x14ac:dyDescent="0.25">
      <c r="A413" s="162">
        <v>23215</v>
      </c>
      <c r="B413" s="163">
        <v>4.05</v>
      </c>
      <c r="C413" s="163"/>
      <c r="D413" s="163"/>
      <c r="E413" s="166">
        <f t="shared" si="6"/>
        <v>1987</v>
      </c>
      <c r="F413" s="157">
        <v>31778</v>
      </c>
      <c r="G413" s="158" t="e">
        <f>NA()</f>
        <v>#N/A</v>
      </c>
      <c r="J413" s="157">
        <v>25486</v>
      </c>
      <c r="K413" s="158">
        <v>6.54</v>
      </c>
    </row>
    <row r="414" spans="1:11" x14ac:dyDescent="0.25">
      <c r="A414" s="162">
        <v>23216</v>
      </c>
      <c r="B414" s="164">
        <v>4.04</v>
      </c>
      <c r="C414" s="164"/>
      <c r="D414" s="164"/>
      <c r="E414" s="166">
        <f t="shared" si="6"/>
        <v>1987</v>
      </c>
      <c r="F414" s="157">
        <v>31809</v>
      </c>
      <c r="G414" s="158" t="e">
        <f>NA()</f>
        <v>#N/A</v>
      </c>
      <c r="J414" s="157">
        <v>25493</v>
      </c>
      <c r="K414" s="158">
        <v>6.38</v>
      </c>
    </row>
    <row r="415" spans="1:11" x14ac:dyDescent="0.25">
      <c r="A415" s="162">
        <v>23217</v>
      </c>
      <c r="B415" s="163">
        <v>4.04</v>
      </c>
      <c r="C415" s="163"/>
      <c r="D415" s="163"/>
      <c r="E415" s="166">
        <f t="shared" si="6"/>
        <v>1987</v>
      </c>
      <c r="F415" s="157">
        <v>31837</v>
      </c>
      <c r="G415" s="158" t="e">
        <f>NA()</f>
        <v>#N/A</v>
      </c>
      <c r="J415" s="157">
        <v>25500</v>
      </c>
      <c r="K415" s="158">
        <v>6.3</v>
      </c>
    </row>
    <row r="416" spans="1:11" x14ac:dyDescent="0.25">
      <c r="A416" s="162">
        <v>23218</v>
      </c>
      <c r="B416" s="163">
        <v>4.03</v>
      </c>
      <c r="C416" s="163"/>
      <c r="D416" s="163"/>
      <c r="E416" s="166">
        <f t="shared" si="6"/>
        <v>1987</v>
      </c>
      <c r="F416" s="157">
        <v>31868</v>
      </c>
      <c r="G416" s="158" t="e">
        <f>NA()</f>
        <v>#N/A</v>
      </c>
      <c r="J416" s="157">
        <v>25507</v>
      </c>
      <c r="K416" s="158">
        <v>6.58</v>
      </c>
    </row>
    <row r="417" spans="1:11" x14ac:dyDescent="0.25">
      <c r="A417" s="162">
        <v>23221</v>
      </c>
      <c r="B417" s="163">
        <v>4.03</v>
      </c>
      <c r="C417" s="163"/>
      <c r="D417" s="163"/>
      <c r="E417" s="166">
        <f t="shared" si="6"/>
        <v>1987</v>
      </c>
      <c r="F417" s="157">
        <v>31898</v>
      </c>
      <c r="G417" s="158" t="e">
        <f>NA()</f>
        <v>#N/A</v>
      </c>
      <c r="J417" s="157">
        <v>25514</v>
      </c>
      <c r="K417" s="158">
        <v>6.61</v>
      </c>
    </row>
    <row r="418" spans="1:11" x14ac:dyDescent="0.25">
      <c r="A418" s="162">
        <v>23222</v>
      </c>
      <c r="B418" s="163">
        <v>4.03</v>
      </c>
      <c r="C418" s="163"/>
      <c r="D418" s="163"/>
      <c r="E418" s="166">
        <f t="shared" si="6"/>
        <v>1987</v>
      </c>
      <c r="F418" s="157">
        <v>31929</v>
      </c>
      <c r="G418" s="158" t="e">
        <f>NA()</f>
        <v>#N/A</v>
      </c>
      <c r="J418" s="157">
        <v>25521</v>
      </c>
      <c r="K418" s="158">
        <v>6.71</v>
      </c>
    </row>
    <row r="419" spans="1:11" x14ac:dyDescent="0.25">
      <c r="A419" s="162">
        <v>23223</v>
      </c>
      <c r="B419" s="163">
        <v>4.03</v>
      </c>
      <c r="C419" s="163"/>
      <c r="D419" s="163"/>
      <c r="E419" s="166">
        <f t="shared" si="6"/>
        <v>1987</v>
      </c>
      <c r="F419" s="157">
        <v>31959</v>
      </c>
      <c r="G419" s="158" t="e">
        <f>NA()</f>
        <v>#N/A</v>
      </c>
      <c r="J419" s="157">
        <v>25528</v>
      </c>
      <c r="K419" s="158">
        <v>6.84</v>
      </c>
    </row>
    <row r="420" spans="1:11" x14ac:dyDescent="0.25">
      <c r="A420" s="162">
        <v>23224</v>
      </c>
      <c r="B420" s="163">
        <v>4.03</v>
      </c>
      <c r="C420" s="163"/>
      <c r="D420" s="163"/>
      <c r="E420" s="166">
        <f t="shared" si="6"/>
        <v>1987</v>
      </c>
      <c r="F420" s="157">
        <v>31990</v>
      </c>
      <c r="G420" s="158" t="e">
        <f>NA()</f>
        <v>#N/A</v>
      </c>
      <c r="J420" s="157">
        <v>25535</v>
      </c>
      <c r="K420" s="158">
        <v>6.8</v>
      </c>
    </row>
    <row r="421" spans="1:11" x14ac:dyDescent="0.25">
      <c r="A421" s="162">
        <v>23225</v>
      </c>
      <c r="B421" s="163">
        <v>4.0199999999999996</v>
      </c>
      <c r="C421" s="163"/>
      <c r="D421" s="163"/>
      <c r="E421" s="166">
        <f t="shared" si="6"/>
        <v>1987</v>
      </c>
      <c r="F421" s="157">
        <v>32021</v>
      </c>
      <c r="G421" s="158" t="e">
        <f>NA()</f>
        <v>#N/A</v>
      </c>
      <c r="J421" s="157">
        <v>25542</v>
      </c>
      <c r="K421" s="158">
        <v>6.81</v>
      </c>
    </row>
    <row r="422" spans="1:11" x14ac:dyDescent="0.25">
      <c r="A422" s="162">
        <v>23228</v>
      </c>
      <c r="B422" s="163">
        <v>4.0199999999999996</v>
      </c>
      <c r="C422" s="163"/>
      <c r="D422" s="163"/>
      <c r="E422" s="166">
        <f t="shared" si="6"/>
        <v>1987</v>
      </c>
      <c r="F422" s="157">
        <v>32051</v>
      </c>
      <c r="G422" s="158" t="e">
        <f>NA()</f>
        <v>#N/A</v>
      </c>
      <c r="J422" s="157">
        <v>25549</v>
      </c>
      <c r="K422" s="158">
        <v>6.85</v>
      </c>
    </row>
    <row r="423" spans="1:11" x14ac:dyDescent="0.25">
      <c r="A423" s="162">
        <v>23229</v>
      </c>
      <c r="B423" s="163">
        <v>4.03</v>
      </c>
      <c r="C423" s="163"/>
      <c r="D423" s="163"/>
      <c r="E423" s="166">
        <f t="shared" si="6"/>
        <v>1987</v>
      </c>
      <c r="F423" s="157">
        <v>32082</v>
      </c>
      <c r="G423" s="158" t="e">
        <f>NA()</f>
        <v>#N/A</v>
      </c>
      <c r="J423" s="157">
        <v>25556</v>
      </c>
      <c r="K423" s="158">
        <v>6.93</v>
      </c>
    </row>
    <row r="424" spans="1:11" x14ac:dyDescent="0.25">
      <c r="A424" s="162">
        <v>23230</v>
      </c>
      <c r="B424" s="163">
        <v>4.03</v>
      </c>
      <c r="C424" s="163"/>
      <c r="D424" s="163"/>
      <c r="E424" s="166">
        <f t="shared" si="6"/>
        <v>1987</v>
      </c>
      <c r="F424" s="157">
        <v>32112</v>
      </c>
      <c r="G424" s="158" t="e">
        <f>NA()</f>
        <v>#N/A</v>
      </c>
      <c r="J424" s="157">
        <v>25563</v>
      </c>
      <c r="K424" s="158">
        <v>6.97</v>
      </c>
    </row>
    <row r="425" spans="1:11" x14ac:dyDescent="0.25">
      <c r="A425" s="162">
        <v>23231</v>
      </c>
      <c r="B425" s="163">
        <v>4.03</v>
      </c>
      <c r="C425" s="163"/>
      <c r="D425" s="163"/>
      <c r="E425" s="166">
        <f t="shared" si="6"/>
        <v>1988</v>
      </c>
      <c r="F425" s="157">
        <v>32143</v>
      </c>
      <c r="G425" s="158" t="e">
        <f>NA()</f>
        <v>#N/A</v>
      </c>
      <c r="J425" s="157">
        <v>25570</v>
      </c>
      <c r="K425" s="158">
        <v>7</v>
      </c>
    </row>
    <row r="426" spans="1:11" x14ac:dyDescent="0.25">
      <c r="A426" s="162">
        <v>23232</v>
      </c>
      <c r="B426" s="163">
        <v>4.03</v>
      </c>
      <c r="C426" s="163"/>
      <c r="D426" s="163"/>
      <c r="E426" s="166">
        <f t="shared" si="6"/>
        <v>1988</v>
      </c>
      <c r="F426" s="157">
        <v>32174</v>
      </c>
      <c r="G426" s="158" t="e">
        <f>NA()</f>
        <v>#N/A</v>
      </c>
      <c r="J426" s="157">
        <v>25577</v>
      </c>
      <c r="K426" s="158">
        <v>6.92</v>
      </c>
    </row>
    <row r="427" spans="1:11" x14ac:dyDescent="0.25">
      <c r="A427" s="162">
        <v>23235</v>
      </c>
      <c r="B427" s="163">
        <v>4.03</v>
      </c>
      <c r="C427" s="163"/>
      <c r="D427" s="163"/>
      <c r="E427" s="166">
        <f t="shared" si="6"/>
        <v>1988</v>
      </c>
      <c r="F427" s="157">
        <v>32203</v>
      </c>
      <c r="G427" s="158" t="e">
        <f>NA()</f>
        <v>#N/A</v>
      </c>
      <c r="J427" s="157">
        <v>25584</v>
      </c>
      <c r="K427" s="158">
        <v>6.91</v>
      </c>
    </row>
    <row r="428" spans="1:11" x14ac:dyDescent="0.25">
      <c r="A428" s="162">
        <v>23236</v>
      </c>
      <c r="B428" s="163">
        <v>4.03</v>
      </c>
      <c r="C428" s="163"/>
      <c r="D428" s="163"/>
      <c r="E428" s="166">
        <f t="shared" si="6"/>
        <v>1988</v>
      </c>
      <c r="F428" s="157">
        <v>32234</v>
      </c>
      <c r="G428" s="158" t="e">
        <f>NA()</f>
        <v>#N/A</v>
      </c>
      <c r="J428" s="157">
        <v>25591</v>
      </c>
      <c r="K428" s="158">
        <v>6.92</v>
      </c>
    </row>
    <row r="429" spans="1:11" x14ac:dyDescent="0.25">
      <c r="A429" s="162">
        <v>23237</v>
      </c>
      <c r="B429" s="163">
        <v>4.04</v>
      </c>
      <c r="C429" s="163"/>
      <c r="D429" s="163"/>
      <c r="E429" s="166">
        <f t="shared" si="6"/>
        <v>1988</v>
      </c>
      <c r="F429" s="157">
        <v>32264</v>
      </c>
      <c r="G429" s="158" t="e">
        <f>NA()</f>
        <v>#N/A</v>
      </c>
      <c r="J429" s="157">
        <v>25598</v>
      </c>
      <c r="K429" s="158">
        <v>6.94</v>
      </c>
    </row>
    <row r="430" spans="1:11" x14ac:dyDescent="0.25">
      <c r="A430" s="162">
        <v>23238</v>
      </c>
      <c r="B430" s="163">
        <v>4.03</v>
      </c>
      <c r="C430" s="163"/>
      <c r="D430" s="163"/>
      <c r="E430" s="166">
        <f t="shared" si="6"/>
        <v>1988</v>
      </c>
      <c r="F430" s="157">
        <v>32295</v>
      </c>
      <c r="G430" s="158" t="e">
        <f>NA()</f>
        <v>#N/A</v>
      </c>
      <c r="J430" s="157">
        <v>25605</v>
      </c>
      <c r="K430" s="158">
        <v>6.84</v>
      </c>
    </row>
    <row r="431" spans="1:11" x14ac:dyDescent="0.25">
      <c r="A431" s="162">
        <v>23239</v>
      </c>
      <c r="B431" s="163">
        <v>4.03</v>
      </c>
      <c r="C431" s="163"/>
      <c r="D431" s="163"/>
      <c r="E431" s="166">
        <f t="shared" si="6"/>
        <v>1988</v>
      </c>
      <c r="F431" s="157">
        <v>32325</v>
      </c>
      <c r="G431" s="158" t="e">
        <f>NA()</f>
        <v>#N/A</v>
      </c>
      <c r="J431" s="157">
        <v>25612</v>
      </c>
      <c r="K431" s="158">
        <v>6.65</v>
      </c>
    </row>
    <row r="432" spans="1:11" x14ac:dyDescent="0.25">
      <c r="A432" s="162">
        <v>23242</v>
      </c>
      <c r="B432" s="163">
        <v>4.0199999999999996</v>
      </c>
      <c r="C432" s="163"/>
      <c r="D432" s="163"/>
      <c r="E432" s="166">
        <f t="shared" si="6"/>
        <v>1988</v>
      </c>
      <c r="F432" s="157">
        <v>32356</v>
      </c>
      <c r="G432" s="158" t="e">
        <f>NA()</f>
        <v>#N/A</v>
      </c>
      <c r="J432" s="157">
        <v>25619</v>
      </c>
      <c r="K432" s="158">
        <v>6.6</v>
      </c>
    </row>
    <row r="433" spans="1:11" x14ac:dyDescent="0.25">
      <c r="A433" s="162">
        <v>23243</v>
      </c>
      <c r="B433" s="163">
        <v>4.03</v>
      </c>
      <c r="C433" s="163"/>
      <c r="D433" s="163"/>
      <c r="E433" s="166">
        <f t="shared" si="6"/>
        <v>1988</v>
      </c>
      <c r="F433" s="157">
        <v>32387</v>
      </c>
      <c r="G433" s="158" t="e">
        <f>NA()</f>
        <v>#N/A</v>
      </c>
      <c r="J433" s="157">
        <v>25626</v>
      </c>
      <c r="K433" s="158">
        <v>6.57</v>
      </c>
    </row>
    <row r="434" spans="1:11" x14ac:dyDescent="0.25">
      <c r="A434" s="162">
        <v>23244</v>
      </c>
      <c r="B434" s="163">
        <v>4.03</v>
      </c>
      <c r="C434" s="163"/>
      <c r="D434" s="163"/>
      <c r="E434" s="166">
        <f t="shared" si="6"/>
        <v>1988</v>
      </c>
      <c r="F434" s="157">
        <v>32417</v>
      </c>
      <c r="G434" s="158" t="e">
        <f>NA()</f>
        <v>#N/A</v>
      </c>
      <c r="J434" s="157">
        <v>25633</v>
      </c>
      <c r="K434" s="158">
        <v>6.6</v>
      </c>
    </row>
    <row r="435" spans="1:11" x14ac:dyDescent="0.25">
      <c r="A435" s="162">
        <v>23245</v>
      </c>
      <c r="B435" s="163">
        <v>4.03</v>
      </c>
      <c r="C435" s="163"/>
      <c r="D435" s="163"/>
      <c r="E435" s="166">
        <f t="shared" si="6"/>
        <v>1988</v>
      </c>
      <c r="F435" s="157">
        <v>32448</v>
      </c>
      <c r="G435" s="158" t="e">
        <f>NA()</f>
        <v>#N/A</v>
      </c>
      <c r="J435" s="157">
        <v>25640</v>
      </c>
      <c r="K435" s="158">
        <v>6.77</v>
      </c>
    </row>
    <row r="436" spans="1:11" x14ac:dyDescent="0.25">
      <c r="A436" s="162">
        <v>23246</v>
      </c>
      <c r="B436" s="163">
        <v>4.03</v>
      </c>
      <c r="C436" s="163"/>
      <c r="D436" s="163"/>
      <c r="E436" s="166">
        <f t="shared" si="6"/>
        <v>1988</v>
      </c>
      <c r="F436" s="157">
        <v>32478</v>
      </c>
      <c r="G436" s="158" t="e">
        <f>NA()</f>
        <v>#N/A</v>
      </c>
      <c r="J436" s="157">
        <v>25647</v>
      </c>
      <c r="K436" s="158">
        <v>6.85</v>
      </c>
    </row>
    <row r="437" spans="1:11" x14ac:dyDescent="0.25">
      <c r="A437" s="162">
        <v>23249</v>
      </c>
      <c r="B437" s="163">
        <v>4.03</v>
      </c>
      <c r="C437" s="163"/>
      <c r="D437" s="163"/>
      <c r="E437" s="166">
        <f t="shared" si="6"/>
        <v>1989</v>
      </c>
      <c r="F437" s="157">
        <v>32509</v>
      </c>
      <c r="G437" s="158" t="e">
        <f>NA()</f>
        <v>#N/A</v>
      </c>
      <c r="J437" s="157">
        <v>25654</v>
      </c>
      <c r="K437" s="158">
        <v>6.66</v>
      </c>
    </row>
    <row r="438" spans="1:11" x14ac:dyDescent="0.25">
      <c r="A438" s="162">
        <v>23250</v>
      </c>
      <c r="B438" s="163">
        <v>4.03</v>
      </c>
      <c r="C438" s="163"/>
      <c r="D438" s="163"/>
      <c r="E438" s="166">
        <f t="shared" si="6"/>
        <v>1989</v>
      </c>
      <c r="F438" s="157">
        <v>32540</v>
      </c>
      <c r="G438" s="158" t="e">
        <f>NA()</f>
        <v>#N/A</v>
      </c>
      <c r="J438" s="157">
        <v>25661</v>
      </c>
      <c r="K438" s="158">
        <v>6.65</v>
      </c>
    </row>
    <row r="439" spans="1:11" x14ac:dyDescent="0.25">
      <c r="A439" s="162">
        <v>23251</v>
      </c>
      <c r="B439" s="164">
        <v>4.03</v>
      </c>
      <c r="C439" s="164"/>
      <c r="D439" s="164"/>
      <c r="E439" s="166">
        <f t="shared" si="6"/>
        <v>1989</v>
      </c>
      <c r="F439" s="157">
        <v>32568</v>
      </c>
      <c r="G439" s="158" t="e">
        <f>NA()</f>
        <v>#N/A</v>
      </c>
      <c r="J439" s="157">
        <v>25668</v>
      </c>
      <c r="K439" s="158">
        <v>6.7</v>
      </c>
    </row>
    <row r="440" spans="1:11" x14ac:dyDescent="0.25">
      <c r="A440" s="162">
        <v>23252</v>
      </c>
      <c r="B440" s="163">
        <v>4.04</v>
      </c>
      <c r="C440" s="163"/>
      <c r="D440" s="163"/>
      <c r="E440" s="166">
        <f t="shared" si="6"/>
        <v>1989</v>
      </c>
      <c r="F440" s="157">
        <v>32599</v>
      </c>
      <c r="G440" s="158" t="e">
        <f>NA()</f>
        <v>#N/A</v>
      </c>
      <c r="J440" s="157">
        <v>25675</v>
      </c>
      <c r="K440" s="158">
        <v>6.79</v>
      </c>
    </row>
    <row r="441" spans="1:11" x14ac:dyDescent="0.25">
      <c r="A441" s="162">
        <v>23253</v>
      </c>
      <c r="B441" s="163">
        <v>4.04</v>
      </c>
      <c r="C441" s="163"/>
      <c r="D441" s="163"/>
      <c r="E441" s="166">
        <f t="shared" si="6"/>
        <v>1989</v>
      </c>
      <c r="F441" s="157">
        <v>32629</v>
      </c>
      <c r="G441" s="158" t="e">
        <f>NA()</f>
        <v>#N/A</v>
      </c>
      <c r="J441" s="157">
        <v>25682</v>
      </c>
      <c r="K441" s="158">
        <v>7.01</v>
      </c>
    </row>
    <row r="442" spans="1:11" x14ac:dyDescent="0.25">
      <c r="A442" s="162">
        <v>23256</v>
      </c>
      <c r="B442" s="163" t="e">
        <f>NA()</f>
        <v>#N/A</v>
      </c>
      <c r="C442" s="163"/>
      <c r="D442" s="163"/>
      <c r="E442" s="166">
        <f t="shared" si="6"/>
        <v>1989</v>
      </c>
      <c r="F442" s="157">
        <v>32660</v>
      </c>
      <c r="G442" s="158" t="e">
        <f>NA()</f>
        <v>#N/A</v>
      </c>
      <c r="J442" s="157">
        <v>25689</v>
      </c>
      <c r="K442" s="158">
        <v>7.08</v>
      </c>
    </row>
    <row r="443" spans="1:11" x14ac:dyDescent="0.25">
      <c r="A443" s="162">
        <v>23257</v>
      </c>
      <c r="B443" s="163">
        <v>4.05</v>
      </c>
      <c r="C443" s="163"/>
      <c r="D443" s="163"/>
      <c r="E443" s="166">
        <f t="shared" si="6"/>
        <v>1989</v>
      </c>
      <c r="F443" s="157">
        <v>32690</v>
      </c>
      <c r="G443" s="158" t="e">
        <f>NA()</f>
        <v>#N/A</v>
      </c>
      <c r="J443" s="157">
        <v>25696</v>
      </c>
      <c r="K443" s="158">
        <v>7.15</v>
      </c>
    </row>
    <row r="444" spans="1:11" x14ac:dyDescent="0.25">
      <c r="A444" s="162">
        <v>23258</v>
      </c>
      <c r="B444" s="163">
        <v>4.0599999999999996</v>
      </c>
      <c r="C444" s="163"/>
      <c r="D444" s="163"/>
      <c r="E444" s="166">
        <f t="shared" si="6"/>
        <v>1989</v>
      </c>
      <c r="F444" s="157">
        <v>32721</v>
      </c>
      <c r="G444" s="158" t="e">
        <f>NA()</f>
        <v>#N/A</v>
      </c>
      <c r="J444" s="157">
        <v>25703</v>
      </c>
      <c r="K444" s="158">
        <v>7.12</v>
      </c>
    </row>
    <row r="445" spans="1:11" x14ac:dyDescent="0.25">
      <c r="A445" s="162">
        <v>23259</v>
      </c>
      <c r="B445" s="163">
        <v>4.0999999999999996</v>
      </c>
      <c r="C445" s="163"/>
      <c r="D445" s="163"/>
      <c r="E445" s="166">
        <f t="shared" si="6"/>
        <v>1989</v>
      </c>
      <c r="F445" s="157">
        <v>32752</v>
      </c>
      <c r="G445" s="158" t="e">
        <f>NA()</f>
        <v>#N/A</v>
      </c>
      <c r="J445" s="157">
        <v>25710</v>
      </c>
      <c r="K445" s="158">
        <v>7.17</v>
      </c>
    </row>
    <row r="446" spans="1:11" x14ac:dyDescent="0.25">
      <c r="A446" s="162">
        <v>23260</v>
      </c>
      <c r="B446" s="163">
        <v>4.0999999999999996</v>
      </c>
      <c r="C446" s="163"/>
      <c r="D446" s="163"/>
      <c r="E446" s="166">
        <f t="shared" si="6"/>
        <v>1989</v>
      </c>
      <c r="F446" s="157">
        <v>32782</v>
      </c>
      <c r="G446" s="158" t="e">
        <f>NA()</f>
        <v>#N/A</v>
      </c>
      <c r="J446" s="157">
        <v>25717</v>
      </c>
      <c r="K446" s="158">
        <v>7.55</v>
      </c>
    </row>
    <row r="447" spans="1:11" x14ac:dyDescent="0.25">
      <c r="A447" s="162">
        <v>23263</v>
      </c>
      <c r="B447" s="163">
        <v>4.1100000000000003</v>
      </c>
      <c r="C447" s="163"/>
      <c r="D447" s="163"/>
      <c r="E447" s="166">
        <f t="shared" si="6"/>
        <v>1989</v>
      </c>
      <c r="F447" s="157">
        <v>32813</v>
      </c>
      <c r="G447" s="158" t="e">
        <f>NA()</f>
        <v>#N/A</v>
      </c>
      <c r="J447" s="157">
        <v>25724</v>
      </c>
      <c r="K447" s="158">
        <v>7.33</v>
      </c>
    </row>
    <row r="448" spans="1:11" x14ac:dyDescent="0.25">
      <c r="A448" s="162">
        <v>23264</v>
      </c>
      <c r="B448" s="163">
        <v>4.0999999999999996</v>
      </c>
      <c r="C448" s="163"/>
      <c r="D448" s="163"/>
      <c r="E448" s="166">
        <f t="shared" si="6"/>
        <v>1989</v>
      </c>
      <c r="F448" s="157">
        <v>32843</v>
      </c>
      <c r="G448" s="158" t="e">
        <f>NA()</f>
        <v>#N/A</v>
      </c>
      <c r="J448" s="157">
        <v>25731</v>
      </c>
      <c r="K448" s="158">
        <v>7.43</v>
      </c>
    </row>
    <row r="449" spans="1:11" x14ac:dyDescent="0.25">
      <c r="A449" s="162">
        <v>23265</v>
      </c>
      <c r="B449" s="163">
        <v>4.0999999999999996</v>
      </c>
      <c r="C449" s="163"/>
      <c r="D449" s="163"/>
      <c r="E449" s="166">
        <f t="shared" si="6"/>
        <v>1990</v>
      </c>
      <c r="F449" s="157">
        <v>32874</v>
      </c>
      <c r="G449" s="158" t="e">
        <f>NA()</f>
        <v>#N/A</v>
      </c>
      <c r="J449" s="157">
        <v>25738</v>
      </c>
      <c r="K449" s="158">
        <v>7.41</v>
      </c>
    </row>
    <row r="450" spans="1:11" x14ac:dyDescent="0.25">
      <c r="A450" s="162">
        <v>23266</v>
      </c>
      <c r="B450" s="163">
        <v>4.0999999999999996</v>
      </c>
      <c r="C450" s="163"/>
      <c r="D450" s="163"/>
      <c r="E450" s="166">
        <f t="shared" si="6"/>
        <v>1990</v>
      </c>
      <c r="F450" s="157">
        <v>32905</v>
      </c>
      <c r="G450" s="158" t="e">
        <f>NA()</f>
        <v>#N/A</v>
      </c>
      <c r="J450" s="157">
        <v>25745</v>
      </c>
      <c r="K450" s="158">
        <v>7.27</v>
      </c>
    </row>
    <row r="451" spans="1:11" x14ac:dyDescent="0.25">
      <c r="A451" s="162">
        <v>23267</v>
      </c>
      <c r="B451" s="163">
        <v>4.0999999999999996</v>
      </c>
      <c r="C451" s="163"/>
      <c r="D451" s="163"/>
      <c r="E451" s="166">
        <f t="shared" si="6"/>
        <v>1990</v>
      </c>
      <c r="F451" s="157">
        <v>32933</v>
      </c>
      <c r="G451" s="158" t="e">
        <f>NA()</f>
        <v>#N/A</v>
      </c>
      <c r="J451" s="157">
        <v>25752</v>
      </c>
      <c r="K451" s="158">
        <v>7.1</v>
      </c>
    </row>
    <row r="452" spans="1:11" x14ac:dyDescent="0.25">
      <c r="A452" s="162">
        <v>23270</v>
      </c>
      <c r="B452" s="163">
        <v>4.0999999999999996</v>
      </c>
      <c r="C452" s="163"/>
      <c r="D452" s="163"/>
      <c r="E452" s="166">
        <f t="shared" si="6"/>
        <v>1990</v>
      </c>
      <c r="F452" s="157">
        <v>32964</v>
      </c>
      <c r="G452" s="158" t="e">
        <f>NA()</f>
        <v>#N/A</v>
      </c>
      <c r="J452" s="157">
        <v>25759</v>
      </c>
      <c r="K452" s="158">
        <v>6.91</v>
      </c>
    </row>
    <row r="453" spans="1:11" x14ac:dyDescent="0.25">
      <c r="A453" s="162">
        <v>23271</v>
      </c>
      <c r="B453" s="163">
        <v>4.0999999999999996</v>
      </c>
      <c r="C453" s="163"/>
      <c r="D453" s="163"/>
      <c r="E453" s="166">
        <f t="shared" si="6"/>
        <v>1990</v>
      </c>
      <c r="F453" s="157">
        <v>32994</v>
      </c>
      <c r="G453" s="158" t="e">
        <f>NA()</f>
        <v>#N/A</v>
      </c>
      <c r="J453" s="157">
        <v>25766</v>
      </c>
      <c r="K453" s="158">
        <v>6.96</v>
      </c>
    </row>
    <row r="454" spans="1:11" x14ac:dyDescent="0.25">
      <c r="A454" s="162">
        <v>23272</v>
      </c>
      <c r="B454" s="163">
        <v>4.0999999999999996</v>
      </c>
      <c r="C454" s="163"/>
      <c r="D454" s="163"/>
      <c r="E454" s="166">
        <f t="shared" si="6"/>
        <v>1990</v>
      </c>
      <c r="F454" s="157">
        <v>33025</v>
      </c>
      <c r="G454" s="158" t="e">
        <f>NA()</f>
        <v>#N/A</v>
      </c>
      <c r="J454" s="157">
        <v>25773</v>
      </c>
      <c r="K454" s="158">
        <v>6.89</v>
      </c>
    </row>
    <row r="455" spans="1:11" x14ac:dyDescent="0.25">
      <c r="A455" s="162">
        <v>23273</v>
      </c>
      <c r="B455" s="163">
        <v>4.0999999999999996</v>
      </c>
      <c r="C455" s="163"/>
      <c r="D455" s="163"/>
      <c r="E455" s="166">
        <f t="shared" si="6"/>
        <v>1990</v>
      </c>
      <c r="F455" s="157">
        <v>33055</v>
      </c>
      <c r="G455" s="158" t="e">
        <f>NA()</f>
        <v>#N/A</v>
      </c>
      <c r="J455" s="157">
        <v>25780</v>
      </c>
      <c r="K455" s="158">
        <v>6.9</v>
      </c>
    </row>
    <row r="456" spans="1:11" x14ac:dyDescent="0.25">
      <c r="A456" s="162">
        <v>23274</v>
      </c>
      <c r="B456" s="163">
        <v>4.09</v>
      </c>
      <c r="C456" s="163"/>
      <c r="D456" s="163"/>
      <c r="E456" s="166">
        <f t="shared" si="6"/>
        <v>1990</v>
      </c>
      <c r="F456" s="157">
        <v>33086</v>
      </c>
      <c r="G456" s="158" t="e">
        <f>NA()</f>
        <v>#N/A</v>
      </c>
      <c r="J456" s="157">
        <v>25787</v>
      </c>
      <c r="K456" s="158">
        <v>6.96</v>
      </c>
    </row>
    <row r="457" spans="1:11" x14ac:dyDescent="0.25">
      <c r="A457" s="162">
        <v>23277</v>
      </c>
      <c r="B457" s="163">
        <v>4.09</v>
      </c>
      <c r="C457" s="163"/>
      <c r="D457" s="163"/>
      <c r="E457" s="166">
        <f t="shared" ref="E457:E520" si="7">YEAR(F457)</f>
        <v>1990</v>
      </c>
      <c r="F457" s="157">
        <v>33117</v>
      </c>
      <c r="G457" s="158" t="e">
        <f>NA()</f>
        <v>#N/A</v>
      </c>
      <c r="J457" s="157">
        <v>25794</v>
      </c>
      <c r="K457" s="158">
        <v>7.11</v>
      </c>
    </row>
    <row r="458" spans="1:11" x14ac:dyDescent="0.25">
      <c r="A458" s="162">
        <v>23278</v>
      </c>
      <c r="B458" s="163">
        <v>4.09</v>
      </c>
      <c r="C458" s="163"/>
      <c r="D458" s="163"/>
      <c r="E458" s="166">
        <f t="shared" si="7"/>
        <v>1990</v>
      </c>
      <c r="F458" s="157">
        <v>33147</v>
      </c>
      <c r="G458" s="158" t="e">
        <f>NA()</f>
        <v>#N/A</v>
      </c>
      <c r="J458" s="157">
        <v>25801</v>
      </c>
      <c r="K458" s="158">
        <v>7.23</v>
      </c>
    </row>
    <row r="459" spans="1:11" x14ac:dyDescent="0.25">
      <c r="A459" s="162">
        <v>23279</v>
      </c>
      <c r="B459" s="163">
        <v>4.09</v>
      </c>
      <c r="C459" s="163"/>
      <c r="D459" s="163"/>
      <c r="E459" s="166">
        <f t="shared" si="7"/>
        <v>1990</v>
      </c>
      <c r="F459" s="157">
        <v>33178</v>
      </c>
      <c r="G459" s="158" t="e">
        <f>NA()</f>
        <v>#N/A</v>
      </c>
      <c r="J459" s="157">
        <v>25808</v>
      </c>
      <c r="K459" s="158">
        <v>7.01</v>
      </c>
    </row>
    <row r="460" spans="1:11" x14ac:dyDescent="0.25">
      <c r="A460" s="162">
        <v>23280</v>
      </c>
      <c r="B460" s="163">
        <v>4.09</v>
      </c>
      <c r="C460" s="163"/>
      <c r="D460" s="163"/>
      <c r="E460" s="166">
        <f t="shared" si="7"/>
        <v>1990</v>
      </c>
      <c r="F460" s="157">
        <v>33208</v>
      </c>
      <c r="G460" s="158" t="e">
        <f>NA()</f>
        <v>#N/A</v>
      </c>
      <c r="J460" s="157">
        <v>25815</v>
      </c>
      <c r="K460" s="158">
        <v>6.98</v>
      </c>
    </row>
    <row r="461" spans="1:11" x14ac:dyDescent="0.25">
      <c r="A461" s="162">
        <v>23281</v>
      </c>
      <c r="B461" s="163">
        <v>4.08</v>
      </c>
      <c r="C461" s="163"/>
      <c r="D461" s="163"/>
      <c r="E461" s="166">
        <f t="shared" si="7"/>
        <v>1991</v>
      </c>
      <c r="F461" s="157">
        <v>33239</v>
      </c>
      <c r="G461" s="158" t="e">
        <f>NA()</f>
        <v>#N/A</v>
      </c>
      <c r="J461" s="157">
        <v>25822</v>
      </c>
      <c r="K461" s="158">
        <v>6.99</v>
      </c>
    </row>
    <row r="462" spans="1:11" x14ac:dyDescent="0.25">
      <c r="A462" s="162">
        <v>23284</v>
      </c>
      <c r="B462" s="163">
        <v>4.08</v>
      </c>
      <c r="C462" s="163"/>
      <c r="D462" s="163"/>
      <c r="E462" s="166">
        <f t="shared" si="7"/>
        <v>1991</v>
      </c>
      <c r="F462" s="157">
        <v>33270</v>
      </c>
      <c r="G462" s="158" t="e">
        <f>NA()</f>
        <v>#N/A</v>
      </c>
      <c r="J462" s="157">
        <v>25829</v>
      </c>
      <c r="K462" s="158">
        <v>6.88</v>
      </c>
    </row>
    <row r="463" spans="1:11" x14ac:dyDescent="0.25">
      <c r="A463" s="162">
        <v>23285</v>
      </c>
      <c r="B463" s="163">
        <v>4.08</v>
      </c>
      <c r="C463" s="163"/>
      <c r="D463" s="163"/>
      <c r="E463" s="166">
        <f t="shared" si="7"/>
        <v>1991</v>
      </c>
      <c r="F463" s="157">
        <v>33298</v>
      </c>
      <c r="G463" s="158" t="e">
        <f>NA()</f>
        <v>#N/A</v>
      </c>
      <c r="J463" s="157">
        <v>25836</v>
      </c>
      <c r="K463" s="158">
        <v>6.77</v>
      </c>
    </row>
    <row r="464" spans="1:11" x14ac:dyDescent="0.25">
      <c r="A464" s="162">
        <v>23286</v>
      </c>
      <c r="B464" s="163">
        <v>4.08</v>
      </c>
      <c r="C464" s="163"/>
      <c r="D464" s="163"/>
      <c r="E464" s="166">
        <f t="shared" si="7"/>
        <v>1991</v>
      </c>
      <c r="F464" s="157">
        <v>33329</v>
      </c>
      <c r="G464" s="158" t="e">
        <f>NA()</f>
        <v>#N/A</v>
      </c>
      <c r="J464" s="157">
        <v>25843</v>
      </c>
      <c r="K464" s="158">
        <v>6.81</v>
      </c>
    </row>
    <row r="465" spans="1:11" x14ac:dyDescent="0.25">
      <c r="A465" s="162">
        <v>23287</v>
      </c>
      <c r="B465" s="163">
        <v>4.08</v>
      </c>
      <c r="C465" s="163"/>
      <c r="D465" s="163"/>
      <c r="E465" s="166">
        <f t="shared" si="7"/>
        <v>1991</v>
      </c>
      <c r="F465" s="157">
        <v>33359</v>
      </c>
      <c r="G465" s="158" t="e">
        <f>NA()</f>
        <v>#N/A</v>
      </c>
      <c r="J465" s="157">
        <v>25850</v>
      </c>
      <c r="K465" s="158">
        <v>6.79</v>
      </c>
    </row>
    <row r="466" spans="1:11" x14ac:dyDescent="0.25">
      <c r="A466" s="162">
        <v>23288</v>
      </c>
      <c r="B466" s="163">
        <v>4.09</v>
      </c>
      <c r="C466" s="163"/>
      <c r="D466" s="163"/>
      <c r="E466" s="166">
        <f t="shared" si="7"/>
        <v>1991</v>
      </c>
      <c r="F466" s="157">
        <v>33390</v>
      </c>
      <c r="G466" s="158" t="e">
        <f>NA()</f>
        <v>#N/A</v>
      </c>
      <c r="J466" s="157">
        <v>25857</v>
      </c>
      <c r="K466" s="158">
        <v>6.85</v>
      </c>
    </row>
    <row r="467" spans="1:11" x14ac:dyDescent="0.25">
      <c r="A467" s="162">
        <v>23291</v>
      </c>
      <c r="B467" s="163">
        <v>4.0999999999999996</v>
      </c>
      <c r="C467" s="163"/>
      <c r="D467" s="163"/>
      <c r="E467" s="166">
        <f t="shared" si="7"/>
        <v>1991</v>
      </c>
      <c r="F467" s="157">
        <v>33420</v>
      </c>
      <c r="G467" s="158" t="e">
        <f>NA()</f>
        <v>#N/A</v>
      </c>
      <c r="J467" s="157">
        <v>25864</v>
      </c>
      <c r="K467" s="158">
        <v>6.94</v>
      </c>
    </row>
    <row r="468" spans="1:11" x14ac:dyDescent="0.25">
      <c r="A468" s="162">
        <v>23292</v>
      </c>
      <c r="B468" s="163">
        <v>4.0999999999999996</v>
      </c>
      <c r="C468" s="163"/>
      <c r="D468" s="163"/>
      <c r="E468" s="166">
        <f t="shared" si="7"/>
        <v>1991</v>
      </c>
      <c r="F468" s="157">
        <v>33451</v>
      </c>
      <c r="G468" s="158" t="e">
        <f>NA()</f>
        <v>#N/A</v>
      </c>
      <c r="J468" s="157">
        <v>25871</v>
      </c>
      <c r="K468" s="158">
        <v>6.95</v>
      </c>
    </row>
    <row r="469" spans="1:11" x14ac:dyDescent="0.25">
      <c r="A469" s="162">
        <v>23293</v>
      </c>
      <c r="B469" s="163">
        <v>4.1100000000000003</v>
      </c>
      <c r="C469" s="163"/>
      <c r="D469" s="163"/>
      <c r="E469" s="166">
        <f t="shared" si="7"/>
        <v>1991</v>
      </c>
      <c r="F469" s="157">
        <v>33482</v>
      </c>
      <c r="G469" s="158" t="e">
        <f>NA()</f>
        <v>#N/A</v>
      </c>
      <c r="J469" s="157">
        <v>25878</v>
      </c>
      <c r="K469" s="158">
        <v>6.79</v>
      </c>
    </row>
    <row r="470" spans="1:11" x14ac:dyDescent="0.25">
      <c r="A470" s="162">
        <v>23294</v>
      </c>
      <c r="B470" s="163">
        <v>4.1100000000000003</v>
      </c>
      <c r="C470" s="163"/>
      <c r="D470" s="163"/>
      <c r="E470" s="166">
        <f t="shared" si="7"/>
        <v>1991</v>
      </c>
      <c r="F470" s="157">
        <v>33512</v>
      </c>
      <c r="G470" s="158" t="e">
        <f>NA()</f>
        <v>#N/A</v>
      </c>
      <c r="J470" s="157">
        <v>25885</v>
      </c>
      <c r="K470" s="158">
        <v>6.68</v>
      </c>
    </row>
    <row r="471" spans="1:11" x14ac:dyDescent="0.25">
      <c r="A471" s="162">
        <v>23295</v>
      </c>
      <c r="B471" s="163">
        <v>4.1100000000000003</v>
      </c>
      <c r="C471" s="163"/>
      <c r="D471" s="163"/>
      <c r="E471" s="166">
        <f t="shared" si="7"/>
        <v>1991</v>
      </c>
      <c r="F471" s="157">
        <v>33543</v>
      </c>
      <c r="G471" s="158" t="e">
        <f>NA()</f>
        <v>#N/A</v>
      </c>
      <c r="J471" s="157">
        <v>25892</v>
      </c>
      <c r="K471" s="158">
        <v>6.58</v>
      </c>
    </row>
    <row r="472" spans="1:11" x14ac:dyDescent="0.25">
      <c r="A472" s="162">
        <v>23298</v>
      </c>
      <c r="B472" s="163">
        <v>4.1100000000000003</v>
      </c>
      <c r="C472" s="163"/>
      <c r="D472" s="163"/>
      <c r="E472" s="166">
        <f t="shared" si="7"/>
        <v>1991</v>
      </c>
      <c r="F472" s="157">
        <v>33573</v>
      </c>
      <c r="G472" s="158" t="e">
        <f>NA()</f>
        <v>#N/A</v>
      </c>
      <c r="J472" s="157">
        <v>25899</v>
      </c>
      <c r="K472" s="158">
        <v>6.32</v>
      </c>
    </row>
    <row r="473" spans="1:11" x14ac:dyDescent="0.25">
      <c r="A473" s="162">
        <v>23299</v>
      </c>
      <c r="B473" s="163">
        <v>4.12</v>
      </c>
      <c r="C473" s="163"/>
      <c r="D473" s="163"/>
      <c r="E473" s="166">
        <f t="shared" si="7"/>
        <v>1992</v>
      </c>
      <c r="F473" s="157">
        <v>33604</v>
      </c>
      <c r="G473" s="158" t="e">
        <f>NA()</f>
        <v>#N/A</v>
      </c>
      <c r="J473" s="157">
        <v>25906</v>
      </c>
      <c r="K473" s="158">
        <v>6.28</v>
      </c>
    </row>
    <row r="474" spans="1:11" x14ac:dyDescent="0.25">
      <c r="A474" s="162">
        <v>23300</v>
      </c>
      <c r="B474" s="163">
        <v>4.12</v>
      </c>
      <c r="C474" s="163"/>
      <c r="D474" s="163"/>
      <c r="E474" s="166">
        <f t="shared" si="7"/>
        <v>1992</v>
      </c>
      <c r="F474" s="157">
        <v>33635</v>
      </c>
      <c r="G474" s="158" t="e">
        <f>NA()</f>
        <v>#N/A</v>
      </c>
      <c r="J474" s="157">
        <v>25913</v>
      </c>
      <c r="K474" s="158">
        <v>6.23</v>
      </c>
    </row>
    <row r="475" spans="1:11" x14ac:dyDescent="0.25">
      <c r="A475" s="162">
        <v>23301</v>
      </c>
      <c r="B475" s="163">
        <v>4.13</v>
      </c>
      <c r="C475" s="163"/>
      <c r="D475" s="163"/>
      <c r="E475" s="166">
        <f t="shared" si="7"/>
        <v>1992</v>
      </c>
      <c r="F475" s="157">
        <v>33664</v>
      </c>
      <c r="G475" s="158" t="e">
        <f>NA()</f>
        <v>#N/A</v>
      </c>
      <c r="J475" s="157">
        <v>25920</v>
      </c>
      <c r="K475" s="158">
        <v>6.17</v>
      </c>
    </row>
    <row r="476" spans="1:11" x14ac:dyDescent="0.25">
      <c r="A476" s="162">
        <v>23302</v>
      </c>
      <c r="B476" s="163">
        <v>4.13</v>
      </c>
      <c r="C476" s="163"/>
      <c r="D476" s="163"/>
      <c r="E476" s="166">
        <f t="shared" si="7"/>
        <v>1992</v>
      </c>
      <c r="F476" s="157">
        <v>33695</v>
      </c>
      <c r="G476" s="158" t="e">
        <f>NA()</f>
        <v>#N/A</v>
      </c>
      <c r="J476" s="157">
        <v>25927</v>
      </c>
      <c r="K476" s="158">
        <v>6.34</v>
      </c>
    </row>
    <row r="477" spans="1:11" x14ac:dyDescent="0.25">
      <c r="A477" s="162">
        <v>23305</v>
      </c>
      <c r="B477" s="163">
        <v>4.13</v>
      </c>
      <c r="C477" s="163"/>
      <c r="D477" s="163"/>
      <c r="E477" s="166">
        <f t="shared" si="7"/>
        <v>1992</v>
      </c>
      <c r="F477" s="157">
        <v>33725</v>
      </c>
      <c r="G477" s="158" t="e">
        <f>NA()</f>
        <v>#N/A</v>
      </c>
      <c r="J477" s="157">
        <v>25934</v>
      </c>
      <c r="K477" s="158">
        <v>6.44</v>
      </c>
    </row>
    <row r="478" spans="1:11" x14ac:dyDescent="0.25">
      <c r="A478" s="162">
        <v>23306</v>
      </c>
      <c r="B478" s="164">
        <v>4.13</v>
      </c>
      <c r="C478" s="164"/>
      <c r="D478" s="164"/>
      <c r="E478" s="166">
        <f t="shared" si="7"/>
        <v>1992</v>
      </c>
      <c r="F478" s="157">
        <v>33756</v>
      </c>
      <c r="G478" s="158" t="e">
        <f>NA()</f>
        <v>#N/A</v>
      </c>
      <c r="J478" s="157">
        <v>25941</v>
      </c>
      <c r="K478" s="158">
        <v>6.36</v>
      </c>
    </row>
    <row r="479" spans="1:11" x14ac:dyDescent="0.25">
      <c r="A479" s="162">
        <v>23307</v>
      </c>
      <c r="B479" s="163">
        <v>4.13</v>
      </c>
      <c r="C479" s="163"/>
      <c r="D479" s="163"/>
      <c r="E479" s="166">
        <f t="shared" si="7"/>
        <v>1992</v>
      </c>
      <c r="F479" s="157">
        <v>33786</v>
      </c>
      <c r="G479" s="158" t="e">
        <f>NA()</f>
        <v>#N/A</v>
      </c>
      <c r="J479" s="157">
        <v>25948</v>
      </c>
      <c r="K479" s="158">
        <v>6.21</v>
      </c>
    </row>
    <row r="480" spans="1:11" x14ac:dyDescent="0.25">
      <c r="A480" s="162">
        <v>23308</v>
      </c>
      <c r="B480" s="163">
        <v>4.13</v>
      </c>
      <c r="C480" s="163"/>
      <c r="D480" s="163"/>
      <c r="E480" s="166">
        <f t="shared" si="7"/>
        <v>1992</v>
      </c>
      <c r="F480" s="157">
        <v>33817</v>
      </c>
      <c r="G480" s="158" t="e">
        <f>NA()</f>
        <v>#N/A</v>
      </c>
      <c r="J480" s="157">
        <v>25955</v>
      </c>
      <c r="K480" s="158">
        <v>6.09</v>
      </c>
    </row>
    <row r="481" spans="1:11" x14ac:dyDescent="0.25">
      <c r="A481" s="162">
        <v>23309</v>
      </c>
      <c r="B481" s="163">
        <v>4.13</v>
      </c>
      <c r="C481" s="163"/>
      <c r="D481" s="163"/>
      <c r="E481" s="166">
        <f t="shared" si="7"/>
        <v>1992</v>
      </c>
      <c r="F481" s="157">
        <v>33848</v>
      </c>
      <c r="G481" s="158" t="e">
        <f>NA()</f>
        <v>#N/A</v>
      </c>
      <c r="J481" s="157">
        <v>25962</v>
      </c>
      <c r="K481" s="158">
        <v>6.05</v>
      </c>
    </row>
    <row r="482" spans="1:11" x14ac:dyDescent="0.25">
      <c r="A482" s="162">
        <v>23312</v>
      </c>
      <c r="B482" s="163">
        <v>4.13</v>
      </c>
      <c r="C482" s="163"/>
      <c r="D482" s="163"/>
      <c r="E482" s="166">
        <f t="shared" si="7"/>
        <v>1992</v>
      </c>
      <c r="F482" s="157">
        <v>33878</v>
      </c>
      <c r="G482" s="158" t="e">
        <f>NA()</f>
        <v>#N/A</v>
      </c>
      <c r="J482" s="157">
        <v>25969</v>
      </c>
      <c r="K482" s="158">
        <v>6.1</v>
      </c>
    </row>
    <row r="483" spans="1:11" x14ac:dyDescent="0.25">
      <c r="A483" s="162">
        <v>23313</v>
      </c>
      <c r="B483" s="163">
        <v>4.1399999999999997</v>
      </c>
      <c r="C483" s="163"/>
      <c r="D483" s="163"/>
      <c r="E483" s="166">
        <f t="shared" si="7"/>
        <v>1992</v>
      </c>
      <c r="F483" s="157">
        <v>33909</v>
      </c>
      <c r="G483" s="158" t="e">
        <f>NA()</f>
        <v>#N/A</v>
      </c>
      <c r="J483" s="157">
        <v>25976</v>
      </c>
      <c r="K483" s="158">
        <v>6.08</v>
      </c>
    </row>
    <row r="484" spans="1:11" x14ac:dyDescent="0.25">
      <c r="A484" s="162">
        <v>23314</v>
      </c>
      <c r="B484" s="163">
        <v>4.1399999999999997</v>
      </c>
      <c r="C484" s="163"/>
      <c r="D484" s="163"/>
      <c r="E484" s="166">
        <f t="shared" si="7"/>
        <v>1992</v>
      </c>
      <c r="F484" s="157">
        <v>33939</v>
      </c>
      <c r="G484" s="158" t="e">
        <f>NA()</f>
        <v>#N/A</v>
      </c>
      <c r="J484" s="157">
        <v>25983</v>
      </c>
      <c r="K484" s="158">
        <v>6.14</v>
      </c>
    </row>
    <row r="485" spans="1:11" x14ac:dyDescent="0.25">
      <c r="A485" s="162">
        <v>23315</v>
      </c>
      <c r="B485" s="163">
        <v>4.1500000000000004</v>
      </c>
      <c r="C485" s="163"/>
      <c r="D485" s="163"/>
      <c r="E485" s="166">
        <f t="shared" si="7"/>
        <v>1993</v>
      </c>
      <c r="F485" s="157">
        <v>33970</v>
      </c>
      <c r="G485" s="158" t="e">
        <f>NA()</f>
        <v>#N/A</v>
      </c>
      <c r="J485" s="157">
        <v>25990</v>
      </c>
      <c r="K485" s="158">
        <v>6.22</v>
      </c>
    </row>
    <row r="486" spans="1:11" x14ac:dyDescent="0.25">
      <c r="A486" s="162">
        <v>23316</v>
      </c>
      <c r="B486" s="163">
        <v>4.16</v>
      </c>
      <c r="C486" s="163"/>
      <c r="D486" s="163"/>
      <c r="E486" s="166">
        <f t="shared" si="7"/>
        <v>1993</v>
      </c>
      <c r="F486" s="157">
        <v>34001</v>
      </c>
      <c r="G486" s="158" t="e">
        <f>NA()</f>
        <v>#N/A</v>
      </c>
      <c r="J486" s="157">
        <v>25997</v>
      </c>
      <c r="K486" s="158">
        <v>6.2</v>
      </c>
    </row>
    <row r="487" spans="1:11" x14ac:dyDescent="0.25">
      <c r="A487" s="162">
        <v>23319</v>
      </c>
      <c r="B487" s="163">
        <v>4.16</v>
      </c>
      <c r="C487" s="163"/>
      <c r="D487" s="163"/>
      <c r="E487" s="166">
        <f t="shared" si="7"/>
        <v>1993</v>
      </c>
      <c r="F487" s="157">
        <v>34029</v>
      </c>
      <c r="G487" s="158" t="e">
        <f>NA()</f>
        <v>#N/A</v>
      </c>
      <c r="J487" s="157">
        <v>26004</v>
      </c>
      <c r="K487" s="158">
        <v>6.02</v>
      </c>
    </row>
    <row r="488" spans="1:11" x14ac:dyDescent="0.25">
      <c r="A488" s="162">
        <v>23320</v>
      </c>
      <c r="B488" s="163" t="e">
        <f>NA()</f>
        <v>#N/A</v>
      </c>
      <c r="C488" s="163"/>
      <c r="D488" s="163"/>
      <c r="E488" s="166">
        <f t="shared" si="7"/>
        <v>1993</v>
      </c>
      <c r="F488" s="157">
        <v>34060</v>
      </c>
      <c r="G488" s="158" t="e">
        <f>NA()</f>
        <v>#N/A</v>
      </c>
      <c r="J488" s="157">
        <v>26011</v>
      </c>
      <c r="K488" s="158">
        <v>5.87</v>
      </c>
    </row>
    <row r="489" spans="1:11" x14ac:dyDescent="0.25">
      <c r="A489" s="162">
        <v>23321</v>
      </c>
      <c r="B489" s="163">
        <v>4.18</v>
      </c>
      <c r="C489" s="163"/>
      <c r="D489" s="163"/>
      <c r="E489" s="166">
        <f t="shared" si="7"/>
        <v>1993</v>
      </c>
      <c r="F489" s="157">
        <v>34090</v>
      </c>
      <c r="G489" s="158" t="e">
        <f>NA()</f>
        <v>#N/A</v>
      </c>
      <c r="J489" s="157">
        <v>26018</v>
      </c>
      <c r="K489" s="158">
        <v>5.73</v>
      </c>
    </row>
    <row r="490" spans="1:11" x14ac:dyDescent="0.25">
      <c r="A490" s="162">
        <v>23322</v>
      </c>
      <c r="B490" s="163">
        <v>4.18</v>
      </c>
      <c r="C490" s="163"/>
      <c r="D490" s="163"/>
      <c r="E490" s="166">
        <f t="shared" si="7"/>
        <v>1993</v>
      </c>
      <c r="F490" s="157">
        <v>34121</v>
      </c>
      <c r="G490" s="158" t="e">
        <f>NA()</f>
        <v>#N/A</v>
      </c>
      <c r="J490" s="157">
        <v>26025</v>
      </c>
      <c r="K490" s="158">
        <v>5.84</v>
      </c>
    </row>
    <row r="491" spans="1:11" x14ac:dyDescent="0.25">
      <c r="A491" s="162">
        <v>23323</v>
      </c>
      <c r="B491" s="163">
        <v>4.17</v>
      </c>
      <c r="C491" s="163"/>
      <c r="D491" s="163"/>
      <c r="E491" s="166">
        <f t="shared" si="7"/>
        <v>1993</v>
      </c>
      <c r="F491" s="157">
        <v>34151</v>
      </c>
      <c r="G491" s="158" t="e">
        <f>NA()</f>
        <v>#N/A</v>
      </c>
      <c r="J491" s="157">
        <v>26032</v>
      </c>
      <c r="K491" s="158">
        <v>5.87</v>
      </c>
    </row>
    <row r="492" spans="1:11" x14ac:dyDescent="0.25">
      <c r="A492" s="162">
        <v>23326</v>
      </c>
      <c r="B492" s="163" t="e">
        <f>NA()</f>
        <v>#N/A</v>
      </c>
      <c r="C492" s="163"/>
      <c r="D492" s="163"/>
      <c r="E492" s="166">
        <f t="shared" si="7"/>
        <v>1993</v>
      </c>
      <c r="F492" s="157">
        <v>34182</v>
      </c>
      <c r="G492" s="158" t="e">
        <f>NA()</f>
        <v>#N/A</v>
      </c>
      <c r="J492" s="157">
        <v>26039</v>
      </c>
      <c r="K492" s="158">
        <v>5.96</v>
      </c>
    </row>
    <row r="493" spans="1:11" x14ac:dyDescent="0.25">
      <c r="A493" s="162">
        <v>23327</v>
      </c>
      <c r="B493" s="163">
        <v>4.17</v>
      </c>
      <c r="C493" s="163"/>
      <c r="D493" s="163"/>
      <c r="E493" s="166">
        <f t="shared" si="7"/>
        <v>1993</v>
      </c>
      <c r="F493" s="157">
        <v>34213</v>
      </c>
      <c r="G493" s="158" t="e">
        <f>NA()</f>
        <v>#N/A</v>
      </c>
      <c r="J493" s="157">
        <v>26046</v>
      </c>
      <c r="K493" s="158">
        <v>6.1</v>
      </c>
    </row>
    <row r="494" spans="1:11" x14ac:dyDescent="0.25">
      <c r="A494" s="162">
        <v>23328</v>
      </c>
      <c r="B494" s="163">
        <v>4.17</v>
      </c>
      <c r="C494" s="163"/>
      <c r="D494" s="163"/>
      <c r="E494" s="166">
        <f t="shared" si="7"/>
        <v>1993</v>
      </c>
      <c r="F494" s="157">
        <v>34243</v>
      </c>
      <c r="G494" s="158">
        <v>6.07</v>
      </c>
      <c r="J494" s="157">
        <v>26053</v>
      </c>
      <c r="K494" s="158">
        <v>6.11</v>
      </c>
    </row>
    <row r="495" spans="1:11" x14ac:dyDescent="0.25">
      <c r="A495" s="162">
        <v>23329</v>
      </c>
      <c r="B495" s="163">
        <v>4.1500000000000004</v>
      </c>
      <c r="C495" s="163"/>
      <c r="D495" s="163"/>
      <c r="E495" s="166">
        <f t="shared" si="7"/>
        <v>1993</v>
      </c>
      <c r="F495" s="157">
        <v>34274</v>
      </c>
      <c r="G495" s="158">
        <v>6.38</v>
      </c>
      <c r="J495" s="157">
        <v>26060</v>
      </c>
      <c r="K495" s="158">
        <v>6.25</v>
      </c>
    </row>
    <row r="496" spans="1:11" x14ac:dyDescent="0.25">
      <c r="A496" s="162">
        <v>23330</v>
      </c>
      <c r="B496" s="163">
        <v>4.1500000000000004</v>
      </c>
      <c r="C496" s="163"/>
      <c r="D496" s="163"/>
      <c r="E496" s="166">
        <f t="shared" si="7"/>
        <v>1993</v>
      </c>
      <c r="F496" s="157">
        <v>34304</v>
      </c>
      <c r="G496" s="158">
        <v>6.4</v>
      </c>
      <c r="J496" s="157">
        <v>26067</v>
      </c>
      <c r="K496" s="158">
        <v>6.33</v>
      </c>
    </row>
    <row r="497" spans="1:11" x14ac:dyDescent="0.25">
      <c r="A497" s="162">
        <v>23333</v>
      </c>
      <c r="B497" s="163">
        <v>4.1500000000000004</v>
      </c>
      <c r="C497" s="163"/>
      <c r="D497" s="163"/>
      <c r="E497" s="166">
        <f t="shared" si="7"/>
        <v>1994</v>
      </c>
      <c r="F497" s="157">
        <v>34335</v>
      </c>
      <c r="G497" s="158">
        <v>6.39</v>
      </c>
      <c r="J497" s="157">
        <v>26074</v>
      </c>
      <c r="K497" s="158">
        <v>6.42</v>
      </c>
    </row>
    <row r="498" spans="1:11" x14ac:dyDescent="0.25">
      <c r="A498" s="162">
        <v>23334</v>
      </c>
      <c r="B498" s="163">
        <v>4.1500000000000004</v>
      </c>
      <c r="C498" s="163"/>
      <c r="D498" s="163"/>
      <c r="E498" s="166">
        <f t="shared" si="7"/>
        <v>1994</v>
      </c>
      <c r="F498" s="157">
        <v>34366</v>
      </c>
      <c r="G498" s="158">
        <v>6.57</v>
      </c>
      <c r="J498" s="157">
        <v>26081</v>
      </c>
      <c r="K498" s="158">
        <v>6.29</v>
      </c>
    </row>
    <row r="499" spans="1:11" x14ac:dyDescent="0.25">
      <c r="A499" s="162">
        <v>23335</v>
      </c>
      <c r="B499" s="163">
        <v>4.1500000000000004</v>
      </c>
      <c r="C499" s="163"/>
      <c r="D499" s="163"/>
      <c r="E499" s="166">
        <f t="shared" si="7"/>
        <v>1994</v>
      </c>
      <c r="F499" s="157">
        <v>34394</v>
      </c>
      <c r="G499" s="158">
        <v>7</v>
      </c>
      <c r="J499" s="157">
        <v>26088</v>
      </c>
      <c r="K499" s="158">
        <v>6.19</v>
      </c>
    </row>
    <row r="500" spans="1:11" x14ac:dyDescent="0.25">
      <c r="A500" s="162">
        <v>23336</v>
      </c>
      <c r="B500" s="163">
        <v>4.1500000000000004</v>
      </c>
      <c r="C500" s="163"/>
      <c r="D500" s="163"/>
      <c r="E500" s="166">
        <f t="shared" si="7"/>
        <v>1994</v>
      </c>
      <c r="F500" s="157">
        <v>34425</v>
      </c>
      <c r="G500" s="158">
        <v>7.4</v>
      </c>
      <c r="J500" s="157">
        <v>26095</v>
      </c>
      <c r="K500" s="158">
        <v>6.32</v>
      </c>
    </row>
    <row r="501" spans="1:11" x14ac:dyDescent="0.25">
      <c r="A501" s="162">
        <v>23337</v>
      </c>
      <c r="B501" s="163">
        <v>4.1500000000000004</v>
      </c>
      <c r="C501" s="163"/>
      <c r="D501" s="163"/>
      <c r="E501" s="166">
        <f t="shared" si="7"/>
        <v>1994</v>
      </c>
      <c r="F501" s="157">
        <v>34455</v>
      </c>
      <c r="G501" s="158">
        <v>7.54</v>
      </c>
      <c r="J501" s="157">
        <v>26102</v>
      </c>
      <c r="K501" s="158">
        <v>6.51</v>
      </c>
    </row>
    <row r="502" spans="1:11" x14ac:dyDescent="0.25">
      <c r="A502" s="162">
        <v>23340</v>
      </c>
      <c r="B502" s="163" t="e">
        <f>NA()</f>
        <v>#N/A</v>
      </c>
      <c r="C502" s="163"/>
      <c r="D502" s="163"/>
      <c r="E502" s="166">
        <f t="shared" si="7"/>
        <v>1994</v>
      </c>
      <c r="F502" s="157">
        <v>34486</v>
      </c>
      <c r="G502" s="158">
        <v>7.51</v>
      </c>
      <c r="J502" s="157">
        <v>26109</v>
      </c>
      <c r="K502" s="158">
        <v>6.44</v>
      </c>
    </row>
    <row r="503" spans="1:11" x14ac:dyDescent="0.25">
      <c r="A503" s="162">
        <v>23341</v>
      </c>
      <c r="B503" s="163">
        <v>4.1500000000000004</v>
      </c>
      <c r="C503" s="163"/>
      <c r="D503" s="163"/>
      <c r="E503" s="166">
        <f t="shared" si="7"/>
        <v>1994</v>
      </c>
      <c r="F503" s="157">
        <v>34516</v>
      </c>
      <c r="G503" s="158">
        <v>7.67</v>
      </c>
      <c r="J503" s="157">
        <v>26116</v>
      </c>
      <c r="K503" s="158">
        <v>6.44</v>
      </c>
    </row>
    <row r="504" spans="1:11" x14ac:dyDescent="0.25">
      <c r="A504" s="162">
        <v>23342</v>
      </c>
      <c r="B504" s="163">
        <v>4.1500000000000004</v>
      </c>
      <c r="C504" s="163"/>
      <c r="D504" s="163"/>
      <c r="E504" s="166">
        <f t="shared" si="7"/>
        <v>1994</v>
      </c>
      <c r="F504" s="157">
        <v>34547</v>
      </c>
      <c r="G504" s="158">
        <v>7.62</v>
      </c>
      <c r="J504" s="157">
        <v>26123</v>
      </c>
      <c r="K504" s="158">
        <v>6.38</v>
      </c>
    </row>
    <row r="505" spans="1:11" x14ac:dyDescent="0.25">
      <c r="A505" s="162">
        <v>23343</v>
      </c>
      <c r="B505" s="163" t="e">
        <f>NA()</f>
        <v>#N/A</v>
      </c>
      <c r="C505" s="163"/>
      <c r="D505" s="163"/>
      <c r="E505" s="166">
        <f t="shared" si="7"/>
        <v>1994</v>
      </c>
      <c r="F505" s="157">
        <v>34578</v>
      </c>
      <c r="G505" s="158">
        <v>7.87</v>
      </c>
      <c r="J505" s="157">
        <v>26130</v>
      </c>
      <c r="K505" s="158">
        <v>6.3</v>
      </c>
    </row>
    <row r="506" spans="1:11" x14ac:dyDescent="0.25">
      <c r="A506" s="162">
        <v>23344</v>
      </c>
      <c r="B506" s="163">
        <v>4.1500000000000004</v>
      </c>
      <c r="C506" s="163"/>
      <c r="D506" s="163"/>
      <c r="E506" s="166">
        <f t="shared" si="7"/>
        <v>1994</v>
      </c>
      <c r="F506" s="157">
        <v>34608</v>
      </c>
      <c r="G506" s="158">
        <v>8.08</v>
      </c>
      <c r="J506" s="157">
        <v>26137</v>
      </c>
      <c r="K506" s="158">
        <v>6.39</v>
      </c>
    </row>
    <row r="507" spans="1:11" x14ac:dyDescent="0.25">
      <c r="A507" s="162">
        <v>23347</v>
      </c>
      <c r="B507" s="163">
        <v>4.17</v>
      </c>
      <c r="C507" s="163"/>
      <c r="D507" s="163"/>
      <c r="E507" s="166">
        <f t="shared" si="7"/>
        <v>1994</v>
      </c>
      <c r="F507" s="157">
        <v>34639</v>
      </c>
      <c r="G507" s="158">
        <v>8.1999999999999993</v>
      </c>
      <c r="J507" s="157">
        <v>26144</v>
      </c>
      <c r="K507" s="158">
        <v>6.45</v>
      </c>
    </row>
    <row r="508" spans="1:11" x14ac:dyDescent="0.25">
      <c r="A508" s="162">
        <v>23348</v>
      </c>
      <c r="B508" s="163">
        <v>4.17</v>
      </c>
      <c r="C508" s="163"/>
      <c r="D508" s="163"/>
      <c r="E508" s="166">
        <f t="shared" si="7"/>
        <v>1994</v>
      </c>
      <c r="F508" s="157">
        <v>34669</v>
      </c>
      <c r="G508" s="158">
        <v>7.99</v>
      </c>
      <c r="J508" s="157">
        <v>26151</v>
      </c>
      <c r="K508" s="158">
        <v>6.44</v>
      </c>
    </row>
    <row r="509" spans="1:11" x14ac:dyDescent="0.25">
      <c r="A509" s="162">
        <v>23349</v>
      </c>
      <c r="B509" s="164">
        <v>4.17</v>
      </c>
      <c r="C509" s="164"/>
      <c r="D509" s="164"/>
      <c r="E509" s="166">
        <f t="shared" si="7"/>
        <v>1995</v>
      </c>
      <c r="F509" s="157">
        <v>34700</v>
      </c>
      <c r="G509" s="158">
        <v>7.97</v>
      </c>
      <c r="J509" s="157">
        <v>26158</v>
      </c>
      <c r="K509" s="158">
        <v>6.41</v>
      </c>
    </row>
    <row r="510" spans="1:11" x14ac:dyDescent="0.25">
      <c r="A510" s="162">
        <v>23350</v>
      </c>
      <c r="B510" s="163">
        <v>4.17</v>
      </c>
      <c r="C510" s="163"/>
      <c r="D510" s="163"/>
      <c r="E510" s="166">
        <f t="shared" si="7"/>
        <v>1995</v>
      </c>
      <c r="F510" s="157">
        <v>34731</v>
      </c>
      <c r="G510" s="158">
        <v>7.73</v>
      </c>
      <c r="J510" s="157">
        <v>26165</v>
      </c>
      <c r="K510" s="158">
        <v>6.12</v>
      </c>
    </row>
    <row r="511" spans="1:11" x14ac:dyDescent="0.25">
      <c r="A511" s="162">
        <v>23351</v>
      </c>
      <c r="B511" s="163">
        <v>4.17</v>
      </c>
      <c r="C511" s="163"/>
      <c r="D511" s="163"/>
      <c r="E511" s="166">
        <f t="shared" si="7"/>
        <v>1995</v>
      </c>
      <c r="F511" s="157">
        <v>34759</v>
      </c>
      <c r="G511" s="158">
        <v>7.57</v>
      </c>
      <c r="J511" s="157">
        <v>26172</v>
      </c>
      <c r="K511" s="158">
        <v>6.19</v>
      </c>
    </row>
    <row r="512" spans="1:11" x14ac:dyDescent="0.25">
      <c r="A512" s="162">
        <v>23354</v>
      </c>
      <c r="B512" s="163">
        <v>4.17</v>
      </c>
      <c r="C512" s="163"/>
      <c r="D512" s="163"/>
      <c r="E512" s="166">
        <f t="shared" si="7"/>
        <v>1995</v>
      </c>
      <c r="F512" s="157">
        <v>34790</v>
      </c>
      <c r="G512" s="158">
        <v>7.45</v>
      </c>
      <c r="J512" s="157">
        <v>26179</v>
      </c>
      <c r="K512" s="158">
        <v>6.06</v>
      </c>
    </row>
    <row r="513" spans="1:11" x14ac:dyDescent="0.25">
      <c r="A513" s="162">
        <v>23355</v>
      </c>
      <c r="B513" s="163">
        <v>4.17</v>
      </c>
      <c r="C513" s="163"/>
      <c r="D513" s="163"/>
      <c r="E513" s="166">
        <f t="shared" si="7"/>
        <v>1995</v>
      </c>
      <c r="F513" s="157">
        <v>34820</v>
      </c>
      <c r="G513" s="158">
        <v>7.01</v>
      </c>
      <c r="J513" s="157">
        <v>26186</v>
      </c>
      <c r="K513" s="158">
        <v>5.99</v>
      </c>
    </row>
    <row r="514" spans="1:11" x14ac:dyDescent="0.25">
      <c r="A514" s="162">
        <v>23356</v>
      </c>
      <c r="B514" s="163">
        <v>4.18</v>
      </c>
      <c r="C514" s="163"/>
      <c r="D514" s="163"/>
      <c r="E514" s="166">
        <f t="shared" si="7"/>
        <v>1995</v>
      </c>
      <c r="F514" s="157">
        <v>34851</v>
      </c>
      <c r="G514" s="158">
        <v>6.59</v>
      </c>
      <c r="J514" s="157">
        <v>26193</v>
      </c>
      <c r="K514" s="158">
        <v>6.08</v>
      </c>
    </row>
    <row r="515" spans="1:11" x14ac:dyDescent="0.25">
      <c r="A515" s="162">
        <v>23357</v>
      </c>
      <c r="B515" s="163">
        <v>4.1900000000000004</v>
      </c>
      <c r="C515" s="163"/>
      <c r="D515" s="163"/>
      <c r="E515" s="166">
        <f t="shared" si="7"/>
        <v>1995</v>
      </c>
      <c r="F515" s="157">
        <v>34881</v>
      </c>
      <c r="G515" s="158">
        <v>6.74</v>
      </c>
      <c r="J515" s="157">
        <v>26200</v>
      </c>
      <c r="K515" s="158">
        <v>6.09</v>
      </c>
    </row>
    <row r="516" spans="1:11" x14ac:dyDescent="0.25">
      <c r="A516" s="162">
        <v>23358</v>
      </c>
      <c r="B516" s="163">
        <v>4.1900000000000004</v>
      </c>
      <c r="C516" s="163"/>
      <c r="D516" s="163"/>
      <c r="E516" s="166">
        <f t="shared" si="7"/>
        <v>1995</v>
      </c>
      <c r="F516" s="157">
        <v>34912</v>
      </c>
      <c r="G516" s="158">
        <v>6.92</v>
      </c>
      <c r="J516" s="157">
        <v>26207</v>
      </c>
      <c r="K516" s="158">
        <v>6.01</v>
      </c>
    </row>
    <row r="517" spans="1:11" x14ac:dyDescent="0.25">
      <c r="A517" s="162">
        <v>23361</v>
      </c>
      <c r="B517" s="163">
        <v>4.2</v>
      </c>
      <c r="C517" s="163"/>
      <c r="D517" s="163"/>
      <c r="E517" s="166">
        <f t="shared" si="7"/>
        <v>1995</v>
      </c>
      <c r="F517" s="157">
        <v>34943</v>
      </c>
      <c r="G517" s="158">
        <v>6.65</v>
      </c>
      <c r="J517" s="157">
        <v>26214</v>
      </c>
      <c r="K517" s="158">
        <v>5.95</v>
      </c>
    </row>
    <row r="518" spans="1:11" x14ac:dyDescent="0.25">
      <c r="A518" s="162">
        <v>23362</v>
      </c>
      <c r="B518" s="163">
        <v>4.21</v>
      </c>
      <c r="C518" s="163"/>
      <c r="D518" s="163"/>
      <c r="E518" s="166">
        <f t="shared" si="7"/>
        <v>1995</v>
      </c>
      <c r="F518" s="157">
        <v>34973</v>
      </c>
      <c r="G518" s="158">
        <v>6.45</v>
      </c>
      <c r="J518" s="157">
        <v>26221</v>
      </c>
      <c r="K518" s="158">
        <v>5.9</v>
      </c>
    </row>
    <row r="519" spans="1:11" x14ac:dyDescent="0.25">
      <c r="A519" s="162">
        <v>23363</v>
      </c>
      <c r="B519" s="163">
        <v>4.21</v>
      </c>
      <c r="C519" s="163"/>
      <c r="D519" s="163"/>
      <c r="E519" s="166">
        <f t="shared" si="7"/>
        <v>1995</v>
      </c>
      <c r="F519" s="157">
        <v>35004</v>
      </c>
      <c r="G519" s="158">
        <v>6.33</v>
      </c>
      <c r="J519" s="157">
        <v>26228</v>
      </c>
      <c r="K519" s="158">
        <v>5.93</v>
      </c>
    </row>
    <row r="520" spans="1:11" x14ac:dyDescent="0.25">
      <c r="A520" s="162">
        <v>23364</v>
      </c>
      <c r="B520" s="163">
        <v>4.21</v>
      </c>
      <c r="C520" s="163"/>
      <c r="D520" s="163"/>
      <c r="E520" s="166">
        <f t="shared" si="7"/>
        <v>1995</v>
      </c>
      <c r="F520" s="157">
        <v>35034</v>
      </c>
      <c r="G520" s="158">
        <v>6.12</v>
      </c>
      <c r="J520" s="157">
        <v>26235</v>
      </c>
      <c r="K520" s="158">
        <v>5.89</v>
      </c>
    </row>
    <row r="521" spans="1:11" x14ac:dyDescent="0.25">
      <c r="A521" s="162">
        <v>23365</v>
      </c>
      <c r="B521" s="163">
        <v>4.22</v>
      </c>
      <c r="C521" s="163"/>
      <c r="D521" s="163"/>
      <c r="E521" s="166">
        <f t="shared" ref="E521:E584" si="8">YEAR(F521)</f>
        <v>1996</v>
      </c>
      <c r="F521" s="157">
        <v>35065</v>
      </c>
      <c r="G521" s="158">
        <v>6.11</v>
      </c>
      <c r="J521" s="157">
        <v>26242</v>
      </c>
      <c r="K521" s="158">
        <v>5.79</v>
      </c>
    </row>
    <row r="522" spans="1:11" x14ac:dyDescent="0.25">
      <c r="A522" s="162">
        <v>23368</v>
      </c>
      <c r="B522" s="163">
        <v>4.22</v>
      </c>
      <c r="C522" s="163"/>
      <c r="D522" s="163"/>
      <c r="E522" s="166">
        <f t="shared" si="8"/>
        <v>1996</v>
      </c>
      <c r="F522" s="157">
        <v>35096</v>
      </c>
      <c r="G522" s="158">
        <v>6.3</v>
      </c>
      <c r="J522" s="157">
        <v>26249</v>
      </c>
      <c r="K522" s="158">
        <v>5.84</v>
      </c>
    </row>
    <row r="523" spans="1:11" x14ac:dyDescent="0.25">
      <c r="A523" s="162">
        <v>23369</v>
      </c>
      <c r="B523" s="163">
        <v>4.22</v>
      </c>
      <c r="C523" s="163"/>
      <c r="D523" s="163"/>
      <c r="E523" s="166">
        <f t="shared" si="8"/>
        <v>1996</v>
      </c>
      <c r="F523" s="157">
        <v>35125</v>
      </c>
      <c r="G523" s="158">
        <v>6.74</v>
      </c>
      <c r="J523" s="157">
        <v>26256</v>
      </c>
      <c r="K523" s="158">
        <v>5.83</v>
      </c>
    </row>
    <row r="524" spans="1:11" x14ac:dyDescent="0.25">
      <c r="A524" s="162">
        <v>23370</v>
      </c>
      <c r="B524" s="163" t="e">
        <f>NA()</f>
        <v>#N/A</v>
      </c>
      <c r="C524" s="163"/>
      <c r="D524" s="163"/>
      <c r="E524" s="166">
        <f t="shared" si="8"/>
        <v>1996</v>
      </c>
      <c r="F524" s="157">
        <v>35156</v>
      </c>
      <c r="G524" s="158">
        <v>6.98</v>
      </c>
      <c r="J524" s="157">
        <v>26263</v>
      </c>
      <c r="K524" s="158">
        <v>5.93</v>
      </c>
    </row>
    <row r="525" spans="1:11" x14ac:dyDescent="0.25">
      <c r="A525" s="162">
        <v>23371</v>
      </c>
      <c r="B525" s="163">
        <v>4.21</v>
      </c>
      <c r="C525" s="163"/>
      <c r="D525" s="163"/>
      <c r="E525" s="166">
        <f t="shared" si="8"/>
        <v>1996</v>
      </c>
      <c r="F525" s="157">
        <v>35186</v>
      </c>
      <c r="G525" s="158">
        <v>7.11</v>
      </c>
      <c r="J525" s="157">
        <v>26270</v>
      </c>
      <c r="K525" s="158">
        <v>5.96</v>
      </c>
    </row>
    <row r="526" spans="1:11" x14ac:dyDescent="0.25">
      <c r="A526" s="162">
        <v>23372</v>
      </c>
      <c r="B526" s="163">
        <v>4.2</v>
      </c>
      <c r="C526" s="163"/>
      <c r="D526" s="163"/>
      <c r="E526" s="166">
        <f t="shared" si="8"/>
        <v>1996</v>
      </c>
      <c r="F526" s="157">
        <v>35217</v>
      </c>
      <c r="G526" s="158">
        <v>7.22</v>
      </c>
      <c r="J526" s="157">
        <v>26277</v>
      </c>
      <c r="K526" s="158">
        <v>5.98</v>
      </c>
    </row>
    <row r="527" spans="1:11" x14ac:dyDescent="0.25">
      <c r="A527" s="162">
        <v>23375</v>
      </c>
      <c r="B527" s="163">
        <v>4.1900000000000004</v>
      </c>
      <c r="C527" s="163"/>
      <c r="D527" s="163"/>
      <c r="E527" s="166">
        <f t="shared" si="8"/>
        <v>1996</v>
      </c>
      <c r="F527" s="157">
        <v>35247</v>
      </c>
      <c r="G527" s="158">
        <v>7.14</v>
      </c>
      <c r="J527" s="157">
        <v>26284</v>
      </c>
      <c r="K527" s="158">
        <v>6.01</v>
      </c>
    </row>
    <row r="528" spans="1:11" x14ac:dyDescent="0.25">
      <c r="A528" s="162">
        <v>23376</v>
      </c>
      <c r="B528" s="163">
        <v>4.1900000000000004</v>
      </c>
      <c r="C528" s="163"/>
      <c r="D528" s="163"/>
      <c r="E528" s="166">
        <f t="shared" si="8"/>
        <v>1996</v>
      </c>
      <c r="F528" s="157">
        <v>35278</v>
      </c>
      <c r="G528" s="158">
        <v>6.97</v>
      </c>
      <c r="J528" s="157">
        <v>26291</v>
      </c>
      <c r="K528" s="158">
        <v>6.07</v>
      </c>
    </row>
    <row r="529" spans="1:11" x14ac:dyDescent="0.25">
      <c r="A529" s="162">
        <v>23377</v>
      </c>
      <c r="B529" s="163" t="e">
        <f>NA()</f>
        <v>#N/A</v>
      </c>
      <c r="C529" s="163"/>
      <c r="D529" s="163"/>
      <c r="E529" s="166">
        <f t="shared" si="8"/>
        <v>1996</v>
      </c>
      <c r="F529" s="157">
        <v>35309</v>
      </c>
      <c r="G529" s="158">
        <v>7.17</v>
      </c>
      <c r="J529" s="157">
        <v>26298</v>
      </c>
      <c r="K529" s="158">
        <v>6</v>
      </c>
    </row>
    <row r="530" spans="1:11" x14ac:dyDescent="0.25">
      <c r="A530" s="162">
        <v>23378</v>
      </c>
      <c r="B530" s="163">
        <v>4.1900000000000004</v>
      </c>
      <c r="C530" s="163"/>
      <c r="D530" s="163"/>
      <c r="E530" s="166">
        <f t="shared" si="8"/>
        <v>1996</v>
      </c>
      <c r="F530" s="157">
        <v>35339</v>
      </c>
      <c r="G530" s="158">
        <v>6.9</v>
      </c>
      <c r="J530" s="157">
        <v>26305</v>
      </c>
      <c r="K530" s="158">
        <v>6.01</v>
      </c>
    </row>
    <row r="531" spans="1:11" x14ac:dyDescent="0.25">
      <c r="A531" s="162">
        <v>23379</v>
      </c>
      <c r="B531" s="163">
        <v>4.1900000000000004</v>
      </c>
      <c r="C531" s="163"/>
      <c r="D531" s="163"/>
      <c r="E531" s="166">
        <f t="shared" si="8"/>
        <v>1996</v>
      </c>
      <c r="F531" s="157">
        <v>35370</v>
      </c>
      <c r="G531" s="158">
        <v>6.58</v>
      </c>
      <c r="J531" s="157">
        <v>26312</v>
      </c>
      <c r="K531" s="158">
        <v>5.96</v>
      </c>
    </row>
    <row r="532" spans="1:11" x14ac:dyDescent="0.25">
      <c r="A532" s="162">
        <v>23382</v>
      </c>
      <c r="B532" s="163">
        <v>4.1900000000000004</v>
      </c>
      <c r="C532" s="163"/>
      <c r="D532" s="163"/>
      <c r="E532" s="166">
        <f t="shared" si="8"/>
        <v>1996</v>
      </c>
      <c r="F532" s="157">
        <v>35400</v>
      </c>
      <c r="G532" s="158">
        <v>6.65</v>
      </c>
      <c r="J532" s="157">
        <v>26319</v>
      </c>
      <c r="K532" s="158">
        <v>6</v>
      </c>
    </row>
    <row r="533" spans="1:11" x14ac:dyDescent="0.25">
      <c r="A533" s="162">
        <v>23383</v>
      </c>
      <c r="B533" s="163">
        <v>4.18</v>
      </c>
      <c r="C533" s="163"/>
      <c r="D533" s="163"/>
      <c r="E533" s="166">
        <f t="shared" si="8"/>
        <v>1997</v>
      </c>
      <c r="F533" s="157">
        <v>35431</v>
      </c>
      <c r="G533" s="158">
        <v>6.91</v>
      </c>
      <c r="J533" s="157">
        <v>26326</v>
      </c>
      <c r="K533" s="158">
        <v>6.04</v>
      </c>
    </row>
    <row r="534" spans="1:11" x14ac:dyDescent="0.25">
      <c r="A534" s="162">
        <v>23384</v>
      </c>
      <c r="B534" s="163">
        <v>4.2</v>
      </c>
      <c r="C534" s="163"/>
      <c r="D534" s="163"/>
      <c r="E534" s="166">
        <f t="shared" si="8"/>
        <v>1997</v>
      </c>
      <c r="F534" s="157">
        <v>35462</v>
      </c>
      <c r="G534" s="158">
        <v>6.77</v>
      </c>
      <c r="J534" s="157">
        <v>26333</v>
      </c>
      <c r="K534" s="158">
        <v>6.09</v>
      </c>
    </row>
    <row r="535" spans="1:11" x14ac:dyDescent="0.25">
      <c r="A535" s="162">
        <v>23385</v>
      </c>
      <c r="B535" s="164">
        <v>4.2</v>
      </c>
      <c r="C535" s="164"/>
      <c r="D535" s="164"/>
      <c r="E535" s="166">
        <f t="shared" si="8"/>
        <v>1997</v>
      </c>
      <c r="F535" s="157">
        <v>35490</v>
      </c>
      <c r="G535" s="158">
        <v>7.05</v>
      </c>
      <c r="J535" s="157">
        <v>26340</v>
      </c>
      <c r="K535" s="158">
        <v>6.1</v>
      </c>
    </row>
    <row r="536" spans="1:11" x14ac:dyDescent="0.25">
      <c r="A536" s="162">
        <v>23386</v>
      </c>
      <c r="B536" s="163">
        <v>4.21</v>
      </c>
      <c r="C536" s="163"/>
      <c r="D536" s="163"/>
      <c r="E536" s="166">
        <f t="shared" si="8"/>
        <v>1997</v>
      </c>
      <c r="F536" s="157">
        <v>35521</v>
      </c>
      <c r="G536" s="158">
        <v>7.2</v>
      </c>
      <c r="J536" s="157">
        <v>26347</v>
      </c>
      <c r="K536" s="158">
        <v>6.05</v>
      </c>
    </row>
    <row r="537" spans="1:11" x14ac:dyDescent="0.25">
      <c r="A537" s="162">
        <v>23389</v>
      </c>
      <c r="B537" s="163">
        <v>4.21</v>
      </c>
      <c r="C537" s="163"/>
      <c r="D537" s="163"/>
      <c r="E537" s="166">
        <f t="shared" si="8"/>
        <v>1997</v>
      </c>
      <c r="F537" s="157">
        <v>35551</v>
      </c>
      <c r="G537" s="158">
        <v>7.02</v>
      </c>
      <c r="J537" s="157">
        <v>26354</v>
      </c>
      <c r="K537" s="158">
        <v>6.02</v>
      </c>
    </row>
    <row r="538" spans="1:11" x14ac:dyDescent="0.25">
      <c r="A538" s="162">
        <v>23390</v>
      </c>
      <c r="B538" s="163">
        <v>4.2</v>
      </c>
      <c r="C538" s="163"/>
      <c r="D538" s="163"/>
      <c r="E538" s="166">
        <f t="shared" si="8"/>
        <v>1997</v>
      </c>
      <c r="F538" s="157">
        <v>35582</v>
      </c>
      <c r="G538" s="158">
        <v>6.84</v>
      </c>
      <c r="J538" s="157">
        <v>26361</v>
      </c>
      <c r="K538" s="158">
        <v>6.02</v>
      </c>
    </row>
    <row r="539" spans="1:11" x14ac:dyDescent="0.25">
      <c r="A539" s="162">
        <v>23391</v>
      </c>
      <c r="B539" s="163">
        <v>4.2</v>
      </c>
      <c r="C539" s="163"/>
      <c r="D539" s="163"/>
      <c r="E539" s="166">
        <f t="shared" si="8"/>
        <v>1997</v>
      </c>
      <c r="F539" s="157">
        <v>35612</v>
      </c>
      <c r="G539" s="158">
        <v>6.56</v>
      </c>
      <c r="J539" s="157">
        <v>26368</v>
      </c>
      <c r="K539" s="158">
        <v>6.02</v>
      </c>
    </row>
    <row r="540" spans="1:11" x14ac:dyDescent="0.25">
      <c r="A540" s="162">
        <v>23392</v>
      </c>
      <c r="B540" s="163">
        <v>4.1900000000000004</v>
      </c>
      <c r="C540" s="163"/>
      <c r="D540" s="163"/>
      <c r="E540" s="166">
        <f t="shared" si="8"/>
        <v>1997</v>
      </c>
      <c r="F540" s="157">
        <v>35643</v>
      </c>
      <c r="G540" s="158">
        <v>6.65</v>
      </c>
      <c r="J540" s="157">
        <v>26375</v>
      </c>
      <c r="K540" s="158">
        <v>6.07</v>
      </c>
    </row>
    <row r="541" spans="1:11" x14ac:dyDescent="0.25">
      <c r="A541" s="162">
        <v>23393</v>
      </c>
      <c r="B541" s="163">
        <v>4.18</v>
      </c>
      <c r="C541" s="163"/>
      <c r="D541" s="163"/>
      <c r="E541" s="166">
        <f t="shared" si="8"/>
        <v>1997</v>
      </c>
      <c r="F541" s="157">
        <v>35674</v>
      </c>
      <c r="G541" s="158">
        <v>6.56</v>
      </c>
      <c r="J541" s="157">
        <v>26382</v>
      </c>
      <c r="K541" s="158">
        <v>6.08</v>
      </c>
    </row>
    <row r="542" spans="1:11" x14ac:dyDescent="0.25">
      <c r="A542" s="162">
        <v>23396</v>
      </c>
      <c r="B542" s="163">
        <v>4.18</v>
      </c>
      <c r="C542" s="163"/>
      <c r="D542" s="163"/>
      <c r="E542" s="166">
        <f t="shared" si="8"/>
        <v>1997</v>
      </c>
      <c r="F542" s="157">
        <v>35704</v>
      </c>
      <c r="G542" s="158">
        <v>6.38</v>
      </c>
      <c r="J542" s="157">
        <v>26389</v>
      </c>
      <c r="K542" s="158">
        <v>6.1</v>
      </c>
    </row>
    <row r="543" spans="1:11" x14ac:dyDescent="0.25">
      <c r="A543" s="162">
        <v>23397</v>
      </c>
      <c r="B543" s="163">
        <v>4.17</v>
      </c>
      <c r="C543" s="163"/>
      <c r="D543" s="163"/>
      <c r="E543" s="166">
        <f t="shared" si="8"/>
        <v>1997</v>
      </c>
      <c r="F543" s="157">
        <v>35735</v>
      </c>
      <c r="G543" s="158">
        <v>6.2</v>
      </c>
      <c r="J543" s="157">
        <v>26396</v>
      </c>
      <c r="K543" s="158">
        <v>6.13</v>
      </c>
    </row>
    <row r="544" spans="1:11" x14ac:dyDescent="0.25">
      <c r="A544" s="162">
        <v>23398</v>
      </c>
      <c r="B544" s="163">
        <v>4.17</v>
      </c>
      <c r="C544" s="163"/>
      <c r="D544" s="163"/>
      <c r="E544" s="166">
        <f t="shared" si="8"/>
        <v>1997</v>
      </c>
      <c r="F544" s="157">
        <v>35765</v>
      </c>
      <c r="G544" s="158">
        <v>6.07</v>
      </c>
      <c r="J544" s="157">
        <v>26403</v>
      </c>
      <c r="K544" s="158">
        <v>6.19</v>
      </c>
    </row>
    <row r="545" spans="1:11" x14ac:dyDescent="0.25">
      <c r="A545" s="162">
        <v>23399</v>
      </c>
      <c r="B545" s="163">
        <v>4.18</v>
      </c>
      <c r="C545" s="163"/>
      <c r="D545" s="163"/>
      <c r="E545" s="166">
        <f t="shared" si="8"/>
        <v>1998</v>
      </c>
      <c r="F545" s="157">
        <v>35796</v>
      </c>
      <c r="G545" s="158">
        <v>5.88</v>
      </c>
      <c r="J545" s="157">
        <v>26410</v>
      </c>
      <c r="K545" s="158">
        <v>6.19</v>
      </c>
    </row>
    <row r="546" spans="1:11" x14ac:dyDescent="0.25">
      <c r="A546" s="162">
        <v>23400</v>
      </c>
      <c r="B546" s="163">
        <v>4.18</v>
      </c>
      <c r="C546" s="163"/>
      <c r="D546" s="163"/>
      <c r="E546" s="166">
        <f t="shared" si="8"/>
        <v>1998</v>
      </c>
      <c r="F546" s="157">
        <v>35827</v>
      </c>
      <c r="G546" s="158">
        <v>5.96</v>
      </c>
      <c r="J546" s="157">
        <v>26417</v>
      </c>
      <c r="K546" s="158">
        <v>6.15</v>
      </c>
    </row>
    <row r="547" spans="1:11" x14ac:dyDescent="0.25">
      <c r="A547" s="162">
        <v>23403</v>
      </c>
      <c r="B547" s="163">
        <v>4.18</v>
      </c>
      <c r="C547" s="163"/>
      <c r="D547" s="163"/>
      <c r="E547" s="166">
        <f t="shared" si="8"/>
        <v>1998</v>
      </c>
      <c r="F547" s="157">
        <v>35855</v>
      </c>
      <c r="G547" s="158">
        <v>6.01</v>
      </c>
      <c r="J547" s="157">
        <v>26424</v>
      </c>
      <c r="K547" s="158">
        <v>6.13</v>
      </c>
    </row>
    <row r="548" spans="1:11" x14ac:dyDescent="0.25">
      <c r="A548" s="162">
        <v>23404</v>
      </c>
      <c r="B548" s="163">
        <v>4.18</v>
      </c>
      <c r="C548" s="163"/>
      <c r="D548" s="163"/>
      <c r="E548" s="166">
        <f t="shared" si="8"/>
        <v>1998</v>
      </c>
      <c r="F548" s="157">
        <v>35886</v>
      </c>
      <c r="G548" s="158">
        <v>6</v>
      </c>
      <c r="J548" s="157">
        <v>26431</v>
      </c>
      <c r="K548" s="158">
        <v>6.13</v>
      </c>
    </row>
    <row r="549" spans="1:11" x14ac:dyDescent="0.25">
      <c r="A549" s="162">
        <v>23405</v>
      </c>
      <c r="B549" s="163">
        <v>4.18</v>
      </c>
      <c r="C549" s="163"/>
      <c r="D549" s="163"/>
      <c r="E549" s="166">
        <f t="shared" si="8"/>
        <v>1998</v>
      </c>
      <c r="F549" s="157">
        <v>35916</v>
      </c>
      <c r="G549" s="158">
        <v>6.01</v>
      </c>
      <c r="J549" s="157">
        <v>26438</v>
      </c>
      <c r="K549" s="158">
        <v>6.06</v>
      </c>
    </row>
    <row r="550" spans="1:11" x14ac:dyDescent="0.25">
      <c r="A550" s="162">
        <v>23406</v>
      </c>
      <c r="B550" s="163">
        <v>4.18</v>
      </c>
      <c r="C550" s="163"/>
      <c r="D550" s="163"/>
      <c r="E550" s="166">
        <f t="shared" si="8"/>
        <v>1998</v>
      </c>
      <c r="F550" s="157">
        <v>35947</v>
      </c>
      <c r="G550" s="158">
        <v>5.8</v>
      </c>
      <c r="J550" s="157">
        <v>26445</v>
      </c>
      <c r="K550" s="158">
        <v>5.99</v>
      </c>
    </row>
    <row r="551" spans="1:11" x14ac:dyDescent="0.25">
      <c r="A551" s="162">
        <v>23407</v>
      </c>
      <c r="B551" s="163">
        <v>4.18</v>
      </c>
      <c r="C551" s="163"/>
      <c r="D551" s="163"/>
      <c r="E551" s="166">
        <f t="shared" si="8"/>
        <v>1998</v>
      </c>
      <c r="F551" s="157">
        <v>35977</v>
      </c>
      <c r="G551" s="158">
        <v>5.78</v>
      </c>
      <c r="J551" s="157">
        <v>26452</v>
      </c>
      <c r="K551" s="158">
        <v>5.97</v>
      </c>
    </row>
    <row r="552" spans="1:11" x14ac:dyDescent="0.25">
      <c r="A552" s="162">
        <v>23410</v>
      </c>
      <c r="B552" s="163">
        <v>4.17</v>
      </c>
      <c r="C552" s="163"/>
      <c r="D552" s="163"/>
      <c r="E552" s="166">
        <f t="shared" si="8"/>
        <v>1998</v>
      </c>
      <c r="F552" s="157">
        <v>36008</v>
      </c>
      <c r="G552" s="158">
        <v>5.66</v>
      </c>
      <c r="J552" s="157">
        <v>26459</v>
      </c>
      <c r="K552" s="158">
        <v>6.01</v>
      </c>
    </row>
    <row r="553" spans="1:11" x14ac:dyDescent="0.25">
      <c r="A553" s="162">
        <v>23411</v>
      </c>
      <c r="B553" s="163">
        <v>4.17</v>
      </c>
      <c r="C553" s="163"/>
      <c r="D553" s="163"/>
      <c r="E553" s="166">
        <f t="shared" si="8"/>
        <v>1998</v>
      </c>
      <c r="F553" s="157">
        <v>36039</v>
      </c>
      <c r="G553" s="158">
        <v>5.38</v>
      </c>
      <c r="J553" s="157">
        <v>26466</v>
      </c>
      <c r="K553" s="158">
        <v>6.01</v>
      </c>
    </row>
    <row r="554" spans="1:11" x14ac:dyDescent="0.25">
      <c r="A554" s="162">
        <v>23412</v>
      </c>
      <c r="B554" s="163">
        <v>4.17</v>
      </c>
      <c r="C554" s="163"/>
      <c r="D554" s="163"/>
      <c r="E554" s="166">
        <f t="shared" si="8"/>
        <v>1998</v>
      </c>
      <c r="F554" s="157">
        <v>36069</v>
      </c>
      <c r="G554" s="158">
        <v>5.3</v>
      </c>
      <c r="J554" s="157">
        <v>26473</v>
      </c>
      <c r="K554" s="158">
        <v>6</v>
      </c>
    </row>
    <row r="555" spans="1:11" x14ac:dyDescent="0.25">
      <c r="A555" s="162">
        <v>23413</v>
      </c>
      <c r="B555" s="163">
        <v>4.16</v>
      </c>
      <c r="C555" s="163"/>
      <c r="D555" s="163"/>
      <c r="E555" s="166">
        <f t="shared" si="8"/>
        <v>1998</v>
      </c>
      <c r="F555" s="157">
        <v>36100</v>
      </c>
      <c r="G555" s="158">
        <v>5.48</v>
      </c>
      <c r="J555" s="157">
        <v>26480</v>
      </c>
      <c r="K555" s="158">
        <v>6.03</v>
      </c>
    </row>
    <row r="556" spans="1:11" x14ac:dyDescent="0.25">
      <c r="A556" s="162">
        <v>23414</v>
      </c>
      <c r="B556" s="163">
        <v>4.16</v>
      </c>
      <c r="C556" s="163"/>
      <c r="D556" s="163"/>
      <c r="E556" s="166">
        <f t="shared" si="8"/>
        <v>1998</v>
      </c>
      <c r="F556" s="157">
        <v>36130</v>
      </c>
      <c r="G556" s="158">
        <v>5.36</v>
      </c>
      <c r="J556" s="157">
        <v>26487</v>
      </c>
      <c r="K556" s="158">
        <v>6.04</v>
      </c>
    </row>
    <row r="557" spans="1:11" x14ac:dyDescent="0.25">
      <c r="A557" s="162">
        <v>23417</v>
      </c>
      <c r="B557" s="163">
        <v>4.17</v>
      </c>
      <c r="C557" s="163"/>
      <c r="D557" s="163"/>
      <c r="E557" s="166">
        <f t="shared" si="8"/>
        <v>1999</v>
      </c>
      <c r="F557" s="157">
        <v>36161</v>
      </c>
      <c r="G557" s="158">
        <v>5.45</v>
      </c>
      <c r="J557" s="157">
        <v>26494</v>
      </c>
      <c r="K557" s="158">
        <v>6.02</v>
      </c>
    </row>
    <row r="558" spans="1:11" x14ac:dyDescent="0.25">
      <c r="A558" s="162">
        <v>23418</v>
      </c>
      <c r="B558" s="163">
        <v>4.17</v>
      </c>
      <c r="C558" s="163"/>
      <c r="D558" s="163"/>
      <c r="E558" s="166">
        <f t="shared" si="8"/>
        <v>1999</v>
      </c>
      <c r="F558" s="157">
        <v>36192</v>
      </c>
      <c r="G558" s="158">
        <v>5.66</v>
      </c>
      <c r="J558" s="157">
        <v>26501</v>
      </c>
      <c r="K558" s="158">
        <v>6</v>
      </c>
    </row>
    <row r="559" spans="1:11" x14ac:dyDescent="0.25">
      <c r="A559" s="162">
        <v>23419</v>
      </c>
      <c r="B559" s="163" t="e">
        <f>NA()</f>
        <v>#N/A</v>
      </c>
      <c r="C559" s="163"/>
      <c r="D559" s="163"/>
      <c r="E559" s="166">
        <f t="shared" si="8"/>
        <v>1999</v>
      </c>
      <c r="F559" s="157">
        <v>36220</v>
      </c>
      <c r="G559" s="158">
        <v>5.87</v>
      </c>
      <c r="J559" s="157">
        <v>26508</v>
      </c>
      <c r="K559" s="158">
        <v>5.99</v>
      </c>
    </row>
    <row r="560" spans="1:11" x14ac:dyDescent="0.25">
      <c r="A560" s="162">
        <v>23420</v>
      </c>
      <c r="B560" s="163">
        <v>4.16</v>
      </c>
      <c r="C560" s="163"/>
      <c r="D560" s="163"/>
      <c r="E560" s="166">
        <f t="shared" si="8"/>
        <v>1999</v>
      </c>
      <c r="F560" s="157">
        <v>36251</v>
      </c>
      <c r="G560" s="158">
        <v>5.82</v>
      </c>
      <c r="J560" s="157">
        <v>26515</v>
      </c>
      <c r="K560" s="158">
        <v>5.97</v>
      </c>
    </row>
    <row r="561" spans="1:11" x14ac:dyDescent="0.25">
      <c r="A561" s="162">
        <v>23421</v>
      </c>
      <c r="B561" s="163">
        <v>4.16</v>
      </c>
      <c r="C561" s="163"/>
      <c r="D561" s="163"/>
      <c r="E561" s="166">
        <f t="shared" si="8"/>
        <v>1999</v>
      </c>
      <c r="F561" s="157">
        <v>36281</v>
      </c>
      <c r="G561" s="158">
        <v>6.08</v>
      </c>
      <c r="J561" s="157">
        <v>26522</v>
      </c>
      <c r="K561" s="158">
        <v>5.93</v>
      </c>
    </row>
    <row r="562" spans="1:11" x14ac:dyDescent="0.25">
      <c r="A562" s="162">
        <v>23424</v>
      </c>
      <c r="B562" s="163">
        <v>4.16</v>
      </c>
      <c r="C562" s="163"/>
      <c r="D562" s="163"/>
      <c r="E562" s="166">
        <f t="shared" si="8"/>
        <v>1999</v>
      </c>
      <c r="F562" s="157">
        <v>36312</v>
      </c>
      <c r="G562" s="158">
        <v>6.36</v>
      </c>
      <c r="J562" s="157">
        <v>26529</v>
      </c>
      <c r="K562" s="158">
        <v>5.92</v>
      </c>
    </row>
    <row r="563" spans="1:11" x14ac:dyDescent="0.25">
      <c r="A563" s="162">
        <v>23425</v>
      </c>
      <c r="B563" s="163">
        <v>4.16</v>
      </c>
      <c r="C563" s="163"/>
      <c r="D563" s="163"/>
      <c r="E563" s="166">
        <f t="shared" si="8"/>
        <v>1999</v>
      </c>
      <c r="F563" s="157">
        <v>36342</v>
      </c>
      <c r="G563" s="158">
        <v>6.28</v>
      </c>
      <c r="J563" s="157">
        <v>26536</v>
      </c>
      <c r="K563" s="158">
        <v>5.92</v>
      </c>
    </row>
    <row r="564" spans="1:11" x14ac:dyDescent="0.25">
      <c r="A564" s="162">
        <v>23426</v>
      </c>
      <c r="B564" s="163">
        <v>4.17</v>
      </c>
      <c r="C564" s="163"/>
      <c r="D564" s="163"/>
      <c r="E564" s="166">
        <f t="shared" si="8"/>
        <v>1999</v>
      </c>
      <c r="F564" s="157">
        <v>36373</v>
      </c>
      <c r="G564" s="158">
        <v>6.43</v>
      </c>
      <c r="J564" s="157">
        <v>26543</v>
      </c>
      <c r="K564" s="158">
        <v>5.97</v>
      </c>
    </row>
    <row r="565" spans="1:11" x14ac:dyDescent="0.25">
      <c r="A565" s="162">
        <v>23427</v>
      </c>
      <c r="B565" s="163">
        <v>4.17</v>
      </c>
      <c r="C565" s="163"/>
      <c r="D565" s="163"/>
      <c r="E565" s="166">
        <f t="shared" si="8"/>
        <v>1999</v>
      </c>
      <c r="F565" s="157">
        <v>36404</v>
      </c>
      <c r="G565" s="158">
        <v>6.5</v>
      </c>
      <c r="J565" s="157">
        <v>26550</v>
      </c>
      <c r="K565" s="158">
        <v>6.01</v>
      </c>
    </row>
    <row r="566" spans="1:11" x14ac:dyDescent="0.25">
      <c r="A566" s="162">
        <v>23428</v>
      </c>
      <c r="B566" s="163" t="e">
        <f>NA()</f>
        <v>#N/A</v>
      </c>
      <c r="C566" s="163"/>
      <c r="D566" s="163"/>
      <c r="E566" s="166">
        <f t="shared" si="8"/>
        <v>1999</v>
      </c>
      <c r="F566" s="157">
        <v>36434</v>
      </c>
      <c r="G566" s="158">
        <v>6.66</v>
      </c>
      <c r="J566" s="157">
        <v>26557</v>
      </c>
      <c r="K566" s="158">
        <v>6.03</v>
      </c>
    </row>
    <row r="567" spans="1:11" x14ac:dyDescent="0.25">
      <c r="A567" s="162">
        <v>23431</v>
      </c>
      <c r="B567" s="163">
        <v>4.18</v>
      </c>
      <c r="C567" s="163"/>
      <c r="D567" s="163"/>
      <c r="E567" s="166">
        <f t="shared" si="8"/>
        <v>1999</v>
      </c>
      <c r="F567" s="157">
        <v>36465</v>
      </c>
      <c r="G567" s="158">
        <v>6.48</v>
      </c>
      <c r="J567" s="157">
        <v>26564</v>
      </c>
      <c r="K567" s="158">
        <v>6.07</v>
      </c>
    </row>
    <row r="568" spans="1:11" x14ac:dyDescent="0.25">
      <c r="A568" s="162">
        <v>23432</v>
      </c>
      <c r="B568" s="163">
        <v>4.18</v>
      </c>
      <c r="C568" s="163"/>
      <c r="D568" s="163"/>
      <c r="E568" s="166">
        <f t="shared" si="8"/>
        <v>1999</v>
      </c>
      <c r="F568" s="157">
        <v>36495</v>
      </c>
      <c r="G568" s="158">
        <v>6.69</v>
      </c>
      <c r="J568" s="157">
        <v>26571</v>
      </c>
      <c r="K568" s="158">
        <v>6.12</v>
      </c>
    </row>
    <row r="569" spans="1:11" x14ac:dyDescent="0.25">
      <c r="A569" s="162">
        <v>23433</v>
      </c>
      <c r="B569" s="163">
        <v>4.18</v>
      </c>
      <c r="C569" s="163"/>
      <c r="D569" s="163"/>
      <c r="E569" s="166">
        <f t="shared" si="8"/>
        <v>2000</v>
      </c>
      <c r="F569" s="157">
        <v>36526</v>
      </c>
      <c r="G569" s="158">
        <v>6.86</v>
      </c>
      <c r="J569" s="157">
        <v>26578</v>
      </c>
      <c r="K569" s="158">
        <v>6.07</v>
      </c>
    </row>
    <row r="570" spans="1:11" x14ac:dyDescent="0.25">
      <c r="A570" s="162">
        <v>23434</v>
      </c>
      <c r="B570" s="163">
        <v>4.1900000000000004</v>
      </c>
      <c r="C570" s="163"/>
      <c r="D570" s="163"/>
      <c r="E570" s="166">
        <f t="shared" si="8"/>
        <v>2000</v>
      </c>
      <c r="F570" s="157">
        <v>36557</v>
      </c>
      <c r="G570" s="158">
        <v>6.54</v>
      </c>
      <c r="J570" s="157">
        <v>26585</v>
      </c>
      <c r="K570" s="158">
        <v>6.01</v>
      </c>
    </row>
    <row r="571" spans="1:11" x14ac:dyDescent="0.25">
      <c r="A571" s="162">
        <v>23435</v>
      </c>
      <c r="B571" s="163">
        <v>4.1900000000000004</v>
      </c>
      <c r="C571" s="163"/>
      <c r="D571" s="163"/>
      <c r="E571" s="166">
        <f t="shared" si="8"/>
        <v>2000</v>
      </c>
      <c r="F571" s="157">
        <v>36586</v>
      </c>
      <c r="G571" s="158">
        <v>6.38</v>
      </c>
      <c r="J571" s="157">
        <v>26592</v>
      </c>
      <c r="K571" s="158">
        <v>6</v>
      </c>
    </row>
    <row r="572" spans="1:11" x14ac:dyDescent="0.25">
      <c r="A572" s="162">
        <v>23438</v>
      </c>
      <c r="B572" s="163">
        <v>4.1900000000000004</v>
      </c>
      <c r="C572" s="163"/>
      <c r="D572" s="163"/>
      <c r="E572" s="166">
        <f t="shared" si="8"/>
        <v>2000</v>
      </c>
      <c r="F572" s="157">
        <v>36617</v>
      </c>
      <c r="G572" s="158">
        <v>6.18</v>
      </c>
      <c r="J572" s="157">
        <v>26599</v>
      </c>
      <c r="K572" s="158">
        <v>5.95</v>
      </c>
    </row>
    <row r="573" spans="1:11" x14ac:dyDescent="0.25">
      <c r="A573" s="162">
        <v>23439</v>
      </c>
      <c r="B573" s="163">
        <v>4.1900000000000004</v>
      </c>
      <c r="C573" s="163"/>
      <c r="D573" s="163"/>
      <c r="E573" s="166">
        <f t="shared" si="8"/>
        <v>2000</v>
      </c>
      <c r="F573" s="157">
        <v>36647</v>
      </c>
      <c r="G573" s="158">
        <v>6.55</v>
      </c>
      <c r="J573" s="157">
        <v>26606</v>
      </c>
      <c r="K573" s="158">
        <v>5.89</v>
      </c>
    </row>
    <row r="574" spans="1:11" x14ac:dyDescent="0.25">
      <c r="A574" s="162">
        <v>23440</v>
      </c>
      <c r="B574" s="163">
        <v>4.1900000000000004</v>
      </c>
      <c r="C574" s="163"/>
      <c r="D574" s="163"/>
      <c r="E574" s="166">
        <f t="shared" si="8"/>
        <v>2000</v>
      </c>
      <c r="F574" s="157">
        <v>36678</v>
      </c>
      <c r="G574" s="158">
        <v>6.28</v>
      </c>
      <c r="J574" s="157">
        <v>26613</v>
      </c>
      <c r="K574" s="158">
        <v>5.8</v>
      </c>
    </row>
    <row r="575" spans="1:11" x14ac:dyDescent="0.25">
      <c r="A575" s="162">
        <v>23441</v>
      </c>
      <c r="B575" s="163">
        <v>4.1900000000000004</v>
      </c>
      <c r="C575" s="163"/>
      <c r="D575" s="163"/>
      <c r="E575" s="166">
        <f t="shared" si="8"/>
        <v>2000</v>
      </c>
      <c r="F575" s="157">
        <v>36708</v>
      </c>
      <c r="G575" s="158">
        <v>6.2</v>
      </c>
      <c r="J575" s="157">
        <v>26620</v>
      </c>
      <c r="K575" s="158">
        <v>5.74</v>
      </c>
    </row>
    <row r="576" spans="1:11" x14ac:dyDescent="0.25">
      <c r="A576" s="162">
        <v>23442</v>
      </c>
      <c r="B576" s="163">
        <v>4.1900000000000004</v>
      </c>
      <c r="C576" s="163"/>
      <c r="D576" s="163"/>
      <c r="E576" s="166">
        <f t="shared" si="8"/>
        <v>2000</v>
      </c>
      <c r="F576" s="157">
        <v>36739</v>
      </c>
      <c r="G576" s="158">
        <v>6.02</v>
      </c>
      <c r="J576" s="157">
        <v>26627</v>
      </c>
      <c r="K576" s="158">
        <v>5.76</v>
      </c>
    </row>
    <row r="577" spans="1:11" x14ac:dyDescent="0.25">
      <c r="A577" s="162">
        <v>23445</v>
      </c>
      <c r="B577" s="163">
        <v>4.1900000000000004</v>
      </c>
      <c r="C577" s="163"/>
      <c r="D577" s="163"/>
      <c r="E577" s="166">
        <f t="shared" si="8"/>
        <v>2000</v>
      </c>
      <c r="F577" s="157">
        <v>36770</v>
      </c>
      <c r="G577" s="158">
        <v>6.09</v>
      </c>
      <c r="J577" s="157">
        <v>26634</v>
      </c>
      <c r="K577" s="158">
        <v>5.82</v>
      </c>
    </row>
    <row r="578" spans="1:11" x14ac:dyDescent="0.25">
      <c r="A578" s="162">
        <v>23446</v>
      </c>
      <c r="B578" s="163">
        <v>4.2</v>
      </c>
      <c r="C578" s="163"/>
      <c r="D578" s="163"/>
      <c r="E578" s="166">
        <f t="shared" si="8"/>
        <v>2000</v>
      </c>
      <c r="F578" s="157">
        <v>36800</v>
      </c>
      <c r="G578" s="158">
        <v>6.04</v>
      </c>
      <c r="J578" s="157">
        <v>26641</v>
      </c>
      <c r="K578" s="158">
        <v>5.87</v>
      </c>
    </row>
    <row r="579" spans="1:11" x14ac:dyDescent="0.25">
      <c r="A579" s="162">
        <v>23447</v>
      </c>
      <c r="B579" s="164">
        <v>4.2</v>
      </c>
      <c r="C579" s="164"/>
      <c r="D579" s="164"/>
      <c r="E579" s="166">
        <f t="shared" si="8"/>
        <v>2000</v>
      </c>
      <c r="F579" s="157">
        <v>36831</v>
      </c>
      <c r="G579" s="158">
        <v>5.98</v>
      </c>
      <c r="J579" s="157">
        <v>26648</v>
      </c>
      <c r="K579" s="158">
        <v>5.93</v>
      </c>
    </row>
    <row r="580" spans="1:11" x14ac:dyDescent="0.25">
      <c r="A580" s="162">
        <v>23448</v>
      </c>
      <c r="B580" s="163">
        <v>4.21</v>
      </c>
      <c r="C580" s="163"/>
      <c r="D580" s="163"/>
      <c r="E580" s="166">
        <f t="shared" si="8"/>
        <v>2000</v>
      </c>
      <c r="F580" s="157">
        <v>36861</v>
      </c>
      <c r="G580" s="158">
        <v>5.64</v>
      </c>
      <c r="J580" s="157">
        <v>26655</v>
      </c>
      <c r="K580" s="158">
        <v>6.03</v>
      </c>
    </row>
    <row r="581" spans="1:11" x14ac:dyDescent="0.25">
      <c r="A581" s="162">
        <v>23449</v>
      </c>
      <c r="B581" s="163">
        <v>4.21</v>
      </c>
      <c r="C581" s="163"/>
      <c r="D581" s="163"/>
      <c r="E581" s="166">
        <f t="shared" si="8"/>
        <v>2001</v>
      </c>
      <c r="F581" s="157">
        <v>36892</v>
      </c>
      <c r="G581" s="158">
        <v>5.65</v>
      </c>
      <c r="J581" s="157">
        <v>26662</v>
      </c>
      <c r="K581" s="158">
        <v>6.03</v>
      </c>
    </row>
    <row r="582" spans="1:11" x14ac:dyDescent="0.25">
      <c r="A582" s="162">
        <v>23452</v>
      </c>
      <c r="B582" s="163">
        <v>4.21</v>
      </c>
      <c r="C582" s="163"/>
      <c r="D582" s="163"/>
      <c r="E582" s="166">
        <f t="shared" si="8"/>
        <v>2001</v>
      </c>
      <c r="F582" s="157">
        <v>36923</v>
      </c>
      <c r="G582" s="158">
        <v>5.62</v>
      </c>
      <c r="J582" s="157">
        <v>26669</v>
      </c>
      <c r="K582" s="158">
        <v>6.42</v>
      </c>
    </row>
    <row r="583" spans="1:11" x14ac:dyDescent="0.25">
      <c r="A583" s="162">
        <v>23453</v>
      </c>
      <c r="B583" s="163">
        <v>4.21</v>
      </c>
      <c r="C583" s="163"/>
      <c r="D583" s="163"/>
      <c r="E583" s="166">
        <f t="shared" si="8"/>
        <v>2001</v>
      </c>
      <c r="F583" s="157">
        <v>36951</v>
      </c>
      <c r="G583" s="158">
        <v>5.49</v>
      </c>
      <c r="J583" s="157">
        <v>26676</v>
      </c>
      <c r="K583" s="158">
        <v>6.85</v>
      </c>
    </row>
    <row r="584" spans="1:11" x14ac:dyDescent="0.25">
      <c r="A584" s="162">
        <v>23454</v>
      </c>
      <c r="B584" s="163">
        <v>4.2300000000000004</v>
      </c>
      <c r="C584" s="163"/>
      <c r="D584" s="163"/>
      <c r="E584" s="166">
        <f t="shared" si="8"/>
        <v>2001</v>
      </c>
      <c r="F584" s="157">
        <v>36982</v>
      </c>
      <c r="G584" s="158">
        <v>5.78</v>
      </c>
      <c r="J584" s="157">
        <v>26683</v>
      </c>
      <c r="K584" s="158">
        <v>6.86</v>
      </c>
    </row>
    <row r="585" spans="1:11" x14ac:dyDescent="0.25">
      <c r="A585" s="162">
        <v>23455</v>
      </c>
      <c r="B585" s="163">
        <v>4.2300000000000004</v>
      </c>
      <c r="C585" s="163"/>
      <c r="D585" s="163"/>
      <c r="E585" s="166">
        <f t="shared" ref="E585:E648" si="9">YEAR(F585)</f>
        <v>2001</v>
      </c>
      <c r="F585" s="157">
        <v>37012</v>
      </c>
      <c r="G585" s="158">
        <v>5.92</v>
      </c>
      <c r="J585" s="157">
        <v>26690</v>
      </c>
      <c r="K585" s="158">
        <v>6.87</v>
      </c>
    </row>
    <row r="586" spans="1:11" x14ac:dyDescent="0.25">
      <c r="A586" s="162">
        <v>23456</v>
      </c>
      <c r="B586" s="163">
        <v>4.24</v>
      </c>
      <c r="C586" s="163"/>
      <c r="D586" s="163"/>
      <c r="E586" s="166">
        <f t="shared" si="9"/>
        <v>2001</v>
      </c>
      <c r="F586" s="157">
        <v>37043</v>
      </c>
      <c r="G586" s="158">
        <v>5.82</v>
      </c>
      <c r="J586" s="157">
        <v>26697</v>
      </c>
      <c r="K586" s="158">
        <v>6.88</v>
      </c>
    </row>
    <row r="587" spans="1:11" x14ac:dyDescent="0.25">
      <c r="A587" s="162">
        <v>23459</v>
      </c>
      <c r="B587" s="163">
        <v>4.24</v>
      </c>
      <c r="C587" s="163"/>
      <c r="D587" s="163"/>
      <c r="E587" s="166">
        <f t="shared" si="9"/>
        <v>2001</v>
      </c>
      <c r="F587" s="157">
        <v>37073</v>
      </c>
      <c r="G587" s="158">
        <v>5.75</v>
      </c>
      <c r="J587" s="157">
        <v>26704</v>
      </c>
      <c r="K587" s="158">
        <v>6.89</v>
      </c>
    </row>
    <row r="588" spans="1:11" x14ac:dyDescent="0.25">
      <c r="A588" s="162">
        <v>23460</v>
      </c>
      <c r="B588" s="163">
        <v>4.25</v>
      </c>
      <c r="C588" s="163"/>
      <c r="D588" s="163"/>
      <c r="E588" s="166">
        <f t="shared" si="9"/>
        <v>2001</v>
      </c>
      <c r="F588" s="157">
        <v>37104</v>
      </c>
      <c r="G588" s="158">
        <v>5.58</v>
      </c>
      <c r="J588" s="157">
        <v>26711</v>
      </c>
      <c r="K588" s="158">
        <v>6.85</v>
      </c>
    </row>
    <row r="589" spans="1:11" x14ac:dyDescent="0.25">
      <c r="A589" s="162">
        <v>23461</v>
      </c>
      <c r="B589" s="163">
        <v>4.25</v>
      </c>
      <c r="C589" s="163"/>
      <c r="D589" s="163"/>
      <c r="E589" s="166">
        <f t="shared" si="9"/>
        <v>2001</v>
      </c>
      <c r="F589" s="157">
        <v>37135</v>
      </c>
      <c r="G589" s="158">
        <v>5.53</v>
      </c>
      <c r="J589" s="157">
        <v>26718</v>
      </c>
      <c r="K589" s="158">
        <v>6.89</v>
      </c>
    </row>
    <row r="590" spans="1:11" x14ac:dyDescent="0.25">
      <c r="A590" s="162">
        <v>23462</v>
      </c>
      <c r="B590" s="163">
        <v>4.25</v>
      </c>
      <c r="C590" s="163"/>
      <c r="D590" s="163"/>
      <c r="E590" s="166">
        <f t="shared" si="9"/>
        <v>2001</v>
      </c>
      <c r="F590" s="157">
        <v>37165</v>
      </c>
      <c r="G590" s="158">
        <v>5.34</v>
      </c>
      <c r="J590" s="157">
        <v>26725</v>
      </c>
      <c r="K590" s="158">
        <v>6.9</v>
      </c>
    </row>
    <row r="591" spans="1:11" x14ac:dyDescent="0.25">
      <c r="A591" s="162">
        <v>23463</v>
      </c>
      <c r="B591" s="163" t="e">
        <f>NA()</f>
        <v>#N/A</v>
      </c>
      <c r="C591" s="163"/>
      <c r="D591" s="163"/>
      <c r="E591" s="166">
        <f t="shared" si="9"/>
        <v>2001</v>
      </c>
      <c r="F591" s="157">
        <v>37196</v>
      </c>
      <c r="G591" s="158">
        <v>5.33</v>
      </c>
      <c r="J591" s="157">
        <v>26732</v>
      </c>
      <c r="K591" s="158">
        <v>6.91</v>
      </c>
    </row>
    <row r="592" spans="1:11" x14ac:dyDescent="0.25">
      <c r="A592" s="162">
        <v>23466</v>
      </c>
      <c r="B592" s="163">
        <v>4.25</v>
      </c>
      <c r="C592" s="163"/>
      <c r="D592" s="163"/>
      <c r="E592" s="166">
        <f t="shared" si="9"/>
        <v>2001</v>
      </c>
      <c r="F592" s="157">
        <v>37226</v>
      </c>
      <c r="G592" s="158">
        <v>5.76</v>
      </c>
      <c r="J592" s="157">
        <v>26739</v>
      </c>
      <c r="K592" s="158">
        <v>6.93</v>
      </c>
    </row>
    <row r="593" spans="1:11" x14ac:dyDescent="0.25">
      <c r="A593" s="162">
        <v>23467</v>
      </c>
      <c r="B593" s="163">
        <v>4.24</v>
      </c>
      <c r="C593" s="163"/>
      <c r="D593" s="163"/>
      <c r="E593" s="166">
        <f t="shared" si="9"/>
        <v>2002</v>
      </c>
      <c r="F593" s="157">
        <v>37257</v>
      </c>
      <c r="G593" s="158">
        <v>5.69</v>
      </c>
      <c r="J593" s="157">
        <v>26746</v>
      </c>
      <c r="K593" s="158">
        <v>6.92</v>
      </c>
    </row>
    <row r="594" spans="1:11" x14ac:dyDescent="0.25">
      <c r="A594" s="162">
        <v>23468</v>
      </c>
      <c r="B594" s="163">
        <v>4.24</v>
      </c>
      <c r="C594" s="163"/>
      <c r="D594" s="163"/>
      <c r="E594" s="166">
        <f t="shared" si="9"/>
        <v>2002</v>
      </c>
      <c r="F594" s="157">
        <v>37288</v>
      </c>
      <c r="G594" s="158">
        <v>5.61</v>
      </c>
      <c r="J594" s="157">
        <v>26753</v>
      </c>
      <c r="K594" s="158">
        <v>6.88</v>
      </c>
    </row>
    <row r="595" spans="1:11" x14ac:dyDescent="0.25">
      <c r="A595" s="162">
        <v>23469</v>
      </c>
      <c r="B595" s="163">
        <v>4.24</v>
      </c>
      <c r="C595" s="163"/>
      <c r="D595" s="163"/>
      <c r="E595" s="166">
        <f t="shared" si="9"/>
        <v>2002</v>
      </c>
      <c r="F595" s="157">
        <v>37316</v>
      </c>
      <c r="G595" s="158">
        <v>5.93</v>
      </c>
      <c r="J595" s="157">
        <v>26760</v>
      </c>
      <c r="K595" s="158">
        <v>6.87</v>
      </c>
    </row>
    <row r="596" spans="1:11" x14ac:dyDescent="0.25">
      <c r="A596" s="162">
        <v>23470</v>
      </c>
      <c r="B596" s="163">
        <v>4.26</v>
      </c>
      <c r="C596" s="163"/>
      <c r="D596" s="163"/>
      <c r="E596" s="166">
        <f t="shared" si="9"/>
        <v>2002</v>
      </c>
      <c r="F596" s="157">
        <v>37347</v>
      </c>
      <c r="G596" s="158">
        <v>5.85</v>
      </c>
      <c r="J596" s="157">
        <v>26767</v>
      </c>
      <c r="K596" s="158">
        <v>6.84</v>
      </c>
    </row>
    <row r="597" spans="1:11" x14ac:dyDescent="0.25">
      <c r="A597" s="162">
        <v>23473</v>
      </c>
      <c r="B597" s="163">
        <v>4.26</v>
      </c>
      <c r="C597" s="163"/>
      <c r="D597" s="163"/>
      <c r="E597" s="166">
        <f t="shared" si="9"/>
        <v>2002</v>
      </c>
      <c r="F597" s="157">
        <v>37377</v>
      </c>
      <c r="G597" s="158">
        <v>5.81</v>
      </c>
      <c r="J597" s="157">
        <v>26774</v>
      </c>
      <c r="K597" s="158">
        <v>6.84</v>
      </c>
    </row>
    <row r="598" spans="1:11" x14ac:dyDescent="0.25">
      <c r="A598" s="162">
        <v>23474</v>
      </c>
      <c r="B598" s="163">
        <v>4.25</v>
      </c>
      <c r="C598" s="163"/>
      <c r="D598" s="163"/>
      <c r="E598" s="166">
        <f t="shared" si="9"/>
        <v>2002</v>
      </c>
      <c r="F598" s="157">
        <v>37408</v>
      </c>
      <c r="G598" s="158">
        <v>5.65</v>
      </c>
      <c r="J598" s="157">
        <v>26781</v>
      </c>
      <c r="K598" s="158">
        <v>6.88</v>
      </c>
    </row>
    <row r="599" spans="1:11" x14ac:dyDescent="0.25">
      <c r="A599" s="162">
        <v>23475</v>
      </c>
      <c r="B599" s="163">
        <v>4.24</v>
      </c>
      <c r="C599" s="163"/>
      <c r="D599" s="163"/>
      <c r="E599" s="166">
        <f t="shared" si="9"/>
        <v>2002</v>
      </c>
      <c r="F599" s="157">
        <v>37438</v>
      </c>
      <c r="G599" s="158">
        <v>5.51</v>
      </c>
      <c r="J599" s="157">
        <v>26788</v>
      </c>
      <c r="K599" s="158">
        <v>6.94</v>
      </c>
    </row>
    <row r="600" spans="1:11" x14ac:dyDescent="0.25">
      <c r="A600" s="162">
        <v>23476</v>
      </c>
      <c r="B600" s="163">
        <v>4.24</v>
      </c>
      <c r="C600" s="163"/>
      <c r="D600" s="163"/>
      <c r="E600" s="166">
        <f t="shared" si="9"/>
        <v>2002</v>
      </c>
      <c r="F600" s="157">
        <v>37469</v>
      </c>
      <c r="G600" s="158">
        <v>5.19</v>
      </c>
      <c r="J600" s="157">
        <v>26795</v>
      </c>
      <c r="K600" s="158">
        <v>6.98</v>
      </c>
    </row>
    <row r="601" spans="1:11" x14ac:dyDescent="0.25">
      <c r="A601" s="162">
        <v>23477</v>
      </c>
      <c r="B601" s="163">
        <v>4.24</v>
      </c>
      <c r="C601" s="163"/>
      <c r="D601" s="163"/>
      <c r="E601" s="166">
        <f t="shared" si="9"/>
        <v>2002</v>
      </c>
      <c r="F601" s="157">
        <v>37500</v>
      </c>
      <c r="G601" s="158">
        <v>4.87</v>
      </c>
      <c r="J601" s="157">
        <v>26802</v>
      </c>
      <c r="K601" s="158">
        <v>6.98</v>
      </c>
    </row>
    <row r="602" spans="1:11" x14ac:dyDescent="0.25">
      <c r="A602" s="162">
        <v>23480</v>
      </c>
      <c r="B602" s="163">
        <v>4.25</v>
      </c>
      <c r="C602" s="163"/>
      <c r="D602" s="163"/>
      <c r="E602" s="166">
        <f t="shared" si="9"/>
        <v>2002</v>
      </c>
      <c r="F602" s="157">
        <v>37530</v>
      </c>
      <c r="G602" s="158">
        <v>5</v>
      </c>
      <c r="J602" s="157">
        <v>26809</v>
      </c>
      <c r="K602" s="158">
        <v>7.03</v>
      </c>
    </row>
    <row r="603" spans="1:11" x14ac:dyDescent="0.25">
      <c r="A603" s="162">
        <v>23481</v>
      </c>
      <c r="B603" s="163">
        <v>4.24</v>
      </c>
      <c r="C603" s="163"/>
      <c r="D603" s="163"/>
      <c r="E603" s="166">
        <f t="shared" si="9"/>
        <v>2002</v>
      </c>
      <c r="F603" s="157">
        <v>37561</v>
      </c>
      <c r="G603" s="158">
        <v>5.04</v>
      </c>
      <c r="J603" s="157">
        <v>26816</v>
      </c>
      <c r="K603" s="158">
        <v>7.05</v>
      </c>
    </row>
    <row r="604" spans="1:11" x14ac:dyDescent="0.25">
      <c r="A604" s="162">
        <v>23482</v>
      </c>
      <c r="B604" s="164">
        <v>4.24</v>
      </c>
      <c r="C604" s="164"/>
      <c r="D604" s="164"/>
      <c r="E604" s="166">
        <f t="shared" si="9"/>
        <v>2002</v>
      </c>
      <c r="F604" s="157">
        <v>37591</v>
      </c>
      <c r="G604" s="158">
        <v>5.01</v>
      </c>
      <c r="J604" s="157">
        <v>26823</v>
      </c>
      <c r="K604" s="158">
        <v>7.05</v>
      </c>
    </row>
    <row r="605" spans="1:11" x14ac:dyDescent="0.25">
      <c r="A605" s="162">
        <v>23483</v>
      </c>
      <c r="B605" s="163">
        <v>4.2300000000000004</v>
      </c>
      <c r="C605" s="163"/>
      <c r="D605" s="163"/>
      <c r="E605" s="166">
        <f t="shared" si="9"/>
        <v>2003</v>
      </c>
      <c r="F605" s="157">
        <v>37622</v>
      </c>
      <c r="G605" s="158">
        <v>5.0199999999999996</v>
      </c>
      <c r="J605" s="157">
        <v>26830</v>
      </c>
      <c r="K605" s="158">
        <v>7.02</v>
      </c>
    </row>
    <row r="606" spans="1:11" x14ac:dyDescent="0.25">
      <c r="A606" s="162">
        <v>23484</v>
      </c>
      <c r="B606" s="163">
        <v>4.2300000000000004</v>
      </c>
      <c r="C606" s="163"/>
      <c r="D606" s="163"/>
      <c r="E606" s="166">
        <f t="shared" si="9"/>
        <v>2003</v>
      </c>
      <c r="F606" s="157">
        <v>37653</v>
      </c>
      <c r="G606" s="158">
        <v>4.87</v>
      </c>
      <c r="J606" s="157">
        <v>26837</v>
      </c>
      <c r="K606" s="158">
        <v>7.06</v>
      </c>
    </row>
    <row r="607" spans="1:11" x14ac:dyDescent="0.25">
      <c r="A607" s="162">
        <v>23487</v>
      </c>
      <c r="B607" s="163">
        <v>4.2300000000000004</v>
      </c>
      <c r="C607" s="163"/>
      <c r="D607" s="163"/>
      <c r="E607" s="166">
        <f t="shared" si="9"/>
        <v>2003</v>
      </c>
      <c r="F607" s="157">
        <v>37681</v>
      </c>
      <c r="G607" s="158">
        <v>4.82</v>
      </c>
      <c r="J607" s="157">
        <v>26844</v>
      </c>
      <c r="K607" s="158">
        <v>7.11</v>
      </c>
    </row>
    <row r="608" spans="1:11" x14ac:dyDescent="0.25">
      <c r="A608" s="162">
        <v>23488</v>
      </c>
      <c r="B608" s="163">
        <v>4.2300000000000004</v>
      </c>
      <c r="C608" s="163"/>
      <c r="D608" s="163"/>
      <c r="E608" s="166">
        <f t="shared" si="9"/>
        <v>2003</v>
      </c>
      <c r="F608" s="157">
        <v>37712</v>
      </c>
      <c r="G608" s="158">
        <v>4.91</v>
      </c>
      <c r="J608" s="157">
        <v>26851</v>
      </c>
      <c r="K608" s="158">
        <v>7.16</v>
      </c>
    </row>
    <row r="609" spans="1:11" x14ac:dyDescent="0.25">
      <c r="A609" s="162">
        <v>23489</v>
      </c>
      <c r="B609" s="163">
        <v>4.2300000000000004</v>
      </c>
      <c r="C609" s="163"/>
      <c r="D609" s="163"/>
      <c r="E609" s="166">
        <f t="shared" si="9"/>
        <v>2003</v>
      </c>
      <c r="F609" s="157">
        <v>37742</v>
      </c>
      <c r="G609" s="158">
        <v>4.5199999999999996</v>
      </c>
      <c r="J609" s="157">
        <v>26858</v>
      </c>
      <c r="K609" s="158">
        <v>7.2</v>
      </c>
    </row>
    <row r="610" spans="1:11" x14ac:dyDescent="0.25">
      <c r="A610" s="162">
        <v>23490</v>
      </c>
      <c r="B610" s="163">
        <v>4.2300000000000004</v>
      </c>
      <c r="C610" s="163"/>
      <c r="D610" s="163"/>
      <c r="E610" s="166">
        <f t="shared" si="9"/>
        <v>2003</v>
      </c>
      <c r="F610" s="157">
        <v>37773</v>
      </c>
      <c r="G610" s="158">
        <v>4.34</v>
      </c>
      <c r="J610" s="157">
        <v>26865</v>
      </c>
      <c r="K610" s="158">
        <v>7.25</v>
      </c>
    </row>
    <row r="611" spans="1:11" x14ac:dyDescent="0.25">
      <c r="A611" s="162">
        <v>23491</v>
      </c>
      <c r="B611" s="163">
        <v>4.24</v>
      </c>
      <c r="C611" s="163"/>
      <c r="D611" s="163"/>
      <c r="E611" s="166">
        <f t="shared" si="9"/>
        <v>2003</v>
      </c>
      <c r="F611" s="157">
        <v>37803</v>
      </c>
      <c r="G611" s="158">
        <v>4.92</v>
      </c>
      <c r="J611" s="157">
        <v>26872</v>
      </c>
      <c r="K611" s="158">
        <v>7.39</v>
      </c>
    </row>
    <row r="612" spans="1:11" x14ac:dyDescent="0.25">
      <c r="A612" s="162">
        <v>23494</v>
      </c>
      <c r="B612" s="163">
        <v>4.24</v>
      </c>
      <c r="C612" s="163"/>
      <c r="D612" s="163"/>
      <c r="E612" s="166">
        <f t="shared" si="9"/>
        <v>2003</v>
      </c>
      <c r="F612" s="157">
        <v>37834</v>
      </c>
      <c r="G612" s="158">
        <v>5.39</v>
      </c>
      <c r="J612" s="157">
        <v>26879</v>
      </c>
      <c r="K612" s="158">
        <v>7.71</v>
      </c>
    </row>
    <row r="613" spans="1:11" x14ac:dyDescent="0.25">
      <c r="A613" s="162">
        <v>23495</v>
      </c>
      <c r="B613" s="163">
        <v>4.24</v>
      </c>
      <c r="C613" s="163"/>
      <c r="D613" s="163"/>
      <c r="E613" s="166">
        <f t="shared" si="9"/>
        <v>2003</v>
      </c>
      <c r="F613" s="157">
        <v>37865</v>
      </c>
      <c r="G613" s="158">
        <v>5.21</v>
      </c>
      <c r="J613" s="157">
        <v>26886</v>
      </c>
      <c r="K613" s="158">
        <v>7.79</v>
      </c>
    </row>
    <row r="614" spans="1:11" x14ac:dyDescent="0.25">
      <c r="A614" s="162">
        <v>23496</v>
      </c>
      <c r="B614" s="163">
        <v>4.24</v>
      </c>
      <c r="C614" s="163"/>
      <c r="D614" s="163"/>
      <c r="E614" s="166">
        <f t="shared" si="9"/>
        <v>2003</v>
      </c>
      <c r="F614" s="157">
        <v>37895</v>
      </c>
      <c r="G614" s="158">
        <v>5.21</v>
      </c>
      <c r="J614" s="157">
        <v>26893</v>
      </c>
      <c r="K614" s="158">
        <v>7.65</v>
      </c>
    </row>
    <row r="615" spans="1:11" x14ac:dyDescent="0.25">
      <c r="A615" s="162">
        <v>23497</v>
      </c>
      <c r="B615" s="163">
        <v>4.24</v>
      </c>
      <c r="C615" s="163"/>
      <c r="D615" s="163"/>
      <c r="E615" s="166">
        <f t="shared" si="9"/>
        <v>2003</v>
      </c>
      <c r="F615" s="157">
        <v>37926</v>
      </c>
      <c r="G615" s="158">
        <v>5.17</v>
      </c>
      <c r="J615" s="157">
        <v>26900</v>
      </c>
      <c r="K615" s="158">
        <v>7.52</v>
      </c>
    </row>
    <row r="616" spans="1:11" x14ac:dyDescent="0.25">
      <c r="A616" s="162">
        <v>23498</v>
      </c>
      <c r="B616" s="163">
        <v>4.24</v>
      </c>
      <c r="C616" s="163"/>
      <c r="D616" s="163"/>
      <c r="E616" s="166">
        <f t="shared" si="9"/>
        <v>2003</v>
      </c>
      <c r="F616" s="157">
        <v>37956</v>
      </c>
      <c r="G616" s="158">
        <v>5.1100000000000003</v>
      </c>
      <c r="J616" s="157">
        <v>26907</v>
      </c>
      <c r="K616" s="158">
        <v>7.4</v>
      </c>
    </row>
    <row r="617" spans="1:11" x14ac:dyDescent="0.25">
      <c r="A617" s="162">
        <v>23501</v>
      </c>
      <c r="B617" s="163">
        <v>4.2300000000000004</v>
      </c>
      <c r="C617" s="163"/>
      <c r="D617" s="163"/>
      <c r="E617" s="166"/>
      <c r="F617" s="157">
        <v>37987</v>
      </c>
      <c r="G617" s="158">
        <v>5.01</v>
      </c>
      <c r="J617" s="157">
        <v>26914</v>
      </c>
      <c r="K617" s="158">
        <v>7.25</v>
      </c>
    </row>
    <row r="618" spans="1:11" x14ac:dyDescent="0.25">
      <c r="A618" s="162">
        <v>23502</v>
      </c>
      <c r="B618" s="163">
        <v>4.2300000000000004</v>
      </c>
      <c r="C618" s="163"/>
      <c r="D618" s="163"/>
      <c r="E618" s="166"/>
      <c r="F618" s="157">
        <v>38018</v>
      </c>
      <c r="G618" s="158">
        <v>4.9400000000000004</v>
      </c>
      <c r="J618" s="157">
        <v>26921</v>
      </c>
      <c r="K618" s="158">
        <v>7.34</v>
      </c>
    </row>
    <row r="619" spans="1:11" x14ac:dyDescent="0.25">
      <c r="A619" s="162">
        <v>23503</v>
      </c>
      <c r="B619" s="163">
        <v>4.2300000000000004</v>
      </c>
      <c r="C619" s="163"/>
      <c r="D619" s="163"/>
      <c r="E619" s="166"/>
      <c r="F619" s="157">
        <v>38047</v>
      </c>
      <c r="G619" s="158">
        <v>4.72</v>
      </c>
      <c r="J619" s="157">
        <v>26928</v>
      </c>
      <c r="K619" s="158">
        <v>7.31</v>
      </c>
    </row>
    <row r="620" spans="1:11" x14ac:dyDescent="0.25">
      <c r="A620" s="162">
        <v>23504</v>
      </c>
      <c r="B620" s="163">
        <v>4.2300000000000004</v>
      </c>
      <c r="C620" s="163"/>
      <c r="D620" s="163"/>
      <c r="E620" s="166"/>
      <c r="F620" s="157">
        <v>38078</v>
      </c>
      <c r="G620" s="158">
        <v>5.16</v>
      </c>
      <c r="J620" s="157">
        <v>26935</v>
      </c>
      <c r="K620" s="158">
        <v>7.12</v>
      </c>
    </row>
    <row r="621" spans="1:11" x14ac:dyDescent="0.25">
      <c r="A621" s="162">
        <v>23505</v>
      </c>
      <c r="B621" s="163">
        <v>4.22</v>
      </c>
      <c r="C621" s="163"/>
      <c r="D621" s="163"/>
      <c r="E621" s="166"/>
      <c r="F621" s="157">
        <v>38108</v>
      </c>
      <c r="G621" s="158">
        <v>5.46</v>
      </c>
      <c r="J621" s="157">
        <v>26942</v>
      </c>
      <c r="K621" s="158">
        <v>7.13</v>
      </c>
    </row>
    <row r="622" spans="1:11" x14ac:dyDescent="0.25">
      <c r="A622" s="162">
        <v>23508</v>
      </c>
      <c r="B622" s="163">
        <v>4.22</v>
      </c>
      <c r="C622" s="163"/>
      <c r="D622" s="163"/>
      <c r="E622" s="166"/>
      <c r="F622" s="157">
        <v>38139</v>
      </c>
      <c r="G622" s="158">
        <v>5.45</v>
      </c>
      <c r="J622" s="157">
        <v>26949</v>
      </c>
      <c r="K622" s="158">
        <v>7.08</v>
      </c>
    </row>
    <row r="623" spans="1:11" x14ac:dyDescent="0.25">
      <c r="A623" s="162">
        <v>23509</v>
      </c>
      <c r="B623" s="163">
        <v>4.21</v>
      </c>
      <c r="C623" s="163"/>
      <c r="D623" s="163"/>
      <c r="E623" s="166">
        <f t="shared" si="9"/>
        <v>2004</v>
      </c>
      <c r="F623" s="157">
        <v>38169</v>
      </c>
      <c r="G623" s="158">
        <v>5.24</v>
      </c>
      <c r="J623" s="157">
        <v>26956</v>
      </c>
      <c r="K623" s="158">
        <v>7.21</v>
      </c>
    </row>
    <row r="624" spans="1:11" x14ac:dyDescent="0.25">
      <c r="A624" s="162">
        <v>23510</v>
      </c>
      <c r="B624" s="163">
        <v>4.21</v>
      </c>
      <c r="C624" s="163"/>
      <c r="D624" s="163"/>
      <c r="E624" s="166">
        <f t="shared" si="9"/>
        <v>2004</v>
      </c>
      <c r="F624" s="157">
        <v>38200</v>
      </c>
      <c r="G624" s="158">
        <v>5.07</v>
      </c>
      <c r="J624" s="157">
        <v>26963</v>
      </c>
      <c r="K624" s="158">
        <v>7.26</v>
      </c>
    </row>
    <row r="625" spans="1:11" x14ac:dyDescent="0.25">
      <c r="A625" s="162">
        <v>23511</v>
      </c>
      <c r="B625" s="163">
        <v>4.2</v>
      </c>
      <c r="C625" s="163"/>
      <c r="D625" s="163"/>
      <c r="E625" s="166">
        <f t="shared" si="9"/>
        <v>2004</v>
      </c>
      <c r="F625" s="157">
        <v>38231</v>
      </c>
      <c r="G625" s="158">
        <v>4.8899999999999997</v>
      </c>
      <c r="J625" s="157">
        <v>26970</v>
      </c>
      <c r="K625" s="158">
        <v>7.28</v>
      </c>
    </row>
    <row r="626" spans="1:11" x14ac:dyDescent="0.25">
      <c r="A626" s="162">
        <v>23512</v>
      </c>
      <c r="B626" s="163">
        <v>4.2</v>
      </c>
      <c r="C626" s="163"/>
      <c r="D626" s="163"/>
      <c r="E626" s="166">
        <f t="shared" si="9"/>
        <v>2004</v>
      </c>
      <c r="F626" s="157">
        <v>38261</v>
      </c>
      <c r="G626" s="158">
        <v>4.8499999999999996</v>
      </c>
      <c r="J626" s="157">
        <v>26977</v>
      </c>
      <c r="K626" s="158">
        <v>7.33</v>
      </c>
    </row>
    <row r="627" spans="1:11" x14ac:dyDescent="0.25">
      <c r="A627" s="162">
        <v>23515</v>
      </c>
      <c r="B627" s="163">
        <v>4.1900000000000004</v>
      </c>
      <c r="C627" s="163"/>
      <c r="D627" s="163"/>
      <c r="E627" s="166">
        <f t="shared" si="9"/>
        <v>2004</v>
      </c>
      <c r="F627" s="157">
        <v>38292</v>
      </c>
      <c r="G627" s="158">
        <v>4.8899999999999997</v>
      </c>
      <c r="J627" s="157">
        <v>26984</v>
      </c>
      <c r="K627" s="158">
        <v>7.36</v>
      </c>
    </row>
    <row r="628" spans="1:11" x14ac:dyDescent="0.25">
      <c r="A628" s="162">
        <v>23516</v>
      </c>
      <c r="B628" s="163">
        <v>4.18</v>
      </c>
      <c r="C628" s="163"/>
      <c r="D628" s="163"/>
      <c r="E628" s="166">
        <f t="shared" si="9"/>
        <v>2004</v>
      </c>
      <c r="F628" s="157">
        <v>38322</v>
      </c>
      <c r="G628" s="158">
        <v>4.88</v>
      </c>
      <c r="J628" s="157">
        <v>26991</v>
      </c>
      <c r="K628" s="158">
        <v>7.27</v>
      </c>
    </row>
    <row r="629" spans="1:11" x14ac:dyDescent="0.25">
      <c r="A629" s="162">
        <v>23517</v>
      </c>
      <c r="B629" s="163">
        <v>4.1900000000000004</v>
      </c>
      <c r="C629" s="163"/>
      <c r="D629" s="163"/>
      <c r="E629" s="166">
        <f t="shared" si="9"/>
        <v>2005</v>
      </c>
      <c r="F629" s="157">
        <v>38353</v>
      </c>
      <c r="G629" s="158">
        <v>4.7699999999999996</v>
      </c>
      <c r="J629" s="157">
        <v>26998</v>
      </c>
      <c r="K629" s="158">
        <v>7.23</v>
      </c>
    </row>
    <row r="630" spans="1:11" x14ac:dyDescent="0.25">
      <c r="A630" s="162">
        <v>23518</v>
      </c>
      <c r="B630" s="163">
        <v>4.1900000000000004</v>
      </c>
      <c r="C630" s="163"/>
      <c r="D630" s="163"/>
      <c r="E630" s="166">
        <f t="shared" si="9"/>
        <v>2005</v>
      </c>
      <c r="F630" s="157">
        <v>38384</v>
      </c>
      <c r="G630" s="158">
        <v>4.6100000000000003</v>
      </c>
      <c r="J630" s="157">
        <v>27005</v>
      </c>
      <c r="K630" s="158">
        <v>7.28</v>
      </c>
    </row>
    <row r="631" spans="1:11" x14ac:dyDescent="0.25">
      <c r="A631" s="162">
        <v>23519</v>
      </c>
      <c r="B631" s="163">
        <v>4.18</v>
      </c>
      <c r="C631" s="163"/>
      <c r="D631" s="163"/>
      <c r="E631" s="166">
        <f t="shared" si="9"/>
        <v>2005</v>
      </c>
      <c r="F631" s="157">
        <v>38412</v>
      </c>
      <c r="G631" s="158">
        <v>4.8899999999999997</v>
      </c>
      <c r="J631" s="157">
        <v>27012</v>
      </c>
      <c r="K631" s="158">
        <v>7.25</v>
      </c>
    </row>
    <row r="632" spans="1:11" x14ac:dyDescent="0.25">
      <c r="A632" s="162">
        <v>23522</v>
      </c>
      <c r="B632" s="163">
        <v>4.18</v>
      </c>
      <c r="C632" s="163"/>
      <c r="D632" s="163"/>
      <c r="E632" s="166">
        <f t="shared" si="9"/>
        <v>2005</v>
      </c>
      <c r="F632" s="157">
        <v>38443</v>
      </c>
      <c r="G632" s="158">
        <v>4.75</v>
      </c>
      <c r="J632" s="157">
        <v>27019</v>
      </c>
      <c r="K632" s="158">
        <v>7.27</v>
      </c>
    </row>
    <row r="633" spans="1:11" x14ac:dyDescent="0.25">
      <c r="A633" s="162">
        <v>23523</v>
      </c>
      <c r="B633" s="163">
        <v>4.18</v>
      </c>
      <c r="C633" s="163"/>
      <c r="D633" s="163"/>
      <c r="E633" s="166">
        <f t="shared" si="9"/>
        <v>2005</v>
      </c>
      <c r="F633" s="157">
        <v>38473</v>
      </c>
      <c r="G633" s="158">
        <v>4.5599999999999996</v>
      </c>
      <c r="J633" s="157">
        <v>27026</v>
      </c>
      <c r="K633" s="158">
        <v>7.38</v>
      </c>
    </row>
    <row r="634" spans="1:11" x14ac:dyDescent="0.25">
      <c r="A634" s="162">
        <v>23524</v>
      </c>
      <c r="B634" s="163">
        <v>4.18</v>
      </c>
      <c r="C634" s="163"/>
      <c r="D634" s="163"/>
      <c r="E634" s="166">
        <f t="shared" si="9"/>
        <v>2005</v>
      </c>
      <c r="F634" s="157">
        <v>38504</v>
      </c>
      <c r="G634" s="158">
        <v>4.3499999999999996</v>
      </c>
      <c r="J634" s="157">
        <v>27033</v>
      </c>
      <c r="K634" s="158">
        <v>7.4</v>
      </c>
    </row>
    <row r="635" spans="1:11" x14ac:dyDescent="0.25">
      <c r="A635" s="162">
        <v>23525</v>
      </c>
      <c r="B635" s="163">
        <v>4.18</v>
      </c>
      <c r="C635" s="163"/>
      <c r="D635" s="163"/>
      <c r="E635" s="166">
        <f t="shared" si="9"/>
        <v>2005</v>
      </c>
      <c r="F635" s="157">
        <v>38534</v>
      </c>
      <c r="G635" s="158">
        <v>4.4800000000000004</v>
      </c>
      <c r="J635" s="157">
        <v>27040</v>
      </c>
      <c r="K635" s="158">
        <v>7.47</v>
      </c>
    </row>
    <row r="636" spans="1:11" x14ac:dyDescent="0.25">
      <c r="A636" s="162">
        <v>23526</v>
      </c>
      <c r="B636" s="163" t="e">
        <f>NA()</f>
        <v>#N/A</v>
      </c>
      <c r="C636" s="163"/>
      <c r="D636" s="163"/>
      <c r="E636" s="166">
        <f t="shared" si="9"/>
        <v>2005</v>
      </c>
      <c r="F636" s="157">
        <v>38565</v>
      </c>
      <c r="G636" s="158">
        <v>4.53</v>
      </c>
      <c r="J636" s="157">
        <v>27047</v>
      </c>
      <c r="K636" s="158">
        <v>7.49</v>
      </c>
    </row>
    <row r="637" spans="1:11" x14ac:dyDescent="0.25">
      <c r="A637" s="162">
        <v>23529</v>
      </c>
      <c r="B637" s="164">
        <v>4.18</v>
      </c>
      <c r="C637" s="164"/>
      <c r="D637" s="164"/>
      <c r="E637" s="166">
        <f t="shared" si="9"/>
        <v>2005</v>
      </c>
      <c r="F637" s="157">
        <v>38596</v>
      </c>
      <c r="G637" s="158">
        <v>4.51</v>
      </c>
      <c r="J637" s="157">
        <v>27054</v>
      </c>
      <c r="K637" s="158">
        <v>7.5</v>
      </c>
    </row>
    <row r="638" spans="1:11" x14ac:dyDescent="0.25">
      <c r="A638" s="162">
        <v>23530</v>
      </c>
      <c r="B638" s="163">
        <v>4.18</v>
      </c>
      <c r="C638" s="163"/>
      <c r="D638" s="163"/>
      <c r="E638" s="166">
        <f t="shared" si="9"/>
        <v>2005</v>
      </c>
      <c r="F638" s="157">
        <v>38626</v>
      </c>
      <c r="G638" s="158">
        <v>4.74</v>
      </c>
      <c r="J638" s="157">
        <v>27061</v>
      </c>
      <c r="K638" s="158">
        <v>7.49</v>
      </c>
    </row>
    <row r="639" spans="1:11" x14ac:dyDescent="0.25">
      <c r="A639" s="162">
        <v>23531</v>
      </c>
      <c r="B639" s="163">
        <v>4.18</v>
      </c>
      <c r="C639" s="163"/>
      <c r="D639" s="163"/>
      <c r="E639" s="166">
        <f t="shared" si="9"/>
        <v>2005</v>
      </c>
      <c r="F639" s="157">
        <v>38657</v>
      </c>
      <c r="G639" s="158">
        <v>4.83</v>
      </c>
      <c r="J639" s="157">
        <v>27068</v>
      </c>
      <c r="K639" s="158">
        <v>7.43</v>
      </c>
    </row>
    <row r="640" spans="1:11" x14ac:dyDescent="0.25">
      <c r="A640" s="162">
        <v>23532</v>
      </c>
      <c r="B640" s="163">
        <v>4.18</v>
      </c>
      <c r="C640" s="163"/>
      <c r="D640" s="163"/>
      <c r="E640" s="166">
        <f t="shared" si="9"/>
        <v>2005</v>
      </c>
      <c r="F640" s="157">
        <v>38687</v>
      </c>
      <c r="G640" s="158">
        <v>4.7300000000000004</v>
      </c>
      <c r="J640" s="157">
        <v>27075</v>
      </c>
      <c r="K640" s="158">
        <v>7.42</v>
      </c>
    </row>
    <row r="641" spans="1:11" x14ac:dyDescent="0.25">
      <c r="A641" s="162">
        <v>23533</v>
      </c>
      <c r="B641" s="163">
        <v>4.18</v>
      </c>
      <c r="C641" s="163"/>
      <c r="D641" s="163"/>
      <c r="E641" s="166">
        <f t="shared" si="9"/>
        <v>2006</v>
      </c>
      <c r="F641" s="157">
        <v>38718</v>
      </c>
      <c r="G641" s="158">
        <v>4.6500000000000004</v>
      </c>
      <c r="J641" s="157">
        <v>27082</v>
      </c>
      <c r="K641" s="158">
        <v>7.47</v>
      </c>
    </row>
    <row r="642" spans="1:11" x14ac:dyDescent="0.25">
      <c r="A642" s="162">
        <v>23536</v>
      </c>
      <c r="B642" s="163">
        <v>4.17</v>
      </c>
      <c r="C642" s="163"/>
      <c r="D642" s="163"/>
      <c r="E642" s="166">
        <f t="shared" si="9"/>
        <v>2006</v>
      </c>
      <c r="F642" s="157">
        <v>38749</v>
      </c>
      <c r="G642" s="158">
        <v>4.7300000000000004</v>
      </c>
      <c r="J642" s="157">
        <v>27089</v>
      </c>
      <c r="K642" s="158">
        <v>7.54</v>
      </c>
    </row>
    <row r="643" spans="1:11" x14ac:dyDescent="0.25">
      <c r="A643" s="162">
        <v>23537</v>
      </c>
      <c r="B643" s="163">
        <v>4.17</v>
      </c>
      <c r="C643" s="163"/>
      <c r="D643" s="163"/>
      <c r="E643" s="166">
        <f t="shared" si="9"/>
        <v>2006</v>
      </c>
      <c r="F643" s="157">
        <v>38777</v>
      </c>
      <c r="G643" s="158">
        <v>4.91</v>
      </c>
      <c r="J643" s="157">
        <v>27096</v>
      </c>
      <c r="K643" s="158">
        <v>7.61</v>
      </c>
    </row>
    <row r="644" spans="1:11" x14ac:dyDescent="0.25">
      <c r="A644" s="162">
        <v>23538</v>
      </c>
      <c r="B644" s="163">
        <v>4.17</v>
      </c>
      <c r="C644" s="163"/>
      <c r="D644" s="163"/>
      <c r="E644" s="166">
        <f t="shared" si="9"/>
        <v>2006</v>
      </c>
      <c r="F644" s="157">
        <v>38808</v>
      </c>
      <c r="G644" s="158">
        <v>5.22</v>
      </c>
      <c r="J644" s="157">
        <v>27103</v>
      </c>
      <c r="K644" s="158">
        <v>7.66</v>
      </c>
    </row>
    <row r="645" spans="1:11" x14ac:dyDescent="0.25">
      <c r="A645" s="162">
        <v>23539</v>
      </c>
      <c r="B645" s="163">
        <v>4.18</v>
      </c>
      <c r="C645" s="163"/>
      <c r="D645" s="163"/>
      <c r="E645" s="166">
        <f t="shared" si="9"/>
        <v>2006</v>
      </c>
      <c r="F645" s="157">
        <v>38838</v>
      </c>
      <c r="G645" s="158">
        <v>5.35</v>
      </c>
      <c r="J645" s="157">
        <v>27110</v>
      </c>
      <c r="K645" s="158">
        <v>7.8</v>
      </c>
    </row>
    <row r="646" spans="1:11" x14ac:dyDescent="0.25">
      <c r="A646" s="162">
        <v>23540</v>
      </c>
      <c r="B646" s="163">
        <v>4.18</v>
      </c>
      <c r="C646" s="163"/>
      <c r="D646" s="163"/>
      <c r="E646" s="166">
        <f t="shared" si="9"/>
        <v>2006</v>
      </c>
      <c r="F646" s="157">
        <v>38869</v>
      </c>
      <c r="G646" s="158">
        <v>5.29</v>
      </c>
      <c r="J646" s="157">
        <v>27117</v>
      </c>
      <c r="K646" s="158">
        <v>7.86</v>
      </c>
    </row>
    <row r="647" spans="1:11" x14ac:dyDescent="0.25">
      <c r="A647" s="162">
        <v>23543</v>
      </c>
      <c r="B647" s="163">
        <v>4.18</v>
      </c>
      <c r="C647" s="163"/>
      <c r="D647" s="163"/>
      <c r="E647" s="166">
        <f t="shared" si="9"/>
        <v>2006</v>
      </c>
      <c r="F647" s="157">
        <v>38899</v>
      </c>
      <c r="G647" s="158">
        <v>5.25</v>
      </c>
      <c r="J647" s="157">
        <v>27124</v>
      </c>
      <c r="K647" s="158">
        <v>7.96</v>
      </c>
    </row>
    <row r="648" spans="1:11" x14ac:dyDescent="0.25">
      <c r="A648" s="162">
        <v>23544</v>
      </c>
      <c r="B648" s="163">
        <v>4.18</v>
      </c>
      <c r="C648" s="163"/>
      <c r="D648" s="163"/>
      <c r="E648" s="166">
        <f t="shared" si="9"/>
        <v>2006</v>
      </c>
      <c r="F648" s="157">
        <v>38930</v>
      </c>
      <c r="G648" s="158">
        <v>5.08</v>
      </c>
      <c r="J648" s="157">
        <v>27131</v>
      </c>
      <c r="K648" s="158">
        <v>7.99</v>
      </c>
    </row>
    <row r="649" spans="1:11" x14ac:dyDescent="0.25">
      <c r="A649" s="162">
        <v>23545</v>
      </c>
      <c r="B649" s="163">
        <v>4.17</v>
      </c>
      <c r="C649" s="163"/>
      <c r="D649" s="163"/>
      <c r="E649" s="166">
        <f t="shared" ref="E649:E712" si="10">YEAR(F649)</f>
        <v>2006</v>
      </c>
      <c r="F649" s="157">
        <v>38961</v>
      </c>
      <c r="G649" s="158">
        <v>4.93</v>
      </c>
      <c r="J649" s="157">
        <v>27138</v>
      </c>
      <c r="K649" s="158">
        <v>7.93</v>
      </c>
    </row>
    <row r="650" spans="1:11" x14ac:dyDescent="0.25">
      <c r="A650" s="162">
        <v>23546</v>
      </c>
      <c r="B650" s="163">
        <v>4.17</v>
      </c>
      <c r="C650" s="163"/>
      <c r="D650" s="163"/>
      <c r="E650" s="166">
        <f t="shared" si="10"/>
        <v>2006</v>
      </c>
      <c r="F650" s="157">
        <v>38991</v>
      </c>
      <c r="G650" s="158">
        <v>4.9400000000000004</v>
      </c>
      <c r="J650" s="157">
        <v>27145</v>
      </c>
      <c r="K650" s="158">
        <v>8.07</v>
      </c>
    </row>
    <row r="651" spans="1:11" x14ac:dyDescent="0.25">
      <c r="A651" s="162">
        <v>23547</v>
      </c>
      <c r="B651" s="163">
        <v>4.16</v>
      </c>
      <c r="C651" s="163"/>
      <c r="D651" s="163"/>
      <c r="E651" s="166">
        <f t="shared" si="10"/>
        <v>2006</v>
      </c>
      <c r="F651" s="157">
        <v>39022</v>
      </c>
      <c r="G651" s="158">
        <v>4.78</v>
      </c>
      <c r="J651" s="157">
        <v>27152</v>
      </c>
      <c r="K651" s="158">
        <v>8.18</v>
      </c>
    </row>
    <row r="652" spans="1:11" x14ac:dyDescent="0.25">
      <c r="A652" s="162">
        <v>23550</v>
      </c>
      <c r="B652" s="163">
        <v>4.16</v>
      </c>
      <c r="C652" s="163"/>
      <c r="D652" s="163"/>
      <c r="E652" s="166">
        <f t="shared" si="10"/>
        <v>2006</v>
      </c>
      <c r="F652" s="157">
        <v>39052</v>
      </c>
      <c r="G652" s="158">
        <v>4.78</v>
      </c>
      <c r="J652" s="157">
        <v>27159</v>
      </c>
      <c r="K652" s="158">
        <v>8.18</v>
      </c>
    </row>
    <row r="653" spans="1:11" x14ac:dyDescent="0.25">
      <c r="A653" s="162">
        <v>23551</v>
      </c>
      <c r="B653" s="163">
        <v>4.16</v>
      </c>
      <c r="C653" s="163"/>
      <c r="D653" s="163"/>
      <c r="E653" s="166">
        <f t="shared" si="10"/>
        <v>2007</v>
      </c>
      <c r="F653" s="157">
        <v>39083</v>
      </c>
      <c r="G653" s="158">
        <v>4.95</v>
      </c>
      <c r="J653" s="157">
        <v>27166</v>
      </c>
      <c r="K653" s="158">
        <v>8.1199999999999992</v>
      </c>
    </row>
    <row r="654" spans="1:11" x14ac:dyDescent="0.25">
      <c r="A654" s="162">
        <v>23552</v>
      </c>
      <c r="B654" s="163">
        <v>4.16</v>
      </c>
      <c r="C654" s="163"/>
      <c r="D654" s="163"/>
      <c r="E654" s="166">
        <f t="shared" si="10"/>
        <v>2007</v>
      </c>
      <c r="F654" s="157">
        <v>39114</v>
      </c>
      <c r="G654" s="158">
        <v>4.93</v>
      </c>
      <c r="J654" s="157">
        <v>27173</v>
      </c>
      <c r="K654" s="158">
        <v>8.14</v>
      </c>
    </row>
    <row r="655" spans="1:11" x14ac:dyDescent="0.25">
      <c r="A655" s="162">
        <v>23553</v>
      </c>
      <c r="B655" s="163">
        <v>4.16</v>
      </c>
      <c r="C655" s="163"/>
      <c r="D655" s="163"/>
      <c r="E655" s="166">
        <f t="shared" si="10"/>
        <v>2007</v>
      </c>
      <c r="F655" s="157">
        <v>39142</v>
      </c>
      <c r="G655" s="158">
        <v>4.8099999999999996</v>
      </c>
      <c r="J655" s="157">
        <v>27180</v>
      </c>
      <c r="K655" s="158">
        <v>8.1300000000000008</v>
      </c>
    </row>
    <row r="656" spans="1:11" x14ac:dyDescent="0.25">
      <c r="A656" s="162">
        <v>23554</v>
      </c>
      <c r="B656" s="163">
        <v>4.16</v>
      </c>
      <c r="C656" s="163"/>
      <c r="D656" s="163"/>
      <c r="E656" s="166">
        <f t="shared" si="10"/>
        <v>2007</v>
      </c>
      <c r="F656" s="157">
        <v>39173</v>
      </c>
      <c r="G656" s="158">
        <v>4.95</v>
      </c>
      <c r="J656" s="157">
        <v>27187</v>
      </c>
      <c r="K656" s="158">
        <v>8.11</v>
      </c>
    </row>
    <row r="657" spans="1:11" x14ac:dyDescent="0.25">
      <c r="A657" s="162">
        <v>23557</v>
      </c>
      <c r="B657" s="163">
        <v>4.1500000000000004</v>
      </c>
      <c r="C657" s="163"/>
      <c r="D657" s="163"/>
      <c r="E657" s="166">
        <f t="shared" si="10"/>
        <v>2007</v>
      </c>
      <c r="F657" s="157">
        <v>39203</v>
      </c>
      <c r="G657" s="158">
        <v>4.9800000000000004</v>
      </c>
      <c r="J657" s="157">
        <v>27194</v>
      </c>
      <c r="K657" s="158">
        <v>8.06</v>
      </c>
    </row>
    <row r="658" spans="1:11" x14ac:dyDescent="0.25">
      <c r="A658" s="162">
        <v>23558</v>
      </c>
      <c r="B658" s="163">
        <v>4.1500000000000004</v>
      </c>
      <c r="C658" s="163"/>
      <c r="D658" s="163"/>
      <c r="E658" s="166">
        <f t="shared" si="10"/>
        <v>2007</v>
      </c>
      <c r="F658" s="157">
        <v>39234</v>
      </c>
      <c r="G658" s="158">
        <v>5.29</v>
      </c>
      <c r="J658" s="157">
        <v>27201</v>
      </c>
      <c r="K658" s="158">
        <v>8.1</v>
      </c>
    </row>
    <row r="659" spans="1:11" x14ac:dyDescent="0.25">
      <c r="A659" s="162">
        <v>23559</v>
      </c>
      <c r="B659" s="164">
        <v>4.1500000000000004</v>
      </c>
      <c r="C659" s="164"/>
      <c r="D659" s="164"/>
      <c r="E659" s="166">
        <f t="shared" si="10"/>
        <v>2007</v>
      </c>
      <c r="F659" s="157">
        <v>39264</v>
      </c>
      <c r="G659" s="158">
        <v>5.19</v>
      </c>
      <c r="J659" s="157">
        <v>27208</v>
      </c>
      <c r="K659" s="158">
        <v>8.16</v>
      </c>
    </row>
    <row r="660" spans="1:11" x14ac:dyDescent="0.25">
      <c r="A660" s="162">
        <v>23560</v>
      </c>
      <c r="B660" s="163">
        <v>4.1500000000000004</v>
      </c>
      <c r="C660" s="163"/>
      <c r="D660" s="163"/>
      <c r="E660" s="166">
        <f t="shared" si="10"/>
        <v>2007</v>
      </c>
      <c r="F660" s="157">
        <v>39295</v>
      </c>
      <c r="G660" s="158">
        <v>5</v>
      </c>
      <c r="J660" s="157">
        <v>27215</v>
      </c>
      <c r="K660" s="158">
        <v>8.1999999999999993</v>
      </c>
    </row>
    <row r="661" spans="1:11" x14ac:dyDescent="0.25">
      <c r="A661" s="162">
        <v>23561</v>
      </c>
      <c r="B661" s="163" t="e">
        <f>NA()</f>
        <v>#N/A</v>
      </c>
      <c r="C661" s="163"/>
      <c r="D661" s="163"/>
      <c r="E661" s="166">
        <f t="shared" si="10"/>
        <v>2007</v>
      </c>
      <c r="F661" s="157">
        <v>39326</v>
      </c>
      <c r="G661" s="158">
        <v>4.84</v>
      </c>
      <c r="J661" s="157">
        <v>27222</v>
      </c>
      <c r="K661" s="158">
        <v>8.3000000000000007</v>
      </c>
    </row>
    <row r="662" spans="1:11" x14ac:dyDescent="0.25">
      <c r="A662" s="162">
        <v>23564</v>
      </c>
      <c r="B662" s="163">
        <v>4.1500000000000004</v>
      </c>
      <c r="C662" s="163"/>
      <c r="D662" s="163"/>
      <c r="E662" s="166">
        <f t="shared" si="10"/>
        <v>2007</v>
      </c>
      <c r="F662" s="157">
        <v>39356</v>
      </c>
      <c r="G662" s="158">
        <v>4.83</v>
      </c>
      <c r="J662" s="157">
        <v>27229</v>
      </c>
      <c r="K662" s="158">
        <v>8.31</v>
      </c>
    </row>
    <row r="663" spans="1:11" x14ac:dyDescent="0.25">
      <c r="A663" s="162">
        <v>23565</v>
      </c>
      <c r="B663" s="163">
        <v>4.1500000000000004</v>
      </c>
      <c r="C663" s="163"/>
      <c r="D663" s="163"/>
      <c r="E663" s="166">
        <f t="shared" si="10"/>
        <v>2007</v>
      </c>
      <c r="F663" s="157">
        <v>39387</v>
      </c>
      <c r="G663" s="158">
        <v>4.5599999999999996</v>
      </c>
      <c r="J663" s="157">
        <v>27236</v>
      </c>
      <c r="K663" s="158">
        <v>8.1999999999999993</v>
      </c>
    </row>
    <row r="664" spans="1:11" x14ac:dyDescent="0.25">
      <c r="A664" s="162">
        <v>23566</v>
      </c>
      <c r="B664" s="164">
        <v>4.1500000000000004</v>
      </c>
      <c r="C664" s="164"/>
      <c r="D664" s="164"/>
      <c r="E664" s="166">
        <f t="shared" si="10"/>
        <v>2007</v>
      </c>
      <c r="F664" s="157">
        <v>39417</v>
      </c>
      <c r="G664" s="158">
        <v>4.57</v>
      </c>
      <c r="J664" s="157">
        <v>27243</v>
      </c>
      <c r="K664" s="158">
        <v>8.3800000000000008</v>
      </c>
    </row>
    <row r="665" spans="1:11" x14ac:dyDescent="0.25">
      <c r="A665" s="162">
        <v>23567</v>
      </c>
      <c r="B665" s="163">
        <v>4.16</v>
      </c>
      <c r="C665" s="163"/>
      <c r="D665" s="163"/>
      <c r="E665" s="166">
        <f t="shared" si="10"/>
        <v>2008</v>
      </c>
      <c r="F665" s="157">
        <v>39448</v>
      </c>
      <c r="G665" s="158">
        <v>4.3499999999999996</v>
      </c>
      <c r="J665" s="157">
        <v>27250</v>
      </c>
      <c r="K665" s="158">
        <v>8.5399999999999991</v>
      </c>
    </row>
    <row r="666" spans="1:11" x14ac:dyDescent="0.25">
      <c r="A666" s="162">
        <v>23568</v>
      </c>
      <c r="B666" s="163">
        <v>4.16</v>
      </c>
      <c r="C666" s="163"/>
      <c r="D666" s="163"/>
      <c r="E666" s="166">
        <f t="shared" si="10"/>
        <v>2008</v>
      </c>
      <c r="F666" s="157">
        <v>39479</v>
      </c>
      <c r="G666" s="158">
        <v>4.49</v>
      </c>
      <c r="J666" s="157">
        <v>27257</v>
      </c>
      <c r="K666" s="158">
        <v>8.6</v>
      </c>
    </row>
    <row r="667" spans="1:11" x14ac:dyDescent="0.25">
      <c r="A667" s="162">
        <v>23571</v>
      </c>
      <c r="B667" s="163">
        <v>4.17</v>
      </c>
      <c r="C667" s="163"/>
      <c r="D667" s="163"/>
      <c r="E667" s="166">
        <f t="shared" si="10"/>
        <v>2008</v>
      </c>
      <c r="F667" s="157">
        <v>39508</v>
      </c>
      <c r="G667" s="158">
        <v>4.3600000000000003</v>
      </c>
      <c r="J667" s="157">
        <v>27264</v>
      </c>
      <c r="K667" s="158">
        <v>8.6199999999999992</v>
      </c>
    </row>
    <row r="668" spans="1:11" x14ac:dyDescent="0.25">
      <c r="A668" s="162">
        <v>23572</v>
      </c>
      <c r="B668" s="163">
        <v>4.16</v>
      </c>
      <c r="C668" s="163"/>
      <c r="D668" s="163"/>
      <c r="E668" s="166">
        <f t="shared" si="10"/>
        <v>2008</v>
      </c>
      <c r="F668" s="157">
        <v>39539</v>
      </c>
      <c r="G668" s="158">
        <v>4.4400000000000004</v>
      </c>
      <c r="J668" s="157">
        <v>27271</v>
      </c>
      <c r="K668" s="158">
        <v>8.68</v>
      </c>
    </row>
    <row r="669" spans="1:11" x14ac:dyDescent="0.25">
      <c r="A669" s="162">
        <v>23573</v>
      </c>
      <c r="B669" s="163">
        <v>4.16</v>
      </c>
      <c r="C669" s="163"/>
      <c r="D669" s="163"/>
      <c r="E669" s="166">
        <f t="shared" si="10"/>
        <v>2008</v>
      </c>
      <c r="F669" s="157">
        <v>39569</v>
      </c>
      <c r="G669" s="158">
        <v>4.5999999999999996</v>
      </c>
      <c r="J669" s="157">
        <v>27278</v>
      </c>
      <c r="K669" s="158">
        <v>8.65</v>
      </c>
    </row>
    <row r="670" spans="1:11" x14ac:dyDescent="0.25">
      <c r="A670" s="162">
        <v>23574</v>
      </c>
      <c r="B670" s="163">
        <v>4.16</v>
      </c>
      <c r="C670" s="163"/>
      <c r="D670" s="163"/>
      <c r="E670" s="166">
        <f t="shared" si="10"/>
        <v>2008</v>
      </c>
      <c r="F670" s="157">
        <v>39600</v>
      </c>
      <c r="G670" s="158">
        <v>4.74</v>
      </c>
      <c r="J670" s="157">
        <v>27285</v>
      </c>
      <c r="K670" s="158">
        <v>8.6</v>
      </c>
    </row>
    <row r="671" spans="1:11" x14ac:dyDescent="0.25">
      <c r="A671" s="162">
        <v>23575</v>
      </c>
      <c r="B671" s="163">
        <v>4.17</v>
      </c>
      <c r="C671" s="163"/>
      <c r="D671" s="163"/>
      <c r="E671" s="166">
        <f t="shared" si="10"/>
        <v>2008</v>
      </c>
      <c r="F671" s="157">
        <v>39630</v>
      </c>
      <c r="G671" s="158">
        <v>4.62</v>
      </c>
      <c r="J671" s="157">
        <v>27292</v>
      </c>
      <c r="K671" s="158">
        <v>8.6300000000000008</v>
      </c>
    </row>
    <row r="672" spans="1:11" x14ac:dyDescent="0.25">
      <c r="A672" s="162">
        <v>23578</v>
      </c>
      <c r="B672" s="163">
        <v>4.18</v>
      </c>
      <c r="C672" s="163"/>
      <c r="D672" s="163"/>
      <c r="E672" s="166">
        <f t="shared" si="10"/>
        <v>2008</v>
      </c>
      <c r="F672" s="157">
        <v>39661</v>
      </c>
      <c r="G672" s="158">
        <v>4.53</v>
      </c>
      <c r="J672" s="157">
        <v>27299</v>
      </c>
      <c r="K672" s="158">
        <v>8.5299999999999994</v>
      </c>
    </row>
    <row r="673" spans="1:11" x14ac:dyDescent="0.25">
      <c r="A673" s="162">
        <v>23579</v>
      </c>
      <c r="B673" s="163">
        <v>4.18</v>
      </c>
      <c r="C673" s="163"/>
      <c r="D673" s="163"/>
      <c r="E673" s="166">
        <f t="shared" si="10"/>
        <v>2008</v>
      </c>
      <c r="F673" s="157">
        <v>39692</v>
      </c>
      <c r="G673" s="158">
        <v>4.32</v>
      </c>
      <c r="J673" s="157">
        <v>27306</v>
      </c>
      <c r="K673" s="158">
        <v>8.5399999999999991</v>
      </c>
    </row>
    <row r="674" spans="1:11" x14ac:dyDescent="0.25">
      <c r="A674" s="162">
        <v>23580</v>
      </c>
      <c r="B674" s="164">
        <v>4.18</v>
      </c>
      <c r="C674" s="164"/>
      <c r="D674" s="164"/>
      <c r="E674" s="166">
        <f t="shared" si="10"/>
        <v>2008</v>
      </c>
      <c r="F674" s="157">
        <v>39722</v>
      </c>
      <c r="G674" s="158">
        <v>4.45</v>
      </c>
      <c r="J674" s="157">
        <v>27313</v>
      </c>
      <c r="K674" s="158">
        <v>8.44</v>
      </c>
    </row>
    <row r="675" spans="1:11" x14ac:dyDescent="0.25">
      <c r="A675" s="162">
        <v>23581</v>
      </c>
      <c r="B675" s="163">
        <v>4.17</v>
      </c>
      <c r="C675" s="163"/>
      <c r="D675" s="163"/>
      <c r="E675" s="166">
        <f t="shared" si="10"/>
        <v>2008</v>
      </c>
      <c r="F675" s="157">
        <v>39753</v>
      </c>
      <c r="G675" s="158">
        <v>4.2699999999999996</v>
      </c>
      <c r="J675" s="157">
        <v>27320</v>
      </c>
      <c r="K675" s="158">
        <v>8.34</v>
      </c>
    </row>
    <row r="676" spans="1:11" x14ac:dyDescent="0.25">
      <c r="A676" s="162">
        <v>23582</v>
      </c>
      <c r="B676" s="163">
        <v>4.17</v>
      </c>
      <c r="C676" s="163"/>
      <c r="D676" s="163"/>
      <c r="E676" s="166">
        <f t="shared" si="10"/>
        <v>2008</v>
      </c>
      <c r="F676" s="157">
        <v>39783</v>
      </c>
      <c r="G676" s="158">
        <v>3.18</v>
      </c>
      <c r="J676" s="157">
        <v>27327</v>
      </c>
      <c r="K676" s="158">
        <v>8.3000000000000007</v>
      </c>
    </row>
    <row r="677" spans="1:11" x14ac:dyDescent="0.25">
      <c r="A677" s="162">
        <v>23585</v>
      </c>
      <c r="B677" s="163">
        <v>4.17</v>
      </c>
      <c r="C677" s="163"/>
      <c r="D677" s="163"/>
      <c r="E677" s="166">
        <f t="shared" si="10"/>
        <v>2009</v>
      </c>
      <c r="F677" s="157">
        <v>39814</v>
      </c>
      <c r="G677" s="158">
        <v>3.46</v>
      </c>
      <c r="J677" s="157">
        <v>27334</v>
      </c>
      <c r="K677" s="158">
        <v>8.19</v>
      </c>
    </row>
    <row r="678" spans="1:11" x14ac:dyDescent="0.25">
      <c r="A678" s="162">
        <v>23586</v>
      </c>
      <c r="B678" s="163">
        <v>4.17</v>
      </c>
      <c r="C678" s="163"/>
      <c r="D678" s="163"/>
      <c r="E678" s="166">
        <f t="shared" si="10"/>
        <v>2009</v>
      </c>
      <c r="F678" s="157">
        <v>39845</v>
      </c>
      <c r="G678" s="158">
        <v>3.83</v>
      </c>
      <c r="J678" s="157">
        <v>27341</v>
      </c>
      <c r="K678" s="158">
        <v>8.07</v>
      </c>
    </row>
    <row r="679" spans="1:11" x14ac:dyDescent="0.25">
      <c r="A679" s="162">
        <v>23587</v>
      </c>
      <c r="B679" s="163">
        <v>4.17</v>
      </c>
      <c r="C679" s="163"/>
      <c r="D679" s="163"/>
      <c r="E679" s="166">
        <f t="shared" si="10"/>
        <v>2009</v>
      </c>
      <c r="F679" s="157">
        <v>39873</v>
      </c>
      <c r="G679" s="158">
        <v>3.78</v>
      </c>
      <c r="J679" s="157">
        <v>27348</v>
      </c>
      <c r="K679" s="158">
        <v>7.96</v>
      </c>
    </row>
    <row r="680" spans="1:11" x14ac:dyDescent="0.25">
      <c r="A680" s="162">
        <v>23588</v>
      </c>
      <c r="B680" s="163">
        <v>4.17</v>
      </c>
      <c r="C680" s="163"/>
      <c r="D680" s="163"/>
      <c r="E680" s="166">
        <f t="shared" si="10"/>
        <v>2009</v>
      </c>
      <c r="F680" s="157">
        <v>39904</v>
      </c>
      <c r="G680" s="158">
        <v>3.84</v>
      </c>
      <c r="J680" s="157">
        <v>27355</v>
      </c>
      <c r="K680" s="158">
        <v>7.94</v>
      </c>
    </row>
    <row r="681" spans="1:11" x14ac:dyDescent="0.25">
      <c r="A681" s="162">
        <v>23589</v>
      </c>
      <c r="B681" s="163">
        <v>4.17</v>
      </c>
      <c r="C681" s="163"/>
      <c r="D681" s="163"/>
      <c r="E681" s="166">
        <f t="shared" si="10"/>
        <v>2009</v>
      </c>
      <c r="F681" s="157">
        <v>39934</v>
      </c>
      <c r="G681" s="158">
        <v>4.22</v>
      </c>
      <c r="J681" s="157">
        <v>27362</v>
      </c>
      <c r="K681" s="158">
        <v>7.95</v>
      </c>
    </row>
    <row r="682" spans="1:11" x14ac:dyDescent="0.25">
      <c r="A682" s="162">
        <v>23592</v>
      </c>
      <c r="B682" s="163">
        <v>4.17</v>
      </c>
      <c r="C682" s="163"/>
      <c r="D682" s="163"/>
      <c r="E682" s="166">
        <f t="shared" si="10"/>
        <v>2009</v>
      </c>
      <c r="F682" s="157">
        <v>39965</v>
      </c>
      <c r="G682" s="158">
        <v>4.51</v>
      </c>
      <c r="J682" s="157">
        <v>27369</v>
      </c>
      <c r="K682" s="158">
        <v>8.01</v>
      </c>
    </row>
    <row r="683" spans="1:11" x14ac:dyDescent="0.25">
      <c r="A683" s="162">
        <v>23593</v>
      </c>
      <c r="B683" s="163">
        <v>4.17</v>
      </c>
      <c r="C683" s="163"/>
      <c r="D683" s="163"/>
      <c r="E683" s="166">
        <f t="shared" si="10"/>
        <v>2009</v>
      </c>
      <c r="F683" s="157">
        <v>39995</v>
      </c>
      <c r="G683" s="158">
        <v>4.38</v>
      </c>
      <c r="J683" s="157">
        <v>27376</v>
      </c>
      <c r="K683" s="158">
        <v>7.87</v>
      </c>
    </row>
    <row r="684" spans="1:11" x14ac:dyDescent="0.25">
      <c r="A684" s="162">
        <v>23594</v>
      </c>
      <c r="B684" s="163">
        <v>4.17</v>
      </c>
      <c r="C684" s="163"/>
      <c r="D684" s="163"/>
      <c r="E684" s="166">
        <f t="shared" si="10"/>
        <v>2009</v>
      </c>
      <c r="F684" s="157">
        <v>40026</v>
      </c>
      <c r="G684" s="158">
        <v>4.33</v>
      </c>
      <c r="J684" s="157">
        <v>27383</v>
      </c>
      <c r="K684" s="158">
        <v>7.84</v>
      </c>
    </row>
    <row r="685" spans="1:11" x14ac:dyDescent="0.25">
      <c r="A685" s="162">
        <v>23595</v>
      </c>
      <c r="B685" s="163">
        <v>4.17</v>
      </c>
      <c r="C685" s="163"/>
      <c r="D685" s="163"/>
      <c r="E685" s="166">
        <f t="shared" si="10"/>
        <v>2009</v>
      </c>
      <c r="F685" s="157">
        <v>40057</v>
      </c>
      <c r="G685" s="158">
        <v>4.1399999999999997</v>
      </c>
      <c r="J685" s="157">
        <v>27390</v>
      </c>
      <c r="K685" s="158">
        <v>7.92</v>
      </c>
    </row>
    <row r="686" spans="1:11" x14ac:dyDescent="0.25">
      <c r="A686" s="162">
        <v>23596</v>
      </c>
      <c r="B686" s="163">
        <v>4.17</v>
      </c>
      <c r="C686" s="163"/>
      <c r="D686" s="163"/>
      <c r="E686" s="166">
        <f t="shared" si="10"/>
        <v>2009</v>
      </c>
      <c r="F686" s="157">
        <v>40087</v>
      </c>
      <c r="G686" s="158">
        <v>4.16</v>
      </c>
      <c r="J686" s="157">
        <v>27397</v>
      </c>
      <c r="K686" s="158">
        <v>7.93</v>
      </c>
    </row>
    <row r="687" spans="1:11" x14ac:dyDescent="0.25">
      <c r="A687" s="162">
        <v>23599</v>
      </c>
      <c r="B687" s="163">
        <v>4.17</v>
      </c>
      <c r="C687" s="163"/>
      <c r="D687" s="163"/>
      <c r="E687" s="166">
        <f t="shared" si="10"/>
        <v>2009</v>
      </c>
      <c r="F687" s="157">
        <v>40118</v>
      </c>
      <c r="G687" s="158">
        <v>4.24</v>
      </c>
      <c r="J687" s="157">
        <v>27404</v>
      </c>
      <c r="K687" s="158">
        <v>7.84</v>
      </c>
    </row>
    <row r="688" spans="1:11" x14ac:dyDescent="0.25">
      <c r="A688" s="162">
        <v>23600</v>
      </c>
      <c r="B688" s="163">
        <v>4.18</v>
      </c>
      <c r="C688" s="163"/>
      <c r="D688" s="163"/>
      <c r="E688" s="166">
        <f t="shared" si="10"/>
        <v>2009</v>
      </c>
      <c r="F688" s="157">
        <v>40148</v>
      </c>
      <c r="G688" s="158">
        <v>4.4000000000000004</v>
      </c>
      <c r="J688" s="157">
        <v>27411</v>
      </c>
      <c r="K688" s="158">
        <v>7.85</v>
      </c>
    </row>
    <row r="689" spans="1:11" x14ac:dyDescent="0.25">
      <c r="A689" s="162">
        <v>23601</v>
      </c>
      <c r="B689" s="163">
        <v>4.18</v>
      </c>
      <c r="C689" s="163"/>
      <c r="D689" s="163"/>
      <c r="E689" s="166">
        <f t="shared" si="10"/>
        <v>2010</v>
      </c>
      <c r="F689" s="157">
        <v>40179</v>
      </c>
      <c r="G689" s="158">
        <v>4.5</v>
      </c>
      <c r="J689" s="157">
        <v>27418</v>
      </c>
      <c r="K689" s="158">
        <v>7.9</v>
      </c>
    </row>
    <row r="690" spans="1:11" x14ac:dyDescent="0.25">
      <c r="A690" s="162">
        <v>23602</v>
      </c>
      <c r="B690" s="163">
        <v>4.1900000000000004</v>
      </c>
      <c r="C690" s="163"/>
      <c r="D690" s="163"/>
      <c r="E690" s="166">
        <f t="shared" si="10"/>
        <v>2010</v>
      </c>
      <c r="F690" s="157">
        <v>40210</v>
      </c>
      <c r="G690" s="158">
        <v>4.4800000000000004</v>
      </c>
      <c r="J690" s="157">
        <v>27425</v>
      </c>
      <c r="K690" s="158">
        <v>7.89</v>
      </c>
    </row>
    <row r="691" spans="1:11" x14ac:dyDescent="0.25">
      <c r="A691" s="162">
        <v>23603</v>
      </c>
      <c r="B691" s="163">
        <v>4.18</v>
      </c>
      <c r="C691" s="163"/>
      <c r="D691" s="163"/>
      <c r="E691" s="166">
        <f t="shared" si="10"/>
        <v>2010</v>
      </c>
      <c r="F691" s="157">
        <v>40238</v>
      </c>
      <c r="G691" s="158">
        <v>4.49</v>
      </c>
      <c r="J691" s="157">
        <v>27432</v>
      </c>
      <c r="K691" s="158">
        <v>7.75</v>
      </c>
    </row>
    <row r="692" spans="1:11" x14ac:dyDescent="0.25">
      <c r="A692" s="162">
        <v>23606</v>
      </c>
      <c r="B692" s="163">
        <v>4.18</v>
      </c>
      <c r="C692" s="163"/>
      <c r="D692" s="163"/>
      <c r="E692" s="166">
        <f t="shared" si="10"/>
        <v>2010</v>
      </c>
      <c r="F692" s="157">
        <v>40269</v>
      </c>
      <c r="G692" s="158">
        <v>4.53</v>
      </c>
      <c r="J692" s="157">
        <v>27439</v>
      </c>
      <c r="K692" s="158">
        <v>7.74</v>
      </c>
    </row>
    <row r="693" spans="1:11" x14ac:dyDescent="0.25">
      <c r="A693" s="162">
        <v>23607</v>
      </c>
      <c r="B693" s="163">
        <v>4.18</v>
      </c>
      <c r="C693" s="163"/>
      <c r="D693" s="163"/>
      <c r="E693" s="166">
        <f t="shared" si="10"/>
        <v>2010</v>
      </c>
      <c r="F693" s="157">
        <v>40299</v>
      </c>
      <c r="G693" s="158">
        <v>4.1100000000000003</v>
      </c>
      <c r="J693" s="157">
        <v>27446</v>
      </c>
      <c r="K693" s="158">
        <v>7.63</v>
      </c>
    </row>
    <row r="694" spans="1:11" x14ac:dyDescent="0.25">
      <c r="A694" s="162">
        <v>23608</v>
      </c>
      <c r="B694" s="163">
        <v>4.18</v>
      </c>
      <c r="C694" s="163"/>
      <c r="D694" s="163"/>
      <c r="E694" s="166">
        <f t="shared" si="10"/>
        <v>2010</v>
      </c>
      <c r="F694" s="157">
        <v>40330</v>
      </c>
      <c r="G694" s="158">
        <v>3.95</v>
      </c>
      <c r="J694" s="157">
        <v>27453</v>
      </c>
      <c r="K694" s="158">
        <v>7.71</v>
      </c>
    </row>
    <row r="695" spans="1:11" x14ac:dyDescent="0.25">
      <c r="A695" s="162">
        <v>23609</v>
      </c>
      <c r="B695" s="163">
        <v>4.18</v>
      </c>
      <c r="C695" s="163"/>
      <c r="D695" s="163"/>
      <c r="E695" s="166">
        <f t="shared" si="10"/>
        <v>2010</v>
      </c>
      <c r="F695" s="157">
        <v>40360</v>
      </c>
      <c r="G695" s="158">
        <v>3.8</v>
      </c>
      <c r="J695" s="157">
        <v>27460</v>
      </c>
      <c r="K695" s="158">
        <v>7.75</v>
      </c>
    </row>
    <row r="696" spans="1:11" x14ac:dyDescent="0.25">
      <c r="A696" s="162">
        <v>23610</v>
      </c>
      <c r="B696" s="163">
        <v>4.18</v>
      </c>
      <c r="C696" s="163"/>
      <c r="D696" s="163"/>
      <c r="E696" s="166">
        <f t="shared" si="10"/>
        <v>2010</v>
      </c>
      <c r="F696" s="157">
        <v>40391</v>
      </c>
      <c r="G696" s="158">
        <v>3.52</v>
      </c>
      <c r="J696" s="157">
        <v>27467</v>
      </c>
      <c r="K696" s="158">
        <v>7.83</v>
      </c>
    </row>
    <row r="697" spans="1:11" x14ac:dyDescent="0.25">
      <c r="A697" s="162">
        <v>23613</v>
      </c>
      <c r="B697" s="163">
        <v>4.1900000000000004</v>
      </c>
      <c r="C697" s="163"/>
      <c r="D697" s="163"/>
      <c r="E697" s="166">
        <f t="shared" si="10"/>
        <v>2010</v>
      </c>
      <c r="F697" s="157">
        <v>40422</v>
      </c>
      <c r="G697" s="158">
        <v>3.47</v>
      </c>
      <c r="J697" s="157">
        <v>27474</v>
      </c>
      <c r="K697" s="158">
        <v>8.09</v>
      </c>
    </row>
    <row r="698" spans="1:11" x14ac:dyDescent="0.25">
      <c r="A698" s="162">
        <v>23614</v>
      </c>
      <c r="B698" s="163">
        <v>4.1900000000000004</v>
      </c>
      <c r="C698" s="163"/>
      <c r="D698" s="163"/>
      <c r="E698" s="166">
        <f t="shared" si="10"/>
        <v>2010</v>
      </c>
      <c r="F698" s="157">
        <v>40452</v>
      </c>
      <c r="G698" s="158">
        <v>3.52</v>
      </c>
      <c r="J698" s="157">
        <v>27481</v>
      </c>
      <c r="K698" s="158">
        <v>8.2899999999999991</v>
      </c>
    </row>
    <row r="699" spans="1:11" x14ac:dyDescent="0.25">
      <c r="A699" s="162">
        <v>23615</v>
      </c>
      <c r="B699" s="164">
        <v>4.17</v>
      </c>
      <c r="C699" s="164"/>
      <c r="D699" s="164"/>
      <c r="E699" s="166">
        <f t="shared" si="10"/>
        <v>2010</v>
      </c>
      <c r="F699" s="157">
        <v>40483</v>
      </c>
      <c r="G699" s="158">
        <v>3.82</v>
      </c>
      <c r="J699" s="157">
        <v>27488</v>
      </c>
      <c r="K699" s="158">
        <v>8.32</v>
      </c>
    </row>
    <row r="700" spans="1:11" x14ac:dyDescent="0.25">
      <c r="A700" s="162">
        <v>23616</v>
      </c>
      <c r="B700" s="163">
        <v>4.1900000000000004</v>
      </c>
      <c r="C700" s="163"/>
      <c r="D700" s="163"/>
      <c r="E700" s="166">
        <f t="shared" si="10"/>
        <v>2010</v>
      </c>
      <c r="F700" s="157">
        <v>40513</v>
      </c>
      <c r="G700" s="158">
        <v>4.17</v>
      </c>
      <c r="J700" s="157">
        <v>27495</v>
      </c>
      <c r="K700" s="158">
        <v>8.36</v>
      </c>
    </row>
    <row r="701" spans="1:11" x14ac:dyDescent="0.25">
      <c r="A701" s="162">
        <v>23617</v>
      </c>
      <c r="B701" s="163">
        <v>4.1900000000000004</v>
      </c>
      <c r="C701" s="163"/>
      <c r="D701" s="163"/>
      <c r="E701" s="166">
        <f t="shared" si="10"/>
        <v>2011</v>
      </c>
      <c r="F701" s="157">
        <v>40544</v>
      </c>
      <c r="G701" s="158">
        <v>4.28</v>
      </c>
      <c r="J701" s="157">
        <v>27502</v>
      </c>
      <c r="K701" s="158">
        <v>8.31</v>
      </c>
    </row>
    <row r="702" spans="1:11" x14ac:dyDescent="0.25">
      <c r="A702" s="162">
        <v>23620</v>
      </c>
      <c r="B702" s="163">
        <v>4.2</v>
      </c>
      <c r="C702" s="163"/>
      <c r="D702" s="163"/>
      <c r="E702" s="166">
        <f t="shared" si="10"/>
        <v>2011</v>
      </c>
      <c r="F702" s="157">
        <v>40575</v>
      </c>
      <c r="G702" s="158">
        <v>4.42</v>
      </c>
      <c r="J702" s="157">
        <v>27509</v>
      </c>
      <c r="K702" s="158">
        <v>8.3800000000000008</v>
      </c>
    </row>
    <row r="703" spans="1:11" x14ac:dyDescent="0.25">
      <c r="A703" s="162">
        <v>23621</v>
      </c>
      <c r="B703" s="163">
        <v>4.2</v>
      </c>
      <c r="C703" s="163"/>
      <c r="D703" s="163"/>
      <c r="E703" s="166">
        <f t="shared" si="10"/>
        <v>2011</v>
      </c>
      <c r="F703" s="157">
        <v>40603</v>
      </c>
      <c r="G703" s="158">
        <v>4.2699999999999996</v>
      </c>
      <c r="J703" s="157">
        <v>27516</v>
      </c>
      <c r="K703" s="158">
        <v>8.41</v>
      </c>
    </row>
    <row r="704" spans="1:11" x14ac:dyDescent="0.25">
      <c r="A704" s="162">
        <v>23622</v>
      </c>
      <c r="B704" s="163">
        <v>4.21</v>
      </c>
      <c r="C704" s="163"/>
      <c r="D704" s="163"/>
      <c r="E704" s="166">
        <f t="shared" si="10"/>
        <v>2011</v>
      </c>
      <c r="F704" s="157">
        <v>40634</v>
      </c>
      <c r="G704" s="158">
        <v>4.28</v>
      </c>
      <c r="J704" s="157">
        <v>27523</v>
      </c>
      <c r="K704" s="158">
        <v>8.25</v>
      </c>
    </row>
    <row r="705" spans="1:11" x14ac:dyDescent="0.25">
      <c r="A705" s="162">
        <v>23623</v>
      </c>
      <c r="B705" s="163">
        <v>4.21</v>
      </c>
      <c r="C705" s="163"/>
      <c r="D705" s="163"/>
      <c r="E705" s="166">
        <f t="shared" si="10"/>
        <v>2011</v>
      </c>
      <c r="F705" s="157">
        <v>40664</v>
      </c>
      <c r="G705" s="158">
        <v>4.01</v>
      </c>
      <c r="J705" s="157">
        <v>27530</v>
      </c>
      <c r="K705" s="158">
        <v>8.18</v>
      </c>
    </row>
    <row r="706" spans="1:11" x14ac:dyDescent="0.25">
      <c r="A706" s="162">
        <v>23624</v>
      </c>
      <c r="B706" s="163">
        <v>4.21</v>
      </c>
      <c r="C706" s="163"/>
      <c r="D706" s="163"/>
      <c r="E706" s="166">
        <f t="shared" si="10"/>
        <v>2011</v>
      </c>
      <c r="F706" s="157">
        <v>40695</v>
      </c>
      <c r="G706" s="158">
        <v>3.91</v>
      </c>
      <c r="J706" s="157">
        <v>27537</v>
      </c>
      <c r="K706" s="158">
        <v>8.16</v>
      </c>
    </row>
    <row r="707" spans="1:11" x14ac:dyDescent="0.25">
      <c r="A707" s="162">
        <v>23627</v>
      </c>
      <c r="B707" s="163" t="e">
        <f>NA()</f>
        <v>#N/A</v>
      </c>
      <c r="C707" s="163"/>
      <c r="D707" s="163"/>
      <c r="E707" s="166">
        <f t="shared" si="10"/>
        <v>2011</v>
      </c>
      <c r="F707" s="157">
        <v>40725</v>
      </c>
      <c r="G707" s="158">
        <v>3.95</v>
      </c>
      <c r="J707" s="157">
        <v>27544</v>
      </c>
      <c r="K707" s="158">
        <v>8.24</v>
      </c>
    </row>
    <row r="708" spans="1:11" x14ac:dyDescent="0.25">
      <c r="A708" s="162">
        <v>23628</v>
      </c>
      <c r="B708" s="163">
        <v>4.21</v>
      </c>
      <c r="C708" s="163"/>
      <c r="D708" s="163"/>
      <c r="E708" s="166">
        <f t="shared" si="10"/>
        <v>2011</v>
      </c>
      <c r="F708" s="157">
        <v>40756</v>
      </c>
      <c r="G708" s="158">
        <v>3.24</v>
      </c>
      <c r="J708" s="157">
        <v>27551</v>
      </c>
      <c r="K708" s="158">
        <v>8.16</v>
      </c>
    </row>
    <row r="709" spans="1:11" x14ac:dyDescent="0.25">
      <c r="A709" s="162">
        <v>23629</v>
      </c>
      <c r="B709" s="163">
        <v>4.21</v>
      </c>
      <c r="C709" s="163"/>
      <c r="D709" s="163"/>
      <c r="E709" s="166">
        <f t="shared" si="10"/>
        <v>2011</v>
      </c>
      <c r="F709" s="157">
        <v>40787</v>
      </c>
      <c r="G709" s="158">
        <v>2.83</v>
      </c>
      <c r="J709" s="157">
        <v>27558</v>
      </c>
      <c r="K709" s="158">
        <v>7.95</v>
      </c>
    </row>
    <row r="710" spans="1:11" x14ac:dyDescent="0.25">
      <c r="A710" s="162">
        <v>23630</v>
      </c>
      <c r="B710" s="163">
        <v>4.22</v>
      </c>
      <c r="C710" s="163"/>
      <c r="D710" s="163"/>
      <c r="E710" s="166">
        <f t="shared" si="10"/>
        <v>2011</v>
      </c>
      <c r="F710" s="157">
        <v>40817</v>
      </c>
      <c r="G710" s="158">
        <v>2.87</v>
      </c>
      <c r="J710" s="157">
        <v>27565</v>
      </c>
      <c r="K710" s="158">
        <v>7.99</v>
      </c>
    </row>
    <row r="711" spans="1:11" x14ac:dyDescent="0.25">
      <c r="A711" s="162">
        <v>23631</v>
      </c>
      <c r="B711" s="163">
        <v>4.22</v>
      </c>
      <c r="C711" s="163"/>
      <c r="D711" s="163"/>
      <c r="E711" s="166">
        <f t="shared" si="10"/>
        <v>2011</v>
      </c>
      <c r="F711" s="157">
        <v>40848</v>
      </c>
      <c r="G711" s="158">
        <v>2.72</v>
      </c>
      <c r="J711" s="157">
        <v>27572</v>
      </c>
      <c r="K711" s="158">
        <v>8.07</v>
      </c>
    </row>
    <row r="712" spans="1:11" x14ac:dyDescent="0.25">
      <c r="A712" s="162">
        <v>23634</v>
      </c>
      <c r="B712" s="163">
        <v>4.22</v>
      </c>
      <c r="C712" s="163"/>
      <c r="D712" s="163"/>
      <c r="E712" s="166">
        <f t="shared" si="10"/>
        <v>2011</v>
      </c>
      <c r="F712" s="157">
        <v>40878</v>
      </c>
      <c r="G712" s="158">
        <v>2.67</v>
      </c>
      <c r="J712" s="157">
        <v>27579</v>
      </c>
      <c r="K712" s="158">
        <v>8.1300000000000008</v>
      </c>
    </row>
    <row r="713" spans="1:11" x14ac:dyDescent="0.25">
      <c r="A713" s="162">
        <v>23635</v>
      </c>
      <c r="B713" s="163">
        <v>4.22</v>
      </c>
      <c r="C713" s="163"/>
      <c r="D713" s="163"/>
      <c r="E713" s="166">
        <f t="shared" ref="E713:E776" si="11">YEAR(F713)</f>
        <v>2012</v>
      </c>
      <c r="F713" s="157">
        <v>40909</v>
      </c>
      <c r="G713" s="158">
        <v>2.7</v>
      </c>
      <c r="J713" s="157">
        <v>27586</v>
      </c>
      <c r="K713" s="158">
        <v>8.16</v>
      </c>
    </row>
    <row r="714" spans="1:11" x14ac:dyDescent="0.25">
      <c r="A714" s="162">
        <v>23636</v>
      </c>
      <c r="B714" s="163">
        <v>4.22</v>
      </c>
      <c r="C714" s="163"/>
      <c r="D714" s="163"/>
      <c r="E714" s="166">
        <f t="shared" si="11"/>
        <v>2012</v>
      </c>
      <c r="F714" s="157">
        <v>40940</v>
      </c>
      <c r="G714" s="158">
        <v>2.75</v>
      </c>
      <c r="J714" s="157">
        <v>27593</v>
      </c>
      <c r="K714" s="158">
        <v>8.1300000000000008</v>
      </c>
    </row>
    <row r="715" spans="1:11" x14ac:dyDescent="0.25">
      <c r="A715" s="162">
        <v>23637</v>
      </c>
      <c r="B715" s="163">
        <v>4.21</v>
      </c>
      <c r="C715" s="163"/>
      <c r="D715" s="163"/>
      <c r="E715" s="166">
        <f t="shared" si="11"/>
        <v>2012</v>
      </c>
      <c r="F715" s="157">
        <v>40969</v>
      </c>
      <c r="G715" s="158">
        <v>2.94</v>
      </c>
      <c r="J715" s="157">
        <v>27600</v>
      </c>
      <c r="K715" s="158">
        <v>8.18</v>
      </c>
    </row>
    <row r="716" spans="1:11" x14ac:dyDescent="0.25">
      <c r="A716" s="162">
        <v>23638</v>
      </c>
      <c r="B716" s="163">
        <v>4.2</v>
      </c>
      <c r="C716" s="163"/>
      <c r="D716" s="163"/>
      <c r="E716" s="166">
        <f t="shared" si="11"/>
        <v>2012</v>
      </c>
      <c r="F716" s="157">
        <v>41000</v>
      </c>
      <c r="G716" s="158">
        <v>2.82</v>
      </c>
      <c r="J716" s="157">
        <v>27607</v>
      </c>
      <c r="K716" s="158">
        <v>8.27</v>
      </c>
    </row>
    <row r="717" spans="1:11" x14ac:dyDescent="0.25">
      <c r="A717" s="162">
        <v>23641</v>
      </c>
      <c r="B717" s="163">
        <v>4.1900000000000004</v>
      </c>
      <c r="C717" s="163"/>
      <c r="D717" s="163"/>
      <c r="E717" s="166">
        <f t="shared" si="11"/>
        <v>2012</v>
      </c>
      <c r="F717" s="157">
        <v>41030</v>
      </c>
      <c r="G717" s="158">
        <v>2.5299999999999998</v>
      </c>
      <c r="J717" s="157">
        <v>27614</v>
      </c>
      <c r="K717" s="158">
        <v>8.49</v>
      </c>
    </row>
    <row r="718" spans="1:11" x14ac:dyDescent="0.25">
      <c r="A718" s="162">
        <v>23642</v>
      </c>
      <c r="B718" s="163">
        <v>4.1900000000000004</v>
      </c>
      <c r="C718" s="163"/>
      <c r="D718" s="163"/>
      <c r="E718" s="166">
        <f t="shared" si="11"/>
        <v>2012</v>
      </c>
      <c r="F718" s="157">
        <v>41061</v>
      </c>
      <c r="G718" s="158">
        <v>2.31</v>
      </c>
      <c r="J718" s="157">
        <v>27621</v>
      </c>
      <c r="K718" s="158">
        <v>8.5</v>
      </c>
    </row>
    <row r="719" spans="1:11" x14ac:dyDescent="0.25">
      <c r="A719" s="162">
        <v>23643</v>
      </c>
      <c r="B719" s="163">
        <v>4.1900000000000004</v>
      </c>
      <c r="C719" s="163"/>
      <c r="D719" s="163"/>
      <c r="E719" s="166">
        <f t="shared" si="11"/>
        <v>2012</v>
      </c>
      <c r="F719" s="157">
        <v>41091</v>
      </c>
      <c r="G719" s="158">
        <v>2.2200000000000002</v>
      </c>
      <c r="J719" s="157">
        <v>27628</v>
      </c>
      <c r="K719" s="158">
        <v>8.5299999999999994</v>
      </c>
    </row>
    <row r="720" spans="1:11" x14ac:dyDescent="0.25">
      <c r="A720" s="162">
        <v>23644</v>
      </c>
      <c r="B720" s="163">
        <v>4.1900000000000004</v>
      </c>
      <c r="C720" s="163"/>
      <c r="D720" s="163"/>
      <c r="E720" s="166">
        <f t="shared" si="11"/>
        <v>2012</v>
      </c>
      <c r="F720" s="157">
        <v>41122</v>
      </c>
      <c r="G720" s="158">
        <v>2.4</v>
      </c>
      <c r="J720" s="157">
        <v>27635</v>
      </c>
      <c r="K720" s="158">
        <v>8.48</v>
      </c>
    </row>
    <row r="721" spans="1:11" x14ac:dyDescent="0.25">
      <c r="A721" s="162">
        <v>23645</v>
      </c>
      <c r="B721" s="163">
        <v>4.1900000000000004</v>
      </c>
      <c r="C721" s="163"/>
      <c r="D721" s="163"/>
      <c r="E721" s="166">
        <f t="shared" si="11"/>
        <v>2012</v>
      </c>
      <c r="F721" s="157">
        <v>41153</v>
      </c>
      <c r="G721" s="158">
        <v>2.4900000000000002</v>
      </c>
      <c r="J721" s="157">
        <v>27642</v>
      </c>
      <c r="K721" s="158">
        <v>8.4700000000000006</v>
      </c>
    </row>
    <row r="722" spans="1:11" x14ac:dyDescent="0.25">
      <c r="A722" s="162">
        <v>23648</v>
      </c>
      <c r="B722" s="163">
        <v>4.1900000000000004</v>
      </c>
      <c r="C722" s="163"/>
      <c r="D722" s="163"/>
      <c r="E722" s="166">
        <f t="shared" si="11"/>
        <v>2012</v>
      </c>
      <c r="F722" s="157">
        <v>41183</v>
      </c>
      <c r="G722" s="158">
        <v>2.5099999999999998</v>
      </c>
      <c r="J722" s="157">
        <v>27649</v>
      </c>
      <c r="K722" s="158">
        <v>8.61</v>
      </c>
    </row>
    <row r="723" spans="1:11" x14ac:dyDescent="0.25">
      <c r="A723" s="162">
        <v>23649</v>
      </c>
      <c r="B723" s="163">
        <v>4.1900000000000004</v>
      </c>
      <c r="C723" s="163"/>
      <c r="D723" s="163"/>
      <c r="E723" s="166">
        <f t="shared" si="11"/>
        <v>2012</v>
      </c>
      <c r="F723" s="157">
        <v>41214</v>
      </c>
      <c r="G723" s="158">
        <v>2.39</v>
      </c>
      <c r="J723" s="157">
        <v>27656</v>
      </c>
      <c r="K723" s="158">
        <v>8.6300000000000008</v>
      </c>
    </row>
    <row r="724" spans="1:11" x14ac:dyDescent="0.25">
      <c r="A724" s="162">
        <v>23650</v>
      </c>
      <c r="B724" s="163">
        <v>4.1900000000000004</v>
      </c>
      <c r="C724" s="163"/>
      <c r="D724" s="163"/>
      <c r="E724" s="166">
        <f t="shared" si="11"/>
        <v>2012</v>
      </c>
      <c r="F724" s="157">
        <v>41244</v>
      </c>
      <c r="G724" s="158">
        <v>2.4700000000000002</v>
      </c>
      <c r="J724" s="157">
        <v>27663</v>
      </c>
      <c r="K724" s="158">
        <v>8.52</v>
      </c>
    </row>
    <row r="725" spans="1:11" x14ac:dyDescent="0.25">
      <c r="A725" s="162">
        <v>23651</v>
      </c>
      <c r="B725" s="163">
        <v>4.1900000000000004</v>
      </c>
      <c r="C725" s="163"/>
      <c r="D725" s="163"/>
      <c r="E725" s="166">
        <f t="shared" si="11"/>
        <v>2013</v>
      </c>
      <c r="F725" s="157">
        <v>41275</v>
      </c>
      <c r="G725" s="158">
        <v>2.68</v>
      </c>
      <c r="J725" s="157">
        <v>27670</v>
      </c>
      <c r="K725" s="158">
        <v>8.59</v>
      </c>
    </row>
    <row r="726" spans="1:11" x14ac:dyDescent="0.25">
      <c r="A726" s="162">
        <v>23652</v>
      </c>
      <c r="B726" s="163">
        <v>4.1900000000000004</v>
      </c>
      <c r="C726" s="163"/>
      <c r="D726" s="163"/>
      <c r="E726" s="166">
        <f t="shared" si="11"/>
        <v>2013</v>
      </c>
      <c r="F726" s="157">
        <v>41306</v>
      </c>
      <c r="G726" s="158">
        <v>2.78</v>
      </c>
      <c r="J726" s="157">
        <v>27677</v>
      </c>
      <c r="K726" s="158">
        <v>8.43</v>
      </c>
    </row>
    <row r="727" spans="1:11" x14ac:dyDescent="0.25">
      <c r="A727" s="162">
        <v>23655</v>
      </c>
      <c r="B727" s="163">
        <v>4.2</v>
      </c>
      <c r="C727" s="163"/>
      <c r="D727" s="163"/>
      <c r="E727" s="166">
        <f t="shared" si="11"/>
        <v>2013</v>
      </c>
      <c r="F727" s="157">
        <v>41334</v>
      </c>
      <c r="G727" s="158">
        <v>2.78</v>
      </c>
      <c r="J727" s="157">
        <v>27684</v>
      </c>
      <c r="K727" s="158">
        <v>8.34</v>
      </c>
    </row>
    <row r="728" spans="1:11" x14ac:dyDescent="0.25">
      <c r="A728" s="162">
        <v>23656</v>
      </c>
      <c r="B728" s="163">
        <v>4.2</v>
      </c>
      <c r="C728" s="163"/>
      <c r="D728" s="163"/>
      <c r="E728" s="166">
        <f t="shared" si="11"/>
        <v>2013</v>
      </c>
      <c r="F728" s="157">
        <v>41365</v>
      </c>
      <c r="G728" s="158">
        <v>2.5499999999999998</v>
      </c>
      <c r="J728" s="157">
        <v>27691</v>
      </c>
      <c r="K728" s="158">
        <v>8.26</v>
      </c>
    </row>
    <row r="729" spans="1:11" x14ac:dyDescent="0.25">
      <c r="A729" s="162">
        <v>23657</v>
      </c>
      <c r="B729" s="163">
        <v>4.2</v>
      </c>
      <c r="C729" s="163"/>
      <c r="D729" s="163"/>
      <c r="E729" s="166">
        <f t="shared" si="11"/>
        <v>2013</v>
      </c>
      <c r="F729" s="157">
        <v>41395</v>
      </c>
      <c r="G729" s="158">
        <v>2.73</v>
      </c>
      <c r="J729" s="157">
        <v>27698</v>
      </c>
      <c r="K729" s="158">
        <v>8.2200000000000006</v>
      </c>
    </row>
    <row r="730" spans="1:11" x14ac:dyDescent="0.25">
      <c r="A730" s="162">
        <v>23658</v>
      </c>
      <c r="B730" s="163">
        <v>4.2</v>
      </c>
      <c r="C730" s="163"/>
      <c r="D730" s="163"/>
      <c r="E730" s="166">
        <f t="shared" si="11"/>
        <v>2013</v>
      </c>
      <c r="F730" s="157">
        <v>41426</v>
      </c>
      <c r="G730" s="158">
        <v>3.07</v>
      </c>
      <c r="J730" s="157">
        <v>27705</v>
      </c>
      <c r="K730" s="158">
        <v>8.19</v>
      </c>
    </row>
    <row r="731" spans="1:11" x14ac:dyDescent="0.25">
      <c r="A731" s="162">
        <v>23659</v>
      </c>
      <c r="B731" s="163">
        <v>4.2</v>
      </c>
      <c r="C731" s="163"/>
      <c r="D731" s="163"/>
      <c r="E731" s="166">
        <f t="shared" si="11"/>
        <v>2013</v>
      </c>
      <c r="F731" s="157">
        <v>41456</v>
      </c>
      <c r="G731" s="158">
        <v>3.31</v>
      </c>
      <c r="J731" s="157">
        <v>27712</v>
      </c>
      <c r="K731" s="158">
        <v>8.2200000000000006</v>
      </c>
    </row>
    <row r="732" spans="1:11" x14ac:dyDescent="0.25">
      <c r="A732" s="162">
        <v>23662</v>
      </c>
      <c r="B732" s="163" t="e">
        <f>NA()</f>
        <v>#N/A</v>
      </c>
      <c r="C732" s="163"/>
      <c r="D732" s="163"/>
      <c r="E732" s="166">
        <f t="shared" si="11"/>
        <v>2013</v>
      </c>
      <c r="F732" s="157">
        <v>41487</v>
      </c>
      <c r="G732" s="158">
        <v>3.49</v>
      </c>
      <c r="J732" s="157">
        <v>27719</v>
      </c>
      <c r="K732" s="158">
        <v>8.34</v>
      </c>
    </row>
    <row r="733" spans="1:11" x14ac:dyDescent="0.25">
      <c r="A733" s="162">
        <v>23663</v>
      </c>
      <c r="B733" s="163">
        <v>4.2</v>
      </c>
      <c r="C733" s="163"/>
      <c r="D733" s="163"/>
      <c r="E733" s="166">
        <f t="shared" si="11"/>
        <v>2013</v>
      </c>
      <c r="F733" s="157">
        <v>41518</v>
      </c>
      <c r="G733" s="158">
        <v>3.53</v>
      </c>
      <c r="J733" s="157">
        <v>27726</v>
      </c>
      <c r="K733" s="158">
        <v>8.35</v>
      </c>
    </row>
    <row r="734" spans="1:11" x14ac:dyDescent="0.25">
      <c r="A734" s="162">
        <v>23664</v>
      </c>
      <c r="B734" s="163">
        <v>4.2</v>
      </c>
      <c r="C734" s="163"/>
      <c r="D734" s="163"/>
      <c r="E734" s="166">
        <f t="shared" si="11"/>
        <v>2013</v>
      </c>
      <c r="F734" s="157">
        <v>41548</v>
      </c>
      <c r="G734" s="158">
        <v>3.38</v>
      </c>
      <c r="J734" s="157">
        <v>27733</v>
      </c>
      <c r="K734" s="158">
        <v>8.34</v>
      </c>
    </row>
    <row r="735" spans="1:11" x14ac:dyDescent="0.25">
      <c r="A735" s="162">
        <v>23665</v>
      </c>
      <c r="B735" s="163">
        <v>4.21</v>
      </c>
      <c r="C735" s="163"/>
      <c r="D735" s="163"/>
      <c r="E735" s="166">
        <f t="shared" si="11"/>
        <v>2013</v>
      </c>
      <c r="F735" s="157">
        <v>41579</v>
      </c>
      <c r="G735" s="158">
        <v>3.5</v>
      </c>
      <c r="J735" s="157">
        <v>27740</v>
      </c>
      <c r="K735" s="158">
        <v>8.3699999999999992</v>
      </c>
    </row>
    <row r="736" spans="1:11" x14ac:dyDescent="0.25">
      <c r="A736" s="162">
        <v>23666</v>
      </c>
      <c r="B736" s="163">
        <v>4.22</v>
      </c>
      <c r="C736" s="163"/>
      <c r="D736" s="163"/>
      <c r="E736" s="166">
        <f t="shared" si="11"/>
        <v>2013</v>
      </c>
      <c r="F736" s="157">
        <v>41609</v>
      </c>
      <c r="G736" s="158">
        <v>3.63</v>
      </c>
      <c r="J736" s="157">
        <v>27747</v>
      </c>
      <c r="K736" s="158">
        <v>8.1999999999999993</v>
      </c>
    </row>
    <row r="737" spans="1:11" x14ac:dyDescent="0.25">
      <c r="A737" s="162">
        <v>23669</v>
      </c>
      <c r="B737" s="163">
        <v>4.22</v>
      </c>
      <c r="C737" s="163"/>
      <c r="D737" s="163"/>
      <c r="E737" s="166">
        <f t="shared" si="11"/>
        <v>2014</v>
      </c>
      <c r="F737" s="157">
        <v>41640</v>
      </c>
      <c r="G737" s="158">
        <v>3.52</v>
      </c>
      <c r="J737" s="157">
        <v>27754</v>
      </c>
      <c r="K737" s="158">
        <v>8.08</v>
      </c>
    </row>
    <row r="738" spans="1:11" x14ac:dyDescent="0.25">
      <c r="A738" s="162">
        <v>23670</v>
      </c>
      <c r="B738" s="163">
        <v>4.21</v>
      </c>
      <c r="C738" s="163"/>
      <c r="D738" s="163"/>
      <c r="E738" s="166">
        <f t="shared" si="11"/>
        <v>2014</v>
      </c>
      <c r="F738" s="157">
        <v>41671</v>
      </c>
      <c r="G738" s="158">
        <v>3.38</v>
      </c>
      <c r="J738" s="157">
        <v>27761</v>
      </c>
      <c r="K738" s="158">
        <v>8.0399999999999991</v>
      </c>
    </row>
    <row r="739" spans="1:11" x14ac:dyDescent="0.25">
      <c r="A739" s="162">
        <v>23671</v>
      </c>
      <c r="B739" s="163">
        <v>4.2</v>
      </c>
      <c r="C739" s="163"/>
      <c r="D739" s="163"/>
      <c r="E739" s="166">
        <f t="shared" si="11"/>
        <v>2014</v>
      </c>
      <c r="F739" s="157">
        <v>41699</v>
      </c>
      <c r="G739" s="158">
        <v>3.35</v>
      </c>
      <c r="J739" s="157">
        <v>27768</v>
      </c>
      <c r="K739" s="158">
        <v>7.99</v>
      </c>
    </row>
    <row r="740" spans="1:11" x14ac:dyDescent="0.25">
      <c r="A740" s="162">
        <v>23672</v>
      </c>
      <c r="B740" s="163">
        <v>4.2</v>
      </c>
      <c r="C740" s="163"/>
      <c r="D740" s="163"/>
      <c r="E740" s="166">
        <f t="shared" si="11"/>
        <v>2014</v>
      </c>
      <c r="F740" s="157">
        <v>41730</v>
      </c>
      <c r="G740" s="158">
        <v>3.27</v>
      </c>
      <c r="J740" s="157">
        <v>27775</v>
      </c>
      <c r="K740" s="158">
        <v>7.97</v>
      </c>
    </row>
    <row r="741" spans="1:11" x14ac:dyDescent="0.25">
      <c r="A741" s="162">
        <v>23673</v>
      </c>
      <c r="B741" s="163">
        <v>4.2</v>
      </c>
      <c r="C741" s="163"/>
      <c r="D741" s="163"/>
      <c r="E741" s="166">
        <f t="shared" si="11"/>
        <v>2014</v>
      </c>
      <c r="F741" s="157">
        <v>41760</v>
      </c>
      <c r="G741" s="158">
        <v>3.12</v>
      </c>
      <c r="J741" s="157">
        <v>27782</v>
      </c>
      <c r="K741" s="158">
        <v>8.0299999999999994</v>
      </c>
    </row>
    <row r="742" spans="1:11" x14ac:dyDescent="0.25">
      <c r="A742" s="162">
        <v>23676</v>
      </c>
      <c r="B742" s="163">
        <v>4.2</v>
      </c>
      <c r="C742" s="163"/>
      <c r="D742" s="163"/>
      <c r="E742" s="166">
        <f t="shared" si="11"/>
        <v>2014</v>
      </c>
      <c r="F742" s="157">
        <v>41791</v>
      </c>
      <c r="G742" s="158">
        <v>3.15</v>
      </c>
      <c r="J742" s="157">
        <v>27789</v>
      </c>
      <c r="K742" s="158">
        <v>8.02</v>
      </c>
    </row>
    <row r="743" spans="1:11" x14ac:dyDescent="0.25">
      <c r="A743" s="162">
        <v>23677</v>
      </c>
      <c r="B743" s="163">
        <v>4.2</v>
      </c>
      <c r="C743" s="163"/>
      <c r="D743" s="163"/>
      <c r="E743" s="166">
        <f t="shared" si="11"/>
        <v>2014</v>
      </c>
      <c r="F743" s="157">
        <v>41821</v>
      </c>
      <c r="G743" s="158">
        <v>3.07</v>
      </c>
      <c r="J743" s="157">
        <v>27796</v>
      </c>
      <c r="K743" s="158">
        <v>8.0399999999999991</v>
      </c>
    </row>
    <row r="744" spans="1:11" x14ac:dyDescent="0.25">
      <c r="A744" s="162">
        <v>23678</v>
      </c>
      <c r="B744" s="163">
        <v>4.18</v>
      </c>
      <c r="C744" s="163"/>
      <c r="D744" s="163"/>
      <c r="E744" s="166">
        <f t="shared" si="11"/>
        <v>2014</v>
      </c>
      <c r="F744" s="157">
        <v>41852</v>
      </c>
      <c r="G744" s="158">
        <v>2.94</v>
      </c>
      <c r="J744" s="157">
        <v>27803</v>
      </c>
      <c r="K744" s="158">
        <v>8.1</v>
      </c>
    </row>
    <row r="745" spans="1:11" x14ac:dyDescent="0.25">
      <c r="A745" s="162">
        <v>23679</v>
      </c>
      <c r="B745" s="163">
        <v>4.18</v>
      </c>
      <c r="C745" s="163"/>
      <c r="D745" s="163"/>
      <c r="E745" s="166">
        <f t="shared" si="11"/>
        <v>2014</v>
      </c>
      <c r="F745" s="157">
        <v>41883</v>
      </c>
      <c r="G745" s="158">
        <v>3.01</v>
      </c>
      <c r="J745" s="157">
        <v>27810</v>
      </c>
      <c r="K745" s="158">
        <v>8.06</v>
      </c>
    </row>
    <row r="746" spans="1:11" x14ac:dyDescent="0.25">
      <c r="A746" s="162">
        <v>23680</v>
      </c>
      <c r="B746" s="163">
        <v>4.17</v>
      </c>
      <c r="C746" s="163"/>
      <c r="D746" s="163"/>
      <c r="E746" s="166">
        <f t="shared" si="11"/>
        <v>2014</v>
      </c>
      <c r="F746" s="157">
        <v>41913</v>
      </c>
      <c r="G746" s="158">
        <v>2.77</v>
      </c>
      <c r="J746" s="157">
        <v>27817</v>
      </c>
      <c r="K746" s="158">
        <v>7.96</v>
      </c>
    </row>
    <row r="747" spans="1:11" x14ac:dyDescent="0.25">
      <c r="A747" s="162">
        <v>23683</v>
      </c>
      <c r="B747" s="163">
        <v>4.16</v>
      </c>
      <c r="C747" s="163"/>
      <c r="D747" s="163"/>
      <c r="E747" s="166">
        <f t="shared" si="11"/>
        <v>2014</v>
      </c>
      <c r="F747" s="157">
        <v>41944</v>
      </c>
      <c r="G747" s="158">
        <v>2.76</v>
      </c>
      <c r="J747" s="157">
        <v>27824</v>
      </c>
      <c r="K747" s="158">
        <v>8.07</v>
      </c>
    </row>
    <row r="748" spans="1:11" x14ac:dyDescent="0.25">
      <c r="A748" s="162">
        <v>23684</v>
      </c>
      <c r="B748" s="163" t="e">
        <f>NA()</f>
        <v>#N/A</v>
      </c>
      <c r="C748" s="163"/>
      <c r="D748" s="163"/>
      <c r="E748" s="166">
        <f t="shared" si="11"/>
        <v>2014</v>
      </c>
      <c r="F748" s="157">
        <v>41974</v>
      </c>
      <c r="G748" s="158">
        <v>2.5499999999999998</v>
      </c>
      <c r="J748" s="157">
        <v>27831</v>
      </c>
      <c r="K748" s="158">
        <v>7.99</v>
      </c>
    </row>
    <row r="749" spans="1:11" x14ac:dyDescent="0.25">
      <c r="A749" s="162">
        <v>23685</v>
      </c>
      <c r="B749" s="163">
        <v>4.16</v>
      </c>
      <c r="C749" s="163"/>
      <c r="D749" s="163"/>
      <c r="E749" s="166">
        <f t="shared" si="11"/>
        <v>2015</v>
      </c>
      <c r="F749" s="157">
        <v>42005</v>
      </c>
      <c r="G749" s="158">
        <v>2.2000000000000002</v>
      </c>
      <c r="J749" s="157">
        <v>27838</v>
      </c>
      <c r="K749" s="158">
        <v>7.97</v>
      </c>
    </row>
    <row r="750" spans="1:11" x14ac:dyDescent="0.25">
      <c r="A750" s="162">
        <v>23686</v>
      </c>
      <c r="B750" s="163">
        <v>4.16</v>
      </c>
      <c r="C750" s="163"/>
      <c r="D750" s="163"/>
      <c r="E750" s="166">
        <f t="shared" si="11"/>
        <v>2015</v>
      </c>
      <c r="F750" s="157">
        <v>42036</v>
      </c>
      <c r="G750" s="158">
        <v>2.34</v>
      </c>
      <c r="J750" s="157">
        <v>27845</v>
      </c>
      <c r="K750" s="158">
        <v>7.89</v>
      </c>
    </row>
    <row r="751" spans="1:11" x14ac:dyDescent="0.25">
      <c r="A751" s="162">
        <v>23687</v>
      </c>
      <c r="B751" s="163">
        <v>4.16</v>
      </c>
      <c r="C751" s="163"/>
      <c r="D751" s="163"/>
      <c r="E751" s="166">
        <f t="shared" si="11"/>
        <v>2015</v>
      </c>
      <c r="F751" s="157">
        <v>42064</v>
      </c>
      <c r="G751" s="158">
        <v>2.41</v>
      </c>
      <c r="J751" s="157">
        <v>27852</v>
      </c>
      <c r="K751" s="158">
        <v>7.9</v>
      </c>
    </row>
    <row r="752" spans="1:11" x14ac:dyDescent="0.25">
      <c r="A752" s="162">
        <v>23690</v>
      </c>
      <c r="B752" s="163">
        <v>4.16</v>
      </c>
      <c r="C752" s="163"/>
      <c r="D752" s="163"/>
      <c r="E752" s="166">
        <f t="shared" si="11"/>
        <v>2015</v>
      </c>
      <c r="F752" s="157">
        <v>42095</v>
      </c>
      <c r="G752" s="158">
        <v>2.33</v>
      </c>
      <c r="J752" s="157">
        <v>27859</v>
      </c>
      <c r="K752" s="158">
        <v>7.84</v>
      </c>
    </row>
    <row r="753" spans="1:11" x14ac:dyDescent="0.25">
      <c r="A753" s="162">
        <v>23691</v>
      </c>
      <c r="B753" s="163">
        <v>4.1500000000000004</v>
      </c>
      <c r="C753" s="163"/>
      <c r="D753" s="163"/>
      <c r="E753" s="166">
        <f t="shared" si="11"/>
        <v>2015</v>
      </c>
      <c r="F753" s="157">
        <v>42125</v>
      </c>
      <c r="G753" s="158">
        <v>2.69</v>
      </c>
      <c r="J753" s="157">
        <v>27866</v>
      </c>
      <c r="K753" s="158">
        <v>7.8</v>
      </c>
    </row>
    <row r="754" spans="1:11" x14ac:dyDescent="0.25">
      <c r="A754" s="162">
        <v>23692</v>
      </c>
      <c r="B754" s="163" t="e">
        <f>NA()</f>
        <v>#N/A</v>
      </c>
      <c r="C754" s="163"/>
      <c r="D754" s="163"/>
      <c r="E754" s="166">
        <f t="shared" si="11"/>
        <v>2015</v>
      </c>
      <c r="F754" s="157">
        <v>42156</v>
      </c>
      <c r="G754" s="158">
        <v>2.85</v>
      </c>
      <c r="J754" s="157">
        <v>27873</v>
      </c>
      <c r="K754" s="158">
        <v>7.84</v>
      </c>
    </row>
    <row r="755" spans="1:11" x14ac:dyDescent="0.25">
      <c r="A755" s="162">
        <v>23693</v>
      </c>
      <c r="B755" s="163">
        <v>4.1399999999999997</v>
      </c>
      <c r="C755" s="163"/>
      <c r="D755" s="163"/>
      <c r="E755" s="166">
        <f t="shared" si="11"/>
        <v>2015</v>
      </c>
      <c r="F755" s="157">
        <v>42186</v>
      </c>
      <c r="G755" s="158">
        <v>2.77</v>
      </c>
      <c r="J755" s="157">
        <v>27880</v>
      </c>
      <c r="K755" s="158">
        <v>7.94</v>
      </c>
    </row>
    <row r="756" spans="1:11" x14ac:dyDescent="0.25">
      <c r="A756" s="162">
        <v>23694</v>
      </c>
      <c r="B756" s="163">
        <v>4.1399999999999997</v>
      </c>
      <c r="C756" s="163"/>
      <c r="D756" s="163"/>
      <c r="E756" s="166">
        <f t="shared" si="11"/>
        <v>2015</v>
      </c>
      <c r="F756" s="157">
        <v>42217</v>
      </c>
      <c r="G756" s="158">
        <v>2.5499999999999998</v>
      </c>
      <c r="J756" s="157">
        <v>27887</v>
      </c>
      <c r="K756" s="158">
        <v>8.0299999999999994</v>
      </c>
    </row>
    <row r="757" spans="1:11" x14ac:dyDescent="0.25">
      <c r="A757" s="162">
        <v>23697</v>
      </c>
      <c r="B757" s="163">
        <v>4.1500000000000004</v>
      </c>
      <c r="C757" s="163"/>
      <c r="D757" s="163"/>
      <c r="E757" s="166">
        <f t="shared" si="11"/>
        <v>2015</v>
      </c>
      <c r="F757" s="157">
        <v>42248</v>
      </c>
      <c r="G757" s="158">
        <v>2.62</v>
      </c>
      <c r="J757" s="157">
        <v>27894</v>
      </c>
      <c r="K757" s="158">
        <v>8.15</v>
      </c>
    </row>
    <row r="758" spans="1:11" x14ac:dyDescent="0.25">
      <c r="A758" s="162">
        <v>23698</v>
      </c>
      <c r="B758" s="163">
        <v>4.16</v>
      </c>
      <c r="C758" s="163"/>
      <c r="D758" s="163"/>
      <c r="E758" s="166">
        <f t="shared" si="11"/>
        <v>2015</v>
      </c>
      <c r="F758" s="157">
        <v>42278</v>
      </c>
      <c r="G758" s="158">
        <v>2.5</v>
      </c>
      <c r="J758" s="157">
        <v>27901</v>
      </c>
      <c r="K758" s="158">
        <v>8.16</v>
      </c>
    </row>
    <row r="759" spans="1:11" x14ac:dyDescent="0.25">
      <c r="A759" s="162">
        <v>23699</v>
      </c>
      <c r="B759" s="163">
        <v>4.16</v>
      </c>
      <c r="C759" s="163"/>
      <c r="D759" s="163"/>
      <c r="E759" s="166">
        <f t="shared" si="11"/>
        <v>2015</v>
      </c>
      <c r="F759" s="157">
        <v>42309</v>
      </c>
      <c r="G759" s="158">
        <v>2.69</v>
      </c>
      <c r="J759" s="157">
        <v>27908</v>
      </c>
      <c r="K759" s="158">
        <v>8.17</v>
      </c>
    </row>
    <row r="760" spans="1:11" x14ac:dyDescent="0.25">
      <c r="A760" s="162">
        <v>23700</v>
      </c>
      <c r="B760" s="163">
        <v>4.1500000000000004</v>
      </c>
      <c r="C760" s="163"/>
      <c r="D760" s="163"/>
      <c r="E760" s="166">
        <f t="shared" si="11"/>
        <v>2015</v>
      </c>
      <c r="F760" s="157">
        <v>42339</v>
      </c>
      <c r="G760" s="158">
        <v>2.61</v>
      </c>
      <c r="J760" s="157">
        <v>27915</v>
      </c>
      <c r="K760" s="158">
        <v>8.08</v>
      </c>
    </row>
    <row r="761" spans="1:11" x14ac:dyDescent="0.25">
      <c r="A761" s="162">
        <v>23701</v>
      </c>
      <c r="B761" s="163">
        <v>4.1500000000000004</v>
      </c>
      <c r="C761" s="163"/>
      <c r="D761" s="163"/>
      <c r="E761" s="166">
        <f t="shared" si="11"/>
        <v>2016</v>
      </c>
      <c r="F761" s="157">
        <v>42370</v>
      </c>
      <c r="G761" s="158">
        <v>2.4900000000000002</v>
      </c>
      <c r="J761" s="157">
        <v>27922</v>
      </c>
      <c r="K761" s="158">
        <v>8.0399999999999991</v>
      </c>
    </row>
    <row r="762" spans="1:11" x14ac:dyDescent="0.25">
      <c r="A762" s="162">
        <v>23704</v>
      </c>
      <c r="B762" s="163">
        <v>4.18</v>
      </c>
      <c r="C762" s="163"/>
      <c r="D762" s="163"/>
      <c r="E762" s="166">
        <f t="shared" si="11"/>
        <v>2016</v>
      </c>
      <c r="F762" s="157">
        <v>42401</v>
      </c>
      <c r="G762" s="158">
        <v>2.2000000000000002</v>
      </c>
      <c r="J762" s="157">
        <v>27929</v>
      </c>
      <c r="K762" s="158">
        <v>8.02</v>
      </c>
    </row>
    <row r="763" spans="1:11" x14ac:dyDescent="0.25">
      <c r="A763" s="162">
        <v>23705</v>
      </c>
      <c r="B763" s="163">
        <v>4.2</v>
      </c>
      <c r="C763" s="163"/>
      <c r="D763" s="163"/>
      <c r="E763" s="166">
        <f t="shared" si="11"/>
        <v>2016</v>
      </c>
      <c r="F763" s="157">
        <v>42430</v>
      </c>
      <c r="G763" s="158">
        <v>2.2799999999999998</v>
      </c>
      <c r="J763" s="157">
        <v>27936</v>
      </c>
      <c r="K763" s="158">
        <v>7.99</v>
      </c>
    </row>
    <row r="764" spans="1:11" x14ac:dyDescent="0.25">
      <c r="A764" s="162">
        <v>23706</v>
      </c>
      <c r="B764" s="163">
        <v>4.2</v>
      </c>
      <c r="C764" s="163"/>
      <c r="D764" s="163"/>
      <c r="E764" s="166">
        <f t="shared" si="11"/>
        <v>2016</v>
      </c>
      <c r="F764" s="157">
        <v>42461</v>
      </c>
      <c r="G764" s="158">
        <v>2.21</v>
      </c>
      <c r="J764" s="157">
        <v>27943</v>
      </c>
      <c r="K764" s="158">
        <v>8.02</v>
      </c>
    </row>
    <row r="765" spans="1:11" x14ac:dyDescent="0.25">
      <c r="A765" s="162">
        <v>23707</v>
      </c>
      <c r="B765" s="163" t="e">
        <f>NA()</f>
        <v>#N/A</v>
      </c>
      <c r="C765" s="163"/>
      <c r="D765" s="163"/>
      <c r="E765" s="166">
        <f t="shared" si="11"/>
        <v>2016</v>
      </c>
      <c r="F765" s="157">
        <v>42491</v>
      </c>
      <c r="G765" s="158">
        <v>2.2200000000000002</v>
      </c>
      <c r="J765" s="157">
        <v>27950</v>
      </c>
      <c r="K765" s="158">
        <v>7.98</v>
      </c>
    </row>
    <row r="766" spans="1:11" x14ac:dyDescent="0.25">
      <c r="A766" s="162">
        <v>23708</v>
      </c>
      <c r="B766" s="163">
        <v>4.2</v>
      </c>
      <c r="C766" s="163"/>
      <c r="D766" s="163"/>
      <c r="E766" s="166">
        <f t="shared" si="11"/>
        <v>2016</v>
      </c>
      <c r="F766" s="157">
        <v>42522</v>
      </c>
      <c r="G766" s="158">
        <v>2.02</v>
      </c>
      <c r="J766" s="157">
        <v>27957</v>
      </c>
      <c r="K766" s="158">
        <v>7.96</v>
      </c>
    </row>
    <row r="767" spans="1:11" x14ac:dyDescent="0.25">
      <c r="A767" s="162">
        <v>23711</v>
      </c>
      <c r="B767" s="163">
        <v>4.2</v>
      </c>
      <c r="C767" s="163"/>
      <c r="D767" s="163"/>
      <c r="E767" s="166">
        <f t="shared" si="11"/>
        <v>2016</v>
      </c>
      <c r="F767" s="157">
        <v>42552</v>
      </c>
      <c r="G767" s="158">
        <v>1.82</v>
      </c>
      <c r="J767" s="157">
        <v>27964</v>
      </c>
      <c r="K767" s="158">
        <v>8.0299999999999994</v>
      </c>
    </row>
    <row r="768" spans="1:11" x14ac:dyDescent="0.25">
      <c r="A768" s="162">
        <v>23712</v>
      </c>
      <c r="B768" s="163">
        <v>4.2</v>
      </c>
      <c r="C768" s="163"/>
      <c r="D768" s="163"/>
      <c r="E768" s="166">
        <f t="shared" si="11"/>
        <v>2016</v>
      </c>
      <c r="F768" s="157">
        <v>42583</v>
      </c>
      <c r="G768" s="158">
        <v>1.89</v>
      </c>
      <c r="J768" s="157">
        <v>27971</v>
      </c>
      <c r="K768" s="158">
        <v>8.0299999999999994</v>
      </c>
    </row>
    <row r="769" spans="1:11" x14ac:dyDescent="0.25">
      <c r="A769" s="162">
        <v>23713</v>
      </c>
      <c r="B769" s="164">
        <v>4.2</v>
      </c>
      <c r="C769" s="164"/>
      <c r="D769" s="164"/>
      <c r="E769" s="166">
        <f t="shared" si="11"/>
        <v>2016</v>
      </c>
      <c r="F769" s="157">
        <v>42614</v>
      </c>
      <c r="G769" s="158">
        <v>2.02</v>
      </c>
      <c r="J769" s="157">
        <v>27978</v>
      </c>
      <c r="K769" s="158">
        <v>7.99</v>
      </c>
    </row>
    <row r="770" spans="1:11" x14ac:dyDescent="0.25">
      <c r="A770" s="162">
        <v>23714</v>
      </c>
      <c r="B770" s="163">
        <v>4.18</v>
      </c>
      <c r="C770" s="163"/>
      <c r="D770" s="163"/>
      <c r="E770" s="166">
        <f t="shared" si="11"/>
        <v>2016</v>
      </c>
      <c r="F770" s="157">
        <v>42644</v>
      </c>
      <c r="G770" s="158">
        <v>2.17</v>
      </c>
      <c r="J770" s="157">
        <v>27985</v>
      </c>
      <c r="K770" s="158">
        <v>7.93</v>
      </c>
    </row>
    <row r="771" spans="1:11" x14ac:dyDescent="0.25">
      <c r="A771" s="162">
        <v>23715</v>
      </c>
      <c r="B771" s="163">
        <v>4.18</v>
      </c>
      <c r="C771" s="163"/>
      <c r="D771" s="163"/>
      <c r="E771" s="166">
        <f t="shared" si="11"/>
        <v>2016</v>
      </c>
      <c r="F771" s="157">
        <v>42675</v>
      </c>
      <c r="G771" s="158">
        <v>2.54</v>
      </c>
      <c r="J771" s="157">
        <v>27992</v>
      </c>
      <c r="K771" s="158">
        <v>7.89</v>
      </c>
    </row>
    <row r="772" spans="1:11" x14ac:dyDescent="0.25">
      <c r="A772" s="162">
        <v>23718</v>
      </c>
      <c r="B772" s="163">
        <v>4.17</v>
      </c>
      <c r="C772" s="163"/>
      <c r="D772" s="163"/>
      <c r="E772" s="166">
        <f t="shared" si="11"/>
        <v>2016</v>
      </c>
      <c r="F772" s="157">
        <v>42705</v>
      </c>
      <c r="G772" s="158">
        <v>2.84</v>
      </c>
      <c r="J772" s="157">
        <v>27999</v>
      </c>
      <c r="K772" s="158">
        <v>7.86</v>
      </c>
    </row>
    <row r="773" spans="1:11" x14ac:dyDescent="0.25">
      <c r="A773" s="162">
        <v>23719</v>
      </c>
      <c r="B773" s="163">
        <v>4.17</v>
      </c>
      <c r="C773" s="163"/>
      <c r="D773" s="163"/>
      <c r="E773" s="166">
        <f t="shared" si="11"/>
        <v>2017</v>
      </c>
      <c r="F773" s="157">
        <v>42736</v>
      </c>
      <c r="G773" s="158">
        <v>2.75</v>
      </c>
      <c r="J773" s="157">
        <v>28006</v>
      </c>
      <c r="K773" s="158">
        <v>7.82</v>
      </c>
    </row>
    <row r="774" spans="1:11" x14ac:dyDescent="0.25">
      <c r="A774" s="162">
        <v>23720</v>
      </c>
      <c r="B774" s="163">
        <v>4.16</v>
      </c>
      <c r="C774" s="163"/>
      <c r="D774" s="163"/>
      <c r="E774" s="166">
        <f t="shared" si="11"/>
        <v>2017</v>
      </c>
      <c r="F774" s="157">
        <v>42767</v>
      </c>
      <c r="G774" s="158">
        <v>2.76</v>
      </c>
      <c r="J774" s="157">
        <v>28013</v>
      </c>
      <c r="K774" s="158">
        <v>7.81</v>
      </c>
    </row>
    <row r="775" spans="1:11" x14ac:dyDescent="0.25">
      <c r="A775" s="162">
        <v>23721</v>
      </c>
      <c r="B775" s="163">
        <v>4.16</v>
      </c>
      <c r="C775" s="163"/>
      <c r="D775" s="163"/>
      <c r="E775" s="166">
        <f t="shared" si="11"/>
        <v>2017</v>
      </c>
      <c r="F775" s="157">
        <v>42795</v>
      </c>
      <c r="G775" s="158">
        <v>2.83</v>
      </c>
      <c r="J775" s="157">
        <v>28020</v>
      </c>
      <c r="K775" s="158">
        <v>7.79</v>
      </c>
    </row>
    <row r="776" spans="1:11" x14ac:dyDescent="0.25">
      <c r="A776" s="162">
        <v>23722</v>
      </c>
      <c r="B776" s="163">
        <v>4.1500000000000004</v>
      </c>
      <c r="C776" s="163"/>
      <c r="D776" s="163"/>
      <c r="E776" s="166">
        <f t="shared" si="11"/>
        <v>2017</v>
      </c>
      <c r="F776" s="157">
        <v>42826</v>
      </c>
      <c r="G776" s="158">
        <v>2.67</v>
      </c>
      <c r="J776" s="157">
        <v>28027</v>
      </c>
      <c r="K776" s="158">
        <v>7.74</v>
      </c>
    </row>
    <row r="777" spans="1:11" x14ac:dyDescent="0.25">
      <c r="A777" s="162">
        <v>23725</v>
      </c>
      <c r="B777" s="163">
        <v>4.16</v>
      </c>
      <c r="C777" s="163"/>
      <c r="D777" s="163"/>
      <c r="E777" s="166">
        <f t="shared" ref="E777:E840" si="12">YEAR(F777)</f>
        <v>2017</v>
      </c>
      <c r="F777" s="157">
        <v>42856</v>
      </c>
      <c r="G777" s="158">
        <v>2.7</v>
      </c>
      <c r="J777" s="157">
        <v>28034</v>
      </c>
      <c r="K777" s="158">
        <v>7.76</v>
      </c>
    </row>
    <row r="778" spans="1:11" x14ac:dyDescent="0.25">
      <c r="A778" s="162">
        <v>23726</v>
      </c>
      <c r="B778" s="163">
        <v>4.16</v>
      </c>
      <c r="C778" s="163"/>
      <c r="D778" s="163"/>
      <c r="E778" s="166">
        <f t="shared" si="12"/>
        <v>2017</v>
      </c>
      <c r="F778" s="157">
        <v>42887</v>
      </c>
      <c r="G778" s="158">
        <v>2.54</v>
      </c>
      <c r="J778" s="157">
        <v>28041</v>
      </c>
      <c r="K778" s="158">
        <v>7.69</v>
      </c>
    </row>
    <row r="779" spans="1:11" x14ac:dyDescent="0.25">
      <c r="A779" s="162">
        <v>23727</v>
      </c>
      <c r="B779" s="163">
        <v>4.17</v>
      </c>
      <c r="C779" s="163"/>
      <c r="D779" s="163"/>
      <c r="E779" s="166">
        <f t="shared" si="12"/>
        <v>2017</v>
      </c>
      <c r="F779" s="157">
        <v>42917</v>
      </c>
      <c r="G779" s="158">
        <v>2.65</v>
      </c>
      <c r="J779" s="157">
        <v>28048</v>
      </c>
      <c r="K779" s="158">
        <v>7.63</v>
      </c>
    </row>
    <row r="780" spans="1:11" x14ac:dyDescent="0.25">
      <c r="A780" s="162">
        <v>23728</v>
      </c>
      <c r="B780" s="163">
        <v>4.17</v>
      </c>
      <c r="C780" s="163"/>
      <c r="D780" s="163"/>
      <c r="E780" s="166">
        <f t="shared" si="12"/>
        <v>2017</v>
      </c>
      <c r="F780" s="157">
        <v>42948</v>
      </c>
      <c r="G780" s="158">
        <v>2.5499999999999998</v>
      </c>
      <c r="J780" s="157">
        <v>28055</v>
      </c>
      <c r="K780" s="158">
        <v>7.7</v>
      </c>
    </row>
    <row r="781" spans="1:11" x14ac:dyDescent="0.25">
      <c r="A781" s="162">
        <v>23729</v>
      </c>
      <c r="B781" s="163">
        <v>4.18</v>
      </c>
      <c r="C781" s="163"/>
      <c r="D781" s="163"/>
      <c r="E781" s="166">
        <f t="shared" si="12"/>
        <v>2017</v>
      </c>
      <c r="F781" s="157">
        <v>42979</v>
      </c>
      <c r="G781" s="158">
        <v>2.5299999999999998</v>
      </c>
      <c r="J781" s="157">
        <v>28062</v>
      </c>
      <c r="K781" s="158">
        <v>7.74</v>
      </c>
    </row>
    <row r="782" spans="1:11" x14ac:dyDescent="0.25">
      <c r="A782" s="162">
        <v>23732</v>
      </c>
      <c r="B782" s="163">
        <v>4.18</v>
      </c>
      <c r="C782" s="163"/>
      <c r="D782" s="163"/>
      <c r="E782" s="166">
        <f t="shared" si="12"/>
        <v>2017</v>
      </c>
      <c r="F782" s="157">
        <v>43009</v>
      </c>
      <c r="G782" s="158">
        <v>2.65</v>
      </c>
      <c r="J782" s="157">
        <v>28069</v>
      </c>
      <c r="K782" s="158">
        <v>7.7</v>
      </c>
    </row>
    <row r="783" spans="1:11" x14ac:dyDescent="0.25">
      <c r="A783" s="162">
        <v>23733</v>
      </c>
      <c r="B783" s="163">
        <v>4.1900000000000004</v>
      </c>
      <c r="C783" s="163"/>
      <c r="D783" s="163"/>
      <c r="E783" s="166">
        <f t="shared" si="12"/>
        <v>2017</v>
      </c>
      <c r="F783" s="157">
        <v>43040</v>
      </c>
      <c r="G783" s="158">
        <v>2.6</v>
      </c>
      <c r="J783" s="157">
        <v>28076</v>
      </c>
      <c r="K783" s="158">
        <v>7.76</v>
      </c>
    </row>
    <row r="784" spans="1:11" x14ac:dyDescent="0.25">
      <c r="A784" s="162">
        <v>23734</v>
      </c>
      <c r="B784" s="163">
        <v>4.1900000000000004</v>
      </c>
      <c r="C784" s="163"/>
      <c r="D784" s="163"/>
      <c r="E784" s="166">
        <f t="shared" si="12"/>
        <v>2017</v>
      </c>
      <c r="F784" s="157">
        <v>43070</v>
      </c>
      <c r="G784" s="158">
        <v>2.6</v>
      </c>
      <c r="J784" s="157">
        <v>28083</v>
      </c>
      <c r="K784" s="158">
        <v>7.66</v>
      </c>
    </row>
    <row r="785" spans="1:11" x14ac:dyDescent="0.25">
      <c r="A785" s="162">
        <v>23735</v>
      </c>
      <c r="B785" s="163">
        <v>4.1900000000000004</v>
      </c>
      <c r="C785" s="163"/>
      <c r="D785" s="163"/>
      <c r="E785" s="166">
        <f t="shared" si="12"/>
        <v>2018</v>
      </c>
      <c r="F785" s="157">
        <v>43101</v>
      </c>
      <c r="G785" s="158">
        <v>2.73</v>
      </c>
      <c r="J785" s="157">
        <v>28090</v>
      </c>
      <c r="K785" s="158">
        <v>7.51</v>
      </c>
    </row>
    <row r="786" spans="1:11" x14ac:dyDescent="0.25">
      <c r="A786" s="162">
        <v>23736</v>
      </c>
      <c r="B786" s="163" t="e">
        <f>NA()</f>
        <v>#N/A</v>
      </c>
      <c r="C786" s="163"/>
      <c r="D786" s="163"/>
      <c r="E786" s="166">
        <f t="shared" si="12"/>
        <v>2018</v>
      </c>
      <c r="F786" s="157">
        <v>43132</v>
      </c>
      <c r="G786" s="158">
        <v>3.02</v>
      </c>
      <c r="J786" s="157">
        <v>28097</v>
      </c>
      <c r="K786" s="158">
        <v>7.39</v>
      </c>
    </row>
    <row r="787" spans="1:11" x14ac:dyDescent="0.25">
      <c r="A787" s="162">
        <v>23739</v>
      </c>
      <c r="B787" s="163">
        <v>4.1900000000000004</v>
      </c>
      <c r="C787" s="163"/>
      <c r="D787" s="163"/>
      <c r="E787" s="166">
        <f t="shared" si="12"/>
        <v>2018</v>
      </c>
      <c r="F787" s="157">
        <v>43160</v>
      </c>
      <c r="G787" s="158">
        <v>2.97</v>
      </c>
      <c r="J787" s="157">
        <v>28104</v>
      </c>
      <c r="K787" s="158">
        <v>7.32</v>
      </c>
    </row>
    <row r="788" spans="1:11" x14ac:dyDescent="0.25">
      <c r="A788" s="162">
        <v>23740</v>
      </c>
      <c r="B788" s="163">
        <v>4.2</v>
      </c>
      <c r="C788" s="163"/>
      <c r="D788" s="163"/>
      <c r="E788" s="166">
        <f t="shared" si="12"/>
        <v>2018</v>
      </c>
      <c r="F788" s="157">
        <v>43191</v>
      </c>
      <c r="G788" s="158">
        <v>2.96</v>
      </c>
      <c r="J788" s="157">
        <v>28111</v>
      </c>
      <c r="K788" s="158">
        <v>7.34</v>
      </c>
    </row>
    <row r="789" spans="1:11" x14ac:dyDescent="0.25">
      <c r="A789" s="162">
        <v>23741</v>
      </c>
      <c r="B789" s="163">
        <v>4.21</v>
      </c>
      <c r="C789" s="163"/>
      <c r="D789" s="163"/>
      <c r="E789" s="166">
        <f t="shared" si="12"/>
        <v>2018</v>
      </c>
      <c r="F789" s="157">
        <v>43221</v>
      </c>
      <c r="G789" s="158">
        <v>3.05</v>
      </c>
      <c r="J789" s="157">
        <v>28118</v>
      </c>
      <c r="K789" s="158">
        <v>7.28</v>
      </c>
    </row>
    <row r="790" spans="1:11" x14ac:dyDescent="0.25">
      <c r="A790" s="162">
        <v>23742</v>
      </c>
      <c r="B790" s="163">
        <v>4.21</v>
      </c>
      <c r="C790" s="163"/>
      <c r="D790" s="163"/>
      <c r="E790" s="166">
        <f t="shared" si="12"/>
        <v>2018</v>
      </c>
      <c r="F790" s="157">
        <v>43252</v>
      </c>
      <c r="G790" s="158">
        <v>2.98</v>
      </c>
      <c r="J790" s="157">
        <v>28125</v>
      </c>
      <c r="K790" s="158">
        <v>7.23</v>
      </c>
    </row>
    <row r="791" spans="1:11" x14ac:dyDescent="0.25">
      <c r="A791" s="162">
        <v>23743</v>
      </c>
      <c r="B791" s="163" t="e">
        <f>NA()</f>
        <v>#N/A</v>
      </c>
      <c r="C791" s="163"/>
      <c r="D791" s="163"/>
      <c r="E791" s="166">
        <f t="shared" si="12"/>
        <v>2018</v>
      </c>
      <c r="F791" s="157">
        <v>43282</v>
      </c>
      <c r="G791" s="158">
        <v>2.94</v>
      </c>
      <c r="J791" s="157">
        <v>28132</v>
      </c>
      <c r="K791" s="158">
        <v>7.26</v>
      </c>
    </row>
    <row r="792" spans="1:11" x14ac:dyDescent="0.25">
      <c r="A792" s="162">
        <v>23746</v>
      </c>
      <c r="B792" s="163">
        <v>4.2</v>
      </c>
      <c r="C792" s="163"/>
      <c r="D792" s="163"/>
      <c r="E792" s="166">
        <f t="shared" si="12"/>
        <v>2018</v>
      </c>
      <c r="F792" s="157">
        <v>43313</v>
      </c>
      <c r="G792" s="158">
        <v>2.97</v>
      </c>
      <c r="J792" s="157">
        <v>28139</v>
      </c>
      <c r="K792" s="158">
        <v>7.5</v>
      </c>
    </row>
    <row r="793" spans="1:11" x14ac:dyDescent="0.25">
      <c r="A793" s="162">
        <v>23747</v>
      </c>
      <c r="B793" s="163">
        <v>4.2</v>
      </c>
      <c r="C793" s="163"/>
      <c r="D793" s="163"/>
      <c r="E793" s="166">
        <f t="shared" si="12"/>
        <v>2018</v>
      </c>
      <c r="F793" s="157">
        <v>43344</v>
      </c>
      <c r="G793" s="158">
        <v>3.08</v>
      </c>
      <c r="J793" s="157">
        <v>28146</v>
      </c>
      <c r="K793" s="158">
        <v>7.54</v>
      </c>
    </row>
    <row r="794" spans="1:11" x14ac:dyDescent="0.25">
      <c r="A794" s="162">
        <v>23748</v>
      </c>
      <c r="B794" s="163">
        <v>4.1900000000000004</v>
      </c>
      <c r="C794" s="163"/>
      <c r="D794" s="163"/>
      <c r="E794" s="166">
        <f t="shared" si="12"/>
        <v>2018</v>
      </c>
      <c r="F794" s="157">
        <v>43374</v>
      </c>
      <c r="G794" s="158">
        <v>3.27</v>
      </c>
      <c r="J794" s="157">
        <v>28153</v>
      </c>
      <c r="K794" s="158">
        <v>7.59</v>
      </c>
    </row>
    <row r="795" spans="1:11" x14ac:dyDescent="0.25">
      <c r="A795" s="162">
        <v>23749</v>
      </c>
      <c r="B795" s="163">
        <v>4.1900000000000004</v>
      </c>
      <c r="C795" s="163"/>
      <c r="D795" s="163"/>
      <c r="E795" s="166">
        <f t="shared" si="12"/>
        <v>2018</v>
      </c>
      <c r="F795" s="157">
        <v>43405</v>
      </c>
      <c r="G795" s="158">
        <v>3.27</v>
      </c>
      <c r="J795" s="157">
        <v>28160</v>
      </c>
      <c r="K795" s="158">
        <v>7.63</v>
      </c>
    </row>
    <row r="796" spans="1:11" x14ac:dyDescent="0.25">
      <c r="A796" s="162">
        <v>23750</v>
      </c>
      <c r="B796" s="164">
        <v>4.2</v>
      </c>
      <c r="C796" s="164"/>
      <c r="D796" s="164"/>
      <c r="E796" s="166">
        <f t="shared" si="12"/>
        <v>2018</v>
      </c>
      <c r="F796" s="157">
        <v>43435</v>
      </c>
      <c r="G796" s="158">
        <v>2.98</v>
      </c>
      <c r="J796" s="157">
        <v>28167</v>
      </c>
      <c r="K796" s="158">
        <v>7.6</v>
      </c>
    </row>
    <row r="797" spans="1:11" x14ac:dyDescent="0.25">
      <c r="A797" s="162">
        <v>23753</v>
      </c>
      <c r="B797" s="163">
        <v>4.1900000000000004</v>
      </c>
      <c r="C797" s="163"/>
      <c r="D797" s="163"/>
      <c r="E797" s="166">
        <f t="shared" si="12"/>
        <v>2019</v>
      </c>
      <c r="F797" s="157">
        <v>43466</v>
      </c>
      <c r="G797" s="158">
        <v>2.89</v>
      </c>
      <c r="J797" s="157">
        <v>28174</v>
      </c>
      <c r="K797" s="158">
        <v>7.61</v>
      </c>
    </row>
    <row r="798" spans="1:11" x14ac:dyDescent="0.25">
      <c r="A798" s="162">
        <v>23754</v>
      </c>
      <c r="B798" s="163">
        <v>4.1900000000000004</v>
      </c>
      <c r="C798" s="163"/>
      <c r="D798" s="163"/>
      <c r="E798" s="166">
        <f t="shared" si="12"/>
        <v>2019</v>
      </c>
      <c r="F798" s="157">
        <v>43497</v>
      </c>
      <c r="G798" s="158">
        <v>2.87</v>
      </c>
      <c r="J798" s="157">
        <v>28181</v>
      </c>
      <c r="K798" s="158">
        <v>7.71</v>
      </c>
    </row>
    <row r="799" spans="1:11" x14ac:dyDescent="0.25">
      <c r="A799" s="162">
        <v>23755</v>
      </c>
      <c r="B799" s="163">
        <v>4.1900000000000004</v>
      </c>
      <c r="C799" s="163"/>
      <c r="D799" s="163"/>
      <c r="E799" s="166">
        <f t="shared" si="12"/>
        <v>2019</v>
      </c>
      <c r="F799" s="157">
        <v>43525</v>
      </c>
      <c r="G799" s="158">
        <v>2.8</v>
      </c>
      <c r="J799" s="157">
        <v>28188</v>
      </c>
      <c r="K799" s="158">
        <v>7.75</v>
      </c>
    </row>
    <row r="800" spans="1:11" x14ac:dyDescent="0.25">
      <c r="A800" s="162">
        <v>23756</v>
      </c>
      <c r="B800" s="163">
        <v>4.1900000000000004</v>
      </c>
      <c r="C800" s="163"/>
      <c r="D800" s="163"/>
      <c r="E800" s="166">
        <f t="shared" si="12"/>
        <v>2019</v>
      </c>
      <c r="F800" s="157">
        <v>43556</v>
      </c>
      <c r="G800" s="158">
        <v>2.76</v>
      </c>
      <c r="J800" s="157">
        <v>28195</v>
      </c>
      <c r="K800" s="158">
        <v>7.76</v>
      </c>
    </row>
    <row r="801" spans="1:11" x14ac:dyDescent="0.25">
      <c r="A801" s="162">
        <v>23757</v>
      </c>
      <c r="B801" s="163">
        <v>4.1900000000000004</v>
      </c>
      <c r="C801" s="163"/>
      <c r="D801" s="163"/>
      <c r="E801" s="166">
        <f t="shared" si="12"/>
        <v>2019</v>
      </c>
      <c r="F801" s="157">
        <v>43586</v>
      </c>
      <c r="G801" s="158">
        <v>2.63</v>
      </c>
      <c r="J801" s="157">
        <v>28202</v>
      </c>
      <c r="K801" s="158">
        <v>7.72</v>
      </c>
    </row>
    <row r="802" spans="1:11" x14ac:dyDescent="0.25">
      <c r="A802" s="162">
        <v>23760</v>
      </c>
      <c r="B802" s="163">
        <v>4.1900000000000004</v>
      </c>
      <c r="C802" s="163"/>
      <c r="D802" s="163"/>
      <c r="E802" s="166">
        <f t="shared" si="12"/>
        <v>2019</v>
      </c>
      <c r="F802" s="157">
        <v>43617</v>
      </c>
      <c r="G802" s="158">
        <v>2.36</v>
      </c>
      <c r="J802" s="157">
        <v>28209</v>
      </c>
      <c r="K802" s="158">
        <v>7.71</v>
      </c>
    </row>
    <row r="803" spans="1:11" x14ac:dyDescent="0.25">
      <c r="A803" s="162">
        <v>23761</v>
      </c>
      <c r="B803" s="163">
        <v>4.18</v>
      </c>
      <c r="C803" s="163"/>
      <c r="D803" s="163"/>
      <c r="E803" s="166">
        <f t="shared" si="12"/>
        <v>2019</v>
      </c>
      <c r="F803" s="157">
        <v>43647</v>
      </c>
      <c r="G803" s="158">
        <v>2.36</v>
      </c>
      <c r="J803" s="157">
        <v>28216</v>
      </c>
      <c r="K803" s="158">
        <v>7.73</v>
      </c>
    </row>
    <row r="804" spans="1:11" x14ac:dyDescent="0.25">
      <c r="A804" s="162">
        <v>23762</v>
      </c>
      <c r="B804" s="163">
        <v>4.18</v>
      </c>
      <c r="C804" s="163"/>
      <c r="D804" s="163"/>
      <c r="E804" s="166">
        <f t="shared" si="12"/>
        <v>2019</v>
      </c>
      <c r="F804" s="157">
        <v>43678</v>
      </c>
      <c r="G804" s="158">
        <v>1.91</v>
      </c>
      <c r="J804" s="157">
        <v>28223</v>
      </c>
      <c r="K804" s="158">
        <v>7.72</v>
      </c>
    </row>
    <row r="805" spans="1:11" x14ac:dyDescent="0.25">
      <c r="A805" s="162">
        <v>23763</v>
      </c>
      <c r="B805" s="163">
        <v>4.18</v>
      </c>
      <c r="C805" s="163"/>
      <c r="D805" s="163"/>
      <c r="E805" s="166">
        <f t="shared" si="12"/>
        <v>2019</v>
      </c>
      <c r="F805" s="157">
        <v>43709</v>
      </c>
      <c r="G805" s="158">
        <v>1.97</v>
      </c>
      <c r="J805" s="157">
        <v>28230</v>
      </c>
      <c r="K805" s="158">
        <v>7.65</v>
      </c>
    </row>
    <row r="806" spans="1:11" x14ac:dyDescent="0.25">
      <c r="A806" s="162">
        <v>23764</v>
      </c>
      <c r="B806" s="163">
        <v>4.17</v>
      </c>
      <c r="C806" s="163"/>
      <c r="D806" s="163"/>
      <c r="E806" s="166">
        <f t="shared" si="12"/>
        <v>2019</v>
      </c>
      <c r="F806" s="157">
        <v>43739</v>
      </c>
      <c r="G806" s="158">
        <v>2</v>
      </c>
      <c r="J806" s="157">
        <v>28237</v>
      </c>
      <c r="K806" s="158">
        <v>7.62</v>
      </c>
    </row>
    <row r="807" spans="1:11" x14ac:dyDescent="0.25">
      <c r="A807" s="162">
        <v>23767</v>
      </c>
      <c r="B807" s="163">
        <v>4.17</v>
      </c>
      <c r="C807" s="163"/>
      <c r="D807" s="163"/>
      <c r="E807" s="166">
        <f t="shared" si="12"/>
        <v>2019</v>
      </c>
      <c r="F807" s="157">
        <v>43770</v>
      </c>
      <c r="G807" s="158">
        <v>2.13</v>
      </c>
      <c r="J807" s="157">
        <v>28244</v>
      </c>
      <c r="K807" s="158">
        <v>7.69</v>
      </c>
    </row>
    <row r="808" spans="1:11" x14ac:dyDescent="0.25">
      <c r="A808" s="162">
        <v>23768</v>
      </c>
      <c r="B808" s="163">
        <v>4.18</v>
      </c>
      <c r="C808" s="163"/>
      <c r="D808" s="163"/>
      <c r="E808" s="166">
        <f t="shared" si="12"/>
        <v>2019</v>
      </c>
      <c r="F808" s="157">
        <v>43800</v>
      </c>
      <c r="G808" s="158">
        <v>2.16</v>
      </c>
      <c r="J808" s="157">
        <v>28251</v>
      </c>
      <c r="K808" s="158">
        <v>7.74</v>
      </c>
    </row>
    <row r="809" spans="1:11" x14ac:dyDescent="0.25">
      <c r="A809" s="162">
        <v>23769</v>
      </c>
      <c r="B809" s="163">
        <v>4.18</v>
      </c>
      <c r="C809" s="163"/>
      <c r="D809" s="163"/>
      <c r="E809" s="166">
        <f t="shared" si="12"/>
        <v>2020</v>
      </c>
      <c r="F809" s="157">
        <v>43831</v>
      </c>
      <c r="G809" s="158">
        <v>2.0699999999999998</v>
      </c>
      <c r="J809" s="157">
        <v>28258</v>
      </c>
      <c r="K809" s="158">
        <v>7.78</v>
      </c>
    </row>
    <row r="810" spans="1:11" x14ac:dyDescent="0.25">
      <c r="A810" s="162">
        <v>23770</v>
      </c>
      <c r="B810" s="163">
        <v>4.18</v>
      </c>
      <c r="C810" s="163"/>
      <c r="D810" s="163"/>
      <c r="E810" s="166">
        <f t="shared" si="12"/>
        <v>2020</v>
      </c>
      <c r="F810" s="157">
        <v>43862</v>
      </c>
      <c r="G810" s="158">
        <v>1.81</v>
      </c>
      <c r="J810" s="157">
        <v>28265</v>
      </c>
      <c r="K810" s="158">
        <v>7.74</v>
      </c>
    </row>
    <row r="811" spans="1:11" x14ac:dyDescent="0.25">
      <c r="A811" s="162">
        <v>23771</v>
      </c>
      <c r="B811" s="163">
        <v>4.1900000000000004</v>
      </c>
      <c r="C811" s="163"/>
      <c r="D811" s="163"/>
      <c r="E811" s="166">
        <f t="shared" si="12"/>
        <v>2020</v>
      </c>
      <c r="F811" s="157">
        <v>43891</v>
      </c>
      <c r="G811" s="158">
        <v>1.26</v>
      </c>
      <c r="J811" s="157">
        <v>28272</v>
      </c>
      <c r="K811" s="158">
        <v>7.7</v>
      </c>
    </row>
    <row r="812" spans="1:11" x14ac:dyDescent="0.25">
      <c r="A812" s="162">
        <v>23774</v>
      </c>
      <c r="B812" s="163">
        <v>4.1900000000000004</v>
      </c>
      <c r="C812" s="163"/>
      <c r="D812" s="163"/>
      <c r="E812" s="166">
        <f t="shared" si="12"/>
        <v>2020</v>
      </c>
      <c r="F812" s="157">
        <v>43922</v>
      </c>
      <c r="G812" s="158">
        <v>1.06</v>
      </c>
      <c r="J812" s="157">
        <v>28279</v>
      </c>
      <c r="K812" s="158">
        <v>7.68</v>
      </c>
    </row>
    <row r="813" spans="1:11" x14ac:dyDescent="0.25">
      <c r="A813" s="162">
        <v>23775</v>
      </c>
      <c r="B813" s="163">
        <v>4.1900000000000004</v>
      </c>
      <c r="C813" s="163"/>
      <c r="D813" s="163"/>
      <c r="E813" s="166">
        <f t="shared" si="12"/>
        <v>2020</v>
      </c>
      <c r="F813" s="157">
        <v>43952</v>
      </c>
      <c r="G813" s="158">
        <v>1.1200000000000001</v>
      </c>
      <c r="J813" s="157">
        <v>28286</v>
      </c>
      <c r="K813" s="158">
        <v>7.68</v>
      </c>
    </row>
    <row r="814" spans="1:11" x14ac:dyDescent="0.25">
      <c r="A814" s="162">
        <v>23776</v>
      </c>
      <c r="B814" s="163">
        <v>4.2</v>
      </c>
      <c r="C814" s="163"/>
      <c r="D814" s="163"/>
      <c r="E814" s="166">
        <f t="shared" si="12"/>
        <v>2020</v>
      </c>
      <c r="F814" s="157">
        <v>43983</v>
      </c>
      <c r="G814" s="158">
        <v>1.27</v>
      </c>
      <c r="J814" s="157">
        <v>28293</v>
      </c>
      <c r="K814" s="158">
        <v>7.63</v>
      </c>
    </row>
    <row r="815" spans="1:11" x14ac:dyDescent="0.25">
      <c r="A815" s="162">
        <v>23777</v>
      </c>
      <c r="B815" s="163">
        <v>4.2</v>
      </c>
      <c r="C815" s="163"/>
      <c r="D815" s="163"/>
      <c r="E815" s="166">
        <f t="shared" si="12"/>
        <v>2020</v>
      </c>
      <c r="F815" s="157">
        <v>44013</v>
      </c>
      <c r="G815" s="158">
        <v>1.0900000000000001</v>
      </c>
      <c r="J815" s="157">
        <v>28300</v>
      </c>
      <c r="K815" s="158">
        <v>7.63</v>
      </c>
    </row>
    <row r="816" spans="1:11" x14ac:dyDescent="0.25">
      <c r="A816" s="162">
        <v>23778</v>
      </c>
      <c r="B816" s="163">
        <v>4.21</v>
      </c>
      <c r="C816" s="163"/>
      <c r="D816" s="163"/>
      <c r="E816" s="166">
        <f t="shared" si="12"/>
        <v>2020</v>
      </c>
      <c r="F816" s="157">
        <v>44044</v>
      </c>
      <c r="G816" s="158">
        <v>1.1399999999999999</v>
      </c>
      <c r="J816" s="157">
        <v>28307</v>
      </c>
      <c r="K816" s="158">
        <v>7.57</v>
      </c>
    </row>
    <row r="817" spans="1:11" x14ac:dyDescent="0.25">
      <c r="A817" s="162">
        <v>23781</v>
      </c>
      <c r="B817" s="163">
        <v>4.2</v>
      </c>
      <c r="C817" s="163"/>
      <c r="D817" s="163"/>
      <c r="E817" s="166">
        <f t="shared" si="12"/>
        <v>2020</v>
      </c>
      <c r="F817" s="157">
        <v>44075</v>
      </c>
      <c r="G817" s="158">
        <v>1.21</v>
      </c>
      <c r="J817" s="157">
        <v>28314</v>
      </c>
      <c r="K817" s="158">
        <v>7.58</v>
      </c>
    </row>
    <row r="818" spans="1:11" x14ac:dyDescent="0.25">
      <c r="A818" s="162">
        <v>23782</v>
      </c>
      <c r="B818" s="163">
        <v>4.2</v>
      </c>
      <c r="C818" s="163"/>
      <c r="D818" s="163"/>
      <c r="E818" s="166">
        <f t="shared" si="12"/>
        <v>2020</v>
      </c>
      <c r="F818" s="157">
        <v>44105</v>
      </c>
      <c r="G818" s="158">
        <v>1.34</v>
      </c>
      <c r="J818" s="157">
        <v>28321</v>
      </c>
      <c r="K818" s="158">
        <v>7.6</v>
      </c>
    </row>
    <row r="819" spans="1:11" x14ac:dyDescent="0.25">
      <c r="A819" s="162">
        <v>23783</v>
      </c>
      <c r="B819" s="163">
        <v>4.21</v>
      </c>
      <c r="C819" s="163"/>
      <c r="D819" s="163"/>
      <c r="E819" s="166">
        <f t="shared" si="12"/>
        <v>2020</v>
      </c>
      <c r="F819" s="157">
        <v>44136</v>
      </c>
      <c r="G819" s="158">
        <v>1.4</v>
      </c>
      <c r="J819" s="157">
        <v>28328</v>
      </c>
      <c r="K819" s="158">
        <v>7.62</v>
      </c>
    </row>
    <row r="820" spans="1:11" x14ac:dyDescent="0.25">
      <c r="A820" s="162">
        <v>23784</v>
      </c>
      <c r="B820" s="163">
        <v>4.21</v>
      </c>
      <c r="C820" s="163"/>
      <c r="D820" s="163"/>
      <c r="E820" s="166">
        <f t="shared" si="12"/>
        <v>2020</v>
      </c>
      <c r="F820" s="157">
        <v>44166</v>
      </c>
      <c r="G820" s="158">
        <v>1.47</v>
      </c>
      <c r="J820" s="157">
        <v>28335</v>
      </c>
      <c r="K820" s="158">
        <v>7.61</v>
      </c>
    </row>
    <row r="821" spans="1:11" x14ac:dyDescent="0.25">
      <c r="A821" s="162">
        <v>23785</v>
      </c>
      <c r="B821" s="163" t="e">
        <f>NA()</f>
        <v>#N/A</v>
      </c>
      <c r="C821" s="163"/>
      <c r="D821" s="163"/>
      <c r="E821" s="166">
        <f t="shared" si="12"/>
        <v>2021</v>
      </c>
      <c r="F821" s="157">
        <v>44197</v>
      </c>
      <c r="G821" s="158">
        <v>1.63</v>
      </c>
      <c r="J821" s="157">
        <v>28342</v>
      </c>
      <c r="K821" s="158">
        <v>7.66</v>
      </c>
    </row>
    <row r="822" spans="1:11" x14ac:dyDescent="0.25">
      <c r="A822" s="162">
        <v>23788</v>
      </c>
      <c r="B822" s="163">
        <v>4.21</v>
      </c>
      <c r="C822" s="163"/>
      <c r="D822" s="163"/>
      <c r="E822" s="166">
        <f t="shared" si="12"/>
        <v>2021</v>
      </c>
      <c r="F822" s="157">
        <v>44228</v>
      </c>
      <c r="G822" s="158">
        <v>1.88</v>
      </c>
      <c r="J822" s="157">
        <v>28349</v>
      </c>
      <c r="K822" s="158">
        <v>7.69</v>
      </c>
    </row>
    <row r="823" spans="1:11" x14ac:dyDescent="0.25">
      <c r="A823" s="162">
        <v>23789</v>
      </c>
      <c r="B823" s="163">
        <v>4.21</v>
      </c>
      <c r="C823" s="163"/>
      <c r="D823" s="163"/>
      <c r="E823" s="166">
        <f t="shared" si="12"/>
        <v>2021</v>
      </c>
      <c r="F823" s="157">
        <v>44256</v>
      </c>
      <c r="G823" s="158">
        <v>2.2400000000000002</v>
      </c>
      <c r="J823" s="157">
        <v>28356</v>
      </c>
      <c r="K823" s="158">
        <v>7.68</v>
      </c>
    </row>
    <row r="824" spans="1:11" x14ac:dyDescent="0.25">
      <c r="A824" s="162">
        <v>23790</v>
      </c>
      <c r="B824" s="163">
        <v>4.21</v>
      </c>
      <c r="C824" s="163"/>
      <c r="D824" s="163"/>
      <c r="E824" s="166">
        <f t="shared" si="12"/>
        <v>2021</v>
      </c>
      <c r="F824" s="157">
        <v>44287</v>
      </c>
      <c r="G824" s="158">
        <v>2.2000000000000002</v>
      </c>
      <c r="J824" s="157">
        <v>28363</v>
      </c>
      <c r="K824" s="158">
        <v>7.58</v>
      </c>
    </row>
    <row r="825" spans="1:11" x14ac:dyDescent="0.25">
      <c r="A825" s="162">
        <v>23791</v>
      </c>
      <c r="B825" s="163">
        <v>4.21</v>
      </c>
      <c r="C825" s="163"/>
      <c r="D825" s="163"/>
      <c r="E825" s="166">
        <f t="shared" si="12"/>
        <v>2021</v>
      </c>
      <c r="F825" s="157">
        <v>44317</v>
      </c>
      <c r="G825" s="158">
        <v>2.2200000000000002</v>
      </c>
      <c r="J825" s="157">
        <v>28370</v>
      </c>
      <c r="K825" s="158">
        <v>7.52</v>
      </c>
    </row>
    <row r="826" spans="1:11" x14ac:dyDescent="0.25">
      <c r="A826" s="162">
        <v>23792</v>
      </c>
      <c r="B826" s="163">
        <v>4.21</v>
      </c>
      <c r="C826" s="163"/>
      <c r="D826" s="163"/>
      <c r="E826" s="166">
        <f t="shared" si="12"/>
        <v>2021</v>
      </c>
      <c r="F826" s="157">
        <v>44348</v>
      </c>
      <c r="G826" s="158">
        <v>2.09</v>
      </c>
      <c r="J826" s="157">
        <v>28377</v>
      </c>
      <c r="K826" s="158">
        <v>7.52</v>
      </c>
    </row>
    <row r="827" spans="1:11" x14ac:dyDescent="0.25">
      <c r="A827" s="162">
        <v>23795</v>
      </c>
      <c r="B827" s="163" t="e">
        <f>NA()</f>
        <v>#N/A</v>
      </c>
      <c r="C827" s="163"/>
      <c r="D827" s="163"/>
      <c r="E827" s="166">
        <f t="shared" si="12"/>
        <v>2021</v>
      </c>
      <c r="F827" s="157">
        <v>44378</v>
      </c>
      <c r="G827" s="158">
        <v>1.87</v>
      </c>
      <c r="J827" s="157">
        <v>28384</v>
      </c>
      <c r="K827" s="158">
        <v>7.57</v>
      </c>
    </row>
    <row r="828" spans="1:11" x14ac:dyDescent="0.25">
      <c r="A828" s="162">
        <v>23796</v>
      </c>
      <c r="B828" s="163">
        <v>4.21</v>
      </c>
      <c r="C828" s="163"/>
      <c r="D828" s="163"/>
      <c r="E828" s="166">
        <f t="shared" si="12"/>
        <v>2021</v>
      </c>
      <c r="F828" s="157">
        <v>44409</v>
      </c>
      <c r="G828" s="158">
        <v>1.83</v>
      </c>
      <c r="J828" s="157">
        <v>28391</v>
      </c>
      <c r="K828" s="158">
        <v>7.59</v>
      </c>
    </row>
    <row r="829" spans="1:11" x14ac:dyDescent="0.25">
      <c r="A829" s="162">
        <v>23797</v>
      </c>
      <c r="B829" s="163">
        <v>4.21</v>
      </c>
      <c r="C829" s="163"/>
      <c r="D829" s="163"/>
      <c r="E829" s="166">
        <f t="shared" si="12"/>
        <v>2021</v>
      </c>
      <c r="F829" s="157">
        <v>44440</v>
      </c>
      <c r="G829" s="158">
        <v>1.87</v>
      </c>
      <c r="J829" s="157">
        <v>28398</v>
      </c>
      <c r="K829" s="158">
        <v>7.61</v>
      </c>
    </row>
    <row r="830" spans="1:11" x14ac:dyDescent="0.25">
      <c r="A830" s="162">
        <v>23798</v>
      </c>
      <c r="B830" s="163">
        <v>4.21</v>
      </c>
      <c r="C830" s="163"/>
      <c r="D830" s="163"/>
      <c r="E830" s="166">
        <f t="shared" si="12"/>
        <v>2021</v>
      </c>
      <c r="F830" s="157">
        <v>44470</v>
      </c>
      <c r="G830" s="158">
        <v>2.0299999999999998</v>
      </c>
      <c r="J830" s="157">
        <v>28405</v>
      </c>
      <c r="K830" s="158">
        <v>7.63</v>
      </c>
    </row>
    <row r="831" spans="1:11" x14ac:dyDescent="0.25">
      <c r="A831" s="162">
        <v>23799</v>
      </c>
      <c r="B831" s="163">
        <v>4.21</v>
      </c>
      <c r="C831" s="163"/>
      <c r="D831" s="163"/>
      <c r="E831" s="166">
        <f t="shared" si="12"/>
        <v>2021</v>
      </c>
      <c r="F831" s="157">
        <v>44501</v>
      </c>
      <c r="G831" s="158">
        <v>1.97</v>
      </c>
      <c r="J831" s="157">
        <v>28412</v>
      </c>
      <c r="K831" s="158">
        <v>7.71</v>
      </c>
    </row>
    <row r="832" spans="1:11" x14ac:dyDescent="0.25">
      <c r="A832" s="162">
        <v>23802</v>
      </c>
      <c r="B832" s="163">
        <v>4.21</v>
      </c>
      <c r="C832" s="163"/>
      <c r="D832" s="163"/>
      <c r="E832" s="166">
        <f t="shared" si="12"/>
        <v>2021</v>
      </c>
      <c r="F832" s="157">
        <v>44531</v>
      </c>
      <c r="G832" s="158">
        <v>1.9</v>
      </c>
      <c r="J832" s="157">
        <v>28419</v>
      </c>
      <c r="K832" s="158">
        <v>7.73</v>
      </c>
    </row>
    <row r="833" spans="1:11" x14ac:dyDescent="0.25">
      <c r="A833" s="162">
        <v>23803</v>
      </c>
      <c r="B833" s="163">
        <v>4.21</v>
      </c>
      <c r="C833" s="163"/>
      <c r="D833" s="163"/>
      <c r="E833" s="166">
        <f t="shared" si="12"/>
        <v>2022</v>
      </c>
      <c r="F833" s="157">
        <v>44562</v>
      </c>
      <c r="G833" s="158">
        <v>2.15</v>
      </c>
      <c r="J833" s="157">
        <v>28426</v>
      </c>
      <c r="K833" s="158">
        <v>7.74</v>
      </c>
    </row>
    <row r="834" spans="1:11" x14ac:dyDescent="0.25">
      <c r="A834" s="162">
        <v>23804</v>
      </c>
      <c r="B834" s="163">
        <v>4.21</v>
      </c>
      <c r="C834" s="163"/>
      <c r="D834" s="163"/>
      <c r="E834" s="166">
        <f t="shared" si="12"/>
        <v>2022</v>
      </c>
      <c r="F834" s="157">
        <v>44593</v>
      </c>
      <c r="G834" s="158">
        <v>2.31</v>
      </c>
      <c r="J834" s="157">
        <v>28433</v>
      </c>
      <c r="K834" s="158">
        <v>7.81</v>
      </c>
    </row>
    <row r="835" spans="1:11" x14ac:dyDescent="0.25">
      <c r="A835" s="162">
        <v>23805</v>
      </c>
      <c r="B835" s="163">
        <v>4.21</v>
      </c>
      <c r="C835" s="163"/>
      <c r="D835" s="163"/>
      <c r="E835" s="166">
        <f t="shared" si="12"/>
        <v>2022</v>
      </c>
      <c r="F835" s="157">
        <v>44621</v>
      </c>
      <c r="G835" s="158">
        <v>2.5099999999999998</v>
      </c>
      <c r="J835" s="157">
        <v>28440</v>
      </c>
      <c r="K835" s="158">
        <v>7.8</v>
      </c>
    </row>
    <row r="836" spans="1:11" x14ac:dyDescent="0.25">
      <c r="A836" s="162">
        <v>23806</v>
      </c>
      <c r="B836" s="163">
        <v>4.21</v>
      </c>
      <c r="C836" s="163"/>
      <c r="D836" s="163"/>
      <c r="E836" s="166">
        <f t="shared" si="12"/>
        <v>2022</v>
      </c>
      <c r="F836" s="157">
        <v>44652</v>
      </c>
      <c r="G836" s="158">
        <v>2.99</v>
      </c>
      <c r="J836" s="157">
        <v>28447</v>
      </c>
      <c r="K836" s="158">
        <v>7.74</v>
      </c>
    </row>
    <row r="837" spans="1:11" x14ac:dyDescent="0.25">
      <c r="A837" s="162">
        <v>23809</v>
      </c>
      <c r="B837" s="163">
        <v>4.21</v>
      </c>
      <c r="C837" s="163"/>
      <c r="D837" s="163"/>
      <c r="E837" s="166">
        <f t="shared" si="12"/>
        <v>2022</v>
      </c>
      <c r="F837" s="157">
        <v>44682</v>
      </c>
      <c r="G837" s="158">
        <v>3.26</v>
      </c>
      <c r="J837" s="157">
        <v>28454</v>
      </c>
      <c r="K837" s="158">
        <v>7.73</v>
      </c>
    </row>
    <row r="838" spans="1:11" x14ac:dyDescent="0.25">
      <c r="A838" s="162">
        <v>23810</v>
      </c>
      <c r="B838" s="163">
        <v>4.21</v>
      </c>
      <c r="C838" s="163"/>
      <c r="D838" s="163"/>
      <c r="E838" s="166">
        <f t="shared" si="12"/>
        <v>2022</v>
      </c>
      <c r="F838" s="157">
        <v>44713</v>
      </c>
      <c r="G838" s="158">
        <v>3.48</v>
      </c>
      <c r="J838" s="157">
        <v>28461</v>
      </c>
      <c r="K838" s="158">
        <v>7.75</v>
      </c>
    </row>
    <row r="839" spans="1:11" x14ac:dyDescent="0.25">
      <c r="A839" s="162">
        <v>23811</v>
      </c>
      <c r="B839" s="164">
        <v>4.21</v>
      </c>
      <c r="C839" s="164"/>
      <c r="D839" s="164"/>
      <c r="E839" s="166">
        <f t="shared" si="12"/>
        <v>2022</v>
      </c>
      <c r="F839" s="157">
        <v>44743</v>
      </c>
      <c r="G839" s="158">
        <v>3.35</v>
      </c>
      <c r="J839" s="157">
        <v>28468</v>
      </c>
      <c r="K839" s="158">
        <v>7.81</v>
      </c>
    </row>
    <row r="840" spans="1:11" x14ac:dyDescent="0.25">
      <c r="A840" s="162">
        <v>23812</v>
      </c>
      <c r="B840" s="163">
        <v>4.21</v>
      </c>
      <c r="C840" s="163"/>
      <c r="D840" s="163"/>
      <c r="E840" s="166">
        <f t="shared" si="12"/>
        <v>2022</v>
      </c>
      <c r="F840" s="157">
        <v>44774</v>
      </c>
      <c r="G840" s="158">
        <v>3.35</v>
      </c>
      <c r="J840" s="157">
        <v>28475</v>
      </c>
      <c r="K840" s="158">
        <v>7.84</v>
      </c>
    </row>
    <row r="841" spans="1:11" x14ac:dyDescent="0.25">
      <c r="A841" s="162">
        <v>23813</v>
      </c>
      <c r="B841" s="163">
        <v>4.21</v>
      </c>
      <c r="C841" s="163"/>
      <c r="D841" s="163"/>
      <c r="E841" s="166">
        <f t="shared" ref="E841:E859" si="13">YEAR(F841)</f>
        <v>2022</v>
      </c>
      <c r="F841" s="157">
        <v>44805</v>
      </c>
      <c r="G841" s="158">
        <v>3.82</v>
      </c>
      <c r="J841" s="157">
        <v>28482</v>
      </c>
      <c r="K841" s="158">
        <v>7.92</v>
      </c>
    </row>
    <row r="842" spans="1:11" x14ac:dyDescent="0.25">
      <c r="A842" s="162">
        <v>23816</v>
      </c>
      <c r="B842" s="163">
        <v>4.2</v>
      </c>
      <c r="C842" s="163"/>
      <c r="D842" s="163"/>
      <c r="E842" s="166">
        <f t="shared" si="13"/>
        <v>2022</v>
      </c>
      <c r="F842" s="157">
        <v>44835</v>
      </c>
      <c r="G842" s="158">
        <v>4.28</v>
      </c>
      <c r="J842" s="157">
        <v>28489</v>
      </c>
      <c r="K842" s="158">
        <v>7.99</v>
      </c>
    </row>
    <row r="843" spans="1:11" x14ac:dyDescent="0.25">
      <c r="A843" s="162">
        <v>23817</v>
      </c>
      <c r="B843" s="163">
        <v>4.1900000000000004</v>
      </c>
      <c r="C843" s="163"/>
      <c r="D843" s="163"/>
      <c r="E843" s="166">
        <f t="shared" si="13"/>
        <v>2022</v>
      </c>
      <c r="F843" s="157">
        <v>44866</v>
      </c>
      <c r="G843" s="158">
        <v>4.22</v>
      </c>
      <c r="J843" s="157">
        <v>28496</v>
      </c>
      <c r="K843" s="158">
        <v>8.01</v>
      </c>
    </row>
    <row r="844" spans="1:11" x14ac:dyDescent="0.25">
      <c r="A844" s="162">
        <v>23818</v>
      </c>
      <c r="B844" s="163">
        <v>4.1900000000000004</v>
      </c>
      <c r="C844" s="163"/>
      <c r="D844" s="163"/>
      <c r="E844" s="166">
        <f t="shared" si="13"/>
        <v>2022</v>
      </c>
      <c r="F844" s="157">
        <v>44896</v>
      </c>
      <c r="G844" s="158">
        <v>3.87</v>
      </c>
      <c r="J844" s="157">
        <v>28503</v>
      </c>
      <c r="K844" s="158">
        <v>8.18</v>
      </c>
    </row>
    <row r="845" spans="1:11" x14ac:dyDescent="0.25">
      <c r="A845" s="162">
        <v>23819</v>
      </c>
      <c r="B845" s="163">
        <v>4.2</v>
      </c>
      <c r="C845" s="163"/>
      <c r="D845" s="163"/>
      <c r="E845" s="166">
        <f t="shared" si="13"/>
        <v>2023</v>
      </c>
      <c r="F845" s="157">
        <v>44927</v>
      </c>
      <c r="G845" s="158">
        <v>3.81</v>
      </c>
      <c r="J845" s="157">
        <v>28510</v>
      </c>
      <c r="K845" s="158">
        <v>8.16</v>
      </c>
    </row>
    <row r="846" spans="1:11" x14ac:dyDescent="0.25">
      <c r="A846" s="162">
        <v>23820</v>
      </c>
      <c r="B846" s="163">
        <v>4.2</v>
      </c>
      <c r="C846" s="163"/>
      <c r="D846" s="163"/>
      <c r="E846" s="166">
        <f t="shared" si="13"/>
        <v>2023</v>
      </c>
      <c r="F846" s="157">
        <v>44958</v>
      </c>
      <c r="G846" s="158">
        <v>3.95</v>
      </c>
      <c r="J846" s="157">
        <v>28517</v>
      </c>
      <c r="K846" s="158">
        <v>8.17</v>
      </c>
    </row>
    <row r="847" spans="1:11" x14ac:dyDescent="0.25">
      <c r="A847" s="162">
        <v>23823</v>
      </c>
      <c r="B847" s="163">
        <v>4.1900000000000004</v>
      </c>
      <c r="C847" s="163"/>
      <c r="D847" s="163"/>
      <c r="E847" s="166">
        <f t="shared" si="13"/>
        <v>2023</v>
      </c>
      <c r="F847" s="157">
        <v>44986</v>
      </c>
      <c r="G847" s="158">
        <v>3.94</v>
      </c>
      <c r="J847" s="157">
        <v>28524</v>
      </c>
      <c r="K847" s="158">
        <v>8.17</v>
      </c>
    </row>
    <row r="848" spans="1:11" x14ac:dyDescent="0.25">
      <c r="A848" s="162">
        <v>23824</v>
      </c>
      <c r="B848" s="163">
        <v>4.1900000000000004</v>
      </c>
      <c r="C848" s="163"/>
      <c r="D848" s="163"/>
      <c r="E848" s="166">
        <f t="shared" si="13"/>
        <v>2023</v>
      </c>
      <c r="F848" s="157">
        <v>45017</v>
      </c>
      <c r="G848" s="158">
        <v>3.8</v>
      </c>
      <c r="J848" s="157">
        <v>28531</v>
      </c>
      <c r="K848" s="158">
        <v>8.1999999999999993</v>
      </c>
    </row>
    <row r="849" spans="1:11" x14ac:dyDescent="0.25">
      <c r="A849" s="162">
        <v>23825</v>
      </c>
      <c r="B849" s="163">
        <v>4.1900000000000004</v>
      </c>
      <c r="C849" s="163"/>
      <c r="D849" s="163"/>
      <c r="E849" s="166">
        <f t="shared" si="13"/>
        <v>2023</v>
      </c>
      <c r="F849" s="157">
        <v>45047</v>
      </c>
      <c r="G849" s="158">
        <v>3.96</v>
      </c>
      <c r="J849" s="157">
        <v>28538</v>
      </c>
      <c r="K849" s="158">
        <v>8.25</v>
      </c>
    </row>
    <row r="850" spans="1:11" x14ac:dyDescent="0.25">
      <c r="A850" s="162">
        <v>23826</v>
      </c>
      <c r="B850" s="163">
        <v>4.1900000000000004</v>
      </c>
      <c r="C850" s="163"/>
      <c r="D850" s="163"/>
      <c r="E850" s="166">
        <f t="shared" si="13"/>
        <v>2023</v>
      </c>
      <c r="F850" s="157">
        <v>45078</v>
      </c>
      <c r="G850" s="158">
        <v>4.04</v>
      </c>
      <c r="J850" s="157">
        <v>28545</v>
      </c>
      <c r="K850" s="158">
        <v>8.25</v>
      </c>
    </row>
    <row r="851" spans="1:11" x14ac:dyDescent="0.25">
      <c r="A851" s="162">
        <v>23827</v>
      </c>
      <c r="B851" s="163">
        <v>4.2</v>
      </c>
      <c r="C851" s="163"/>
      <c r="D851" s="163"/>
      <c r="E851" s="166">
        <f t="shared" si="13"/>
        <v>2023</v>
      </c>
      <c r="F851" s="157">
        <v>45108</v>
      </c>
      <c r="G851" s="158">
        <v>4.1500000000000004</v>
      </c>
      <c r="J851" s="157">
        <v>28552</v>
      </c>
      <c r="K851" s="158">
        <v>8.2100000000000009</v>
      </c>
    </row>
    <row r="852" spans="1:11" x14ac:dyDescent="0.25">
      <c r="A852" s="162">
        <v>23830</v>
      </c>
      <c r="B852" s="163">
        <v>4.2</v>
      </c>
      <c r="C852" s="163"/>
      <c r="D852" s="163"/>
      <c r="E852" s="166">
        <f t="shared" si="13"/>
        <v>2023</v>
      </c>
      <c r="F852" s="157">
        <v>45139</v>
      </c>
      <c r="G852" s="158">
        <v>4.46</v>
      </c>
      <c r="J852" s="157">
        <v>28559</v>
      </c>
      <c r="K852" s="158">
        <v>8.2100000000000009</v>
      </c>
    </row>
    <row r="853" spans="1:11" x14ac:dyDescent="0.25">
      <c r="A853" s="162">
        <v>23831</v>
      </c>
      <c r="B853" s="163">
        <v>4.2</v>
      </c>
      <c r="C853" s="163"/>
      <c r="D853" s="163"/>
      <c r="E853" s="166">
        <f t="shared" si="13"/>
        <v>2023</v>
      </c>
      <c r="F853" s="157">
        <v>45170</v>
      </c>
      <c r="G853" s="158">
        <v>4.6500000000000004</v>
      </c>
      <c r="J853" s="157">
        <v>28566</v>
      </c>
      <c r="K853" s="158">
        <v>8.17</v>
      </c>
    </row>
    <row r="854" spans="1:11" x14ac:dyDescent="0.25">
      <c r="A854" s="162">
        <v>23832</v>
      </c>
      <c r="B854" s="163">
        <v>4.2</v>
      </c>
      <c r="C854" s="163"/>
      <c r="D854" s="163"/>
      <c r="E854" s="166">
        <f t="shared" si="13"/>
        <v>2023</v>
      </c>
      <c r="F854" s="157">
        <v>45200</v>
      </c>
      <c r="G854" s="158">
        <v>5.13</v>
      </c>
      <c r="J854" s="157">
        <v>28573</v>
      </c>
      <c r="K854" s="158">
        <v>8.17</v>
      </c>
    </row>
    <row r="855" spans="1:11" x14ac:dyDescent="0.25">
      <c r="A855" s="162">
        <v>23833</v>
      </c>
      <c r="B855" s="163">
        <v>4.2</v>
      </c>
      <c r="C855" s="163"/>
      <c r="D855" s="163"/>
      <c r="E855" s="166">
        <f t="shared" si="13"/>
        <v>2023</v>
      </c>
      <c r="F855" s="157">
        <v>45231</v>
      </c>
      <c r="G855" s="158">
        <v>4.84</v>
      </c>
      <c r="J855" s="157">
        <v>28580</v>
      </c>
      <c r="K855" s="158">
        <v>8.27</v>
      </c>
    </row>
    <row r="856" spans="1:11" x14ac:dyDescent="0.25">
      <c r="A856" s="162">
        <v>23834</v>
      </c>
      <c r="B856" s="163">
        <v>4.2</v>
      </c>
      <c r="C856" s="163"/>
      <c r="D856" s="163"/>
      <c r="E856" s="166">
        <f t="shared" si="13"/>
        <v>2023</v>
      </c>
      <c r="F856" s="157">
        <v>45261</v>
      </c>
      <c r="G856" s="158">
        <v>4.32</v>
      </c>
      <c r="J856" s="157">
        <v>28587</v>
      </c>
      <c r="K856" s="158">
        <v>8.31</v>
      </c>
    </row>
    <row r="857" spans="1:11" x14ac:dyDescent="0.25">
      <c r="A857" s="162">
        <v>23837</v>
      </c>
      <c r="B857" s="163">
        <v>4.2</v>
      </c>
      <c r="C857" s="163"/>
      <c r="D857" s="163"/>
      <c r="E857" s="166">
        <f t="shared" si="13"/>
        <v>2024</v>
      </c>
      <c r="F857" s="157">
        <v>45292</v>
      </c>
      <c r="G857" s="158">
        <v>4.3899999999999997</v>
      </c>
      <c r="J857" s="157">
        <v>28594</v>
      </c>
      <c r="K857" s="158">
        <v>8.33</v>
      </c>
    </row>
    <row r="858" spans="1:11" x14ac:dyDescent="0.25">
      <c r="A858" s="162">
        <v>23838</v>
      </c>
      <c r="B858" s="163">
        <v>4.2</v>
      </c>
      <c r="C858" s="163"/>
      <c r="D858" s="163"/>
      <c r="E858" s="166">
        <f t="shared" si="13"/>
        <v>2024</v>
      </c>
      <c r="F858" s="157">
        <v>45323</v>
      </c>
      <c r="G858" s="158">
        <v>4.49</v>
      </c>
      <c r="J858" s="157">
        <v>28601</v>
      </c>
      <c r="K858" s="158">
        <v>8.3000000000000007</v>
      </c>
    </row>
    <row r="859" spans="1:11" x14ac:dyDescent="0.25">
      <c r="A859" s="162">
        <v>23839</v>
      </c>
      <c r="B859" s="163">
        <v>4.2</v>
      </c>
      <c r="C859" s="163"/>
      <c r="D859" s="163"/>
      <c r="E859" s="166">
        <f t="shared" si="13"/>
        <v>2024</v>
      </c>
      <c r="F859" s="157">
        <v>45352</v>
      </c>
      <c r="G859" s="158">
        <v>4.46</v>
      </c>
      <c r="J859" s="157">
        <v>28608</v>
      </c>
      <c r="K859" s="158">
        <v>8.36</v>
      </c>
    </row>
    <row r="860" spans="1:11" x14ac:dyDescent="0.25">
      <c r="A860" s="162">
        <v>23840</v>
      </c>
      <c r="B860" s="163">
        <v>4.1900000000000004</v>
      </c>
      <c r="C860" s="163"/>
      <c r="D860" s="163"/>
      <c r="E860" s="166">
        <f t="shared" ref="E860" si="14">YEAR(F860)</f>
        <v>2024</v>
      </c>
      <c r="F860" s="157">
        <v>45383</v>
      </c>
      <c r="G860" s="158">
        <v>4.7699999999999996</v>
      </c>
      <c r="J860" s="157">
        <v>28615</v>
      </c>
      <c r="K860" s="158">
        <v>8.4</v>
      </c>
    </row>
    <row r="861" spans="1:11" x14ac:dyDescent="0.25">
      <c r="A861" s="162">
        <v>23841</v>
      </c>
      <c r="B861" s="163">
        <v>4.2</v>
      </c>
      <c r="C861" s="163"/>
      <c r="D861" s="163"/>
      <c r="E861" s="163"/>
      <c r="J861" s="157">
        <v>28622</v>
      </c>
      <c r="K861" s="158">
        <v>8.44</v>
      </c>
    </row>
    <row r="862" spans="1:11" x14ac:dyDescent="0.25">
      <c r="A862" s="162">
        <v>23844</v>
      </c>
      <c r="B862" s="163">
        <v>4.2</v>
      </c>
      <c r="C862" s="163"/>
      <c r="D862" s="163"/>
      <c r="E862" s="163"/>
      <c r="J862" s="157">
        <v>28629</v>
      </c>
      <c r="K862" s="158">
        <v>8.44</v>
      </c>
    </row>
    <row r="863" spans="1:11" x14ac:dyDescent="0.25">
      <c r="A863" s="162">
        <v>23845</v>
      </c>
      <c r="B863" s="163">
        <v>4.2</v>
      </c>
      <c r="C863" s="163"/>
      <c r="D863" s="163"/>
      <c r="E863" s="163"/>
      <c r="J863" s="157">
        <v>28636</v>
      </c>
      <c r="K863" s="158">
        <v>8.4700000000000006</v>
      </c>
    </row>
    <row r="864" spans="1:11" x14ac:dyDescent="0.25">
      <c r="A864" s="162">
        <v>23846</v>
      </c>
      <c r="B864" s="164">
        <v>4.2</v>
      </c>
      <c r="C864" s="164"/>
      <c r="D864" s="164"/>
      <c r="E864" s="164"/>
      <c r="J864" s="157">
        <v>28643</v>
      </c>
      <c r="K864" s="158">
        <v>8.49</v>
      </c>
    </row>
    <row r="865" spans="1:11" x14ac:dyDescent="0.25">
      <c r="A865" s="162">
        <v>23847</v>
      </c>
      <c r="B865" s="163">
        <v>4.2</v>
      </c>
      <c r="C865" s="163"/>
      <c r="D865" s="163"/>
      <c r="E865" s="163"/>
      <c r="J865" s="157">
        <v>28650</v>
      </c>
      <c r="K865" s="158">
        <v>8.4700000000000006</v>
      </c>
    </row>
    <row r="866" spans="1:11" x14ac:dyDescent="0.25">
      <c r="A866" s="162">
        <v>23848</v>
      </c>
      <c r="B866" s="163" t="e">
        <f>NA()</f>
        <v>#N/A</v>
      </c>
      <c r="C866" s="163"/>
      <c r="D866" s="163"/>
      <c r="E866" s="163"/>
      <c r="J866" s="157">
        <v>28657</v>
      </c>
      <c r="K866" s="158">
        <v>8.4700000000000006</v>
      </c>
    </row>
    <row r="867" spans="1:11" x14ac:dyDescent="0.25">
      <c r="A867" s="162">
        <v>23851</v>
      </c>
      <c r="B867" s="163">
        <v>4.21</v>
      </c>
      <c r="C867" s="163"/>
      <c r="D867" s="163"/>
      <c r="E867" s="163"/>
      <c r="J867" s="157">
        <v>28664</v>
      </c>
      <c r="K867" s="158">
        <v>8.5500000000000007</v>
      </c>
    </row>
    <row r="868" spans="1:11" x14ac:dyDescent="0.25">
      <c r="A868" s="162">
        <v>23852</v>
      </c>
      <c r="B868" s="163">
        <v>4.21</v>
      </c>
      <c r="C868" s="163"/>
      <c r="D868" s="163"/>
      <c r="E868" s="163"/>
      <c r="J868" s="157">
        <v>28671</v>
      </c>
      <c r="K868" s="158">
        <v>8.6300000000000008</v>
      </c>
    </row>
    <row r="869" spans="1:11" x14ac:dyDescent="0.25">
      <c r="A869" s="162">
        <v>23853</v>
      </c>
      <c r="B869" s="163">
        <v>4.21</v>
      </c>
      <c r="C869" s="163"/>
      <c r="D869" s="163"/>
      <c r="E869" s="163"/>
      <c r="J869" s="157">
        <v>28678</v>
      </c>
      <c r="K869" s="158">
        <v>8.68</v>
      </c>
    </row>
    <row r="870" spans="1:11" x14ac:dyDescent="0.25">
      <c r="A870" s="162">
        <v>23854</v>
      </c>
      <c r="B870" s="163">
        <v>4.21</v>
      </c>
      <c r="C870" s="163"/>
      <c r="D870" s="163"/>
      <c r="E870" s="163"/>
      <c r="J870" s="157">
        <v>28685</v>
      </c>
      <c r="K870" s="158">
        <v>8.7200000000000006</v>
      </c>
    </row>
    <row r="871" spans="1:11" x14ac:dyDescent="0.25">
      <c r="A871" s="162">
        <v>23855</v>
      </c>
      <c r="B871" s="163">
        <v>4.21</v>
      </c>
      <c r="C871" s="163"/>
      <c r="D871" s="163"/>
      <c r="E871" s="163"/>
      <c r="J871" s="157">
        <v>28692</v>
      </c>
      <c r="K871" s="158">
        <v>8.69</v>
      </c>
    </row>
    <row r="872" spans="1:11" x14ac:dyDescent="0.25">
      <c r="A872" s="162">
        <v>23858</v>
      </c>
      <c r="B872" s="163">
        <v>4.21</v>
      </c>
      <c r="C872" s="163"/>
      <c r="D872" s="163"/>
      <c r="E872" s="163"/>
      <c r="J872" s="157">
        <v>28699</v>
      </c>
      <c r="K872" s="158">
        <v>8.67</v>
      </c>
    </row>
    <row r="873" spans="1:11" x14ac:dyDescent="0.25">
      <c r="A873" s="162">
        <v>23859</v>
      </c>
      <c r="B873" s="163">
        <v>4.21</v>
      </c>
      <c r="C873" s="163"/>
      <c r="D873" s="163"/>
      <c r="E873" s="163"/>
      <c r="J873" s="157">
        <v>28706</v>
      </c>
      <c r="K873" s="158">
        <v>8.49</v>
      </c>
    </row>
    <row r="874" spans="1:11" x14ac:dyDescent="0.25">
      <c r="A874" s="162">
        <v>23860</v>
      </c>
      <c r="B874" s="163">
        <v>4.21</v>
      </c>
      <c r="C874" s="163"/>
      <c r="D874" s="163"/>
      <c r="E874" s="163"/>
      <c r="J874" s="157">
        <v>28713</v>
      </c>
      <c r="K874" s="158">
        <v>8.41</v>
      </c>
    </row>
    <row r="875" spans="1:11" x14ac:dyDescent="0.25">
      <c r="A875" s="162">
        <v>23861</v>
      </c>
      <c r="B875" s="163">
        <v>4.21</v>
      </c>
      <c r="C875" s="163"/>
      <c r="D875" s="163"/>
      <c r="E875" s="163"/>
      <c r="J875" s="157">
        <v>28720</v>
      </c>
      <c r="K875" s="158">
        <v>8.52</v>
      </c>
    </row>
    <row r="876" spans="1:11" x14ac:dyDescent="0.25">
      <c r="A876" s="162">
        <v>23862</v>
      </c>
      <c r="B876" s="163">
        <v>4.21</v>
      </c>
      <c r="C876" s="163"/>
      <c r="D876" s="163"/>
      <c r="E876" s="163"/>
      <c r="J876" s="157">
        <v>28727</v>
      </c>
      <c r="K876" s="158">
        <v>8.42</v>
      </c>
    </row>
    <row r="877" spans="1:11" x14ac:dyDescent="0.25">
      <c r="A877" s="162">
        <v>23865</v>
      </c>
      <c r="B877" s="163">
        <v>4.21</v>
      </c>
      <c r="C877" s="163"/>
      <c r="D877" s="163"/>
      <c r="E877" s="163"/>
      <c r="J877" s="157">
        <v>28734</v>
      </c>
      <c r="K877" s="158">
        <v>8.43</v>
      </c>
    </row>
    <row r="878" spans="1:11" x14ac:dyDescent="0.25">
      <c r="A878" s="162">
        <v>23866</v>
      </c>
      <c r="B878" s="163">
        <v>4.21</v>
      </c>
      <c r="C878" s="163"/>
      <c r="D878" s="163"/>
      <c r="E878" s="163"/>
      <c r="J878" s="157">
        <v>28741</v>
      </c>
      <c r="K878" s="158">
        <v>8.39</v>
      </c>
    </row>
    <row r="879" spans="1:11" x14ac:dyDescent="0.25">
      <c r="A879" s="162">
        <v>23867</v>
      </c>
      <c r="B879" s="163">
        <v>4.2</v>
      </c>
      <c r="C879" s="163"/>
      <c r="D879" s="163"/>
      <c r="E879" s="163"/>
      <c r="J879" s="157">
        <v>28748</v>
      </c>
      <c r="K879" s="158">
        <v>8.36</v>
      </c>
    </row>
    <row r="880" spans="1:11" x14ac:dyDescent="0.25">
      <c r="A880" s="162">
        <v>23868</v>
      </c>
      <c r="B880" s="163">
        <v>4.2</v>
      </c>
      <c r="C880" s="163"/>
      <c r="D880" s="163"/>
      <c r="E880" s="163"/>
      <c r="J880" s="157">
        <v>28755</v>
      </c>
      <c r="K880" s="158">
        <v>8.49</v>
      </c>
    </row>
    <row r="881" spans="1:11" x14ac:dyDescent="0.25">
      <c r="A881" s="162">
        <v>23869</v>
      </c>
      <c r="B881" s="163">
        <v>4.2</v>
      </c>
      <c r="C881" s="163"/>
      <c r="D881" s="163"/>
      <c r="E881" s="163"/>
      <c r="J881" s="157">
        <v>28762</v>
      </c>
      <c r="K881" s="158">
        <v>8.61</v>
      </c>
    </row>
    <row r="882" spans="1:11" x14ac:dyDescent="0.25">
      <c r="A882" s="162">
        <v>23872</v>
      </c>
      <c r="B882" s="163">
        <v>4.21</v>
      </c>
      <c r="C882" s="163"/>
      <c r="D882" s="163"/>
      <c r="E882" s="163"/>
      <c r="J882" s="157">
        <v>28769</v>
      </c>
      <c r="K882" s="158">
        <v>8.64</v>
      </c>
    </row>
    <row r="883" spans="1:11" x14ac:dyDescent="0.25">
      <c r="A883" s="162">
        <v>23873</v>
      </c>
      <c r="B883" s="163">
        <v>4.21</v>
      </c>
      <c r="C883" s="163"/>
      <c r="D883" s="163"/>
      <c r="E883" s="163"/>
      <c r="J883" s="157">
        <v>28776</v>
      </c>
      <c r="K883" s="158">
        <v>8.61</v>
      </c>
    </row>
    <row r="884" spans="1:11" x14ac:dyDescent="0.25">
      <c r="A884" s="162">
        <v>23874</v>
      </c>
      <c r="B884" s="163">
        <v>4.21</v>
      </c>
      <c r="C884" s="163"/>
      <c r="D884" s="163"/>
      <c r="E884" s="163"/>
      <c r="J884" s="157">
        <v>28783</v>
      </c>
      <c r="K884" s="158">
        <v>8.67</v>
      </c>
    </row>
    <row r="885" spans="1:11" x14ac:dyDescent="0.25">
      <c r="A885" s="162">
        <v>23875</v>
      </c>
      <c r="B885" s="163">
        <v>4.21</v>
      </c>
      <c r="C885" s="163"/>
      <c r="D885" s="163"/>
      <c r="E885" s="163"/>
      <c r="J885" s="157">
        <v>28790</v>
      </c>
      <c r="K885" s="158">
        <v>8.73</v>
      </c>
    </row>
    <row r="886" spans="1:11" x14ac:dyDescent="0.25">
      <c r="A886" s="162">
        <v>23876</v>
      </c>
      <c r="B886" s="163">
        <v>4.21</v>
      </c>
      <c r="C886" s="163"/>
      <c r="D886" s="163"/>
      <c r="E886" s="163"/>
      <c r="J886" s="157">
        <v>28797</v>
      </c>
      <c r="K886" s="158">
        <v>8.8000000000000007</v>
      </c>
    </row>
    <row r="887" spans="1:11" x14ac:dyDescent="0.25">
      <c r="A887" s="162">
        <v>23879</v>
      </c>
      <c r="B887" s="163">
        <v>4.21</v>
      </c>
      <c r="C887" s="163"/>
      <c r="D887" s="163"/>
      <c r="E887" s="163"/>
      <c r="J887" s="157">
        <v>28804</v>
      </c>
      <c r="K887" s="158">
        <v>8.8000000000000007</v>
      </c>
    </row>
    <row r="888" spans="1:11" x14ac:dyDescent="0.25">
      <c r="A888" s="162">
        <v>23880</v>
      </c>
      <c r="B888" s="163">
        <v>4.21</v>
      </c>
      <c r="C888" s="163"/>
      <c r="D888" s="163"/>
      <c r="E888" s="163"/>
      <c r="J888" s="157">
        <v>28811</v>
      </c>
      <c r="K888" s="158">
        <v>8.7200000000000006</v>
      </c>
    </row>
    <row r="889" spans="1:11" x14ac:dyDescent="0.25">
      <c r="A889" s="162">
        <v>23881</v>
      </c>
      <c r="B889" s="164">
        <v>4.21</v>
      </c>
      <c r="C889" s="164"/>
      <c r="D889" s="164"/>
      <c r="E889" s="164"/>
      <c r="J889" s="157">
        <v>28818</v>
      </c>
      <c r="K889" s="158">
        <v>8.7200000000000006</v>
      </c>
    </row>
    <row r="890" spans="1:11" x14ac:dyDescent="0.25">
      <c r="A890" s="162">
        <v>23882</v>
      </c>
      <c r="B890" s="163">
        <v>4.22</v>
      </c>
      <c r="C890" s="163"/>
      <c r="D890" s="163"/>
      <c r="E890" s="163"/>
      <c r="J890" s="157">
        <v>28825</v>
      </c>
      <c r="K890" s="158">
        <v>8.7799999999999994</v>
      </c>
    </row>
    <row r="891" spans="1:11" x14ac:dyDescent="0.25">
      <c r="A891" s="162">
        <v>23883</v>
      </c>
      <c r="B891" s="163">
        <v>4.22</v>
      </c>
      <c r="C891" s="163"/>
      <c r="D891" s="163"/>
      <c r="E891" s="163"/>
      <c r="J891" s="157">
        <v>28832</v>
      </c>
      <c r="K891" s="158">
        <v>8.7899999999999991</v>
      </c>
    </row>
    <row r="892" spans="1:11" x14ac:dyDescent="0.25">
      <c r="A892" s="162">
        <v>23886</v>
      </c>
      <c r="B892" s="163">
        <v>4.22</v>
      </c>
      <c r="C892" s="163"/>
      <c r="D892" s="163"/>
      <c r="E892" s="163"/>
      <c r="J892" s="157">
        <v>28839</v>
      </c>
      <c r="K892" s="158">
        <v>8.85</v>
      </c>
    </row>
    <row r="893" spans="1:11" x14ac:dyDescent="0.25">
      <c r="A893" s="162">
        <v>23887</v>
      </c>
      <c r="B893" s="163">
        <v>4.22</v>
      </c>
      <c r="C893" s="163"/>
      <c r="D893" s="163"/>
      <c r="E893" s="163"/>
      <c r="J893" s="157">
        <v>28846</v>
      </c>
      <c r="K893" s="158">
        <v>9</v>
      </c>
    </row>
    <row r="894" spans="1:11" x14ac:dyDescent="0.25">
      <c r="A894" s="162">
        <v>23888</v>
      </c>
      <c r="B894" s="163">
        <v>4.21</v>
      </c>
      <c r="C894" s="163"/>
      <c r="D894" s="163"/>
      <c r="E894" s="163"/>
      <c r="J894" s="157">
        <v>28853</v>
      </c>
      <c r="K894" s="158">
        <v>8.99</v>
      </c>
    </row>
    <row r="895" spans="1:11" x14ac:dyDescent="0.25">
      <c r="A895" s="162">
        <v>23889</v>
      </c>
      <c r="B895" s="163">
        <v>4.22</v>
      </c>
      <c r="C895" s="163"/>
      <c r="D895" s="163"/>
      <c r="E895" s="163"/>
      <c r="J895" s="157">
        <v>28860</v>
      </c>
      <c r="K895" s="158">
        <v>8.99</v>
      </c>
    </row>
    <row r="896" spans="1:11" x14ac:dyDescent="0.25">
      <c r="A896" s="162">
        <v>23890</v>
      </c>
      <c r="B896" s="163">
        <v>4.22</v>
      </c>
      <c r="C896" s="163"/>
      <c r="D896" s="163"/>
      <c r="E896" s="163"/>
      <c r="J896" s="157">
        <v>28867</v>
      </c>
      <c r="K896" s="158">
        <v>9.01</v>
      </c>
    </row>
    <row r="897" spans="1:11" x14ac:dyDescent="0.25">
      <c r="A897" s="162">
        <v>23893</v>
      </c>
      <c r="B897" s="164" t="e">
        <f>NA()</f>
        <v>#N/A</v>
      </c>
      <c r="C897" s="164"/>
      <c r="D897" s="164"/>
      <c r="E897" s="164"/>
      <c r="J897" s="157">
        <v>28874</v>
      </c>
      <c r="K897" s="158">
        <v>9.0299999999999994</v>
      </c>
    </row>
    <row r="898" spans="1:11" x14ac:dyDescent="0.25">
      <c r="A898" s="162">
        <v>23894</v>
      </c>
      <c r="B898" s="163">
        <v>4.22</v>
      </c>
      <c r="C898" s="163"/>
      <c r="D898" s="163"/>
      <c r="E898" s="163"/>
      <c r="J898" s="157">
        <v>28881</v>
      </c>
      <c r="K898" s="158">
        <v>8.9499999999999993</v>
      </c>
    </row>
    <row r="899" spans="1:11" x14ac:dyDescent="0.25">
      <c r="A899" s="162">
        <v>23895</v>
      </c>
      <c r="B899" s="163">
        <v>4.22</v>
      </c>
      <c r="C899" s="163"/>
      <c r="D899" s="163"/>
      <c r="E899" s="163"/>
      <c r="J899" s="157">
        <v>28888</v>
      </c>
      <c r="K899" s="158">
        <v>8.89</v>
      </c>
    </row>
    <row r="900" spans="1:11" x14ac:dyDescent="0.25">
      <c r="A900" s="162">
        <v>23896</v>
      </c>
      <c r="B900" s="163">
        <v>4.22</v>
      </c>
      <c r="C900" s="163"/>
      <c r="D900" s="163"/>
      <c r="E900" s="163"/>
      <c r="J900" s="157">
        <v>28895</v>
      </c>
      <c r="K900" s="158">
        <v>9</v>
      </c>
    </row>
    <row r="901" spans="1:11" x14ac:dyDescent="0.25">
      <c r="A901" s="162">
        <v>23897</v>
      </c>
      <c r="B901" s="163">
        <v>4.22</v>
      </c>
      <c r="C901" s="163"/>
      <c r="D901" s="163"/>
      <c r="E901" s="163"/>
      <c r="J901" s="157">
        <v>28902</v>
      </c>
      <c r="K901" s="158">
        <v>9.0399999999999991</v>
      </c>
    </row>
    <row r="902" spans="1:11" x14ac:dyDescent="0.25">
      <c r="A902" s="162">
        <v>23900</v>
      </c>
      <c r="B902" s="163">
        <v>4.22</v>
      </c>
      <c r="C902" s="163"/>
      <c r="D902" s="163"/>
      <c r="E902" s="163"/>
      <c r="J902" s="157">
        <v>28909</v>
      </c>
      <c r="K902" s="158">
        <v>9.09</v>
      </c>
    </row>
    <row r="903" spans="1:11" x14ac:dyDescent="0.25">
      <c r="A903" s="162">
        <v>23901</v>
      </c>
      <c r="B903" s="163">
        <v>4.22</v>
      </c>
      <c r="C903" s="163"/>
      <c r="D903" s="163"/>
      <c r="E903" s="163"/>
      <c r="J903" s="157">
        <v>28916</v>
      </c>
      <c r="K903" s="158">
        <v>9.1199999999999992</v>
      </c>
    </row>
    <row r="904" spans="1:11" x14ac:dyDescent="0.25">
      <c r="A904" s="162">
        <v>23902</v>
      </c>
      <c r="B904" s="163">
        <v>4.22</v>
      </c>
      <c r="C904" s="163"/>
      <c r="D904" s="163"/>
      <c r="E904" s="163"/>
      <c r="J904" s="157">
        <v>28923</v>
      </c>
      <c r="K904" s="158">
        <v>9.08</v>
      </c>
    </row>
    <row r="905" spans="1:11" x14ac:dyDescent="0.25">
      <c r="A905" s="162">
        <v>23903</v>
      </c>
      <c r="B905" s="163">
        <v>4.22</v>
      </c>
      <c r="C905" s="163"/>
      <c r="D905" s="163"/>
      <c r="E905" s="163"/>
      <c r="J905" s="157">
        <v>28930</v>
      </c>
      <c r="K905" s="158">
        <v>9.07</v>
      </c>
    </row>
    <row r="906" spans="1:11" x14ac:dyDescent="0.25">
      <c r="A906" s="162">
        <v>23904</v>
      </c>
      <c r="B906" s="163">
        <v>4.22</v>
      </c>
      <c r="C906" s="163"/>
      <c r="D906" s="163"/>
      <c r="E906" s="163"/>
      <c r="J906" s="157">
        <v>28937</v>
      </c>
      <c r="K906" s="158">
        <v>9.08</v>
      </c>
    </row>
    <row r="907" spans="1:11" x14ac:dyDescent="0.25">
      <c r="A907" s="162">
        <v>23907</v>
      </c>
      <c r="B907" s="163">
        <v>4.21</v>
      </c>
      <c r="C907" s="163"/>
      <c r="D907" s="163"/>
      <c r="E907" s="163"/>
      <c r="J907" s="157">
        <v>28944</v>
      </c>
      <c r="K907" s="158">
        <v>9.0500000000000007</v>
      </c>
    </row>
    <row r="908" spans="1:11" x14ac:dyDescent="0.25">
      <c r="A908" s="162">
        <v>23908</v>
      </c>
      <c r="B908" s="163">
        <v>4.21</v>
      </c>
      <c r="C908" s="163"/>
      <c r="D908" s="163"/>
      <c r="E908" s="163"/>
      <c r="J908" s="157">
        <v>28951</v>
      </c>
      <c r="K908" s="158">
        <v>9.0500000000000007</v>
      </c>
    </row>
    <row r="909" spans="1:11" x14ac:dyDescent="0.25">
      <c r="A909" s="162">
        <v>23909</v>
      </c>
      <c r="B909" s="163">
        <v>4.21</v>
      </c>
      <c r="C909" s="163"/>
      <c r="D909" s="163"/>
      <c r="E909" s="163"/>
      <c r="J909" s="157">
        <v>28958</v>
      </c>
      <c r="K909" s="158">
        <v>9.11</v>
      </c>
    </row>
    <row r="910" spans="1:11" x14ac:dyDescent="0.25">
      <c r="A910" s="162">
        <v>23910</v>
      </c>
      <c r="B910" s="163">
        <v>4.21</v>
      </c>
      <c r="C910" s="163"/>
      <c r="D910" s="163"/>
      <c r="E910" s="163"/>
      <c r="J910" s="157">
        <v>28965</v>
      </c>
      <c r="K910" s="158">
        <v>9.1199999999999992</v>
      </c>
    </row>
    <row r="911" spans="1:11" x14ac:dyDescent="0.25">
      <c r="A911" s="162">
        <v>23911</v>
      </c>
      <c r="B911" s="163">
        <v>4.21</v>
      </c>
      <c r="C911" s="163"/>
      <c r="D911" s="163"/>
      <c r="E911" s="163"/>
      <c r="J911" s="157">
        <v>28972</v>
      </c>
      <c r="K911" s="158">
        <v>9.1999999999999993</v>
      </c>
    </row>
    <row r="912" spans="1:11" x14ac:dyDescent="0.25">
      <c r="A912" s="162">
        <v>23914</v>
      </c>
      <c r="B912" s="163">
        <v>4.2</v>
      </c>
      <c r="C912" s="163"/>
      <c r="D912" s="163"/>
      <c r="E912" s="163"/>
      <c r="J912" s="157">
        <v>28979</v>
      </c>
      <c r="K912" s="158">
        <v>9.2799999999999994</v>
      </c>
    </row>
    <row r="913" spans="1:11" x14ac:dyDescent="0.25">
      <c r="A913" s="162">
        <v>23915</v>
      </c>
      <c r="B913" s="163">
        <v>4.2</v>
      </c>
      <c r="C913" s="163"/>
      <c r="D913" s="163"/>
      <c r="E913" s="163"/>
      <c r="J913" s="157">
        <v>28986</v>
      </c>
      <c r="K913" s="158">
        <v>9.3000000000000007</v>
      </c>
    </row>
    <row r="914" spans="1:11" x14ac:dyDescent="0.25">
      <c r="A914" s="162">
        <v>23916</v>
      </c>
      <c r="B914" s="163">
        <v>4.2</v>
      </c>
      <c r="C914" s="163"/>
      <c r="D914" s="163"/>
      <c r="E914" s="163"/>
      <c r="J914" s="157">
        <v>28993</v>
      </c>
      <c r="K914" s="158">
        <v>9.23</v>
      </c>
    </row>
    <row r="915" spans="1:11" x14ac:dyDescent="0.25">
      <c r="A915" s="162">
        <v>23917</v>
      </c>
      <c r="B915" s="163">
        <v>4.2</v>
      </c>
      <c r="C915" s="163"/>
      <c r="D915" s="163"/>
      <c r="E915" s="163"/>
      <c r="J915" s="157">
        <v>29000</v>
      </c>
      <c r="K915" s="158">
        <v>9.11</v>
      </c>
    </row>
    <row r="916" spans="1:11" x14ac:dyDescent="0.25">
      <c r="A916" s="162">
        <v>23918</v>
      </c>
      <c r="B916" s="163">
        <v>4.2</v>
      </c>
      <c r="C916" s="163"/>
      <c r="D916" s="163"/>
      <c r="E916" s="163"/>
      <c r="J916" s="157">
        <v>29007</v>
      </c>
      <c r="K916" s="158">
        <v>9.06</v>
      </c>
    </row>
    <row r="917" spans="1:11" x14ac:dyDescent="0.25">
      <c r="A917" s="162">
        <v>23921</v>
      </c>
      <c r="B917" s="163">
        <v>4.2</v>
      </c>
      <c r="C917" s="163"/>
      <c r="D917" s="163"/>
      <c r="E917" s="163"/>
      <c r="J917" s="157">
        <v>29014</v>
      </c>
      <c r="K917" s="158">
        <v>8.98</v>
      </c>
    </row>
    <row r="918" spans="1:11" x14ac:dyDescent="0.25">
      <c r="A918" s="162">
        <v>23922</v>
      </c>
      <c r="B918" s="163">
        <v>4.2</v>
      </c>
      <c r="C918" s="163"/>
      <c r="D918" s="163"/>
      <c r="E918" s="163"/>
      <c r="J918" s="157">
        <v>29021</v>
      </c>
      <c r="K918" s="158">
        <v>8.89</v>
      </c>
    </row>
    <row r="919" spans="1:11" x14ac:dyDescent="0.25">
      <c r="A919" s="162">
        <v>23923</v>
      </c>
      <c r="B919" s="163">
        <v>4.2</v>
      </c>
      <c r="C919" s="163"/>
      <c r="D919" s="163"/>
      <c r="E919" s="163"/>
      <c r="J919" s="157">
        <v>29028</v>
      </c>
      <c r="K919" s="158">
        <v>8.93</v>
      </c>
    </row>
    <row r="920" spans="1:11" x14ac:dyDescent="0.25">
      <c r="A920" s="162">
        <v>23924</v>
      </c>
      <c r="B920" s="164">
        <v>4.21</v>
      </c>
      <c r="C920" s="164"/>
      <c r="D920" s="164"/>
      <c r="E920" s="164"/>
      <c r="J920" s="157">
        <v>29035</v>
      </c>
      <c r="K920" s="158">
        <v>8.82</v>
      </c>
    </row>
    <row r="921" spans="1:11" x14ac:dyDescent="0.25">
      <c r="A921" s="162">
        <v>23925</v>
      </c>
      <c r="B921" s="163">
        <v>4.21</v>
      </c>
      <c r="C921" s="163"/>
      <c r="D921" s="163"/>
      <c r="E921" s="163"/>
      <c r="J921" s="157">
        <v>29042</v>
      </c>
      <c r="K921" s="158">
        <v>8.7899999999999991</v>
      </c>
    </row>
    <row r="922" spans="1:11" x14ac:dyDescent="0.25">
      <c r="A922" s="162">
        <v>23928</v>
      </c>
      <c r="B922" s="163" t="e">
        <f>NA()</f>
        <v>#N/A</v>
      </c>
      <c r="C922" s="163"/>
      <c r="D922" s="163"/>
      <c r="E922" s="163"/>
      <c r="J922" s="157">
        <v>29049</v>
      </c>
      <c r="K922" s="158">
        <v>8.8800000000000008</v>
      </c>
    </row>
    <row r="923" spans="1:11" x14ac:dyDescent="0.25">
      <c r="A923" s="162">
        <v>23929</v>
      </c>
      <c r="B923" s="163">
        <v>4.21</v>
      </c>
      <c r="C923" s="163"/>
      <c r="D923" s="163"/>
      <c r="E923" s="163"/>
      <c r="J923" s="157">
        <v>29056</v>
      </c>
      <c r="K923" s="158">
        <v>8.9700000000000006</v>
      </c>
    </row>
    <row r="924" spans="1:11" x14ac:dyDescent="0.25">
      <c r="A924" s="162">
        <v>23930</v>
      </c>
      <c r="B924" s="163">
        <v>4.21</v>
      </c>
      <c r="C924" s="163"/>
      <c r="D924" s="163"/>
      <c r="E924" s="163"/>
      <c r="J924" s="157">
        <v>29063</v>
      </c>
      <c r="K924" s="158">
        <v>8.98</v>
      </c>
    </row>
    <row r="925" spans="1:11" x14ac:dyDescent="0.25">
      <c r="A925" s="162">
        <v>23931</v>
      </c>
      <c r="B925" s="164">
        <v>4.2</v>
      </c>
      <c r="C925" s="164"/>
      <c r="D925" s="164"/>
      <c r="E925" s="164"/>
      <c r="J925" s="157">
        <v>29070</v>
      </c>
      <c r="K925" s="158">
        <v>8.9600000000000009</v>
      </c>
    </row>
    <row r="926" spans="1:11" x14ac:dyDescent="0.25">
      <c r="A926" s="162">
        <v>23932</v>
      </c>
      <c r="B926" s="163">
        <v>4.21</v>
      </c>
      <c r="C926" s="163"/>
      <c r="D926" s="163"/>
      <c r="E926" s="163"/>
      <c r="J926" s="157">
        <v>29077</v>
      </c>
      <c r="K926" s="158">
        <v>8.92</v>
      </c>
    </row>
    <row r="927" spans="1:11" x14ac:dyDescent="0.25">
      <c r="A927" s="162">
        <v>23935</v>
      </c>
      <c r="B927" s="163">
        <v>4.21</v>
      </c>
      <c r="C927" s="163"/>
      <c r="D927" s="163"/>
      <c r="E927" s="163"/>
      <c r="J927" s="157">
        <v>29084</v>
      </c>
      <c r="K927" s="158">
        <v>8.9499999999999993</v>
      </c>
    </row>
    <row r="928" spans="1:11" x14ac:dyDescent="0.25">
      <c r="A928" s="162">
        <v>23936</v>
      </c>
      <c r="B928" s="163">
        <v>4.21</v>
      </c>
      <c r="C928" s="163"/>
      <c r="D928" s="163"/>
      <c r="E928" s="163"/>
      <c r="J928" s="157">
        <v>29091</v>
      </c>
      <c r="K928" s="158">
        <v>8.9700000000000006</v>
      </c>
    </row>
    <row r="929" spans="1:11" x14ac:dyDescent="0.25">
      <c r="A929" s="162">
        <v>23937</v>
      </c>
      <c r="B929" s="163">
        <v>4.21</v>
      </c>
      <c r="C929" s="163"/>
      <c r="D929" s="163"/>
      <c r="E929" s="163"/>
      <c r="J929" s="157">
        <v>29098</v>
      </c>
      <c r="K929" s="158">
        <v>9.0399999999999991</v>
      </c>
    </row>
    <row r="930" spans="1:11" x14ac:dyDescent="0.25">
      <c r="A930" s="162">
        <v>23938</v>
      </c>
      <c r="B930" s="163">
        <v>4.21</v>
      </c>
      <c r="C930" s="163"/>
      <c r="D930" s="163"/>
      <c r="E930" s="163"/>
      <c r="J930" s="157">
        <v>29105</v>
      </c>
      <c r="K930" s="158">
        <v>9.18</v>
      </c>
    </row>
    <row r="931" spans="1:11" x14ac:dyDescent="0.25">
      <c r="A931" s="162">
        <v>23939</v>
      </c>
      <c r="B931" s="163">
        <v>4.21</v>
      </c>
      <c r="C931" s="163"/>
      <c r="D931" s="163"/>
      <c r="E931" s="163"/>
      <c r="J931" s="157">
        <v>29112</v>
      </c>
      <c r="K931" s="158">
        <v>9.19</v>
      </c>
    </row>
    <row r="932" spans="1:11" x14ac:dyDescent="0.25">
      <c r="A932" s="162">
        <v>23942</v>
      </c>
      <c r="B932" s="163">
        <v>4.2</v>
      </c>
      <c r="C932" s="163"/>
      <c r="D932" s="163"/>
      <c r="E932" s="163"/>
      <c r="J932" s="157">
        <v>29119</v>
      </c>
      <c r="K932" s="158">
        <v>9.19</v>
      </c>
    </row>
    <row r="933" spans="1:11" x14ac:dyDescent="0.25">
      <c r="A933" s="162">
        <v>23943</v>
      </c>
      <c r="B933" s="163">
        <v>4.2</v>
      </c>
      <c r="C933" s="163"/>
      <c r="D933" s="163"/>
      <c r="E933" s="163"/>
      <c r="J933" s="157">
        <v>29126</v>
      </c>
      <c r="K933" s="158">
        <v>9.26</v>
      </c>
    </row>
    <row r="934" spans="1:11" x14ac:dyDescent="0.25">
      <c r="A934" s="162">
        <v>23944</v>
      </c>
      <c r="B934" s="163">
        <v>4.2</v>
      </c>
      <c r="C934" s="163"/>
      <c r="D934" s="163"/>
      <c r="E934" s="163"/>
      <c r="J934" s="157">
        <v>29133</v>
      </c>
      <c r="K934" s="158">
        <v>9.3800000000000008</v>
      </c>
    </row>
    <row r="935" spans="1:11" x14ac:dyDescent="0.25">
      <c r="A935" s="162">
        <v>23945</v>
      </c>
      <c r="B935" s="163">
        <v>4.21</v>
      </c>
      <c r="C935" s="163"/>
      <c r="D935" s="163"/>
      <c r="E935" s="163"/>
      <c r="J935" s="157">
        <v>29140</v>
      </c>
      <c r="K935" s="158">
        <v>9.85</v>
      </c>
    </row>
    <row r="936" spans="1:11" x14ac:dyDescent="0.25">
      <c r="A936" s="162">
        <v>23946</v>
      </c>
      <c r="B936" s="163">
        <v>4.21</v>
      </c>
      <c r="C936" s="163"/>
      <c r="D936" s="163"/>
      <c r="E936" s="163"/>
      <c r="J936" s="157">
        <v>29147</v>
      </c>
      <c r="K936" s="158">
        <v>10.039999999999999</v>
      </c>
    </row>
    <row r="937" spans="1:11" x14ac:dyDescent="0.25">
      <c r="A937" s="162">
        <v>23949</v>
      </c>
      <c r="B937" s="163">
        <v>4.21</v>
      </c>
      <c r="C937" s="163"/>
      <c r="D937" s="163"/>
      <c r="E937" s="163"/>
      <c r="J937" s="157">
        <v>29154</v>
      </c>
      <c r="K937" s="158">
        <v>10.42</v>
      </c>
    </row>
    <row r="938" spans="1:11" x14ac:dyDescent="0.25">
      <c r="A938" s="162">
        <v>23950</v>
      </c>
      <c r="B938" s="163">
        <v>4.21</v>
      </c>
      <c r="C938" s="163"/>
      <c r="D938" s="163"/>
      <c r="E938" s="163"/>
      <c r="J938" s="157">
        <v>29161</v>
      </c>
      <c r="K938" s="158">
        <v>10.44</v>
      </c>
    </row>
    <row r="939" spans="1:11" x14ac:dyDescent="0.25">
      <c r="A939" s="162">
        <v>23951</v>
      </c>
      <c r="B939" s="164">
        <v>4.21</v>
      </c>
      <c r="C939" s="164"/>
      <c r="D939" s="164"/>
      <c r="E939" s="164"/>
      <c r="J939" s="157">
        <v>29168</v>
      </c>
      <c r="K939" s="158">
        <v>10.56</v>
      </c>
    </row>
    <row r="940" spans="1:11" x14ac:dyDescent="0.25">
      <c r="A940" s="162">
        <v>23952</v>
      </c>
      <c r="B940" s="163">
        <v>4.21</v>
      </c>
      <c r="C940" s="163"/>
      <c r="D940" s="163"/>
      <c r="E940" s="163"/>
      <c r="J940" s="157">
        <v>29175</v>
      </c>
      <c r="K940" s="158">
        <v>10.42</v>
      </c>
    </row>
    <row r="941" spans="1:11" x14ac:dyDescent="0.25">
      <c r="A941" s="162">
        <v>23953</v>
      </c>
      <c r="B941" s="163">
        <v>4.22</v>
      </c>
      <c r="C941" s="163"/>
      <c r="D941" s="163"/>
      <c r="E941" s="163"/>
      <c r="J941" s="157">
        <v>29182</v>
      </c>
      <c r="K941" s="158">
        <v>10.42</v>
      </c>
    </row>
    <row r="942" spans="1:11" x14ac:dyDescent="0.25">
      <c r="A942" s="162">
        <v>23956</v>
      </c>
      <c r="B942" s="163">
        <v>4.22</v>
      </c>
      <c r="C942" s="163"/>
      <c r="D942" s="163"/>
      <c r="E942" s="163"/>
      <c r="J942" s="157">
        <v>29189</v>
      </c>
      <c r="K942" s="158">
        <v>10.09</v>
      </c>
    </row>
    <row r="943" spans="1:11" x14ac:dyDescent="0.25">
      <c r="A943" s="162">
        <v>23957</v>
      </c>
      <c r="B943" s="163">
        <v>4.22</v>
      </c>
      <c r="C943" s="163"/>
      <c r="D943" s="163"/>
      <c r="E943" s="163"/>
      <c r="J943" s="157">
        <v>29196</v>
      </c>
      <c r="K943" s="158">
        <v>10.07</v>
      </c>
    </row>
    <row r="944" spans="1:11" x14ac:dyDescent="0.25">
      <c r="A944" s="162">
        <v>23958</v>
      </c>
      <c r="B944" s="163">
        <v>4.2300000000000004</v>
      </c>
      <c r="C944" s="163"/>
      <c r="D944" s="163"/>
      <c r="E944" s="163"/>
      <c r="J944" s="157">
        <v>29203</v>
      </c>
      <c r="K944" s="158">
        <v>10.23</v>
      </c>
    </row>
    <row r="945" spans="1:11" x14ac:dyDescent="0.25">
      <c r="A945" s="162">
        <v>23959</v>
      </c>
      <c r="B945" s="163">
        <v>4.2300000000000004</v>
      </c>
      <c r="C945" s="163"/>
      <c r="D945" s="163"/>
      <c r="E945" s="163"/>
      <c r="J945" s="157">
        <v>29210</v>
      </c>
      <c r="K945" s="158">
        <v>10.210000000000001</v>
      </c>
    </row>
    <row r="946" spans="1:11" x14ac:dyDescent="0.25">
      <c r="A946" s="162">
        <v>23960</v>
      </c>
      <c r="B946" s="163">
        <v>4.2300000000000004</v>
      </c>
      <c r="C946" s="163"/>
      <c r="D946" s="163"/>
      <c r="E946" s="163"/>
      <c r="J946" s="157">
        <v>29217</v>
      </c>
      <c r="K946" s="158">
        <v>10.24</v>
      </c>
    </row>
    <row r="947" spans="1:11" x14ac:dyDescent="0.25">
      <c r="A947" s="162">
        <v>23963</v>
      </c>
      <c r="B947" s="163">
        <v>4.24</v>
      </c>
      <c r="C947" s="163"/>
      <c r="D947" s="163"/>
      <c r="E947" s="163"/>
      <c r="J947" s="157">
        <v>29224</v>
      </c>
      <c r="K947" s="158">
        <v>10.3</v>
      </c>
    </row>
    <row r="948" spans="1:11" x14ac:dyDescent="0.25">
      <c r="A948" s="162">
        <v>23964</v>
      </c>
      <c r="B948" s="163">
        <v>4.24</v>
      </c>
      <c r="C948" s="163"/>
      <c r="D948" s="163"/>
      <c r="E948" s="163"/>
      <c r="J948" s="157">
        <v>29231</v>
      </c>
      <c r="K948" s="158">
        <v>10.35</v>
      </c>
    </row>
    <row r="949" spans="1:11" x14ac:dyDescent="0.25">
      <c r="A949" s="162">
        <v>23965</v>
      </c>
      <c r="B949" s="163">
        <v>4.25</v>
      </c>
      <c r="C949" s="163"/>
      <c r="D949" s="163"/>
      <c r="E949" s="163"/>
      <c r="J949" s="157">
        <v>29238</v>
      </c>
      <c r="K949" s="158">
        <v>10.52</v>
      </c>
    </row>
    <row r="950" spans="1:11" x14ac:dyDescent="0.25">
      <c r="A950" s="162">
        <v>23966</v>
      </c>
      <c r="B950" s="163">
        <v>4.25</v>
      </c>
      <c r="C950" s="163"/>
      <c r="D950" s="163"/>
      <c r="E950" s="163"/>
      <c r="J950" s="157">
        <v>29245</v>
      </c>
      <c r="K950" s="158">
        <v>10.86</v>
      </c>
    </row>
    <row r="951" spans="1:11" x14ac:dyDescent="0.25">
      <c r="A951" s="162">
        <v>23967</v>
      </c>
      <c r="B951" s="163">
        <v>4.25</v>
      </c>
      <c r="C951" s="163"/>
      <c r="D951" s="163"/>
      <c r="E951" s="163"/>
      <c r="J951" s="157">
        <v>29252</v>
      </c>
      <c r="K951" s="158">
        <v>11.19</v>
      </c>
    </row>
    <row r="952" spans="1:11" x14ac:dyDescent="0.25">
      <c r="A952" s="162">
        <v>23970</v>
      </c>
      <c r="B952" s="163">
        <v>4.25</v>
      </c>
      <c r="C952" s="163"/>
      <c r="D952" s="163"/>
      <c r="E952" s="163"/>
      <c r="J952" s="157">
        <v>29259</v>
      </c>
      <c r="K952" s="158">
        <v>11.72</v>
      </c>
    </row>
    <row r="953" spans="1:11" x14ac:dyDescent="0.25">
      <c r="A953" s="162">
        <v>23971</v>
      </c>
      <c r="B953" s="163">
        <v>4.26</v>
      </c>
      <c r="C953" s="163"/>
      <c r="D953" s="163"/>
      <c r="E953" s="163"/>
      <c r="J953" s="157">
        <v>29266</v>
      </c>
      <c r="K953" s="158">
        <v>12</v>
      </c>
    </row>
    <row r="954" spans="1:11" x14ac:dyDescent="0.25">
      <c r="A954" s="162">
        <v>23972</v>
      </c>
      <c r="B954" s="163">
        <v>4.26</v>
      </c>
      <c r="C954" s="163"/>
      <c r="D954" s="163"/>
      <c r="E954" s="163"/>
      <c r="J954" s="157">
        <v>29273</v>
      </c>
      <c r="K954" s="158">
        <v>12.79</v>
      </c>
    </row>
    <row r="955" spans="1:11" x14ac:dyDescent="0.25">
      <c r="A955" s="162">
        <v>23973</v>
      </c>
      <c r="B955" s="163">
        <v>4.26</v>
      </c>
      <c r="C955" s="163"/>
      <c r="D955" s="163"/>
      <c r="E955" s="163"/>
      <c r="J955" s="157">
        <v>29280</v>
      </c>
      <c r="K955" s="158">
        <v>12.59</v>
      </c>
    </row>
    <row r="956" spans="1:11" x14ac:dyDescent="0.25">
      <c r="A956" s="162">
        <v>23974</v>
      </c>
      <c r="B956" s="163">
        <v>4.26</v>
      </c>
      <c r="C956" s="163"/>
      <c r="D956" s="163"/>
      <c r="E956" s="163"/>
      <c r="J956" s="157">
        <v>29287</v>
      </c>
      <c r="K956" s="158">
        <v>12.61</v>
      </c>
    </row>
    <row r="957" spans="1:11" x14ac:dyDescent="0.25">
      <c r="A957" s="162">
        <v>23977</v>
      </c>
      <c r="B957" s="163">
        <v>4.2699999999999996</v>
      </c>
      <c r="C957" s="163"/>
      <c r="D957" s="163"/>
      <c r="E957" s="163"/>
      <c r="J957" s="157">
        <v>29294</v>
      </c>
      <c r="K957" s="158">
        <v>12.36</v>
      </c>
    </row>
    <row r="958" spans="1:11" x14ac:dyDescent="0.25">
      <c r="A958" s="162">
        <v>23978</v>
      </c>
      <c r="B958" s="163">
        <v>4.28</v>
      </c>
      <c r="C958" s="163"/>
      <c r="D958" s="163"/>
      <c r="E958" s="163"/>
      <c r="J958" s="157">
        <v>29301</v>
      </c>
      <c r="K958" s="158">
        <v>12.29</v>
      </c>
    </row>
    <row r="959" spans="1:11" x14ac:dyDescent="0.25">
      <c r="A959" s="162">
        <v>23979</v>
      </c>
      <c r="B959" s="164">
        <v>4.28</v>
      </c>
      <c r="C959" s="164"/>
      <c r="D959" s="164"/>
      <c r="E959" s="164"/>
      <c r="J959" s="157">
        <v>29308</v>
      </c>
      <c r="K959" s="158">
        <v>12.71</v>
      </c>
    </row>
    <row r="960" spans="1:11" x14ac:dyDescent="0.25">
      <c r="A960" s="162">
        <v>23980</v>
      </c>
      <c r="B960" s="163">
        <v>4.28</v>
      </c>
      <c r="C960" s="163"/>
      <c r="D960" s="163"/>
      <c r="E960" s="163"/>
      <c r="J960" s="157">
        <v>29315</v>
      </c>
      <c r="K960" s="158">
        <v>12.43</v>
      </c>
    </row>
    <row r="961" spans="1:11" x14ac:dyDescent="0.25">
      <c r="A961" s="162">
        <v>23981</v>
      </c>
      <c r="B961" s="163">
        <v>4.28</v>
      </c>
      <c r="C961" s="163"/>
      <c r="D961" s="163"/>
      <c r="E961" s="163"/>
      <c r="J961" s="157">
        <v>29322</v>
      </c>
      <c r="K961" s="158">
        <v>11.77</v>
      </c>
    </row>
    <row r="962" spans="1:11" x14ac:dyDescent="0.25">
      <c r="A962" s="162">
        <v>23984</v>
      </c>
      <c r="B962" s="163">
        <v>4.28</v>
      </c>
      <c r="C962" s="163"/>
      <c r="D962" s="163"/>
      <c r="E962" s="163"/>
      <c r="J962" s="157">
        <v>29329</v>
      </c>
      <c r="K962" s="158">
        <v>11.13</v>
      </c>
    </row>
    <row r="963" spans="1:11" x14ac:dyDescent="0.25">
      <c r="A963" s="162">
        <v>23985</v>
      </c>
      <c r="B963" s="163">
        <v>4.28</v>
      </c>
      <c r="C963" s="163"/>
      <c r="D963" s="163"/>
      <c r="E963" s="163"/>
      <c r="J963" s="157">
        <v>29336</v>
      </c>
      <c r="K963" s="158">
        <v>11.04</v>
      </c>
    </row>
    <row r="964" spans="1:11" x14ac:dyDescent="0.25">
      <c r="A964" s="162">
        <v>23986</v>
      </c>
      <c r="B964" s="163">
        <v>4.28</v>
      </c>
      <c r="C964" s="163"/>
      <c r="D964" s="163"/>
      <c r="E964" s="163"/>
      <c r="J964" s="157">
        <v>29343</v>
      </c>
      <c r="K964" s="158">
        <v>10.78</v>
      </c>
    </row>
    <row r="965" spans="1:11" x14ac:dyDescent="0.25">
      <c r="A965" s="162">
        <v>23987</v>
      </c>
      <c r="B965" s="163">
        <v>4.29</v>
      </c>
      <c r="C965" s="163"/>
      <c r="D965" s="163"/>
      <c r="E965" s="163"/>
      <c r="J965" s="157">
        <v>29350</v>
      </c>
      <c r="K965" s="158">
        <v>10.32</v>
      </c>
    </row>
    <row r="966" spans="1:11" x14ac:dyDescent="0.25">
      <c r="A966" s="162">
        <v>23988</v>
      </c>
      <c r="B966" s="163">
        <v>4.28</v>
      </c>
      <c r="C966" s="163"/>
      <c r="D966" s="163"/>
      <c r="E966" s="163"/>
      <c r="J966" s="157">
        <v>29357</v>
      </c>
      <c r="K966" s="158">
        <v>10.49</v>
      </c>
    </row>
    <row r="967" spans="1:11" x14ac:dyDescent="0.25">
      <c r="A967" s="162">
        <v>23991</v>
      </c>
      <c r="B967" s="163" t="e">
        <f>NA()</f>
        <v>#N/A</v>
      </c>
      <c r="C967" s="163"/>
      <c r="D967" s="163"/>
      <c r="E967" s="163"/>
      <c r="J967" s="157">
        <v>29364</v>
      </c>
      <c r="K967" s="158">
        <v>10.5</v>
      </c>
    </row>
    <row r="968" spans="1:11" x14ac:dyDescent="0.25">
      <c r="A968" s="162">
        <v>23992</v>
      </c>
      <c r="B968" s="163">
        <v>4.28</v>
      </c>
      <c r="C968" s="163"/>
      <c r="D968" s="163"/>
      <c r="E968" s="163"/>
      <c r="J968" s="157">
        <v>29371</v>
      </c>
      <c r="K968" s="158">
        <v>10.37</v>
      </c>
    </row>
    <row r="969" spans="1:11" x14ac:dyDescent="0.25">
      <c r="A969" s="162">
        <v>23993</v>
      </c>
      <c r="B969" s="163">
        <v>4.28</v>
      </c>
      <c r="C969" s="163"/>
      <c r="D969" s="163"/>
      <c r="E969" s="163"/>
      <c r="J969" s="157">
        <v>29378</v>
      </c>
      <c r="K969" s="158">
        <v>10.29</v>
      </c>
    </row>
    <row r="970" spans="1:11" x14ac:dyDescent="0.25">
      <c r="A970" s="162">
        <v>23994</v>
      </c>
      <c r="B970" s="163">
        <v>4.29</v>
      </c>
      <c r="C970" s="163"/>
      <c r="D970" s="163"/>
      <c r="E970" s="163"/>
      <c r="J970" s="157">
        <v>29385</v>
      </c>
      <c r="K970" s="158">
        <v>9.7799999999999994</v>
      </c>
    </row>
    <row r="971" spans="1:11" x14ac:dyDescent="0.25">
      <c r="A971" s="162">
        <v>23995</v>
      </c>
      <c r="B971" s="163">
        <v>4.3</v>
      </c>
      <c r="C971" s="163"/>
      <c r="D971" s="163"/>
      <c r="E971" s="163"/>
      <c r="J971" s="157">
        <v>29392</v>
      </c>
      <c r="K971" s="158">
        <v>9.59</v>
      </c>
    </row>
    <row r="972" spans="1:11" x14ac:dyDescent="0.25">
      <c r="A972" s="162">
        <v>23998</v>
      </c>
      <c r="B972" s="163">
        <v>4.3</v>
      </c>
      <c r="C972" s="163"/>
      <c r="D972" s="163"/>
      <c r="E972" s="163"/>
      <c r="J972" s="157">
        <v>29399</v>
      </c>
      <c r="K972" s="158">
        <v>9.86</v>
      </c>
    </row>
    <row r="973" spans="1:11" x14ac:dyDescent="0.25">
      <c r="A973" s="162">
        <v>23999</v>
      </c>
      <c r="B973" s="163">
        <v>4.3</v>
      </c>
      <c r="C973" s="163"/>
      <c r="D973" s="163"/>
      <c r="E973" s="163"/>
      <c r="J973" s="157">
        <v>29406</v>
      </c>
      <c r="K973" s="158">
        <v>10.15</v>
      </c>
    </row>
    <row r="974" spans="1:11" x14ac:dyDescent="0.25">
      <c r="A974" s="162">
        <v>24000</v>
      </c>
      <c r="B974" s="163">
        <v>4.3</v>
      </c>
      <c r="C974" s="163"/>
      <c r="D974" s="163"/>
      <c r="E974" s="163"/>
      <c r="J974" s="157">
        <v>29413</v>
      </c>
      <c r="K974" s="158">
        <v>10.26</v>
      </c>
    </row>
    <row r="975" spans="1:11" x14ac:dyDescent="0.25">
      <c r="A975" s="162">
        <v>24001</v>
      </c>
      <c r="B975" s="163">
        <v>4.3</v>
      </c>
      <c r="C975" s="163"/>
      <c r="D975" s="163"/>
      <c r="E975" s="163"/>
      <c r="J975" s="157">
        <v>29420</v>
      </c>
      <c r="K975" s="158">
        <v>10.29</v>
      </c>
    </row>
    <row r="976" spans="1:11" x14ac:dyDescent="0.25">
      <c r="A976" s="162">
        <v>24002</v>
      </c>
      <c r="B976" s="163">
        <v>4.3</v>
      </c>
      <c r="C976" s="163"/>
      <c r="D976" s="163"/>
      <c r="E976" s="163"/>
      <c r="J976" s="157">
        <v>29427</v>
      </c>
      <c r="K976" s="158">
        <v>10.29</v>
      </c>
    </row>
    <row r="977" spans="1:11" x14ac:dyDescent="0.25">
      <c r="A977" s="162">
        <v>24005</v>
      </c>
      <c r="B977" s="163">
        <v>4.3</v>
      </c>
      <c r="C977" s="163"/>
      <c r="D977" s="163"/>
      <c r="E977" s="163"/>
      <c r="J977" s="157">
        <v>29434</v>
      </c>
      <c r="K977" s="158">
        <v>10.64</v>
      </c>
    </row>
    <row r="978" spans="1:11" x14ac:dyDescent="0.25">
      <c r="A978" s="162">
        <v>24006</v>
      </c>
      <c r="B978" s="163">
        <v>4.3</v>
      </c>
      <c r="C978" s="163"/>
      <c r="D978" s="163"/>
      <c r="E978" s="163"/>
      <c r="J978" s="157">
        <v>29441</v>
      </c>
      <c r="K978" s="158">
        <v>10.78</v>
      </c>
    </row>
    <row r="979" spans="1:11" x14ac:dyDescent="0.25">
      <c r="A979" s="162">
        <v>24007</v>
      </c>
      <c r="B979" s="163">
        <v>4.3</v>
      </c>
      <c r="C979" s="163"/>
      <c r="D979" s="163"/>
      <c r="E979" s="163"/>
      <c r="J979" s="157">
        <v>29448</v>
      </c>
      <c r="K979" s="158">
        <v>10.97</v>
      </c>
    </row>
    <row r="980" spans="1:11" x14ac:dyDescent="0.25">
      <c r="A980" s="162">
        <v>24008</v>
      </c>
      <c r="B980" s="163">
        <v>4.3099999999999996</v>
      </c>
      <c r="C980" s="163"/>
      <c r="D980" s="163"/>
      <c r="E980" s="163"/>
      <c r="J980" s="157">
        <v>29455</v>
      </c>
      <c r="K980" s="158">
        <v>11.15</v>
      </c>
    </row>
    <row r="981" spans="1:11" x14ac:dyDescent="0.25">
      <c r="A981" s="162">
        <v>24009</v>
      </c>
      <c r="B981" s="163">
        <v>4.3099999999999996</v>
      </c>
      <c r="C981" s="163"/>
      <c r="D981" s="163"/>
      <c r="E981" s="163"/>
      <c r="J981" s="157">
        <v>29462</v>
      </c>
      <c r="K981" s="158">
        <v>11.41</v>
      </c>
    </row>
    <row r="982" spans="1:11" x14ac:dyDescent="0.25">
      <c r="A982" s="162">
        <v>24012</v>
      </c>
      <c r="B982" s="163">
        <v>4.3099999999999996</v>
      </c>
      <c r="C982" s="163"/>
      <c r="D982" s="163"/>
      <c r="E982" s="163"/>
      <c r="J982" s="157">
        <v>29469</v>
      </c>
      <c r="K982" s="158">
        <v>11.14</v>
      </c>
    </row>
    <row r="983" spans="1:11" x14ac:dyDescent="0.25">
      <c r="A983" s="162">
        <v>24013</v>
      </c>
      <c r="B983" s="164">
        <v>4.32</v>
      </c>
      <c r="C983" s="164"/>
      <c r="D983" s="164"/>
      <c r="E983" s="164"/>
      <c r="J983" s="157">
        <v>29476</v>
      </c>
      <c r="K983" s="158">
        <v>11.24</v>
      </c>
    </row>
    <row r="984" spans="1:11" x14ac:dyDescent="0.25">
      <c r="A984" s="162">
        <v>24014</v>
      </c>
      <c r="B984" s="163">
        <v>4.34</v>
      </c>
      <c r="C984" s="163"/>
      <c r="D984" s="163"/>
      <c r="E984" s="163"/>
      <c r="J984" s="157">
        <v>29483</v>
      </c>
      <c r="K984" s="158">
        <v>11.48</v>
      </c>
    </row>
    <row r="985" spans="1:11" x14ac:dyDescent="0.25">
      <c r="A985" s="162">
        <v>24015</v>
      </c>
      <c r="B985" s="163">
        <v>4.34</v>
      </c>
      <c r="C985" s="163"/>
      <c r="D985" s="163"/>
      <c r="E985" s="163"/>
      <c r="J985" s="157">
        <v>29490</v>
      </c>
      <c r="K985" s="158">
        <v>11.75</v>
      </c>
    </row>
    <row r="986" spans="1:11" x14ac:dyDescent="0.25">
      <c r="A986" s="162">
        <v>24016</v>
      </c>
      <c r="B986" s="163">
        <v>4.34</v>
      </c>
      <c r="C986" s="163"/>
      <c r="D986" s="163"/>
      <c r="E986" s="163"/>
      <c r="J986" s="157">
        <v>29497</v>
      </c>
      <c r="K986" s="158">
        <v>11.81</v>
      </c>
    </row>
    <row r="987" spans="1:11" x14ac:dyDescent="0.25">
      <c r="A987" s="162">
        <v>24019</v>
      </c>
      <c r="B987" s="163">
        <v>4.34</v>
      </c>
      <c r="C987" s="163"/>
      <c r="D987" s="163"/>
      <c r="E987" s="163"/>
      <c r="J987" s="157">
        <v>29504</v>
      </c>
      <c r="K987" s="158">
        <v>11.46</v>
      </c>
    </row>
    <row r="988" spans="1:11" x14ac:dyDescent="0.25">
      <c r="A988" s="162">
        <v>24020</v>
      </c>
      <c r="B988" s="163">
        <v>4.32</v>
      </c>
      <c r="C988" s="163"/>
      <c r="D988" s="163"/>
      <c r="E988" s="163"/>
      <c r="J988" s="157">
        <v>29511</v>
      </c>
      <c r="K988" s="158">
        <v>11.4</v>
      </c>
    </row>
    <row r="989" spans="1:11" x14ac:dyDescent="0.25">
      <c r="A989" s="162">
        <v>24021</v>
      </c>
      <c r="B989" s="163">
        <v>4.32</v>
      </c>
      <c r="C989" s="163"/>
      <c r="D989" s="163"/>
      <c r="E989" s="163"/>
      <c r="J989" s="157">
        <v>29518</v>
      </c>
      <c r="K989" s="158">
        <v>11.78</v>
      </c>
    </row>
    <row r="990" spans="1:11" x14ac:dyDescent="0.25">
      <c r="A990" s="162">
        <v>24022</v>
      </c>
      <c r="B990" s="163">
        <v>4.3099999999999996</v>
      </c>
      <c r="C990" s="163"/>
      <c r="D990" s="163"/>
      <c r="E990" s="163"/>
      <c r="J990" s="157">
        <v>29525</v>
      </c>
      <c r="K990" s="158">
        <v>12.33</v>
      </c>
    </row>
    <row r="991" spans="1:11" x14ac:dyDescent="0.25">
      <c r="A991" s="162">
        <v>24023</v>
      </c>
      <c r="B991" s="163">
        <v>4.3099999999999996</v>
      </c>
      <c r="C991" s="163"/>
      <c r="D991" s="163"/>
      <c r="E991" s="163"/>
      <c r="J991" s="157">
        <v>29532</v>
      </c>
      <c r="K991" s="158">
        <v>12.56</v>
      </c>
    </row>
    <row r="992" spans="1:11" x14ac:dyDescent="0.25">
      <c r="A992" s="162">
        <v>24026</v>
      </c>
      <c r="B992" s="163">
        <v>4.3</v>
      </c>
      <c r="C992" s="163"/>
      <c r="D992" s="163"/>
      <c r="E992" s="163"/>
      <c r="J992" s="157">
        <v>29539</v>
      </c>
      <c r="K992" s="158">
        <v>12.45</v>
      </c>
    </row>
    <row r="993" spans="1:11" x14ac:dyDescent="0.25">
      <c r="A993" s="162">
        <v>24027</v>
      </c>
      <c r="B993" s="163" t="e">
        <f>NA()</f>
        <v>#N/A</v>
      </c>
      <c r="C993" s="163"/>
      <c r="D993" s="163"/>
      <c r="E993" s="163"/>
      <c r="J993" s="157">
        <v>29546</v>
      </c>
      <c r="K993" s="158">
        <v>12.38</v>
      </c>
    </row>
    <row r="994" spans="1:11" x14ac:dyDescent="0.25">
      <c r="A994" s="162">
        <v>24028</v>
      </c>
      <c r="B994" s="163">
        <v>4.3</v>
      </c>
      <c r="C994" s="163"/>
      <c r="D994" s="163"/>
      <c r="E994" s="163"/>
      <c r="J994" s="157">
        <v>29553</v>
      </c>
      <c r="K994" s="158">
        <v>12.37</v>
      </c>
    </row>
    <row r="995" spans="1:11" x14ac:dyDescent="0.25">
      <c r="A995" s="162">
        <v>24029</v>
      </c>
      <c r="B995" s="163">
        <v>4.3</v>
      </c>
      <c r="C995" s="163"/>
      <c r="D995" s="163"/>
      <c r="E995" s="163"/>
      <c r="J995" s="157">
        <v>29560</v>
      </c>
      <c r="K995" s="158">
        <v>12.48</v>
      </c>
    </row>
    <row r="996" spans="1:11" x14ac:dyDescent="0.25">
      <c r="A996" s="162">
        <v>24030</v>
      </c>
      <c r="B996" s="163">
        <v>4.3099999999999996</v>
      </c>
      <c r="C996" s="163"/>
      <c r="D996" s="163"/>
      <c r="E996" s="163"/>
      <c r="J996" s="157">
        <v>29567</v>
      </c>
      <c r="K996" s="158">
        <v>12.86</v>
      </c>
    </row>
    <row r="997" spans="1:11" x14ac:dyDescent="0.25">
      <c r="A997" s="162">
        <v>24033</v>
      </c>
      <c r="B997" s="163">
        <v>4.3099999999999996</v>
      </c>
      <c r="C997" s="163"/>
      <c r="D997" s="163"/>
      <c r="E997" s="163"/>
      <c r="J997" s="157">
        <v>29574</v>
      </c>
      <c r="K997" s="158">
        <v>12.81</v>
      </c>
    </row>
    <row r="998" spans="1:11" x14ac:dyDescent="0.25">
      <c r="A998" s="162">
        <v>24034</v>
      </c>
      <c r="B998" s="163">
        <v>4.32</v>
      </c>
      <c r="C998" s="163"/>
      <c r="D998" s="163"/>
      <c r="E998" s="163"/>
      <c r="J998" s="157">
        <v>29581</v>
      </c>
      <c r="K998" s="158">
        <v>11.99</v>
      </c>
    </row>
    <row r="999" spans="1:11" x14ac:dyDescent="0.25">
      <c r="A999" s="162">
        <v>24035</v>
      </c>
      <c r="B999" s="163">
        <v>4.32</v>
      </c>
      <c r="C999" s="163"/>
      <c r="D999" s="163"/>
      <c r="E999" s="163"/>
      <c r="J999" s="157">
        <v>29588</v>
      </c>
      <c r="K999" s="158">
        <v>12.05</v>
      </c>
    </row>
    <row r="1000" spans="1:11" x14ac:dyDescent="0.25">
      <c r="A1000" s="162">
        <v>24036</v>
      </c>
      <c r="B1000" s="163">
        <v>4.33</v>
      </c>
      <c r="C1000" s="163"/>
      <c r="D1000" s="163"/>
      <c r="E1000" s="163"/>
      <c r="J1000" s="157">
        <v>29595</v>
      </c>
      <c r="K1000" s="158">
        <v>11.98</v>
      </c>
    </row>
    <row r="1001" spans="1:11" x14ac:dyDescent="0.25">
      <c r="A1001" s="162">
        <v>24037</v>
      </c>
      <c r="B1001" s="163">
        <v>4.32</v>
      </c>
      <c r="C1001" s="163"/>
      <c r="D1001" s="163"/>
      <c r="E1001" s="163"/>
      <c r="J1001" s="157">
        <v>29602</v>
      </c>
      <c r="K1001" s="158">
        <v>12.27</v>
      </c>
    </row>
    <row r="1002" spans="1:11" x14ac:dyDescent="0.25">
      <c r="A1002" s="162">
        <v>24040</v>
      </c>
      <c r="B1002" s="163">
        <v>4.33</v>
      </c>
      <c r="C1002" s="163"/>
      <c r="D1002" s="163"/>
      <c r="E1002" s="163"/>
      <c r="J1002" s="157">
        <v>29609</v>
      </c>
      <c r="K1002" s="158">
        <v>12.48</v>
      </c>
    </row>
    <row r="1003" spans="1:11" x14ac:dyDescent="0.25">
      <c r="A1003" s="162">
        <v>24041</v>
      </c>
      <c r="B1003" s="163">
        <v>4.33</v>
      </c>
      <c r="C1003" s="163"/>
      <c r="D1003" s="163"/>
      <c r="E1003" s="163"/>
      <c r="J1003" s="157">
        <v>29616</v>
      </c>
      <c r="K1003" s="158">
        <v>12.48</v>
      </c>
    </row>
    <row r="1004" spans="1:11" x14ac:dyDescent="0.25">
      <c r="A1004" s="162">
        <v>24042</v>
      </c>
      <c r="B1004" s="163">
        <v>4.34</v>
      </c>
      <c r="C1004" s="163"/>
      <c r="D1004" s="163"/>
      <c r="E1004" s="163"/>
      <c r="J1004" s="157">
        <v>29623</v>
      </c>
      <c r="K1004" s="158">
        <v>12.72</v>
      </c>
    </row>
    <row r="1005" spans="1:11" x14ac:dyDescent="0.25">
      <c r="A1005" s="162">
        <v>24043</v>
      </c>
      <c r="B1005" s="163">
        <v>4.3499999999999996</v>
      </c>
      <c r="C1005" s="163"/>
      <c r="D1005" s="163"/>
      <c r="E1005" s="163"/>
      <c r="J1005" s="157">
        <v>29630</v>
      </c>
      <c r="K1005" s="158">
        <v>13.15</v>
      </c>
    </row>
    <row r="1006" spans="1:11" x14ac:dyDescent="0.25">
      <c r="A1006" s="162">
        <v>24044</v>
      </c>
      <c r="B1006" s="163">
        <v>4.3600000000000003</v>
      </c>
      <c r="C1006" s="163"/>
      <c r="D1006" s="163"/>
      <c r="E1006" s="163"/>
      <c r="J1006" s="157">
        <v>29637</v>
      </c>
      <c r="K1006" s="158">
        <v>12.97</v>
      </c>
    </row>
    <row r="1007" spans="1:11" x14ac:dyDescent="0.25">
      <c r="A1007" s="162">
        <v>24047</v>
      </c>
      <c r="B1007" s="163">
        <v>4.38</v>
      </c>
      <c r="C1007" s="163"/>
      <c r="D1007" s="163"/>
      <c r="E1007" s="163"/>
      <c r="J1007" s="157">
        <v>29644</v>
      </c>
      <c r="K1007" s="158">
        <v>13.1</v>
      </c>
    </row>
    <row r="1008" spans="1:11" x14ac:dyDescent="0.25">
      <c r="A1008" s="162">
        <v>24048</v>
      </c>
      <c r="B1008" s="163" t="e">
        <f>NA()</f>
        <v>#N/A</v>
      </c>
      <c r="C1008" s="163"/>
      <c r="D1008" s="163"/>
      <c r="E1008" s="163"/>
      <c r="J1008" s="157">
        <v>29651</v>
      </c>
      <c r="K1008" s="158">
        <v>13.21</v>
      </c>
    </row>
    <row r="1009" spans="1:11" x14ac:dyDescent="0.25">
      <c r="A1009" s="162">
        <v>24049</v>
      </c>
      <c r="B1009" s="163">
        <v>4.38</v>
      </c>
      <c r="C1009" s="163"/>
      <c r="D1009" s="163"/>
      <c r="E1009" s="163"/>
      <c r="J1009" s="157">
        <v>29658</v>
      </c>
      <c r="K1009" s="158">
        <v>12.87</v>
      </c>
    </row>
    <row r="1010" spans="1:11" x14ac:dyDescent="0.25">
      <c r="A1010" s="162">
        <v>24050</v>
      </c>
      <c r="B1010" s="163">
        <v>4.38</v>
      </c>
      <c r="C1010" s="163"/>
      <c r="D1010" s="163"/>
      <c r="E1010" s="163"/>
      <c r="J1010" s="157">
        <v>29665</v>
      </c>
      <c r="K1010" s="158">
        <v>12.54</v>
      </c>
    </row>
    <row r="1011" spans="1:11" x14ac:dyDescent="0.25">
      <c r="A1011" s="162">
        <v>24051</v>
      </c>
      <c r="B1011" s="163">
        <v>4.3899999999999997</v>
      </c>
      <c r="C1011" s="163"/>
      <c r="D1011" s="163"/>
      <c r="E1011" s="163"/>
      <c r="J1011" s="157">
        <v>29672</v>
      </c>
      <c r="K1011" s="158">
        <v>13.11</v>
      </c>
    </row>
    <row r="1012" spans="1:11" x14ac:dyDescent="0.25">
      <c r="A1012" s="162">
        <v>24054</v>
      </c>
      <c r="B1012" s="163">
        <v>4.4000000000000004</v>
      </c>
      <c r="C1012" s="163"/>
      <c r="D1012" s="163"/>
      <c r="E1012" s="163"/>
      <c r="J1012" s="157">
        <v>29679</v>
      </c>
      <c r="K1012" s="158">
        <v>13.05</v>
      </c>
    </row>
    <row r="1013" spans="1:11" x14ac:dyDescent="0.25">
      <c r="A1013" s="162">
        <v>24055</v>
      </c>
      <c r="B1013" s="163">
        <v>4.41</v>
      </c>
      <c r="C1013" s="163"/>
      <c r="D1013" s="163"/>
      <c r="E1013" s="163"/>
      <c r="J1013" s="157">
        <v>29686</v>
      </c>
      <c r="K1013" s="158">
        <v>13.38</v>
      </c>
    </row>
    <row r="1014" spans="1:11" x14ac:dyDescent="0.25">
      <c r="A1014" s="162">
        <v>24056</v>
      </c>
      <c r="B1014" s="163">
        <v>4.41</v>
      </c>
      <c r="C1014" s="163"/>
      <c r="D1014" s="163"/>
      <c r="E1014" s="163"/>
      <c r="J1014" s="157">
        <v>29693</v>
      </c>
      <c r="K1014" s="158">
        <v>13.52</v>
      </c>
    </row>
    <row r="1015" spans="1:11" x14ac:dyDescent="0.25">
      <c r="A1015" s="162">
        <v>24057</v>
      </c>
      <c r="B1015" s="163" t="e">
        <f>NA()</f>
        <v>#N/A</v>
      </c>
      <c r="C1015" s="163"/>
      <c r="D1015" s="163"/>
      <c r="E1015" s="163"/>
      <c r="J1015" s="157">
        <v>29700</v>
      </c>
      <c r="K1015" s="158">
        <v>13.51</v>
      </c>
    </row>
    <row r="1016" spans="1:11" x14ac:dyDescent="0.25">
      <c r="A1016" s="162">
        <v>24058</v>
      </c>
      <c r="B1016" s="163">
        <v>4.4000000000000004</v>
      </c>
      <c r="C1016" s="163"/>
      <c r="D1016" s="163"/>
      <c r="E1016" s="163"/>
      <c r="J1016" s="157">
        <v>29707</v>
      </c>
      <c r="K1016" s="158">
        <v>13.75</v>
      </c>
    </row>
    <row r="1017" spans="1:11" x14ac:dyDescent="0.25">
      <c r="A1017" s="162">
        <v>24061</v>
      </c>
      <c r="B1017" s="163">
        <v>4.4000000000000004</v>
      </c>
      <c r="C1017" s="163"/>
      <c r="D1017" s="163"/>
      <c r="E1017" s="163"/>
      <c r="J1017" s="157">
        <v>29714</v>
      </c>
      <c r="K1017" s="158">
        <v>14.15</v>
      </c>
    </row>
    <row r="1018" spans="1:11" x14ac:dyDescent="0.25">
      <c r="A1018" s="162">
        <v>24062</v>
      </c>
      <c r="B1018" s="163">
        <v>4.4000000000000004</v>
      </c>
      <c r="C1018" s="163"/>
      <c r="D1018" s="163"/>
      <c r="E1018" s="163"/>
      <c r="J1018" s="157">
        <v>29721</v>
      </c>
      <c r="K1018" s="158">
        <v>14.01</v>
      </c>
    </row>
    <row r="1019" spans="1:11" x14ac:dyDescent="0.25">
      <c r="A1019" s="162">
        <v>24063</v>
      </c>
      <c r="B1019" s="163">
        <v>4.3899999999999997</v>
      </c>
      <c r="C1019" s="163"/>
      <c r="D1019" s="163"/>
      <c r="E1019" s="163"/>
      <c r="J1019" s="157">
        <v>29728</v>
      </c>
      <c r="K1019" s="158">
        <v>13.64</v>
      </c>
    </row>
    <row r="1020" spans="1:11" x14ac:dyDescent="0.25">
      <c r="A1020" s="162">
        <v>24064</v>
      </c>
      <c r="B1020" s="163">
        <v>4.4000000000000004</v>
      </c>
      <c r="C1020" s="163"/>
      <c r="D1020" s="163"/>
      <c r="E1020" s="163"/>
      <c r="J1020" s="157">
        <v>29735</v>
      </c>
      <c r="K1020" s="158">
        <v>13.39</v>
      </c>
    </row>
    <row r="1021" spans="1:11" x14ac:dyDescent="0.25">
      <c r="A1021" s="162">
        <v>24065</v>
      </c>
      <c r="B1021" s="163">
        <v>4.4000000000000004</v>
      </c>
      <c r="C1021" s="163"/>
      <c r="D1021" s="163"/>
      <c r="E1021" s="163"/>
      <c r="J1021" s="157">
        <v>29742</v>
      </c>
      <c r="K1021" s="158">
        <v>13.28</v>
      </c>
    </row>
    <row r="1022" spans="1:11" x14ac:dyDescent="0.25">
      <c r="A1022" s="162">
        <v>24068</v>
      </c>
      <c r="B1022" s="163">
        <v>4.4000000000000004</v>
      </c>
      <c r="C1022" s="163"/>
      <c r="D1022" s="163"/>
      <c r="E1022" s="163"/>
      <c r="J1022" s="157">
        <v>29749</v>
      </c>
      <c r="K1022" s="158">
        <v>13.06</v>
      </c>
    </row>
    <row r="1023" spans="1:11" x14ac:dyDescent="0.25">
      <c r="A1023" s="162">
        <v>24069</v>
      </c>
      <c r="B1023" s="163">
        <v>4.4000000000000004</v>
      </c>
      <c r="C1023" s="163"/>
      <c r="D1023" s="163"/>
      <c r="E1023" s="163"/>
      <c r="J1023" s="157">
        <v>29756</v>
      </c>
      <c r="K1023" s="158">
        <v>13.01</v>
      </c>
    </row>
    <row r="1024" spans="1:11" x14ac:dyDescent="0.25">
      <c r="A1024" s="162">
        <v>24070</v>
      </c>
      <c r="B1024" s="163">
        <v>4.3899999999999997</v>
      </c>
      <c r="C1024" s="163"/>
      <c r="D1024" s="163"/>
      <c r="E1024" s="163"/>
      <c r="J1024" s="157">
        <v>29763</v>
      </c>
      <c r="K1024" s="158">
        <v>13.32</v>
      </c>
    </row>
    <row r="1025" spans="1:11" x14ac:dyDescent="0.25">
      <c r="A1025" s="162">
        <v>24071</v>
      </c>
      <c r="B1025" s="163" t="e">
        <f>NA()</f>
        <v>#N/A</v>
      </c>
      <c r="C1025" s="163"/>
      <c r="D1025" s="163"/>
      <c r="E1025" s="163"/>
      <c r="J1025" s="157">
        <v>29770</v>
      </c>
      <c r="K1025" s="158">
        <v>13.61</v>
      </c>
    </row>
    <row r="1026" spans="1:11" x14ac:dyDescent="0.25">
      <c r="A1026" s="162">
        <v>24072</v>
      </c>
      <c r="B1026" s="163">
        <v>4.3899999999999997</v>
      </c>
      <c r="C1026" s="163"/>
      <c r="D1026" s="163"/>
      <c r="E1026" s="163"/>
      <c r="J1026" s="157">
        <v>29777</v>
      </c>
      <c r="K1026" s="158">
        <v>13.66</v>
      </c>
    </row>
    <row r="1027" spans="1:11" x14ac:dyDescent="0.25">
      <c r="A1027" s="162">
        <v>24075</v>
      </c>
      <c r="B1027" s="163">
        <v>4.4000000000000004</v>
      </c>
      <c r="C1027" s="163"/>
      <c r="D1027" s="163"/>
      <c r="E1027" s="163"/>
      <c r="J1027" s="157">
        <v>29784</v>
      </c>
      <c r="K1027" s="158">
        <v>13.73</v>
      </c>
    </row>
    <row r="1028" spans="1:11" x14ac:dyDescent="0.25">
      <c r="A1028" s="162">
        <v>24076</v>
      </c>
      <c r="B1028" s="163">
        <v>4.41</v>
      </c>
      <c r="C1028" s="163"/>
      <c r="D1028" s="163"/>
      <c r="E1028" s="163"/>
      <c r="J1028" s="157">
        <v>29791</v>
      </c>
      <c r="K1028" s="158">
        <v>14.16</v>
      </c>
    </row>
    <row r="1029" spans="1:11" x14ac:dyDescent="0.25">
      <c r="A1029" s="162">
        <v>24077</v>
      </c>
      <c r="B1029" s="164">
        <v>4.4400000000000004</v>
      </c>
      <c r="C1029" s="164"/>
      <c r="D1029" s="164"/>
      <c r="E1029" s="164"/>
      <c r="J1029" s="157">
        <v>29798</v>
      </c>
      <c r="K1029" s="158">
        <v>14.23</v>
      </c>
    </row>
    <row r="1030" spans="1:11" x14ac:dyDescent="0.25">
      <c r="A1030" s="162">
        <v>24078</v>
      </c>
      <c r="B1030" s="163">
        <v>4.4400000000000004</v>
      </c>
      <c r="C1030" s="163"/>
      <c r="D1030" s="163"/>
      <c r="E1030" s="163"/>
      <c r="J1030" s="157">
        <v>29805</v>
      </c>
      <c r="K1030" s="158">
        <v>14.51</v>
      </c>
    </row>
    <row r="1031" spans="1:11" x14ac:dyDescent="0.25">
      <c r="A1031" s="162">
        <v>24079</v>
      </c>
      <c r="B1031" s="163">
        <v>4.4400000000000004</v>
      </c>
      <c r="C1031" s="163"/>
      <c r="D1031" s="163"/>
      <c r="E1031" s="163"/>
      <c r="J1031" s="157">
        <v>29812</v>
      </c>
      <c r="K1031" s="158">
        <v>14.14</v>
      </c>
    </row>
    <row r="1032" spans="1:11" x14ac:dyDescent="0.25">
      <c r="A1032" s="162">
        <v>24082</v>
      </c>
      <c r="B1032" s="163">
        <v>4.5</v>
      </c>
      <c r="C1032" s="163"/>
      <c r="D1032" s="163"/>
      <c r="E1032" s="163"/>
      <c r="J1032" s="157">
        <v>29819</v>
      </c>
      <c r="K1032" s="158">
        <v>14.34</v>
      </c>
    </row>
    <row r="1033" spans="1:11" x14ac:dyDescent="0.25">
      <c r="A1033" s="162">
        <v>24083</v>
      </c>
      <c r="B1033" s="163">
        <v>4.5</v>
      </c>
      <c r="C1033" s="163"/>
      <c r="D1033" s="163"/>
      <c r="E1033" s="163"/>
      <c r="J1033" s="157">
        <v>29826</v>
      </c>
      <c r="K1033" s="158">
        <v>14.99</v>
      </c>
    </row>
    <row r="1034" spans="1:11" x14ac:dyDescent="0.25">
      <c r="A1034" s="162">
        <v>24084</v>
      </c>
      <c r="B1034" s="163">
        <v>4.5</v>
      </c>
      <c r="C1034" s="163"/>
      <c r="D1034" s="163"/>
      <c r="E1034" s="163"/>
      <c r="J1034" s="157">
        <v>29833</v>
      </c>
      <c r="K1034" s="158">
        <v>15.16</v>
      </c>
    </row>
    <row r="1035" spans="1:11" x14ac:dyDescent="0.25">
      <c r="A1035" s="162">
        <v>24085</v>
      </c>
      <c r="B1035" s="163">
        <v>4.51</v>
      </c>
      <c r="C1035" s="163"/>
      <c r="D1035" s="163"/>
      <c r="E1035" s="163"/>
      <c r="J1035" s="157">
        <v>29840</v>
      </c>
      <c r="K1035" s="158">
        <v>15.12</v>
      </c>
    </row>
    <row r="1036" spans="1:11" x14ac:dyDescent="0.25">
      <c r="A1036" s="162">
        <v>24086</v>
      </c>
      <c r="B1036" s="163">
        <v>4.5</v>
      </c>
      <c r="C1036" s="163"/>
      <c r="D1036" s="163"/>
      <c r="E1036" s="163"/>
      <c r="J1036" s="157">
        <v>29847</v>
      </c>
      <c r="K1036" s="158">
        <v>14.76</v>
      </c>
    </row>
    <row r="1037" spans="1:11" x14ac:dyDescent="0.25">
      <c r="A1037" s="162">
        <v>24089</v>
      </c>
      <c r="B1037" s="163">
        <v>4.5199999999999996</v>
      </c>
      <c r="C1037" s="163"/>
      <c r="D1037" s="163"/>
      <c r="E1037" s="163"/>
      <c r="J1037" s="157">
        <v>29854</v>
      </c>
      <c r="K1037" s="158">
        <v>14.93</v>
      </c>
    </row>
    <row r="1038" spans="1:11" x14ac:dyDescent="0.25">
      <c r="A1038" s="162">
        <v>24090</v>
      </c>
      <c r="B1038" s="163">
        <v>4.53</v>
      </c>
      <c r="C1038" s="163"/>
      <c r="D1038" s="163"/>
      <c r="E1038" s="163"/>
      <c r="J1038" s="157">
        <v>29861</v>
      </c>
      <c r="K1038" s="158">
        <v>15.55</v>
      </c>
    </row>
    <row r="1039" spans="1:11" x14ac:dyDescent="0.25">
      <c r="A1039" s="162">
        <v>24091</v>
      </c>
      <c r="B1039" s="163">
        <v>4.53</v>
      </c>
      <c r="C1039" s="163"/>
      <c r="D1039" s="163"/>
      <c r="E1039" s="163"/>
      <c r="J1039" s="157">
        <v>29868</v>
      </c>
      <c r="K1039" s="158">
        <v>14.98</v>
      </c>
    </row>
    <row r="1040" spans="1:11" x14ac:dyDescent="0.25">
      <c r="A1040" s="162">
        <v>24092</v>
      </c>
      <c r="B1040" s="163">
        <v>4.53</v>
      </c>
      <c r="C1040" s="163"/>
      <c r="D1040" s="163"/>
      <c r="E1040" s="163"/>
      <c r="J1040" s="157">
        <v>29875</v>
      </c>
      <c r="K1040" s="158">
        <v>14.92</v>
      </c>
    </row>
    <row r="1041" spans="1:11" x14ac:dyDescent="0.25">
      <c r="A1041" s="162">
        <v>24093</v>
      </c>
      <c r="B1041" s="163">
        <v>4.53</v>
      </c>
      <c r="C1041" s="163"/>
      <c r="D1041" s="163"/>
      <c r="E1041" s="163"/>
      <c r="J1041" s="157">
        <v>29882</v>
      </c>
      <c r="K1041" s="158">
        <v>15.18</v>
      </c>
    </row>
    <row r="1042" spans="1:11" x14ac:dyDescent="0.25">
      <c r="A1042" s="162">
        <v>24096</v>
      </c>
      <c r="B1042" s="163">
        <v>4.49</v>
      </c>
      <c r="C1042" s="163"/>
      <c r="D1042" s="163"/>
      <c r="E1042" s="163"/>
      <c r="J1042" s="157">
        <v>29889</v>
      </c>
      <c r="K1042" s="158">
        <v>15.27</v>
      </c>
    </row>
    <row r="1043" spans="1:11" x14ac:dyDescent="0.25">
      <c r="A1043" s="162">
        <v>24097</v>
      </c>
      <c r="B1043" s="163">
        <v>4.51</v>
      </c>
      <c r="C1043" s="163"/>
      <c r="D1043" s="163"/>
      <c r="E1043" s="163"/>
      <c r="J1043" s="157">
        <v>29896</v>
      </c>
      <c r="K1043" s="158">
        <v>14.41</v>
      </c>
    </row>
    <row r="1044" spans="1:11" x14ac:dyDescent="0.25">
      <c r="A1044" s="162">
        <v>24098</v>
      </c>
      <c r="B1044" s="163">
        <v>4.5199999999999996</v>
      </c>
      <c r="C1044" s="163"/>
      <c r="D1044" s="163"/>
      <c r="E1044" s="163"/>
      <c r="J1044" s="157">
        <v>29903</v>
      </c>
      <c r="K1044" s="158">
        <v>13.61</v>
      </c>
    </row>
    <row r="1045" spans="1:11" x14ac:dyDescent="0.25">
      <c r="A1045" s="162">
        <v>24099</v>
      </c>
      <c r="B1045" s="163">
        <v>4.5199999999999996</v>
      </c>
      <c r="C1045" s="163"/>
      <c r="D1045" s="163"/>
      <c r="E1045" s="163"/>
      <c r="J1045" s="157">
        <v>29910</v>
      </c>
      <c r="K1045" s="158">
        <v>13.29</v>
      </c>
    </row>
    <row r="1046" spans="1:11" x14ac:dyDescent="0.25">
      <c r="A1046" s="162">
        <v>24100</v>
      </c>
      <c r="B1046" s="163" t="e">
        <f>NA()</f>
        <v>#N/A</v>
      </c>
      <c r="C1046" s="163"/>
      <c r="D1046" s="163"/>
      <c r="E1046" s="163"/>
      <c r="J1046" s="157">
        <v>29917</v>
      </c>
      <c r="K1046" s="158">
        <v>13.12</v>
      </c>
    </row>
    <row r="1047" spans="1:11" x14ac:dyDescent="0.25">
      <c r="A1047" s="162">
        <v>24103</v>
      </c>
      <c r="B1047" s="163">
        <v>4.51</v>
      </c>
      <c r="C1047" s="163"/>
      <c r="D1047" s="163"/>
      <c r="E1047" s="163"/>
      <c r="J1047" s="157">
        <v>29924</v>
      </c>
      <c r="K1047" s="158">
        <v>13.32</v>
      </c>
    </row>
    <row r="1048" spans="1:11" x14ac:dyDescent="0.25">
      <c r="A1048" s="162">
        <v>24104</v>
      </c>
      <c r="B1048" s="163">
        <v>4.5</v>
      </c>
      <c r="C1048" s="163"/>
      <c r="D1048" s="163"/>
      <c r="E1048" s="163"/>
      <c r="J1048" s="157">
        <v>29931</v>
      </c>
      <c r="K1048" s="158">
        <v>13.66</v>
      </c>
    </row>
    <row r="1049" spans="1:11" x14ac:dyDescent="0.25">
      <c r="A1049" s="162">
        <v>24105</v>
      </c>
      <c r="B1049" s="163">
        <v>4.51</v>
      </c>
      <c r="C1049" s="163"/>
      <c r="D1049" s="163"/>
      <c r="E1049" s="163"/>
      <c r="J1049" s="157">
        <v>29938</v>
      </c>
      <c r="K1049" s="158">
        <v>13.58</v>
      </c>
    </row>
    <row r="1050" spans="1:11" x14ac:dyDescent="0.25">
      <c r="A1050" s="162">
        <v>24106</v>
      </c>
      <c r="B1050" s="163">
        <v>4.51</v>
      </c>
      <c r="C1050" s="163"/>
      <c r="D1050" s="163"/>
      <c r="E1050" s="163"/>
      <c r="J1050" s="157">
        <v>29945</v>
      </c>
      <c r="K1050" s="158">
        <v>14</v>
      </c>
    </row>
    <row r="1051" spans="1:11" x14ac:dyDescent="0.25">
      <c r="A1051" s="162">
        <v>24107</v>
      </c>
      <c r="B1051" s="163">
        <v>4.5199999999999996</v>
      </c>
      <c r="C1051" s="163"/>
      <c r="D1051" s="163"/>
      <c r="E1051" s="163"/>
      <c r="J1051" s="157">
        <v>29952</v>
      </c>
      <c r="K1051" s="158">
        <v>14.11</v>
      </c>
    </row>
    <row r="1052" spans="1:11" x14ac:dyDescent="0.25">
      <c r="A1052" s="162">
        <v>24110</v>
      </c>
      <c r="B1052" s="163">
        <v>4.5199999999999996</v>
      </c>
      <c r="C1052" s="163"/>
      <c r="D1052" s="163"/>
      <c r="E1052" s="163"/>
      <c r="J1052" s="157">
        <v>29959</v>
      </c>
      <c r="K1052" s="158">
        <v>14.53</v>
      </c>
    </row>
    <row r="1053" spans="1:11" x14ac:dyDescent="0.25">
      <c r="A1053" s="162">
        <v>24111</v>
      </c>
      <c r="B1053" s="163">
        <v>4.5199999999999996</v>
      </c>
      <c r="C1053" s="163"/>
      <c r="D1053" s="163"/>
      <c r="E1053" s="163"/>
      <c r="J1053" s="157">
        <v>29966</v>
      </c>
      <c r="K1053" s="158">
        <v>14.74</v>
      </c>
    </row>
    <row r="1054" spans="1:11" x14ac:dyDescent="0.25">
      <c r="A1054" s="162">
        <v>24112</v>
      </c>
      <c r="B1054" s="163">
        <v>4.51</v>
      </c>
      <c r="C1054" s="163"/>
      <c r="D1054" s="163"/>
      <c r="E1054" s="163"/>
      <c r="J1054" s="157">
        <v>29973</v>
      </c>
      <c r="K1054" s="158">
        <v>14.62</v>
      </c>
    </row>
    <row r="1055" spans="1:11" x14ac:dyDescent="0.25">
      <c r="A1055" s="162">
        <v>24113</v>
      </c>
      <c r="B1055" s="163">
        <v>4.5</v>
      </c>
      <c r="C1055" s="163"/>
      <c r="D1055" s="163"/>
      <c r="E1055" s="163"/>
      <c r="J1055" s="157">
        <v>29980</v>
      </c>
      <c r="K1055" s="158">
        <v>14.37</v>
      </c>
    </row>
    <row r="1056" spans="1:11" x14ac:dyDescent="0.25">
      <c r="A1056" s="162">
        <v>24114</v>
      </c>
      <c r="B1056" s="163">
        <v>4.5</v>
      </c>
      <c r="C1056" s="163"/>
      <c r="D1056" s="163"/>
      <c r="E1056" s="163"/>
      <c r="J1056" s="157">
        <v>29987</v>
      </c>
      <c r="K1056" s="158">
        <v>14.67</v>
      </c>
    </row>
    <row r="1057" spans="1:11" x14ac:dyDescent="0.25">
      <c r="A1057" s="162">
        <v>24117</v>
      </c>
      <c r="B1057" s="163">
        <v>4.51</v>
      </c>
      <c r="C1057" s="163"/>
      <c r="D1057" s="163"/>
      <c r="E1057" s="163"/>
      <c r="J1057" s="157">
        <v>29994</v>
      </c>
      <c r="K1057" s="158">
        <v>14.95</v>
      </c>
    </row>
    <row r="1058" spans="1:11" x14ac:dyDescent="0.25">
      <c r="A1058" s="162">
        <v>24118</v>
      </c>
      <c r="B1058" s="164">
        <v>4.5</v>
      </c>
      <c r="C1058" s="164"/>
      <c r="D1058" s="164"/>
      <c r="E1058" s="164"/>
      <c r="J1058" s="157">
        <v>30001</v>
      </c>
      <c r="K1058" s="158">
        <v>14.44</v>
      </c>
    </row>
    <row r="1059" spans="1:11" x14ac:dyDescent="0.25">
      <c r="A1059" s="162">
        <v>24119</v>
      </c>
      <c r="B1059" s="163">
        <v>4.49</v>
      </c>
      <c r="C1059" s="163"/>
      <c r="D1059" s="163"/>
      <c r="E1059" s="163"/>
      <c r="J1059" s="157">
        <v>30008</v>
      </c>
      <c r="K1059" s="158">
        <v>13.96</v>
      </c>
    </row>
    <row r="1060" spans="1:11" x14ac:dyDescent="0.25">
      <c r="A1060" s="162">
        <v>24120</v>
      </c>
      <c r="B1060" s="163">
        <v>4.5</v>
      </c>
      <c r="C1060" s="163"/>
      <c r="D1060" s="163"/>
      <c r="E1060" s="163"/>
      <c r="J1060" s="157">
        <v>30015</v>
      </c>
      <c r="K1060" s="158">
        <v>13.66</v>
      </c>
    </row>
    <row r="1061" spans="1:11" x14ac:dyDescent="0.25">
      <c r="A1061" s="162">
        <v>24121</v>
      </c>
      <c r="B1061" s="163">
        <v>4.5</v>
      </c>
      <c r="C1061" s="163"/>
      <c r="D1061" s="163"/>
      <c r="E1061" s="163"/>
      <c r="J1061" s="157">
        <v>30022</v>
      </c>
      <c r="K1061" s="158">
        <v>13.77</v>
      </c>
    </row>
    <row r="1062" spans="1:11" x14ac:dyDescent="0.25">
      <c r="A1062" s="162">
        <v>24124</v>
      </c>
      <c r="B1062" s="163">
        <v>4.5</v>
      </c>
      <c r="C1062" s="163"/>
      <c r="D1062" s="163"/>
      <c r="E1062" s="163"/>
      <c r="J1062" s="157">
        <v>30029</v>
      </c>
      <c r="K1062" s="158">
        <v>13.76</v>
      </c>
    </row>
    <row r="1063" spans="1:11" x14ac:dyDescent="0.25">
      <c r="A1063" s="162">
        <v>24125</v>
      </c>
      <c r="B1063" s="163">
        <v>4.5</v>
      </c>
      <c r="C1063" s="163"/>
      <c r="D1063" s="163"/>
      <c r="E1063" s="163"/>
      <c r="J1063" s="157">
        <v>30036</v>
      </c>
      <c r="K1063" s="158">
        <v>13.69</v>
      </c>
    </row>
    <row r="1064" spans="1:11" x14ac:dyDescent="0.25">
      <c r="A1064" s="162">
        <v>24126</v>
      </c>
      <c r="B1064" s="163">
        <v>4.5</v>
      </c>
      <c r="C1064" s="163"/>
      <c r="D1064" s="163"/>
      <c r="E1064" s="163"/>
      <c r="J1064" s="157">
        <v>30043</v>
      </c>
      <c r="K1064" s="158">
        <v>13.92</v>
      </c>
    </row>
    <row r="1065" spans="1:11" x14ac:dyDescent="0.25">
      <c r="A1065" s="162">
        <v>24127</v>
      </c>
      <c r="B1065" s="163">
        <v>4.51</v>
      </c>
      <c r="C1065" s="163"/>
      <c r="D1065" s="163"/>
      <c r="E1065" s="163"/>
      <c r="J1065" s="157">
        <v>30050</v>
      </c>
      <c r="K1065" s="158">
        <v>13.88</v>
      </c>
    </row>
    <row r="1066" spans="1:11" x14ac:dyDescent="0.25">
      <c r="A1066" s="162">
        <v>24128</v>
      </c>
      <c r="B1066" s="163">
        <v>4.51</v>
      </c>
      <c r="C1066" s="163"/>
      <c r="D1066" s="163"/>
      <c r="E1066" s="163"/>
      <c r="J1066" s="157">
        <v>30057</v>
      </c>
      <c r="K1066" s="158">
        <v>13.51</v>
      </c>
    </row>
    <row r="1067" spans="1:11" x14ac:dyDescent="0.25">
      <c r="A1067" s="162">
        <v>24131</v>
      </c>
      <c r="B1067" s="163">
        <v>4.5199999999999996</v>
      </c>
      <c r="C1067" s="163"/>
      <c r="D1067" s="163"/>
      <c r="E1067" s="163"/>
      <c r="J1067" s="157">
        <v>30064</v>
      </c>
      <c r="K1067" s="158">
        <v>13.39</v>
      </c>
    </row>
    <row r="1068" spans="1:11" x14ac:dyDescent="0.25">
      <c r="A1068" s="162">
        <v>24132</v>
      </c>
      <c r="B1068" s="163">
        <v>4.5199999999999996</v>
      </c>
      <c r="C1068" s="163"/>
      <c r="D1068" s="163"/>
      <c r="E1068" s="163"/>
      <c r="J1068" s="157">
        <v>30071</v>
      </c>
      <c r="K1068" s="158">
        <v>13.47</v>
      </c>
    </row>
    <row r="1069" spans="1:11" x14ac:dyDescent="0.25">
      <c r="A1069" s="162">
        <v>24133</v>
      </c>
      <c r="B1069" s="163">
        <v>4.53</v>
      </c>
      <c r="C1069" s="163"/>
      <c r="D1069" s="163"/>
      <c r="E1069" s="163"/>
      <c r="J1069" s="157">
        <v>30078</v>
      </c>
      <c r="K1069" s="158">
        <v>13.46</v>
      </c>
    </row>
    <row r="1070" spans="1:11" x14ac:dyDescent="0.25">
      <c r="A1070" s="162">
        <v>24134</v>
      </c>
      <c r="B1070" s="163">
        <v>4.54</v>
      </c>
      <c r="C1070" s="163"/>
      <c r="D1070" s="163"/>
      <c r="E1070" s="163"/>
      <c r="J1070" s="157">
        <v>30085</v>
      </c>
      <c r="K1070" s="158">
        <v>13.37</v>
      </c>
    </row>
    <row r="1071" spans="1:11" x14ac:dyDescent="0.25">
      <c r="A1071" s="162">
        <v>24135</v>
      </c>
      <c r="B1071" s="163">
        <v>4.5599999999999996</v>
      </c>
      <c r="C1071" s="163"/>
      <c r="D1071" s="163"/>
      <c r="E1071" s="163"/>
      <c r="J1071" s="157">
        <v>30092</v>
      </c>
      <c r="K1071" s="158">
        <v>13.48</v>
      </c>
    </row>
    <row r="1072" spans="1:11" x14ac:dyDescent="0.25">
      <c r="A1072" s="162">
        <v>24138</v>
      </c>
      <c r="B1072" s="163">
        <v>4.59</v>
      </c>
      <c r="C1072" s="163"/>
      <c r="D1072" s="163"/>
      <c r="E1072" s="163"/>
      <c r="J1072" s="157">
        <v>30099</v>
      </c>
      <c r="K1072" s="158">
        <v>13.53</v>
      </c>
    </row>
    <row r="1073" spans="1:11" x14ac:dyDescent="0.25">
      <c r="A1073" s="162">
        <v>24139</v>
      </c>
      <c r="B1073" s="163">
        <v>4.5999999999999996</v>
      </c>
      <c r="C1073" s="163"/>
      <c r="D1073" s="163"/>
      <c r="E1073" s="163"/>
      <c r="J1073" s="157">
        <v>30106</v>
      </c>
      <c r="K1073" s="158">
        <v>13.92</v>
      </c>
    </row>
    <row r="1074" spans="1:11" x14ac:dyDescent="0.25">
      <c r="A1074" s="162">
        <v>24140</v>
      </c>
      <c r="B1074" s="163">
        <v>4.62</v>
      </c>
      <c r="C1074" s="163"/>
      <c r="D1074" s="163"/>
      <c r="E1074" s="163"/>
      <c r="J1074" s="157">
        <v>30113</v>
      </c>
      <c r="K1074" s="158">
        <v>13.93</v>
      </c>
    </row>
    <row r="1075" spans="1:11" x14ac:dyDescent="0.25">
      <c r="A1075" s="162">
        <v>24141</v>
      </c>
      <c r="B1075" s="163">
        <v>4.62</v>
      </c>
      <c r="C1075" s="163"/>
      <c r="D1075" s="163"/>
      <c r="E1075" s="163"/>
      <c r="J1075" s="157">
        <v>30120</v>
      </c>
      <c r="K1075" s="158">
        <v>14.26</v>
      </c>
    </row>
    <row r="1076" spans="1:11" x14ac:dyDescent="0.25">
      <c r="A1076" s="162">
        <v>24142</v>
      </c>
      <c r="B1076" s="163">
        <v>4.63</v>
      </c>
      <c r="C1076" s="163"/>
      <c r="D1076" s="163"/>
      <c r="E1076" s="163"/>
      <c r="J1076" s="157">
        <v>30127</v>
      </c>
      <c r="K1076" s="158">
        <v>14.48</v>
      </c>
    </row>
    <row r="1077" spans="1:11" x14ac:dyDescent="0.25">
      <c r="A1077" s="162">
        <v>24145</v>
      </c>
      <c r="B1077" s="163">
        <v>4.66</v>
      </c>
      <c r="C1077" s="163"/>
      <c r="D1077" s="163"/>
      <c r="E1077" s="163"/>
      <c r="J1077" s="157">
        <v>30134</v>
      </c>
      <c r="K1077" s="158">
        <v>14.28</v>
      </c>
    </row>
    <row r="1078" spans="1:11" x14ac:dyDescent="0.25">
      <c r="A1078" s="162">
        <v>24146</v>
      </c>
      <c r="B1078" s="163">
        <v>4.6500000000000004</v>
      </c>
      <c r="C1078" s="163"/>
      <c r="D1078" s="163"/>
      <c r="E1078" s="163"/>
      <c r="J1078" s="157">
        <v>30141</v>
      </c>
      <c r="K1078" s="158">
        <v>14.06</v>
      </c>
    </row>
    <row r="1079" spans="1:11" x14ac:dyDescent="0.25">
      <c r="A1079" s="162">
        <v>24147</v>
      </c>
      <c r="B1079" s="163">
        <v>4.66</v>
      </c>
      <c r="C1079" s="163"/>
      <c r="D1079" s="163"/>
      <c r="E1079" s="163"/>
      <c r="J1079" s="157">
        <v>30148</v>
      </c>
      <c r="K1079" s="158">
        <v>13.73</v>
      </c>
    </row>
    <row r="1080" spans="1:11" x14ac:dyDescent="0.25">
      <c r="A1080" s="162">
        <v>24148</v>
      </c>
      <c r="B1080" s="163">
        <v>4.68</v>
      </c>
      <c r="C1080" s="163"/>
      <c r="D1080" s="163"/>
      <c r="E1080" s="163"/>
      <c r="J1080" s="157">
        <v>30155</v>
      </c>
      <c r="K1080" s="158">
        <v>13.44</v>
      </c>
    </row>
    <row r="1081" spans="1:11" x14ac:dyDescent="0.25">
      <c r="A1081" s="162">
        <v>24149</v>
      </c>
      <c r="B1081" s="163">
        <v>4.75</v>
      </c>
      <c r="C1081" s="163"/>
      <c r="D1081" s="163"/>
      <c r="E1081" s="163"/>
      <c r="J1081" s="157">
        <v>30162</v>
      </c>
      <c r="K1081" s="158">
        <v>13.69</v>
      </c>
    </row>
    <row r="1082" spans="1:11" x14ac:dyDescent="0.25">
      <c r="A1082" s="162">
        <v>24152</v>
      </c>
      <c r="B1082" s="163">
        <v>4.75</v>
      </c>
      <c r="C1082" s="163"/>
      <c r="D1082" s="163"/>
      <c r="E1082" s="163"/>
      <c r="J1082" s="157">
        <v>30169</v>
      </c>
      <c r="K1082" s="158">
        <v>13.48</v>
      </c>
    </row>
    <row r="1083" spans="1:11" x14ac:dyDescent="0.25">
      <c r="A1083" s="162">
        <v>24153</v>
      </c>
      <c r="B1083" s="163">
        <v>4.75</v>
      </c>
      <c r="C1083" s="163"/>
      <c r="D1083" s="163"/>
      <c r="E1083" s="163"/>
      <c r="J1083" s="157">
        <v>30176</v>
      </c>
      <c r="K1083" s="158">
        <v>13.38</v>
      </c>
    </row>
    <row r="1084" spans="1:11" x14ac:dyDescent="0.25">
      <c r="A1084" s="162">
        <v>24154</v>
      </c>
      <c r="B1084" s="163">
        <v>4.75</v>
      </c>
      <c r="C1084" s="163"/>
      <c r="D1084" s="163"/>
      <c r="E1084" s="163"/>
      <c r="J1084" s="157">
        <v>30183</v>
      </c>
      <c r="K1084" s="158">
        <v>12.5</v>
      </c>
    </row>
    <row r="1085" spans="1:11" x14ac:dyDescent="0.25">
      <c r="A1085" s="162">
        <v>24155</v>
      </c>
      <c r="B1085" s="163">
        <v>4.74</v>
      </c>
      <c r="C1085" s="163"/>
      <c r="D1085" s="163"/>
      <c r="E1085" s="163"/>
      <c r="J1085" s="157">
        <v>30190</v>
      </c>
      <c r="K1085" s="158">
        <v>12.4</v>
      </c>
    </row>
    <row r="1086" spans="1:11" x14ac:dyDescent="0.25">
      <c r="A1086" s="162">
        <v>24156</v>
      </c>
      <c r="B1086" s="163">
        <v>4.75</v>
      </c>
      <c r="C1086" s="163"/>
      <c r="D1086" s="163"/>
      <c r="E1086" s="163"/>
      <c r="J1086" s="157">
        <v>30197</v>
      </c>
      <c r="K1086" s="158">
        <v>12.48</v>
      </c>
    </row>
    <row r="1087" spans="1:11" x14ac:dyDescent="0.25">
      <c r="A1087" s="162">
        <v>24159</v>
      </c>
      <c r="B1087" s="163">
        <v>4.76</v>
      </c>
      <c r="C1087" s="163"/>
      <c r="D1087" s="163"/>
      <c r="E1087" s="163"/>
      <c r="J1087" s="157">
        <v>30204</v>
      </c>
      <c r="K1087" s="158">
        <v>12.39</v>
      </c>
    </row>
    <row r="1088" spans="1:11" x14ac:dyDescent="0.25">
      <c r="A1088" s="162">
        <v>24160</v>
      </c>
      <c r="B1088" s="163" t="e">
        <f>NA()</f>
        <v>#N/A</v>
      </c>
      <c r="C1088" s="163"/>
      <c r="D1088" s="163"/>
      <c r="E1088" s="163"/>
      <c r="J1088" s="157">
        <v>30211</v>
      </c>
      <c r="K1088" s="158">
        <v>12.42</v>
      </c>
    </row>
    <row r="1089" spans="1:11" x14ac:dyDescent="0.25">
      <c r="A1089" s="162">
        <v>24161</v>
      </c>
      <c r="B1089" s="163">
        <v>4.76</v>
      </c>
      <c r="C1089" s="163"/>
      <c r="D1089" s="163"/>
      <c r="E1089" s="163"/>
      <c r="J1089" s="157">
        <v>30218</v>
      </c>
      <c r="K1089" s="158">
        <v>11.95</v>
      </c>
    </row>
    <row r="1090" spans="1:11" x14ac:dyDescent="0.25">
      <c r="A1090" s="162">
        <v>24162</v>
      </c>
      <c r="B1090" s="163">
        <v>4.7699999999999996</v>
      </c>
      <c r="C1090" s="163"/>
      <c r="D1090" s="163"/>
      <c r="E1090" s="163"/>
      <c r="J1090" s="157">
        <v>30225</v>
      </c>
      <c r="K1090" s="158">
        <v>11.65</v>
      </c>
    </row>
    <row r="1091" spans="1:11" x14ac:dyDescent="0.25">
      <c r="A1091" s="162">
        <v>24163</v>
      </c>
      <c r="B1091" s="163">
        <v>4.78</v>
      </c>
      <c r="C1091" s="163"/>
      <c r="D1091" s="163"/>
      <c r="E1091" s="163"/>
      <c r="J1091" s="157">
        <v>30232</v>
      </c>
      <c r="K1091" s="158">
        <v>11.35</v>
      </c>
    </row>
    <row r="1092" spans="1:11" x14ac:dyDescent="0.25">
      <c r="A1092" s="162">
        <v>24166</v>
      </c>
      <c r="B1092" s="163">
        <v>4.8099999999999996</v>
      </c>
      <c r="C1092" s="163"/>
      <c r="D1092" s="163"/>
      <c r="E1092" s="163"/>
      <c r="J1092" s="157">
        <v>30239</v>
      </c>
      <c r="K1092" s="158">
        <v>10.62</v>
      </c>
    </row>
    <row r="1093" spans="1:11" x14ac:dyDescent="0.25">
      <c r="A1093" s="162">
        <v>24167</v>
      </c>
      <c r="B1093" s="163">
        <v>4.8099999999999996</v>
      </c>
      <c r="C1093" s="163"/>
      <c r="D1093" s="163"/>
      <c r="E1093" s="163"/>
      <c r="J1093" s="157">
        <v>30246</v>
      </c>
      <c r="K1093" s="158">
        <v>10.77</v>
      </c>
    </row>
    <row r="1094" spans="1:11" x14ac:dyDescent="0.25">
      <c r="A1094" s="162">
        <v>24168</v>
      </c>
      <c r="B1094" s="163">
        <v>4.8099999999999996</v>
      </c>
      <c r="C1094" s="163"/>
      <c r="D1094" s="163"/>
      <c r="E1094" s="163"/>
      <c r="J1094" s="157">
        <v>30253</v>
      </c>
      <c r="K1094" s="158">
        <v>10.97</v>
      </c>
    </row>
    <row r="1095" spans="1:11" x14ac:dyDescent="0.25">
      <c r="A1095" s="162">
        <v>24169</v>
      </c>
      <c r="B1095" s="163">
        <v>4.8099999999999996</v>
      </c>
      <c r="C1095" s="163"/>
      <c r="D1095" s="163"/>
      <c r="E1095" s="163"/>
      <c r="J1095" s="157">
        <v>30260</v>
      </c>
      <c r="K1095" s="158">
        <v>10.55</v>
      </c>
    </row>
    <row r="1096" spans="1:11" x14ac:dyDescent="0.25">
      <c r="A1096" s="162">
        <v>24170</v>
      </c>
      <c r="B1096" s="163">
        <v>4.8</v>
      </c>
      <c r="C1096" s="163"/>
      <c r="D1096" s="163"/>
      <c r="E1096" s="163"/>
      <c r="J1096" s="157">
        <v>30267</v>
      </c>
      <c r="K1096" s="158">
        <v>10.56</v>
      </c>
    </row>
    <row r="1097" spans="1:11" x14ac:dyDescent="0.25">
      <c r="A1097" s="162">
        <v>24173</v>
      </c>
      <c r="B1097" s="163">
        <v>4.79</v>
      </c>
      <c r="C1097" s="163"/>
      <c r="D1097" s="163"/>
      <c r="E1097" s="163"/>
      <c r="J1097" s="157">
        <v>30274</v>
      </c>
      <c r="K1097" s="158">
        <v>10.56</v>
      </c>
    </row>
    <row r="1098" spans="1:11" x14ac:dyDescent="0.25">
      <c r="A1098" s="162">
        <v>24174</v>
      </c>
      <c r="B1098" s="163">
        <v>4.7699999999999996</v>
      </c>
      <c r="C1098" s="163"/>
      <c r="D1098" s="163"/>
      <c r="E1098" s="163"/>
      <c r="J1098" s="157">
        <v>30281</v>
      </c>
      <c r="K1098" s="158">
        <v>10.52</v>
      </c>
    </row>
    <row r="1099" spans="1:11" x14ac:dyDescent="0.25">
      <c r="A1099" s="162">
        <v>24175</v>
      </c>
      <c r="B1099" s="164">
        <v>4.76</v>
      </c>
      <c r="C1099" s="164"/>
      <c r="D1099" s="164"/>
      <c r="E1099" s="164"/>
      <c r="J1099" s="157">
        <v>30288</v>
      </c>
      <c r="K1099" s="158">
        <v>10.69</v>
      </c>
    </row>
    <row r="1100" spans="1:11" x14ac:dyDescent="0.25">
      <c r="A1100" s="162">
        <v>24176</v>
      </c>
      <c r="B1100" s="163">
        <v>4.7699999999999996</v>
      </c>
      <c r="C1100" s="163"/>
      <c r="D1100" s="163"/>
      <c r="E1100" s="163"/>
      <c r="J1100" s="157">
        <v>30295</v>
      </c>
      <c r="K1100" s="158">
        <v>10.56</v>
      </c>
    </row>
    <row r="1101" spans="1:11" x14ac:dyDescent="0.25">
      <c r="A1101" s="162">
        <v>24177</v>
      </c>
      <c r="B1101" s="163">
        <v>4.78</v>
      </c>
      <c r="C1101" s="163"/>
      <c r="D1101" s="163"/>
      <c r="E1101" s="163"/>
      <c r="J1101" s="157">
        <v>30302</v>
      </c>
      <c r="K1101" s="158">
        <v>10.56</v>
      </c>
    </row>
    <row r="1102" spans="1:11" x14ac:dyDescent="0.25">
      <c r="A1102" s="162">
        <v>24180</v>
      </c>
      <c r="B1102" s="163">
        <v>4.7699999999999996</v>
      </c>
      <c r="C1102" s="163"/>
      <c r="D1102" s="163"/>
      <c r="E1102" s="163"/>
      <c r="J1102" s="157">
        <v>30309</v>
      </c>
      <c r="K1102" s="158">
        <v>10.71</v>
      </c>
    </row>
    <row r="1103" spans="1:11" x14ac:dyDescent="0.25">
      <c r="A1103" s="162">
        <v>24181</v>
      </c>
      <c r="B1103" s="163">
        <v>4.7300000000000004</v>
      </c>
      <c r="C1103" s="163"/>
      <c r="D1103" s="163"/>
      <c r="E1103" s="163"/>
      <c r="J1103" s="157">
        <v>30316</v>
      </c>
      <c r="K1103" s="158">
        <v>10.66</v>
      </c>
    </row>
    <row r="1104" spans="1:11" x14ac:dyDescent="0.25">
      <c r="A1104" s="162">
        <v>24182</v>
      </c>
      <c r="B1104" s="163">
        <v>4.72</v>
      </c>
      <c r="C1104" s="163"/>
      <c r="D1104" s="163"/>
      <c r="E1104" s="163"/>
      <c r="J1104" s="157">
        <v>30323</v>
      </c>
      <c r="K1104" s="158">
        <v>10.63</v>
      </c>
    </row>
    <row r="1105" spans="1:11" x14ac:dyDescent="0.25">
      <c r="A1105" s="162">
        <v>24183</v>
      </c>
      <c r="B1105" s="163">
        <v>4.7</v>
      </c>
      <c r="C1105" s="163"/>
      <c r="D1105" s="163"/>
      <c r="E1105" s="163"/>
      <c r="J1105" s="157">
        <v>30330</v>
      </c>
      <c r="K1105" s="158">
        <v>10.65</v>
      </c>
    </row>
    <row r="1106" spans="1:11" x14ac:dyDescent="0.25">
      <c r="A1106" s="162">
        <v>24184</v>
      </c>
      <c r="B1106" s="163">
        <v>4.6900000000000004</v>
      </c>
      <c r="C1106" s="163"/>
      <c r="D1106" s="163"/>
      <c r="E1106" s="163"/>
      <c r="J1106" s="157">
        <v>30337</v>
      </c>
      <c r="K1106" s="158">
        <v>10.76</v>
      </c>
    </row>
    <row r="1107" spans="1:11" x14ac:dyDescent="0.25">
      <c r="A1107" s="162">
        <v>24187</v>
      </c>
      <c r="B1107" s="163">
        <v>4.67</v>
      </c>
      <c r="C1107" s="163"/>
      <c r="D1107" s="163"/>
      <c r="E1107" s="163"/>
      <c r="J1107" s="157">
        <v>30344</v>
      </c>
      <c r="K1107" s="158">
        <v>11.01</v>
      </c>
    </row>
    <row r="1108" spans="1:11" x14ac:dyDescent="0.25">
      <c r="A1108" s="162">
        <v>24188</v>
      </c>
      <c r="B1108" s="163">
        <v>4.66</v>
      </c>
      <c r="C1108" s="163"/>
      <c r="D1108" s="163"/>
      <c r="E1108" s="163"/>
      <c r="J1108" s="157">
        <v>30351</v>
      </c>
      <c r="K1108" s="158">
        <v>11.16</v>
      </c>
    </row>
    <row r="1109" spans="1:11" x14ac:dyDescent="0.25">
      <c r="A1109" s="162">
        <v>24189</v>
      </c>
      <c r="B1109" s="163">
        <v>4.63</v>
      </c>
      <c r="C1109" s="163"/>
      <c r="D1109" s="163"/>
      <c r="E1109" s="163"/>
      <c r="J1109" s="157">
        <v>30358</v>
      </c>
      <c r="K1109" s="158">
        <v>11.21</v>
      </c>
    </row>
    <row r="1110" spans="1:11" x14ac:dyDescent="0.25">
      <c r="A1110" s="162">
        <v>24190</v>
      </c>
      <c r="B1110" s="163">
        <v>4.6500000000000004</v>
      </c>
      <c r="C1110" s="163"/>
      <c r="D1110" s="163"/>
      <c r="E1110" s="163"/>
      <c r="J1110" s="157">
        <v>30365</v>
      </c>
      <c r="K1110" s="158">
        <v>11.06</v>
      </c>
    </row>
    <row r="1111" spans="1:11" x14ac:dyDescent="0.25">
      <c r="A1111" s="162">
        <v>24191</v>
      </c>
      <c r="B1111" s="163">
        <v>4.68</v>
      </c>
      <c r="C1111" s="163"/>
      <c r="D1111" s="163"/>
      <c r="E1111" s="163"/>
      <c r="J1111" s="157">
        <v>30372</v>
      </c>
      <c r="K1111" s="158">
        <v>10.71</v>
      </c>
    </row>
    <row r="1112" spans="1:11" x14ac:dyDescent="0.25">
      <c r="A1112" s="162">
        <v>24194</v>
      </c>
      <c r="B1112" s="163">
        <v>4.67</v>
      </c>
      <c r="C1112" s="163"/>
      <c r="D1112" s="163"/>
      <c r="E1112" s="163"/>
      <c r="J1112" s="157">
        <v>30379</v>
      </c>
      <c r="K1112" s="158">
        <v>10.6</v>
      </c>
    </row>
    <row r="1113" spans="1:11" x14ac:dyDescent="0.25">
      <c r="A1113" s="162">
        <v>24195</v>
      </c>
      <c r="B1113" s="163">
        <v>4.67</v>
      </c>
      <c r="C1113" s="163"/>
      <c r="D1113" s="163"/>
      <c r="E1113" s="163"/>
      <c r="J1113" s="157">
        <v>30386</v>
      </c>
      <c r="K1113" s="158">
        <v>10.84</v>
      </c>
    </row>
    <row r="1114" spans="1:11" x14ac:dyDescent="0.25">
      <c r="A1114" s="162">
        <v>24196</v>
      </c>
      <c r="B1114" s="163">
        <v>4.6100000000000003</v>
      </c>
      <c r="C1114" s="163"/>
      <c r="D1114" s="163"/>
      <c r="E1114" s="163"/>
      <c r="J1114" s="157">
        <v>30393</v>
      </c>
      <c r="K1114" s="158">
        <v>10.85</v>
      </c>
    </row>
    <row r="1115" spans="1:11" x14ac:dyDescent="0.25">
      <c r="A1115" s="162">
        <v>24197</v>
      </c>
      <c r="B1115" s="163">
        <v>4.6100000000000003</v>
      </c>
      <c r="C1115" s="163"/>
      <c r="D1115" s="163"/>
      <c r="E1115" s="163"/>
      <c r="J1115" s="157">
        <v>30400</v>
      </c>
      <c r="K1115" s="158">
        <v>10.84</v>
      </c>
    </row>
    <row r="1116" spans="1:11" x14ac:dyDescent="0.25">
      <c r="A1116" s="162">
        <v>24198</v>
      </c>
      <c r="B1116" s="163">
        <v>4.5999999999999996</v>
      </c>
      <c r="C1116" s="163"/>
      <c r="D1116" s="163"/>
      <c r="E1116" s="163"/>
      <c r="J1116" s="157">
        <v>30407</v>
      </c>
      <c r="K1116" s="158">
        <v>10.84</v>
      </c>
    </row>
    <row r="1117" spans="1:11" x14ac:dyDescent="0.25">
      <c r="A1117" s="162">
        <v>24201</v>
      </c>
      <c r="B1117" s="163">
        <v>4.5999999999999996</v>
      </c>
      <c r="C1117" s="163"/>
      <c r="D1117" s="163"/>
      <c r="E1117" s="163"/>
      <c r="J1117" s="157">
        <v>30414</v>
      </c>
      <c r="K1117" s="158">
        <v>10.74</v>
      </c>
    </row>
    <row r="1118" spans="1:11" x14ac:dyDescent="0.25">
      <c r="A1118" s="162">
        <v>24202</v>
      </c>
      <c r="B1118" s="163">
        <v>4.59</v>
      </c>
      <c r="C1118" s="163"/>
      <c r="D1118" s="163"/>
      <c r="E1118" s="163"/>
      <c r="J1118" s="157">
        <v>30421</v>
      </c>
      <c r="K1118" s="158">
        <v>10.59</v>
      </c>
    </row>
    <row r="1119" spans="1:11" x14ac:dyDescent="0.25">
      <c r="A1119" s="162">
        <v>24203</v>
      </c>
      <c r="B1119" s="163">
        <v>4.6100000000000003</v>
      </c>
      <c r="C1119" s="163"/>
      <c r="D1119" s="163"/>
      <c r="E1119" s="163"/>
      <c r="J1119" s="157">
        <v>30428</v>
      </c>
      <c r="K1119" s="158">
        <v>10.62</v>
      </c>
    </row>
    <row r="1120" spans="1:11" x14ac:dyDescent="0.25">
      <c r="A1120" s="162">
        <v>24204</v>
      </c>
      <c r="B1120" s="163">
        <v>4.63</v>
      </c>
      <c r="C1120" s="163"/>
      <c r="D1120" s="163"/>
      <c r="E1120" s="163"/>
      <c r="J1120" s="157">
        <v>30435</v>
      </c>
      <c r="K1120" s="158">
        <v>10.57</v>
      </c>
    </row>
    <row r="1121" spans="1:11" x14ac:dyDescent="0.25">
      <c r="A1121" s="162">
        <v>24205</v>
      </c>
      <c r="B1121" s="163" t="e">
        <f>NA()</f>
        <v>#N/A</v>
      </c>
      <c r="C1121" s="163"/>
      <c r="D1121" s="163"/>
      <c r="E1121" s="163"/>
      <c r="J1121" s="157">
        <v>30442</v>
      </c>
      <c r="K1121" s="158">
        <v>10.45</v>
      </c>
    </row>
    <row r="1122" spans="1:11" x14ac:dyDescent="0.25">
      <c r="A1122" s="162">
        <v>24208</v>
      </c>
      <c r="B1122" s="163">
        <v>4.63</v>
      </c>
      <c r="C1122" s="163"/>
      <c r="D1122" s="163"/>
      <c r="E1122" s="163"/>
      <c r="J1122" s="157">
        <v>30449</v>
      </c>
      <c r="K1122" s="158">
        <v>10.48</v>
      </c>
    </row>
    <row r="1123" spans="1:11" x14ac:dyDescent="0.25">
      <c r="A1123" s="162">
        <v>24209</v>
      </c>
      <c r="B1123" s="163">
        <v>4.63</v>
      </c>
      <c r="C1123" s="163"/>
      <c r="D1123" s="163"/>
      <c r="E1123" s="163"/>
      <c r="J1123" s="157">
        <v>30456</v>
      </c>
      <c r="K1123" s="158">
        <v>10.78</v>
      </c>
    </row>
    <row r="1124" spans="1:11" x14ac:dyDescent="0.25">
      <c r="A1124" s="162">
        <v>24210</v>
      </c>
      <c r="B1124" s="163">
        <v>4.6399999999999997</v>
      </c>
      <c r="C1124" s="163"/>
      <c r="D1124" s="163"/>
      <c r="E1124" s="163"/>
      <c r="J1124" s="157">
        <v>30463</v>
      </c>
      <c r="K1124" s="158">
        <v>10.9</v>
      </c>
    </row>
    <row r="1125" spans="1:11" x14ac:dyDescent="0.25">
      <c r="A1125" s="162">
        <v>24211</v>
      </c>
      <c r="B1125" s="163">
        <v>4.66</v>
      </c>
      <c r="C1125" s="163"/>
      <c r="D1125" s="163"/>
      <c r="E1125" s="163"/>
      <c r="J1125" s="157">
        <v>30470</v>
      </c>
      <c r="K1125" s="158">
        <v>11.09</v>
      </c>
    </row>
    <row r="1126" spans="1:11" x14ac:dyDescent="0.25">
      <c r="A1126" s="162">
        <v>24212</v>
      </c>
      <c r="B1126" s="163">
        <v>4.67</v>
      </c>
      <c r="C1126" s="163"/>
      <c r="D1126" s="163"/>
      <c r="E1126" s="163"/>
      <c r="J1126" s="157">
        <v>30477</v>
      </c>
      <c r="K1126" s="158">
        <v>11.13</v>
      </c>
    </row>
    <row r="1127" spans="1:11" x14ac:dyDescent="0.25">
      <c r="A1127" s="162">
        <v>24215</v>
      </c>
      <c r="B1127" s="163">
        <v>4.66</v>
      </c>
      <c r="C1127" s="163"/>
      <c r="D1127" s="163"/>
      <c r="E1127" s="163"/>
      <c r="J1127" s="157">
        <v>30484</v>
      </c>
      <c r="K1127" s="158">
        <v>10.98</v>
      </c>
    </row>
    <row r="1128" spans="1:11" x14ac:dyDescent="0.25">
      <c r="A1128" s="162">
        <v>24216</v>
      </c>
      <c r="B1128" s="163">
        <v>4.67</v>
      </c>
      <c r="C1128" s="163"/>
      <c r="D1128" s="163"/>
      <c r="E1128" s="163"/>
      <c r="J1128" s="157">
        <v>30491</v>
      </c>
      <c r="K1128" s="158">
        <v>11.12</v>
      </c>
    </row>
    <row r="1129" spans="1:11" x14ac:dyDescent="0.25">
      <c r="A1129" s="162">
        <v>24217</v>
      </c>
      <c r="B1129" s="164">
        <v>4.6900000000000004</v>
      </c>
      <c r="C1129" s="164"/>
      <c r="D1129" s="164"/>
      <c r="E1129" s="164"/>
      <c r="J1129" s="157">
        <v>30498</v>
      </c>
      <c r="K1129" s="158">
        <v>11.26</v>
      </c>
    </row>
    <row r="1130" spans="1:11" x14ac:dyDescent="0.25">
      <c r="A1130" s="162">
        <v>24218</v>
      </c>
      <c r="B1130" s="163">
        <v>4.68</v>
      </c>
      <c r="C1130" s="163"/>
      <c r="D1130" s="163"/>
      <c r="E1130" s="163"/>
      <c r="J1130" s="157">
        <v>30505</v>
      </c>
      <c r="K1130" s="158">
        <v>11.49</v>
      </c>
    </row>
    <row r="1131" spans="1:11" x14ac:dyDescent="0.25">
      <c r="A1131" s="162">
        <v>24219</v>
      </c>
      <c r="B1131" s="163">
        <v>4.67</v>
      </c>
      <c r="C1131" s="163"/>
      <c r="D1131" s="163"/>
      <c r="E1131" s="163"/>
      <c r="J1131" s="157">
        <v>30512</v>
      </c>
      <c r="K1131" s="158">
        <v>11.6</v>
      </c>
    </row>
    <row r="1132" spans="1:11" x14ac:dyDescent="0.25">
      <c r="A1132" s="162">
        <v>24222</v>
      </c>
      <c r="B1132" s="163">
        <v>4.68</v>
      </c>
      <c r="C1132" s="163"/>
      <c r="D1132" s="163"/>
      <c r="E1132" s="163"/>
      <c r="J1132" s="157">
        <v>30519</v>
      </c>
      <c r="K1132" s="158">
        <v>11.55</v>
      </c>
    </row>
    <row r="1133" spans="1:11" x14ac:dyDescent="0.25">
      <c r="A1133" s="162">
        <v>24223</v>
      </c>
      <c r="B1133" s="163">
        <v>4.6900000000000004</v>
      </c>
      <c r="C1133" s="163"/>
      <c r="D1133" s="163"/>
      <c r="E1133" s="163"/>
      <c r="J1133" s="157">
        <v>30526</v>
      </c>
      <c r="K1133" s="158">
        <v>11.78</v>
      </c>
    </row>
    <row r="1134" spans="1:11" x14ac:dyDescent="0.25">
      <c r="A1134" s="162">
        <v>24224</v>
      </c>
      <c r="B1134" s="163">
        <v>4.6900000000000004</v>
      </c>
      <c r="C1134" s="163"/>
      <c r="D1134" s="163"/>
      <c r="E1134" s="163"/>
      <c r="J1134" s="157">
        <v>30533</v>
      </c>
      <c r="K1134" s="158">
        <v>12.1</v>
      </c>
    </row>
    <row r="1135" spans="1:11" x14ac:dyDescent="0.25">
      <c r="A1135" s="162">
        <v>24225</v>
      </c>
      <c r="B1135" s="163">
        <v>4.7</v>
      </c>
      <c r="C1135" s="163"/>
      <c r="D1135" s="163"/>
      <c r="E1135" s="163"/>
      <c r="J1135" s="157">
        <v>30540</v>
      </c>
      <c r="K1135" s="158">
        <v>12.18</v>
      </c>
    </row>
    <row r="1136" spans="1:11" x14ac:dyDescent="0.25">
      <c r="A1136" s="162">
        <v>24226</v>
      </c>
      <c r="B1136" s="163">
        <v>4.7</v>
      </c>
      <c r="C1136" s="163"/>
      <c r="D1136" s="163"/>
      <c r="E1136" s="163"/>
      <c r="J1136" s="157">
        <v>30547</v>
      </c>
      <c r="K1136" s="158">
        <v>11.81</v>
      </c>
    </row>
    <row r="1137" spans="1:11" x14ac:dyDescent="0.25">
      <c r="A1137" s="162">
        <v>24229</v>
      </c>
      <c r="B1137" s="163">
        <v>4.71</v>
      </c>
      <c r="C1137" s="163"/>
      <c r="D1137" s="163"/>
      <c r="E1137" s="163"/>
      <c r="J1137" s="157">
        <v>30554</v>
      </c>
      <c r="K1137" s="158">
        <v>11.71</v>
      </c>
    </row>
    <row r="1138" spans="1:11" x14ac:dyDescent="0.25">
      <c r="A1138" s="162">
        <v>24230</v>
      </c>
      <c r="B1138" s="163">
        <v>4.71</v>
      </c>
      <c r="C1138" s="163"/>
      <c r="D1138" s="163"/>
      <c r="E1138" s="163"/>
      <c r="J1138" s="157">
        <v>30561</v>
      </c>
      <c r="K1138" s="158">
        <v>12.09</v>
      </c>
    </row>
    <row r="1139" spans="1:11" x14ac:dyDescent="0.25">
      <c r="A1139" s="162">
        <v>24231</v>
      </c>
      <c r="B1139" s="163">
        <v>4.71</v>
      </c>
      <c r="C1139" s="163"/>
      <c r="D1139" s="163"/>
      <c r="E1139" s="163"/>
      <c r="J1139" s="157">
        <v>30568</v>
      </c>
      <c r="K1139" s="158">
        <v>11.92</v>
      </c>
    </row>
    <row r="1140" spans="1:11" x14ac:dyDescent="0.25">
      <c r="A1140" s="162">
        <v>24232</v>
      </c>
      <c r="B1140" s="163">
        <v>4.71</v>
      </c>
      <c r="C1140" s="163"/>
      <c r="D1140" s="163"/>
      <c r="E1140" s="163"/>
      <c r="J1140" s="157">
        <v>30575</v>
      </c>
      <c r="K1140" s="158">
        <v>11.85</v>
      </c>
    </row>
    <row r="1141" spans="1:11" x14ac:dyDescent="0.25">
      <c r="A1141" s="162">
        <v>24233</v>
      </c>
      <c r="B1141" s="163">
        <v>4.6900000000000004</v>
      </c>
      <c r="C1141" s="163"/>
      <c r="D1141" s="163"/>
      <c r="E1141" s="163"/>
      <c r="J1141" s="157">
        <v>30582</v>
      </c>
      <c r="K1141" s="158">
        <v>11.78</v>
      </c>
    </row>
    <row r="1142" spans="1:11" x14ac:dyDescent="0.25">
      <c r="A1142" s="162">
        <v>24236</v>
      </c>
      <c r="B1142" s="163">
        <v>4.66</v>
      </c>
      <c r="C1142" s="163"/>
      <c r="D1142" s="163"/>
      <c r="E1142" s="163"/>
      <c r="J1142" s="157">
        <v>30589</v>
      </c>
      <c r="K1142" s="158">
        <v>11.64</v>
      </c>
    </row>
    <row r="1143" spans="1:11" x14ac:dyDescent="0.25">
      <c r="A1143" s="162">
        <v>24237</v>
      </c>
      <c r="B1143" s="163">
        <v>4.6500000000000004</v>
      </c>
      <c r="C1143" s="163"/>
      <c r="D1143" s="163"/>
      <c r="E1143" s="163"/>
      <c r="J1143" s="157">
        <v>30596</v>
      </c>
      <c r="K1143" s="158">
        <v>11.6</v>
      </c>
    </row>
    <row r="1144" spans="1:11" x14ac:dyDescent="0.25">
      <c r="A1144" s="162">
        <v>24238</v>
      </c>
      <c r="B1144" s="163">
        <v>4.67</v>
      </c>
      <c r="C1144" s="163"/>
      <c r="D1144" s="163"/>
      <c r="E1144" s="163"/>
      <c r="J1144" s="157">
        <v>30603</v>
      </c>
      <c r="K1144" s="158">
        <v>11.85</v>
      </c>
    </row>
    <row r="1145" spans="1:11" x14ac:dyDescent="0.25">
      <c r="A1145" s="162">
        <v>24239</v>
      </c>
      <c r="B1145" s="163">
        <v>4.66</v>
      </c>
      <c r="C1145" s="163"/>
      <c r="D1145" s="163"/>
      <c r="E1145" s="163"/>
      <c r="J1145" s="157">
        <v>30610</v>
      </c>
      <c r="K1145" s="158">
        <v>11.71</v>
      </c>
    </row>
    <row r="1146" spans="1:11" x14ac:dyDescent="0.25">
      <c r="A1146" s="162">
        <v>24240</v>
      </c>
      <c r="B1146" s="163">
        <v>4.66</v>
      </c>
      <c r="C1146" s="163"/>
      <c r="D1146" s="163"/>
      <c r="E1146" s="163"/>
      <c r="J1146" s="157">
        <v>30617</v>
      </c>
      <c r="K1146" s="158">
        <v>11.9</v>
      </c>
    </row>
    <row r="1147" spans="1:11" x14ac:dyDescent="0.25">
      <c r="A1147" s="162">
        <v>24243</v>
      </c>
      <c r="B1147" s="163">
        <v>4.66</v>
      </c>
      <c r="C1147" s="163"/>
      <c r="D1147" s="163"/>
      <c r="E1147" s="163"/>
      <c r="J1147" s="157">
        <v>30624</v>
      </c>
      <c r="K1147" s="158">
        <v>11.98</v>
      </c>
    </row>
    <row r="1148" spans="1:11" x14ac:dyDescent="0.25">
      <c r="A1148" s="162">
        <v>24244</v>
      </c>
      <c r="B1148" s="163">
        <v>4.66</v>
      </c>
      <c r="C1148" s="163"/>
      <c r="D1148" s="163"/>
      <c r="E1148" s="163"/>
      <c r="J1148" s="157">
        <v>30631</v>
      </c>
      <c r="K1148" s="158">
        <v>12.01</v>
      </c>
    </row>
    <row r="1149" spans="1:11" x14ac:dyDescent="0.25">
      <c r="A1149" s="162">
        <v>24245</v>
      </c>
      <c r="B1149" s="163">
        <v>4.66</v>
      </c>
      <c r="C1149" s="163"/>
      <c r="D1149" s="163"/>
      <c r="E1149" s="163"/>
      <c r="J1149" s="157">
        <v>30638</v>
      </c>
      <c r="K1149" s="158">
        <v>11.93</v>
      </c>
    </row>
    <row r="1150" spans="1:11" x14ac:dyDescent="0.25">
      <c r="A1150" s="162">
        <v>24246</v>
      </c>
      <c r="B1150" s="164">
        <v>4.66</v>
      </c>
      <c r="C1150" s="164"/>
      <c r="D1150" s="164"/>
      <c r="E1150" s="164"/>
      <c r="J1150" s="157">
        <v>30645</v>
      </c>
      <c r="K1150" s="158">
        <v>11.83</v>
      </c>
    </row>
    <row r="1151" spans="1:11" x14ac:dyDescent="0.25">
      <c r="A1151" s="162">
        <v>24247</v>
      </c>
      <c r="B1151" s="163">
        <v>4.66</v>
      </c>
      <c r="C1151" s="163"/>
      <c r="D1151" s="163"/>
      <c r="E1151" s="163"/>
      <c r="J1151" s="157">
        <v>30652</v>
      </c>
      <c r="K1151" s="158">
        <v>11.85</v>
      </c>
    </row>
    <row r="1152" spans="1:11" x14ac:dyDescent="0.25">
      <c r="A1152" s="162">
        <v>24250</v>
      </c>
      <c r="B1152" s="163">
        <v>4.68</v>
      </c>
      <c r="C1152" s="163"/>
      <c r="D1152" s="163"/>
      <c r="E1152" s="163"/>
      <c r="J1152" s="157">
        <v>30659</v>
      </c>
      <c r="K1152" s="158">
        <v>12.03</v>
      </c>
    </row>
    <row r="1153" spans="1:11" x14ac:dyDescent="0.25">
      <c r="A1153" s="162">
        <v>24251</v>
      </c>
      <c r="B1153" s="163">
        <v>4.7</v>
      </c>
      <c r="C1153" s="163"/>
      <c r="D1153" s="163"/>
      <c r="E1153" s="163"/>
      <c r="J1153" s="157">
        <v>30666</v>
      </c>
      <c r="K1153" s="158">
        <v>12.11</v>
      </c>
    </row>
    <row r="1154" spans="1:11" x14ac:dyDescent="0.25">
      <c r="A1154" s="162">
        <v>24252</v>
      </c>
      <c r="B1154" s="163">
        <v>4.7</v>
      </c>
      <c r="C1154" s="163"/>
      <c r="D1154" s="163"/>
      <c r="E1154" s="163"/>
      <c r="J1154" s="157">
        <v>30673</v>
      </c>
      <c r="K1154" s="158">
        <v>12.03</v>
      </c>
    </row>
    <row r="1155" spans="1:11" x14ac:dyDescent="0.25">
      <c r="A1155" s="162">
        <v>24253</v>
      </c>
      <c r="B1155" s="163">
        <v>4.7300000000000004</v>
      </c>
      <c r="C1155" s="163"/>
      <c r="D1155" s="163"/>
      <c r="E1155" s="163"/>
      <c r="J1155" s="157">
        <v>30680</v>
      </c>
      <c r="K1155" s="158">
        <v>11.97</v>
      </c>
    </row>
    <row r="1156" spans="1:11" x14ac:dyDescent="0.25">
      <c r="A1156" s="162">
        <v>24254</v>
      </c>
      <c r="B1156" s="163">
        <v>4.7300000000000004</v>
      </c>
      <c r="C1156" s="163"/>
      <c r="D1156" s="163"/>
      <c r="E1156" s="163"/>
      <c r="J1156" s="157">
        <v>30687</v>
      </c>
      <c r="K1156" s="158">
        <v>11.97</v>
      </c>
    </row>
    <row r="1157" spans="1:11" x14ac:dyDescent="0.25">
      <c r="A1157" s="162">
        <v>24257</v>
      </c>
      <c r="B1157" s="163" t="e">
        <f>NA()</f>
        <v>#N/A</v>
      </c>
      <c r="C1157" s="163"/>
      <c r="D1157" s="163"/>
      <c r="E1157" s="163"/>
      <c r="J1157" s="157">
        <v>30694</v>
      </c>
      <c r="K1157" s="158">
        <v>11.86</v>
      </c>
    </row>
    <row r="1158" spans="1:11" x14ac:dyDescent="0.25">
      <c r="A1158" s="162">
        <v>24258</v>
      </c>
      <c r="B1158" s="163">
        <v>4.7300000000000004</v>
      </c>
      <c r="C1158" s="163"/>
      <c r="D1158" s="163"/>
      <c r="E1158" s="163"/>
      <c r="J1158" s="157">
        <v>30701</v>
      </c>
      <c r="K1158" s="158">
        <v>11.74</v>
      </c>
    </row>
    <row r="1159" spans="1:11" x14ac:dyDescent="0.25">
      <c r="A1159" s="162">
        <v>24259</v>
      </c>
      <c r="B1159" s="163">
        <v>4.71</v>
      </c>
      <c r="C1159" s="163"/>
      <c r="D1159" s="163"/>
      <c r="E1159" s="163"/>
      <c r="J1159" s="157">
        <v>30708</v>
      </c>
      <c r="K1159" s="158">
        <v>11.76</v>
      </c>
    </row>
    <row r="1160" spans="1:11" x14ac:dyDescent="0.25">
      <c r="A1160" s="162">
        <v>24260</v>
      </c>
      <c r="B1160" s="163">
        <v>4.7</v>
      </c>
      <c r="C1160" s="163"/>
      <c r="D1160" s="163"/>
      <c r="E1160" s="163"/>
      <c r="J1160" s="157">
        <v>30715</v>
      </c>
      <c r="K1160" s="158">
        <v>11.79</v>
      </c>
    </row>
    <row r="1161" spans="1:11" x14ac:dyDescent="0.25">
      <c r="A1161" s="162">
        <v>24261</v>
      </c>
      <c r="B1161" s="163">
        <v>4.7</v>
      </c>
      <c r="C1161" s="163"/>
      <c r="D1161" s="163"/>
      <c r="E1161" s="163"/>
      <c r="J1161" s="157">
        <v>30722</v>
      </c>
      <c r="K1161" s="158">
        <v>11.9</v>
      </c>
    </row>
    <row r="1162" spans="1:11" x14ac:dyDescent="0.25">
      <c r="A1162" s="162">
        <v>24264</v>
      </c>
      <c r="B1162" s="164">
        <v>4.7</v>
      </c>
      <c r="C1162" s="164"/>
      <c r="D1162" s="164"/>
      <c r="E1162" s="164"/>
      <c r="J1162" s="157">
        <v>30729</v>
      </c>
      <c r="K1162" s="158">
        <v>12.02</v>
      </c>
    </row>
    <row r="1163" spans="1:11" x14ac:dyDescent="0.25">
      <c r="A1163" s="162">
        <v>24265</v>
      </c>
      <c r="B1163" s="163">
        <v>4.72</v>
      </c>
      <c r="C1163" s="163"/>
      <c r="D1163" s="163"/>
      <c r="E1163" s="163"/>
      <c r="J1163" s="157">
        <v>30736</v>
      </c>
      <c r="K1163" s="158">
        <v>12.12</v>
      </c>
    </row>
    <row r="1164" spans="1:11" x14ac:dyDescent="0.25">
      <c r="A1164" s="162">
        <v>24266</v>
      </c>
      <c r="B1164" s="163">
        <v>4.7300000000000004</v>
      </c>
      <c r="C1164" s="163"/>
      <c r="D1164" s="163"/>
      <c r="E1164" s="163"/>
      <c r="J1164" s="157">
        <v>30743</v>
      </c>
      <c r="K1164" s="158">
        <v>12.21</v>
      </c>
    </row>
    <row r="1165" spans="1:11" x14ac:dyDescent="0.25">
      <c r="A1165" s="162">
        <v>24267</v>
      </c>
      <c r="B1165" s="163">
        <v>4.74</v>
      </c>
      <c r="C1165" s="163"/>
      <c r="D1165" s="163"/>
      <c r="E1165" s="163"/>
      <c r="J1165" s="157">
        <v>30750</v>
      </c>
      <c r="K1165" s="158">
        <v>12.35</v>
      </c>
    </row>
    <row r="1166" spans="1:11" x14ac:dyDescent="0.25">
      <c r="A1166" s="162">
        <v>24268</v>
      </c>
      <c r="B1166" s="163">
        <v>4.74</v>
      </c>
      <c r="C1166" s="163"/>
      <c r="D1166" s="163"/>
      <c r="E1166" s="163"/>
      <c r="J1166" s="157">
        <v>30757</v>
      </c>
      <c r="K1166" s="158">
        <v>12.46</v>
      </c>
    </row>
    <row r="1167" spans="1:11" x14ac:dyDescent="0.25">
      <c r="A1167" s="162">
        <v>24271</v>
      </c>
      <c r="B1167" s="163">
        <v>4.74</v>
      </c>
      <c r="C1167" s="163"/>
      <c r="D1167" s="163"/>
      <c r="E1167" s="163"/>
      <c r="J1167" s="157">
        <v>30764</v>
      </c>
      <c r="K1167" s="158">
        <v>12.6</v>
      </c>
    </row>
    <row r="1168" spans="1:11" x14ac:dyDescent="0.25">
      <c r="A1168" s="162">
        <v>24272</v>
      </c>
      <c r="B1168" s="163">
        <v>4.74</v>
      </c>
      <c r="C1168" s="163"/>
      <c r="D1168" s="163"/>
      <c r="E1168" s="163"/>
      <c r="J1168" s="157">
        <v>30771</v>
      </c>
      <c r="K1168" s="158">
        <v>12.51</v>
      </c>
    </row>
    <row r="1169" spans="1:11" x14ac:dyDescent="0.25">
      <c r="A1169" s="162">
        <v>24273</v>
      </c>
      <c r="B1169" s="163">
        <v>4.72</v>
      </c>
      <c r="C1169" s="163"/>
      <c r="D1169" s="163"/>
      <c r="E1169" s="163"/>
      <c r="J1169" s="157">
        <v>30778</v>
      </c>
      <c r="K1169" s="158">
        <v>12.54</v>
      </c>
    </row>
    <row r="1170" spans="1:11" x14ac:dyDescent="0.25">
      <c r="A1170" s="162">
        <v>24274</v>
      </c>
      <c r="B1170" s="163">
        <v>4.74</v>
      </c>
      <c r="C1170" s="163"/>
      <c r="D1170" s="163"/>
      <c r="E1170" s="163"/>
      <c r="J1170" s="157">
        <v>30785</v>
      </c>
      <c r="K1170" s="158">
        <v>12.52</v>
      </c>
    </row>
    <row r="1171" spans="1:11" x14ac:dyDescent="0.25">
      <c r="A1171" s="162">
        <v>24275</v>
      </c>
      <c r="B1171" s="163">
        <v>4.72</v>
      </c>
      <c r="C1171" s="163"/>
      <c r="D1171" s="163"/>
      <c r="E1171" s="163"/>
      <c r="J1171" s="157">
        <v>30792</v>
      </c>
      <c r="K1171" s="158">
        <v>12.73</v>
      </c>
    </row>
    <row r="1172" spans="1:11" x14ac:dyDescent="0.25">
      <c r="A1172" s="162">
        <v>24278</v>
      </c>
      <c r="B1172" s="163">
        <v>4.7</v>
      </c>
      <c r="C1172" s="163"/>
      <c r="D1172" s="163"/>
      <c r="E1172" s="163"/>
      <c r="J1172" s="157">
        <v>30799</v>
      </c>
      <c r="K1172" s="158">
        <v>12.78</v>
      </c>
    </row>
    <row r="1173" spans="1:11" x14ac:dyDescent="0.25">
      <c r="A1173" s="162">
        <v>24279</v>
      </c>
      <c r="B1173" s="163">
        <v>4.68</v>
      </c>
      <c r="C1173" s="163"/>
      <c r="D1173" s="163"/>
      <c r="E1173" s="163"/>
      <c r="J1173" s="157">
        <v>30806</v>
      </c>
      <c r="K1173" s="158">
        <v>12.94</v>
      </c>
    </row>
    <row r="1174" spans="1:11" x14ac:dyDescent="0.25">
      <c r="A1174" s="162">
        <v>24280</v>
      </c>
      <c r="B1174" s="163">
        <v>4.6900000000000004</v>
      </c>
      <c r="C1174" s="163"/>
      <c r="D1174" s="163"/>
      <c r="E1174" s="163"/>
      <c r="J1174" s="157">
        <v>30813</v>
      </c>
      <c r="K1174" s="158">
        <v>13.28</v>
      </c>
    </row>
    <row r="1175" spans="1:11" x14ac:dyDescent="0.25">
      <c r="A1175" s="162">
        <v>24281</v>
      </c>
      <c r="B1175" s="163">
        <v>4.7</v>
      </c>
      <c r="C1175" s="163"/>
      <c r="D1175" s="163"/>
      <c r="E1175" s="163"/>
      <c r="J1175" s="157">
        <v>30820</v>
      </c>
      <c r="K1175" s="158">
        <v>13.52</v>
      </c>
    </row>
    <row r="1176" spans="1:11" x14ac:dyDescent="0.25">
      <c r="A1176" s="162">
        <v>24282</v>
      </c>
      <c r="B1176" s="163">
        <v>4.72</v>
      </c>
      <c r="C1176" s="163"/>
      <c r="D1176" s="163"/>
      <c r="E1176" s="163"/>
      <c r="J1176" s="157">
        <v>30827</v>
      </c>
      <c r="K1176" s="158">
        <v>13.6</v>
      </c>
    </row>
    <row r="1177" spans="1:11" x14ac:dyDescent="0.25">
      <c r="A1177" s="162">
        <v>24285</v>
      </c>
      <c r="B1177" s="163">
        <v>4.74</v>
      </c>
      <c r="C1177" s="163"/>
      <c r="D1177" s="163"/>
      <c r="E1177" s="163"/>
      <c r="J1177" s="157">
        <v>30834</v>
      </c>
      <c r="K1177" s="158">
        <v>13.79</v>
      </c>
    </row>
    <row r="1178" spans="1:11" x14ac:dyDescent="0.25">
      <c r="A1178" s="162">
        <v>24286</v>
      </c>
      <c r="B1178" s="163">
        <v>4.78</v>
      </c>
      <c r="C1178" s="163"/>
      <c r="D1178" s="163"/>
      <c r="E1178" s="163"/>
      <c r="J1178" s="157">
        <v>30841</v>
      </c>
      <c r="K1178" s="158">
        <v>13.47</v>
      </c>
    </row>
    <row r="1179" spans="1:11" x14ac:dyDescent="0.25">
      <c r="A1179" s="162">
        <v>24287</v>
      </c>
      <c r="B1179" s="163">
        <v>4.78</v>
      </c>
      <c r="C1179" s="163"/>
      <c r="D1179" s="163"/>
      <c r="E1179" s="163"/>
      <c r="J1179" s="157">
        <v>30848</v>
      </c>
      <c r="K1179" s="158">
        <v>13.45</v>
      </c>
    </row>
    <row r="1180" spans="1:11" x14ac:dyDescent="0.25">
      <c r="A1180" s="162">
        <v>24288</v>
      </c>
      <c r="B1180" s="163">
        <v>4.82</v>
      </c>
      <c r="C1180" s="163"/>
      <c r="D1180" s="163"/>
      <c r="E1180" s="163"/>
      <c r="J1180" s="157">
        <v>30855</v>
      </c>
      <c r="K1180" s="158">
        <v>13.51</v>
      </c>
    </row>
    <row r="1181" spans="1:11" x14ac:dyDescent="0.25">
      <c r="A1181" s="162">
        <v>24289</v>
      </c>
      <c r="B1181" s="163">
        <v>4.83</v>
      </c>
      <c r="C1181" s="163"/>
      <c r="D1181" s="163"/>
      <c r="E1181" s="163"/>
      <c r="J1181" s="157">
        <v>30862</v>
      </c>
      <c r="K1181" s="158">
        <v>13.71</v>
      </c>
    </row>
    <row r="1182" spans="1:11" x14ac:dyDescent="0.25">
      <c r="A1182" s="162">
        <v>24292</v>
      </c>
      <c r="B1182" s="164" t="e">
        <f>NA()</f>
        <v>#N/A</v>
      </c>
      <c r="C1182" s="164"/>
      <c r="D1182" s="164"/>
      <c r="E1182" s="164"/>
      <c r="J1182" s="157">
        <v>30869</v>
      </c>
      <c r="K1182" s="158">
        <v>13.76</v>
      </c>
    </row>
    <row r="1183" spans="1:11" x14ac:dyDescent="0.25">
      <c r="A1183" s="162">
        <v>24293</v>
      </c>
      <c r="B1183" s="163">
        <v>4.82</v>
      </c>
      <c r="C1183" s="163"/>
      <c r="D1183" s="163"/>
      <c r="E1183" s="163"/>
      <c r="J1183" s="157">
        <v>30876</v>
      </c>
      <c r="K1183" s="158">
        <v>13.43</v>
      </c>
    </row>
    <row r="1184" spans="1:11" x14ac:dyDescent="0.25">
      <c r="A1184" s="162">
        <v>24294</v>
      </c>
      <c r="B1184" s="163">
        <v>4.8099999999999996</v>
      </c>
      <c r="C1184" s="163"/>
      <c r="D1184" s="163"/>
      <c r="E1184" s="163"/>
      <c r="J1184" s="157">
        <v>30883</v>
      </c>
      <c r="K1184" s="158">
        <v>13.31</v>
      </c>
    </row>
    <row r="1185" spans="1:11" x14ac:dyDescent="0.25">
      <c r="A1185" s="162">
        <v>24295</v>
      </c>
      <c r="B1185" s="163">
        <v>4.8</v>
      </c>
      <c r="C1185" s="163"/>
      <c r="D1185" s="163"/>
      <c r="E1185" s="163"/>
      <c r="J1185" s="157">
        <v>30890</v>
      </c>
      <c r="K1185" s="158">
        <v>13.15</v>
      </c>
    </row>
    <row r="1186" spans="1:11" x14ac:dyDescent="0.25">
      <c r="A1186" s="162">
        <v>24296</v>
      </c>
      <c r="B1186" s="163">
        <v>4.8099999999999996</v>
      </c>
      <c r="C1186" s="163"/>
      <c r="D1186" s="163"/>
      <c r="E1186" s="163"/>
      <c r="J1186" s="157">
        <v>30897</v>
      </c>
      <c r="K1186" s="158">
        <v>12.87</v>
      </c>
    </row>
    <row r="1187" spans="1:11" x14ac:dyDescent="0.25">
      <c r="A1187" s="162">
        <v>24299</v>
      </c>
      <c r="B1187" s="164">
        <v>4.8499999999999996</v>
      </c>
      <c r="C1187" s="164"/>
      <c r="D1187" s="164"/>
      <c r="E1187" s="164"/>
      <c r="J1187" s="157">
        <v>30904</v>
      </c>
      <c r="K1187" s="158">
        <v>12.72</v>
      </c>
    </row>
    <row r="1188" spans="1:11" x14ac:dyDescent="0.25">
      <c r="A1188" s="162">
        <v>24300</v>
      </c>
      <c r="B1188" s="163">
        <v>4.87</v>
      </c>
      <c r="C1188" s="163"/>
      <c r="D1188" s="163"/>
      <c r="E1188" s="163"/>
      <c r="J1188" s="157">
        <v>30911</v>
      </c>
      <c r="K1188" s="158">
        <v>12.75</v>
      </c>
    </row>
    <row r="1189" spans="1:11" x14ac:dyDescent="0.25">
      <c r="A1189" s="162">
        <v>24301</v>
      </c>
      <c r="B1189" s="163">
        <v>4.87</v>
      </c>
      <c r="C1189" s="163"/>
      <c r="D1189" s="163"/>
      <c r="E1189" s="163"/>
      <c r="J1189" s="157">
        <v>30918</v>
      </c>
      <c r="K1189" s="158">
        <v>12.6</v>
      </c>
    </row>
    <row r="1190" spans="1:11" x14ac:dyDescent="0.25">
      <c r="A1190" s="162">
        <v>24302</v>
      </c>
      <c r="B1190" s="163">
        <v>4.88</v>
      </c>
      <c r="C1190" s="163"/>
      <c r="D1190" s="163"/>
      <c r="E1190" s="163"/>
      <c r="J1190" s="157">
        <v>30925</v>
      </c>
      <c r="K1190" s="158">
        <v>12.75</v>
      </c>
    </row>
    <row r="1191" spans="1:11" x14ac:dyDescent="0.25">
      <c r="A1191" s="162">
        <v>24303</v>
      </c>
      <c r="B1191" s="163">
        <v>4.88</v>
      </c>
      <c r="C1191" s="163"/>
      <c r="D1191" s="163"/>
      <c r="E1191" s="163"/>
      <c r="J1191" s="157">
        <v>30932</v>
      </c>
      <c r="K1191" s="158">
        <v>12.7</v>
      </c>
    </row>
    <row r="1192" spans="1:11" x14ac:dyDescent="0.25">
      <c r="A1192" s="162">
        <v>24306</v>
      </c>
      <c r="B1192" s="163">
        <v>4.8600000000000003</v>
      </c>
      <c r="C1192" s="163"/>
      <c r="D1192" s="163"/>
      <c r="E1192" s="163"/>
      <c r="J1192" s="157">
        <v>30939</v>
      </c>
      <c r="K1192" s="158">
        <v>12.44</v>
      </c>
    </row>
    <row r="1193" spans="1:11" x14ac:dyDescent="0.25">
      <c r="A1193" s="162">
        <v>24307</v>
      </c>
      <c r="B1193" s="163">
        <v>4.8499999999999996</v>
      </c>
      <c r="C1193" s="163"/>
      <c r="D1193" s="163"/>
      <c r="E1193" s="163"/>
      <c r="J1193" s="157">
        <v>30946</v>
      </c>
      <c r="K1193" s="158">
        <v>12.23</v>
      </c>
    </row>
    <row r="1194" spans="1:11" x14ac:dyDescent="0.25">
      <c r="A1194" s="162">
        <v>24308</v>
      </c>
      <c r="B1194" s="163">
        <v>4.84</v>
      </c>
      <c r="C1194" s="163"/>
      <c r="D1194" s="163"/>
      <c r="E1194" s="163"/>
      <c r="J1194" s="157">
        <v>30953</v>
      </c>
      <c r="K1194" s="158">
        <v>12.36</v>
      </c>
    </row>
    <row r="1195" spans="1:11" x14ac:dyDescent="0.25">
      <c r="A1195" s="162">
        <v>24309</v>
      </c>
      <c r="B1195" s="163">
        <v>4.8499999999999996</v>
      </c>
      <c r="C1195" s="163"/>
      <c r="D1195" s="163"/>
      <c r="E1195" s="163"/>
      <c r="J1195" s="157">
        <v>30960</v>
      </c>
      <c r="K1195" s="158">
        <v>12.4</v>
      </c>
    </row>
    <row r="1196" spans="1:11" x14ac:dyDescent="0.25">
      <c r="A1196" s="162">
        <v>24310</v>
      </c>
      <c r="B1196" s="163">
        <v>4.84</v>
      </c>
      <c r="C1196" s="163"/>
      <c r="D1196" s="163"/>
      <c r="E1196" s="163"/>
      <c r="J1196" s="157">
        <v>30967</v>
      </c>
      <c r="K1196" s="158">
        <v>12.19</v>
      </c>
    </row>
    <row r="1197" spans="1:11" x14ac:dyDescent="0.25">
      <c r="A1197" s="162">
        <v>24313</v>
      </c>
      <c r="B1197" s="163">
        <v>4.82</v>
      </c>
      <c r="C1197" s="163"/>
      <c r="D1197" s="163"/>
      <c r="E1197" s="163"/>
      <c r="J1197" s="157">
        <v>30974</v>
      </c>
      <c r="K1197" s="158">
        <v>12.04</v>
      </c>
    </row>
    <row r="1198" spans="1:11" x14ac:dyDescent="0.25">
      <c r="A1198" s="162">
        <v>24314</v>
      </c>
      <c r="B1198" s="163">
        <v>4.82</v>
      </c>
      <c r="C1198" s="163"/>
      <c r="D1198" s="163"/>
      <c r="E1198" s="163"/>
      <c r="J1198" s="157">
        <v>30981</v>
      </c>
      <c r="K1198" s="158">
        <v>11.74</v>
      </c>
    </row>
    <row r="1199" spans="1:11" x14ac:dyDescent="0.25">
      <c r="A1199" s="162">
        <v>24315</v>
      </c>
      <c r="B1199" s="164">
        <v>4.82</v>
      </c>
      <c r="C1199" s="164"/>
      <c r="D1199" s="164"/>
      <c r="E1199" s="164"/>
      <c r="J1199" s="157">
        <v>30988</v>
      </c>
      <c r="K1199" s="158">
        <v>11.69</v>
      </c>
    </row>
    <row r="1200" spans="1:11" x14ac:dyDescent="0.25">
      <c r="A1200" s="162">
        <v>24316</v>
      </c>
      <c r="B1200" s="163">
        <v>4.8499999999999996</v>
      </c>
      <c r="C1200" s="163"/>
      <c r="D1200" s="163"/>
      <c r="E1200" s="163"/>
      <c r="J1200" s="157">
        <v>30995</v>
      </c>
      <c r="K1200" s="158">
        <v>11.73</v>
      </c>
    </row>
    <row r="1201" spans="1:11" x14ac:dyDescent="0.25">
      <c r="A1201" s="162">
        <v>24317</v>
      </c>
      <c r="B1201" s="163">
        <v>4.8600000000000003</v>
      </c>
      <c r="C1201" s="163"/>
      <c r="D1201" s="163"/>
      <c r="E1201" s="163"/>
      <c r="J1201" s="157">
        <v>31002</v>
      </c>
      <c r="K1201" s="158">
        <v>11.84</v>
      </c>
    </row>
    <row r="1202" spans="1:11" x14ac:dyDescent="0.25">
      <c r="A1202" s="162">
        <v>24320</v>
      </c>
      <c r="B1202" s="163">
        <v>4.8600000000000003</v>
      </c>
      <c r="C1202" s="163"/>
      <c r="D1202" s="163"/>
      <c r="E1202" s="163"/>
      <c r="J1202" s="157">
        <v>31009</v>
      </c>
      <c r="K1202" s="158">
        <v>11.58</v>
      </c>
    </row>
    <row r="1203" spans="1:11" x14ac:dyDescent="0.25">
      <c r="A1203" s="162">
        <v>24321</v>
      </c>
      <c r="B1203" s="163">
        <v>4.8499999999999996</v>
      </c>
      <c r="C1203" s="163"/>
      <c r="D1203" s="163"/>
      <c r="E1203" s="163"/>
      <c r="J1203" s="157">
        <v>31016</v>
      </c>
      <c r="K1203" s="158">
        <v>11.54</v>
      </c>
    </row>
    <row r="1204" spans="1:11" x14ac:dyDescent="0.25">
      <c r="A1204" s="162">
        <v>24322</v>
      </c>
      <c r="B1204" s="163">
        <v>4.8600000000000003</v>
      </c>
      <c r="C1204" s="163"/>
      <c r="D1204" s="163"/>
      <c r="E1204" s="163"/>
      <c r="J1204" s="157">
        <v>31023</v>
      </c>
      <c r="K1204" s="158">
        <v>11.71</v>
      </c>
    </row>
    <row r="1205" spans="1:11" x14ac:dyDescent="0.25">
      <c r="A1205" s="162">
        <v>24323</v>
      </c>
      <c r="B1205" s="163">
        <v>4.8600000000000003</v>
      </c>
      <c r="C1205" s="163"/>
      <c r="D1205" s="163"/>
      <c r="E1205" s="163"/>
      <c r="J1205" s="157">
        <v>31030</v>
      </c>
      <c r="K1205" s="158">
        <v>11.73</v>
      </c>
    </row>
    <row r="1206" spans="1:11" x14ac:dyDescent="0.25">
      <c r="A1206" s="162">
        <v>24324</v>
      </c>
      <c r="B1206" s="163">
        <v>4.87</v>
      </c>
      <c r="C1206" s="163"/>
      <c r="D1206" s="163"/>
      <c r="E1206" s="163"/>
      <c r="J1206" s="157">
        <v>31037</v>
      </c>
      <c r="K1206" s="158">
        <v>11.52</v>
      </c>
    </row>
    <row r="1207" spans="1:11" x14ac:dyDescent="0.25">
      <c r="A1207" s="162">
        <v>24327</v>
      </c>
      <c r="B1207" s="163">
        <v>4.8600000000000003</v>
      </c>
      <c r="C1207" s="163"/>
      <c r="D1207" s="163"/>
      <c r="E1207" s="163"/>
      <c r="J1207" s="157">
        <v>31044</v>
      </c>
      <c r="K1207" s="158">
        <v>11.56</v>
      </c>
    </row>
    <row r="1208" spans="1:11" x14ac:dyDescent="0.25">
      <c r="A1208" s="162">
        <v>24328</v>
      </c>
      <c r="B1208" s="163">
        <v>4.87</v>
      </c>
      <c r="C1208" s="163"/>
      <c r="D1208" s="163"/>
      <c r="E1208" s="163"/>
      <c r="J1208" s="157">
        <v>31051</v>
      </c>
      <c r="K1208" s="158">
        <v>11.8</v>
      </c>
    </row>
    <row r="1209" spans="1:11" x14ac:dyDescent="0.25">
      <c r="A1209" s="162">
        <v>24329</v>
      </c>
      <c r="B1209" s="163">
        <v>4.8600000000000003</v>
      </c>
      <c r="C1209" s="163"/>
      <c r="D1209" s="163"/>
      <c r="E1209" s="163"/>
      <c r="J1209" s="157">
        <v>31058</v>
      </c>
      <c r="K1209" s="158">
        <v>11.7</v>
      </c>
    </row>
    <row r="1210" spans="1:11" x14ac:dyDescent="0.25">
      <c r="A1210" s="162">
        <v>24330</v>
      </c>
      <c r="B1210" s="163">
        <v>4.87</v>
      </c>
      <c r="C1210" s="163"/>
      <c r="D1210" s="163"/>
      <c r="E1210" s="163"/>
      <c r="J1210" s="157">
        <v>31065</v>
      </c>
      <c r="K1210" s="158">
        <v>11.73</v>
      </c>
    </row>
    <row r="1211" spans="1:11" x14ac:dyDescent="0.25">
      <c r="A1211" s="162">
        <v>24331</v>
      </c>
      <c r="B1211" s="163">
        <v>4.87</v>
      </c>
      <c r="C1211" s="163"/>
      <c r="D1211" s="163"/>
      <c r="E1211" s="163"/>
      <c r="J1211" s="157">
        <v>31072</v>
      </c>
      <c r="K1211" s="158">
        <v>11.37</v>
      </c>
    </row>
    <row r="1212" spans="1:11" x14ac:dyDescent="0.25">
      <c r="A1212" s="162">
        <v>24334</v>
      </c>
      <c r="B1212" s="163">
        <v>4.8899999999999997</v>
      </c>
      <c r="C1212" s="163"/>
      <c r="D1212" s="163"/>
      <c r="E1212" s="163"/>
      <c r="J1212" s="157">
        <v>31079</v>
      </c>
      <c r="K1212" s="158">
        <v>11.31</v>
      </c>
    </row>
    <row r="1213" spans="1:11" x14ac:dyDescent="0.25">
      <c r="A1213" s="162">
        <v>24335</v>
      </c>
      <c r="B1213" s="163">
        <v>4.93</v>
      </c>
      <c r="C1213" s="163"/>
      <c r="D1213" s="163"/>
      <c r="E1213" s="163"/>
      <c r="J1213" s="157">
        <v>31086</v>
      </c>
      <c r="K1213" s="158">
        <v>11.5</v>
      </c>
    </row>
    <row r="1214" spans="1:11" x14ac:dyDescent="0.25">
      <c r="A1214" s="162">
        <v>24336</v>
      </c>
      <c r="B1214" s="163">
        <v>4.96</v>
      </c>
      <c r="C1214" s="163"/>
      <c r="D1214" s="163"/>
      <c r="E1214" s="163"/>
      <c r="J1214" s="157">
        <v>31093</v>
      </c>
      <c r="K1214" s="158">
        <v>11.58</v>
      </c>
    </row>
    <row r="1215" spans="1:11" x14ac:dyDescent="0.25">
      <c r="A1215" s="162">
        <v>24337</v>
      </c>
      <c r="B1215" s="163">
        <v>4.99</v>
      </c>
      <c r="C1215" s="163"/>
      <c r="D1215" s="163"/>
      <c r="E1215" s="163"/>
      <c r="J1215" s="157">
        <v>31100</v>
      </c>
      <c r="K1215" s="158">
        <v>11.81</v>
      </c>
    </row>
    <row r="1216" spans="1:11" x14ac:dyDescent="0.25">
      <c r="A1216" s="162">
        <v>24338</v>
      </c>
      <c r="B1216" s="163">
        <v>4.99</v>
      </c>
      <c r="C1216" s="163"/>
      <c r="D1216" s="163"/>
      <c r="E1216" s="163"/>
      <c r="J1216" s="157">
        <v>31107</v>
      </c>
      <c r="K1216" s="158">
        <v>12.06</v>
      </c>
    </row>
    <row r="1217" spans="1:11" x14ac:dyDescent="0.25">
      <c r="A1217" s="162">
        <v>24341</v>
      </c>
      <c r="B1217" s="163">
        <v>4.9800000000000004</v>
      </c>
      <c r="C1217" s="163"/>
      <c r="D1217" s="163"/>
      <c r="E1217" s="163"/>
      <c r="J1217" s="157">
        <v>31114</v>
      </c>
      <c r="K1217" s="158">
        <v>12.09</v>
      </c>
    </row>
    <row r="1218" spans="1:11" x14ac:dyDescent="0.25">
      <c r="A1218" s="162">
        <v>24342</v>
      </c>
      <c r="B1218" s="163">
        <v>5.01</v>
      </c>
      <c r="C1218" s="163"/>
      <c r="D1218" s="163"/>
      <c r="E1218" s="163"/>
      <c r="J1218" s="157">
        <v>31121</v>
      </c>
      <c r="K1218" s="158">
        <v>12.06</v>
      </c>
    </row>
    <row r="1219" spans="1:11" x14ac:dyDescent="0.25">
      <c r="A1219" s="162">
        <v>24343</v>
      </c>
      <c r="B1219" s="164">
        <v>5.0199999999999996</v>
      </c>
      <c r="C1219" s="164"/>
      <c r="D1219" s="164"/>
      <c r="E1219" s="164"/>
      <c r="J1219" s="157">
        <v>31128</v>
      </c>
      <c r="K1219" s="158">
        <v>12.11</v>
      </c>
    </row>
    <row r="1220" spans="1:11" x14ac:dyDescent="0.25">
      <c r="A1220" s="162">
        <v>24344</v>
      </c>
      <c r="B1220" s="163">
        <v>5.05</v>
      </c>
      <c r="C1220" s="163"/>
      <c r="D1220" s="163"/>
      <c r="E1220" s="163"/>
      <c r="J1220" s="157">
        <v>31135</v>
      </c>
      <c r="K1220" s="158">
        <v>11.97</v>
      </c>
    </row>
    <row r="1221" spans="1:11" x14ac:dyDescent="0.25">
      <c r="A1221" s="162">
        <v>24345</v>
      </c>
      <c r="B1221" s="163">
        <v>5.0999999999999996</v>
      </c>
      <c r="C1221" s="163"/>
      <c r="D1221" s="163"/>
      <c r="E1221" s="163"/>
      <c r="J1221" s="157">
        <v>31142</v>
      </c>
      <c r="K1221" s="158">
        <v>11.9</v>
      </c>
    </row>
    <row r="1222" spans="1:11" x14ac:dyDescent="0.25">
      <c r="A1222" s="162">
        <v>24348</v>
      </c>
      <c r="B1222" s="163">
        <v>5.12</v>
      </c>
      <c r="C1222" s="163"/>
      <c r="D1222" s="163"/>
      <c r="E1222" s="163"/>
      <c r="J1222" s="157">
        <v>31149</v>
      </c>
      <c r="K1222" s="158">
        <v>11.79</v>
      </c>
    </row>
    <row r="1223" spans="1:11" x14ac:dyDescent="0.25">
      <c r="A1223" s="162">
        <v>24349</v>
      </c>
      <c r="B1223" s="163">
        <v>5.0999999999999996</v>
      </c>
      <c r="C1223" s="163"/>
      <c r="D1223" s="163"/>
      <c r="E1223" s="163"/>
      <c r="J1223" s="157">
        <v>31156</v>
      </c>
      <c r="K1223" s="158">
        <v>11.51</v>
      </c>
    </row>
    <row r="1224" spans="1:11" x14ac:dyDescent="0.25">
      <c r="A1224" s="162">
        <v>24350</v>
      </c>
      <c r="B1224" s="163">
        <v>5.0199999999999996</v>
      </c>
      <c r="C1224" s="163"/>
      <c r="D1224" s="163"/>
      <c r="E1224" s="163"/>
      <c r="J1224" s="157">
        <v>31163</v>
      </c>
      <c r="K1224" s="158">
        <v>11.58</v>
      </c>
    </row>
    <row r="1225" spans="1:11" x14ac:dyDescent="0.25">
      <c r="A1225" s="162">
        <v>24351</v>
      </c>
      <c r="B1225" s="163">
        <v>5</v>
      </c>
      <c r="C1225" s="163"/>
      <c r="D1225" s="163"/>
      <c r="E1225" s="163"/>
      <c r="J1225" s="157">
        <v>31170</v>
      </c>
      <c r="K1225" s="158">
        <v>11.62</v>
      </c>
    </row>
    <row r="1226" spans="1:11" x14ac:dyDescent="0.25">
      <c r="A1226" s="162">
        <v>24352</v>
      </c>
      <c r="B1226" s="163">
        <v>4.97</v>
      </c>
      <c r="C1226" s="163"/>
      <c r="D1226" s="163"/>
      <c r="E1226" s="163"/>
      <c r="J1226" s="157">
        <v>31177</v>
      </c>
      <c r="K1226" s="158">
        <v>11.49</v>
      </c>
    </row>
    <row r="1227" spans="1:11" x14ac:dyDescent="0.25">
      <c r="A1227" s="162">
        <v>24355</v>
      </c>
      <c r="B1227" s="163" t="e">
        <f>NA()</f>
        <v>#N/A</v>
      </c>
      <c r="C1227" s="163"/>
      <c r="D1227" s="163"/>
      <c r="E1227" s="163"/>
      <c r="J1227" s="157">
        <v>31184</v>
      </c>
      <c r="K1227" s="158">
        <v>11.24</v>
      </c>
    </row>
    <row r="1228" spans="1:11" x14ac:dyDescent="0.25">
      <c r="A1228" s="162">
        <v>24356</v>
      </c>
      <c r="B1228" s="163">
        <v>4.9400000000000004</v>
      </c>
      <c r="C1228" s="163"/>
      <c r="D1228" s="163"/>
      <c r="E1228" s="163"/>
      <c r="J1228" s="157">
        <v>31191</v>
      </c>
      <c r="K1228" s="158">
        <v>10.96</v>
      </c>
    </row>
    <row r="1229" spans="1:11" x14ac:dyDescent="0.25">
      <c r="A1229" s="162">
        <v>24357</v>
      </c>
      <c r="B1229" s="163">
        <v>4.93</v>
      </c>
      <c r="C1229" s="163"/>
      <c r="D1229" s="163"/>
      <c r="E1229" s="163"/>
      <c r="J1229" s="157">
        <v>31198</v>
      </c>
      <c r="K1229" s="158">
        <v>10.79</v>
      </c>
    </row>
    <row r="1230" spans="1:11" x14ac:dyDescent="0.25">
      <c r="A1230" s="162">
        <v>24358</v>
      </c>
      <c r="B1230" s="163">
        <v>4.92</v>
      </c>
      <c r="C1230" s="163"/>
      <c r="D1230" s="163"/>
      <c r="E1230" s="163"/>
      <c r="J1230" s="157">
        <v>31205</v>
      </c>
      <c r="K1230" s="158">
        <v>10.46</v>
      </c>
    </row>
    <row r="1231" spans="1:11" x14ac:dyDescent="0.25">
      <c r="A1231" s="162">
        <v>24359</v>
      </c>
      <c r="B1231" s="163">
        <v>4.91</v>
      </c>
      <c r="C1231" s="163"/>
      <c r="D1231" s="163"/>
      <c r="E1231" s="163"/>
      <c r="J1231" s="157">
        <v>31212</v>
      </c>
      <c r="K1231" s="158">
        <v>10.53</v>
      </c>
    </row>
    <row r="1232" spans="1:11" x14ac:dyDescent="0.25">
      <c r="A1232" s="162">
        <v>24362</v>
      </c>
      <c r="B1232" s="163">
        <v>4.91</v>
      </c>
      <c r="C1232" s="163"/>
      <c r="D1232" s="163"/>
      <c r="E1232" s="163"/>
      <c r="J1232" s="157">
        <v>31219</v>
      </c>
      <c r="K1232" s="158">
        <v>10.5</v>
      </c>
    </row>
    <row r="1233" spans="1:11" x14ac:dyDescent="0.25">
      <c r="A1233" s="162">
        <v>24363</v>
      </c>
      <c r="B1233" s="163">
        <v>4.91</v>
      </c>
      <c r="C1233" s="163"/>
      <c r="D1233" s="163"/>
      <c r="E1233" s="163"/>
      <c r="J1233" s="157">
        <v>31226</v>
      </c>
      <c r="K1233" s="158">
        <v>10.77</v>
      </c>
    </row>
    <row r="1234" spans="1:11" x14ac:dyDescent="0.25">
      <c r="A1234" s="162">
        <v>24364</v>
      </c>
      <c r="B1234" s="163">
        <v>4.95</v>
      </c>
      <c r="C1234" s="163"/>
      <c r="D1234" s="163"/>
      <c r="E1234" s="163"/>
      <c r="J1234" s="157">
        <v>31233</v>
      </c>
      <c r="K1234" s="158">
        <v>10.53</v>
      </c>
    </row>
    <row r="1235" spans="1:11" x14ac:dyDescent="0.25">
      <c r="A1235" s="162">
        <v>24365</v>
      </c>
      <c r="B1235" s="163">
        <v>4.97</v>
      </c>
      <c r="C1235" s="163"/>
      <c r="D1235" s="163"/>
      <c r="E1235" s="163"/>
      <c r="J1235" s="157">
        <v>31240</v>
      </c>
      <c r="K1235" s="158">
        <v>10.52</v>
      </c>
    </row>
    <row r="1236" spans="1:11" x14ac:dyDescent="0.25">
      <c r="A1236" s="162">
        <v>24366</v>
      </c>
      <c r="B1236" s="163">
        <v>4.97</v>
      </c>
      <c r="C1236" s="163"/>
      <c r="D1236" s="163"/>
      <c r="E1236" s="163"/>
      <c r="J1236" s="157">
        <v>31247</v>
      </c>
      <c r="K1236" s="158">
        <v>10.62</v>
      </c>
    </row>
    <row r="1237" spans="1:11" x14ac:dyDescent="0.25">
      <c r="A1237" s="162">
        <v>24369</v>
      </c>
      <c r="B1237" s="163">
        <v>5.03</v>
      </c>
      <c r="C1237" s="163"/>
      <c r="D1237" s="163"/>
      <c r="E1237" s="163"/>
      <c r="J1237" s="157">
        <v>31254</v>
      </c>
      <c r="K1237" s="158">
        <v>10.87</v>
      </c>
    </row>
    <row r="1238" spans="1:11" x14ac:dyDescent="0.25">
      <c r="A1238" s="162">
        <v>24370</v>
      </c>
      <c r="B1238" s="163">
        <v>5.01</v>
      </c>
      <c r="C1238" s="163"/>
      <c r="D1238" s="163"/>
      <c r="E1238" s="163"/>
      <c r="J1238" s="157">
        <v>31261</v>
      </c>
      <c r="K1238" s="158">
        <v>10.93</v>
      </c>
    </row>
    <row r="1239" spans="1:11" x14ac:dyDescent="0.25">
      <c r="A1239" s="162">
        <v>24371</v>
      </c>
      <c r="B1239" s="163">
        <v>4.97</v>
      </c>
      <c r="C1239" s="163"/>
      <c r="D1239" s="163"/>
      <c r="E1239" s="163"/>
      <c r="J1239" s="157">
        <v>31268</v>
      </c>
      <c r="K1239" s="158">
        <v>10.86</v>
      </c>
    </row>
    <row r="1240" spans="1:11" x14ac:dyDescent="0.25">
      <c r="A1240" s="162">
        <v>24372</v>
      </c>
      <c r="B1240" s="163">
        <v>4.9400000000000004</v>
      </c>
      <c r="C1240" s="163"/>
      <c r="D1240" s="163"/>
      <c r="E1240" s="163"/>
      <c r="J1240" s="157">
        <v>31275</v>
      </c>
      <c r="K1240" s="158">
        <v>10.79</v>
      </c>
    </row>
    <row r="1241" spans="1:11" x14ac:dyDescent="0.25">
      <c r="A1241" s="162">
        <v>24373</v>
      </c>
      <c r="B1241" s="163">
        <v>4.96</v>
      </c>
      <c r="C1241" s="163"/>
      <c r="D1241" s="163"/>
      <c r="E1241" s="163"/>
      <c r="J1241" s="157">
        <v>31282</v>
      </c>
      <c r="K1241" s="158">
        <v>10.61</v>
      </c>
    </row>
    <row r="1242" spans="1:11" x14ac:dyDescent="0.25">
      <c r="A1242" s="162">
        <v>24376</v>
      </c>
      <c r="B1242" s="163">
        <v>4.95</v>
      </c>
      <c r="C1242" s="163"/>
      <c r="D1242" s="163"/>
      <c r="E1242" s="163"/>
      <c r="J1242" s="157">
        <v>31289</v>
      </c>
      <c r="K1242" s="158">
        <v>10.59</v>
      </c>
    </row>
    <row r="1243" spans="1:11" x14ac:dyDescent="0.25">
      <c r="A1243" s="162">
        <v>24377</v>
      </c>
      <c r="B1243" s="163">
        <v>4.93</v>
      </c>
      <c r="C1243" s="163"/>
      <c r="D1243" s="163"/>
      <c r="E1243" s="163"/>
      <c r="J1243" s="157">
        <v>31296</v>
      </c>
      <c r="K1243" s="158">
        <v>10.71</v>
      </c>
    </row>
    <row r="1244" spans="1:11" x14ac:dyDescent="0.25">
      <c r="A1244" s="162">
        <v>24378</v>
      </c>
      <c r="B1244" s="163">
        <v>4.91</v>
      </c>
      <c r="C1244" s="163"/>
      <c r="D1244" s="163"/>
      <c r="E1244" s="163"/>
      <c r="J1244" s="157">
        <v>31303</v>
      </c>
      <c r="K1244" s="158">
        <v>10.89</v>
      </c>
    </row>
    <row r="1245" spans="1:11" x14ac:dyDescent="0.25">
      <c r="A1245" s="162">
        <v>24379</v>
      </c>
      <c r="B1245" s="163">
        <v>4.8600000000000003</v>
      </c>
      <c r="C1245" s="163"/>
      <c r="D1245" s="163"/>
      <c r="E1245" s="163"/>
      <c r="J1245" s="157">
        <v>31310</v>
      </c>
      <c r="K1245" s="158">
        <v>10.82</v>
      </c>
    </row>
    <row r="1246" spans="1:11" x14ac:dyDescent="0.25">
      <c r="A1246" s="162">
        <v>24380</v>
      </c>
      <c r="B1246" s="163">
        <v>4.8899999999999997</v>
      </c>
      <c r="C1246" s="163"/>
      <c r="D1246" s="163"/>
      <c r="E1246" s="163"/>
      <c r="J1246" s="157">
        <v>31317</v>
      </c>
      <c r="K1246" s="158">
        <v>10.76</v>
      </c>
    </row>
    <row r="1247" spans="1:11" x14ac:dyDescent="0.25">
      <c r="A1247" s="162">
        <v>24383</v>
      </c>
      <c r="B1247" s="163">
        <v>4.92</v>
      </c>
      <c r="C1247" s="163"/>
      <c r="D1247" s="163"/>
      <c r="E1247" s="163"/>
      <c r="J1247" s="157">
        <v>31324</v>
      </c>
      <c r="K1247" s="158">
        <v>10.75</v>
      </c>
    </row>
    <row r="1248" spans="1:11" x14ac:dyDescent="0.25">
      <c r="A1248" s="162">
        <v>24384</v>
      </c>
      <c r="B1248" s="163">
        <v>4.9000000000000004</v>
      </c>
      <c r="C1248" s="163"/>
      <c r="D1248" s="163"/>
      <c r="E1248" s="163"/>
      <c r="J1248" s="157">
        <v>31331</v>
      </c>
      <c r="K1248" s="158">
        <v>10.8</v>
      </c>
    </row>
    <row r="1249" spans="1:11" x14ac:dyDescent="0.25">
      <c r="A1249" s="162">
        <v>24385</v>
      </c>
      <c r="B1249" s="163">
        <v>4.9000000000000004</v>
      </c>
      <c r="C1249" s="163"/>
      <c r="D1249" s="163"/>
      <c r="E1249" s="163"/>
      <c r="J1249" s="157">
        <v>31338</v>
      </c>
      <c r="K1249" s="158">
        <v>10.66</v>
      </c>
    </row>
    <row r="1250" spans="1:11" x14ac:dyDescent="0.25">
      <c r="A1250" s="162">
        <v>24386</v>
      </c>
      <c r="B1250" s="163">
        <v>4.8899999999999997</v>
      </c>
      <c r="C1250" s="163"/>
      <c r="D1250" s="163"/>
      <c r="E1250" s="163"/>
      <c r="J1250" s="157">
        <v>31345</v>
      </c>
      <c r="K1250" s="158">
        <v>10.58</v>
      </c>
    </row>
    <row r="1251" spans="1:11" x14ac:dyDescent="0.25">
      <c r="A1251" s="162">
        <v>24387</v>
      </c>
      <c r="B1251" s="163">
        <v>4.88</v>
      </c>
      <c r="C1251" s="163"/>
      <c r="D1251" s="163"/>
      <c r="E1251" s="163"/>
      <c r="J1251" s="157">
        <v>31352</v>
      </c>
      <c r="K1251" s="158">
        <v>10.52</v>
      </c>
    </row>
    <row r="1252" spans="1:11" x14ac:dyDescent="0.25">
      <c r="A1252" s="162">
        <v>24390</v>
      </c>
      <c r="B1252" s="163">
        <v>4.8899999999999997</v>
      </c>
      <c r="C1252" s="163"/>
      <c r="D1252" s="163"/>
      <c r="E1252" s="163"/>
      <c r="J1252" s="157">
        <v>31359</v>
      </c>
      <c r="K1252" s="158">
        <v>10.35</v>
      </c>
    </row>
    <row r="1253" spans="1:11" x14ac:dyDescent="0.25">
      <c r="A1253" s="162">
        <v>24391</v>
      </c>
      <c r="B1253" s="163">
        <v>4.8899999999999997</v>
      </c>
      <c r="C1253" s="163"/>
      <c r="D1253" s="163"/>
      <c r="E1253" s="163"/>
      <c r="J1253" s="157">
        <v>31366</v>
      </c>
      <c r="K1253" s="158">
        <v>10.27</v>
      </c>
    </row>
    <row r="1254" spans="1:11" x14ac:dyDescent="0.25">
      <c r="A1254" s="162">
        <v>24392</v>
      </c>
      <c r="B1254" s="163" t="e">
        <f>NA()</f>
        <v>#N/A</v>
      </c>
      <c r="C1254" s="163"/>
      <c r="D1254" s="163"/>
      <c r="E1254" s="163"/>
      <c r="J1254" s="157">
        <v>31373</v>
      </c>
      <c r="K1254" s="158">
        <v>10.14</v>
      </c>
    </row>
    <row r="1255" spans="1:11" x14ac:dyDescent="0.25">
      <c r="A1255" s="162">
        <v>24393</v>
      </c>
      <c r="B1255" s="163">
        <v>4.8899999999999997</v>
      </c>
      <c r="C1255" s="163"/>
      <c r="D1255" s="163"/>
      <c r="E1255" s="163"/>
      <c r="J1255" s="157">
        <v>31380</v>
      </c>
      <c r="K1255" s="158">
        <v>10.14</v>
      </c>
    </row>
    <row r="1256" spans="1:11" x14ac:dyDescent="0.25">
      <c r="A1256" s="162">
        <v>24394</v>
      </c>
      <c r="B1256" s="163">
        <v>4.88</v>
      </c>
      <c r="C1256" s="163"/>
      <c r="D1256" s="163"/>
      <c r="E1256" s="163"/>
      <c r="J1256" s="157">
        <v>31387</v>
      </c>
      <c r="K1256" s="158">
        <v>10.130000000000001</v>
      </c>
    </row>
    <row r="1257" spans="1:11" x14ac:dyDescent="0.25">
      <c r="A1257" s="162">
        <v>24397</v>
      </c>
      <c r="B1257" s="163">
        <v>4.87</v>
      </c>
      <c r="C1257" s="163"/>
      <c r="D1257" s="163"/>
      <c r="E1257" s="163"/>
      <c r="J1257" s="157">
        <v>31394</v>
      </c>
      <c r="K1257" s="158">
        <v>9.81</v>
      </c>
    </row>
    <row r="1258" spans="1:11" x14ac:dyDescent="0.25">
      <c r="A1258" s="162">
        <v>24398</v>
      </c>
      <c r="B1258" s="164">
        <v>4.84</v>
      </c>
      <c r="C1258" s="164"/>
      <c r="D1258" s="164"/>
      <c r="E1258" s="164"/>
      <c r="J1258" s="157">
        <v>31401</v>
      </c>
      <c r="K1258" s="158">
        <v>9.58</v>
      </c>
    </row>
    <row r="1259" spans="1:11" x14ac:dyDescent="0.25">
      <c r="A1259" s="162">
        <v>24399</v>
      </c>
      <c r="B1259" s="163">
        <v>4.84</v>
      </c>
      <c r="C1259" s="163"/>
      <c r="D1259" s="163"/>
      <c r="E1259" s="163"/>
      <c r="J1259" s="157">
        <v>31408</v>
      </c>
      <c r="K1259" s="158">
        <v>9.5299999999999994</v>
      </c>
    </row>
    <row r="1260" spans="1:11" x14ac:dyDescent="0.25">
      <c r="A1260" s="162">
        <v>24400</v>
      </c>
      <c r="B1260" s="163">
        <v>4.84</v>
      </c>
      <c r="C1260" s="163"/>
      <c r="D1260" s="163"/>
      <c r="E1260" s="163"/>
      <c r="J1260" s="157">
        <v>31415</v>
      </c>
      <c r="K1260" s="158">
        <v>9.52</v>
      </c>
    </row>
    <row r="1261" spans="1:11" x14ac:dyDescent="0.25">
      <c r="A1261" s="162">
        <v>24401</v>
      </c>
      <c r="B1261" s="163">
        <v>4.74</v>
      </c>
      <c r="C1261" s="163"/>
      <c r="D1261" s="163"/>
      <c r="E1261" s="163"/>
      <c r="J1261" s="157">
        <v>31422</v>
      </c>
      <c r="K1261" s="158">
        <v>9.57</v>
      </c>
    </row>
    <row r="1262" spans="1:11" x14ac:dyDescent="0.25">
      <c r="A1262" s="162">
        <v>24404</v>
      </c>
      <c r="B1262" s="163">
        <v>4.7300000000000004</v>
      </c>
      <c r="C1262" s="163"/>
      <c r="D1262" s="163"/>
      <c r="E1262" s="163"/>
      <c r="J1262" s="157">
        <v>31429</v>
      </c>
      <c r="K1262" s="158">
        <v>9.6999999999999993</v>
      </c>
    </row>
    <row r="1263" spans="1:11" x14ac:dyDescent="0.25">
      <c r="A1263" s="162">
        <v>24405</v>
      </c>
      <c r="B1263" s="163">
        <v>4.72</v>
      </c>
      <c r="C1263" s="163"/>
      <c r="D1263" s="163"/>
      <c r="E1263" s="163"/>
      <c r="J1263" s="157">
        <v>31436</v>
      </c>
      <c r="K1263" s="158">
        <v>9.64</v>
      </c>
    </row>
    <row r="1264" spans="1:11" x14ac:dyDescent="0.25">
      <c r="A1264" s="162">
        <v>24406</v>
      </c>
      <c r="B1264" s="163">
        <v>4.75</v>
      </c>
      <c r="C1264" s="163"/>
      <c r="D1264" s="163"/>
      <c r="E1264" s="163"/>
      <c r="J1264" s="157">
        <v>31443</v>
      </c>
      <c r="K1264" s="158">
        <v>9.48</v>
      </c>
    </row>
    <row r="1265" spans="1:11" x14ac:dyDescent="0.25">
      <c r="A1265" s="162">
        <v>24407</v>
      </c>
      <c r="B1265" s="163">
        <v>4.7699999999999996</v>
      </c>
      <c r="C1265" s="163"/>
      <c r="D1265" s="163"/>
      <c r="E1265" s="163"/>
      <c r="J1265" s="157">
        <v>31450</v>
      </c>
      <c r="K1265" s="158">
        <v>9.43</v>
      </c>
    </row>
    <row r="1266" spans="1:11" x14ac:dyDescent="0.25">
      <c r="A1266" s="162">
        <v>24408</v>
      </c>
      <c r="B1266" s="163">
        <v>4.76</v>
      </c>
      <c r="C1266" s="163"/>
      <c r="D1266" s="163"/>
      <c r="E1266" s="163"/>
      <c r="J1266" s="157">
        <v>31457</v>
      </c>
      <c r="K1266" s="158">
        <v>9.3000000000000007</v>
      </c>
    </row>
    <row r="1267" spans="1:11" x14ac:dyDescent="0.25">
      <c r="A1267" s="162">
        <v>24411</v>
      </c>
      <c r="B1267" s="163">
        <v>4.76</v>
      </c>
      <c r="C1267" s="163"/>
      <c r="D1267" s="163"/>
      <c r="E1267" s="163"/>
      <c r="J1267" s="157">
        <v>31464</v>
      </c>
      <c r="K1267" s="158">
        <v>9.01</v>
      </c>
    </row>
    <row r="1268" spans="1:11" x14ac:dyDescent="0.25">
      <c r="A1268" s="162">
        <v>24412</v>
      </c>
      <c r="B1268" s="163">
        <v>4.7699999999999996</v>
      </c>
      <c r="C1268" s="163"/>
      <c r="D1268" s="163"/>
      <c r="E1268" s="163"/>
      <c r="J1268" s="157">
        <v>31471</v>
      </c>
      <c r="K1268" s="158">
        <v>8.56</v>
      </c>
    </row>
    <row r="1269" spans="1:11" x14ac:dyDescent="0.25">
      <c r="A1269" s="162">
        <v>24413</v>
      </c>
      <c r="B1269" s="163">
        <v>4.82</v>
      </c>
      <c r="C1269" s="163"/>
      <c r="D1269" s="163"/>
      <c r="E1269" s="163"/>
      <c r="J1269" s="157">
        <v>31478</v>
      </c>
      <c r="K1269" s="158">
        <v>8.31</v>
      </c>
    </row>
    <row r="1270" spans="1:11" x14ac:dyDescent="0.25">
      <c r="A1270" s="162">
        <v>24414</v>
      </c>
      <c r="B1270" s="163">
        <v>4.83</v>
      </c>
      <c r="C1270" s="163"/>
      <c r="D1270" s="163"/>
      <c r="E1270" s="163"/>
      <c r="J1270" s="157">
        <v>31485</v>
      </c>
      <c r="K1270" s="158">
        <v>8.09</v>
      </c>
    </row>
    <row r="1271" spans="1:11" x14ac:dyDescent="0.25">
      <c r="A1271" s="162">
        <v>24415</v>
      </c>
      <c r="B1271" s="163">
        <v>4.8499999999999996</v>
      </c>
      <c r="C1271" s="163"/>
      <c r="D1271" s="163"/>
      <c r="E1271" s="163"/>
      <c r="J1271" s="157">
        <v>31492</v>
      </c>
      <c r="K1271" s="158">
        <v>8.14</v>
      </c>
    </row>
    <row r="1272" spans="1:11" x14ac:dyDescent="0.25">
      <c r="A1272" s="162">
        <v>24418</v>
      </c>
      <c r="B1272" s="163">
        <v>4.84</v>
      </c>
      <c r="C1272" s="163"/>
      <c r="D1272" s="163"/>
      <c r="E1272" s="163"/>
      <c r="J1272" s="157">
        <v>31499</v>
      </c>
      <c r="K1272" s="158">
        <v>7.93</v>
      </c>
    </row>
    <row r="1273" spans="1:11" x14ac:dyDescent="0.25">
      <c r="A1273" s="162">
        <v>24419</v>
      </c>
      <c r="B1273" s="163" t="e">
        <f>NA()</f>
        <v>#N/A</v>
      </c>
      <c r="C1273" s="163"/>
      <c r="D1273" s="163"/>
      <c r="E1273" s="163"/>
      <c r="J1273" s="157">
        <v>31506</v>
      </c>
      <c r="K1273" s="158">
        <v>7.54</v>
      </c>
    </row>
    <row r="1274" spans="1:11" x14ac:dyDescent="0.25">
      <c r="A1274" s="162">
        <v>24420</v>
      </c>
      <c r="B1274" s="163">
        <v>4.8499999999999996</v>
      </c>
      <c r="C1274" s="163"/>
      <c r="D1274" s="163"/>
      <c r="E1274" s="163"/>
      <c r="J1274" s="157">
        <v>31513</v>
      </c>
      <c r="K1274" s="158">
        <v>7.5</v>
      </c>
    </row>
    <row r="1275" spans="1:11" x14ac:dyDescent="0.25">
      <c r="A1275" s="162">
        <v>24421</v>
      </c>
      <c r="B1275" s="163">
        <v>4.8899999999999997</v>
      </c>
      <c r="C1275" s="163"/>
      <c r="D1275" s="163"/>
      <c r="E1275" s="163"/>
      <c r="J1275" s="157">
        <v>31520</v>
      </c>
      <c r="K1275" s="158">
        <v>7.33</v>
      </c>
    </row>
    <row r="1276" spans="1:11" x14ac:dyDescent="0.25">
      <c r="A1276" s="162">
        <v>24422</v>
      </c>
      <c r="B1276" s="163" t="e">
        <f>NA()</f>
        <v>#N/A</v>
      </c>
      <c r="C1276" s="163"/>
      <c r="D1276" s="163"/>
      <c r="E1276" s="163"/>
      <c r="J1276" s="157">
        <v>31527</v>
      </c>
      <c r="K1276" s="158">
        <v>7.57</v>
      </c>
    </row>
    <row r="1277" spans="1:11" x14ac:dyDescent="0.25">
      <c r="A1277" s="162">
        <v>24425</v>
      </c>
      <c r="B1277" s="163">
        <v>4.9000000000000004</v>
      </c>
      <c r="C1277" s="163"/>
      <c r="D1277" s="163"/>
      <c r="E1277" s="163"/>
      <c r="J1277" s="157">
        <v>31534</v>
      </c>
      <c r="K1277" s="158">
        <v>7.62</v>
      </c>
    </row>
    <row r="1278" spans="1:11" x14ac:dyDescent="0.25">
      <c r="A1278" s="162">
        <v>24426</v>
      </c>
      <c r="B1278" s="163">
        <v>4.9000000000000004</v>
      </c>
      <c r="C1278" s="163"/>
      <c r="D1278" s="163"/>
      <c r="E1278" s="163"/>
      <c r="J1278" s="157">
        <v>31541</v>
      </c>
      <c r="K1278" s="158">
        <v>7.66</v>
      </c>
    </row>
    <row r="1279" spans="1:11" x14ac:dyDescent="0.25">
      <c r="A1279" s="162">
        <v>24427</v>
      </c>
      <c r="B1279" s="163">
        <v>4.9000000000000004</v>
      </c>
      <c r="C1279" s="163"/>
      <c r="D1279" s="163"/>
      <c r="E1279" s="163"/>
      <c r="J1279" s="157">
        <v>31548</v>
      </c>
      <c r="K1279" s="158">
        <v>7.92</v>
      </c>
    </row>
    <row r="1280" spans="1:11" x14ac:dyDescent="0.25">
      <c r="A1280" s="162">
        <v>24428</v>
      </c>
      <c r="B1280" s="163">
        <v>4.9000000000000004</v>
      </c>
      <c r="C1280" s="163"/>
      <c r="D1280" s="163"/>
      <c r="E1280" s="163"/>
      <c r="J1280" s="157">
        <v>31555</v>
      </c>
      <c r="K1280" s="158">
        <v>7.95</v>
      </c>
    </row>
    <row r="1281" spans="1:11" x14ac:dyDescent="0.25">
      <c r="A1281" s="162">
        <v>24429</v>
      </c>
      <c r="B1281" s="163">
        <v>4.91</v>
      </c>
      <c r="C1281" s="163"/>
      <c r="D1281" s="163"/>
      <c r="E1281" s="163"/>
      <c r="J1281" s="157">
        <v>31562</v>
      </c>
      <c r="K1281" s="158">
        <v>7.75</v>
      </c>
    </row>
    <row r="1282" spans="1:11" x14ac:dyDescent="0.25">
      <c r="A1282" s="162">
        <v>24432</v>
      </c>
      <c r="B1282" s="163">
        <v>4.88</v>
      </c>
      <c r="C1282" s="163"/>
      <c r="D1282" s="163"/>
      <c r="E1282" s="163"/>
      <c r="J1282" s="157">
        <v>31569</v>
      </c>
      <c r="K1282" s="158">
        <v>8.0500000000000007</v>
      </c>
    </row>
    <row r="1283" spans="1:11" x14ac:dyDescent="0.25">
      <c r="A1283" s="162">
        <v>24433</v>
      </c>
      <c r="B1283" s="163">
        <v>4.8899999999999997</v>
      </c>
      <c r="C1283" s="163"/>
      <c r="D1283" s="163"/>
      <c r="E1283" s="163"/>
      <c r="J1283" s="157">
        <v>31576</v>
      </c>
      <c r="K1283" s="158">
        <v>7.85</v>
      </c>
    </row>
    <row r="1284" spans="1:11" x14ac:dyDescent="0.25">
      <c r="A1284" s="162">
        <v>24434</v>
      </c>
      <c r="B1284" s="163">
        <v>4.9000000000000004</v>
      </c>
      <c r="C1284" s="163"/>
      <c r="D1284" s="163"/>
      <c r="E1284" s="163"/>
      <c r="J1284" s="157">
        <v>31583</v>
      </c>
      <c r="K1284" s="158">
        <v>7.54</v>
      </c>
    </row>
    <row r="1285" spans="1:11" x14ac:dyDescent="0.25">
      <c r="A1285" s="162">
        <v>24435</v>
      </c>
      <c r="B1285" s="163" t="e">
        <f>NA()</f>
        <v>#N/A</v>
      </c>
      <c r="C1285" s="163"/>
      <c r="D1285" s="163"/>
      <c r="E1285" s="163"/>
      <c r="J1285" s="157">
        <v>31590</v>
      </c>
      <c r="K1285" s="158">
        <v>7.4</v>
      </c>
    </row>
    <row r="1286" spans="1:11" x14ac:dyDescent="0.25">
      <c r="A1286" s="162">
        <v>24436</v>
      </c>
      <c r="B1286" s="163">
        <v>4.91</v>
      </c>
      <c r="C1286" s="163"/>
      <c r="D1286" s="163"/>
      <c r="E1286" s="163"/>
      <c r="J1286" s="157">
        <v>31597</v>
      </c>
      <c r="K1286" s="158">
        <v>7.29</v>
      </c>
    </row>
    <row r="1287" spans="1:11" x14ac:dyDescent="0.25">
      <c r="A1287" s="162">
        <v>24439</v>
      </c>
      <c r="B1287" s="163">
        <v>4.9000000000000004</v>
      </c>
      <c r="C1287" s="163"/>
      <c r="D1287" s="163"/>
      <c r="E1287" s="163"/>
      <c r="J1287" s="157">
        <v>31604</v>
      </c>
      <c r="K1287" s="158">
        <v>7.26</v>
      </c>
    </row>
    <row r="1288" spans="1:11" x14ac:dyDescent="0.25">
      <c r="A1288" s="162">
        <v>24440</v>
      </c>
      <c r="B1288" s="163">
        <v>4.88</v>
      </c>
      <c r="C1288" s="163"/>
      <c r="D1288" s="163"/>
      <c r="E1288" s="163"/>
      <c r="J1288" s="157">
        <v>31611</v>
      </c>
      <c r="K1288" s="158">
        <v>7.18</v>
      </c>
    </row>
    <row r="1289" spans="1:11" x14ac:dyDescent="0.25">
      <c r="A1289" s="162">
        <v>24441</v>
      </c>
      <c r="B1289" s="164">
        <v>4.87</v>
      </c>
      <c r="C1289" s="164"/>
      <c r="D1289" s="164"/>
      <c r="E1289" s="164"/>
      <c r="J1289" s="157">
        <v>31618</v>
      </c>
      <c r="K1289" s="158">
        <v>7.3</v>
      </c>
    </row>
    <row r="1290" spans="1:11" x14ac:dyDescent="0.25">
      <c r="A1290" s="162">
        <v>24442</v>
      </c>
      <c r="B1290" s="163">
        <v>4.8600000000000003</v>
      </c>
      <c r="C1290" s="163"/>
      <c r="D1290" s="163"/>
      <c r="E1290" s="163"/>
      <c r="J1290" s="157">
        <v>31625</v>
      </c>
      <c r="K1290" s="158">
        <v>7.47</v>
      </c>
    </row>
    <row r="1291" spans="1:11" x14ac:dyDescent="0.25">
      <c r="A1291" s="162">
        <v>24443</v>
      </c>
      <c r="B1291" s="163">
        <v>4.8499999999999996</v>
      </c>
      <c r="C1291" s="163"/>
      <c r="D1291" s="163"/>
      <c r="E1291" s="163"/>
      <c r="J1291" s="157">
        <v>31632</v>
      </c>
      <c r="K1291" s="158">
        <v>7.47</v>
      </c>
    </row>
    <row r="1292" spans="1:11" x14ac:dyDescent="0.25">
      <c r="A1292" s="162">
        <v>24446</v>
      </c>
      <c r="B1292" s="163">
        <v>4.8600000000000003</v>
      </c>
      <c r="C1292" s="163"/>
      <c r="D1292" s="163"/>
      <c r="E1292" s="163"/>
      <c r="J1292" s="157">
        <v>31639</v>
      </c>
      <c r="K1292" s="158">
        <v>7.28</v>
      </c>
    </row>
    <row r="1293" spans="1:11" x14ac:dyDescent="0.25">
      <c r="A1293" s="162">
        <v>24447</v>
      </c>
      <c r="B1293" s="163">
        <v>4.87</v>
      </c>
      <c r="C1293" s="163"/>
      <c r="D1293" s="163"/>
      <c r="E1293" s="163"/>
      <c r="J1293" s="157">
        <v>31646</v>
      </c>
      <c r="K1293" s="158">
        <v>7.18</v>
      </c>
    </row>
    <row r="1294" spans="1:11" x14ac:dyDescent="0.25">
      <c r="A1294" s="162">
        <v>24448</v>
      </c>
      <c r="B1294" s="163">
        <v>4.8899999999999997</v>
      </c>
      <c r="C1294" s="163"/>
      <c r="D1294" s="163"/>
      <c r="E1294" s="163"/>
      <c r="J1294" s="157">
        <v>31653</v>
      </c>
      <c r="K1294" s="158">
        <v>7.17</v>
      </c>
    </row>
    <row r="1295" spans="1:11" x14ac:dyDescent="0.25">
      <c r="A1295" s="162">
        <v>24449</v>
      </c>
      <c r="B1295" s="163">
        <v>4.92</v>
      </c>
      <c r="C1295" s="163"/>
      <c r="D1295" s="163"/>
      <c r="E1295" s="163"/>
      <c r="J1295" s="157">
        <v>31660</v>
      </c>
      <c r="K1295" s="158">
        <v>7.33</v>
      </c>
    </row>
    <row r="1296" spans="1:11" x14ac:dyDescent="0.25">
      <c r="A1296" s="162">
        <v>24450</v>
      </c>
      <c r="B1296" s="163">
        <v>4.8899999999999997</v>
      </c>
      <c r="C1296" s="163"/>
      <c r="D1296" s="163"/>
      <c r="E1296" s="163"/>
      <c r="J1296" s="157">
        <v>31667</v>
      </c>
      <c r="K1296" s="158">
        <v>7.57</v>
      </c>
    </row>
    <row r="1297" spans="1:11" x14ac:dyDescent="0.25">
      <c r="A1297" s="162">
        <v>24453</v>
      </c>
      <c r="B1297" s="163">
        <v>4.82</v>
      </c>
      <c r="C1297" s="163"/>
      <c r="D1297" s="163"/>
      <c r="E1297" s="163"/>
      <c r="J1297" s="157">
        <v>31674</v>
      </c>
      <c r="K1297" s="158">
        <v>7.66</v>
      </c>
    </row>
    <row r="1298" spans="1:11" x14ac:dyDescent="0.25">
      <c r="A1298" s="162">
        <v>24454</v>
      </c>
      <c r="B1298" s="163">
        <v>4.78</v>
      </c>
      <c r="C1298" s="163"/>
      <c r="D1298" s="163"/>
      <c r="E1298" s="163"/>
      <c r="J1298" s="157">
        <v>31681</v>
      </c>
      <c r="K1298" s="158">
        <v>7.64</v>
      </c>
    </row>
    <row r="1299" spans="1:11" x14ac:dyDescent="0.25">
      <c r="A1299" s="162">
        <v>24455</v>
      </c>
      <c r="B1299" s="163">
        <v>4.76</v>
      </c>
      <c r="C1299" s="163"/>
      <c r="D1299" s="163"/>
      <c r="E1299" s="163"/>
      <c r="J1299" s="157">
        <v>31688</v>
      </c>
      <c r="K1299" s="158">
        <v>7.55</v>
      </c>
    </row>
    <row r="1300" spans="1:11" x14ac:dyDescent="0.25">
      <c r="A1300" s="162">
        <v>24456</v>
      </c>
      <c r="B1300" s="163">
        <v>4.72</v>
      </c>
      <c r="C1300" s="163"/>
      <c r="D1300" s="163"/>
      <c r="E1300" s="163"/>
      <c r="J1300" s="157">
        <v>31695</v>
      </c>
      <c r="K1300" s="158">
        <v>7.5</v>
      </c>
    </row>
    <row r="1301" spans="1:11" x14ac:dyDescent="0.25">
      <c r="A1301" s="162">
        <v>24457</v>
      </c>
      <c r="B1301" s="163">
        <v>4.7300000000000004</v>
      </c>
      <c r="C1301" s="163"/>
      <c r="D1301" s="163"/>
      <c r="E1301" s="163"/>
      <c r="J1301" s="157">
        <v>31702</v>
      </c>
      <c r="K1301" s="158">
        <v>7.71</v>
      </c>
    </row>
    <row r="1302" spans="1:11" x14ac:dyDescent="0.25">
      <c r="A1302" s="162">
        <v>24460</v>
      </c>
      <c r="B1302" s="163">
        <v>4.71</v>
      </c>
      <c r="C1302" s="163"/>
      <c r="D1302" s="163"/>
      <c r="E1302" s="163"/>
      <c r="J1302" s="157">
        <v>31709</v>
      </c>
      <c r="K1302" s="158">
        <v>7.71</v>
      </c>
    </row>
    <row r="1303" spans="1:11" x14ac:dyDescent="0.25">
      <c r="A1303" s="162">
        <v>24461</v>
      </c>
      <c r="B1303" s="163">
        <v>4.68</v>
      </c>
      <c r="C1303" s="163"/>
      <c r="D1303" s="163"/>
      <c r="E1303" s="163"/>
      <c r="J1303" s="157">
        <v>31716</v>
      </c>
      <c r="K1303" s="158">
        <v>7.59</v>
      </c>
    </row>
    <row r="1304" spans="1:11" x14ac:dyDescent="0.25">
      <c r="A1304" s="162">
        <v>24462</v>
      </c>
      <c r="B1304" s="163">
        <v>4.68</v>
      </c>
      <c r="C1304" s="163"/>
      <c r="D1304" s="163"/>
      <c r="E1304" s="163"/>
      <c r="J1304" s="157">
        <v>31723</v>
      </c>
      <c r="K1304" s="158">
        <v>7.49</v>
      </c>
    </row>
    <row r="1305" spans="1:11" x14ac:dyDescent="0.25">
      <c r="A1305" s="162">
        <v>24463</v>
      </c>
      <c r="B1305" s="163">
        <v>4.68</v>
      </c>
      <c r="C1305" s="163"/>
      <c r="D1305" s="163"/>
      <c r="E1305" s="163"/>
      <c r="J1305" s="157">
        <v>31730</v>
      </c>
      <c r="K1305" s="158">
        <v>7.49</v>
      </c>
    </row>
    <row r="1306" spans="1:11" x14ac:dyDescent="0.25">
      <c r="A1306" s="162">
        <v>24464</v>
      </c>
      <c r="B1306" s="163">
        <v>4.68</v>
      </c>
      <c r="C1306" s="163"/>
      <c r="D1306" s="163"/>
      <c r="E1306" s="163"/>
      <c r="J1306" s="157">
        <v>31737</v>
      </c>
      <c r="K1306" s="158">
        <v>7.38</v>
      </c>
    </row>
    <row r="1307" spans="1:11" x14ac:dyDescent="0.25">
      <c r="A1307" s="162">
        <v>24467</v>
      </c>
      <c r="B1307" s="163" t="e">
        <f>NA()</f>
        <v>#N/A</v>
      </c>
      <c r="C1307" s="163"/>
      <c r="D1307" s="163"/>
      <c r="E1307" s="163"/>
      <c r="J1307" s="157">
        <v>31744</v>
      </c>
      <c r="K1307" s="158">
        <v>7.31</v>
      </c>
    </row>
    <row r="1308" spans="1:11" x14ac:dyDescent="0.25">
      <c r="A1308" s="162">
        <v>24468</v>
      </c>
      <c r="B1308" s="163">
        <v>4.6900000000000004</v>
      </c>
      <c r="C1308" s="163"/>
      <c r="D1308" s="163"/>
      <c r="E1308" s="163"/>
      <c r="J1308" s="157">
        <v>31751</v>
      </c>
      <c r="K1308" s="158">
        <v>7.26</v>
      </c>
    </row>
    <row r="1309" spans="1:11" x14ac:dyDescent="0.25">
      <c r="A1309" s="162">
        <v>24469</v>
      </c>
      <c r="B1309" s="163">
        <v>4.6500000000000004</v>
      </c>
      <c r="C1309" s="163"/>
      <c r="D1309" s="163"/>
      <c r="E1309" s="163"/>
      <c r="J1309" s="157">
        <v>31758</v>
      </c>
      <c r="K1309" s="158">
        <v>7.26</v>
      </c>
    </row>
    <row r="1310" spans="1:11" x14ac:dyDescent="0.25">
      <c r="A1310" s="162">
        <v>24470</v>
      </c>
      <c r="B1310" s="163">
        <v>4.63</v>
      </c>
      <c r="C1310" s="163"/>
      <c r="D1310" s="163"/>
      <c r="E1310" s="163"/>
      <c r="J1310" s="157">
        <v>31765</v>
      </c>
      <c r="K1310" s="158">
        <v>7.29</v>
      </c>
    </row>
    <row r="1311" spans="1:11" x14ac:dyDescent="0.25">
      <c r="A1311" s="162">
        <v>24471</v>
      </c>
      <c r="B1311" s="163">
        <v>4.58</v>
      </c>
      <c r="C1311" s="163"/>
      <c r="D1311" s="163"/>
      <c r="E1311" s="163"/>
      <c r="J1311" s="157">
        <v>31772</v>
      </c>
      <c r="K1311" s="158">
        <v>7.25</v>
      </c>
    </row>
    <row r="1312" spans="1:11" x14ac:dyDescent="0.25">
      <c r="A1312" s="162">
        <v>24474</v>
      </c>
      <c r="B1312" s="163" t="e">
        <f>NA()</f>
        <v>#N/A</v>
      </c>
      <c r="C1312" s="163"/>
      <c r="D1312" s="163"/>
      <c r="E1312" s="163"/>
      <c r="J1312" s="157">
        <v>31779</v>
      </c>
      <c r="K1312" s="158">
        <v>7.36</v>
      </c>
    </row>
    <row r="1313" spans="1:11" x14ac:dyDescent="0.25">
      <c r="A1313" s="162">
        <v>24475</v>
      </c>
      <c r="B1313" s="163">
        <v>4.5999999999999996</v>
      </c>
      <c r="C1313" s="163"/>
      <c r="D1313" s="163"/>
      <c r="E1313" s="163"/>
      <c r="J1313" s="157">
        <v>31786</v>
      </c>
      <c r="K1313" s="158" t="e">
        <f>NA()</f>
        <v>#N/A</v>
      </c>
    </row>
    <row r="1314" spans="1:11" x14ac:dyDescent="0.25">
      <c r="A1314" s="162">
        <v>24476</v>
      </c>
      <c r="B1314" s="163">
        <v>4.5599999999999996</v>
      </c>
      <c r="C1314" s="163"/>
      <c r="D1314" s="163"/>
      <c r="E1314" s="163"/>
      <c r="J1314" s="157">
        <v>31793</v>
      </c>
      <c r="K1314" s="158" t="e">
        <f>NA()</f>
        <v>#N/A</v>
      </c>
    </row>
    <row r="1315" spans="1:11" x14ac:dyDescent="0.25">
      <c r="A1315" s="162">
        <v>24477</v>
      </c>
      <c r="B1315" s="163">
        <v>4.53</v>
      </c>
      <c r="C1315" s="163"/>
      <c r="D1315" s="163"/>
      <c r="E1315" s="163"/>
      <c r="J1315" s="157">
        <v>31800</v>
      </c>
      <c r="K1315" s="158" t="e">
        <f>NA()</f>
        <v>#N/A</v>
      </c>
    </row>
    <row r="1316" spans="1:11" x14ac:dyDescent="0.25">
      <c r="A1316" s="162">
        <v>24478</v>
      </c>
      <c r="B1316" s="163">
        <v>4.54</v>
      </c>
      <c r="C1316" s="163"/>
      <c r="D1316" s="163"/>
      <c r="E1316" s="163"/>
      <c r="J1316" s="157">
        <v>31807</v>
      </c>
      <c r="K1316" s="158" t="e">
        <f>NA()</f>
        <v>#N/A</v>
      </c>
    </row>
    <row r="1317" spans="1:11" x14ac:dyDescent="0.25">
      <c r="A1317" s="162">
        <v>24481</v>
      </c>
      <c r="B1317" s="163">
        <v>4.57</v>
      </c>
      <c r="C1317" s="163"/>
      <c r="D1317" s="163"/>
      <c r="E1317" s="163"/>
      <c r="J1317" s="157">
        <v>31814</v>
      </c>
      <c r="K1317" s="158" t="e">
        <f>NA()</f>
        <v>#N/A</v>
      </c>
    </row>
    <row r="1318" spans="1:11" x14ac:dyDescent="0.25">
      <c r="A1318" s="162">
        <v>24482</v>
      </c>
      <c r="B1318" s="164">
        <v>4.5599999999999996</v>
      </c>
      <c r="C1318" s="164"/>
      <c r="D1318" s="164"/>
      <c r="E1318" s="164"/>
      <c r="J1318" s="157">
        <v>31821</v>
      </c>
      <c r="K1318" s="158" t="e">
        <f>NA()</f>
        <v>#N/A</v>
      </c>
    </row>
    <row r="1319" spans="1:11" x14ac:dyDescent="0.25">
      <c r="A1319" s="162">
        <v>24483</v>
      </c>
      <c r="B1319" s="163">
        <v>4.45</v>
      </c>
      <c r="C1319" s="163"/>
      <c r="D1319" s="163"/>
      <c r="E1319" s="163"/>
      <c r="J1319" s="157">
        <v>31828</v>
      </c>
      <c r="K1319" s="158" t="e">
        <f>NA()</f>
        <v>#N/A</v>
      </c>
    </row>
    <row r="1320" spans="1:11" x14ac:dyDescent="0.25">
      <c r="A1320" s="162">
        <v>24484</v>
      </c>
      <c r="B1320" s="163">
        <v>4.47</v>
      </c>
      <c r="C1320" s="163"/>
      <c r="D1320" s="163"/>
      <c r="E1320" s="163"/>
      <c r="J1320" s="157">
        <v>31835</v>
      </c>
      <c r="K1320" s="158" t="e">
        <f>NA()</f>
        <v>#N/A</v>
      </c>
    </row>
    <row r="1321" spans="1:11" x14ac:dyDescent="0.25">
      <c r="A1321" s="162">
        <v>24485</v>
      </c>
      <c r="B1321" s="163">
        <v>4.45</v>
      </c>
      <c r="C1321" s="163"/>
      <c r="D1321" s="163"/>
      <c r="E1321" s="163"/>
      <c r="J1321" s="157">
        <v>31842</v>
      </c>
      <c r="K1321" s="158" t="e">
        <f>NA()</f>
        <v>#N/A</v>
      </c>
    </row>
    <row r="1322" spans="1:11" x14ac:dyDescent="0.25">
      <c r="A1322" s="162">
        <v>24488</v>
      </c>
      <c r="B1322" s="163">
        <v>4.4400000000000004</v>
      </c>
      <c r="C1322" s="163"/>
      <c r="D1322" s="163"/>
      <c r="E1322" s="163"/>
      <c r="J1322" s="157">
        <v>31849</v>
      </c>
      <c r="K1322" s="158" t="e">
        <f>NA()</f>
        <v>#N/A</v>
      </c>
    </row>
    <row r="1323" spans="1:11" x14ac:dyDescent="0.25">
      <c r="A1323" s="162">
        <v>24489</v>
      </c>
      <c r="B1323" s="163">
        <v>4.45</v>
      </c>
      <c r="C1323" s="163"/>
      <c r="D1323" s="163"/>
      <c r="E1323" s="163"/>
      <c r="J1323" s="157">
        <v>31856</v>
      </c>
      <c r="K1323" s="158" t="e">
        <f>NA()</f>
        <v>#N/A</v>
      </c>
    </row>
    <row r="1324" spans="1:11" x14ac:dyDescent="0.25">
      <c r="A1324" s="162">
        <v>24490</v>
      </c>
      <c r="B1324" s="163">
        <v>4.47</v>
      </c>
      <c r="C1324" s="163"/>
      <c r="D1324" s="163"/>
      <c r="E1324" s="163"/>
      <c r="J1324" s="157">
        <v>31863</v>
      </c>
      <c r="K1324" s="158" t="e">
        <f>NA()</f>
        <v>#N/A</v>
      </c>
    </row>
    <row r="1325" spans="1:11" x14ac:dyDescent="0.25">
      <c r="A1325" s="162">
        <v>24491</v>
      </c>
      <c r="B1325" s="163">
        <v>4.5</v>
      </c>
      <c r="C1325" s="163"/>
      <c r="D1325" s="163"/>
      <c r="E1325" s="163"/>
      <c r="J1325" s="157">
        <v>31870</v>
      </c>
      <c r="K1325" s="158" t="e">
        <f>NA()</f>
        <v>#N/A</v>
      </c>
    </row>
    <row r="1326" spans="1:11" x14ac:dyDescent="0.25">
      <c r="A1326" s="162">
        <v>24492</v>
      </c>
      <c r="B1326" s="163">
        <v>4.5199999999999996</v>
      </c>
      <c r="C1326" s="163"/>
      <c r="D1326" s="163"/>
      <c r="E1326" s="163"/>
      <c r="J1326" s="157">
        <v>31877</v>
      </c>
      <c r="K1326" s="158" t="e">
        <f>NA()</f>
        <v>#N/A</v>
      </c>
    </row>
    <row r="1327" spans="1:11" x14ac:dyDescent="0.25">
      <c r="A1327" s="162">
        <v>24495</v>
      </c>
      <c r="B1327" s="163">
        <v>4.53</v>
      </c>
      <c r="C1327" s="163"/>
      <c r="D1327" s="163"/>
      <c r="E1327" s="163"/>
      <c r="J1327" s="157">
        <v>31884</v>
      </c>
      <c r="K1327" s="158" t="e">
        <f>NA()</f>
        <v>#N/A</v>
      </c>
    </row>
    <row r="1328" spans="1:11" x14ac:dyDescent="0.25">
      <c r="A1328" s="162">
        <v>24496</v>
      </c>
      <c r="B1328" s="163">
        <v>4.55</v>
      </c>
      <c r="C1328" s="163"/>
      <c r="D1328" s="163"/>
      <c r="E1328" s="163"/>
      <c r="J1328" s="157">
        <v>31891</v>
      </c>
      <c r="K1328" s="158" t="e">
        <f>NA()</f>
        <v>#N/A</v>
      </c>
    </row>
    <row r="1329" spans="1:11" x14ac:dyDescent="0.25">
      <c r="A1329" s="162">
        <v>24497</v>
      </c>
      <c r="B1329" s="163">
        <v>4.5599999999999996</v>
      </c>
      <c r="C1329" s="163"/>
      <c r="D1329" s="163"/>
      <c r="E1329" s="163"/>
      <c r="J1329" s="157">
        <v>31898</v>
      </c>
      <c r="K1329" s="158" t="e">
        <f>NA()</f>
        <v>#N/A</v>
      </c>
    </row>
    <row r="1330" spans="1:11" x14ac:dyDescent="0.25">
      <c r="A1330" s="162">
        <v>24498</v>
      </c>
      <c r="B1330" s="163">
        <v>4.46</v>
      </c>
      <c r="C1330" s="163"/>
      <c r="D1330" s="163"/>
      <c r="E1330" s="163"/>
      <c r="J1330" s="157">
        <v>31905</v>
      </c>
      <c r="K1330" s="158" t="e">
        <f>NA()</f>
        <v>#N/A</v>
      </c>
    </row>
    <row r="1331" spans="1:11" x14ac:dyDescent="0.25">
      <c r="A1331" s="162">
        <v>24499</v>
      </c>
      <c r="B1331" s="163">
        <v>4.47</v>
      </c>
      <c r="C1331" s="163"/>
      <c r="D1331" s="163"/>
      <c r="E1331" s="163"/>
      <c r="J1331" s="157">
        <v>31912</v>
      </c>
      <c r="K1331" s="158" t="e">
        <f>NA()</f>
        <v>#N/A</v>
      </c>
    </row>
    <row r="1332" spans="1:11" x14ac:dyDescent="0.25">
      <c r="A1332" s="162">
        <v>24502</v>
      </c>
      <c r="B1332" s="163">
        <v>4.47</v>
      </c>
      <c r="C1332" s="163"/>
      <c r="D1332" s="163"/>
      <c r="E1332" s="163"/>
      <c r="J1332" s="157">
        <v>31919</v>
      </c>
      <c r="K1332" s="158" t="e">
        <f>NA()</f>
        <v>#N/A</v>
      </c>
    </row>
    <row r="1333" spans="1:11" x14ac:dyDescent="0.25">
      <c r="A1333" s="162">
        <v>24503</v>
      </c>
      <c r="B1333" s="163">
        <v>4.4800000000000004</v>
      </c>
      <c r="C1333" s="163"/>
      <c r="D1333" s="163"/>
      <c r="E1333" s="163"/>
      <c r="J1333" s="157">
        <v>31926</v>
      </c>
      <c r="K1333" s="158" t="e">
        <f>NA()</f>
        <v>#N/A</v>
      </c>
    </row>
    <row r="1334" spans="1:11" x14ac:dyDescent="0.25">
      <c r="A1334" s="162">
        <v>24504</v>
      </c>
      <c r="B1334" s="163">
        <v>4.5</v>
      </c>
      <c r="C1334" s="163"/>
      <c r="D1334" s="163"/>
      <c r="E1334" s="163"/>
      <c r="J1334" s="157">
        <v>31933</v>
      </c>
      <c r="K1334" s="158" t="e">
        <f>NA()</f>
        <v>#N/A</v>
      </c>
    </row>
    <row r="1335" spans="1:11" x14ac:dyDescent="0.25">
      <c r="A1335" s="162">
        <v>24505</v>
      </c>
      <c r="B1335" s="163">
        <v>4.5</v>
      </c>
      <c r="C1335" s="163"/>
      <c r="D1335" s="163"/>
      <c r="E1335" s="163"/>
      <c r="J1335" s="157">
        <v>31940</v>
      </c>
      <c r="K1335" s="158" t="e">
        <f>NA()</f>
        <v>#N/A</v>
      </c>
    </row>
    <row r="1336" spans="1:11" x14ac:dyDescent="0.25">
      <c r="A1336" s="162">
        <v>24506</v>
      </c>
      <c r="B1336" s="163">
        <v>4.5</v>
      </c>
      <c r="C1336" s="163"/>
      <c r="D1336" s="163"/>
      <c r="E1336" s="163"/>
      <c r="J1336" s="157">
        <v>31947</v>
      </c>
      <c r="K1336" s="158" t="e">
        <f>NA()</f>
        <v>#N/A</v>
      </c>
    </row>
    <row r="1337" spans="1:11" x14ac:dyDescent="0.25">
      <c r="A1337" s="162">
        <v>24509</v>
      </c>
      <c r="B1337" s="163">
        <v>4.5199999999999996</v>
      </c>
      <c r="C1337" s="163"/>
      <c r="D1337" s="163"/>
      <c r="E1337" s="163"/>
      <c r="J1337" s="157">
        <v>31954</v>
      </c>
      <c r="K1337" s="158" t="e">
        <f>NA()</f>
        <v>#N/A</v>
      </c>
    </row>
    <row r="1338" spans="1:11" x14ac:dyDescent="0.25">
      <c r="A1338" s="162">
        <v>24510</v>
      </c>
      <c r="B1338" s="163">
        <v>4.53</v>
      </c>
      <c r="C1338" s="163"/>
      <c r="D1338" s="163"/>
      <c r="E1338" s="163"/>
      <c r="J1338" s="157">
        <v>31961</v>
      </c>
      <c r="K1338" s="158" t="e">
        <f>NA()</f>
        <v>#N/A</v>
      </c>
    </row>
    <row r="1339" spans="1:11" x14ac:dyDescent="0.25">
      <c r="A1339" s="162">
        <v>24511</v>
      </c>
      <c r="B1339" s="163">
        <v>4.54</v>
      </c>
      <c r="C1339" s="163"/>
      <c r="D1339" s="163"/>
      <c r="E1339" s="163"/>
      <c r="J1339" s="157">
        <v>31968</v>
      </c>
      <c r="K1339" s="158" t="e">
        <f>NA()</f>
        <v>#N/A</v>
      </c>
    </row>
    <row r="1340" spans="1:11" x14ac:dyDescent="0.25">
      <c r="A1340" s="162">
        <v>24512</v>
      </c>
      <c r="B1340" s="163">
        <v>4.54</v>
      </c>
      <c r="C1340" s="163"/>
      <c r="D1340" s="163"/>
      <c r="E1340" s="163"/>
      <c r="J1340" s="157">
        <v>31975</v>
      </c>
      <c r="K1340" s="158" t="e">
        <f>NA()</f>
        <v>#N/A</v>
      </c>
    </row>
    <row r="1341" spans="1:11" x14ac:dyDescent="0.25">
      <c r="A1341" s="162">
        <v>24513</v>
      </c>
      <c r="B1341" s="163">
        <v>4.58</v>
      </c>
      <c r="C1341" s="163"/>
      <c r="D1341" s="163"/>
      <c r="E1341" s="163"/>
      <c r="J1341" s="157">
        <v>31982</v>
      </c>
      <c r="K1341" s="158" t="e">
        <f>NA()</f>
        <v>#N/A</v>
      </c>
    </row>
    <row r="1342" spans="1:11" x14ac:dyDescent="0.25">
      <c r="A1342" s="162">
        <v>24516</v>
      </c>
      <c r="B1342" s="163" t="e">
        <f>NA()</f>
        <v>#N/A</v>
      </c>
      <c r="C1342" s="163"/>
      <c r="D1342" s="163"/>
      <c r="E1342" s="163"/>
      <c r="J1342" s="157">
        <v>31989</v>
      </c>
      <c r="K1342" s="158" t="e">
        <f>NA()</f>
        <v>#N/A</v>
      </c>
    </row>
    <row r="1343" spans="1:11" x14ac:dyDescent="0.25">
      <c r="A1343" s="162">
        <v>24517</v>
      </c>
      <c r="B1343" s="163">
        <v>4.62</v>
      </c>
      <c r="C1343" s="163"/>
      <c r="D1343" s="163"/>
      <c r="E1343" s="163"/>
      <c r="J1343" s="157">
        <v>31996</v>
      </c>
      <c r="K1343" s="158" t="e">
        <f>NA()</f>
        <v>#N/A</v>
      </c>
    </row>
    <row r="1344" spans="1:11" x14ac:dyDescent="0.25">
      <c r="A1344" s="162">
        <v>24518</v>
      </c>
      <c r="B1344" s="163">
        <v>4.6500000000000004</v>
      </c>
      <c r="C1344" s="163"/>
      <c r="D1344" s="163"/>
      <c r="E1344" s="163"/>
      <c r="J1344" s="157">
        <v>32003</v>
      </c>
      <c r="K1344" s="158" t="e">
        <f>NA()</f>
        <v>#N/A</v>
      </c>
    </row>
    <row r="1345" spans="1:11" x14ac:dyDescent="0.25">
      <c r="A1345" s="162">
        <v>24519</v>
      </c>
      <c r="B1345" s="163">
        <v>4.6399999999999997</v>
      </c>
      <c r="C1345" s="163"/>
      <c r="D1345" s="163"/>
      <c r="E1345" s="163"/>
      <c r="J1345" s="157">
        <v>32010</v>
      </c>
      <c r="K1345" s="158" t="e">
        <f>NA()</f>
        <v>#N/A</v>
      </c>
    </row>
    <row r="1346" spans="1:11" x14ac:dyDescent="0.25">
      <c r="A1346" s="162">
        <v>24520</v>
      </c>
      <c r="B1346" s="163">
        <v>4.6500000000000004</v>
      </c>
      <c r="C1346" s="163"/>
      <c r="D1346" s="163"/>
      <c r="E1346" s="163"/>
      <c r="J1346" s="157">
        <v>32017</v>
      </c>
      <c r="K1346" s="158" t="e">
        <f>NA()</f>
        <v>#N/A</v>
      </c>
    </row>
    <row r="1347" spans="1:11" x14ac:dyDescent="0.25">
      <c r="A1347" s="162">
        <v>24523</v>
      </c>
      <c r="B1347" s="163">
        <v>4.68</v>
      </c>
      <c r="C1347" s="163"/>
      <c r="D1347" s="163"/>
      <c r="E1347" s="163"/>
      <c r="J1347" s="157">
        <v>32024</v>
      </c>
      <c r="K1347" s="158" t="e">
        <f>NA()</f>
        <v>#N/A</v>
      </c>
    </row>
    <row r="1348" spans="1:11" x14ac:dyDescent="0.25">
      <c r="A1348" s="162">
        <v>24524</v>
      </c>
      <c r="B1348" s="163">
        <v>4.7</v>
      </c>
      <c r="C1348" s="163"/>
      <c r="D1348" s="163"/>
      <c r="E1348" s="163"/>
      <c r="J1348" s="157">
        <v>32031</v>
      </c>
      <c r="K1348" s="158" t="e">
        <f>NA()</f>
        <v>#N/A</v>
      </c>
    </row>
    <row r="1349" spans="1:11" x14ac:dyDescent="0.25">
      <c r="A1349" s="162">
        <v>24525</v>
      </c>
      <c r="B1349" s="163" t="e">
        <f>NA()</f>
        <v>#N/A</v>
      </c>
      <c r="C1349" s="163"/>
      <c r="D1349" s="163"/>
      <c r="E1349" s="163"/>
      <c r="J1349" s="157">
        <v>32038</v>
      </c>
      <c r="K1349" s="158" t="e">
        <f>NA()</f>
        <v>#N/A</v>
      </c>
    </row>
    <row r="1350" spans="1:11" x14ac:dyDescent="0.25">
      <c r="A1350" s="162">
        <v>24526</v>
      </c>
      <c r="B1350" s="163">
        <v>4.7300000000000004</v>
      </c>
      <c r="C1350" s="163"/>
      <c r="D1350" s="163"/>
      <c r="E1350" s="163"/>
      <c r="J1350" s="157">
        <v>32045</v>
      </c>
      <c r="K1350" s="158" t="e">
        <f>NA()</f>
        <v>#N/A</v>
      </c>
    </row>
    <row r="1351" spans="1:11" x14ac:dyDescent="0.25">
      <c r="A1351" s="162">
        <v>24527</v>
      </c>
      <c r="B1351" s="163">
        <v>4.71</v>
      </c>
      <c r="C1351" s="163"/>
      <c r="D1351" s="163"/>
      <c r="E1351" s="163"/>
      <c r="J1351" s="157">
        <v>32052</v>
      </c>
      <c r="K1351" s="158" t="e">
        <f>NA()</f>
        <v>#N/A</v>
      </c>
    </row>
    <row r="1352" spans="1:11" x14ac:dyDescent="0.25">
      <c r="A1352" s="162">
        <v>24530</v>
      </c>
      <c r="B1352" s="163">
        <v>4.7</v>
      </c>
      <c r="C1352" s="163"/>
      <c r="D1352" s="163"/>
      <c r="E1352" s="163"/>
      <c r="J1352" s="157">
        <v>32059</v>
      </c>
      <c r="K1352" s="158" t="e">
        <f>NA()</f>
        <v>#N/A</v>
      </c>
    </row>
    <row r="1353" spans="1:11" x14ac:dyDescent="0.25">
      <c r="A1353" s="162">
        <v>24531</v>
      </c>
      <c r="B1353" s="163">
        <v>4.7</v>
      </c>
      <c r="C1353" s="163"/>
      <c r="D1353" s="163"/>
      <c r="E1353" s="163"/>
      <c r="J1353" s="157">
        <v>32066</v>
      </c>
      <c r="K1353" s="158" t="e">
        <f>NA()</f>
        <v>#N/A</v>
      </c>
    </row>
    <row r="1354" spans="1:11" x14ac:dyDescent="0.25">
      <c r="A1354" s="162">
        <v>24532</v>
      </c>
      <c r="B1354" s="163">
        <v>4.6500000000000004</v>
      </c>
      <c r="C1354" s="163"/>
      <c r="D1354" s="163"/>
      <c r="E1354" s="163"/>
      <c r="J1354" s="157">
        <v>32073</v>
      </c>
      <c r="K1354" s="158" t="e">
        <f>NA()</f>
        <v>#N/A</v>
      </c>
    </row>
    <row r="1355" spans="1:11" x14ac:dyDescent="0.25">
      <c r="A1355" s="162">
        <v>24533</v>
      </c>
      <c r="B1355" s="163">
        <v>4.62</v>
      </c>
      <c r="C1355" s="163"/>
      <c r="D1355" s="163"/>
      <c r="E1355" s="163"/>
      <c r="J1355" s="157">
        <v>32080</v>
      </c>
      <c r="K1355" s="158" t="e">
        <f>NA()</f>
        <v>#N/A</v>
      </c>
    </row>
    <row r="1356" spans="1:11" x14ac:dyDescent="0.25">
      <c r="A1356" s="162">
        <v>24534</v>
      </c>
      <c r="B1356" s="163">
        <v>4.6100000000000003</v>
      </c>
      <c r="C1356" s="163"/>
      <c r="D1356" s="163"/>
      <c r="E1356" s="163"/>
      <c r="J1356" s="157">
        <v>32087</v>
      </c>
      <c r="K1356" s="158" t="e">
        <f>NA()</f>
        <v>#N/A</v>
      </c>
    </row>
    <row r="1357" spans="1:11" x14ac:dyDescent="0.25">
      <c r="A1357" s="162">
        <v>24537</v>
      </c>
      <c r="B1357" s="163">
        <v>4.5999999999999996</v>
      </c>
      <c r="C1357" s="163"/>
      <c r="D1357" s="163"/>
      <c r="E1357" s="163"/>
      <c r="J1357" s="157">
        <v>32094</v>
      </c>
      <c r="K1357" s="158" t="e">
        <f>NA()</f>
        <v>#N/A</v>
      </c>
    </row>
    <row r="1358" spans="1:11" x14ac:dyDescent="0.25">
      <c r="A1358" s="162">
        <v>24538</v>
      </c>
      <c r="B1358" s="163">
        <v>4.59</v>
      </c>
      <c r="C1358" s="163"/>
      <c r="D1358" s="163"/>
      <c r="E1358" s="163"/>
      <c r="J1358" s="157">
        <v>32101</v>
      </c>
      <c r="K1358" s="158" t="e">
        <f>NA()</f>
        <v>#N/A</v>
      </c>
    </row>
    <row r="1359" spans="1:11" x14ac:dyDescent="0.25">
      <c r="A1359" s="162">
        <v>24539</v>
      </c>
      <c r="B1359" s="163">
        <v>4.5999999999999996</v>
      </c>
      <c r="C1359" s="163"/>
      <c r="D1359" s="163"/>
      <c r="E1359" s="163"/>
      <c r="J1359" s="157">
        <v>32108</v>
      </c>
      <c r="K1359" s="158" t="e">
        <f>NA()</f>
        <v>#N/A</v>
      </c>
    </row>
    <row r="1360" spans="1:11" x14ac:dyDescent="0.25">
      <c r="A1360" s="162">
        <v>24540</v>
      </c>
      <c r="B1360" s="163">
        <v>4.5599999999999996</v>
      </c>
      <c r="C1360" s="163"/>
      <c r="D1360" s="163"/>
      <c r="E1360" s="163"/>
      <c r="J1360" s="157">
        <v>32115</v>
      </c>
      <c r="K1360" s="158" t="e">
        <f>NA()</f>
        <v>#N/A</v>
      </c>
    </row>
    <row r="1361" spans="1:11" x14ac:dyDescent="0.25">
      <c r="A1361" s="162">
        <v>24541</v>
      </c>
      <c r="B1361" s="163">
        <v>4.57</v>
      </c>
      <c r="C1361" s="163"/>
      <c r="D1361" s="163"/>
      <c r="E1361" s="163"/>
      <c r="J1361" s="157">
        <v>32122</v>
      </c>
      <c r="K1361" s="158" t="e">
        <f>NA()</f>
        <v>#N/A</v>
      </c>
    </row>
    <row r="1362" spans="1:11" x14ac:dyDescent="0.25">
      <c r="A1362" s="162">
        <v>24544</v>
      </c>
      <c r="B1362" s="163">
        <v>4.5599999999999996</v>
      </c>
      <c r="C1362" s="163"/>
      <c r="D1362" s="163"/>
      <c r="E1362" s="163"/>
      <c r="J1362" s="157">
        <v>32129</v>
      </c>
      <c r="K1362" s="158" t="e">
        <f>NA()</f>
        <v>#N/A</v>
      </c>
    </row>
    <row r="1363" spans="1:11" x14ac:dyDescent="0.25">
      <c r="A1363" s="162">
        <v>24545</v>
      </c>
      <c r="B1363" s="163">
        <v>4.54</v>
      </c>
      <c r="C1363" s="163"/>
      <c r="D1363" s="163"/>
      <c r="E1363" s="163"/>
      <c r="J1363" s="157">
        <v>32136</v>
      </c>
      <c r="K1363" s="158" t="e">
        <f>NA()</f>
        <v>#N/A</v>
      </c>
    </row>
    <row r="1364" spans="1:11" x14ac:dyDescent="0.25">
      <c r="A1364" s="162">
        <v>24546</v>
      </c>
      <c r="B1364" s="164">
        <v>4.5199999999999996</v>
      </c>
      <c r="C1364" s="164"/>
      <c r="D1364" s="164"/>
      <c r="E1364" s="164"/>
      <c r="J1364" s="157">
        <v>32143</v>
      </c>
      <c r="K1364" s="158" t="e">
        <f>NA()</f>
        <v>#N/A</v>
      </c>
    </row>
    <row r="1365" spans="1:11" x14ac:dyDescent="0.25">
      <c r="A1365" s="162">
        <v>24547</v>
      </c>
      <c r="B1365" s="163">
        <v>4.5</v>
      </c>
      <c r="C1365" s="163"/>
      <c r="D1365" s="163"/>
      <c r="E1365" s="163"/>
      <c r="J1365" s="157">
        <v>32150</v>
      </c>
      <c r="K1365" s="158" t="e">
        <f>NA()</f>
        <v>#N/A</v>
      </c>
    </row>
    <row r="1366" spans="1:11" x14ac:dyDescent="0.25">
      <c r="A1366" s="162">
        <v>24548</v>
      </c>
      <c r="B1366" s="163">
        <v>4.5199999999999996</v>
      </c>
      <c r="C1366" s="163"/>
      <c r="D1366" s="163"/>
      <c r="E1366" s="163"/>
      <c r="J1366" s="157">
        <v>32157</v>
      </c>
      <c r="K1366" s="158" t="e">
        <f>NA()</f>
        <v>#N/A</v>
      </c>
    </row>
    <row r="1367" spans="1:11" x14ac:dyDescent="0.25">
      <c r="A1367" s="162">
        <v>24551</v>
      </c>
      <c r="B1367" s="163">
        <v>4.51</v>
      </c>
      <c r="C1367" s="163"/>
      <c r="D1367" s="163"/>
      <c r="E1367" s="163"/>
      <c r="J1367" s="157">
        <v>32164</v>
      </c>
      <c r="K1367" s="158" t="e">
        <f>NA()</f>
        <v>#N/A</v>
      </c>
    </row>
    <row r="1368" spans="1:11" x14ac:dyDescent="0.25">
      <c r="A1368" s="162">
        <v>24552</v>
      </c>
      <c r="B1368" s="163">
        <v>4.55</v>
      </c>
      <c r="C1368" s="163"/>
      <c r="D1368" s="163"/>
      <c r="E1368" s="163"/>
      <c r="J1368" s="157">
        <v>32171</v>
      </c>
      <c r="K1368" s="158" t="e">
        <f>NA()</f>
        <v>#N/A</v>
      </c>
    </row>
    <row r="1369" spans="1:11" x14ac:dyDescent="0.25">
      <c r="A1369" s="162">
        <v>24553</v>
      </c>
      <c r="B1369" s="163">
        <v>4.5599999999999996</v>
      </c>
      <c r="C1369" s="163"/>
      <c r="D1369" s="163"/>
      <c r="E1369" s="163"/>
      <c r="J1369" s="157">
        <v>32178</v>
      </c>
      <c r="K1369" s="158" t="e">
        <f>NA()</f>
        <v>#N/A</v>
      </c>
    </row>
    <row r="1370" spans="1:11" x14ac:dyDescent="0.25">
      <c r="A1370" s="162">
        <v>24554</v>
      </c>
      <c r="B1370" s="163">
        <v>4.54</v>
      </c>
      <c r="C1370" s="163"/>
      <c r="D1370" s="163"/>
      <c r="E1370" s="163"/>
      <c r="J1370" s="157">
        <v>32185</v>
      </c>
      <c r="K1370" s="158" t="e">
        <f>NA()</f>
        <v>#N/A</v>
      </c>
    </row>
    <row r="1371" spans="1:11" x14ac:dyDescent="0.25">
      <c r="A1371" s="162">
        <v>24555</v>
      </c>
      <c r="B1371" s="163" t="e">
        <f>NA()</f>
        <v>#N/A</v>
      </c>
      <c r="C1371" s="163"/>
      <c r="D1371" s="163"/>
      <c r="E1371" s="163"/>
      <c r="J1371" s="157">
        <v>32192</v>
      </c>
      <c r="K1371" s="158" t="e">
        <f>NA()</f>
        <v>#N/A</v>
      </c>
    </row>
    <row r="1372" spans="1:11" x14ac:dyDescent="0.25">
      <c r="A1372" s="162">
        <v>24558</v>
      </c>
      <c r="B1372" s="163">
        <v>4.5599999999999996</v>
      </c>
      <c r="C1372" s="163"/>
      <c r="D1372" s="163"/>
      <c r="E1372" s="163"/>
      <c r="J1372" s="157">
        <v>32199</v>
      </c>
      <c r="K1372" s="158" t="e">
        <f>NA()</f>
        <v>#N/A</v>
      </c>
    </row>
    <row r="1373" spans="1:11" x14ac:dyDescent="0.25">
      <c r="A1373" s="162">
        <v>24559</v>
      </c>
      <c r="B1373" s="163">
        <v>4.57</v>
      </c>
      <c r="C1373" s="163"/>
      <c r="D1373" s="163"/>
      <c r="E1373" s="163"/>
      <c r="J1373" s="157">
        <v>32206</v>
      </c>
      <c r="K1373" s="158" t="e">
        <f>NA()</f>
        <v>#N/A</v>
      </c>
    </row>
    <row r="1374" spans="1:11" x14ac:dyDescent="0.25">
      <c r="A1374" s="162">
        <v>24560</v>
      </c>
      <c r="B1374" s="163">
        <v>4.57</v>
      </c>
      <c r="C1374" s="163"/>
      <c r="D1374" s="163"/>
      <c r="E1374" s="163"/>
      <c r="J1374" s="157">
        <v>32213</v>
      </c>
      <c r="K1374" s="158" t="e">
        <f>NA()</f>
        <v>#N/A</v>
      </c>
    </row>
    <row r="1375" spans="1:11" x14ac:dyDescent="0.25">
      <c r="A1375" s="162">
        <v>24561</v>
      </c>
      <c r="B1375" s="163">
        <v>4.57</v>
      </c>
      <c r="C1375" s="163"/>
      <c r="D1375" s="163"/>
      <c r="E1375" s="163"/>
      <c r="J1375" s="157">
        <v>32220</v>
      </c>
      <c r="K1375" s="158" t="e">
        <f>NA()</f>
        <v>#N/A</v>
      </c>
    </row>
    <row r="1376" spans="1:11" x14ac:dyDescent="0.25">
      <c r="A1376" s="162">
        <v>24562</v>
      </c>
      <c r="B1376" s="163">
        <v>4.5599999999999996</v>
      </c>
      <c r="C1376" s="163"/>
      <c r="D1376" s="163"/>
      <c r="E1376" s="163"/>
      <c r="J1376" s="157">
        <v>32227</v>
      </c>
      <c r="K1376" s="158" t="e">
        <f>NA()</f>
        <v>#N/A</v>
      </c>
    </row>
    <row r="1377" spans="1:11" x14ac:dyDescent="0.25">
      <c r="A1377" s="162">
        <v>24565</v>
      </c>
      <c r="B1377" s="163">
        <v>4.5599999999999996</v>
      </c>
      <c r="C1377" s="163"/>
      <c r="D1377" s="163"/>
      <c r="E1377" s="163"/>
      <c r="J1377" s="157">
        <v>32234</v>
      </c>
      <c r="K1377" s="158" t="e">
        <f>NA()</f>
        <v>#N/A</v>
      </c>
    </row>
    <row r="1378" spans="1:11" x14ac:dyDescent="0.25">
      <c r="A1378" s="162">
        <v>24566</v>
      </c>
      <c r="B1378" s="163">
        <v>4.55</v>
      </c>
      <c r="C1378" s="163"/>
      <c r="D1378" s="163"/>
      <c r="E1378" s="163"/>
      <c r="J1378" s="157">
        <v>32241</v>
      </c>
      <c r="K1378" s="158" t="e">
        <f>NA()</f>
        <v>#N/A</v>
      </c>
    </row>
    <row r="1379" spans="1:11" x14ac:dyDescent="0.25">
      <c r="A1379" s="162">
        <v>24567</v>
      </c>
      <c r="B1379" s="163">
        <v>4.57</v>
      </c>
      <c r="C1379" s="163"/>
      <c r="D1379" s="163"/>
      <c r="E1379" s="163"/>
      <c r="J1379" s="157">
        <v>32248</v>
      </c>
      <c r="K1379" s="158" t="e">
        <f>NA()</f>
        <v>#N/A</v>
      </c>
    </row>
    <row r="1380" spans="1:11" x14ac:dyDescent="0.25">
      <c r="A1380" s="162">
        <v>24568</v>
      </c>
      <c r="B1380" s="163">
        <v>4.5599999999999996</v>
      </c>
      <c r="C1380" s="163"/>
      <c r="D1380" s="163"/>
      <c r="E1380" s="163"/>
      <c r="J1380" s="157">
        <v>32255</v>
      </c>
      <c r="K1380" s="158" t="e">
        <f>NA()</f>
        <v>#N/A</v>
      </c>
    </row>
    <row r="1381" spans="1:11" x14ac:dyDescent="0.25">
      <c r="A1381" s="162">
        <v>24569</v>
      </c>
      <c r="B1381" s="163">
        <v>4.54</v>
      </c>
      <c r="C1381" s="163"/>
      <c r="D1381" s="163"/>
      <c r="E1381" s="163"/>
      <c r="J1381" s="157">
        <v>32262</v>
      </c>
      <c r="K1381" s="158" t="e">
        <f>NA()</f>
        <v>#N/A</v>
      </c>
    </row>
    <row r="1382" spans="1:11" x14ac:dyDescent="0.25">
      <c r="A1382" s="162">
        <v>24572</v>
      </c>
      <c r="B1382" s="163">
        <v>4.55</v>
      </c>
      <c r="C1382" s="163"/>
      <c r="D1382" s="163"/>
      <c r="E1382" s="163"/>
      <c r="J1382" s="157">
        <v>32269</v>
      </c>
      <c r="K1382" s="158" t="e">
        <f>NA()</f>
        <v>#N/A</v>
      </c>
    </row>
    <row r="1383" spans="1:11" x14ac:dyDescent="0.25">
      <c r="A1383" s="162">
        <v>24573</v>
      </c>
      <c r="B1383" s="163">
        <v>4.5599999999999996</v>
      </c>
      <c r="C1383" s="163"/>
      <c r="D1383" s="163"/>
      <c r="E1383" s="163"/>
      <c r="J1383" s="157">
        <v>32276</v>
      </c>
      <c r="K1383" s="158" t="e">
        <f>NA()</f>
        <v>#N/A</v>
      </c>
    </row>
    <row r="1384" spans="1:11" x14ac:dyDescent="0.25">
      <c r="A1384" s="162">
        <v>24574</v>
      </c>
      <c r="B1384" s="163">
        <v>4.5599999999999996</v>
      </c>
      <c r="C1384" s="163"/>
      <c r="D1384" s="163"/>
      <c r="E1384" s="163"/>
      <c r="J1384" s="157">
        <v>32283</v>
      </c>
      <c r="K1384" s="158" t="e">
        <f>NA()</f>
        <v>#N/A</v>
      </c>
    </row>
    <row r="1385" spans="1:11" x14ac:dyDescent="0.25">
      <c r="A1385" s="162">
        <v>24575</v>
      </c>
      <c r="B1385" s="163">
        <v>4.58</v>
      </c>
      <c r="C1385" s="163"/>
      <c r="D1385" s="163"/>
      <c r="E1385" s="163"/>
      <c r="J1385" s="157">
        <v>32290</v>
      </c>
      <c r="K1385" s="158" t="e">
        <f>NA()</f>
        <v>#N/A</v>
      </c>
    </row>
    <row r="1386" spans="1:11" x14ac:dyDescent="0.25">
      <c r="A1386" s="162">
        <v>24576</v>
      </c>
      <c r="B1386" s="163">
        <v>4.59</v>
      </c>
      <c r="C1386" s="163"/>
      <c r="D1386" s="163"/>
      <c r="E1386" s="163"/>
      <c r="J1386" s="157">
        <v>32297</v>
      </c>
      <c r="K1386" s="158" t="e">
        <f>NA()</f>
        <v>#N/A</v>
      </c>
    </row>
    <row r="1387" spans="1:11" x14ac:dyDescent="0.25">
      <c r="A1387" s="162">
        <v>24579</v>
      </c>
      <c r="B1387" s="163">
        <v>4.6399999999999997</v>
      </c>
      <c r="C1387" s="163"/>
      <c r="D1387" s="163"/>
      <c r="E1387" s="163"/>
      <c r="J1387" s="157">
        <v>32304</v>
      </c>
      <c r="K1387" s="158" t="e">
        <f>NA()</f>
        <v>#N/A</v>
      </c>
    </row>
    <row r="1388" spans="1:11" x14ac:dyDescent="0.25">
      <c r="A1388" s="162">
        <v>24580</v>
      </c>
      <c r="B1388" s="163">
        <v>4.67</v>
      </c>
      <c r="C1388" s="163"/>
      <c r="D1388" s="163"/>
      <c r="E1388" s="163"/>
      <c r="J1388" s="157">
        <v>32311</v>
      </c>
      <c r="K1388" s="158" t="e">
        <f>NA()</f>
        <v>#N/A</v>
      </c>
    </row>
    <row r="1389" spans="1:11" x14ac:dyDescent="0.25">
      <c r="A1389" s="162">
        <v>24581</v>
      </c>
      <c r="B1389" s="164">
        <v>4.67</v>
      </c>
      <c r="C1389" s="164"/>
      <c r="D1389" s="164"/>
      <c r="E1389" s="164"/>
      <c r="J1389" s="157">
        <v>32318</v>
      </c>
      <c r="K1389" s="158" t="e">
        <f>NA()</f>
        <v>#N/A</v>
      </c>
    </row>
    <row r="1390" spans="1:11" x14ac:dyDescent="0.25">
      <c r="A1390" s="162">
        <v>24582</v>
      </c>
      <c r="B1390" s="163">
        <v>4.67</v>
      </c>
      <c r="C1390" s="163"/>
      <c r="D1390" s="163"/>
      <c r="E1390" s="163"/>
      <c r="J1390" s="157">
        <v>32325</v>
      </c>
      <c r="K1390" s="158" t="e">
        <f>NA()</f>
        <v>#N/A</v>
      </c>
    </row>
    <row r="1391" spans="1:11" x14ac:dyDescent="0.25">
      <c r="A1391" s="162">
        <v>24583</v>
      </c>
      <c r="B1391" s="163">
        <v>4.6900000000000004</v>
      </c>
      <c r="C1391" s="163"/>
      <c r="D1391" s="163"/>
      <c r="E1391" s="163"/>
      <c r="J1391" s="157">
        <v>32332</v>
      </c>
      <c r="K1391" s="158" t="e">
        <f>NA()</f>
        <v>#N/A</v>
      </c>
    </row>
    <row r="1392" spans="1:11" x14ac:dyDescent="0.25">
      <c r="A1392" s="162">
        <v>24586</v>
      </c>
      <c r="B1392" s="163">
        <v>4.71</v>
      </c>
      <c r="C1392" s="163"/>
      <c r="D1392" s="163"/>
      <c r="E1392" s="163"/>
      <c r="J1392" s="157">
        <v>32339</v>
      </c>
      <c r="K1392" s="158" t="e">
        <f>NA()</f>
        <v>#N/A</v>
      </c>
    </row>
    <row r="1393" spans="1:11" x14ac:dyDescent="0.25">
      <c r="A1393" s="162">
        <v>24587</v>
      </c>
      <c r="B1393" s="163">
        <v>4.75</v>
      </c>
      <c r="C1393" s="163"/>
      <c r="D1393" s="163"/>
      <c r="E1393" s="163"/>
      <c r="J1393" s="157">
        <v>32346</v>
      </c>
      <c r="K1393" s="158" t="e">
        <f>NA()</f>
        <v>#N/A</v>
      </c>
    </row>
    <row r="1394" spans="1:11" x14ac:dyDescent="0.25">
      <c r="A1394" s="162">
        <v>24588</v>
      </c>
      <c r="B1394" s="163">
        <v>4.7699999999999996</v>
      </c>
      <c r="C1394" s="163"/>
      <c r="D1394" s="163"/>
      <c r="E1394" s="163"/>
      <c r="J1394" s="157">
        <v>32353</v>
      </c>
      <c r="K1394" s="158" t="e">
        <f>NA()</f>
        <v>#N/A</v>
      </c>
    </row>
    <row r="1395" spans="1:11" x14ac:dyDescent="0.25">
      <c r="A1395" s="162">
        <v>24589</v>
      </c>
      <c r="B1395" s="163">
        <v>4.7699999999999996</v>
      </c>
      <c r="C1395" s="163"/>
      <c r="D1395" s="163"/>
      <c r="E1395" s="163"/>
      <c r="J1395" s="157">
        <v>32360</v>
      </c>
      <c r="K1395" s="158" t="e">
        <f>NA()</f>
        <v>#N/A</v>
      </c>
    </row>
    <row r="1396" spans="1:11" x14ac:dyDescent="0.25">
      <c r="A1396" s="162">
        <v>24590</v>
      </c>
      <c r="B1396" s="163">
        <v>4.8099999999999996</v>
      </c>
      <c r="C1396" s="163"/>
      <c r="D1396" s="163"/>
      <c r="E1396" s="163"/>
      <c r="J1396" s="157">
        <v>32367</v>
      </c>
      <c r="K1396" s="158" t="e">
        <f>NA()</f>
        <v>#N/A</v>
      </c>
    </row>
    <row r="1397" spans="1:11" x14ac:dyDescent="0.25">
      <c r="A1397" s="162">
        <v>24593</v>
      </c>
      <c r="B1397" s="163">
        <v>4.82</v>
      </c>
      <c r="C1397" s="163"/>
      <c r="D1397" s="163"/>
      <c r="E1397" s="163"/>
      <c r="J1397" s="157">
        <v>32374</v>
      </c>
      <c r="K1397" s="158" t="e">
        <f>NA()</f>
        <v>#N/A</v>
      </c>
    </row>
    <row r="1398" spans="1:11" x14ac:dyDescent="0.25">
      <c r="A1398" s="162">
        <v>24594</v>
      </c>
      <c r="B1398" s="163">
        <v>4.8099999999999996</v>
      </c>
      <c r="C1398" s="163"/>
      <c r="D1398" s="163"/>
      <c r="E1398" s="163"/>
      <c r="J1398" s="157">
        <v>32381</v>
      </c>
      <c r="K1398" s="158" t="e">
        <f>NA()</f>
        <v>#N/A</v>
      </c>
    </row>
    <row r="1399" spans="1:11" x14ac:dyDescent="0.25">
      <c r="A1399" s="162">
        <v>24595</v>
      </c>
      <c r="B1399" s="163">
        <v>4.8</v>
      </c>
      <c r="C1399" s="163"/>
      <c r="D1399" s="163"/>
      <c r="E1399" s="163"/>
      <c r="J1399" s="157">
        <v>32388</v>
      </c>
      <c r="K1399" s="158" t="e">
        <f>NA()</f>
        <v>#N/A</v>
      </c>
    </row>
    <row r="1400" spans="1:11" x14ac:dyDescent="0.25">
      <c r="A1400" s="162">
        <v>24596</v>
      </c>
      <c r="B1400" s="163">
        <v>4.8099999999999996</v>
      </c>
      <c r="C1400" s="163"/>
      <c r="D1400" s="163"/>
      <c r="E1400" s="163"/>
      <c r="J1400" s="157">
        <v>32395</v>
      </c>
      <c r="K1400" s="158" t="e">
        <f>NA()</f>
        <v>#N/A</v>
      </c>
    </row>
    <row r="1401" spans="1:11" x14ac:dyDescent="0.25">
      <c r="A1401" s="162">
        <v>24597</v>
      </c>
      <c r="B1401" s="163">
        <v>4.83</v>
      </c>
      <c r="C1401" s="163"/>
      <c r="D1401" s="163"/>
      <c r="E1401" s="163"/>
      <c r="J1401" s="157">
        <v>32402</v>
      </c>
      <c r="K1401" s="158" t="e">
        <f>NA()</f>
        <v>#N/A</v>
      </c>
    </row>
    <row r="1402" spans="1:11" x14ac:dyDescent="0.25">
      <c r="A1402" s="162">
        <v>24600</v>
      </c>
      <c r="B1402" s="163">
        <v>4.8600000000000003</v>
      </c>
      <c r="C1402" s="163"/>
      <c r="D1402" s="163"/>
      <c r="E1402" s="163"/>
      <c r="J1402" s="157">
        <v>32409</v>
      </c>
      <c r="K1402" s="158" t="e">
        <f>NA()</f>
        <v>#N/A</v>
      </c>
    </row>
    <row r="1403" spans="1:11" x14ac:dyDescent="0.25">
      <c r="A1403" s="162">
        <v>24601</v>
      </c>
      <c r="B1403" s="163">
        <v>4.91</v>
      </c>
      <c r="C1403" s="163"/>
      <c r="D1403" s="163"/>
      <c r="E1403" s="163"/>
      <c r="J1403" s="157">
        <v>32416</v>
      </c>
      <c r="K1403" s="158" t="e">
        <f>NA()</f>
        <v>#N/A</v>
      </c>
    </row>
    <row r="1404" spans="1:11" x14ac:dyDescent="0.25">
      <c r="A1404" s="162">
        <v>24602</v>
      </c>
      <c r="B1404" s="163">
        <v>4.91</v>
      </c>
      <c r="C1404" s="163"/>
      <c r="D1404" s="163"/>
      <c r="E1404" s="163"/>
      <c r="J1404" s="157">
        <v>32423</v>
      </c>
      <c r="K1404" s="158" t="e">
        <f>NA()</f>
        <v>#N/A</v>
      </c>
    </row>
    <row r="1405" spans="1:11" x14ac:dyDescent="0.25">
      <c r="A1405" s="162">
        <v>24603</v>
      </c>
      <c r="B1405" s="163">
        <v>4.9000000000000004</v>
      </c>
      <c r="C1405" s="163"/>
      <c r="D1405" s="163"/>
      <c r="E1405" s="163"/>
      <c r="J1405" s="157">
        <v>32430</v>
      </c>
      <c r="K1405" s="158" t="e">
        <f>NA()</f>
        <v>#N/A</v>
      </c>
    </row>
    <row r="1406" spans="1:11" x14ac:dyDescent="0.25">
      <c r="A1406" s="162">
        <v>24604</v>
      </c>
      <c r="B1406" s="163">
        <v>4.8899999999999997</v>
      </c>
      <c r="C1406" s="163"/>
      <c r="D1406" s="163"/>
      <c r="E1406" s="163"/>
      <c r="J1406" s="157">
        <v>32437</v>
      </c>
      <c r="K1406" s="158" t="e">
        <f>NA()</f>
        <v>#N/A</v>
      </c>
    </row>
    <row r="1407" spans="1:11" x14ac:dyDescent="0.25">
      <c r="A1407" s="162">
        <v>24607</v>
      </c>
      <c r="B1407" s="163">
        <v>4.91</v>
      </c>
      <c r="C1407" s="163"/>
      <c r="D1407" s="163"/>
      <c r="E1407" s="163"/>
      <c r="J1407" s="157">
        <v>32444</v>
      </c>
      <c r="K1407" s="158" t="e">
        <f>NA()</f>
        <v>#N/A</v>
      </c>
    </row>
    <row r="1408" spans="1:11" x14ac:dyDescent="0.25">
      <c r="A1408" s="162">
        <v>24608</v>
      </c>
      <c r="B1408" s="163">
        <v>4.92</v>
      </c>
      <c r="C1408" s="163"/>
      <c r="D1408" s="163"/>
      <c r="E1408" s="163"/>
      <c r="J1408" s="157">
        <v>32451</v>
      </c>
      <c r="K1408" s="158" t="e">
        <f>NA()</f>
        <v>#N/A</v>
      </c>
    </row>
    <row r="1409" spans="1:11" x14ac:dyDescent="0.25">
      <c r="A1409" s="162">
        <v>24609</v>
      </c>
      <c r="B1409" s="163">
        <v>4.93</v>
      </c>
      <c r="C1409" s="163"/>
      <c r="D1409" s="163"/>
      <c r="E1409" s="163"/>
      <c r="J1409" s="157">
        <v>32458</v>
      </c>
      <c r="K1409" s="158" t="e">
        <f>NA()</f>
        <v>#N/A</v>
      </c>
    </row>
    <row r="1410" spans="1:11" x14ac:dyDescent="0.25">
      <c r="A1410" s="162">
        <v>24610</v>
      </c>
      <c r="B1410" s="163">
        <v>4.93</v>
      </c>
      <c r="C1410" s="163"/>
      <c r="D1410" s="163"/>
      <c r="E1410" s="163"/>
      <c r="J1410" s="157">
        <v>32465</v>
      </c>
      <c r="K1410" s="158" t="e">
        <f>NA()</f>
        <v>#N/A</v>
      </c>
    </row>
    <row r="1411" spans="1:11" x14ac:dyDescent="0.25">
      <c r="A1411" s="162">
        <v>24611</v>
      </c>
      <c r="B1411" s="164">
        <v>4.93</v>
      </c>
      <c r="C1411" s="164"/>
      <c r="D1411" s="164"/>
      <c r="E1411" s="164"/>
      <c r="J1411" s="157">
        <v>32472</v>
      </c>
      <c r="K1411" s="158" t="e">
        <f>NA()</f>
        <v>#N/A</v>
      </c>
    </row>
    <row r="1412" spans="1:11" x14ac:dyDescent="0.25">
      <c r="A1412" s="162">
        <v>24614</v>
      </c>
      <c r="B1412" s="163">
        <v>4.97</v>
      </c>
      <c r="C1412" s="163"/>
      <c r="D1412" s="163"/>
      <c r="E1412" s="163"/>
      <c r="J1412" s="157">
        <v>32479</v>
      </c>
      <c r="K1412" s="158" t="e">
        <f>NA()</f>
        <v>#N/A</v>
      </c>
    </row>
    <row r="1413" spans="1:11" x14ac:dyDescent="0.25">
      <c r="A1413" s="162">
        <v>24615</v>
      </c>
      <c r="B1413" s="163">
        <v>4.9800000000000004</v>
      </c>
      <c r="C1413" s="163"/>
      <c r="D1413" s="163"/>
      <c r="E1413" s="163"/>
      <c r="J1413" s="157">
        <v>32486</v>
      </c>
      <c r="K1413" s="158" t="e">
        <f>NA()</f>
        <v>#N/A</v>
      </c>
    </row>
    <row r="1414" spans="1:11" x14ac:dyDescent="0.25">
      <c r="A1414" s="162">
        <v>24616</v>
      </c>
      <c r="B1414" s="163">
        <v>4.9800000000000004</v>
      </c>
      <c r="C1414" s="163"/>
      <c r="D1414" s="163"/>
      <c r="E1414" s="163"/>
      <c r="J1414" s="157">
        <v>32493</v>
      </c>
      <c r="K1414" s="158" t="e">
        <f>NA()</f>
        <v>#N/A</v>
      </c>
    </row>
    <row r="1415" spans="1:11" x14ac:dyDescent="0.25">
      <c r="A1415" s="162">
        <v>24617</v>
      </c>
      <c r="B1415" s="163">
        <v>4.97</v>
      </c>
      <c r="C1415" s="163"/>
      <c r="D1415" s="163"/>
      <c r="E1415" s="163"/>
      <c r="J1415" s="157">
        <v>32500</v>
      </c>
      <c r="K1415" s="158" t="e">
        <f>NA()</f>
        <v>#N/A</v>
      </c>
    </row>
    <row r="1416" spans="1:11" x14ac:dyDescent="0.25">
      <c r="A1416" s="162">
        <v>24618</v>
      </c>
      <c r="B1416" s="163">
        <v>4.92</v>
      </c>
      <c r="C1416" s="163"/>
      <c r="D1416" s="163"/>
      <c r="E1416" s="163"/>
      <c r="J1416" s="157">
        <v>32507</v>
      </c>
      <c r="K1416" s="158" t="e">
        <f>NA()</f>
        <v>#N/A</v>
      </c>
    </row>
    <row r="1417" spans="1:11" x14ac:dyDescent="0.25">
      <c r="A1417" s="162">
        <v>24621</v>
      </c>
      <c r="B1417" s="163">
        <v>4.8899999999999997</v>
      </c>
      <c r="C1417" s="163"/>
      <c r="D1417" s="163"/>
      <c r="E1417" s="163"/>
      <c r="J1417" s="157">
        <v>32514</v>
      </c>
      <c r="K1417" s="158" t="e">
        <f>NA()</f>
        <v>#N/A</v>
      </c>
    </row>
    <row r="1418" spans="1:11" x14ac:dyDescent="0.25">
      <c r="A1418" s="162">
        <v>24622</v>
      </c>
      <c r="B1418" s="163" t="e">
        <f>NA()</f>
        <v>#N/A</v>
      </c>
      <c r="C1418" s="163"/>
      <c r="D1418" s="163"/>
      <c r="E1418" s="163"/>
      <c r="J1418" s="157">
        <v>32521</v>
      </c>
      <c r="K1418" s="158" t="e">
        <f>NA()</f>
        <v>#N/A</v>
      </c>
    </row>
    <row r="1419" spans="1:11" x14ac:dyDescent="0.25">
      <c r="A1419" s="162">
        <v>24623</v>
      </c>
      <c r="B1419" s="163">
        <v>4.8499999999999996</v>
      </c>
      <c r="C1419" s="163"/>
      <c r="D1419" s="163"/>
      <c r="E1419" s="163"/>
      <c r="J1419" s="157">
        <v>32528</v>
      </c>
      <c r="K1419" s="158" t="e">
        <f>NA()</f>
        <v>#N/A</v>
      </c>
    </row>
    <row r="1420" spans="1:11" x14ac:dyDescent="0.25">
      <c r="A1420" s="162">
        <v>24624</v>
      </c>
      <c r="B1420" s="163">
        <v>4.83</v>
      </c>
      <c r="C1420" s="163"/>
      <c r="D1420" s="163"/>
      <c r="E1420" s="163"/>
      <c r="J1420" s="157">
        <v>32535</v>
      </c>
      <c r="K1420" s="158" t="e">
        <f>NA()</f>
        <v>#N/A</v>
      </c>
    </row>
    <row r="1421" spans="1:11" x14ac:dyDescent="0.25">
      <c r="A1421" s="162">
        <v>24625</v>
      </c>
      <c r="B1421" s="163">
        <v>4.84</v>
      </c>
      <c r="C1421" s="163"/>
      <c r="D1421" s="163"/>
      <c r="E1421" s="163"/>
      <c r="J1421" s="157">
        <v>32542</v>
      </c>
      <c r="K1421" s="158" t="e">
        <f>NA()</f>
        <v>#N/A</v>
      </c>
    </row>
    <row r="1422" spans="1:11" x14ac:dyDescent="0.25">
      <c r="A1422" s="162">
        <v>24628</v>
      </c>
      <c r="B1422" s="164">
        <v>4.88</v>
      </c>
      <c r="C1422" s="164"/>
      <c r="D1422" s="164"/>
      <c r="E1422" s="164"/>
      <c r="J1422" s="157">
        <v>32549</v>
      </c>
      <c r="K1422" s="158" t="e">
        <f>NA()</f>
        <v>#N/A</v>
      </c>
    </row>
    <row r="1423" spans="1:11" x14ac:dyDescent="0.25">
      <c r="A1423" s="162">
        <v>24629</v>
      </c>
      <c r="B1423" s="163">
        <v>4.87</v>
      </c>
      <c r="C1423" s="163"/>
      <c r="D1423" s="163"/>
      <c r="E1423" s="163"/>
      <c r="J1423" s="157">
        <v>32556</v>
      </c>
      <c r="K1423" s="158" t="e">
        <f>NA()</f>
        <v>#N/A</v>
      </c>
    </row>
    <row r="1424" spans="1:11" x14ac:dyDescent="0.25">
      <c r="A1424" s="162">
        <v>24630</v>
      </c>
      <c r="B1424" s="163">
        <v>4.8600000000000003</v>
      </c>
      <c r="C1424" s="163"/>
      <c r="D1424" s="163"/>
      <c r="E1424" s="163"/>
      <c r="J1424" s="157">
        <v>32563</v>
      </c>
      <c r="K1424" s="158" t="e">
        <f>NA()</f>
        <v>#N/A</v>
      </c>
    </row>
    <row r="1425" spans="1:11" x14ac:dyDescent="0.25">
      <c r="A1425" s="162">
        <v>24631</v>
      </c>
      <c r="B1425" s="163">
        <v>4.8899999999999997</v>
      </c>
      <c r="C1425" s="163"/>
      <c r="D1425" s="163"/>
      <c r="E1425" s="163"/>
      <c r="J1425" s="157">
        <v>32570</v>
      </c>
      <c r="K1425" s="158" t="e">
        <f>NA()</f>
        <v>#N/A</v>
      </c>
    </row>
    <row r="1426" spans="1:11" x14ac:dyDescent="0.25">
      <c r="A1426" s="162">
        <v>24632</v>
      </c>
      <c r="B1426" s="163">
        <v>4.9000000000000004</v>
      </c>
      <c r="C1426" s="163"/>
      <c r="D1426" s="163"/>
      <c r="E1426" s="163"/>
      <c r="J1426" s="157">
        <v>32577</v>
      </c>
      <c r="K1426" s="158" t="e">
        <f>NA()</f>
        <v>#N/A</v>
      </c>
    </row>
    <row r="1427" spans="1:11" x14ac:dyDescent="0.25">
      <c r="A1427" s="162">
        <v>24635</v>
      </c>
      <c r="B1427" s="163">
        <v>4.9400000000000004</v>
      </c>
      <c r="C1427" s="163"/>
      <c r="D1427" s="163"/>
      <c r="E1427" s="163"/>
      <c r="J1427" s="157">
        <v>32584</v>
      </c>
      <c r="K1427" s="158" t="e">
        <f>NA()</f>
        <v>#N/A</v>
      </c>
    </row>
    <row r="1428" spans="1:11" x14ac:dyDescent="0.25">
      <c r="A1428" s="162">
        <v>24636</v>
      </c>
      <c r="B1428" s="163">
        <v>4.95</v>
      </c>
      <c r="C1428" s="163"/>
      <c r="D1428" s="163"/>
      <c r="E1428" s="163"/>
      <c r="J1428" s="157">
        <v>32591</v>
      </c>
      <c r="K1428" s="158" t="e">
        <f>NA()</f>
        <v>#N/A</v>
      </c>
    </row>
    <row r="1429" spans="1:11" x14ac:dyDescent="0.25">
      <c r="A1429" s="162">
        <v>24637</v>
      </c>
      <c r="B1429" s="163">
        <v>4.99</v>
      </c>
      <c r="C1429" s="163"/>
      <c r="D1429" s="163"/>
      <c r="E1429" s="163"/>
      <c r="J1429" s="157">
        <v>32598</v>
      </c>
      <c r="K1429" s="158" t="e">
        <f>NA()</f>
        <v>#N/A</v>
      </c>
    </row>
    <row r="1430" spans="1:11" x14ac:dyDescent="0.25">
      <c r="A1430" s="162">
        <v>24638</v>
      </c>
      <c r="B1430" s="163">
        <v>4.99</v>
      </c>
      <c r="C1430" s="163"/>
      <c r="D1430" s="163"/>
      <c r="E1430" s="163"/>
      <c r="J1430" s="157">
        <v>32605</v>
      </c>
      <c r="K1430" s="158" t="e">
        <f>NA()</f>
        <v>#N/A</v>
      </c>
    </row>
    <row r="1431" spans="1:11" x14ac:dyDescent="0.25">
      <c r="A1431" s="162">
        <v>24639</v>
      </c>
      <c r="B1431" s="163">
        <v>5.03</v>
      </c>
      <c r="C1431" s="163"/>
      <c r="D1431" s="163"/>
      <c r="E1431" s="163"/>
      <c r="J1431" s="157">
        <v>32612</v>
      </c>
      <c r="K1431" s="158" t="e">
        <f>NA()</f>
        <v>#N/A</v>
      </c>
    </row>
    <row r="1432" spans="1:11" x14ac:dyDescent="0.25">
      <c r="A1432" s="162">
        <v>24642</v>
      </c>
      <c r="B1432" s="163">
        <v>5.03</v>
      </c>
      <c r="C1432" s="163"/>
      <c r="D1432" s="163"/>
      <c r="E1432" s="163"/>
      <c r="J1432" s="157">
        <v>32619</v>
      </c>
      <c r="K1432" s="158" t="e">
        <f>NA()</f>
        <v>#N/A</v>
      </c>
    </row>
    <row r="1433" spans="1:11" x14ac:dyDescent="0.25">
      <c r="A1433" s="162">
        <v>24643</v>
      </c>
      <c r="B1433" s="163">
        <v>5.08</v>
      </c>
      <c r="C1433" s="163"/>
      <c r="D1433" s="163"/>
      <c r="E1433" s="163"/>
      <c r="J1433" s="157">
        <v>32626</v>
      </c>
      <c r="K1433" s="158" t="e">
        <f>NA()</f>
        <v>#N/A</v>
      </c>
    </row>
    <row r="1434" spans="1:11" x14ac:dyDescent="0.25">
      <c r="A1434" s="162">
        <v>24644</v>
      </c>
      <c r="B1434" s="163">
        <v>5.08</v>
      </c>
      <c r="C1434" s="163"/>
      <c r="D1434" s="163"/>
      <c r="E1434" s="163"/>
      <c r="J1434" s="157">
        <v>32633</v>
      </c>
      <c r="K1434" s="158" t="e">
        <f>NA()</f>
        <v>#N/A</v>
      </c>
    </row>
    <row r="1435" spans="1:11" x14ac:dyDescent="0.25">
      <c r="A1435" s="162">
        <v>24645</v>
      </c>
      <c r="B1435" s="163">
        <v>5.08</v>
      </c>
      <c r="C1435" s="163"/>
      <c r="D1435" s="163"/>
      <c r="E1435" s="163"/>
      <c r="J1435" s="157">
        <v>32640</v>
      </c>
      <c r="K1435" s="158" t="e">
        <f>NA()</f>
        <v>#N/A</v>
      </c>
    </row>
    <row r="1436" spans="1:11" x14ac:dyDescent="0.25">
      <c r="A1436" s="162">
        <v>24646</v>
      </c>
      <c r="B1436" s="163">
        <v>5.08</v>
      </c>
      <c r="C1436" s="163"/>
      <c r="D1436" s="163"/>
      <c r="E1436" s="163"/>
      <c r="J1436" s="157">
        <v>32647</v>
      </c>
      <c r="K1436" s="158" t="e">
        <f>NA()</f>
        <v>#N/A</v>
      </c>
    </row>
    <row r="1437" spans="1:11" x14ac:dyDescent="0.25">
      <c r="A1437" s="162">
        <v>24649</v>
      </c>
      <c r="B1437" s="163">
        <v>5.09</v>
      </c>
      <c r="C1437" s="163"/>
      <c r="D1437" s="163"/>
      <c r="E1437" s="163"/>
      <c r="J1437" s="157">
        <v>32654</v>
      </c>
      <c r="K1437" s="158" t="e">
        <f>NA()</f>
        <v>#N/A</v>
      </c>
    </row>
    <row r="1438" spans="1:11" x14ac:dyDescent="0.25">
      <c r="A1438" s="162">
        <v>24650</v>
      </c>
      <c r="B1438" s="163">
        <v>5.1100000000000003</v>
      </c>
      <c r="C1438" s="163"/>
      <c r="D1438" s="163"/>
      <c r="E1438" s="163"/>
      <c r="J1438" s="157">
        <v>32661</v>
      </c>
      <c r="K1438" s="158" t="e">
        <f>NA()</f>
        <v>#N/A</v>
      </c>
    </row>
    <row r="1439" spans="1:11" x14ac:dyDescent="0.25">
      <c r="A1439" s="162">
        <v>24651</v>
      </c>
      <c r="B1439" s="163">
        <v>5.08</v>
      </c>
      <c r="C1439" s="163"/>
      <c r="D1439" s="163"/>
      <c r="E1439" s="163"/>
      <c r="J1439" s="157">
        <v>32668</v>
      </c>
      <c r="K1439" s="158" t="e">
        <f>NA()</f>
        <v>#N/A</v>
      </c>
    </row>
    <row r="1440" spans="1:11" x14ac:dyDescent="0.25">
      <c r="A1440" s="162">
        <v>24652</v>
      </c>
      <c r="B1440" s="163">
        <v>5.07</v>
      </c>
      <c r="C1440" s="163"/>
      <c r="D1440" s="163"/>
      <c r="E1440" s="163"/>
      <c r="J1440" s="157">
        <v>32675</v>
      </c>
      <c r="K1440" s="158" t="e">
        <f>NA()</f>
        <v>#N/A</v>
      </c>
    </row>
    <row r="1441" spans="1:11" x14ac:dyDescent="0.25">
      <c r="A1441" s="162">
        <v>24653</v>
      </c>
      <c r="B1441" s="163">
        <v>5.08</v>
      </c>
      <c r="C1441" s="163"/>
      <c r="D1441" s="163"/>
      <c r="E1441" s="163"/>
      <c r="J1441" s="157">
        <v>32682</v>
      </c>
      <c r="K1441" s="158" t="e">
        <f>NA()</f>
        <v>#N/A</v>
      </c>
    </row>
    <row r="1442" spans="1:11" x14ac:dyDescent="0.25">
      <c r="A1442" s="162">
        <v>24656</v>
      </c>
      <c r="B1442" s="163">
        <v>5.07</v>
      </c>
      <c r="C1442" s="163"/>
      <c r="D1442" s="163"/>
      <c r="E1442" s="163"/>
      <c r="J1442" s="157">
        <v>32689</v>
      </c>
      <c r="K1442" s="158" t="e">
        <f>NA()</f>
        <v>#N/A</v>
      </c>
    </row>
    <row r="1443" spans="1:11" x14ac:dyDescent="0.25">
      <c r="A1443" s="162">
        <v>24657</v>
      </c>
      <c r="B1443" s="164" t="e">
        <f>NA()</f>
        <v>#N/A</v>
      </c>
      <c r="C1443" s="164"/>
      <c r="D1443" s="164"/>
      <c r="E1443" s="164"/>
      <c r="J1443" s="157">
        <v>32696</v>
      </c>
      <c r="K1443" s="158" t="e">
        <f>NA()</f>
        <v>#N/A</v>
      </c>
    </row>
    <row r="1444" spans="1:11" x14ac:dyDescent="0.25">
      <c r="A1444" s="162">
        <v>24658</v>
      </c>
      <c r="B1444" s="163">
        <v>5.0199999999999996</v>
      </c>
      <c r="C1444" s="163"/>
      <c r="D1444" s="163"/>
      <c r="E1444" s="163"/>
      <c r="J1444" s="157">
        <v>32703</v>
      </c>
      <c r="K1444" s="158" t="e">
        <f>NA()</f>
        <v>#N/A</v>
      </c>
    </row>
    <row r="1445" spans="1:11" x14ac:dyDescent="0.25">
      <c r="A1445" s="162">
        <v>24659</v>
      </c>
      <c r="B1445" s="163">
        <v>4.99</v>
      </c>
      <c r="C1445" s="163"/>
      <c r="D1445" s="163"/>
      <c r="E1445" s="163"/>
      <c r="J1445" s="157">
        <v>32710</v>
      </c>
      <c r="K1445" s="158" t="e">
        <f>NA()</f>
        <v>#N/A</v>
      </c>
    </row>
    <row r="1446" spans="1:11" x14ac:dyDescent="0.25">
      <c r="A1446" s="162">
        <v>24660</v>
      </c>
      <c r="B1446" s="163">
        <v>5.01</v>
      </c>
      <c r="C1446" s="163"/>
      <c r="D1446" s="163"/>
      <c r="E1446" s="163"/>
      <c r="J1446" s="157">
        <v>32717</v>
      </c>
      <c r="K1446" s="158" t="e">
        <f>NA()</f>
        <v>#N/A</v>
      </c>
    </row>
    <row r="1447" spans="1:11" x14ac:dyDescent="0.25">
      <c r="A1447" s="162">
        <v>24663</v>
      </c>
      <c r="B1447" s="163">
        <v>5.01</v>
      </c>
      <c r="C1447" s="163"/>
      <c r="D1447" s="163"/>
      <c r="E1447" s="163"/>
      <c r="J1447" s="157">
        <v>32724</v>
      </c>
      <c r="K1447" s="158" t="e">
        <f>NA()</f>
        <v>#N/A</v>
      </c>
    </row>
    <row r="1448" spans="1:11" x14ac:dyDescent="0.25">
      <c r="A1448" s="162">
        <v>24664</v>
      </c>
      <c r="B1448" s="164">
        <v>4.96</v>
      </c>
      <c r="C1448" s="164"/>
      <c r="D1448" s="164"/>
      <c r="E1448" s="164"/>
      <c r="J1448" s="157">
        <v>32731</v>
      </c>
      <c r="K1448" s="158" t="e">
        <f>NA()</f>
        <v>#N/A</v>
      </c>
    </row>
    <row r="1449" spans="1:11" x14ac:dyDescent="0.25">
      <c r="A1449" s="162">
        <v>24665</v>
      </c>
      <c r="B1449" s="163">
        <v>4.92</v>
      </c>
      <c r="C1449" s="163"/>
      <c r="D1449" s="163"/>
      <c r="E1449" s="163"/>
      <c r="J1449" s="157">
        <v>32738</v>
      </c>
      <c r="K1449" s="158" t="e">
        <f>NA()</f>
        <v>#N/A</v>
      </c>
    </row>
    <row r="1450" spans="1:11" x14ac:dyDescent="0.25">
      <c r="A1450" s="162">
        <v>24666</v>
      </c>
      <c r="B1450" s="163">
        <v>4.92</v>
      </c>
      <c r="C1450" s="163"/>
      <c r="D1450" s="163"/>
      <c r="E1450" s="163"/>
      <c r="J1450" s="157">
        <v>32745</v>
      </c>
      <c r="K1450" s="158" t="e">
        <f>NA()</f>
        <v>#N/A</v>
      </c>
    </row>
    <row r="1451" spans="1:11" x14ac:dyDescent="0.25">
      <c r="A1451" s="162">
        <v>24667</v>
      </c>
      <c r="B1451" s="163">
        <v>4.93</v>
      </c>
      <c r="C1451" s="163"/>
      <c r="D1451" s="163"/>
      <c r="E1451" s="163"/>
      <c r="J1451" s="157">
        <v>32752</v>
      </c>
      <c r="K1451" s="158" t="e">
        <f>NA()</f>
        <v>#N/A</v>
      </c>
    </row>
    <row r="1452" spans="1:11" x14ac:dyDescent="0.25">
      <c r="A1452" s="162">
        <v>24670</v>
      </c>
      <c r="B1452" s="163">
        <v>4.9400000000000004</v>
      </c>
      <c r="C1452" s="163"/>
      <c r="D1452" s="163"/>
      <c r="E1452" s="163"/>
      <c r="J1452" s="157">
        <v>32759</v>
      </c>
      <c r="K1452" s="158" t="e">
        <f>NA()</f>
        <v>#N/A</v>
      </c>
    </row>
    <row r="1453" spans="1:11" x14ac:dyDescent="0.25">
      <c r="A1453" s="162">
        <v>24671</v>
      </c>
      <c r="B1453" s="163">
        <v>4.9800000000000004</v>
      </c>
      <c r="C1453" s="163"/>
      <c r="D1453" s="163"/>
      <c r="E1453" s="163"/>
      <c r="J1453" s="157">
        <v>32766</v>
      </c>
      <c r="K1453" s="158" t="e">
        <f>NA()</f>
        <v>#N/A</v>
      </c>
    </row>
    <row r="1454" spans="1:11" x14ac:dyDescent="0.25">
      <c r="A1454" s="162">
        <v>24672</v>
      </c>
      <c r="B1454" s="163">
        <v>5.01</v>
      </c>
      <c r="C1454" s="163"/>
      <c r="D1454" s="163"/>
      <c r="E1454" s="163"/>
      <c r="J1454" s="157">
        <v>32773</v>
      </c>
      <c r="K1454" s="158" t="e">
        <f>NA()</f>
        <v>#N/A</v>
      </c>
    </row>
    <row r="1455" spans="1:11" x14ac:dyDescent="0.25">
      <c r="A1455" s="162">
        <v>24673</v>
      </c>
      <c r="B1455" s="163">
        <v>5.03</v>
      </c>
      <c r="C1455" s="163"/>
      <c r="D1455" s="163"/>
      <c r="E1455" s="163"/>
      <c r="J1455" s="157">
        <v>32780</v>
      </c>
      <c r="K1455" s="158" t="e">
        <f>NA()</f>
        <v>#N/A</v>
      </c>
    </row>
    <row r="1456" spans="1:11" x14ac:dyDescent="0.25">
      <c r="A1456" s="162">
        <v>24674</v>
      </c>
      <c r="B1456" s="163">
        <v>5.03</v>
      </c>
      <c r="C1456" s="163"/>
      <c r="D1456" s="163"/>
      <c r="E1456" s="163"/>
      <c r="J1456" s="157">
        <v>32787</v>
      </c>
      <c r="K1456" s="158" t="e">
        <f>NA()</f>
        <v>#N/A</v>
      </c>
    </row>
    <row r="1457" spans="1:11" x14ac:dyDescent="0.25">
      <c r="A1457" s="162">
        <v>24677</v>
      </c>
      <c r="B1457" s="163">
        <v>5.05</v>
      </c>
      <c r="C1457" s="163"/>
      <c r="D1457" s="163"/>
      <c r="E1457" s="163"/>
      <c r="J1457" s="157">
        <v>32794</v>
      </c>
      <c r="K1457" s="158" t="e">
        <f>NA()</f>
        <v>#N/A</v>
      </c>
    </row>
    <row r="1458" spans="1:11" x14ac:dyDescent="0.25">
      <c r="A1458" s="162">
        <v>24678</v>
      </c>
      <c r="B1458" s="163">
        <v>5.07</v>
      </c>
      <c r="C1458" s="163"/>
      <c r="D1458" s="163"/>
      <c r="E1458" s="163"/>
      <c r="J1458" s="157">
        <v>32801</v>
      </c>
      <c r="K1458" s="158" t="e">
        <f>NA()</f>
        <v>#N/A</v>
      </c>
    </row>
    <row r="1459" spans="1:11" x14ac:dyDescent="0.25">
      <c r="A1459" s="162">
        <v>24679</v>
      </c>
      <c r="B1459" s="164">
        <v>5.0999999999999996</v>
      </c>
      <c r="C1459" s="164"/>
      <c r="D1459" s="164"/>
      <c r="E1459" s="164"/>
      <c r="J1459" s="157">
        <v>32808</v>
      </c>
      <c r="K1459" s="158" t="e">
        <f>NA()</f>
        <v>#N/A</v>
      </c>
    </row>
    <row r="1460" spans="1:11" x14ac:dyDescent="0.25">
      <c r="A1460" s="162">
        <v>24680</v>
      </c>
      <c r="B1460" s="163">
        <v>5.08</v>
      </c>
      <c r="C1460" s="163"/>
      <c r="D1460" s="163"/>
      <c r="E1460" s="163"/>
      <c r="J1460" s="157">
        <v>32815</v>
      </c>
      <c r="K1460" s="158" t="e">
        <f>NA()</f>
        <v>#N/A</v>
      </c>
    </row>
    <row r="1461" spans="1:11" x14ac:dyDescent="0.25">
      <c r="A1461" s="162">
        <v>24681</v>
      </c>
      <c r="B1461" s="163">
        <v>5.07</v>
      </c>
      <c r="C1461" s="163"/>
      <c r="D1461" s="163"/>
      <c r="E1461" s="163"/>
      <c r="J1461" s="157">
        <v>32822</v>
      </c>
      <c r="K1461" s="158" t="e">
        <f>NA()</f>
        <v>#N/A</v>
      </c>
    </row>
    <row r="1462" spans="1:11" x14ac:dyDescent="0.25">
      <c r="A1462" s="162">
        <v>24684</v>
      </c>
      <c r="B1462" s="163">
        <v>5.0599999999999996</v>
      </c>
      <c r="C1462" s="163"/>
      <c r="D1462" s="163"/>
      <c r="E1462" s="163"/>
      <c r="J1462" s="157">
        <v>32829</v>
      </c>
      <c r="K1462" s="158" t="e">
        <f>NA()</f>
        <v>#N/A</v>
      </c>
    </row>
    <row r="1463" spans="1:11" x14ac:dyDescent="0.25">
      <c r="A1463" s="162">
        <v>24685</v>
      </c>
      <c r="B1463" s="163">
        <v>5.07</v>
      </c>
      <c r="C1463" s="163"/>
      <c r="D1463" s="163"/>
      <c r="E1463" s="163"/>
      <c r="J1463" s="157">
        <v>32836</v>
      </c>
      <c r="K1463" s="158" t="e">
        <f>NA()</f>
        <v>#N/A</v>
      </c>
    </row>
    <row r="1464" spans="1:11" x14ac:dyDescent="0.25">
      <c r="A1464" s="162">
        <v>24686</v>
      </c>
      <c r="B1464" s="163">
        <v>5.08</v>
      </c>
      <c r="C1464" s="163"/>
      <c r="D1464" s="163"/>
      <c r="E1464" s="163"/>
      <c r="J1464" s="157">
        <v>32843</v>
      </c>
      <c r="K1464" s="158" t="e">
        <f>NA()</f>
        <v>#N/A</v>
      </c>
    </row>
    <row r="1465" spans="1:11" x14ac:dyDescent="0.25">
      <c r="A1465" s="162">
        <v>24687</v>
      </c>
      <c r="B1465" s="163">
        <v>5.0599999999999996</v>
      </c>
      <c r="C1465" s="163"/>
      <c r="D1465" s="163"/>
      <c r="E1465" s="163"/>
      <c r="J1465" s="157">
        <v>32850</v>
      </c>
      <c r="K1465" s="158" t="e">
        <f>NA()</f>
        <v>#N/A</v>
      </c>
    </row>
    <row r="1466" spans="1:11" x14ac:dyDescent="0.25">
      <c r="A1466" s="162">
        <v>24688</v>
      </c>
      <c r="B1466" s="163">
        <v>5.09</v>
      </c>
      <c r="C1466" s="163"/>
      <c r="D1466" s="163"/>
      <c r="E1466" s="163"/>
      <c r="J1466" s="157">
        <v>32857</v>
      </c>
      <c r="K1466" s="158" t="e">
        <f>NA()</f>
        <v>#N/A</v>
      </c>
    </row>
    <row r="1467" spans="1:11" x14ac:dyDescent="0.25">
      <c r="A1467" s="162">
        <v>24691</v>
      </c>
      <c r="B1467" s="163">
        <v>5.12</v>
      </c>
      <c r="C1467" s="163"/>
      <c r="D1467" s="163"/>
      <c r="E1467" s="163"/>
      <c r="J1467" s="157">
        <v>32864</v>
      </c>
      <c r="K1467" s="158" t="e">
        <f>NA()</f>
        <v>#N/A</v>
      </c>
    </row>
    <row r="1468" spans="1:11" x14ac:dyDescent="0.25">
      <c r="A1468" s="162">
        <v>24692</v>
      </c>
      <c r="B1468" s="163">
        <v>5.0999999999999996</v>
      </c>
      <c r="C1468" s="163"/>
      <c r="D1468" s="163"/>
      <c r="E1468" s="163"/>
      <c r="J1468" s="157">
        <v>32871</v>
      </c>
      <c r="K1468" s="158" t="e">
        <f>NA()</f>
        <v>#N/A</v>
      </c>
    </row>
    <row r="1469" spans="1:11" x14ac:dyDescent="0.25">
      <c r="A1469" s="162">
        <v>24693</v>
      </c>
      <c r="B1469" s="163">
        <v>5.0999999999999996</v>
      </c>
      <c r="C1469" s="163"/>
      <c r="D1469" s="163"/>
      <c r="E1469" s="163"/>
      <c r="J1469" s="157">
        <v>32878</v>
      </c>
      <c r="K1469" s="158" t="e">
        <f>NA()</f>
        <v>#N/A</v>
      </c>
    </row>
    <row r="1470" spans="1:11" x14ac:dyDescent="0.25">
      <c r="A1470" s="162">
        <v>24694</v>
      </c>
      <c r="B1470" s="163">
        <v>5.1100000000000003</v>
      </c>
      <c r="C1470" s="163"/>
      <c r="D1470" s="163"/>
      <c r="E1470" s="163"/>
      <c r="J1470" s="157">
        <v>32885</v>
      </c>
      <c r="K1470" s="158" t="e">
        <f>NA()</f>
        <v>#N/A</v>
      </c>
    </row>
    <row r="1471" spans="1:11" x14ac:dyDescent="0.25">
      <c r="A1471" s="162">
        <v>24695</v>
      </c>
      <c r="B1471" s="163">
        <v>5.12</v>
      </c>
      <c r="C1471" s="163"/>
      <c r="D1471" s="163"/>
      <c r="E1471" s="163"/>
      <c r="J1471" s="157">
        <v>32892</v>
      </c>
      <c r="K1471" s="158" t="e">
        <f>NA()</f>
        <v>#N/A</v>
      </c>
    </row>
    <row r="1472" spans="1:11" x14ac:dyDescent="0.25">
      <c r="A1472" s="162">
        <v>24698</v>
      </c>
      <c r="B1472" s="163">
        <v>5.12</v>
      </c>
      <c r="C1472" s="163"/>
      <c r="D1472" s="163"/>
      <c r="E1472" s="163"/>
      <c r="J1472" s="157">
        <v>32899</v>
      </c>
      <c r="K1472" s="158" t="e">
        <f>NA()</f>
        <v>#N/A</v>
      </c>
    </row>
    <row r="1473" spans="1:11" x14ac:dyDescent="0.25">
      <c r="A1473" s="162">
        <v>24699</v>
      </c>
      <c r="B1473" s="163">
        <v>5.13</v>
      </c>
      <c r="C1473" s="163"/>
      <c r="D1473" s="163"/>
      <c r="E1473" s="163"/>
      <c r="J1473" s="157">
        <v>32906</v>
      </c>
      <c r="K1473" s="158" t="e">
        <f>NA()</f>
        <v>#N/A</v>
      </c>
    </row>
    <row r="1474" spans="1:11" x14ac:dyDescent="0.25">
      <c r="A1474" s="162">
        <v>24700</v>
      </c>
      <c r="B1474" s="163">
        <v>5.12</v>
      </c>
      <c r="C1474" s="163"/>
      <c r="D1474" s="163"/>
      <c r="E1474" s="163"/>
      <c r="J1474" s="157">
        <v>32913</v>
      </c>
      <c r="K1474" s="158" t="e">
        <f>NA()</f>
        <v>#N/A</v>
      </c>
    </row>
    <row r="1475" spans="1:11" x14ac:dyDescent="0.25">
      <c r="A1475" s="162">
        <v>24701</v>
      </c>
      <c r="B1475" s="163">
        <v>5.12</v>
      </c>
      <c r="C1475" s="163"/>
      <c r="D1475" s="163"/>
      <c r="E1475" s="163"/>
      <c r="J1475" s="157">
        <v>32920</v>
      </c>
      <c r="K1475" s="158" t="e">
        <f>NA()</f>
        <v>#N/A</v>
      </c>
    </row>
    <row r="1476" spans="1:11" x14ac:dyDescent="0.25">
      <c r="A1476" s="162">
        <v>24702</v>
      </c>
      <c r="B1476" s="163">
        <v>5.12</v>
      </c>
      <c r="C1476" s="163"/>
      <c r="D1476" s="163"/>
      <c r="E1476" s="163"/>
      <c r="J1476" s="157">
        <v>32927</v>
      </c>
      <c r="K1476" s="158" t="e">
        <f>NA()</f>
        <v>#N/A</v>
      </c>
    </row>
    <row r="1477" spans="1:11" x14ac:dyDescent="0.25">
      <c r="A1477" s="162">
        <v>24705</v>
      </c>
      <c r="B1477" s="163">
        <v>5.13</v>
      </c>
      <c r="C1477" s="163"/>
      <c r="D1477" s="163"/>
      <c r="E1477" s="163"/>
      <c r="J1477" s="157">
        <v>32934</v>
      </c>
      <c r="K1477" s="158" t="e">
        <f>NA()</f>
        <v>#N/A</v>
      </c>
    </row>
    <row r="1478" spans="1:11" x14ac:dyDescent="0.25">
      <c r="A1478" s="162">
        <v>24706</v>
      </c>
      <c r="B1478" s="163">
        <v>5.13</v>
      </c>
      <c r="C1478" s="163"/>
      <c r="D1478" s="163"/>
      <c r="E1478" s="163"/>
      <c r="J1478" s="157">
        <v>32941</v>
      </c>
      <c r="K1478" s="158" t="e">
        <f>NA()</f>
        <v>#N/A</v>
      </c>
    </row>
    <row r="1479" spans="1:11" x14ac:dyDescent="0.25">
      <c r="A1479" s="162">
        <v>24707</v>
      </c>
      <c r="B1479" s="164">
        <v>5.14</v>
      </c>
      <c r="C1479" s="164"/>
      <c r="D1479" s="164"/>
      <c r="E1479" s="164"/>
      <c r="J1479" s="157">
        <v>32948</v>
      </c>
      <c r="K1479" s="158" t="e">
        <f>NA()</f>
        <v>#N/A</v>
      </c>
    </row>
    <row r="1480" spans="1:11" x14ac:dyDescent="0.25">
      <c r="A1480" s="162">
        <v>24708</v>
      </c>
      <c r="B1480" s="163">
        <v>5.15</v>
      </c>
      <c r="C1480" s="163"/>
      <c r="D1480" s="163"/>
      <c r="E1480" s="163"/>
      <c r="J1480" s="157">
        <v>32955</v>
      </c>
      <c r="K1480" s="158" t="e">
        <f>NA()</f>
        <v>#N/A</v>
      </c>
    </row>
    <row r="1481" spans="1:11" x14ac:dyDescent="0.25">
      <c r="A1481" s="162">
        <v>24709</v>
      </c>
      <c r="B1481" s="163">
        <v>5.15</v>
      </c>
      <c r="C1481" s="163"/>
      <c r="D1481" s="163"/>
      <c r="E1481" s="163"/>
      <c r="J1481" s="157">
        <v>32962</v>
      </c>
      <c r="K1481" s="158" t="e">
        <f>NA()</f>
        <v>#N/A</v>
      </c>
    </row>
    <row r="1482" spans="1:11" x14ac:dyDescent="0.25">
      <c r="A1482" s="162">
        <v>24712</v>
      </c>
      <c r="B1482" s="163">
        <v>5.14</v>
      </c>
      <c r="C1482" s="163"/>
      <c r="D1482" s="163"/>
      <c r="E1482" s="163"/>
      <c r="J1482" s="157">
        <v>32969</v>
      </c>
      <c r="K1482" s="158" t="e">
        <f>NA()</f>
        <v>#N/A</v>
      </c>
    </row>
    <row r="1483" spans="1:11" x14ac:dyDescent="0.25">
      <c r="A1483" s="162">
        <v>24713</v>
      </c>
      <c r="B1483" s="163">
        <v>5.14</v>
      </c>
      <c r="C1483" s="163"/>
      <c r="D1483" s="163"/>
      <c r="E1483" s="163"/>
      <c r="J1483" s="157">
        <v>32976</v>
      </c>
      <c r="K1483" s="158" t="e">
        <f>NA()</f>
        <v>#N/A</v>
      </c>
    </row>
    <row r="1484" spans="1:11" x14ac:dyDescent="0.25">
      <c r="A1484" s="162">
        <v>24714</v>
      </c>
      <c r="B1484" s="163">
        <v>5.14</v>
      </c>
      <c r="C1484" s="163"/>
      <c r="D1484" s="163"/>
      <c r="E1484" s="163"/>
      <c r="J1484" s="157">
        <v>32983</v>
      </c>
      <c r="K1484" s="158" t="e">
        <f>NA()</f>
        <v>#N/A</v>
      </c>
    </row>
    <row r="1485" spans="1:11" x14ac:dyDescent="0.25">
      <c r="A1485" s="162">
        <v>24715</v>
      </c>
      <c r="B1485" s="163">
        <v>5.14</v>
      </c>
      <c r="C1485" s="163"/>
      <c r="D1485" s="163"/>
      <c r="E1485" s="163"/>
      <c r="J1485" s="157">
        <v>32990</v>
      </c>
      <c r="K1485" s="158" t="e">
        <f>NA()</f>
        <v>#N/A</v>
      </c>
    </row>
    <row r="1486" spans="1:11" x14ac:dyDescent="0.25">
      <c r="A1486" s="162">
        <v>24716</v>
      </c>
      <c r="B1486" s="163">
        <v>5.13</v>
      </c>
      <c r="C1486" s="163"/>
      <c r="D1486" s="163"/>
      <c r="E1486" s="163"/>
      <c r="J1486" s="157">
        <v>32997</v>
      </c>
      <c r="K1486" s="158" t="e">
        <f>NA()</f>
        <v>#N/A</v>
      </c>
    </row>
    <row r="1487" spans="1:11" x14ac:dyDescent="0.25">
      <c r="A1487" s="162">
        <v>24719</v>
      </c>
      <c r="B1487" s="163" t="e">
        <f>NA()</f>
        <v>#N/A</v>
      </c>
      <c r="C1487" s="163"/>
      <c r="D1487" s="163"/>
      <c r="E1487" s="163"/>
      <c r="J1487" s="157">
        <v>33004</v>
      </c>
      <c r="K1487" s="158" t="e">
        <f>NA()</f>
        <v>#N/A</v>
      </c>
    </row>
    <row r="1488" spans="1:11" x14ac:dyDescent="0.25">
      <c r="A1488" s="162">
        <v>24720</v>
      </c>
      <c r="B1488" s="163">
        <v>5.1100000000000003</v>
      </c>
      <c r="C1488" s="163"/>
      <c r="D1488" s="163"/>
      <c r="E1488" s="163"/>
      <c r="J1488" s="157">
        <v>33011</v>
      </c>
      <c r="K1488" s="158" t="e">
        <f>NA()</f>
        <v>#N/A</v>
      </c>
    </row>
    <row r="1489" spans="1:11" x14ac:dyDescent="0.25">
      <c r="A1489" s="162">
        <v>24721</v>
      </c>
      <c r="B1489" s="163">
        <v>5.08</v>
      </c>
      <c r="C1489" s="163"/>
      <c r="D1489" s="163"/>
      <c r="E1489" s="163"/>
      <c r="J1489" s="157">
        <v>33018</v>
      </c>
      <c r="K1489" s="158" t="e">
        <f>NA()</f>
        <v>#N/A</v>
      </c>
    </row>
    <row r="1490" spans="1:11" x14ac:dyDescent="0.25">
      <c r="A1490" s="162">
        <v>24722</v>
      </c>
      <c r="B1490" s="163">
        <v>5.08</v>
      </c>
      <c r="C1490" s="163"/>
      <c r="D1490" s="163"/>
      <c r="E1490" s="163"/>
      <c r="J1490" s="157">
        <v>33025</v>
      </c>
      <c r="K1490" s="158" t="e">
        <f>NA()</f>
        <v>#N/A</v>
      </c>
    </row>
    <row r="1491" spans="1:11" x14ac:dyDescent="0.25">
      <c r="A1491" s="162">
        <v>24723</v>
      </c>
      <c r="B1491" s="163">
        <v>5.1100000000000003</v>
      </c>
      <c r="C1491" s="163"/>
      <c r="D1491" s="163"/>
      <c r="E1491" s="163"/>
      <c r="J1491" s="157">
        <v>33032</v>
      </c>
      <c r="K1491" s="158" t="e">
        <f>NA()</f>
        <v>#N/A</v>
      </c>
    </row>
    <row r="1492" spans="1:11" x14ac:dyDescent="0.25">
      <c r="A1492" s="162">
        <v>24726</v>
      </c>
      <c r="B1492" s="163">
        <v>5.13</v>
      </c>
      <c r="C1492" s="163"/>
      <c r="D1492" s="163"/>
      <c r="E1492" s="163"/>
      <c r="J1492" s="157">
        <v>33039</v>
      </c>
      <c r="K1492" s="158" t="e">
        <f>NA()</f>
        <v>#N/A</v>
      </c>
    </row>
    <row r="1493" spans="1:11" x14ac:dyDescent="0.25">
      <c r="A1493" s="162">
        <v>24727</v>
      </c>
      <c r="B1493" s="163">
        <v>5.13</v>
      </c>
      <c r="C1493" s="163"/>
      <c r="D1493" s="163"/>
      <c r="E1493" s="163"/>
      <c r="J1493" s="157">
        <v>33046</v>
      </c>
      <c r="K1493" s="158" t="e">
        <f>NA()</f>
        <v>#N/A</v>
      </c>
    </row>
    <row r="1494" spans="1:11" x14ac:dyDescent="0.25">
      <c r="A1494" s="162">
        <v>24728</v>
      </c>
      <c r="B1494" s="163">
        <v>5.12</v>
      </c>
      <c r="C1494" s="163"/>
      <c r="D1494" s="163"/>
      <c r="E1494" s="163"/>
      <c r="J1494" s="157">
        <v>33053</v>
      </c>
      <c r="K1494" s="158" t="e">
        <f>NA()</f>
        <v>#N/A</v>
      </c>
    </row>
    <row r="1495" spans="1:11" x14ac:dyDescent="0.25">
      <c r="A1495" s="162">
        <v>24729</v>
      </c>
      <c r="B1495" s="163">
        <v>5.13</v>
      </c>
      <c r="C1495" s="163"/>
      <c r="D1495" s="163"/>
      <c r="E1495" s="163"/>
      <c r="J1495" s="157">
        <v>33060</v>
      </c>
      <c r="K1495" s="158" t="e">
        <f>NA()</f>
        <v>#N/A</v>
      </c>
    </row>
    <row r="1496" spans="1:11" x14ac:dyDescent="0.25">
      <c r="A1496" s="162">
        <v>24730</v>
      </c>
      <c r="B1496" s="163">
        <v>5.14</v>
      </c>
      <c r="C1496" s="163"/>
      <c r="D1496" s="163"/>
      <c r="E1496" s="163"/>
      <c r="J1496" s="157">
        <v>33067</v>
      </c>
      <c r="K1496" s="158" t="e">
        <f>NA()</f>
        <v>#N/A</v>
      </c>
    </row>
    <row r="1497" spans="1:11" x14ac:dyDescent="0.25">
      <c r="A1497" s="162">
        <v>24733</v>
      </c>
      <c r="B1497" s="163">
        <v>5.15</v>
      </c>
      <c r="C1497" s="163"/>
      <c r="D1497" s="163"/>
      <c r="E1497" s="163"/>
      <c r="J1497" s="157">
        <v>33074</v>
      </c>
      <c r="K1497" s="158" t="e">
        <f>NA()</f>
        <v>#N/A</v>
      </c>
    </row>
    <row r="1498" spans="1:11" x14ac:dyDescent="0.25">
      <c r="A1498" s="162">
        <v>24734</v>
      </c>
      <c r="B1498" s="163">
        <v>5.19</v>
      </c>
      <c r="C1498" s="163"/>
      <c r="D1498" s="163"/>
      <c r="E1498" s="163"/>
      <c r="J1498" s="157">
        <v>33081</v>
      </c>
      <c r="K1498" s="158" t="e">
        <f>NA()</f>
        <v>#N/A</v>
      </c>
    </row>
    <row r="1499" spans="1:11" x14ac:dyDescent="0.25">
      <c r="A1499" s="162">
        <v>24735</v>
      </c>
      <c r="B1499" s="163">
        <v>5.18</v>
      </c>
      <c r="C1499" s="163"/>
      <c r="D1499" s="163"/>
      <c r="E1499" s="163"/>
      <c r="J1499" s="157">
        <v>33088</v>
      </c>
      <c r="K1499" s="158" t="e">
        <f>NA()</f>
        <v>#N/A</v>
      </c>
    </row>
    <row r="1500" spans="1:11" x14ac:dyDescent="0.25">
      <c r="A1500" s="162">
        <v>24736</v>
      </c>
      <c r="B1500" s="163">
        <v>5.21</v>
      </c>
      <c r="C1500" s="163"/>
      <c r="D1500" s="163"/>
      <c r="E1500" s="163"/>
      <c r="J1500" s="157">
        <v>33095</v>
      </c>
      <c r="K1500" s="158" t="e">
        <f>NA()</f>
        <v>#N/A</v>
      </c>
    </row>
    <row r="1501" spans="1:11" x14ac:dyDescent="0.25">
      <c r="A1501" s="162">
        <v>24737</v>
      </c>
      <c r="B1501" s="163">
        <v>5.21</v>
      </c>
      <c r="C1501" s="163"/>
      <c r="D1501" s="163"/>
      <c r="E1501" s="163"/>
      <c r="J1501" s="157">
        <v>33102</v>
      </c>
      <c r="K1501" s="158" t="e">
        <f>NA()</f>
        <v>#N/A</v>
      </c>
    </row>
    <row r="1502" spans="1:11" x14ac:dyDescent="0.25">
      <c r="A1502" s="162">
        <v>24740</v>
      </c>
      <c r="B1502" s="163">
        <v>5.23</v>
      </c>
      <c r="C1502" s="163"/>
      <c r="D1502" s="163"/>
      <c r="E1502" s="163"/>
      <c r="J1502" s="157">
        <v>33109</v>
      </c>
      <c r="K1502" s="158" t="e">
        <f>NA()</f>
        <v>#N/A</v>
      </c>
    </row>
    <row r="1503" spans="1:11" x14ac:dyDescent="0.25">
      <c r="A1503" s="162">
        <v>24741</v>
      </c>
      <c r="B1503" s="163">
        <v>5.23</v>
      </c>
      <c r="C1503" s="163"/>
      <c r="D1503" s="163"/>
      <c r="E1503" s="163"/>
      <c r="J1503" s="157">
        <v>33116</v>
      </c>
      <c r="K1503" s="158" t="e">
        <f>NA()</f>
        <v>#N/A</v>
      </c>
    </row>
    <row r="1504" spans="1:11" x14ac:dyDescent="0.25">
      <c r="A1504" s="162">
        <v>24742</v>
      </c>
      <c r="B1504" s="163">
        <v>5.24</v>
      </c>
      <c r="C1504" s="163"/>
      <c r="D1504" s="163"/>
      <c r="E1504" s="163"/>
      <c r="J1504" s="157">
        <v>33123</v>
      </c>
      <c r="K1504" s="158" t="e">
        <f>NA()</f>
        <v>#N/A</v>
      </c>
    </row>
    <row r="1505" spans="1:11" x14ac:dyDescent="0.25">
      <c r="A1505" s="162">
        <v>24743</v>
      </c>
      <c r="B1505" s="163">
        <v>5.23</v>
      </c>
      <c r="C1505" s="163"/>
      <c r="D1505" s="163"/>
      <c r="E1505" s="163"/>
      <c r="J1505" s="157">
        <v>33130</v>
      </c>
      <c r="K1505" s="158" t="e">
        <f>NA()</f>
        <v>#N/A</v>
      </c>
    </row>
    <row r="1506" spans="1:11" x14ac:dyDescent="0.25">
      <c r="A1506" s="162">
        <v>24744</v>
      </c>
      <c r="B1506" s="163">
        <v>5.19</v>
      </c>
      <c r="C1506" s="163"/>
      <c r="D1506" s="163"/>
      <c r="E1506" s="163"/>
      <c r="J1506" s="157">
        <v>33137</v>
      </c>
      <c r="K1506" s="158" t="e">
        <f>NA()</f>
        <v>#N/A</v>
      </c>
    </row>
    <row r="1507" spans="1:11" x14ac:dyDescent="0.25">
      <c r="A1507" s="162">
        <v>24747</v>
      </c>
      <c r="B1507" s="163">
        <v>5.21</v>
      </c>
      <c r="C1507" s="163"/>
      <c r="D1507" s="163"/>
      <c r="E1507" s="163"/>
      <c r="J1507" s="157">
        <v>33144</v>
      </c>
      <c r="K1507" s="158" t="e">
        <f>NA()</f>
        <v>#N/A</v>
      </c>
    </row>
    <row r="1508" spans="1:11" x14ac:dyDescent="0.25">
      <c r="A1508" s="162">
        <v>24748</v>
      </c>
      <c r="B1508" s="163">
        <v>5.21</v>
      </c>
      <c r="C1508" s="163"/>
      <c r="D1508" s="163"/>
      <c r="E1508" s="163"/>
      <c r="J1508" s="157">
        <v>33151</v>
      </c>
      <c r="K1508" s="158" t="e">
        <f>NA()</f>
        <v>#N/A</v>
      </c>
    </row>
    <row r="1509" spans="1:11" x14ac:dyDescent="0.25">
      <c r="A1509" s="162">
        <v>24749</v>
      </c>
      <c r="B1509" s="163">
        <v>5.23</v>
      </c>
      <c r="C1509" s="163"/>
      <c r="D1509" s="163"/>
      <c r="E1509" s="163"/>
      <c r="J1509" s="157">
        <v>33158</v>
      </c>
      <c r="K1509" s="158" t="e">
        <f>NA()</f>
        <v>#N/A</v>
      </c>
    </row>
    <row r="1510" spans="1:11" x14ac:dyDescent="0.25">
      <c r="A1510" s="162">
        <v>24750</v>
      </c>
      <c r="B1510" s="163">
        <v>5.23</v>
      </c>
      <c r="C1510" s="163"/>
      <c r="D1510" s="163"/>
      <c r="E1510" s="163"/>
      <c r="J1510" s="157">
        <v>33165</v>
      </c>
      <c r="K1510" s="158" t="e">
        <f>NA()</f>
        <v>#N/A</v>
      </c>
    </row>
    <row r="1511" spans="1:11" x14ac:dyDescent="0.25">
      <c r="A1511" s="162">
        <v>24751</v>
      </c>
      <c r="B1511" s="163">
        <v>5.23</v>
      </c>
      <c r="C1511" s="163"/>
      <c r="D1511" s="163"/>
      <c r="E1511" s="163"/>
      <c r="J1511" s="157">
        <v>33172</v>
      </c>
      <c r="K1511" s="158" t="e">
        <f>NA()</f>
        <v>#N/A</v>
      </c>
    </row>
    <row r="1512" spans="1:11" x14ac:dyDescent="0.25">
      <c r="A1512" s="162">
        <v>24754</v>
      </c>
      <c r="B1512" s="163">
        <v>5.24</v>
      </c>
      <c r="C1512" s="163"/>
      <c r="D1512" s="163"/>
      <c r="E1512" s="163"/>
      <c r="J1512" s="157">
        <v>33179</v>
      </c>
      <c r="K1512" s="158" t="e">
        <f>NA()</f>
        <v>#N/A</v>
      </c>
    </row>
    <row r="1513" spans="1:11" x14ac:dyDescent="0.25">
      <c r="A1513" s="162">
        <v>24755</v>
      </c>
      <c r="B1513" s="163">
        <v>5.28</v>
      </c>
      <c r="C1513" s="163"/>
      <c r="D1513" s="163"/>
      <c r="E1513" s="163"/>
      <c r="J1513" s="157">
        <v>33186</v>
      </c>
      <c r="K1513" s="158" t="e">
        <f>NA()</f>
        <v>#N/A</v>
      </c>
    </row>
    <row r="1514" spans="1:11" x14ac:dyDescent="0.25">
      <c r="A1514" s="162">
        <v>24756</v>
      </c>
      <c r="B1514" s="163">
        <v>5.29</v>
      </c>
      <c r="C1514" s="163"/>
      <c r="D1514" s="163"/>
      <c r="E1514" s="163"/>
      <c r="J1514" s="157">
        <v>33193</v>
      </c>
      <c r="K1514" s="158" t="e">
        <f>NA()</f>
        <v>#N/A</v>
      </c>
    </row>
    <row r="1515" spans="1:11" x14ac:dyDescent="0.25">
      <c r="A1515" s="162">
        <v>24757</v>
      </c>
      <c r="B1515" s="163" t="e">
        <f>NA()</f>
        <v>#N/A</v>
      </c>
      <c r="C1515" s="163"/>
      <c r="D1515" s="163"/>
      <c r="E1515" s="163"/>
      <c r="J1515" s="157">
        <v>33200</v>
      </c>
      <c r="K1515" s="158" t="e">
        <f>NA()</f>
        <v>#N/A</v>
      </c>
    </row>
    <row r="1516" spans="1:11" x14ac:dyDescent="0.25">
      <c r="A1516" s="162">
        <v>24758</v>
      </c>
      <c r="B1516" s="163">
        <v>5.32</v>
      </c>
      <c r="C1516" s="163"/>
      <c r="D1516" s="163"/>
      <c r="E1516" s="163"/>
      <c r="J1516" s="157">
        <v>33207</v>
      </c>
      <c r="K1516" s="158" t="e">
        <f>NA()</f>
        <v>#N/A</v>
      </c>
    </row>
    <row r="1517" spans="1:11" x14ac:dyDescent="0.25">
      <c r="A1517" s="162">
        <v>24761</v>
      </c>
      <c r="B1517" s="163">
        <v>5.35</v>
      </c>
      <c r="C1517" s="163"/>
      <c r="D1517" s="163"/>
      <c r="E1517" s="163"/>
      <c r="J1517" s="157">
        <v>33214</v>
      </c>
      <c r="K1517" s="158" t="e">
        <f>NA()</f>
        <v>#N/A</v>
      </c>
    </row>
    <row r="1518" spans="1:11" x14ac:dyDescent="0.25">
      <c r="A1518" s="162">
        <v>24762</v>
      </c>
      <c r="B1518" s="163">
        <v>5.4</v>
      </c>
      <c r="C1518" s="163"/>
      <c r="D1518" s="163"/>
      <c r="E1518" s="163"/>
      <c r="J1518" s="157">
        <v>33221</v>
      </c>
      <c r="K1518" s="158" t="e">
        <f>NA()</f>
        <v>#N/A</v>
      </c>
    </row>
    <row r="1519" spans="1:11" x14ac:dyDescent="0.25">
      <c r="A1519" s="162">
        <v>24763</v>
      </c>
      <c r="B1519" s="163">
        <v>5.45</v>
      </c>
      <c r="C1519" s="163"/>
      <c r="D1519" s="163"/>
      <c r="E1519" s="163"/>
      <c r="J1519" s="157">
        <v>33228</v>
      </c>
      <c r="K1519" s="158" t="e">
        <f>NA()</f>
        <v>#N/A</v>
      </c>
    </row>
    <row r="1520" spans="1:11" x14ac:dyDescent="0.25">
      <c r="A1520" s="162">
        <v>24764</v>
      </c>
      <c r="B1520" s="163">
        <v>5.47</v>
      </c>
      <c r="C1520" s="163"/>
      <c r="D1520" s="163"/>
      <c r="E1520" s="163"/>
      <c r="J1520" s="157">
        <v>33235</v>
      </c>
      <c r="K1520" s="158" t="e">
        <f>NA()</f>
        <v>#N/A</v>
      </c>
    </row>
    <row r="1521" spans="1:11" x14ac:dyDescent="0.25">
      <c r="A1521" s="162">
        <v>24765</v>
      </c>
      <c r="B1521" s="163">
        <v>5.46</v>
      </c>
      <c r="C1521" s="163"/>
      <c r="D1521" s="163"/>
      <c r="E1521" s="163"/>
      <c r="J1521" s="157">
        <v>33242</v>
      </c>
      <c r="K1521" s="158" t="e">
        <f>NA()</f>
        <v>#N/A</v>
      </c>
    </row>
    <row r="1522" spans="1:11" x14ac:dyDescent="0.25">
      <c r="A1522" s="162">
        <v>24768</v>
      </c>
      <c r="B1522" s="163">
        <v>5.47</v>
      </c>
      <c r="C1522" s="163"/>
      <c r="D1522" s="163"/>
      <c r="E1522" s="163"/>
      <c r="J1522" s="157">
        <v>33249</v>
      </c>
      <c r="K1522" s="158" t="e">
        <f>NA()</f>
        <v>#N/A</v>
      </c>
    </row>
    <row r="1523" spans="1:11" x14ac:dyDescent="0.25">
      <c r="A1523" s="162">
        <v>24769</v>
      </c>
      <c r="B1523" s="163">
        <v>5.47</v>
      </c>
      <c r="C1523" s="163"/>
      <c r="D1523" s="163"/>
      <c r="E1523" s="163"/>
      <c r="J1523" s="157">
        <v>33256</v>
      </c>
      <c r="K1523" s="158" t="e">
        <f>NA()</f>
        <v>#N/A</v>
      </c>
    </row>
    <row r="1524" spans="1:11" x14ac:dyDescent="0.25">
      <c r="A1524" s="162">
        <v>24770</v>
      </c>
      <c r="B1524" s="163">
        <v>5.46</v>
      </c>
      <c r="C1524" s="163"/>
      <c r="D1524" s="163"/>
      <c r="E1524" s="163"/>
      <c r="J1524" s="157">
        <v>33263</v>
      </c>
      <c r="K1524" s="158" t="e">
        <f>NA()</f>
        <v>#N/A</v>
      </c>
    </row>
    <row r="1525" spans="1:11" x14ac:dyDescent="0.25">
      <c r="A1525" s="162">
        <v>24771</v>
      </c>
      <c r="B1525" s="163">
        <v>5.46</v>
      </c>
      <c r="C1525" s="163"/>
      <c r="D1525" s="163"/>
      <c r="E1525" s="163"/>
      <c r="J1525" s="157">
        <v>33270</v>
      </c>
      <c r="K1525" s="158" t="e">
        <f>NA()</f>
        <v>#N/A</v>
      </c>
    </row>
    <row r="1526" spans="1:11" x14ac:dyDescent="0.25">
      <c r="A1526" s="162">
        <v>24772</v>
      </c>
      <c r="B1526" s="163">
        <v>5.44</v>
      </c>
      <c r="C1526" s="163"/>
      <c r="D1526" s="163"/>
      <c r="E1526" s="163"/>
      <c r="J1526" s="157">
        <v>33277</v>
      </c>
      <c r="K1526" s="158" t="e">
        <f>NA()</f>
        <v>#N/A</v>
      </c>
    </row>
    <row r="1527" spans="1:11" x14ac:dyDescent="0.25">
      <c r="A1527" s="162">
        <v>24775</v>
      </c>
      <c r="B1527" s="163">
        <v>5.46</v>
      </c>
      <c r="C1527" s="163"/>
      <c r="D1527" s="163"/>
      <c r="E1527" s="163"/>
      <c r="J1527" s="157">
        <v>33284</v>
      </c>
      <c r="K1527" s="158" t="e">
        <f>NA()</f>
        <v>#N/A</v>
      </c>
    </row>
    <row r="1528" spans="1:11" x14ac:dyDescent="0.25">
      <c r="A1528" s="162">
        <v>24776</v>
      </c>
      <c r="B1528" s="163">
        <v>5.52</v>
      </c>
      <c r="C1528" s="163"/>
      <c r="D1528" s="163"/>
      <c r="E1528" s="163"/>
      <c r="J1528" s="157">
        <v>33291</v>
      </c>
      <c r="K1528" s="158" t="e">
        <f>NA()</f>
        <v>#N/A</v>
      </c>
    </row>
    <row r="1529" spans="1:11" x14ac:dyDescent="0.25">
      <c r="A1529" s="162">
        <v>24777</v>
      </c>
      <c r="B1529" s="163">
        <v>5.55</v>
      </c>
      <c r="C1529" s="163"/>
      <c r="D1529" s="163"/>
      <c r="E1529" s="163"/>
      <c r="J1529" s="157">
        <v>33298</v>
      </c>
      <c r="K1529" s="158" t="e">
        <f>NA()</f>
        <v>#N/A</v>
      </c>
    </row>
    <row r="1530" spans="1:11" x14ac:dyDescent="0.25">
      <c r="A1530" s="162">
        <v>24778</v>
      </c>
      <c r="B1530" s="163">
        <v>5.57</v>
      </c>
      <c r="C1530" s="163"/>
      <c r="D1530" s="163"/>
      <c r="E1530" s="163"/>
      <c r="J1530" s="157">
        <v>33305</v>
      </c>
      <c r="K1530" s="158" t="e">
        <f>NA()</f>
        <v>#N/A</v>
      </c>
    </row>
    <row r="1531" spans="1:11" x14ac:dyDescent="0.25">
      <c r="A1531" s="162">
        <v>24779</v>
      </c>
      <c r="B1531" s="163">
        <v>5.62</v>
      </c>
      <c r="C1531" s="163"/>
      <c r="D1531" s="163"/>
      <c r="E1531" s="163"/>
      <c r="J1531" s="157">
        <v>33312</v>
      </c>
      <c r="K1531" s="158" t="e">
        <f>NA()</f>
        <v>#N/A</v>
      </c>
    </row>
    <row r="1532" spans="1:11" x14ac:dyDescent="0.25">
      <c r="A1532" s="162">
        <v>24782</v>
      </c>
      <c r="B1532" s="163">
        <v>5.64</v>
      </c>
      <c r="C1532" s="163"/>
      <c r="D1532" s="163"/>
      <c r="E1532" s="163"/>
      <c r="J1532" s="157">
        <v>33319</v>
      </c>
      <c r="K1532" s="158" t="e">
        <f>NA()</f>
        <v>#N/A</v>
      </c>
    </row>
    <row r="1533" spans="1:11" x14ac:dyDescent="0.25">
      <c r="A1533" s="162">
        <v>24783</v>
      </c>
      <c r="B1533" s="163" t="e">
        <f>NA()</f>
        <v>#N/A</v>
      </c>
      <c r="C1533" s="163"/>
      <c r="D1533" s="163"/>
      <c r="E1533" s="163"/>
      <c r="J1533" s="157">
        <v>33326</v>
      </c>
      <c r="K1533" s="158" t="e">
        <f>NA()</f>
        <v>#N/A</v>
      </c>
    </row>
    <row r="1534" spans="1:11" x14ac:dyDescent="0.25">
      <c r="A1534" s="162">
        <v>24784</v>
      </c>
      <c r="B1534" s="163">
        <v>5.62</v>
      </c>
      <c r="C1534" s="163"/>
      <c r="D1534" s="163"/>
      <c r="E1534" s="163"/>
      <c r="J1534" s="157">
        <v>33333</v>
      </c>
      <c r="K1534" s="158" t="e">
        <f>NA()</f>
        <v>#N/A</v>
      </c>
    </row>
    <row r="1535" spans="1:11" x14ac:dyDescent="0.25">
      <c r="A1535" s="162">
        <v>24785</v>
      </c>
      <c r="B1535" s="163">
        <v>5.68</v>
      </c>
      <c r="C1535" s="163"/>
      <c r="D1535" s="163"/>
      <c r="E1535" s="163"/>
      <c r="J1535" s="157">
        <v>33340</v>
      </c>
      <c r="K1535" s="158" t="e">
        <f>NA()</f>
        <v>#N/A</v>
      </c>
    </row>
    <row r="1536" spans="1:11" x14ac:dyDescent="0.25">
      <c r="A1536" s="162">
        <v>24786</v>
      </c>
      <c r="B1536" s="163">
        <v>5.73</v>
      </c>
      <c r="C1536" s="163"/>
      <c r="D1536" s="163"/>
      <c r="E1536" s="163"/>
      <c r="J1536" s="157">
        <v>33347</v>
      </c>
      <c r="K1536" s="158" t="e">
        <f>NA()</f>
        <v>#N/A</v>
      </c>
    </row>
    <row r="1537" spans="1:11" x14ac:dyDescent="0.25">
      <c r="A1537" s="162">
        <v>24789</v>
      </c>
      <c r="B1537" s="163">
        <v>5.8</v>
      </c>
      <c r="C1537" s="163"/>
      <c r="D1537" s="163"/>
      <c r="E1537" s="163"/>
      <c r="J1537" s="157">
        <v>33354</v>
      </c>
      <c r="K1537" s="158" t="e">
        <f>NA()</f>
        <v>#N/A</v>
      </c>
    </row>
    <row r="1538" spans="1:11" x14ac:dyDescent="0.25">
      <c r="A1538" s="162">
        <v>24790</v>
      </c>
      <c r="B1538" s="163">
        <v>5.75</v>
      </c>
      <c r="C1538" s="163"/>
      <c r="D1538" s="163"/>
      <c r="E1538" s="163"/>
      <c r="J1538" s="157">
        <v>33361</v>
      </c>
      <c r="K1538" s="158" t="e">
        <f>NA()</f>
        <v>#N/A</v>
      </c>
    </row>
    <row r="1539" spans="1:11" x14ac:dyDescent="0.25">
      <c r="A1539" s="162">
        <v>24791</v>
      </c>
      <c r="B1539" s="163">
        <v>5.73</v>
      </c>
      <c r="C1539" s="163"/>
      <c r="D1539" s="163"/>
      <c r="E1539" s="163"/>
      <c r="J1539" s="157">
        <v>33368</v>
      </c>
      <c r="K1539" s="158" t="e">
        <f>NA()</f>
        <v>#N/A</v>
      </c>
    </row>
    <row r="1540" spans="1:11" x14ac:dyDescent="0.25">
      <c r="A1540" s="162">
        <v>24792</v>
      </c>
      <c r="B1540" s="163">
        <v>5.67</v>
      </c>
      <c r="C1540" s="163"/>
      <c r="D1540" s="163"/>
      <c r="E1540" s="163"/>
      <c r="J1540" s="157">
        <v>33375</v>
      </c>
      <c r="K1540" s="158" t="e">
        <f>NA()</f>
        <v>#N/A</v>
      </c>
    </row>
    <row r="1541" spans="1:11" x14ac:dyDescent="0.25">
      <c r="A1541" s="162">
        <v>24793</v>
      </c>
      <c r="B1541" s="163">
        <v>5.7</v>
      </c>
      <c r="C1541" s="163"/>
      <c r="D1541" s="163"/>
      <c r="E1541" s="163"/>
      <c r="J1541" s="157">
        <v>33382</v>
      </c>
      <c r="K1541" s="158" t="e">
        <f>NA()</f>
        <v>#N/A</v>
      </c>
    </row>
    <row r="1542" spans="1:11" x14ac:dyDescent="0.25">
      <c r="A1542" s="162">
        <v>24796</v>
      </c>
      <c r="B1542" s="163">
        <v>5.81</v>
      </c>
      <c r="C1542" s="163"/>
      <c r="D1542" s="163"/>
      <c r="E1542" s="163"/>
      <c r="J1542" s="157">
        <v>33389</v>
      </c>
      <c r="K1542" s="158" t="e">
        <f>NA()</f>
        <v>#N/A</v>
      </c>
    </row>
    <row r="1543" spans="1:11" x14ac:dyDescent="0.25">
      <c r="A1543" s="162">
        <v>24797</v>
      </c>
      <c r="B1543" s="163">
        <v>5.63</v>
      </c>
      <c r="C1543" s="163"/>
      <c r="D1543" s="163"/>
      <c r="E1543" s="163"/>
      <c r="J1543" s="157">
        <v>33396</v>
      </c>
      <c r="K1543" s="158" t="e">
        <f>NA()</f>
        <v>#N/A</v>
      </c>
    </row>
    <row r="1544" spans="1:11" x14ac:dyDescent="0.25">
      <c r="A1544" s="162">
        <v>24798</v>
      </c>
      <c r="B1544" s="163">
        <v>5.61</v>
      </c>
      <c r="C1544" s="163"/>
      <c r="D1544" s="163"/>
      <c r="E1544" s="163"/>
      <c r="J1544" s="157">
        <v>33403</v>
      </c>
      <c r="K1544" s="158" t="e">
        <f>NA()</f>
        <v>#N/A</v>
      </c>
    </row>
    <row r="1545" spans="1:11" x14ac:dyDescent="0.25">
      <c r="A1545" s="162">
        <v>24799</v>
      </c>
      <c r="B1545" s="163" t="e">
        <f>NA()</f>
        <v>#N/A</v>
      </c>
      <c r="C1545" s="163"/>
      <c r="D1545" s="163"/>
      <c r="E1545" s="163"/>
      <c r="J1545" s="157">
        <v>33410</v>
      </c>
      <c r="K1545" s="158" t="e">
        <f>NA()</f>
        <v>#N/A</v>
      </c>
    </row>
    <row r="1546" spans="1:11" x14ac:dyDescent="0.25">
      <c r="A1546" s="162">
        <v>24800</v>
      </c>
      <c r="B1546" s="163">
        <v>5.69</v>
      </c>
      <c r="C1546" s="163"/>
      <c r="D1546" s="163"/>
      <c r="E1546" s="163"/>
      <c r="J1546" s="157">
        <v>33417</v>
      </c>
      <c r="K1546" s="158" t="e">
        <f>NA()</f>
        <v>#N/A</v>
      </c>
    </row>
    <row r="1547" spans="1:11" x14ac:dyDescent="0.25">
      <c r="A1547" s="162">
        <v>24803</v>
      </c>
      <c r="B1547" s="163">
        <v>5.67</v>
      </c>
      <c r="C1547" s="163"/>
      <c r="D1547" s="163"/>
      <c r="E1547" s="163"/>
      <c r="J1547" s="157">
        <v>33424</v>
      </c>
      <c r="K1547" s="158" t="e">
        <f>NA()</f>
        <v>#N/A</v>
      </c>
    </row>
    <row r="1548" spans="1:11" x14ac:dyDescent="0.25">
      <c r="A1548" s="162">
        <v>24804</v>
      </c>
      <c r="B1548" s="163">
        <v>5.57</v>
      </c>
      <c r="C1548" s="163"/>
      <c r="D1548" s="163"/>
      <c r="E1548" s="163"/>
      <c r="J1548" s="157">
        <v>33431</v>
      </c>
      <c r="K1548" s="158" t="e">
        <f>NA()</f>
        <v>#N/A</v>
      </c>
    </row>
    <row r="1549" spans="1:11" x14ac:dyDescent="0.25">
      <c r="A1549" s="162">
        <v>24805</v>
      </c>
      <c r="B1549" s="163">
        <v>5.58</v>
      </c>
      <c r="C1549" s="163"/>
      <c r="D1549" s="163"/>
      <c r="E1549" s="163"/>
      <c r="J1549" s="157">
        <v>33438</v>
      </c>
      <c r="K1549" s="158" t="e">
        <f>NA()</f>
        <v>#N/A</v>
      </c>
    </row>
    <row r="1550" spans="1:11" x14ac:dyDescent="0.25">
      <c r="A1550" s="162">
        <v>24806</v>
      </c>
      <c r="B1550" s="163">
        <v>5.65</v>
      </c>
      <c r="C1550" s="163"/>
      <c r="D1550" s="163"/>
      <c r="E1550" s="163"/>
      <c r="J1550" s="157">
        <v>33445</v>
      </c>
      <c r="K1550" s="158" t="e">
        <f>NA()</f>
        <v>#N/A</v>
      </c>
    </row>
    <row r="1551" spans="1:11" x14ac:dyDescent="0.25">
      <c r="A1551" s="162">
        <v>24807</v>
      </c>
      <c r="B1551" s="163">
        <v>5.68</v>
      </c>
      <c r="C1551" s="163"/>
      <c r="D1551" s="163"/>
      <c r="E1551" s="163"/>
      <c r="J1551" s="157">
        <v>33452</v>
      </c>
      <c r="K1551" s="158" t="e">
        <f>NA()</f>
        <v>#N/A</v>
      </c>
    </row>
    <row r="1552" spans="1:11" x14ac:dyDescent="0.25">
      <c r="A1552" s="162">
        <v>24810</v>
      </c>
      <c r="B1552" s="163">
        <v>5.66</v>
      </c>
      <c r="C1552" s="163"/>
      <c r="D1552" s="163"/>
      <c r="E1552" s="163"/>
      <c r="J1552" s="157">
        <v>33459</v>
      </c>
      <c r="K1552" s="158" t="e">
        <f>NA()</f>
        <v>#N/A</v>
      </c>
    </row>
    <row r="1553" spans="1:11" x14ac:dyDescent="0.25">
      <c r="A1553" s="162">
        <v>24811</v>
      </c>
      <c r="B1553" s="163">
        <v>5.64</v>
      </c>
      <c r="C1553" s="163"/>
      <c r="D1553" s="163"/>
      <c r="E1553" s="163"/>
      <c r="J1553" s="157">
        <v>33466</v>
      </c>
      <c r="K1553" s="158" t="e">
        <f>NA()</f>
        <v>#N/A</v>
      </c>
    </row>
    <row r="1554" spans="1:11" x14ac:dyDescent="0.25">
      <c r="A1554" s="162">
        <v>24812</v>
      </c>
      <c r="B1554" s="164">
        <v>5.58</v>
      </c>
      <c r="C1554" s="164"/>
      <c r="D1554" s="164"/>
      <c r="E1554" s="164"/>
      <c r="J1554" s="157">
        <v>33473</v>
      </c>
      <c r="K1554" s="158" t="e">
        <f>NA()</f>
        <v>#N/A</v>
      </c>
    </row>
    <row r="1555" spans="1:11" x14ac:dyDescent="0.25">
      <c r="A1555" s="162">
        <v>24813</v>
      </c>
      <c r="B1555" s="163">
        <v>5.6</v>
      </c>
      <c r="C1555" s="163"/>
      <c r="D1555" s="163"/>
      <c r="E1555" s="163"/>
      <c r="J1555" s="157">
        <v>33480</v>
      </c>
      <c r="K1555" s="158" t="e">
        <f>NA()</f>
        <v>#N/A</v>
      </c>
    </row>
    <row r="1556" spans="1:11" x14ac:dyDescent="0.25">
      <c r="A1556" s="162">
        <v>24814</v>
      </c>
      <c r="B1556" s="163">
        <v>5.61</v>
      </c>
      <c r="C1556" s="163"/>
      <c r="D1556" s="163"/>
      <c r="E1556" s="163"/>
      <c r="J1556" s="157">
        <v>33487</v>
      </c>
      <c r="K1556" s="158" t="e">
        <f>NA()</f>
        <v>#N/A</v>
      </c>
    </row>
    <row r="1557" spans="1:11" x14ac:dyDescent="0.25">
      <c r="A1557" s="162">
        <v>24817</v>
      </c>
      <c r="B1557" s="163">
        <v>5.63</v>
      </c>
      <c r="C1557" s="163"/>
      <c r="D1557" s="163"/>
      <c r="E1557" s="163"/>
      <c r="J1557" s="157">
        <v>33494</v>
      </c>
      <c r="K1557" s="158" t="e">
        <f>NA()</f>
        <v>#N/A</v>
      </c>
    </row>
    <row r="1558" spans="1:11" x14ac:dyDescent="0.25">
      <c r="A1558" s="162">
        <v>24818</v>
      </c>
      <c r="B1558" s="163">
        <v>5.64</v>
      </c>
      <c r="C1558" s="163"/>
      <c r="D1558" s="163"/>
      <c r="E1558" s="163"/>
      <c r="J1558" s="157">
        <v>33501</v>
      </c>
      <c r="K1558" s="158" t="e">
        <f>NA()</f>
        <v>#N/A</v>
      </c>
    </row>
    <row r="1559" spans="1:11" x14ac:dyDescent="0.25">
      <c r="A1559" s="162">
        <v>24819</v>
      </c>
      <c r="B1559" s="163">
        <v>5.61</v>
      </c>
      <c r="C1559" s="163"/>
      <c r="D1559" s="163"/>
      <c r="E1559" s="163"/>
      <c r="J1559" s="157">
        <v>33508</v>
      </c>
      <c r="K1559" s="158" t="e">
        <f>NA()</f>
        <v>#N/A</v>
      </c>
    </row>
    <row r="1560" spans="1:11" x14ac:dyDescent="0.25">
      <c r="A1560" s="162">
        <v>24820</v>
      </c>
      <c r="B1560" s="163">
        <v>5.59</v>
      </c>
      <c r="C1560" s="163"/>
      <c r="D1560" s="163"/>
      <c r="E1560" s="163"/>
      <c r="J1560" s="157">
        <v>33515</v>
      </c>
      <c r="K1560" s="158" t="e">
        <f>NA()</f>
        <v>#N/A</v>
      </c>
    </row>
    <row r="1561" spans="1:11" x14ac:dyDescent="0.25">
      <c r="A1561" s="162">
        <v>24821</v>
      </c>
      <c r="B1561" s="163">
        <v>5.6</v>
      </c>
      <c r="C1561" s="163"/>
      <c r="D1561" s="163"/>
      <c r="E1561" s="163"/>
      <c r="J1561" s="157">
        <v>33522</v>
      </c>
      <c r="K1561" s="158" t="e">
        <f>NA()</f>
        <v>#N/A</v>
      </c>
    </row>
    <row r="1562" spans="1:11" x14ac:dyDescent="0.25">
      <c r="A1562" s="162">
        <v>24824</v>
      </c>
      <c r="B1562" s="163">
        <v>5.56</v>
      </c>
      <c r="C1562" s="163"/>
      <c r="D1562" s="163"/>
      <c r="E1562" s="163"/>
      <c r="J1562" s="157">
        <v>33529</v>
      </c>
      <c r="K1562" s="158" t="e">
        <f>NA()</f>
        <v>#N/A</v>
      </c>
    </row>
    <row r="1563" spans="1:11" x14ac:dyDescent="0.25">
      <c r="A1563" s="162">
        <v>24825</v>
      </c>
      <c r="B1563" s="163">
        <v>5.55</v>
      </c>
      <c r="C1563" s="163"/>
      <c r="D1563" s="163"/>
      <c r="E1563" s="163"/>
      <c r="J1563" s="157">
        <v>33536</v>
      </c>
      <c r="K1563" s="158" t="e">
        <f>NA()</f>
        <v>#N/A</v>
      </c>
    </row>
    <row r="1564" spans="1:11" x14ac:dyDescent="0.25">
      <c r="A1564" s="162">
        <v>24826</v>
      </c>
      <c r="B1564" s="163">
        <v>5.53</v>
      </c>
      <c r="C1564" s="163"/>
      <c r="D1564" s="163"/>
      <c r="E1564" s="163"/>
      <c r="J1564" s="157">
        <v>33543</v>
      </c>
      <c r="K1564" s="158" t="e">
        <f>NA()</f>
        <v>#N/A</v>
      </c>
    </row>
    <row r="1565" spans="1:11" x14ac:dyDescent="0.25">
      <c r="A1565" s="162">
        <v>24827</v>
      </c>
      <c r="B1565" s="163">
        <v>5.55</v>
      </c>
      <c r="C1565" s="163"/>
      <c r="D1565" s="163"/>
      <c r="E1565" s="163"/>
      <c r="J1565" s="157">
        <v>33550</v>
      </c>
      <c r="K1565" s="158" t="e">
        <f>NA()</f>
        <v>#N/A</v>
      </c>
    </row>
    <row r="1566" spans="1:11" x14ac:dyDescent="0.25">
      <c r="A1566" s="162">
        <v>24828</v>
      </c>
      <c r="B1566" s="163">
        <v>5.58</v>
      </c>
      <c r="C1566" s="163"/>
      <c r="D1566" s="163"/>
      <c r="E1566" s="163"/>
      <c r="J1566" s="157">
        <v>33557</v>
      </c>
      <c r="K1566" s="158" t="e">
        <f>NA()</f>
        <v>#N/A</v>
      </c>
    </row>
    <row r="1567" spans="1:11" x14ac:dyDescent="0.25">
      <c r="A1567" s="162">
        <v>24831</v>
      </c>
      <c r="B1567" s="163" t="e">
        <f>NA()</f>
        <v>#N/A</v>
      </c>
      <c r="C1567" s="163"/>
      <c r="D1567" s="163"/>
      <c r="E1567" s="163"/>
      <c r="J1567" s="157">
        <v>33564</v>
      </c>
      <c r="K1567" s="158" t="e">
        <f>NA()</f>
        <v>#N/A</v>
      </c>
    </row>
    <row r="1568" spans="1:11" x14ac:dyDescent="0.25">
      <c r="A1568" s="162">
        <v>24832</v>
      </c>
      <c r="B1568" s="163">
        <v>5.55</v>
      </c>
      <c r="C1568" s="163"/>
      <c r="D1568" s="163"/>
      <c r="E1568" s="163"/>
      <c r="J1568" s="157">
        <v>33571</v>
      </c>
      <c r="K1568" s="158" t="e">
        <f>NA()</f>
        <v>#N/A</v>
      </c>
    </row>
    <row r="1569" spans="1:11" x14ac:dyDescent="0.25">
      <c r="A1569" s="162">
        <v>24833</v>
      </c>
      <c r="B1569" s="163">
        <v>5.53</v>
      </c>
      <c r="C1569" s="163"/>
      <c r="D1569" s="163"/>
      <c r="E1569" s="163"/>
      <c r="J1569" s="157">
        <v>33578</v>
      </c>
      <c r="K1569" s="158" t="e">
        <f>NA()</f>
        <v>#N/A</v>
      </c>
    </row>
    <row r="1570" spans="1:11" x14ac:dyDescent="0.25">
      <c r="A1570" s="162">
        <v>24834</v>
      </c>
      <c r="B1570" s="163">
        <v>5.57</v>
      </c>
      <c r="C1570" s="163"/>
      <c r="D1570" s="163"/>
      <c r="E1570" s="163"/>
      <c r="J1570" s="157">
        <v>33585</v>
      </c>
      <c r="K1570" s="158" t="e">
        <f>NA()</f>
        <v>#N/A</v>
      </c>
    </row>
    <row r="1571" spans="1:11" x14ac:dyDescent="0.25">
      <c r="A1571" s="162">
        <v>24835</v>
      </c>
      <c r="B1571" s="163">
        <v>5.56</v>
      </c>
      <c r="C1571" s="163"/>
      <c r="D1571" s="163"/>
      <c r="E1571" s="163"/>
      <c r="J1571" s="157">
        <v>33592</v>
      </c>
      <c r="K1571" s="158" t="e">
        <f>NA()</f>
        <v>#N/A</v>
      </c>
    </row>
    <row r="1572" spans="1:11" x14ac:dyDescent="0.25">
      <c r="A1572" s="162">
        <v>24838</v>
      </c>
      <c r="B1572" s="163" t="e">
        <f>NA()</f>
        <v>#N/A</v>
      </c>
      <c r="C1572" s="163"/>
      <c r="D1572" s="163"/>
      <c r="E1572" s="163"/>
      <c r="J1572" s="157">
        <v>33599</v>
      </c>
      <c r="K1572" s="158" t="e">
        <f>NA()</f>
        <v>#N/A</v>
      </c>
    </row>
    <row r="1573" spans="1:11" x14ac:dyDescent="0.25">
      <c r="A1573" s="162">
        <v>24839</v>
      </c>
      <c r="B1573" s="163">
        <v>5.51</v>
      </c>
      <c r="C1573" s="163"/>
      <c r="D1573" s="163"/>
      <c r="E1573" s="163"/>
      <c r="J1573" s="157">
        <v>33606</v>
      </c>
      <c r="K1573" s="158" t="e">
        <f>NA()</f>
        <v>#N/A</v>
      </c>
    </row>
    <row r="1574" spans="1:11" x14ac:dyDescent="0.25">
      <c r="A1574" s="162">
        <v>24840</v>
      </c>
      <c r="B1574" s="163">
        <v>5.48</v>
      </c>
      <c r="C1574" s="163"/>
      <c r="D1574" s="163"/>
      <c r="E1574" s="163"/>
      <c r="J1574" s="157">
        <v>33613</v>
      </c>
      <c r="K1574" s="158" t="e">
        <f>NA()</f>
        <v>#N/A</v>
      </c>
    </row>
    <row r="1575" spans="1:11" x14ac:dyDescent="0.25">
      <c r="A1575" s="162">
        <v>24841</v>
      </c>
      <c r="B1575" s="163">
        <v>5.37</v>
      </c>
      <c r="C1575" s="163"/>
      <c r="D1575" s="163"/>
      <c r="E1575" s="163"/>
      <c r="J1575" s="157">
        <v>33620</v>
      </c>
      <c r="K1575" s="158" t="e">
        <f>NA()</f>
        <v>#N/A</v>
      </c>
    </row>
    <row r="1576" spans="1:11" x14ac:dyDescent="0.25">
      <c r="A1576" s="162">
        <v>24842</v>
      </c>
      <c r="B1576" s="163">
        <v>5.33</v>
      </c>
      <c r="C1576" s="163"/>
      <c r="D1576" s="163"/>
      <c r="E1576" s="163"/>
      <c r="J1576" s="157">
        <v>33627</v>
      </c>
      <c r="K1576" s="158" t="e">
        <f>NA()</f>
        <v>#N/A</v>
      </c>
    </row>
    <row r="1577" spans="1:11" x14ac:dyDescent="0.25">
      <c r="A1577" s="162">
        <v>24845</v>
      </c>
      <c r="B1577" s="163">
        <v>5.34</v>
      </c>
      <c r="C1577" s="163"/>
      <c r="D1577" s="163"/>
      <c r="E1577" s="163"/>
      <c r="J1577" s="157">
        <v>33634</v>
      </c>
      <c r="K1577" s="158" t="e">
        <f>NA()</f>
        <v>#N/A</v>
      </c>
    </row>
    <row r="1578" spans="1:11" x14ac:dyDescent="0.25">
      <c r="A1578" s="162">
        <v>24846</v>
      </c>
      <c r="B1578" s="163">
        <v>5.36</v>
      </c>
      <c r="C1578" s="163"/>
      <c r="D1578" s="163"/>
      <c r="E1578" s="163"/>
      <c r="J1578" s="157">
        <v>33641</v>
      </c>
      <c r="K1578" s="158" t="e">
        <f>NA()</f>
        <v>#N/A</v>
      </c>
    </row>
    <row r="1579" spans="1:11" x14ac:dyDescent="0.25">
      <c r="A1579" s="162">
        <v>24847</v>
      </c>
      <c r="B1579" s="164">
        <v>5.31</v>
      </c>
      <c r="C1579" s="164"/>
      <c r="D1579" s="164"/>
      <c r="E1579" s="164"/>
      <c r="J1579" s="157">
        <v>33648</v>
      </c>
      <c r="K1579" s="158" t="e">
        <f>NA()</f>
        <v>#N/A</v>
      </c>
    </row>
    <row r="1580" spans="1:11" x14ac:dyDescent="0.25">
      <c r="A1580" s="162">
        <v>24848</v>
      </c>
      <c r="B1580" s="163">
        <v>5.31</v>
      </c>
      <c r="C1580" s="163"/>
      <c r="D1580" s="163"/>
      <c r="E1580" s="163"/>
      <c r="J1580" s="157">
        <v>33655</v>
      </c>
      <c r="K1580" s="158" t="e">
        <f>NA()</f>
        <v>#N/A</v>
      </c>
    </row>
    <row r="1581" spans="1:11" x14ac:dyDescent="0.25">
      <c r="A1581" s="162">
        <v>24849</v>
      </c>
      <c r="B1581" s="163">
        <v>5.29</v>
      </c>
      <c r="C1581" s="163"/>
      <c r="D1581" s="163"/>
      <c r="E1581" s="163"/>
      <c r="J1581" s="157">
        <v>33662</v>
      </c>
      <c r="K1581" s="158" t="e">
        <f>NA()</f>
        <v>#N/A</v>
      </c>
    </row>
    <row r="1582" spans="1:11" x14ac:dyDescent="0.25">
      <c r="A1582" s="162">
        <v>24852</v>
      </c>
      <c r="B1582" s="163">
        <v>5.36</v>
      </c>
      <c r="C1582" s="163"/>
      <c r="D1582" s="163"/>
      <c r="E1582" s="163"/>
      <c r="J1582" s="157">
        <v>33669</v>
      </c>
      <c r="K1582" s="158" t="e">
        <f>NA()</f>
        <v>#N/A</v>
      </c>
    </row>
    <row r="1583" spans="1:11" x14ac:dyDescent="0.25">
      <c r="A1583" s="162">
        <v>24853</v>
      </c>
      <c r="B1583" s="163">
        <v>5.4</v>
      </c>
      <c r="C1583" s="163"/>
      <c r="D1583" s="163"/>
      <c r="E1583" s="163"/>
      <c r="J1583" s="157">
        <v>33676</v>
      </c>
      <c r="K1583" s="158" t="e">
        <f>NA()</f>
        <v>#N/A</v>
      </c>
    </row>
    <row r="1584" spans="1:11" x14ac:dyDescent="0.25">
      <c r="A1584" s="162">
        <v>24854</v>
      </c>
      <c r="B1584" s="163">
        <v>5.37</v>
      </c>
      <c r="C1584" s="163"/>
      <c r="D1584" s="163"/>
      <c r="E1584" s="163"/>
      <c r="J1584" s="157">
        <v>33683</v>
      </c>
      <c r="K1584" s="158" t="e">
        <f>NA()</f>
        <v>#N/A</v>
      </c>
    </row>
    <row r="1585" spans="1:11" x14ac:dyDescent="0.25">
      <c r="A1585" s="162">
        <v>24855</v>
      </c>
      <c r="B1585" s="163">
        <v>5.44</v>
      </c>
      <c r="C1585" s="163"/>
      <c r="D1585" s="163"/>
      <c r="E1585" s="163"/>
      <c r="J1585" s="157">
        <v>33690</v>
      </c>
      <c r="K1585" s="158" t="e">
        <f>NA()</f>
        <v>#N/A</v>
      </c>
    </row>
    <row r="1586" spans="1:11" x14ac:dyDescent="0.25">
      <c r="A1586" s="162">
        <v>24856</v>
      </c>
      <c r="B1586" s="163">
        <v>5.48</v>
      </c>
      <c r="C1586" s="163"/>
      <c r="D1586" s="163"/>
      <c r="E1586" s="163"/>
      <c r="J1586" s="157">
        <v>33697</v>
      </c>
      <c r="K1586" s="158" t="e">
        <f>NA()</f>
        <v>#N/A</v>
      </c>
    </row>
    <row r="1587" spans="1:11" x14ac:dyDescent="0.25">
      <c r="A1587" s="162">
        <v>24859</v>
      </c>
      <c r="B1587" s="163">
        <v>5.49</v>
      </c>
      <c r="C1587" s="163"/>
      <c r="D1587" s="163"/>
      <c r="E1587" s="163"/>
      <c r="J1587" s="157">
        <v>33704</v>
      </c>
      <c r="K1587" s="158" t="e">
        <f>NA()</f>
        <v>#N/A</v>
      </c>
    </row>
    <row r="1588" spans="1:11" x14ac:dyDescent="0.25">
      <c r="A1588" s="162">
        <v>24860</v>
      </c>
      <c r="B1588" s="163">
        <v>5.44</v>
      </c>
      <c r="C1588" s="163"/>
      <c r="D1588" s="163"/>
      <c r="E1588" s="163"/>
      <c r="J1588" s="157">
        <v>33711</v>
      </c>
      <c r="K1588" s="158" t="e">
        <f>NA()</f>
        <v>#N/A</v>
      </c>
    </row>
    <row r="1589" spans="1:11" x14ac:dyDescent="0.25">
      <c r="A1589" s="162">
        <v>24861</v>
      </c>
      <c r="B1589" s="163">
        <v>5.42</v>
      </c>
      <c r="C1589" s="163"/>
      <c r="D1589" s="163"/>
      <c r="E1589" s="163"/>
      <c r="J1589" s="157">
        <v>33718</v>
      </c>
      <c r="K1589" s="158" t="e">
        <f>NA()</f>
        <v>#N/A</v>
      </c>
    </row>
    <row r="1590" spans="1:11" x14ac:dyDescent="0.25">
      <c r="A1590" s="162">
        <v>24862</v>
      </c>
      <c r="B1590" s="163">
        <v>5.4</v>
      </c>
      <c r="C1590" s="163"/>
      <c r="D1590" s="163"/>
      <c r="E1590" s="163"/>
      <c r="J1590" s="157">
        <v>33725</v>
      </c>
      <c r="K1590" s="158" t="e">
        <f>NA()</f>
        <v>#N/A</v>
      </c>
    </row>
    <row r="1591" spans="1:11" x14ac:dyDescent="0.25">
      <c r="A1591" s="162">
        <v>24863</v>
      </c>
      <c r="B1591" s="163">
        <v>5.4</v>
      </c>
      <c r="C1591" s="163"/>
      <c r="D1591" s="163"/>
      <c r="E1591" s="163"/>
      <c r="J1591" s="157">
        <v>33732</v>
      </c>
      <c r="K1591" s="158" t="e">
        <f>NA()</f>
        <v>#N/A</v>
      </c>
    </row>
    <row r="1592" spans="1:11" x14ac:dyDescent="0.25">
      <c r="A1592" s="162">
        <v>24866</v>
      </c>
      <c r="B1592" s="163">
        <v>5.39</v>
      </c>
      <c r="C1592" s="163"/>
      <c r="D1592" s="163"/>
      <c r="E1592" s="163"/>
      <c r="J1592" s="157">
        <v>33739</v>
      </c>
      <c r="K1592" s="158" t="e">
        <f>NA()</f>
        <v>#N/A</v>
      </c>
    </row>
    <row r="1593" spans="1:11" x14ac:dyDescent="0.25">
      <c r="A1593" s="162">
        <v>24867</v>
      </c>
      <c r="B1593" s="163">
        <v>5.37</v>
      </c>
      <c r="C1593" s="163"/>
      <c r="D1593" s="163"/>
      <c r="E1593" s="163"/>
      <c r="J1593" s="157">
        <v>33746</v>
      </c>
      <c r="K1593" s="158" t="e">
        <f>NA()</f>
        <v>#N/A</v>
      </c>
    </row>
    <row r="1594" spans="1:11" x14ac:dyDescent="0.25">
      <c r="A1594" s="162">
        <v>24868</v>
      </c>
      <c r="B1594" s="163">
        <v>5.37</v>
      </c>
      <c r="C1594" s="163"/>
      <c r="D1594" s="163"/>
      <c r="E1594" s="163"/>
      <c r="J1594" s="157">
        <v>33753</v>
      </c>
      <c r="K1594" s="158" t="e">
        <f>NA()</f>
        <v>#N/A</v>
      </c>
    </row>
    <row r="1595" spans="1:11" x14ac:dyDescent="0.25">
      <c r="A1595" s="162">
        <v>24869</v>
      </c>
      <c r="B1595" s="163">
        <v>5.38</v>
      </c>
      <c r="C1595" s="163"/>
      <c r="D1595" s="163"/>
      <c r="E1595" s="163"/>
      <c r="J1595" s="157">
        <v>33760</v>
      </c>
      <c r="K1595" s="158" t="e">
        <f>NA()</f>
        <v>#N/A</v>
      </c>
    </row>
    <row r="1596" spans="1:11" x14ac:dyDescent="0.25">
      <c r="A1596" s="162">
        <v>24870</v>
      </c>
      <c r="B1596" s="163">
        <v>5.37</v>
      </c>
      <c r="C1596" s="163"/>
      <c r="D1596" s="163"/>
      <c r="E1596" s="163"/>
      <c r="J1596" s="157">
        <v>33767</v>
      </c>
      <c r="K1596" s="158" t="e">
        <f>NA()</f>
        <v>#N/A</v>
      </c>
    </row>
    <row r="1597" spans="1:11" x14ac:dyDescent="0.25">
      <c r="A1597" s="162">
        <v>24873</v>
      </c>
      <c r="B1597" s="163">
        <v>5.39</v>
      </c>
      <c r="C1597" s="163"/>
      <c r="D1597" s="163"/>
      <c r="E1597" s="163"/>
      <c r="J1597" s="157">
        <v>33774</v>
      </c>
      <c r="K1597" s="158" t="e">
        <f>NA()</f>
        <v>#N/A</v>
      </c>
    </row>
    <row r="1598" spans="1:11" x14ac:dyDescent="0.25">
      <c r="A1598" s="162">
        <v>24874</v>
      </c>
      <c r="B1598" s="163">
        <v>5.4</v>
      </c>
      <c r="C1598" s="163"/>
      <c r="D1598" s="163"/>
      <c r="E1598" s="163"/>
      <c r="J1598" s="157">
        <v>33781</v>
      </c>
      <c r="K1598" s="158" t="e">
        <f>NA()</f>
        <v>#N/A</v>
      </c>
    </row>
    <row r="1599" spans="1:11" x14ac:dyDescent="0.25">
      <c r="A1599" s="162">
        <v>24875</v>
      </c>
      <c r="B1599" s="163">
        <v>5.38</v>
      </c>
      <c r="C1599" s="163"/>
      <c r="D1599" s="163"/>
      <c r="E1599" s="163"/>
      <c r="J1599" s="157">
        <v>33788</v>
      </c>
      <c r="K1599" s="158" t="e">
        <f>NA()</f>
        <v>#N/A</v>
      </c>
    </row>
    <row r="1600" spans="1:11" x14ac:dyDescent="0.25">
      <c r="A1600" s="162">
        <v>24876</v>
      </c>
      <c r="B1600" s="163">
        <v>5.4</v>
      </c>
      <c r="C1600" s="163"/>
      <c r="D1600" s="163"/>
      <c r="E1600" s="163"/>
      <c r="J1600" s="157">
        <v>33795</v>
      </c>
      <c r="K1600" s="158" t="e">
        <f>NA()</f>
        <v>#N/A</v>
      </c>
    </row>
    <row r="1601" spans="1:11" x14ac:dyDescent="0.25">
      <c r="A1601" s="162">
        <v>24877</v>
      </c>
      <c r="B1601" s="163">
        <v>5.39</v>
      </c>
      <c r="C1601" s="163"/>
      <c r="D1601" s="163"/>
      <c r="E1601" s="163"/>
      <c r="J1601" s="157">
        <v>33802</v>
      </c>
      <c r="K1601" s="158" t="e">
        <f>NA()</f>
        <v>#N/A</v>
      </c>
    </row>
    <row r="1602" spans="1:11" x14ac:dyDescent="0.25">
      <c r="A1602" s="162">
        <v>24880</v>
      </c>
      <c r="B1602" s="163" t="e">
        <f>NA()</f>
        <v>#N/A</v>
      </c>
      <c r="C1602" s="163"/>
      <c r="D1602" s="163"/>
      <c r="E1602" s="163"/>
      <c r="J1602" s="157">
        <v>33809</v>
      </c>
      <c r="K1602" s="158" t="e">
        <f>NA()</f>
        <v>#N/A</v>
      </c>
    </row>
    <row r="1603" spans="1:11" x14ac:dyDescent="0.25">
      <c r="A1603" s="162">
        <v>24881</v>
      </c>
      <c r="B1603" s="163">
        <v>5.37</v>
      </c>
      <c r="C1603" s="163"/>
      <c r="D1603" s="163"/>
      <c r="E1603" s="163"/>
      <c r="J1603" s="157">
        <v>33816</v>
      </c>
      <c r="K1603" s="158" t="e">
        <f>NA()</f>
        <v>#N/A</v>
      </c>
    </row>
    <row r="1604" spans="1:11" x14ac:dyDescent="0.25">
      <c r="A1604" s="162">
        <v>24882</v>
      </c>
      <c r="B1604" s="163">
        <v>5.36</v>
      </c>
      <c r="C1604" s="163"/>
      <c r="D1604" s="163"/>
      <c r="E1604" s="163"/>
      <c r="J1604" s="157">
        <v>33823</v>
      </c>
      <c r="K1604" s="158" t="e">
        <f>NA()</f>
        <v>#N/A</v>
      </c>
    </row>
    <row r="1605" spans="1:11" x14ac:dyDescent="0.25">
      <c r="A1605" s="162">
        <v>24883</v>
      </c>
      <c r="B1605" s="163">
        <v>5.34</v>
      </c>
      <c r="C1605" s="163"/>
      <c r="D1605" s="163"/>
      <c r="E1605" s="163"/>
      <c r="J1605" s="157">
        <v>33830</v>
      </c>
      <c r="K1605" s="158" t="e">
        <f>NA()</f>
        <v>#N/A</v>
      </c>
    </row>
    <row r="1606" spans="1:11" x14ac:dyDescent="0.25">
      <c r="A1606" s="162">
        <v>24884</v>
      </c>
      <c r="B1606" s="163">
        <v>5.34</v>
      </c>
      <c r="C1606" s="163"/>
      <c r="D1606" s="163"/>
      <c r="E1606" s="163"/>
      <c r="J1606" s="157">
        <v>33837</v>
      </c>
      <c r="K1606" s="158" t="e">
        <f>NA()</f>
        <v>#N/A</v>
      </c>
    </row>
    <row r="1607" spans="1:11" x14ac:dyDescent="0.25">
      <c r="A1607" s="162">
        <v>24887</v>
      </c>
      <c r="B1607" s="163">
        <v>5.35</v>
      </c>
      <c r="C1607" s="163"/>
      <c r="D1607" s="163"/>
      <c r="E1607" s="163"/>
      <c r="J1607" s="157">
        <v>33844</v>
      </c>
      <c r="K1607" s="158" t="e">
        <f>NA()</f>
        <v>#N/A</v>
      </c>
    </row>
    <row r="1608" spans="1:11" x14ac:dyDescent="0.25">
      <c r="A1608" s="162">
        <v>24888</v>
      </c>
      <c r="B1608" s="163">
        <v>5.36</v>
      </c>
      <c r="C1608" s="163"/>
      <c r="D1608" s="163"/>
      <c r="E1608" s="163"/>
      <c r="J1608" s="157">
        <v>33851</v>
      </c>
      <c r="K1608" s="158" t="e">
        <f>NA()</f>
        <v>#N/A</v>
      </c>
    </row>
    <row r="1609" spans="1:11" x14ac:dyDescent="0.25">
      <c r="A1609" s="162">
        <v>24889</v>
      </c>
      <c r="B1609" s="163">
        <v>5.35</v>
      </c>
      <c r="C1609" s="163"/>
      <c r="D1609" s="163"/>
      <c r="E1609" s="163"/>
      <c r="J1609" s="157">
        <v>33858</v>
      </c>
      <c r="K1609" s="158" t="e">
        <f>NA()</f>
        <v>#N/A</v>
      </c>
    </row>
    <row r="1610" spans="1:11" x14ac:dyDescent="0.25">
      <c r="A1610" s="162">
        <v>24890</v>
      </c>
      <c r="B1610" s="163" t="e">
        <f>NA()</f>
        <v>#N/A</v>
      </c>
      <c r="C1610" s="163"/>
      <c r="D1610" s="163"/>
      <c r="E1610" s="163"/>
      <c r="J1610" s="157">
        <v>33865</v>
      </c>
      <c r="K1610" s="158" t="e">
        <f>NA()</f>
        <v>#N/A</v>
      </c>
    </row>
    <row r="1611" spans="1:11" x14ac:dyDescent="0.25">
      <c r="A1611" s="162">
        <v>24891</v>
      </c>
      <c r="B1611" s="163">
        <v>5.36</v>
      </c>
      <c r="C1611" s="163"/>
      <c r="D1611" s="163"/>
      <c r="E1611" s="163"/>
      <c r="J1611" s="157">
        <v>33872</v>
      </c>
      <c r="K1611" s="158" t="e">
        <f>NA()</f>
        <v>#N/A</v>
      </c>
    </row>
    <row r="1612" spans="1:11" x14ac:dyDescent="0.25">
      <c r="A1612" s="162">
        <v>24894</v>
      </c>
      <c r="B1612" s="163">
        <v>5.39</v>
      </c>
      <c r="C1612" s="163"/>
      <c r="D1612" s="163"/>
      <c r="E1612" s="163"/>
      <c r="J1612" s="157">
        <v>33879</v>
      </c>
      <c r="K1612" s="158" t="e">
        <f>NA()</f>
        <v>#N/A</v>
      </c>
    </row>
    <row r="1613" spans="1:11" x14ac:dyDescent="0.25">
      <c r="A1613" s="162">
        <v>24895</v>
      </c>
      <c r="B1613" s="163">
        <v>5.4</v>
      </c>
      <c r="C1613" s="163"/>
      <c r="D1613" s="163"/>
      <c r="E1613" s="163"/>
      <c r="J1613" s="157">
        <v>33886</v>
      </c>
      <c r="K1613" s="158" t="e">
        <f>NA()</f>
        <v>#N/A</v>
      </c>
    </row>
    <row r="1614" spans="1:11" x14ac:dyDescent="0.25">
      <c r="A1614" s="162">
        <v>24896</v>
      </c>
      <c r="B1614" s="163">
        <v>5.4</v>
      </c>
      <c r="C1614" s="163"/>
      <c r="D1614" s="163"/>
      <c r="E1614" s="163"/>
      <c r="J1614" s="157">
        <v>33893</v>
      </c>
      <c r="K1614" s="158" t="e">
        <f>NA()</f>
        <v>#N/A</v>
      </c>
    </row>
    <row r="1615" spans="1:11" x14ac:dyDescent="0.25">
      <c r="A1615" s="162">
        <v>24897</v>
      </c>
      <c r="B1615" s="163">
        <v>5.4</v>
      </c>
      <c r="C1615" s="163"/>
      <c r="D1615" s="163"/>
      <c r="E1615" s="163"/>
      <c r="J1615" s="157">
        <v>33900</v>
      </c>
      <c r="K1615" s="158" t="e">
        <f>NA()</f>
        <v>#N/A</v>
      </c>
    </row>
    <row r="1616" spans="1:11" x14ac:dyDescent="0.25">
      <c r="A1616" s="162">
        <v>24898</v>
      </c>
      <c r="B1616" s="163">
        <v>5.4</v>
      </c>
      <c r="C1616" s="163"/>
      <c r="D1616" s="163"/>
      <c r="E1616" s="163"/>
      <c r="J1616" s="157">
        <v>33907</v>
      </c>
      <c r="K1616" s="158" t="e">
        <f>NA()</f>
        <v>#N/A</v>
      </c>
    </row>
    <row r="1617" spans="1:11" x14ac:dyDescent="0.25">
      <c r="A1617" s="162">
        <v>24901</v>
      </c>
      <c r="B1617" s="163">
        <v>5.41</v>
      </c>
      <c r="C1617" s="163"/>
      <c r="D1617" s="163"/>
      <c r="E1617" s="163"/>
      <c r="J1617" s="157">
        <v>33914</v>
      </c>
      <c r="K1617" s="158" t="e">
        <f>NA()</f>
        <v>#N/A</v>
      </c>
    </row>
    <row r="1618" spans="1:11" x14ac:dyDescent="0.25">
      <c r="A1618" s="162">
        <v>24902</v>
      </c>
      <c r="B1618" s="163">
        <v>5.44</v>
      </c>
      <c r="C1618" s="163"/>
      <c r="D1618" s="163"/>
      <c r="E1618" s="163"/>
      <c r="J1618" s="157">
        <v>33921</v>
      </c>
      <c r="K1618" s="158" t="e">
        <f>NA()</f>
        <v>#N/A</v>
      </c>
    </row>
    <row r="1619" spans="1:11" x14ac:dyDescent="0.25">
      <c r="A1619" s="162">
        <v>24903</v>
      </c>
      <c r="B1619" s="163">
        <v>5.47</v>
      </c>
      <c r="C1619" s="163"/>
      <c r="D1619" s="163"/>
      <c r="E1619" s="163"/>
      <c r="J1619" s="157">
        <v>33928</v>
      </c>
      <c r="K1619" s="158" t="e">
        <f>NA()</f>
        <v>#N/A</v>
      </c>
    </row>
    <row r="1620" spans="1:11" x14ac:dyDescent="0.25">
      <c r="A1620" s="162">
        <v>24904</v>
      </c>
      <c r="B1620" s="163">
        <v>5.52</v>
      </c>
      <c r="C1620" s="163"/>
      <c r="D1620" s="163"/>
      <c r="E1620" s="163"/>
      <c r="J1620" s="157">
        <v>33935</v>
      </c>
      <c r="K1620" s="158" t="e">
        <f>NA()</f>
        <v>#N/A</v>
      </c>
    </row>
    <row r="1621" spans="1:11" x14ac:dyDescent="0.25">
      <c r="A1621" s="162">
        <v>24905</v>
      </c>
      <c r="B1621" s="163">
        <v>5.61</v>
      </c>
      <c r="C1621" s="163"/>
      <c r="D1621" s="163"/>
      <c r="E1621" s="163"/>
      <c r="J1621" s="157">
        <v>33942</v>
      </c>
      <c r="K1621" s="158" t="e">
        <f>NA()</f>
        <v>#N/A</v>
      </c>
    </row>
    <row r="1622" spans="1:11" x14ac:dyDescent="0.25">
      <c r="A1622" s="162">
        <v>24908</v>
      </c>
      <c r="B1622" s="163">
        <v>5.6</v>
      </c>
      <c r="C1622" s="163"/>
      <c r="D1622" s="163"/>
      <c r="E1622" s="163"/>
      <c r="J1622" s="157">
        <v>33949</v>
      </c>
      <c r="K1622" s="158" t="e">
        <f>NA()</f>
        <v>#N/A</v>
      </c>
    </row>
    <row r="1623" spans="1:11" x14ac:dyDescent="0.25">
      <c r="A1623" s="162">
        <v>24909</v>
      </c>
      <c r="B1623" s="163">
        <v>5.64</v>
      </c>
      <c r="C1623" s="163"/>
      <c r="D1623" s="163"/>
      <c r="E1623" s="163"/>
      <c r="J1623" s="157">
        <v>33956</v>
      </c>
      <c r="K1623" s="158" t="e">
        <f>NA()</f>
        <v>#N/A</v>
      </c>
    </row>
    <row r="1624" spans="1:11" x14ac:dyDescent="0.25">
      <c r="A1624" s="162">
        <v>24910</v>
      </c>
      <c r="B1624" s="164">
        <v>5.7</v>
      </c>
      <c r="C1624" s="164"/>
      <c r="D1624" s="164"/>
      <c r="E1624" s="164"/>
      <c r="J1624" s="157">
        <v>33963</v>
      </c>
      <c r="K1624" s="158" t="e">
        <f>NA()</f>
        <v>#N/A</v>
      </c>
    </row>
    <row r="1625" spans="1:11" x14ac:dyDescent="0.25">
      <c r="A1625" s="162">
        <v>24911</v>
      </c>
      <c r="B1625" s="163">
        <v>5.77</v>
      </c>
      <c r="C1625" s="163"/>
      <c r="D1625" s="163"/>
      <c r="E1625" s="163"/>
      <c r="J1625" s="157">
        <v>33970</v>
      </c>
      <c r="K1625" s="158" t="e">
        <f>NA()</f>
        <v>#N/A</v>
      </c>
    </row>
    <row r="1626" spans="1:11" x14ac:dyDescent="0.25">
      <c r="A1626" s="162">
        <v>24912</v>
      </c>
      <c r="B1626" s="163">
        <v>5.69</v>
      </c>
      <c r="C1626" s="163"/>
      <c r="D1626" s="163"/>
      <c r="E1626" s="163"/>
      <c r="J1626" s="157">
        <v>33977</v>
      </c>
      <c r="K1626" s="158" t="e">
        <f>NA()</f>
        <v>#N/A</v>
      </c>
    </row>
    <row r="1627" spans="1:11" x14ac:dyDescent="0.25">
      <c r="A1627" s="162">
        <v>24915</v>
      </c>
      <c r="B1627" s="163">
        <v>5.62</v>
      </c>
      <c r="C1627" s="163"/>
      <c r="D1627" s="163"/>
      <c r="E1627" s="163"/>
      <c r="J1627" s="157">
        <v>33984</v>
      </c>
      <c r="K1627" s="158" t="e">
        <f>NA()</f>
        <v>#N/A</v>
      </c>
    </row>
    <row r="1628" spans="1:11" x14ac:dyDescent="0.25">
      <c r="A1628" s="162">
        <v>24916</v>
      </c>
      <c r="B1628" s="163">
        <v>5.63</v>
      </c>
      <c r="C1628" s="163"/>
      <c r="D1628" s="163"/>
      <c r="E1628" s="163"/>
      <c r="J1628" s="157">
        <v>33991</v>
      </c>
      <c r="K1628" s="158" t="e">
        <f>NA()</f>
        <v>#N/A</v>
      </c>
    </row>
    <row r="1629" spans="1:11" x14ac:dyDescent="0.25">
      <c r="A1629" s="162">
        <v>24917</v>
      </c>
      <c r="B1629" s="163">
        <v>5.61</v>
      </c>
      <c r="C1629" s="163"/>
      <c r="D1629" s="163"/>
      <c r="E1629" s="163"/>
      <c r="J1629" s="157">
        <v>33998</v>
      </c>
      <c r="K1629" s="158" t="e">
        <f>NA()</f>
        <v>#N/A</v>
      </c>
    </row>
    <row r="1630" spans="1:11" x14ac:dyDescent="0.25">
      <c r="A1630" s="162">
        <v>24918</v>
      </c>
      <c r="B1630" s="163">
        <v>5.62</v>
      </c>
      <c r="C1630" s="163"/>
      <c r="D1630" s="163"/>
      <c r="E1630" s="163"/>
      <c r="J1630" s="157">
        <v>34005</v>
      </c>
      <c r="K1630" s="158" t="e">
        <f>NA()</f>
        <v>#N/A</v>
      </c>
    </row>
    <row r="1631" spans="1:11" x14ac:dyDescent="0.25">
      <c r="A1631" s="162">
        <v>24919</v>
      </c>
      <c r="B1631" s="163">
        <v>5.61</v>
      </c>
      <c r="C1631" s="163"/>
      <c r="D1631" s="163"/>
      <c r="E1631" s="163"/>
      <c r="J1631" s="157">
        <v>34012</v>
      </c>
      <c r="K1631" s="158" t="e">
        <f>NA()</f>
        <v>#N/A</v>
      </c>
    </row>
    <row r="1632" spans="1:11" x14ac:dyDescent="0.25">
      <c r="A1632" s="162">
        <v>24922</v>
      </c>
      <c r="B1632" s="163">
        <v>5.6</v>
      </c>
      <c r="C1632" s="163"/>
      <c r="D1632" s="163"/>
      <c r="E1632" s="163"/>
      <c r="J1632" s="157">
        <v>34019</v>
      </c>
      <c r="K1632" s="158" t="e">
        <f>NA()</f>
        <v>#N/A</v>
      </c>
    </row>
    <row r="1633" spans="1:11" x14ac:dyDescent="0.25">
      <c r="A1633" s="162">
        <v>24923</v>
      </c>
      <c r="B1633" s="163">
        <v>5.64</v>
      </c>
      <c r="C1633" s="163"/>
      <c r="D1633" s="163"/>
      <c r="E1633" s="163"/>
      <c r="J1633" s="157">
        <v>34026</v>
      </c>
      <c r="K1633" s="158" t="e">
        <f>NA()</f>
        <v>#N/A</v>
      </c>
    </row>
    <row r="1634" spans="1:11" x14ac:dyDescent="0.25">
      <c r="A1634" s="162">
        <v>24924</v>
      </c>
      <c r="B1634" s="163">
        <v>5.64</v>
      </c>
      <c r="C1634" s="163"/>
      <c r="D1634" s="163"/>
      <c r="E1634" s="163"/>
      <c r="J1634" s="157">
        <v>34033</v>
      </c>
      <c r="K1634" s="158" t="e">
        <f>NA()</f>
        <v>#N/A</v>
      </c>
    </row>
    <row r="1635" spans="1:11" x14ac:dyDescent="0.25">
      <c r="A1635" s="162">
        <v>24925</v>
      </c>
      <c r="B1635" s="163">
        <v>5.64</v>
      </c>
      <c r="C1635" s="163"/>
      <c r="D1635" s="163"/>
      <c r="E1635" s="163"/>
      <c r="J1635" s="157">
        <v>34040</v>
      </c>
      <c r="K1635" s="158" t="e">
        <f>NA()</f>
        <v>#N/A</v>
      </c>
    </row>
    <row r="1636" spans="1:11" x14ac:dyDescent="0.25">
      <c r="A1636" s="162">
        <v>24926</v>
      </c>
      <c r="B1636" s="163">
        <v>5.62</v>
      </c>
      <c r="C1636" s="163"/>
      <c r="D1636" s="163"/>
      <c r="E1636" s="163"/>
      <c r="J1636" s="157">
        <v>34047</v>
      </c>
      <c r="K1636" s="158" t="e">
        <f>NA()</f>
        <v>#N/A</v>
      </c>
    </row>
    <row r="1637" spans="1:11" x14ac:dyDescent="0.25">
      <c r="A1637" s="162">
        <v>24929</v>
      </c>
      <c r="B1637" s="163">
        <v>5.52</v>
      </c>
      <c r="C1637" s="163"/>
      <c r="D1637" s="163"/>
      <c r="E1637" s="163"/>
      <c r="J1637" s="157">
        <v>34054</v>
      </c>
      <c r="K1637" s="158" t="e">
        <f>NA()</f>
        <v>#N/A</v>
      </c>
    </row>
    <row r="1638" spans="1:11" x14ac:dyDescent="0.25">
      <c r="A1638" s="162">
        <v>24930</v>
      </c>
      <c r="B1638" s="163">
        <v>5.5</v>
      </c>
      <c r="C1638" s="163"/>
      <c r="D1638" s="163"/>
      <c r="E1638" s="163"/>
      <c r="J1638" s="157">
        <v>34061</v>
      </c>
      <c r="K1638" s="158" t="e">
        <f>NA()</f>
        <v>#N/A</v>
      </c>
    </row>
    <row r="1639" spans="1:11" x14ac:dyDescent="0.25">
      <c r="A1639" s="162">
        <v>24931</v>
      </c>
      <c r="B1639" s="163">
        <v>5.42</v>
      </c>
      <c r="C1639" s="163"/>
      <c r="D1639" s="163"/>
      <c r="E1639" s="163"/>
      <c r="J1639" s="157">
        <v>34068</v>
      </c>
      <c r="K1639" s="158" t="e">
        <f>NA()</f>
        <v>#N/A</v>
      </c>
    </row>
    <row r="1640" spans="1:11" x14ac:dyDescent="0.25">
      <c r="A1640" s="162">
        <v>24932</v>
      </c>
      <c r="B1640" s="163">
        <v>5.42</v>
      </c>
      <c r="C1640" s="163"/>
      <c r="D1640" s="163"/>
      <c r="E1640" s="163"/>
      <c r="J1640" s="157">
        <v>34075</v>
      </c>
      <c r="K1640" s="158" t="e">
        <f>NA()</f>
        <v>#N/A</v>
      </c>
    </row>
    <row r="1641" spans="1:11" x14ac:dyDescent="0.25">
      <c r="A1641" s="162">
        <v>24933</v>
      </c>
      <c r="B1641" s="163">
        <v>5.42</v>
      </c>
      <c r="C1641" s="163"/>
      <c r="D1641" s="163"/>
      <c r="E1641" s="163"/>
      <c r="J1641" s="157">
        <v>34082</v>
      </c>
      <c r="K1641" s="158" t="e">
        <f>NA()</f>
        <v>#N/A</v>
      </c>
    </row>
    <row r="1642" spans="1:11" x14ac:dyDescent="0.25">
      <c r="A1642" s="162">
        <v>24936</v>
      </c>
      <c r="B1642" s="163">
        <v>5.41</v>
      </c>
      <c r="C1642" s="163"/>
      <c r="D1642" s="163"/>
      <c r="E1642" s="163"/>
      <c r="J1642" s="157">
        <v>34089</v>
      </c>
      <c r="K1642" s="158" t="e">
        <f>NA()</f>
        <v>#N/A</v>
      </c>
    </row>
    <row r="1643" spans="1:11" x14ac:dyDescent="0.25">
      <c r="A1643" s="162">
        <v>24937</v>
      </c>
      <c r="B1643" s="163" t="e">
        <f>NA()</f>
        <v>#N/A</v>
      </c>
      <c r="C1643" s="163"/>
      <c r="D1643" s="163"/>
      <c r="E1643" s="163"/>
      <c r="J1643" s="157">
        <v>34096</v>
      </c>
      <c r="K1643" s="158" t="e">
        <f>NA()</f>
        <v>#N/A</v>
      </c>
    </row>
    <row r="1644" spans="1:11" x14ac:dyDescent="0.25">
      <c r="A1644" s="162">
        <v>24938</v>
      </c>
      <c r="B1644" s="163">
        <v>5.37</v>
      </c>
      <c r="C1644" s="163"/>
      <c r="D1644" s="163"/>
      <c r="E1644" s="163"/>
      <c r="J1644" s="157">
        <v>34103</v>
      </c>
      <c r="K1644" s="158" t="e">
        <f>NA()</f>
        <v>#N/A</v>
      </c>
    </row>
    <row r="1645" spans="1:11" x14ac:dyDescent="0.25">
      <c r="A1645" s="162">
        <v>24939</v>
      </c>
      <c r="B1645" s="163">
        <v>5.38</v>
      </c>
      <c r="C1645" s="163"/>
      <c r="D1645" s="163"/>
      <c r="E1645" s="163"/>
      <c r="J1645" s="157">
        <v>34110</v>
      </c>
      <c r="K1645" s="158" t="e">
        <f>NA()</f>
        <v>#N/A</v>
      </c>
    </row>
    <row r="1646" spans="1:11" x14ac:dyDescent="0.25">
      <c r="A1646" s="162">
        <v>24940</v>
      </c>
      <c r="B1646" s="163" t="e">
        <f>NA()</f>
        <v>#N/A</v>
      </c>
      <c r="C1646" s="163"/>
      <c r="D1646" s="163"/>
      <c r="E1646" s="163"/>
      <c r="J1646" s="157">
        <v>34117</v>
      </c>
      <c r="K1646" s="158" t="e">
        <f>NA()</f>
        <v>#N/A</v>
      </c>
    </row>
    <row r="1647" spans="1:11" x14ac:dyDescent="0.25">
      <c r="A1647" s="162">
        <v>24943</v>
      </c>
      <c r="B1647" s="163">
        <v>5.42</v>
      </c>
      <c r="C1647" s="163"/>
      <c r="D1647" s="163"/>
      <c r="E1647" s="163"/>
      <c r="J1647" s="157">
        <v>34124</v>
      </c>
      <c r="K1647" s="158" t="e">
        <f>NA()</f>
        <v>#N/A</v>
      </c>
    </row>
    <row r="1648" spans="1:11" x14ac:dyDescent="0.25">
      <c r="A1648" s="162">
        <v>24944</v>
      </c>
      <c r="B1648" s="163">
        <v>5.42</v>
      </c>
      <c r="C1648" s="163"/>
      <c r="D1648" s="163"/>
      <c r="E1648" s="163"/>
      <c r="J1648" s="157">
        <v>34131</v>
      </c>
      <c r="K1648" s="158" t="e">
        <f>NA()</f>
        <v>#N/A</v>
      </c>
    </row>
    <row r="1649" spans="1:11" x14ac:dyDescent="0.25">
      <c r="A1649" s="162">
        <v>24945</v>
      </c>
      <c r="B1649" s="164">
        <v>5.42</v>
      </c>
      <c r="C1649" s="164"/>
      <c r="D1649" s="164"/>
      <c r="E1649" s="164"/>
      <c r="J1649" s="157">
        <v>34138</v>
      </c>
      <c r="K1649" s="158" t="e">
        <f>NA()</f>
        <v>#N/A</v>
      </c>
    </row>
    <row r="1650" spans="1:11" x14ac:dyDescent="0.25">
      <c r="A1650" s="162">
        <v>24946</v>
      </c>
      <c r="B1650" s="163">
        <v>5.44</v>
      </c>
      <c r="C1650" s="163"/>
      <c r="D1650" s="163"/>
      <c r="E1650" s="163"/>
      <c r="J1650" s="157">
        <v>34145</v>
      </c>
      <c r="K1650" s="158" t="e">
        <f>NA()</f>
        <v>#N/A</v>
      </c>
    </row>
    <row r="1651" spans="1:11" x14ac:dyDescent="0.25">
      <c r="A1651" s="162">
        <v>24947</v>
      </c>
      <c r="B1651" s="163">
        <v>5.54</v>
      </c>
      <c r="C1651" s="163"/>
      <c r="D1651" s="163"/>
      <c r="E1651" s="163"/>
      <c r="J1651" s="157">
        <v>34152</v>
      </c>
      <c r="K1651" s="158" t="e">
        <f>NA()</f>
        <v>#N/A</v>
      </c>
    </row>
    <row r="1652" spans="1:11" x14ac:dyDescent="0.25">
      <c r="A1652" s="162">
        <v>24950</v>
      </c>
      <c r="B1652" s="163">
        <v>5.56</v>
      </c>
      <c r="C1652" s="163"/>
      <c r="D1652" s="163"/>
      <c r="E1652" s="163"/>
      <c r="J1652" s="157">
        <v>34159</v>
      </c>
      <c r="K1652" s="158" t="e">
        <f>NA()</f>
        <v>#N/A</v>
      </c>
    </row>
    <row r="1653" spans="1:11" x14ac:dyDescent="0.25">
      <c r="A1653" s="162">
        <v>24951</v>
      </c>
      <c r="B1653" s="163">
        <v>5.52</v>
      </c>
      <c r="C1653" s="163"/>
      <c r="D1653" s="163"/>
      <c r="E1653" s="163"/>
      <c r="J1653" s="157">
        <v>34166</v>
      </c>
      <c r="K1653" s="158" t="e">
        <f>NA()</f>
        <v>#N/A</v>
      </c>
    </row>
    <row r="1654" spans="1:11" x14ac:dyDescent="0.25">
      <c r="A1654" s="162">
        <v>24952</v>
      </c>
      <c r="B1654" s="163">
        <v>5.5</v>
      </c>
      <c r="C1654" s="163"/>
      <c r="D1654" s="163"/>
      <c r="E1654" s="163"/>
      <c r="J1654" s="157">
        <v>34173</v>
      </c>
      <c r="K1654" s="158" t="e">
        <f>NA()</f>
        <v>#N/A</v>
      </c>
    </row>
    <row r="1655" spans="1:11" x14ac:dyDescent="0.25">
      <c r="A1655" s="162">
        <v>24953</v>
      </c>
      <c r="B1655" s="163">
        <v>5.5</v>
      </c>
      <c r="C1655" s="163"/>
      <c r="D1655" s="163"/>
      <c r="E1655" s="163"/>
      <c r="J1655" s="157">
        <v>34180</v>
      </c>
      <c r="K1655" s="158" t="e">
        <f>NA()</f>
        <v>#N/A</v>
      </c>
    </row>
    <row r="1656" spans="1:11" x14ac:dyDescent="0.25">
      <c r="A1656" s="162">
        <v>24954</v>
      </c>
      <c r="B1656" s="163">
        <v>5.5</v>
      </c>
      <c r="C1656" s="163"/>
      <c r="D1656" s="163"/>
      <c r="E1656" s="163"/>
      <c r="J1656" s="157">
        <v>34187</v>
      </c>
      <c r="K1656" s="158" t="e">
        <f>NA()</f>
        <v>#N/A</v>
      </c>
    </row>
    <row r="1657" spans="1:11" x14ac:dyDescent="0.25">
      <c r="A1657" s="162">
        <v>24957</v>
      </c>
      <c r="B1657" s="163">
        <v>5.5</v>
      </c>
      <c r="C1657" s="163"/>
      <c r="D1657" s="163"/>
      <c r="E1657" s="163"/>
      <c r="J1657" s="157">
        <v>34194</v>
      </c>
      <c r="K1657" s="158" t="e">
        <f>NA()</f>
        <v>#N/A</v>
      </c>
    </row>
    <row r="1658" spans="1:11" x14ac:dyDescent="0.25">
      <c r="A1658" s="162">
        <v>24958</v>
      </c>
      <c r="B1658" s="163">
        <v>5.5</v>
      </c>
      <c r="C1658" s="163"/>
      <c r="D1658" s="163"/>
      <c r="E1658" s="163"/>
      <c r="J1658" s="157">
        <v>34201</v>
      </c>
      <c r="K1658" s="158" t="e">
        <f>NA()</f>
        <v>#N/A</v>
      </c>
    </row>
    <row r="1659" spans="1:11" x14ac:dyDescent="0.25">
      <c r="A1659" s="162">
        <v>24959</v>
      </c>
      <c r="B1659" s="163">
        <v>5.47</v>
      </c>
      <c r="C1659" s="163"/>
      <c r="D1659" s="163"/>
      <c r="E1659" s="163"/>
      <c r="J1659" s="157">
        <v>34208</v>
      </c>
      <c r="K1659" s="158" t="e">
        <f>NA()</f>
        <v>#N/A</v>
      </c>
    </row>
    <row r="1660" spans="1:11" x14ac:dyDescent="0.25">
      <c r="A1660" s="162">
        <v>24960</v>
      </c>
      <c r="B1660" s="163">
        <v>5.48</v>
      </c>
      <c r="C1660" s="163"/>
      <c r="D1660" s="163"/>
      <c r="E1660" s="163"/>
      <c r="J1660" s="157">
        <v>34215</v>
      </c>
      <c r="K1660" s="158" t="e">
        <f>NA()</f>
        <v>#N/A</v>
      </c>
    </row>
    <row r="1661" spans="1:11" x14ac:dyDescent="0.25">
      <c r="A1661" s="162">
        <v>24961</v>
      </c>
      <c r="B1661" s="163">
        <v>5.51</v>
      </c>
      <c r="C1661" s="163"/>
      <c r="D1661" s="163"/>
      <c r="E1661" s="163"/>
      <c r="J1661" s="157">
        <v>34222</v>
      </c>
      <c r="K1661" s="158" t="e">
        <f>NA()</f>
        <v>#N/A</v>
      </c>
    </row>
    <row r="1662" spans="1:11" x14ac:dyDescent="0.25">
      <c r="A1662" s="162">
        <v>24964</v>
      </c>
      <c r="B1662" s="163">
        <v>5.5</v>
      </c>
      <c r="C1662" s="163"/>
      <c r="D1662" s="163"/>
      <c r="E1662" s="163"/>
      <c r="J1662" s="157">
        <v>34229</v>
      </c>
      <c r="K1662" s="158" t="e">
        <f>NA()</f>
        <v>#N/A</v>
      </c>
    </row>
    <row r="1663" spans="1:11" x14ac:dyDescent="0.25">
      <c r="A1663" s="162">
        <v>24965</v>
      </c>
      <c r="B1663" s="163">
        <v>5.49</v>
      </c>
      <c r="C1663" s="163"/>
      <c r="D1663" s="163"/>
      <c r="E1663" s="163"/>
      <c r="J1663" s="157">
        <v>34236</v>
      </c>
      <c r="K1663" s="158" t="e">
        <f>NA()</f>
        <v>#N/A</v>
      </c>
    </row>
    <row r="1664" spans="1:11" x14ac:dyDescent="0.25">
      <c r="A1664" s="162">
        <v>24966</v>
      </c>
      <c r="B1664" s="163">
        <v>5.5</v>
      </c>
      <c r="C1664" s="163"/>
      <c r="D1664" s="163"/>
      <c r="E1664" s="163"/>
      <c r="J1664" s="157">
        <v>34243</v>
      </c>
      <c r="K1664" s="158">
        <v>6.12</v>
      </c>
    </row>
    <row r="1665" spans="1:11" x14ac:dyDescent="0.25">
      <c r="A1665" s="162">
        <v>24967</v>
      </c>
      <c r="B1665" s="163">
        <v>5.49</v>
      </c>
      <c r="C1665" s="163"/>
      <c r="D1665" s="163"/>
      <c r="E1665" s="163"/>
      <c r="J1665" s="157">
        <v>34250</v>
      </c>
      <c r="K1665" s="158">
        <v>6.09</v>
      </c>
    </row>
    <row r="1666" spans="1:11" x14ac:dyDescent="0.25">
      <c r="A1666" s="162">
        <v>24968</v>
      </c>
      <c r="B1666" s="163">
        <v>5.48</v>
      </c>
      <c r="C1666" s="163"/>
      <c r="D1666" s="163"/>
      <c r="E1666" s="163"/>
      <c r="J1666" s="157">
        <v>34257</v>
      </c>
      <c r="K1666" s="158">
        <v>5.99</v>
      </c>
    </row>
    <row r="1667" spans="1:11" x14ac:dyDescent="0.25">
      <c r="A1667" s="162">
        <v>24971</v>
      </c>
      <c r="B1667" s="163">
        <v>5.49</v>
      </c>
      <c r="C1667" s="163"/>
      <c r="D1667" s="163"/>
      <c r="E1667" s="163"/>
      <c r="J1667" s="157">
        <v>34264</v>
      </c>
      <c r="K1667" s="158">
        <v>6.03</v>
      </c>
    </row>
    <row r="1668" spans="1:11" x14ac:dyDescent="0.25">
      <c r="A1668" s="162">
        <v>24972</v>
      </c>
      <c r="B1668" s="163">
        <v>5.51</v>
      </c>
      <c r="C1668" s="163"/>
      <c r="D1668" s="163"/>
      <c r="E1668" s="163"/>
      <c r="J1668" s="157">
        <v>34271</v>
      </c>
      <c r="K1668" s="158">
        <v>6.14</v>
      </c>
    </row>
    <row r="1669" spans="1:11" x14ac:dyDescent="0.25">
      <c r="A1669" s="162">
        <v>24973</v>
      </c>
      <c r="B1669" s="163">
        <v>5.52</v>
      </c>
      <c r="C1669" s="163"/>
      <c r="D1669" s="163"/>
      <c r="E1669" s="163"/>
      <c r="J1669" s="157">
        <v>34278</v>
      </c>
      <c r="K1669" s="158">
        <v>6.31</v>
      </c>
    </row>
    <row r="1670" spans="1:11" x14ac:dyDescent="0.25">
      <c r="A1670" s="162">
        <v>24974</v>
      </c>
      <c r="B1670" s="163">
        <v>5.57</v>
      </c>
      <c r="C1670" s="163"/>
      <c r="D1670" s="163"/>
      <c r="E1670" s="163"/>
      <c r="J1670" s="157">
        <v>34285</v>
      </c>
      <c r="K1670" s="158">
        <v>6.35</v>
      </c>
    </row>
    <row r="1671" spans="1:11" x14ac:dyDescent="0.25">
      <c r="A1671" s="162">
        <v>24975</v>
      </c>
      <c r="B1671" s="163">
        <v>5.59</v>
      </c>
      <c r="C1671" s="163"/>
      <c r="D1671" s="163"/>
      <c r="E1671" s="163"/>
      <c r="J1671" s="157">
        <v>34292</v>
      </c>
      <c r="K1671" s="158">
        <v>6.39</v>
      </c>
    </row>
    <row r="1672" spans="1:11" x14ac:dyDescent="0.25">
      <c r="A1672" s="162">
        <v>24978</v>
      </c>
      <c r="B1672" s="164">
        <v>5.64</v>
      </c>
      <c r="C1672" s="164"/>
      <c r="D1672" s="164"/>
      <c r="E1672" s="164"/>
      <c r="J1672" s="157">
        <v>34299</v>
      </c>
      <c r="K1672" s="158">
        <v>6.47</v>
      </c>
    </row>
    <row r="1673" spans="1:11" x14ac:dyDescent="0.25">
      <c r="A1673" s="162">
        <v>24979</v>
      </c>
      <c r="B1673" s="163">
        <v>5.66</v>
      </c>
      <c r="C1673" s="163"/>
      <c r="D1673" s="163"/>
      <c r="E1673" s="163"/>
      <c r="J1673" s="157">
        <v>34306</v>
      </c>
      <c r="K1673" s="158">
        <v>6.42</v>
      </c>
    </row>
    <row r="1674" spans="1:11" x14ac:dyDescent="0.25">
      <c r="A1674" s="162">
        <v>24980</v>
      </c>
      <c r="B1674" s="163">
        <v>5.67</v>
      </c>
      <c r="C1674" s="163"/>
      <c r="D1674" s="163"/>
      <c r="E1674" s="163"/>
      <c r="J1674" s="157">
        <v>34313</v>
      </c>
      <c r="K1674" s="158">
        <v>6.31</v>
      </c>
    </row>
    <row r="1675" spans="1:11" x14ac:dyDescent="0.25">
      <c r="A1675" s="162">
        <v>24981</v>
      </c>
      <c r="B1675" s="163">
        <v>5.65</v>
      </c>
      <c r="C1675" s="163"/>
      <c r="D1675" s="163"/>
      <c r="E1675" s="163"/>
      <c r="J1675" s="157">
        <v>34320</v>
      </c>
      <c r="K1675" s="158">
        <v>6.45</v>
      </c>
    </row>
    <row r="1676" spans="1:11" x14ac:dyDescent="0.25">
      <c r="A1676" s="162">
        <v>24982</v>
      </c>
      <c r="B1676" s="163">
        <v>5.62</v>
      </c>
      <c r="C1676" s="163"/>
      <c r="D1676" s="163"/>
      <c r="E1676" s="163"/>
      <c r="J1676" s="157">
        <v>34327</v>
      </c>
      <c r="K1676" s="158">
        <v>6.41</v>
      </c>
    </row>
    <row r="1677" spans="1:11" x14ac:dyDescent="0.25">
      <c r="A1677" s="162">
        <v>24985</v>
      </c>
      <c r="B1677" s="163">
        <v>5.57</v>
      </c>
      <c r="C1677" s="163"/>
      <c r="D1677" s="163"/>
      <c r="E1677" s="163"/>
      <c r="J1677" s="157">
        <v>34334</v>
      </c>
      <c r="K1677" s="158">
        <v>6.41</v>
      </c>
    </row>
    <row r="1678" spans="1:11" x14ac:dyDescent="0.25">
      <c r="A1678" s="162">
        <v>24986</v>
      </c>
      <c r="B1678" s="163">
        <v>5.57</v>
      </c>
      <c r="C1678" s="163"/>
      <c r="D1678" s="163"/>
      <c r="E1678" s="163"/>
      <c r="J1678" s="157">
        <v>34341</v>
      </c>
      <c r="K1678" s="158">
        <v>6.48</v>
      </c>
    </row>
    <row r="1679" spans="1:11" x14ac:dyDescent="0.25">
      <c r="A1679" s="162">
        <v>24987</v>
      </c>
      <c r="B1679" s="163">
        <v>5.58</v>
      </c>
      <c r="C1679" s="163"/>
      <c r="D1679" s="163"/>
      <c r="E1679" s="163"/>
      <c r="J1679" s="157">
        <v>34348</v>
      </c>
      <c r="K1679" s="158">
        <v>6.34</v>
      </c>
    </row>
    <row r="1680" spans="1:11" x14ac:dyDescent="0.25">
      <c r="A1680" s="162">
        <v>24988</v>
      </c>
      <c r="B1680" s="163" t="e">
        <f>NA()</f>
        <v>#N/A</v>
      </c>
      <c r="C1680" s="163"/>
      <c r="D1680" s="163"/>
      <c r="E1680" s="163"/>
      <c r="J1680" s="157">
        <v>34355</v>
      </c>
      <c r="K1680" s="158">
        <v>6.38</v>
      </c>
    </row>
    <row r="1681" spans="1:11" x14ac:dyDescent="0.25">
      <c r="A1681" s="162">
        <v>24989</v>
      </c>
      <c r="B1681" s="163">
        <v>5.5</v>
      </c>
      <c r="C1681" s="163"/>
      <c r="D1681" s="163"/>
      <c r="E1681" s="163"/>
      <c r="J1681" s="157">
        <v>34362</v>
      </c>
      <c r="K1681" s="158">
        <v>6.35</v>
      </c>
    </row>
    <row r="1682" spans="1:11" x14ac:dyDescent="0.25">
      <c r="A1682" s="162">
        <v>24992</v>
      </c>
      <c r="B1682" s="164">
        <v>5.45</v>
      </c>
      <c r="C1682" s="164"/>
      <c r="D1682" s="164"/>
      <c r="E1682" s="164"/>
      <c r="J1682" s="157">
        <v>34369</v>
      </c>
      <c r="K1682" s="158">
        <v>6.38</v>
      </c>
    </row>
    <row r="1683" spans="1:11" x14ac:dyDescent="0.25">
      <c r="A1683" s="162">
        <v>24993</v>
      </c>
      <c r="B1683" s="163">
        <v>5.42</v>
      </c>
      <c r="C1683" s="163"/>
      <c r="D1683" s="163"/>
      <c r="E1683" s="163"/>
      <c r="J1683" s="157">
        <v>34376</v>
      </c>
      <c r="K1683" s="158">
        <v>6.52</v>
      </c>
    </row>
    <row r="1684" spans="1:11" x14ac:dyDescent="0.25">
      <c r="A1684" s="162">
        <v>24994</v>
      </c>
      <c r="B1684" s="163">
        <v>5.45</v>
      </c>
      <c r="C1684" s="163"/>
      <c r="D1684" s="163"/>
      <c r="E1684" s="163"/>
      <c r="J1684" s="157">
        <v>34383</v>
      </c>
      <c r="K1684" s="158">
        <v>6.58</v>
      </c>
    </row>
    <row r="1685" spans="1:11" x14ac:dyDescent="0.25">
      <c r="A1685" s="162">
        <v>24995</v>
      </c>
      <c r="B1685" s="163">
        <v>5.46</v>
      </c>
      <c r="C1685" s="163"/>
      <c r="D1685" s="163"/>
      <c r="E1685" s="163"/>
      <c r="J1685" s="157">
        <v>34390</v>
      </c>
      <c r="K1685" s="158">
        <v>6.76</v>
      </c>
    </row>
    <row r="1686" spans="1:11" x14ac:dyDescent="0.25">
      <c r="A1686" s="162">
        <v>24996</v>
      </c>
      <c r="B1686" s="163">
        <v>5.45</v>
      </c>
      <c r="C1686" s="163"/>
      <c r="D1686" s="163"/>
      <c r="E1686" s="163"/>
      <c r="J1686" s="157">
        <v>34397</v>
      </c>
      <c r="K1686" s="158">
        <v>6.86</v>
      </c>
    </row>
    <row r="1687" spans="1:11" x14ac:dyDescent="0.25">
      <c r="A1687" s="162">
        <v>24999</v>
      </c>
      <c r="B1687" s="163">
        <v>5.45</v>
      </c>
      <c r="C1687" s="163"/>
      <c r="D1687" s="163"/>
      <c r="E1687" s="163"/>
      <c r="J1687" s="157">
        <v>34404</v>
      </c>
      <c r="K1687" s="158">
        <v>6.95</v>
      </c>
    </row>
    <row r="1688" spans="1:11" x14ac:dyDescent="0.25">
      <c r="A1688" s="162">
        <v>25000</v>
      </c>
      <c r="B1688" s="163">
        <v>5.46</v>
      </c>
      <c r="C1688" s="163"/>
      <c r="D1688" s="163"/>
      <c r="E1688" s="163"/>
      <c r="J1688" s="157">
        <v>34411</v>
      </c>
      <c r="K1688" s="158">
        <v>6.96</v>
      </c>
    </row>
    <row r="1689" spans="1:11" x14ac:dyDescent="0.25">
      <c r="A1689" s="162">
        <v>25001</v>
      </c>
      <c r="B1689" s="163">
        <v>5.45</v>
      </c>
      <c r="C1689" s="163"/>
      <c r="D1689" s="163"/>
      <c r="E1689" s="163"/>
      <c r="J1689" s="157">
        <v>34418</v>
      </c>
      <c r="K1689" s="158">
        <v>7.02</v>
      </c>
    </row>
    <row r="1690" spans="1:11" x14ac:dyDescent="0.25">
      <c r="A1690" s="162">
        <v>25002</v>
      </c>
      <c r="B1690" s="163">
        <v>5.43</v>
      </c>
      <c r="C1690" s="163"/>
      <c r="D1690" s="163"/>
      <c r="E1690" s="163"/>
      <c r="J1690" s="157">
        <v>34425</v>
      </c>
      <c r="K1690" s="158">
        <v>7.18</v>
      </c>
    </row>
    <row r="1691" spans="1:11" x14ac:dyDescent="0.25">
      <c r="A1691" s="162">
        <v>25003</v>
      </c>
      <c r="B1691" s="163">
        <v>5.4</v>
      </c>
      <c r="C1691" s="163"/>
      <c r="D1691" s="163"/>
      <c r="E1691" s="163"/>
      <c r="J1691" s="157">
        <v>34432</v>
      </c>
      <c r="K1691" s="158">
        <v>7.41</v>
      </c>
    </row>
    <row r="1692" spans="1:11" x14ac:dyDescent="0.25">
      <c r="A1692" s="162">
        <v>25006</v>
      </c>
      <c r="B1692" s="163">
        <v>5.39</v>
      </c>
      <c r="C1692" s="163"/>
      <c r="D1692" s="163"/>
      <c r="E1692" s="163"/>
      <c r="J1692" s="157">
        <v>34439</v>
      </c>
      <c r="K1692" s="158">
        <v>7.39</v>
      </c>
    </row>
    <row r="1693" spans="1:11" x14ac:dyDescent="0.25">
      <c r="A1693" s="162">
        <v>25007</v>
      </c>
      <c r="B1693" s="163">
        <v>5.4</v>
      </c>
      <c r="C1693" s="163"/>
      <c r="D1693" s="163"/>
      <c r="E1693" s="163"/>
      <c r="J1693" s="157">
        <v>34446</v>
      </c>
      <c r="K1693" s="158">
        <v>7.44</v>
      </c>
    </row>
    <row r="1694" spans="1:11" x14ac:dyDescent="0.25">
      <c r="A1694" s="162">
        <v>25008</v>
      </c>
      <c r="B1694" s="163">
        <v>5.38</v>
      </c>
      <c r="C1694" s="163"/>
      <c r="D1694" s="163"/>
      <c r="E1694" s="163"/>
      <c r="J1694" s="157">
        <v>34453</v>
      </c>
      <c r="K1694" s="158">
        <v>7.34</v>
      </c>
    </row>
    <row r="1695" spans="1:11" x14ac:dyDescent="0.25">
      <c r="A1695" s="162">
        <v>25009</v>
      </c>
      <c r="B1695" s="163">
        <v>5.35</v>
      </c>
      <c r="C1695" s="163"/>
      <c r="D1695" s="163"/>
      <c r="E1695" s="163"/>
      <c r="J1695" s="157">
        <v>34460</v>
      </c>
      <c r="K1695" s="158">
        <v>7.51</v>
      </c>
    </row>
    <row r="1696" spans="1:11" x14ac:dyDescent="0.25">
      <c r="A1696" s="162">
        <v>25010</v>
      </c>
      <c r="B1696" s="163">
        <v>5.32</v>
      </c>
      <c r="C1696" s="163"/>
      <c r="D1696" s="163"/>
      <c r="E1696" s="163"/>
      <c r="J1696" s="157">
        <v>34467</v>
      </c>
      <c r="K1696" s="158">
        <v>7.69</v>
      </c>
    </row>
    <row r="1697" spans="1:11" x14ac:dyDescent="0.25">
      <c r="A1697" s="162">
        <v>25013</v>
      </c>
      <c r="B1697" s="163">
        <v>5.32</v>
      </c>
      <c r="C1697" s="163"/>
      <c r="D1697" s="163"/>
      <c r="E1697" s="163"/>
      <c r="J1697" s="157">
        <v>34474</v>
      </c>
      <c r="K1697" s="158">
        <v>7.44</v>
      </c>
    </row>
    <row r="1698" spans="1:11" x14ac:dyDescent="0.25">
      <c r="A1698" s="162">
        <v>25014</v>
      </c>
      <c r="B1698" s="163">
        <v>5.35</v>
      </c>
      <c r="C1698" s="163"/>
      <c r="D1698" s="163"/>
      <c r="E1698" s="163"/>
      <c r="J1698" s="157">
        <v>34481</v>
      </c>
      <c r="K1698" s="158">
        <v>7.54</v>
      </c>
    </row>
    <row r="1699" spans="1:11" x14ac:dyDescent="0.25">
      <c r="A1699" s="162">
        <v>25015</v>
      </c>
      <c r="B1699" s="163">
        <v>5.36</v>
      </c>
      <c r="C1699" s="163"/>
      <c r="D1699" s="163"/>
      <c r="E1699" s="163"/>
      <c r="J1699" s="157">
        <v>34488</v>
      </c>
      <c r="K1699" s="158">
        <v>7.5</v>
      </c>
    </row>
    <row r="1700" spans="1:11" x14ac:dyDescent="0.25">
      <c r="A1700" s="162">
        <v>25016</v>
      </c>
      <c r="B1700" s="163">
        <v>5.36</v>
      </c>
      <c r="C1700" s="163"/>
      <c r="D1700" s="163"/>
      <c r="E1700" s="163"/>
      <c r="J1700" s="157">
        <v>34495</v>
      </c>
      <c r="K1700" s="158">
        <v>7.39</v>
      </c>
    </row>
    <row r="1701" spans="1:11" x14ac:dyDescent="0.25">
      <c r="A1701" s="162">
        <v>25017</v>
      </c>
      <c r="B1701" s="163">
        <v>5.36</v>
      </c>
      <c r="C1701" s="163"/>
      <c r="D1701" s="163"/>
      <c r="E1701" s="163"/>
      <c r="J1701" s="157">
        <v>34502</v>
      </c>
      <c r="K1701" s="158">
        <v>7.5</v>
      </c>
    </row>
    <row r="1702" spans="1:11" x14ac:dyDescent="0.25">
      <c r="A1702" s="162">
        <v>25020</v>
      </c>
      <c r="B1702" s="163">
        <v>5.35</v>
      </c>
      <c r="C1702" s="163"/>
      <c r="D1702" s="163"/>
      <c r="E1702" s="163"/>
      <c r="J1702" s="157">
        <v>34509</v>
      </c>
      <c r="K1702" s="158">
        <v>7.57</v>
      </c>
    </row>
    <row r="1703" spans="1:11" x14ac:dyDescent="0.25">
      <c r="A1703" s="162">
        <v>25021</v>
      </c>
      <c r="B1703" s="164">
        <v>5.34</v>
      </c>
      <c r="C1703" s="164"/>
      <c r="D1703" s="164"/>
      <c r="E1703" s="164"/>
      <c r="J1703" s="157">
        <v>34516</v>
      </c>
      <c r="K1703" s="158">
        <v>7.67</v>
      </c>
    </row>
    <row r="1704" spans="1:11" x14ac:dyDescent="0.25">
      <c r="A1704" s="162">
        <v>25022</v>
      </c>
      <c r="B1704" s="163">
        <v>5.34</v>
      </c>
      <c r="C1704" s="163"/>
      <c r="D1704" s="163"/>
      <c r="E1704" s="163"/>
      <c r="J1704" s="157">
        <v>34523</v>
      </c>
      <c r="K1704" s="158">
        <v>7.74</v>
      </c>
    </row>
    <row r="1705" spans="1:11" x14ac:dyDescent="0.25">
      <c r="A1705" s="162">
        <v>25023</v>
      </c>
      <c r="B1705" s="163" t="e">
        <f>NA()</f>
        <v>#N/A</v>
      </c>
      <c r="C1705" s="163"/>
      <c r="D1705" s="163"/>
      <c r="E1705" s="163"/>
      <c r="J1705" s="157">
        <v>34530</v>
      </c>
      <c r="K1705" s="158">
        <v>7.74</v>
      </c>
    </row>
    <row r="1706" spans="1:11" x14ac:dyDescent="0.25">
      <c r="A1706" s="162">
        <v>25024</v>
      </c>
      <c r="B1706" s="163">
        <v>5.34</v>
      </c>
      <c r="C1706" s="163"/>
      <c r="D1706" s="163"/>
      <c r="E1706" s="163"/>
      <c r="J1706" s="157">
        <v>34537</v>
      </c>
      <c r="K1706" s="158">
        <v>7.62</v>
      </c>
    </row>
    <row r="1707" spans="1:11" x14ac:dyDescent="0.25">
      <c r="A1707" s="162">
        <v>25027</v>
      </c>
      <c r="B1707" s="163">
        <v>5.33</v>
      </c>
      <c r="C1707" s="163"/>
      <c r="D1707" s="163"/>
      <c r="E1707" s="163"/>
      <c r="J1707" s="157">
        <v>34544</v>
      </c>
      <c r="K1707" s="158">
        <v>7.6</v>
      </c>
    </row>
    <row r="1708" spans="1:11" x14ac:dyDescent="0.25">
      <c r="A1708" s="162">
        <v>25028</v>
      </c>
      <c r="B1708" s="163">
        <v>5.32</v>
      </c>
      <c r="C1708" s="163"/>
      <c r="D1708" s="163"/>
      <c r="E1708" s="163"/>
      <c r="J1708" s="157">
        <v>34551</v>
      </c>
      <c r="K1708" s="158">
        <v>7.49</v>
      </c>
    </row>
    <row r="1709" spans="1:11" x14ac:dyDescent="0.25">
      <c r="A1709" s="162">
        <v>25029</v>
      </c>
      <c r="B1709" s="163">
        <v>5.32</v>
      </c>
      <c r="C1709" s="163"/>
      <c r="D1709" s="163"/>
      <c r="E1709" s="163"/>
      <c r="J1709" s="157">
        <v>34558</v>
      </c>
      <c r="K1709" s="158">
        <v>7.66</v>
      </c>
    </row>
    <row r="1710" spans="1:11" x14ac:dyDescent="0.25">
      <c r="A1710" s="162">
        <v>25030</v>
      </c>
      <c r="B1710" s="163">
        <v>5.31</v>
      </c>
      <c r="C1710" s="163"/>
      <c r="D1710" s="163"/>
      <c r="E1710" s="163"/>
      <c r="J1710" s="157">
        <v>34565</v>
      </c>
      <c r="K1710" s="158">
        <v>7.63</v>
      </c>
    </row>
    <row r="1711" spans="1:11" x14ac:dyDescent="0.25">
      <c r="A1711" s="162">
        <v>25031</v>
      </c>
      <c r="B1711" s="163">
        <v>5.31</v>
      </c>
      <c r="C1711" s="163"/>
      <c r="D1711" s="163"/>
      <c r="E1711" s="163"/>
      <c r="J1711" s="157">
        <v>34572</v>
      </c>
      <c r="K1711" s="158">
        <v>7.69</v>
      </c>
    </row>
    <row r="1712" spans="1:11" x14ac:dyDescent="0.25">
      <c r="A1712" s="162">
        <v>25034</v>
      </c>
      <c r="B1712" s="163">
        <v>5.33</v>
      </c>
      <c r="C1712" s="163"/>
      <c r="D1712" s="163"/>
      <c r="E1712" s="163"/>
      <c r="J1712" s="157">
        <v>34579</v>
      </c>
      <c r="K1712" s="158">
        <v>7.62</v>
      </c>
    </row>
    <row r="1713" spans="1:11" x14ac:dyDescent="0.25">
      <c r="A1713" s="162">
        <v>25035</v>
      </c>
      <c r="B1713" s="163">
        <v>5.34</v>
      </c>
      <c r="C1713" s="163"/>
      <c r="D1713" s="163"/>
      <c r="E1713" s="163"/>
      <c r="J1713" s="157">
        <v>34586</v>
      </c>
      <c r="K1713" s="158">
        <v>7.76</v>
      </c>
    </row>
    <row r="1714" spans="1:11" x14ac:dyDescent="0.25">
      <c r="A1714" s="162">
        <v>25036</v>
      </c>
      <c r="B1714" s="163">
        <v>5.34</v>
      </c>
      <c r="C1714" s="163"/>
      <c r="D1714" s="163"/>
      <c r="E1714" s="163"/>
      <c r="J1714" s="157">
        <v>34593</v>
      </c>
      <c r="K1714" s="158">
        <v>7.87</v>
      </c>
    </row>
    <row r="1715" spans="1:11" x14ac:dyDescent="0.25">
      <c r="A1715" s="162">
        <v>25037</v>
      </c>
      <c r="B1715" s="163">
        <v>5.37</v>
      </c>
      <c r="C1715" s="163"/>
      <c r="D1715" s="163"/>
      <c r="E1715" s="163"/>
      <c r="J1715" s="157">
        <v>34600</v>
      </c>
      <c r="K1715" s="158">
        <v>7.93</v>
      </c>
    </row>
    <row r="1716" spans="1:11" x14ac:dyDescent="0.25">
      <c r="A1716" s="162">
        <v>25038</v>
      </c>
      <c r="B1716" s="163">
        <v>5.37</v>
      </c>
      <c r="C1716" s="163"/>
      <c r="D1716" s="163"/>
      <c r="E1716" s="163"/>
      <c r="J1716" s="157">
        <v>34607</v>
      </c>
      <c r="K1716" s="158">
        <v>7.99</v>
      </c>
    </row>
    <row r="1717" spans="1:11" x14ac:dyDescent="0.25">
      <c r="A1717" s="162">
        <v>25041</v>
      </c>
      <c r="B1717" s="163">
        <v>5.32</v>
      </c>
      <c r="C1717" s="163"/>
      <c r="D1717" s="163"/>
      <c r="E1717" s="163"/>
      <c r="J1717" s="157">
        <v>34614</v>
      </c>
      <c r="K1717" s="158">
        <v>8.08</v>
      </c>
    </row>
    <row r="1718" spans="1:11" x14ac:dyDescent="0.25">
      <c r="A1718" s="162">
        <v>25042</v>
      </c>
      <c r="B1718" s="163">
        <v>5.24</v>
      </c>
      <c r="C1718" s="163"/>
      <c r="D1718" s="163"/>
      <c r="E1718" s="163"/>
      <c r="J1718" s="157">
        <v>34621</v>
      </c>
      <c r="K1718" s="158">
        <v>8.01</v>
      </c>
    </row>
    <row r="1719" spans="1:11" x14ac:dyDescent="0.25">
      <c r="A1719" s="162">
        <v>25043</v>
      </c>
      <c r="B1719" s="164">
        <v>5.22</v>
      </c>
      <c r="C1719" s="164"/>
      <c r="D1719" s="164"/>
      <c r="E1719" s="164"/>
      <c r="J1719" s="157">
        <v>34628</v>
      </c>
      <c r="K1719" s="158">
        <v>8.06</v>
      </c>
    </row>
    <row r="1720" spans="1:11" x14ac:dyDescent="0.25">
      <c r="A1720" s="162">
        <v>25044</v>
      </c>
      <c r="B1720" s="163">
        <v>5.2</v>
      </c>
      <c r="C1720" s="163"/>
      <c r="D1720" s="163"/>
      <c r="E1720" s="163"/>
      <c r="J1720" s="157">
        <v>34635</v>
      </c>
      <c r="K1720" s="158">
        <v>8.16</v>
      </c>
    </row>
    <row r="1721" spans="1:11" x14ac:dyDescent="0.25">
      <c r="A1721" s="162">
        <v>25045</v>
      </c>
      <c r="B1721" s="163">
        <v>5.17</v>
      </c>
      <c r="C1721" s="163"/>
      <c r="D1721" s="163"/>
      <c r="E1721" s="163"/>
      <c r="J1721" s="157">
        <v>34642</v>
      </c>
      <c r="K1721" s="158">
        <v>8.2100000000000009</v>
      </c>
    </row>
    <row r="1722" spans="1:11" x14ac:dyDescent="0.25">
      <c r="A1722" s="162">
        <v>25048</v>
      </c>
      <c r="B1722" s="163">
        <v>5.19</v>
      </c>
      <c r="C1722" s="163"/>
      <c r="D1722" s="163"/>
      <c r="E1722" s="163"/>
      <c r="J1722" s="157">
        <v>34649</v>
      </c>
      <c r="K1722" s="158">
        <v>8.26</v>
      </c>
    </row>
    <row r="1723" spans="1:11" x14ac:dyDescent="0.25">
      <c r="A1723" s="162">
        <v>25049</v>
      </c>
      <c r="B1723" s="163">
        <v>5.2</v>
      </c>
      <c r="C1723" s="163"/>
      <c r="D1723" s="163"/>
      <c r="E1723" s="163"/>
      <c r="J1723" s="157">
        <v>34656</v>
      </c>
      <c r="K1723" s="158">
        <v>8.2200000000000006</v>
      </c>
    </row>
    <row r="1724" spans="1:11" x14ac:dyDescent="0.25">
      <c r="A1724" s="162">
        <v>25050</v>
      </c>
      <c r="B1724" s="163">
        <v>5.19</v>
      </c>
      <c r="C1724" s="163"/>
      <c r="D1724" s="163"/>
      <c r="E1724" s="163"/>
      <c r="J1724" s="157">
        <v>34663</v>
      </c>
      <c r="K1724" s="158">
        <v>8.15</v>
      </c>
    </row>
    <row r="1725" spans="1:11" x14ac:dyDescent="0.25">
      <c r="A1725" s="162">
        <v>25051</v>
      </c>
      <c r="B1725" s="163">
        <v>5.16</v>
      </c>
      <c r="C1725" s="163"/>
      <c r="D1725" s="163"/>
      <c r="E1725" s="163"/>
      <c r="J1725" s="157">
        <v>34670</v>
      </c>
      <c r="K1725" s="158">
        <v>8.1</v>
      </c>
    </row>
    <row r="1726" spans="1:11" x14ac:dyDescent="0.25">
      <c r="A1726" s="162">
        <v>25052</v>
      </c>
      <c r="B1726" s="163">
        <v>5.14</v>
      </c>
      <c r="C1726" s="163"/>
      <c r="D1726" s="163"/>
      <c r="E1726" s="163"/>
      <c r="J1726" s="157">
        <v>34677</v>
      </c>
      <c r="K1726" s="158">
        <v>7.99</v>
      </c>
    </row>
    <row r="1727" spans="1:11" x14ac:dyDescent="0.25">
      <c r="A1727" s="162">
        <v>25055</v>
      </c>
      <c r="B1727" s="163">
        <v>5.16</v>
      </c>
      <c r="C1727" s="163"/>
      <c r="D1727" s="163"/>
      <c r="E1727" s="163"/>
      <c r="J1727" s="157">
        <v>34684</v>
      </c>
      <c r="K1727" s="158">
        <v>8</v>
      </c>
    </row>
    <row r="1728" spans="1:11" x14ac:dyDescent="0.25">
      <c r="A1728" s="162">
        <v>25056</v>
      </c>
      <c r="B1728" s="163">
        <v>5.17</v>
      </c>
      <c r="C1728" s="163"/>
      <c r="D1728" s="163"/>
      <c r="E1728" s="163"/>
      <c r="J1728" s="157">
        <v>34691</v>
      </c>
      <c r="K1728" s="158">
        <v>7.97</v>
      </c>
    </row>
    <row r="1729" spans="1:11" x14ac:dyDescent="0.25">
      <c r="A1729" s="162">
        <v>25057</v>
      </c>
      <c r="B1729" s="163">
        <v>5.17</v>
      </c>
      <c r="C1729" s="163"/>
      <c r="D1729" s="163"/>
      <c r="E1729" s="163"/>
      <c r="J1729" s="157">
        <v>34698</v>
      </c>
      <c r="K1729" s="158">
        <v>7.96</v>
      </c>
    </row>
    <row r="1730" spans="1:11" x14ac:dyDescent="0.25">
      <c r="A1730" s="162">
        <v>25058</v>
      </c>
      <c r="B1730" s="163">
        <v>5.18</v>
      </c>
      <c r="C1730" s="163"/>
      <c r="D1730" s="163"/>
      <c r="E1730" s="163"/>
      <c r="J1730" s="157">
        <v>34705</v>
      </c>
      <c r="K1730" s="158">
        <v>8.02</v>
      </c>
    </row>
    <row r="1731" spans="1:11" x14ac:dyDescent="0.25">
      <c r="A1731" s="162">
        <v>25059</v>
      </c>
      <c r="B1731" s="163">
        <v>5.2</v>
      </c>
      <c r="C1731" s="163"/>
      <c r="D1731" s="163"/>
      <c r="E1731" s="163"/>
      <c r="J1731" s="157">
        <v>34712</v>
      </c>
      <c r="K1731" s="158">
        <v>7.99</v>
      </c>
    </row>
    <row r="1732" spans="1:11" x14ac:dyDescent="0.25">
      <c r="A1732" s="162">
        <v>25062</v>
      </c>
      <c r="B1732" s="163">
        <v>5.22</v>
      </c>
      <c r="C1732" s="163"/>
      <c r="D1732" s="163"/>
      <c r="E1732" s="163"/>
      <c r="J1732" s="157">
        <v>34719</v>
      </c>
      <c r="K1732" s="158">
        <v>7.95</v>
      </c>
    </row>
    <row r="1733" spans="1:11" x14ac:dyDescent="0.25">
      <c r="A1733" s="162">
        <v>25063</v>
      </c>
      <c r="B1733" s="163">
        <v>5.24</v>
      </c>
      <c r="C1733" s="163"/>
      <c r="D1733" s="163"/>
      <c r="E1733" s="163"/>
      <c r="J1733" s="157">
        <v>34726</v>
      </c>
      <c r="K1733" s="158">
        <v>7.97</v>
      </c>
    </row>
    <row r="1734" spans="1:11" x14ac:dyDescent="0.25">
      <c r="A1734" s="162">
        <v>25064</v>
      </c>
      <c r="B1734" s="163">
        <v>5.24</v>
      </c>
      <c r="C1734" s="163"/>
      <c r="D1734" s="163"/>
      <c r="E1734" s="163"/>
      <c r="J1734" s="157">
        <v>34733</v>
      </c>
      <c r="K1734" s="158">
        <v>7.81</v>
      </c>
    </row>
    <row r="1735" spans="1:11" x14ac:dyDescent="0.25">
      <c r="A1735" s="162">
        <v>25065</v>
      </c>
      <c r="B1735" s="163">
        <v>5.26</v>
      </c>
      <c r="C1735" s="163"/>
      <c r="D1735" s="163"/>
      <c r="E1735" s="163"/>
      <c r="J1735" s="157">
        <v>34740</v>
      </c>
      <c r="K1735" s="158">
        <v>7.76</v>
      </c>
    </row>
    <row r="1736" spans="1:11" x14ac:dyDescent="0.25">
      <c r="A1736" s="162">
        <v>25066</v>
      </c>
      <c r="B1736" s="163">
        <v>5.25</v>
      </c>
      <c r="C1736" s="163"/>
      <c r="D1736" s="163"/>
      <c r="E1736" s="163"/>
      <c r="J1736" s="157">
        <v>34747</v>
      </c>
      <c r="K1736" s="158">
        <v>7.73</v>
      </c>
    </row>
    <row r="1737" spans="1:11" x14ac:dyDescent="0.25">
      <c r="A1737" s="162">
        <v>25069</v>
      </c>
      <c r="B1737" s="163">
        <v>5.25</v>
      </c>
      <c r="C1737" s="163"/>
      <c r="D1737" s="163"/>
      <c r="E1737" s="163"/>
      <c r="J1737" s="157">
        <v>34754</v>
      </c>
      <c r="K1737" s="158">
        <v>7.69</v>
      </c>
    </row>
    <row r="1738" spans="1:11" x14ac:dyDescent="0.25">
      <c r="A1738" s="162">
        <v>25070</v>
      </c>
      <c r="B1738" s="163">
        <v>5.26</v>
      </c>
      <c r="C1738" s="163"/>
      <c r="D1738" s="163"/>
      <c r="E1738" s="163"/>
      <c r="J1738" s="157">
        <v>34761</v>
      </c>
      <c r="K1738" s="158">
        <v>7.61</v>
      </c>
    </row>
    <row r="1739" spans="1:11" x14ac:dyDescent="0.25">
      <c r="A1739" s="162">
        <v>25071</v>
      </c>
      <c r="B1739" s="163">
        <v>5.28</v>
      </c>
      <c r="C1739" s="163"/>
      <c r="D1739" s="163"/>
      <c r="E1739" s="163"/>
      <c r="J1739" s="157">
        <v>34768</v>
      </c>
      <c r="K1739" s="158">
        <v>7.68</v>
      </c>
    </row>
    <row r="1740" spans="1:11" x14ac:dyDescent="0.25">
      <c r="A1740" s="162">
        <v>25072</v>
      </c>
      <c r="B1740" s="163">
        <v>5.3</v>
      </c>
      <c r="C1740" s="163"/>
      <c r="D1740" s="163"/>
      <c r="E1740" s="163"/>
      <c r="J1740" s="157">
        <v>34775</v>
      </c>
      <c r="K1740" s="158">
        <v>7.48</v>
      </c>
    </row>
    <row r="1741" spans="1:11" x14ac:dyDescent="0.25">
      <c r="A1741" s="162">
        <v>25073</v>
      </c>
      <c r="B1741" s="163">
        <v>5.28</v>
      </c>
      <c r="C1741" s="163"/>
      <c r="D1741" s="163"/>
      <c r="E1741" s="163"/>
      <c r="J1741" s="157">
        <v>34782</v>
      </c>
      <c r="K1741" s="158">
        <v>7.55</v>
      </c>
    </row>
    <row r="1742" spans="1:11" x14ac:dyDescent="0.25">
      <c r="A1742" s="162">
        <v>25076</v>
      </c>
      <c r="B1742" s="163">
        <v>5.26</v>
      </c>
      <c r="C1742" s="163"/>
      <c r="D1742" s="163"/>
      <c r="E1742" s="163"/>
      <c r="J1742" s="157">
        <v>34789</v>
      </c>
      <c r="K1742" s="158">
        <v>7.51</v>
      </c>
    </row>
    <row r="1743" spans="1:11" x14ac:dyDescent="0.25">
      <c r="A1743" s="162">
        <v>25077</v>
      </c>
      <c r="B1743" s="163">
        <v>5.25</v>
      </c>
      <c r="C1743" s="163"/>
      <c r="D1743" s="163"/>
      <c r="E1743" s="163"/>
      <c r="J1743" s="157">
        <v>34796</v>
      </c>
      <c r="K1743" s="158">
        <v>7.48</v>
      </c>
    </row>
    <row r="1744" spans="1:11" x14ac:dyDescent="0.25">
      <c r="A1744" s="162">
        <v>25078</v>
      </c>
      <c r="B1744" s="164">
        <v>5.24</v>
      </c>
      <c r="C1744" s="164"/>
      <c r="D1744" s="164"/>
      <c r="E1744" s="164"/>
      <c r="J1744" s="157">
        <v>34803</v>
      </c>
      <c r="K1744" s="158">
        <v>7.46</v>
      </c>
    </row>
    <row r="1745" spans="1:11" x14ac:dyDescent="0.25">
      <c r="A1745" s="162">
        <v>25079</v>
      </c>
      <c r="B1745" s="163">
        <v>5.23</v>
      </c>
      <c r="C1745" s="163"/>
      <c r="D1745" s="163"/>
      <c r="E1745" s="163"/>
      <c r="J1745" s="157">
        <v>34810</v>
      </c>
      <c r="K1745" s="158">
        <v>7.46</v>
      </c>
    </row>
    <row r="1746" spans="1:11" x14ac:dyDescent="0.25">
      <c r="A1746" s="162">
        <v>25080</v>
      </c>
      <c r="B1746" s="163">
        <v>5.22</v>
      </c>
      <c r="C1746" s="163"/>
      <c r="D1746" s="163"/>
      <c r="E1746" s="163"/>
      <c r="J1746" s="157">
        <v>34817</v>
      </c>
      <c r="K1746" s="158">
        <v>7.41</v>
      </c>
    </row>
    <row r="1747" spans="1:11" x14ac:dyDescent="0.25">
      <c r="A1747" s="162">
        <v>25083</v>
      </c>
      <c r="B1747" s="163" t="e">
        <f>NA()</f>
        <v>#N/A</v>
      </c>
      <c r="C1747" s="163"/>
      <c r="D1747" s="163"/>
      <c r="E1747" s="163"/>
      <c r="J1747" s="157">
        <v>34824</v>
      </c>
      <c r="K1747" s="158">
        <v>7.29</v>
      </c>
    </row>
    <row r="1748" spans="1:11" x14ac:dyDescent="0.25">
      <c r="A1748" s="162">
        <v>25084</v>
      </c>
      <c r="B1748" s="163">
        <v>5.22</v>
      </c>
      <c r="C1748" s="163"/>
      <c r="D1748" s="163"/>
      <c r="E1748" s="163"/>
      <c r="J1748" s="157">
        <v>34831</v>
      </c>
      <c r="K1748" s="158">
        <v>7.04</v>
      </c>
    </row>
    <row r="1749" spans="1:11" x14ac:dyDescent="0.25">
      <c r="A1749" s="162">
        <v>25085</v>
      </c>
      <c r="B1749" s="163">
        <v>5.24</v>
      </c>
      <c r="C1749" s="163"/>
      <c r="D1749" s="163"/>
      <c r="E1749" s="163"/>
      <c r="J1749" s="157">
        <v>34838</v>
      </c>
      <c r="K1749" s="158">
        <v>6.95</v>
      </c>
    </row>
    <row r="1750" spans="1:11" x14ac:dyDescent="0.25">
      <c r="A1750" s="162">
        <v>25086</v>
      </c>
      <c r="B1750" s="163">
        <v>5.26</v>
      </c>
      <c r="C1750" s="163"/>
      <c r="D1750" s="163"/>
      <c r="E1750" s="163"/>
      <c r="J1750" s="157">
        <v>34845</v>
      </c>
      <c r="K1750" s="158">
        <v>6.86</v>
      </c>
    </row>
    <row r="1751" spans="1:11" x14ac:dyDescent="0.25">
      <c r="A1751" s="162">
        <v>25087</v>
      </c>
      <c r="B1751" s="163">
        <v>5.28</v>
      </c>
      <c r="C1751" s="163"/>
      <c r="D1751" s="163"/>
      <c r="E1751" s="163"/>
      <c r="J1751" s="157">
        <v>34852</v>
      </c>
      <c r="K1751" s="158">
        <v>6.66</v>
      </c>
    </row>
    <row r="1752" spans="1:11" x14ac:dyDescent="0.25">
      <c r="A1752" s="162">
        <v>25090</v>
      </c>
      <c r="B1752" s="163">
        <v>5.29</v>
      </c>
      <c r="C1752" s="163"/>
      <c r="D1752" s="163"/>
      <c r="E1752" s="163"/>
      <c r="J1752" s="157">
        <v>34859</v>
      </c>
      <c r="K1752" s="158">
        <v>6.6</v>
      </c>
    </row>
    <row r="1753" spans="1:11" x14ac:dyDescent="0.25">
      <c r="A1753" s="162">
        <v>25091</v>
      </c>
      <c r="B1753" s="163">
        <v>5.31</v>
      </c>
      <c r="C1753" s="163"/>
      <c r="D1753" s="163"/>
      <c r="E1753" s="163"/>
      <c r="J1753" s="157">
        <v>34866</v>
      </c>
      <c r="K1753" s="158">
        <v>6.64</v>
      </c>
    </row>
    <row r="1754" spans="1:11" x14ac:dyDescent="0.25">
      <c r="A1754" s="162">
        <v>25092</v>
      </c>
      <c r="B1754" s="163">
        <v>5.31</v>
      </c>
      <c r="C1754" s="163"/>
      <c r="D1754" s="163"/>
      <c r="E1754" s="163"/>
      <c r="J1754" s="157">
        <v>34873</v>
      </c>
      <c r="K1754" s="158">
        <v>6.54</v>
      </c>
    </row>
    <row r="1755" spans="1:11" x14ac:dyDescent="0.25">
      <c r="A1755" s="162">
        <v>25093</v>
      </c>
      <c r="B1755" s="163">
        <v>5.31</v>
      </c>
      <c r="C1755" s="163"/>
      <c r="D1755" s="163"/>
      <c r="E1755" s="163"/>
      <c r="J1755" s="157">
        <v>34880</v>
      </c>
      <c r="K1755" s="158">
        <v>6.6</v>
      </c>
    </row>
    <row r="1756" spans="1:11" x14ac:dyDescent="0.25">
      <c r="A1756" s="162">
        <v>25094</v>
      </c>
      <c r="B1756" s="163">
        <v>5.3</v>
      </c>
      <c r="C1756" s="163"/>
      <c r="D1756" s="163"/>
      <c r="E1756" s="163"/>
      <c r="J1756" s="157">
        <v>34887</v>
      </c>
      <c r="K1756" s="158">
        <v>6.59</v>
      </c>
    </row>
    <row r="1757" spans="1:11" x14ac:dyDescent="0.25">
      <c r="A1757" s="162">
        <v>25097</v>
      </c>
      <c r="B1757" s="163">
        <v>5.28</v>
      </c>
      <c r="C1757" s="163"/>
      <c r="D1757" s="163"/>
      <c r="E1757" s="163"/>
      <c r="J1757" s="157">
        <v>34894</v>
      </c>
      <c r="K1757" s="158">
        <v>6.56</v>
      </c>
    </row>
    <row r="1758" spans="1:11" x14ac:dyDescent="0.25">
      <c r="A1758" s="162">
        <v>25098</v>
      </c>
      <c r="B1758" s="163">
        <v>5.27</v>
      </c>
      <c r="C1758" s="163"/>
      <c r="D1758" s="163"/>
      <c r="E1758" s="163"/>
      <c r="J1758" s="157">
        <v>34901</v>
      </c>
      <c r="K1758" s="158">
        <v>6.84</v>
      </c>
    </row>
    <row r="1759" spans="1:11" x14ac:dyDescent="0.25">
      <c r="A1759" s="162">
        <v>25099</v>
      </c>
      <c r="B1759" s="163">
        <v>5.26</v>
      </c>
      <c r="C1759" s="163"/>
      <c r="D1759" s="163"/>
      <c r="E1759" s="163"/>
      <c r="J1759" s="157">
        <v>34908</v>
      </c>
      <c r="K1759" s="158">
        <v>6.9</v>
      </c>
    </row>
    <row r="1760" spans="1:11" x14ac:dyDescent="0.25">
      <c r="A1760" s="162">
        <v>25100</v>
      </c>
      <c r="B1760" s="163">
        <v>5.26</v>
      </c>
      <c r="C1760" s="163"/>
      <c r="D1760" s="163"/>
      <c r="E1760" s="163"/>
      <c r="J1760" s="157">
        <v>34915</v>
      </c>
      <c r="K1760" s="158">
        <v>6.92</v>
      </c>
    </row>
    <row r="1761" spans="1:11" x14ac:dyDescent="0.25">
      <c r="A1761" s="162">
        <v>25101</v>
      </c>
      <c r="B1761" s="163">
        <v>5.27</v>
      </c>
      <c r="C1761" s="163"/>
      <c r="D1761" s="163"/>
      <c r="E1761" s="163"/>
      <c r="J1761" s="157">
        <v>34922</v>
      </c>
      <c r="K1761" s="158">
        <v>6.95</v>
      </c>
    </row>
    <row r="1762" spans="1:11" x14ac:dyDescent="0.25">
      <c r="A1762" s="162">
        <v>25104</v>
      </c>
      <c r="B1762" s="163">
        <v>5.27</v>
      </c>
      <c r="C1762" s="163"/>
      <c r="D1762" s="163"/>
      <c r="E1762" s="163"/>
      <c r="J1762" s="157">
        <v>34929</v>
      </c>
      <c r="K1762" s="158">
        <v>7</v>
      </c>
    </row>
    <row r="1763" spans="1:11" x14ac:dyDescent="0.25">
      <c r="A1763" s="162">
        <v>25105</v>
      </c>
      <c r="B1763" s="163">
        <v>5.27</v>
      </c>
      <c r="C1763" s="163"/>
      <c r="D1763" s="163"/>
      <c r="E1763" s="163"/>
      <c r="J1763" s="157">
        <v>34936</v>
      </c>
      <c r="K1763" s="158">
        <v>6.93</v>
      </c>
    </row>
    <row r="1764" spans="1:11" x14ac:dyDescent="0.25">
      <c r="A1764" s="162">
        <v>25106</v>
      </c>
      <c r="B1764" s="163">
        <v>5.27</v>
      </c>
      <c r="C1764" s="163"/>
      <c r="D1764" s="163"/>
      <c r="E1764" s="163"/>
      <c r="J1764" s="157">
        <v>34943</v>
      </c>
      <c r="K1764" s="158">
        <v>6.74</v>
      </c>
    </row>
    <row r="1765" spans="1:11" x14ac:dyDescent="0.25">
      <c r="A1765" s="162">
        <v>25107</v>
      </c>
      <c r="B1765" s="163">
        <v>5.28</v>
      </c>
      <c r="C1765" s="163"/>
      <c r="D1765" s="163"/>
      <c r="E1765" s="163"/>
      <c r="J1765" s="157">
        <v>34950</v>
      </c>
      <c r="K1765" s="158">
        <v>6.65</v>
      </c>
    </row>
    <row r="1766" spans="1:11" x14ac:dyDescent="0.25">
      <c r="A1766" s="162">
        <v>25108</v>
      </c>
      <c r="B1766" s="163">
        <v>5.29</v>
      </c>
      <c r="C1766" s="163"/>
      <c r="D1766" s="163"/>
      <c r="E1766" s="163"/>
      <c r="J1766" s="157">
        <v>34957</v>
      </c>
      <c r="K1766" s="158">
        <v>6.61</v>
      </c>
    </row>
    <row r="1767" spans="1:11" x14ac:dyDescent="0.25">
      <c r="A1767" s="162">
        <v>25111</v>
      </c>
      <c r="B1767" s="163">
        <v>5.32</v>
      </c>
      <c r="C1767" s="163"/>
      <c r="D1767" s="163"/>
      <c r="E1767" s="163"/>
      <c r="J1767" s="157">
        <v>34964</v>
      </c>
      <c r="K1767" s="158">
        <v>6.64</v>
      </c>
    </row>
    <row r="1768" spans="1:11" x14ac:dyDescent="0.25">
      <c r="A1768" s="162">
        <v>25112</v>
      </c>
      <c r="B1768" s="163">
        <v>5.33</v>
      </c>
      <c r="C1768" s="163"/>
      <c r="D1768" s="163"/>
      <c r="E1768" s="163"/>
      <c r="J1768" s="157">
        <v>34971</v>
      </c>
      <c r="K1768" s="158">
        <v>6.7</v>
      </c>
    </row>
    <row r="1769" spans="1:11" x14ac:dyDescent="0.25">
      <c r="A1769" s="162">
        <v>25113</v>
      </c>
      <c r="B1769" s="163">
        <v>5.33</v>
      </c>
      <c r="C1769" s="163"/>
      <c r="D1769" s="163"/>
      <c r="E1769" s="163"/>
      <c r="J1769" s="157">
        <v>34978</v>
      </c>
      <c r="K1769" s="158">
        <v>6.55</v>
      </c>
    </row>
    <row r="1770" spans="1:11" x14ac:dyDescent="0.25">
      <c r="A1770" s="162">
        <v>25114</v>
      </c>
      <c r="B1770" s="163">
        <v>5.34</v>
      </c>
      <c r="C1770" s="163"/>
      <c r="D1770" s="163"/>
      <c r="E1770" s="163"/>
      <c r="J1770" s="157">
        <v>34985</v>
      </c>
      <c r="K1770" s="158">
        <v>6.47</v>
      </c>
    </row>
    <row r="1771" spans="1:11" x14ac:dyDescent="0.25">
      <c r="A1771" s="162">
        <v>25115</v>
      </c>
      <c r="B1771" s="163">
        <v>5.36</v>
      </c>
      <c r="C1771" s="163"/>
      <c r="D1771" s="163"/>
      <c r="E1771" s="163"/>
      <c r="J1771" s="157">
        <v>34992</v>
      </c>
      <c r="K1771" s="158">
        <v>6.38</v>
      </c>
    </row>
    <row r="1772" spans="1:11" x14ac:dyDescent="0.25">
      <c r="A1772" s="162">
        <v>25118</v>
      </c>
      <c r="B1772" s="163">
        <v>5.39</v>
      </c>
      <c r="C1772" s="163"/>
      <c r="D1772" s="163"/>
      <c r="E1772" s="163"/>
      <c r="J1772" s="157">
        <v>34999</v>
      </c>
      <c r="K1772" s="158">
        <v>6.4</v>
      </c>
    </row>
    <row r="1773" spans="1:11" x14ac:dyDescent="0.25">
      <c r="A1773" s="162">
        <v>25119</v>
      </c>
      <c r="B1773" s="163">
        <v>5.42</v>
      </c>
      <c r="C1773" s="163"/>
      <c r="D1773" s="163"/>
      <c r="E1773" s="163"/>
      <c r="J1773" s="157">
        <v>35006</v>
      </c>
      <c r="K1773" s="158">
        <v>6.36</v>
      </c>
    </row>
    <row r="1774" spans="1:11" x14ac:dyDescent="0.25">
      <c r="A1774" s="162">
        <v>25120</v>
      </c>
      <c r="B1774" s="163">
        <v>5.45</v>
      </c>
      <c r="C1774" s="163"/>
      <c r="D1774" s="163"/>
      <c r="E1774" s="163"/>
      <c r="J1774" s="157">
        <v>35013</v>
      </c>
      <c r="K1774" s="158">
        <v>6.35</v>
      </c>
    </row>
    <row r="1775" spans="1:11" x14ac:dyDescent="0.25">
      <c r="A1775" s="162">
        <v>25121</v>
      </c>
      <c r="B1775" s="163">
        <v>5.48</v>
      </c>
      <c r="C1775" s="163"/>
      <c r="D1775" s="163"/>
      <c r="E1775" s="163"/>
      <c r="J1775" s="157">
        <v>35020</v>
      </c>
      <c r="K1775" s="158">
        <v>6.34</v>
      </c>
    </row>
    <row r="1776" spans="1:11" x14ac:dyDescent="0.25">
      <c r="A1776" s="162">
        <v>25122</v>
      </c>
      <c r="B1776" s="163">
        <v>5.48</v>
      </c>
      <c r="C1776" s="163"/>
      <c r="D1776" s="163"/>
      <c r="E1776" s="163"/>
      <c r="J1776" s="157">
        <v>35027</v>
      </c>
      <c r="K1776" s="158">
        <v>6.36</v>
      </c>
    </row>
    <row r="1777" spans="1:11" x14ac:dyDescent="0.25">
      <c r="A1777" s="162">
        <v>25125</v>
      </c>
      <c r="B1777" s="163">
        <v>5.49</v>
      </c>
      <c r="C1777" s="163"/>
      <c r="D1777" s="163"/>
      <c r="E1777" s="163"/>
      <c r="J1777" s="157">
        <v>35034</v>
      </c>
      <c r="K1777" s="158">
        <v>6.25</v>
      </c>
    </row>
    <row r="1778" spans="1:11" x14ac:dyDescent="0.25">
      <c r="A1778" s="162">
        <v>25126</v>
      </c>
      <c r="B1778" s="163">
        <v>5.52</v>
      </c>
      <c r="C1778" s="163"/>
      <c r="D1778" s="163"/>
      <c r="E1778" s="163"/>
      <c r="J1778" s="157">
        <v>35041</v>
      </c>
      <c r="K1778" s="158">
        <v>6.1</v>
      </c>
    </row>
    <row r="1779" spans="1:11" x14ac:dyDescent="0.25">
      <c r="A1779" s="162">
        <v>25127</v>
      </c>
      <c r="B1779" s="163">
        <v>5.49</v>
      </c>
      <c r="C1779" s="163"/>
      <c r="D1779" s="163"/>
      <c r="E1779" s="163"/>
      <c r="J1779" s="157">
        <v>35048</v>
      </c>
      <c r="K1779" s="158">
        <v>6.13</v>
      </c>
    </row>
    <row r="1780" spans="1:11" x14ac:dyDescent="0.25">
      <c r="A1780" s="162">
        <v>25128</v>
      </c>
      <c r="B1780" s="163">
        <v>5.44</v>
      </c>
      <c r="C1780" s="163"/>
      <c r="D1780" s="163"/>
      <c r="E1780" s="163"/>
      <c r="J1780" s="157">
        <v>35055</v>
      </c>
      <c r="K1780" s="158">
        <v>6.19</v>
      </c>
    </row>
    <row r="1781" spans="1:11" x14ac:dyDescent="0.25">
      <c r="A1781" s="162">
        <v>25129</v>
      </c>
      <c r="B1781" s="163">
        <v>5.43</v>
      </c>
      <c r="C1781" s="163"/>
      <c r="D1781" s="163"/>
      <c r="E1781" s="163"/>
      <c r="J1781" s="157">
        <v>35062</v>
      </c>
      <c r="K1781" s="158">
        <v>6.06</v>
      </c>
    </row>
    <row r="1782" spans="1:11" x14ac:dyDescent="0.25">
      <c r="A1782" s="162">
        <v>25132</v>
      </c>
      <c r="B1782" s="163">
        <v>5.43</v>
      </c>
      <c r="C1782" s="163"/>
      <c r="D1782" s="163"/>
      <c r="E1782" s="163"/>
      <c r="J1782" s="157">
        <v>35069</v>
      </c>
      <c r="K1782" s="158">
        <v>6.06</v>
      </c>
    </row>
    <row r="1783" spans="1:11" x14ac:dyDescent="0.25">
      <c r="A1783" s="162">
        <v>25133</v>
      </c>
      <c r="B1783" s="163">
        <v>5.44</v>
      </c>
      <c r="C1783" s="163"/>
      <c r="D1783" s="163"/>
      <c r="E1783" s="163"/>
      <c r="J1783" s="157">
        <v>35076</v>
      </c>
      <c r="K1783" s="158">
        <v>6.18</v>
      </c>
    </row>
    <row r="1784" spans="1:11" x14ac:dyDescent="0.25">
      <c r="A1784" s="162">
        <v>25134</v>
      </c>
      <c r="B1784" s="163">
        <v>5.44</v>
      </c>
      <c r="C1784" s="163"/>
      <c r="D1784" s="163"/>
      <c r="E1784" s="163"/>
      <c r="J1784" s="157">
        <v>35083</v>
      </c>
      <c r="K1784" s="158">
        <v>6.06</v>
      </c>
    </row>
    <row r="1785" spans="1:11" x14ac:dyDescent="0.25">
      <c r="A1785" s="162">
        <v>25135</v>
      </c>
      <c r="B1785" s="163">
        <v>5.45</v>
      </c>
      <c r="C1785" s="163"/>
      <c r="D1785" s="163"/>
      <c r="E1785" s="163"/>
      <c r="J1785" s="157">
        <v>35090</v>
      </c>
      <c r="K1785" s="158">
        <v>6.11</v>
      </c>
    </row>
    <row r="1786" spans="1:11" x14ac:dyDescent="0.25">
      <c r="A1786" s="162">
        <v>25136</v>
      </c>
      <c r="B1786" s="163">
        <v>5.45</v>
      </c>
      <c r="C1786" s="163"/>
      <c r="D1786" s="163"/>
      <c r="E1786" s="163"/>
      <c r="J1786" s="157">
        <v>35097</v>
      </c>
      <c r="K1786" s="158">
        <v>6.11</v>
      </c>
    </row>
    <row r="1787" spans="1:11" x14ac:dyDescent="0.25">
      <c r="A1787" s="162">
        <v>25139</v>
      </c>
      <c r="B1787" s="163">
        <v>5.45</v>
      </c>
      <c r="C1787" s="163"/>
      <c r="D1787" s="163"/>
      <c r="E1787" s="163"/>
      <c r="J1787" s="157">
        <v>35104</v>
      </c>
      <c r="K1787" s="158">
        <v>6.17</v>
      </c>
    </row>
    <row r="1788" spans="1:11" x14ac:dyDescent="0.25">
      <c r="A1788" s="162">
        <v>25140</v>
      </c>
      <c r="B1788" s="164">
        <v>5.47</v>
      </c>
      <c r="C1788" s="164"/>
      <c r="D1788" s="164"/>
      <c r="E1788" s="164"/>
      <c r="J1788" s="157">
        <v>35111</v>
      </c>
      <c r="K1788" s="158">
        <v>6.16</v>
      </c>
    </row>
    <row r="1789" spans="1:11" x14ac:dyDescent="0.25">
      <c r="A1789" s="162">
        <v>25141</v>
      </c>
      <c r="B1789" s="163">
        <v>5.47</v>
      </c>
      <c r="C1789" s="163"/>
      <c r="D1789" s="163"/>
      <c r="E1789" s="163"/>
      <c r="J1789" s="157">
        <v>35118</v>
      </c>
      <c r="K1789" s="158">
        <v>6.46</v>
      </c>
    </row>
    <row r="1790" spans="1:11" x14ac:dyDescent="0.25">
      <c r="A1790" s="162">
        <v>25142</v>
      </c>
      <c r="B1790" s="163">
        <v>5.46</v>
      </c>
      <c r="C1790" s="163"/>
      <c r="D1790" s="163"/>
      <c r="E1790" s="163"/>
      <c r="J1790" s="157">
        <v>35125</v>
      </c>
      <c r="K1790" s="158">
        <v>6.55</v>
      </c>
    </row>
    <row r="1791" spans="1:11" x14ac:dyDescent="0.25">
      <c r="A1791" s="162">
        <v>25143</v>
      </c>
      <c r="B1791" s="163">
        <v>5.45</v>
      </c>
      <c r="C1791" s="163"/>
      <c r="D1791" s="163"/>
      <c r="E1791" s="163"/>
      <c r="J1791" s="157">
        <v>35132</v>
      </c>
      <c r="K1791" s="158">
        <v>6.57</v>
      </c>
    </row>
    <row r="1792" spans="1:11" x14ac:dyDescent="0.25">
      <c r="A1792" s="162">
        <v>25146</v>
      </c>
      <c r="B1792" s="163">
        <v>5.47</v>
      </c>
      <c r="C1792" s="163"/>
      <c r="D1792" s="163"/>
      <c r="E1792" s="163"/>
      <c r="J1792" s="157">
        <v>35139</v>
      </c>
      <c r="K1792" s="158">
        <v>6.82</v>
      </c>
    </row>
    <row r="1793" spans="1:11" x14ac:dyDescent="0.25">
      <c r="A1793" s="162">
        <v>25147</v>
      </c>
      <c r="B1793" s="163" t="e">
        <f>NA()</f>
        <v>#N/A</v>
      </c>
      <c r="C1793" s="163"/>
      <c r="D1793" s="163"/>
      <c r="E1793" s="163"/>
      <c r="J1793" s="157">
        <v>35146</v>
      </c>
      <c r="K1793" s="158">
        <v>6.82</v>
      </c>
    </row>
    <row r="1794" spans="1:11" x14ac:dyDescent="0.25">
      <c r="A1794" s="162">
        <v>25148</v>
      </c>
      <c r="B1794" s="163">
        <v>5.46</v>
      </c>
      <c r="C1794" s="163"/>
      <c r="D1794" s="163"/>
      <c r="E1794" s="163"/>
      <c r="J1794" s="157">
        <v>35153</v>
      </c>
      <c r="K1794" s="158">
        <v>6.81</v>
      </c>
    </row>
    <row r="1795" spans="1:11" x14ac:dyDescent="0.25">
      <c r="A1795" s="162">
        <v>25149</v>
      </c>
      <c r="B1795" s="163">
        <v>5.48</v>
      </c>
      <c r="C1795" s="163"/>
      <c r="D1795" s="163"/>
      <c r="E1795" s="163"/>
      <c r="J1795" s="157">
        <v>35160</v>
      </c>
      <c r="K1795" s="158">
        <v>6.85</v>
      </c>
    </row>
    <row r="1796" spans="1:11" x14ac:dyDescent="0.25">
      <c r="A1796" s="162">
        <v>25150</v>
      </c>
      <c r="B1796" s="163">
        <v>5.5</v>
      </c>
      <c r="C1796" s="163"/>
      <c r="D1796" s="163"/>
      <c r="E1796" s="163"/>
      <c r="J1796" s="157">
        <v>35167</v>
      </c>
      <c r="K1796" s="158">
        <v>7.07</v>
      </c>
    </row>
    <row r="1797" spans="1:11" x14ac:dyDescent="0.25">
      <c r="A1797" s="162">
        <v>25153</v>
      </c>
      <c r="B1797" s="163" t="e">
        <f>NA()</f>
        <v>#N/A</v>
      </c>
      <c r="C1797" s="163"/>
      <c r="D1797" s="163"/>
      <c r="E1797" s="163"/>
      <c r="J1797" s="157">
        <v>35174</v>
      </c>
      <c r="K1797" s="158">
        <v>6.99</v>
      </c>
    </row>
    <row r="1798" spans="1:11" x14ac:dyDescent="0.25">
      <c r="A1798" s="162">
        <v>25154</v>
      </c>
      <c r="B1798" s="163">
        <v>5.53</v>
      </c>
      <c r="C1798" s="163"/>
      <c r="D1798" s="163"/>
      <c r="E1798" s="163"/>
      <c r="J1798" s="157">
        <v>35181</v>
      </c>
      <c r="K1798" s="158">
        <v>6.98</v>
      </c>
    </row>
    <row r="1799" spans="1:11" x14ac:dyDescent="0.25">
      <c r="A1799" s="162">
        <v>25155</v>
      </c>
      <c r="B1799" s="163">
        <v>5.53</v>
      </c>
      <c r="C1799" s="163"/>
      <c r="D1799" s="163"/>
      <c r="E1799" s="163"/>
      <c r="J1799" s="157">
        <v>35188</v>
      </c>
      <c r="K1799" s="158">
        <v>7.13</v>
      </c>
    </row>
    <row r="1800" spans="1:11" x14ac:dyDescent="0.25">
      <c r="A1800" s="162">
        <v>25156</v>
      </c>
      <c r="B1800" s="163">
        <v>5.53</v>
      </c>
      <c r="C1800" s="163"/>
      <c r="D1800" s="163"/>
      <c r="E1800" s="163"/>
      <c r="J1800" s="157">
        <v>35195</v>
      </c>
      <c r="K1800" s="158">
        <v>7.21</v>
      </c>
    </row>
    <row r="1801" spans="1:11" x14ac:dyDescent="0.25">
      <c r="A1801" s="162">
        <v>25157</v>
      </c>
      <c r="B1801" s="163">
        <v>5.54</v>
      </c>
      <c r="C1801" s="163"/>
      <c r="D1801" s="163"/>
      <c r="E1801" s="163"/>
      <c r="J1801" s="157">
        <v>35202</v>
      </c>
      <c r="K1801" s="158">
        <v>7.05</v>
      </c>
    </row>
    <row r="1802" spans="1:11" x14ac:dyDescent="0.25">
      <c r="A1802" s="162">
        <v>25160</v>
      </c>
      <c r="B1802" s="163">
        <v>5.56</v>
      </c>
      <c r="C1802" s="163"/>
      <c r="D1802" s="163"/>
      <c r="E1802" s="163"/>
      <c r="J1802" s="157">
        <v>35209</v>
      </c>
      <c r="K1802" s="158">
        <v>7.02</v>
      </c>
    </row>
    <row r="1803" spans="1:11" x14ac:dyDescent="0.25">
      <c r="A1803" s="162">
        <v>25161</v>
      </c>
      <c r="B1803" s="163">
        <v>5.59</v>
      </c>
      <c r="C1803" s="163"/>
      <c r="D1803" s="163"/>
      <c r="E1803" s="163"/>
      <c r="J1803" s="157">
        <v>35216</v>
      </c>
      <c r="K1803" s="158">
        <v>7.09</v>
      </c>
    </row>
    <row r="1804" spans="1:11" x14ac:dyDescent="0.25">
      <c r="A1804" s="162">
        <v>25162</v>
      </c>
      <c r="B1804" s="163">
        <v>5.6</v>
      </c>
      <c r="C1804" s="163"/>
      <c r="D1804" s="163"/>
      <c r="E1804" s="163"/>
      <c r="J1804" s="157">
        <v>35223</v>
      </c>
      <c r="K1804" s="158">
        <v>7.16</v>
      </c>
    </row>
    <row r="1805" spans="1:11" x14ac:dyDescent="0.25">
      <c r="A1805" s="162">
        <v>25163</v>
      </c>
      <c r="B1805" s="163">
        <v>5.6</v>
      </c>
      <c r="C1805" s="163"/>
      <c r="D1805" s="163"/>
      <c r="E1805" s="163"/>
      <c r="J1805" s="157">
        <v>35230</v>
      </c>
      <c r="K1805" s="158">
        <v>7.3</v>
      </c>
    </row>
    <row r="1806" spans="1:11" x14ac:dyDescent="0.25">
      <c r="A1806" s="162">
        <v>25164</v>
      </c>
      <c r="B1806" s="163">
        <v>5.61</v>
      </c>
      <c r="C1806" s="163"/>
      <c r="D1806" s="163"/>
      <c r="E1806" s="163"/>
      <c r="J1806" s="157">
        <v>35237</v>
      </c>
      <c r="K1806" s="158">
        <v>7.25</v>
      </c>
    </row>
    <row r="1807" spans="1:11" x14ac:dyDescent="0.25">
      <c r="A1807" s="162">
        <v>25167</v>
      </c>
      <c r="B1807" s="163">
        <v>5.62</v>
      </c>
      <c r="C1807" s="163"/>
      <c r="D1807" s="163"/>
      <c r="E1807" s="163"/>
      <c r="J1807" s="157">
        <v>35244</v>
      </c>
      <c r="K1807" s="158">
        <v>7.16</v>
      </c>
    </row>
    <row r="1808" spans="1:11" x14ac:dyDescent="0.25">
      <c r="A1808" s="162">
        <v>25168</v>
      </c>
      <c r="B1808" s="163">
        <v>5.63</v>
      </c>
      <c r="C1808" s="163"/>
      <c r="D1808" s="163"/>
      <c r="E1808" s="163"/>
      <c r="J1808" s="157">
        <v>35251</v>
      </c>
      <c r="K1808" s="158">
        <v>7.12</v>
      </c>
    </row>
    <row r="1809" spans="1:11" x14ac:dyDescent="0.25">
      <c r="A1809" s="162">
        <v>25169</v>
      </c>
      <c r="B1809" s="163">
        <v>5.64</v>
      </c>
      <c r="C1809" s="163"/>
      <c r="D1809" s="163"/>
      <c r="E1809" s="163"/>
      <c r="J1809" s="157">
        <v>35258</v>
      </c>
      <c r="K1809" s="158">
        <v>7.23</v>
      </c>
    </row>
    <row r="1810" spans="1:11" x14ac:dyDescent="0.25">
      <c r="A1810" s="162">
        <v>25170</v>
      </c>
      <c r="B1810" s="163" t="e">
        <f>NA()</f>
        <v>#N/A</v>
      </c>
      <c r="C1810" s="163"/>
      <c r="D1810" s="163"/>
      <c r="E1810" s="163"/>
      <c r="J1810" s="157">
        <v>35265</v>
      </c>
      <c r="K1810" s="158">
        <v>7.11</v>
      </c>
    </row>
    <row r="1811" spans="1:11" x14ac:dyDescent="0.25">
      <c r="A1811" s="162">
        <v>25171</v>
      </c>
      <c r="B1811" s="163">
        <v>5.66</v>
      </c>
      <c r="C1811" s="163"/>
      <c r="D1811" s="163"/>
      <c r="E1811" s="163"/>
      <c r="J1811" s="157">
        <v>35272</v>
      </c>
      <c r="K1811" s="158">
        <v>7.12</v>
      </c>
    </row>
    <row r="1812" spans="1:11" x14ac:dyDescent="0.25">
      <c r="A1812" s="162">
        <v>25174</v>
      </c>
      <c r="B1812" s="163">
        <v>5.76</v>
      </c>
      <c r="C1812" s="163"/>
      <c r="D1812" s="163"/>
      <c r="E1812" s="163"/>
      <c r="J1812" s="157">
        <v>35279</v>
      </c>
      <c r="K1812" s="158">
        <v>7.03</v>
      </c>
    </row>
    <row r="1813" spans="1:11" x14ac:dyDescent="0.25">
      <c r="A1813" s="162">
        <v>25175</v>
      </c>
      <c r="B1813" s="163">
        <v>5.79</v>
      </c>
      <c r="C1813" s="163"/>
      <c r="D1813" s="163"/>
      <c r="E1813" s="163"/>
      <c r="J1813" s="157">
        <v>35286</v>
      </c>
      <c r="K1813" s="158">
        <v>6.86</v>
      </c>
    </row>
    <row r="1814" spans="1:11" x14ac:dyDescent="0.25">
      <c r="A1814" s="162">
        <v>25176</v>
      </c>
      <c r="B1814" s="164">
        <v>5.77</v>
      </c>
      <c r="C1814" s="164"/>
      <c r="D1814" s="164"/>
      <c r="E1814" s="164"/>
      <c r="J1814" s="157">
        <v>35293</v>
      </c>
      <c r="K1814" s="158">
        <v>6.9</v>
      </c>
    </row>
    <row r="1815" spans="1:11" x14ac:dyDescent="0.25">
      <c r="A1815" s="162">
        <v>25177</v>
      </c>
      <c r="B1815" s="163">
        <v>5.75</v>
      </c>
      <c r="C1815" s="163"/>
      <c r="D1815" s="163"/>
      <c r="E1815" s="163"/>
      <c r="J1815" s="157">
        <v>35300</v>
      </c>
      <c r="K1815" s="158">
        <v>6.98</v>
      </c>
    </row>
    <row r="1816" spans="1:11" x14ac:dyDescent="0.25">
      <c r="A1816" s="162">
        <v>25178</v>
      </c>
      <c r="B1816" s="163">
        <v>5.74</v>
      </c>
      <c r="C1816" s="163"/>
      <c r="D1816" s="163"/>
      <c r="E1816" s="163"/>
      <c r="J1816" s="157">
        <v>35307</v>
      </c>
      <c r="K1816" s="158">
        <v>7.17</v>
      </c>
    </row>
    <row r="1817" spans="1:11" x14ac:dyDescent="0.25">
      <c r="A1817" s="162">
        <v>25181</v>
      </c>
      <c r="B1817" s="163">
        <v>5.76</v>
      </c>
      <c r="C1817" s="163"/>
      <c r="D1817" s="163"/>
      <c r="E1817" s="163"/>
      <c r="J1817" s="157">
        <v>35314</v>
      </c>
      <c r="K1817" s="158">
        <v>7.26</v>
      </c>
    </row>
    <row r="1818" spans="1:11" x14ac:dyDescent="0.25">
      <c r="A1818" s="162">
        <v>25182</v>
      </c>
      <c r="B1818" s="163">
        <v>5.78</v>
      </c>
      <c r="C1818" s="163"/>
      <c r="D1818" s="163"/>
      <c r="E1818" s="163"/>
      <c r="J1818" s="157">
        <v>35321</v>
      </c>
      <c r="K1818" s="158">
        <v>7.22</v>
      </c>
    </row>
    <row r="1819" spans="1:11" x14ac:dyDescent="0.25">
      <c r="A1819" s="162">
        <v>25183</v>
      </c>
      <c r="B1819" s="163">
        <v>5.78</v>
      </c>
      <c r="C1819" s="163"/>
      <c r="D1819" s="163"/>
      <c r="E1819" s="163"/>
      <c r="J1819" s="157">
        <v>35328</v>
      </c>
      <c r="K1819" s="158">
        <v>7.15</v>
      </c>
    </row>
    <row r="1820" spans="1:11" x14ac:dyDescent="0.25">
      <c r="A1820" s="162">
        <v>25184</v>
      </c>
      <c r="B1820" s="163">
        <v>5.81</v>
      </c>
      <c r="C1820" s="163"/>
      <c r="D1820" s="163"/>
      <c r="E1820" s="163"/>
      <c r="J1820" s="157">
        <v>35335</v>
      </c>
      <c r="K1820" s="158">
        <v>7.07</v>
      </c>
    </row>
    <row r="1821" spans="1:11" x14ac:dyDescent="0.25">
      <c r="A1821" s="162">
        <v>25185</v>
      </c>
      <c r="B1821" s="163">
        <v>5.81</v>
      </c>
      <c r="C1821" s="163"/>
      <c r="D1821" s="163"/>
      <c r="E1821" s="163"/>
      <c r="J1821" s="157">
        <v>35342</v>
      </c>
      <c r="K1821" s="158">
        <v>6.95</v>
      </c>
    </row>
    <row r="1822" spans="1:11" x14ac:dyDescent="0.25">
      <c r="A1822" s="162">
        <v>25188</v>
      </c>
      <c r="B1822" s="163">
        <v>5.82</v>
      </c>
      <c r="C1822" s="163"/>
      <c r="D1822" s="163"/>
      <c r="E1822" s="163"/>
      <c r="J1822" s="157">
        <v>35349</v>
      </c>
      <c r="K1822" s="158">
        <v>6.92</v>
      </c>
    </row>
    <row r="1823" spans="1:11" x14ac:dyDescent="0.25">
      <c r="A1823" s="162">
        <v>25189</v>
      </c>
      <c r="B1823" s="163">
        <v>5.84</v>
      </c>
      <c r="C1823" s="163"/>
      <c r="D1823" s="163"/>
      <c r="E1823" s="163"/>
      <c r="J1823" s="157">
        <v>35356</v>
      </c>
      <c r="K1823" s="158">
        <v>6.92</v>
      </c>
    </row>
    <row r="1824" spans="1:11" x14ac:dyDescent="0.25">
      <c r="A1824" s="162">
        <v>25190</v>
      </c>
      <c r="B1824" s="163">
        <v>5.86</v>
      </c>
      <c r="C1824" s="163"/>
      <c r="D1824" s="163"/>
      <c r="E1824" s="163"/>
      <c r="J1824" s="157">
        <v>35363</v>
      </c>
      <c r="K1824" s="158">
        <v>6.92</v>
      </c>
    </row>
    <row r="1825" spans="1:11" x14ac:dyDescent="0.25">
      <c r="A1825" s="162">
        <v>25191</v>
      </c>
      <c r="B1825" s="163">
        <v>5.94</v>
      </c>
      <c r="C1825" s="163"/>
      <c r="D1825" s="163"/>
      <c r="E1825" s="163"/>
      <c r="J1825" s="157">
        <v>35370</v>
      </c>
      <c r="K1825" s="158">
        <v>6.79</v>
      </c>
    </row>
    <row r="1826" spans="1:11" x14ac:dyDescent="0.25">
      <c r="A1826" s="162">
        <v>25192</v>
      </c>
      <c r="B1826" s="163">
        <v>6.02</v>
      </c>
      <c r="C1826" s="163"/>
      <c r="D1826" s="163"/>
      <c r="E1826" s="163"/>
      <c r="J1826" s="157">
        <v>35377</v>
      </c>
      <c r="K1826" s="158">
        <v>6.66</v>
      </c>
    </row>
    <row r="1827" spans="1:11" x14ac:dyDescent="0.25">
      <c r="A1827" s="162">
        <v>25195</v>
      </c>
      <c r="B1827" s="163">
        <v>6.07</v>
      </c>
      <c r="C1827" s="163"/>
      <c r="D1827" s="163"/>
      <c r="E1827" s="163"/>
      <c r="J1827" s="157">
        <v>35384</v>
      </c>
      <c r="K1827" s="158">
        <v>6.56</v>
      </c>
    </row>
    <row r="1828" spans="1:11" x14ac:dyDescent="0.25">
      <c r="A1828" s="162">
        <v>25196</v>
      </c>
      <c r="B1828" s="163">
        <v>6.12</v>
      </c>
      <c r="C1828" s="163"/>
      <c r="D1828" s="163"/>
      <c r="E1828" s="163"/>
      <c r="J1828" s="157">
        <v>35391</v>
      </c>
      <c r="K1828" s="158">
        <v>6.53</v>
      </c>
    </row>
    <row r="1829" spans="1:11" x14ac:dyDescent="0.25">
      <c r="A1829" s="162">
        <v>25197</v>
      </c>
      <c r="B1829" s="163" t="e">
        <f>NA()</f>
        <v>#N/A</v>
      </c>
      <c r="C1829" s="163"/>
      <c r="D1829" s="163"/>
      <c r="E1829" s="163"/>
      <c r="J1829" s="157">
        <v>35398</v>
      </c>
      <c r="K1829" s="158">
        <v>6.51</v>
      </c>
    </row>
    <row r="1830" spans="1:11" x14ac:dyDescent="0.25">
      <c r="A1830" s="162">
        <v>25198</v>
      </c>
      <c r="B1830" s="163">
        <v>6.03</v>
      </c>
      <c r="C1830" s="163"/>
      <c r="D1830" s="163"/>
      <c r="E1830" s="163"/>
      <c r="J1830" s="157">
        <v>35405</v>
      </c>
      <c r="K1830" s="158">
        <v>6.52</v>
      </c>
    </row>
    <row r="1831" spans="1:11" x14ac:dyDescent="0.25">
      <c r="A1831" s="162">
        <v>25199</v>
      </c>
      <c r="B1831" s="163">
        <v>6.03</v>
      </c>
      <c r="C1831" s="163"/>
      <c r="D1831" s="163"/>
      <c r="E1831" s="163"/>
      <c r="J1831" s="157">
        <v>35412</v>
      </c>
      <c r="K1831" s="158">
        <v>6.66</v>
      </c>
    </row>
    <row r="1832" spans="1:11" x14ac:dyDescent="0.25">
      <c r="A1832" s="162">
        <v>25202</v>
      </c>
      <c r="B1832" s="163">
        <v>6.02</v>
      </c>
      <c r="C1832" s="163"/>
      <c r="D1832" s="163"/>
      <c r="E1832" s="163"/>
      <c r="J1832" s="157">
        <v>35419</v>
      </c>
      <c r="K1832" s="158">
        <v>6.73</v>
      </c>
    </row>
    <row r="1833" spans="1:11" x14ac:dyDescent="0.25">
      <c r="A1833" s="162">
        <v>25203</v>
      </c>
      <c r="B1833" s="163">
        <v>5.98</v>
      </c>
      <c r="C1833" s="163"/>
      <c r="D1833" s="163"/>
      <c r="E1833" s="163"/>
      <c r="J1833" s="157">
        <v>35426</v>
      </c>
      <c r="K1833" s="158">
        <v>6.67</v>
      </c>
    </row>
    <row r="1834" spans="1:11" x14ac:dyDescent="0.25">
      <c r="A1834" s="162">
        <v>25204</v>
      </c>
      <c r="B1834" s="163" t="e">
        <f>NA()</f>
        <v>#N/A</v>
      </c>
      <c r="C1834" s="163"/>
      <c r="D1834" s="163"/>
      <c r="E1834" s="163"/>
      <c r="J1834" s="157">
        <v>35433</v>
      </c>
      <c r="K1834" s="158">
        <v>6.76</v>
      </c>
    </row>
    <row r="1835" spans="1:11" x14ac:dyDescent="0.25">
      <c r="A1835" s="162">
        <v>25205</v>
      </c>
      <c r="B1835" s="163">
        <v>5.92</v>
      </c>
      <c r="C1835" s="163"/>
      <c r="D1835" s="163"/>
      <c r="E1835" s="163"/>
      <c r="J1835" s="157">
        <v>35440</v>
      </c>
      <c r="K1835" s="158">
        <v>6.89</v>
      </c>
    </row>
    <row r="1836" spans="1:11" x14ac:dyDescent="0.25">
      <c r="A1836" s="162">
        <v>25206</v>
      </c>
      <c r="B1836" s="163">
        <v>5.94</v>
      </c>
      <c r="C1836" s="163"/>
      <c r="D1836" s="163"/>
      <c r="E1836" s="163"/>
      <c r="J1836" s="157">
        <v>35447</v>
      </c>
      <c r="K1836" s="158">
        <v>6.9</v>
      </c>
    </row>
    <row r="1837" spans="1:11" x14ac:dyDescent="0.25">
      <c r="A1837" s="162">
        <v>25209</v>
      </c>
      <c r="B1837" s="163">
        <v>5.98</v>
      </c>
      <c r="C1837" s="163"/>
      <c r="D1837" s="163"/>
      <c r="E1837" s="163"/>
      <c r="J1837" s="157">
        <v>35454</v>
      </c>
      <c r="K1837" s="158">
        <v>6.92</v>
      </c>
    </row>
    <row r="1838" spans="1:11" x14ac:dyDescent="0.25">
      <c r="A1838" s="162">
        <v>25210</v>
      </c>
      <c r="B1838" s="163">
        <v>6.08</v>
      </c>
      <c r="C1838" s="163"/>
      <c r="D1838" s="163"/>
      <c r="E1838" s="163"/>
      <c r="J1838" s="157">
        <v>35461</v>
      </c>
      <c r="K1838" s="158">
        <v>6.95</v>
      </c>
    </row>
    <row r="1839" spans="1:11" x14ac:dyDescent="0.25">
      <c r="A1839" s="162">
        <v>25211</v>
      </c>
      <c r="B1839" s="164">
        <v>6.04</v>
      </c>
      <c r="C1839" s="164"/>
      <c r="D1839" s="164"/>
      <c r="E1839" s="164"/>
      <c r="J1839" s="157">
        <v>35468</v>
      </c>
      <c r="K1839" s="158">
        <v>6.8</v>
      </c>
    </row>
    <row r="1840" spans="1:11" x14ac:dyDescent="0.25">
      <c r="A1840" s="162">
        <v>25212</v>
      </c>
      <c r="B1840" s="163">
        <v>5.99</v>
      </c>
      <c r="C1840" s="163"/>
      <c r="D1840" s="163"/>
      <c r="E1840" s="163"/>
      <c r="J1840" s="157">
        <v>35475</v>
      </c>
      <c r="K1840" s="158">
        <v>6.73</v>
      </c>
    </row>
    <row r="1841" spans="1:11" x14ac:dyDescent="0.25">
      <c r="A1841" s="162">
        <v>25213</v>
      </c>
      <c r="B1841" s="163">
        <v>5.96</v>
      </c>
      <c r="C1841" s="163"/>
      <c r="D1841" s="163"/>
      <c r="E1841" s="163"/>
      <c r="J1841" s="157">
        <v>35482</v>
      </c>
      <c r="K1841" s="158">
        <v>6.7</v>
      </c>
    </row>
    <row r="1842" spans="1:11" x14ac:dyDescent="0.25">
      <c r="A1842" s="162">
        <v>25216</v>
      </c>
      <c r="B1842" s="163">
        <v>5.98</v>
      </c>
      <c r="C1842" s="163"/>
      <c r="D1842" s="163"/>
      <c r="E1842" s="163"/>
      <c r="J1842" s="157">
        <v>35489</v>
      </c>
      <c r="K1842" s="158">
        <v>6.85</v>
      </c>
    </row>
    <row r="1843" spans="1:11" x14ac:dyDescent="0.25">
      <c r="A1843" s="162">
        <v>25217</v>
      </c>
      <c r="B1843" s="163">
        <v>5.98</v>
      </c>
      <c r="C1843" s="163"/>
      <c r="D1843" s="163"/>
      <c r="E1843" s="163"/>
      <c r="J1843" s="157">
        <v>35496</v>
      </c>
      <c r="K1843" s="158">
        <v>6.96</v>
      </c>
    </row>
    <row r="1844" spans="1:11" x14ac:dyDescent="0.25">
      <c r="A1844" s="162">
        <v>25218</v>
      </c>
      <c r="B1844" s="163">
        <v>5.98</v>
      </c>
      <c r="C1844" s="163"/>
      <c r="D1844" s="163"/>
      <c r="E1844" s="163"/>
      <c r="J1844" s="157">
        <v>35503</v>
      </c>
      <c r="K1844" s="158">
        <v>7.01</v>
      </c>
    </row>
    <row r="1845" spans="1:11" x14ac:dyDescent="0.25">
      <c r="A1845" s="162">
        <v>25219</v>
      </c>
      <c r="B1845" s="163">
        <v>5.94</v>
      </c>
      <c r="C1845" s="163"/>
      <c r="D1845" s="163"/>
      <c r="E1845" s="163"/>
      <c r="J1845" s="157">
        <v>35510</v>
      </c>
      <c r="K1845" s="158">
        <v>7.09</v>
      </c>
    </row>
    <row r="1846" spans="1:11" x14ac:dyDescent="0.25">
      <c r="A1846" s="162">
        <v>25220</v>
      </c>
      <c r="B1846" s="163">
        <v>5.96</v>
      </c>
      <c r="C1846" s="163"/>
      <c r="D1846" s="163"/>
      <c r="E1846" s="163"/>
      <c r="J1846" s="157">
        <v>35517</v>
      </c>
      <c r="K1846" s="158">
        <v>7.11</v>
      </c>
    </row>
    <row r="1847" spans="1:11" x14ac:dyDescent="0.25">
      <c r="A1847" s="162">
        <v>25223</v>
      </c>
      <c r="B1847" s="163">
        <v>5.94</v>
      </c>
      <c r="C1847" s="163"/>
      <c r="D1847" s="163"/>
      <c r="E1847" s="163"/>
      <c r="J1847" s="157">
        <v>35524</v>
      </c>
      <c r="K1847" s="158">
        <v>7.21</v>
      </c>
    </row>
    <row r="1848" spans="1:11" x14ac:dyDescent="0.25">
      <c r="A1848" s="162">
        <v>25224</v>
      </c>
      <c r="B1848" s="163">
        <v>5.95</v>
      </c>
      <c r="C1848" s="163"/>
      <c r="D1848" s="163"/>
      <c r="E1848" s="163"/>
      <c r="J1848" s="157">
        <v>35531</v>
      </c>
      <c r="K1848" s="158">
        <v>7.23</v>
      </c>
    </row>
    <row r="1849" spans="1:11" x14ac:dyDescent="0.25">
      <c r="A1849" s="162">
        <v>25225</v>
      </c>
      <c r="B1849" s="163">
        <v>5.97</v>
      </c>
      <c r="C1849" s="163"/>
      <c r="D1849" s="163"/>
      <c r="E1849" s="163"/>
      <c r="J1849" s="157">
        <v>35538</v>
      </c>
      <c r="K1849" s="158">
        <v>7.21</v>
      </c>
    </row>
    <row r="1850" spans="1:11" x14ac:dyDescent="0.25">
      <c r="A1850" s="162">
        <v>25226</v>
      </c>
      <c r="B1850" s="163">
        <v>5.97</v>
      </c>
      <c r="C1850" s="163"/>
      <c r="D1850" s="163"/>
      <c r="E1850" s="163"/>
      <c r="J1850" s="157">
        <v>35545</v>
      </c>
      <c r="K1850" s="158">
        <v>7.21</v>
      </c>
    </row>
    <row r="1851" spans="1:11" x14ac:dyDescent="0.25">
      <c r="A1851" s="162">
        <v>25227</v>
      </c>
      <c r="B1851" s="163">
        <v>5.96</v>
      </c>
      <c r="C1851" s="163"/>
      <c r="D1851" s="163"/>
      <c r="E1851" s="163"/>
      <c r="J1851" s="157">
        <v>35552</v>
      </c>
      <c r="K1851" s="158">
        <v>7.08</v>
      </c>
    </row>
    <row r="1852" spans="1:11" x14ac:dyDescent="0.25">
      <c r="A1852" s="162">
        <v>25230</v>
      </c>
      <c r="B1852" s="163">
        <v>5.98</v>
      </c>
      <c r="C1852" s="163"/>
      <c r="D1852" s="163"/>
      <c r="E1852" s="163"/>
      <c r="J1852" s="157">
        <v>35559</v>
      </c>
      <c r="K1852" s="158">
        <v>7</v>
      </c>
    </row>
    <row r="1853" spans="1:11" x14ac:dyDescent="0.25">
      <c r="A1853" s="162">
        <v>25231</v>
      </c>
      <c r="B1853" s="163">
        <v>6.01</v>
      </c>
      <c r="C1853" s="163"/>
      <c r="D1853" s="163"/>
      <c r="E1853" s="163"/>
      <c r="J1853" s="157">
        <v>35566</v>
      </c>
      <c r="K1853" s="158">
        <v>6.98</v>
      </c>
    </row>
    <row r="1854" spans="1:11" x14ac:dyDescent="0.25">
      <c r="A1854" s="162">
        <v>25232</v>
      </c>
      <c r="B1854" s="163">
        <v>6.04</v>
      </c>
      <c r="C1854" s="163"/>
      <c r="D1854" s="163"/>
      <c r="E1854" s="163"/>
      <c r="J1854" s="157">
        <v>35573</v>
      </c>
      <c r="K1854" s="158">
        <v>7.04</v>
      </c>
    </row>
    <row r="1855" spans="1:11" x14ac:dyDescent="0.25">
      <c r="A1855" s="162">
        <v>25233</v>
      </c>
      <c r="B1855" s="163">
        <v>6.07</v>
      </c>
      <c r="C1855" s="163"/>
      <c r="D1855" s="163"/>
      <c r="E1855" s="163"/>
      <c r="J1855" s="157">
        <v>35580</v>
      </c>
      <c r="K1855" s="158">
        <v>7.07</v>
      </c>
    </row>
    <row r="1856" spans="1:11" x14ac:dyDescent="0.25">
      <c r="A1856" s="162">
        <v>25234</v>
      </c>
      <c r="B1856" s="163">
        <v>6.14</v>
      </c>
      <c r="C1856" s="163"/>
      <c r="D1856" s="163"/>
      <c r="E1856" s="163"/>
      <c r="J1856" s="157">
        <v>35587</v>
      </c>
      <c r="K1856" s="158">
        <v>6.93</v>
      </c>
    </row>
    <row r="1857" spans="1:11" x14ac:dyDescent="0.25">
      <c r="A1857" s="162">
        <v>25237</v>
      </c>
      <c r="B1857" s="163">
        <v>6.18</v>
      </c>
      <c r="C1857" s="163"/>
      <c r="D1857" s="163"/>
      <c r="E1857" s="163"/>
      <c r="J1857" s="157">
        <v>35594</v>
      </c>
      <c r="K1857" s="158">
        <v>6.87</v>
      </c>
    </row>
    <row r="1858" spans="1:11" x14ac:dyDescent="0.25">
      <c r="A1858" s="162">
        <v>25238</v>
      </c>
      <c r="B1858" s="163">
        <v>6.14</v>
      </c>
      <c r="C1858" s="163"/>
      <c r="D1858" s="163"/>
      <c r="E1858" s="163"/>
      <c r="J1858" s="157">
        <v>35601</v>
      </c>
      <c r="K1858" s="158">
        <v>6.76</v>
      </c>
    </row>
    <row r="1859" spans="1:11" x14ac:dyDescent="0.25">
      <c r="A1859" s="162">
        <v>25239</v>
      </c>
      <c r="B1859" s="163">
        <v>6.13</v>
      </c>
      <c r="C1859" s="163"/>
      <c r="D1859" s="163"/>
      <c r="E1859" s="163"/>
      <c r="J1859" s="157">
        <v>35608</v>
      </c>
      <c r="K1859" s="158">
        <v>6.8</v>
      </c>
    </row>
    <row r="1860" spans="1:11" x14ac:dyDescent="0.25">
      <c r="A1860" s="162">
        <v>25240</v>
      </c>
      <c r="B1860" s="163">
        <v>6.13</v>
      </c>
      <c r="C1860" s="163"/>
      <c r="D1860" s="163"/>
      <c r="E1860" s="163"/>
      <c r="J1860" s="157">
        <v>35615</v>
      </c>
      <c r="K1860" s="158">
        <v>6.78</v>
      </c>
    </row>
    <row r="1861" spans="1:11" x14ac:dyDescent="0.25">
      <c r="A1861" s="162">
        <v>25241</v>
      </c>
      <c r="B1861" s="163">
        <v>6.06</v>
      </c>
      <c r="C1861" s="163"/>
      <c r="D1861" s="163"/>
      <c r="E1861" s="163"/>
      <c r="J1861" s="157">
        <v>35622</v>
      </c>
      <c r="K1861" s="158">
        <v>6.61</v>
      </c>
    </row>
    <row r="1862" spans="1:11" x14ac:dyDescent="0.25">
      <c r="A1862" s="162">
        <v>25244</v>
      </c>
      <c r="B1862" s="163">
        <v>6.06</v>
      </c>
      <c r="C1862" s="163"/>
      <c r="D1862" s="163"/>
      <c r="E1862" s="163"/>
      <c r="J1862" s="157">
        <v>35629</v>
      </c>
      <c r="K1862" s="158">
        <v>6.57</v>
      </c>
    </row>
    <row r="1863" spans="1:11" x14ac:dyDescent="0.25">
      <c r="A1863" s="162">
        <v>25245</v>
      </c>
      <c r="B1863" s="163">
        <v>6.02</v>
      </c>
      <c r="C1863" s="163"/>
      <c r="D1863" s="163"/>
      <c r="E1863" s="163"/>
      <c r="J1863" s="157">
        <v>35636</v>
      </c>
      <c r="K1863" s="158">
        <v>6.52</v>
      </c>
    </row>
    <row r="1864" spans="1:11" x14ac:dyDescent="0.25">
      <c r="A1864" s="162">
        <v>25246</v>
      </c>
      <c r="B1864" s="163" t="e">
        <f>NA()</f>
        <v>#N/A</v>
      </c>
      <c r="C1864" s="163"/>
      <c r="D1864" s="163"/>
      <c r="E1864" s="163"/>
      <c r="J1864" s="157">
        <v>35643</v>
      </c>
      <c r="K1864" s="158">
        <v>6.44</v>
      </c>
    </row>
    <row r="1865" spans="1:11" x14ac:dyDescent="0.25">
      <c r="A1865" s="162">
        <v>25247</v>
      </c>
      <c r="B1865" s="163">
        <v>6</v>
      </c>
      <c r="C1865" s="163"/>
      <c r="D1865" s="163"/>
      <c r="E1865" s="163"/>
      <c r="J1865" s="157">
        <v>35650</v>
      </c>
      <c r="K1865" s="158">
        <v>6.59</v>
      </c>
    </row>
    <row r="1866" spans="1:11" x14ac:dyDescent="0.25">
      <c r="A1866" s="162">
        <v>25248</v>
      </c>
      <c r="B1866" s="163">
        <v>6.02</v>
      </c>
      <c r="C1866" s="163"/>
      <c r="D1866" s="163"/>
      <c r="E1866" s="163"/>
      <c r="J1866" s="157">
        <v>35657</v>
      </c>
      <c r="K1866" s="158">
        <v>6.7</v>
      </c>
    </row>
    <row r="1867" spans="1:11" x14ac:dyDescent="0.25">
      <c r="A1867" s="162">
        <v>25251</v>
      </c>
      <c r="B1867" s="163">
        <v>6.05</v>
      </c>
      <c r="C1867" s="163"/>
      <c r="D1867" s="163"/>
      <c r="E1867" s="163"/>
      <c r="J1867" s="157">
        <v>35664</v>
      </c>
      <c r="K1867" s="158">
        <v>6.65</v>
      </c>
    </row>
    <row r="1868" spans="1:11" x14ac:dyDescent="0.25">
      <c r="A1868" s="162">
        <v>25252</v>
      </c>
      <c r="B1868" s="163">
        <v>6.08</v>
      </c>
      <c r="C1868" s="163"/>
      <c r="D1868" s="163"/>
      <c r="E1868" s="163"/>
      <c r="J1868" s="157">
        <v>35671</v>
      </c>
      <c r="K1868" s="158">
        <v>6.71</v>
      </c>
    </row>
    <row r="1869" spans="1:11" x14ac:dyDescent="0.25">
      <c r="A1869" s="162">
        <v>25253</v>
      </c>
      <c r="B1869" s="163">
        <v>6.11</v>
      </c>
      <c r="C1869" s="163"/>
      <c r="D1869" s="163"/>
      <c r="E1869" s="163"/>
      <c r="J1869" s="157">
        <v>35678</v>
      </c>
      <c r="K1869" s="158">
        <v>6.68</v>
      </c>
    </row>
    <row r="1870" spans="1:11" x14ac:dyDescent="0.25">
      <c r="A1870" s="162">
        <v>25254</v>
      </c>
      <c r="B1870" s="163">
        <v>6.14</v>
      </c>
      <c r="C1870" s="163"/>
      <c r="D1870" s="163"/>
      <c r="E1870" s="163"/>
      <c r="J1870" s="157">
        <v>35685</v>
      </c>
      <c r="K1870" s="158">
        <v>6.7</v>
      </c>
    </row>
    <row r="1871" spans="1:11" x14ac:dyDescent="0.25">
      <c r="A1871" s="162">
        <v>25255</v>
      </c>
      <c r="B1871" s="163">
        <v>6.15</v>
      </c>
      <c r="C1871" s="163"/>
      <c r="D1871" s="163"/>
      <c r="E1871" s="163"/>
      <c r="J1871" s="157">
        <v>35692</v>
      </c>
      <c r="K1871" s="158">
        <v>6.49</v>
      </c>
    </row>
    <row r="1872" spans="1:11" x14ac:dyDescent="0.25">
      <c r="A1872" s="162">
        <v>25258</v>
      </c>
      <c r="B1872" s="163">
        <v>6.14</v>
      </c>
      <c r="C1872" s="163"/>
      <c r="D1872" s="163"/>
      <c r="E1872" s="163"/>
      <c r="J1872" s="157">
        <v>35699</v>
      </c>
      <c r="K1872" s="158">
        <v>6.43</v>
      </c>
    </row>
    <row r="1873" spans="1:11" x14ac:dyDescent="0.25">
      <c r="A1873" s="162">
        <v>25259</v>
      </c>
      <c r="B1873" s="163">
        <v>6.14</v>
      </c>
      <c r="C1873" s="163"/>
      <c r="D1873" s="163"/>
      <c r="E1873" s="163"/>
      <c r="J1873" s="157">
        <v>35706</v>
      </c>
      <c r="K1873" s="158">
        <v>6.4</v>
      </c>
    </row>
    <row r="1874" spans="1:11" x14ac:dyDescent="0.25">
      <c r="A1874" s="162">
        <v>25260</v>
      </c>
      <c r="B1874" s="163">
        <v>6.14</v>
      </c>
      <c r="C1874" s="163"/>
      <c r="D1874" s="163"/>
      <c r="E1874" s="163"/>
      <c r="J1874" s="157">
        <v>35713</v>
      </c>
      <c r="K1874" s="158">
        <v>6.39</v>
      </c>
    </row>
    <row r="1875" spans="1:11" x14ac:dyDescent="0.25">
      <c r="A1875" s="162">
        <v>25261</v>
      </c>
      <c r="B1875" s="163">
        <v>6.17</v>
      </c>
      <c r="C1875" s="163"/>
      <c r="D1875" s="163"/>
      <c r="E1875" s="163"/>
      <c r="J1875" s="157">
        <v>35720</v>
      </c>
      <c r="K1875" s="158">
        <v>6.46</v>
      </c>
    </row>
    <row r="1876" spans="1:11" x14ac:dyDescent="0.25">
      <c r="A1876" s="162">
        <v>25262</v>
      </c>
      <c r="B1876" s="163">
        <v>6.17</v>
      </c>
      <c r="C1876" s="163"/>
      <c r="D1876" s="163"/>
      <c r="E1876" s="163"/>
      <c r="J1876" s="157">
        <v>35727</v>
      </c>
      <c r="K1876" s="158">
        <v>6.44</v>
      </c>
    </row>
    <row r="1877" spans="1:11" x14ac:dyDescent="0.25">
      <c r="A1877" s="162">
        <v>25265</v>
      </c>
      <c r="B1877" s="163">
        <v>6.15</v>
      </c>
      <c r="C1877" s="163"/>
      <c r="D1877" s="163"/>
      <c r="E1877" s="163"/>
      <c r="J1877" s="157">
        <v>35734</v>
      </c>
      <c r="K1877" s="158">
        <v>6.27</v>
      </c>
    </row>
    <row r="1878" spans="1:11" x14ac:dyDescent="0.25">
      <c r="A1878" s="162">
        <v>25266</v>
      </c>
      <c r="B1878" s="163">
        <v>6.14</v>
      </c>
      <c r="C1878" s="163"/>
      <c r="D1878" s="163"/>
      <c r="E1878" s="163"/>
      <c r="J1878" s="157">
        <v>35741</v>
      </c>
      <c r="K1878" s="158">
        <v>6.27</v>
      </c>
    </row>
    <row r="1879" spans="1:11" x14ac:dyDescent="0.25">
      <c r="A1879" s="162">
        <v>25267</v>
      </c>
      <c r="B1879" s="163">
        <v>6.15</v>
      </c>
      <c r="C1879" s="163"/>
      <c r="D1879" s="163"/>
      <c r="E1879" s="163"/>
      <c r="J1879" s="157">
        <v>35748</v>
      </c>
      <c r="K1879" s="158">
        <v>6.22</v>
      </c>
    </row>
    <row r="1880" spans="1:11" x14ac:dyDescent="0.25">
      <c r="A1880" s="162">
        <v>25268</v>
      </c>
      <c r="B1880" s="163">
        <v>6.17</v>
      </c>
      <c r="C1880" s="163"/>
      <c r="D1880" s="163"/>
      <c r="E1880" s="163"/>
      <c r="J1880" s="157">
        <v>35755</v>
      </c>
      <c r="K1880" s="158">
        <v>6.15</v>
      </c>
    </row>
    <row r="1881" spans="1:11" x14ac:dyDescent="0.25">
      <c r="A1881" s="162">
        <v>25269</v>
      </c>
      <c r="B1881" s="163">
        <v>6.18</v>
      </c>
      <c r="C1881" s="163"/>
      <c r="D1881" s="163"/>
      <c r="E1881" s="163"/>
      <c r="J1881" s="157">
        <v>35762</v>
      </c>
      <c r="K1881" s="158">
        <v>6.15</v>
      </c>
    </row>
    <row r="1882" spans="1:11" x14ac:dyDescent="0.25">
      <c r="A1882" s="162">
        <v>25272</v>
      </c>
      <c r="B1882" s="163">
        <v>6.2</v>
      </c>
      <c r="C1882" s="163"/>
      <c r="D1882" s="163"/>
      <c r="E1882" s="163"/>
      <c r="J1882" s="157">
        <v>35769</v>
      </c>
      <c r="K1882" s="158">
        <v>6.12</v>
      </c>
    </row>
    <row r="1883" spans="1:11" x14ac:dyDescent="0.25">
      <c r="A1883" s="162">
        <v>25273</v>
      </c>
      <c r="B1883" s="163">
        <v>6.22</v>
      </c>
      <c r="C1883" s="163"/>
      <c r="D1883" s="163"/>
      <c r="E1883" s="163"/>
      <c r="J1883" s="157">
        <v>35776</v>
      </c>
      <c r="K1883" s="158">
        <v>6.15</v>
      </c>
    </row>
    <row r="1884" spans="1:11" x14ac:dyDescent="0.25">
      <c r="A1884" s="162">
        <v>25274</v>
      </c>
      <c r="B1884" s="164">
        <v>6.24</v>
      </c>
      <c r="C1884" s="164"/>
      <c r="D1884" s="164"/>
      <c r="E1884" s="164"/>
      <c r="J1884" s="157">
        <v>35783</v>
      </c>
      <c r="K1884" s="158">
        <v>6.04</v>
      </c>
    </row>
    <row r="1885" spans="1:11" x14ac:dyDescent="0.25">
      <c r="A1885" s="162">
        <v>25275</v>
      </c>
      <c r="B1885" s="163">
        <v>6.27</v>
      </c>
      <c r="C1885" s="163"/>
      <c r="D1885" s="163"/>
      <c r="E1885" s="163"/>
      <c r="J1885" s="157">
        <v>35790</v>
      </c>
      <c r="K1885" s="158">
        <v>5.99</v>
      </c>
    </row>
    <row r="1886" spans="1:11" x14ac:dyDescent="0.25">
      <c r="A1886" s="162">
        <v>25276</v>
      </c>
      <c r="B1886" s="163">
        <v>6.29</v>
      </c>
      <c r="C1886" s="163"/>
      <c r="D1886" s="163"/>
      <c r="E1886" s="163"/>
      <c r="J1886" s="157">
        <v>35797</v>
      </c>
      <c r="K1886" s="158">
        <v>6.01</v>
      </c>
    </row>
    <row r="1887" spans="1:11" x14ac:dyDescent="0.25">
      <c r="A1887" s="162">
        <v>25279</v>
      </c>
      <c r="B1887" s="163">
        <v>6.32</v>
      </c>
      <c r="C1887" s="163"/>
      <c r="D1887" s="163"/>
      <c r="E1887" s="163"/>
      <c r="J1887" s="157">
        <v>35804</v>
      </c>
      <c r="K1887" s="158">
        <v>5.82</v>
      </c>
    </row>
    <row r="1888" spans="1:11" x14ac:dyDescent="0.25">
      <c r="A1888" s="162">
        <v>25280</v>
      </c>
      <c r="B1888" s="163">
        <v>6.32</v>
      </c>
      <c r="C1888" s="163"/>
      <c r="D1888" s="163"/>
      <c r="E1888" s="163"/>
      <c r="J1888" s="157">
        <v>35811</v>
      </c>
      <c r="K1888" s="158">
        <v>5.8</v>
      </c>
    </row>
    <row r="1889" spans="1:11" x14ac:dyDescent="0.25">
      <c r="A1889" s="162">
        <v>25281</v>
      </c>
      <c r="B1889" s="163">
        <v>6.25</v>
      </c>
      <c r="C1889" s="163"/>
      <c r="D1889" s="163"/>
      <c r="E1889" s="163"/>
      <c r="J1889" s="157">
        <v>35818</v>
      </c>
      <c r="K1889" s="158">
        <v>5.93</v>
      </c>
    </row>
    <row r="1890" spans="1:11" x14ac:dyDescent="0.25">
      <c r="A1890" s="162">
        <v>25282</v>
      </c>
      <c r="B1890" s="163">
        <v>6.25</v>
      </c>
      <c r="C1890" s="163"/>
      <c r="D1890" s="163"/>
      <c r="E1890" s="163"/>
      <c r="J1890" s="157">
        <v>35825</v>
      </c>
      <c r="K1890" s="158">
        <v>5.96</v>
      </c>
    </row>
    <row r="1891" spans="1:11" x14ac:dyDescent="0.25">
      <c r="A1891" s="162">
        <v>25283</v>
      </c>
      <c r="B1891" s="163">
        <v>6.22</v>
      </c>
      <c r="C1891" s="163"/>
      <c r="D1891" s="163"/>
      <c r="E1891" s="163"/>
      <c r="J1891" s="157">
        <v>35832</v>
      </c>
      <c r="K1891" s="158">
        <v>5.96</v>
      </c>
    </row>
    <row r="1892" spans="1:11" x14ac:dyDescent="0.25">
      <c r="A1892" s="162">
        <v>25286</v>
      </c>
      <c r="B1892" s="163">
        <v>6.19</v>
      </c>
      <c r="C1892" s="163"/>
      <c r="D1892" s="163"/>
      <c r="E1892" s="163"/>
      <c r="J1892" s="157">
        <v>35839</v>
      </c>
      <c r="K1892" s="158">
        <v>5.96</v>
      </c>
    </row>
    <row r="1893" spans="1:11" x14ac:dyDescent="0.25">
      <c r="A1893" s="162">
        <v>25287</v>
      </c>
      <c r="B1893" s="163">
        <v>6.22</v>
      </c>
      <c r="C1893" s="163"/>
      <c r="D1893" s="163"/>
      <c r="E1893" s="163"/>
      <c r="J1893" s="157">
        <v>35846</v>
      </c>
      <c r="K1893" s="158">
        <v>5.9</v>
      </c>
    </row>
    <row r="1894" spans="1:11" x14ac:dyDescent="0.25">
      <c r="A1894" s="162">
        <v>25288</v>
      </c>
      <c r="B1894" s="163">
        <v>6.24</v>
      </c>
      <c r="C1894" s="163"/>
      <c r="D1894" s="163"/>
      <c r="E1894" s="163"/>
      <c r="J1894" s="157">
        <v>35853</v>
      </c>
      <c r="K1894" s="158">
        <v>6</v>
      </c>
    </row>
    <row r="1895" spans="1:11" x14ac:dyDescent="0.25">
      <c r="A1895" s="162">
        <v>25289</v>
      </c>
      <c r="B1895" s="163">
        <v>6.24</v>
      </c>
      <c r="C1895" s="163"/>
      <c r="D1895" s="163"/>
      <c r="E1895" s="163"/>
      <c r="J1895" s="157">
        <v>35860</v>
      </c>
      <c r="K1895" s="158">
        <v>6.11</v>
      </c>
    </row>
    <row r="1896" spans="1:11" x14ac:dyDescent="0.25">
      <c r="A1896" s="162">
        <v>25290</v>
      </c>
      <c r="B1896" s="163">
        <v>6.22</v>
      </c>
      <c r="C1896" s="163"/>
      <c r="D1896" s="163"/>
      <c r="E1896" s="163"/>
      <c r="J1896" s="157">
        <v>35867</v>
      </c>
      <c r="K1896" s="158">
        <v>5.99</v>
      </c>
    </row>
    <row r="1897" spans="1:11" x14ac:dyDescent="0.25">
      <c r="A1897" s="162">
        <v>25293</v>
      </c>
      <c r="B1897" s="163" t="e">
        <f>NA()</f>
        <v>#N/A</v>
      </c>
      <c r="C1897" s="163"/>
      <c r="D1897" s="163"/>
      <c r="E1897" s="163"/>
      <c r="J1897" s="157">
        <v>35874</v>
      </c>
      <c r="K1897" s="158">
        <v>5.95</v>
      </c>
    </row>
    <row r="1898" spans="1:11" x14ac:dyDescent="0.25">
      <c r="A1898" s="162">
        <v>25294</v>
      </c>
      <c r="B1898" s="163">
        <v>6.16</v>
      </c>
      <c r="C1898" s="163"/>
      <c r="D1898" s="163"/>
      <c r="E1898" s="163"/>
      <c r="J1898" s="157">
        <v>35881</v>
      </c>
      <c r="K1898" s="158">
        <v>5.99</v>
      </c>
    </row>
    <row r="1899" spans="1:11" x14ac:dyDescent="0.25">
      <c r="A1899" s="162">
        <v>25295</v>
      </c>
      <c r="B1899" s="163">
        <v>6.17</v>
      </c>
      <c r="C1899" s="163"/>
      <c r="D1899" s="163"/>
      <c r="E1899" s="163"/>
      <c r="J1899" s="157">
        <v>35888</v>
      </c>
      <c r="K1899" s="158">
        <v>5.97</v>
      </c>
    </row>
    <row r="1900" spans="1:11" x14ac:dyDescent="0.25">
      <c r="A1900" s="162">
        <v>25296</v>
      </c>
      <c r="B1900" s="163">
        <v>6.18</v>
      </c>
      <c r="C1900" s="163"/>
      <c r="D1900" s="163"/>
      <c r="E1900" s="163"/>
      <c r="J1900" s="157">
        <v>35895</v>
      </c>
      <c r="K1900" s="158">
        <v>5.93</v>
      </c>
    </row>
    <row r="1901" spans="1:11" x14ac:dyDescent="0.25">
      <c r="A1901" s="162">
        <v>25297</v>
      </c>
      <c r="B1901" s="163" t="e">
        <f>NA()</f>
        <v>#N/A</v>
      </c>
      <c r="C1901" s="163"/>
      <c r="D1901" s="163"/>
      <c r="E1901" s="163"/>
      <c r="J1901" s="157">
        <v>35902</v>
      </c>
      <c r="K1901" s="158">
        <v>5.97</v>
      </c>
    </row>
    <row r="1902" spans="1:11" x14ac:dyDescent="0.25">
      <c r="A1902" s="162">
        <v>25300</v>
      </c>
      <c r="B1902" s="163">
        <v>6.18</v>
      </c>
      <c r="C1902" s="163"/>
      <c r="D1902" s="163"/>
      <c r="E1902" s="163"/>
      <c r="J1902" s="157">
        <v>35909</v>
      </c>
      <c r="K1902" s="158">
        <v>6.03</v>
      </c>
    </row>
    <row r="1903" spans="1:11" x14ac:dyDescent="0.25">
      <c r="A1903" s="162">
        <v>25301</v>
      </c>
      <c r="B1903" s="163">
        <v>6.14</v>
      </c>
      <c r="C1903" s="163"/>
      <c r="D1903" s="163"/>
      <c r="E1903" s="163"/>
      <c r="J1903" s="157">
        <v>35916</v>
      </c>
      <c r="K1903" s="158">
        <v>6.1</v>
      </c>
    </row>
    <row r="1904" spans="1:11" x14ac:dyDescent="0.25">
      <c r="A1904" s="162">
        <v>25302</v>
      </c>
      <c r="B1904" s="163">
        <v>6.09</v>
      </c>
      <c r="C1904" s="163"/>
      <c r="D1904" s="163"/>
      <c r="E1904" s="163"/>
      <c r="J1904" s="157">
        <v>35923</v>
      </c>
      <c r="K1904" s="158">
        <v>6.03</v>
      </c>
    </row>
    <row r="1905" spans="1:11" x14ac:dyDescent="0.25">
      <c r="A1905" s="162">
        <v>25303</v>
      </c>
      <c r="B1905" s="163">
        <v>6.09</v>
      </c>
      <c r="C1905" s="163"/>
      <c r="D1905" s="163"/>
      <c r="E1905" s="163"/>
      <c r="J1905" s="157">
        <v>35930</v>
      </c>
      <c r="K1905" s="158">
        <v>6.06</v>
      </c>
    </row>
    <row r="1906" spans="1:11" x14ac:dyDescent="0.25">
      <c r="A1906" s="162">
        <v>25304</v>
      </c>
      <c r="B1906" s="163">
        <v>6.03</v>
      </c>
      <c r="C1906" s="163"/>
      <c r="D1906" s="163"/>
      <c r="E1906" s="163"/>
      <c r="J1906" s="157">
        <v>35937</v>
      </c>
      <c r="K1906" s="158">
        <v>6</v>
      </c>
    </row>
    <row r="1907" spans="1:11" x14ac:dyDescent="0.25">
      <c r="A1907" s="162">
        <v>25307</v>
      </c>
      <c r="B1907" s="163">
        <v>5.91</v>
      </c>
      <c r="C1907" s="163"/>
      <c r="D1907" s="163"/>
      <c r="E1907" s="163"/>
      <c r="J1907" s="157">
        <v>35944</v>
      </c>
      <c r="K1907" s="158">
        <v>5.93</v>
      </c>
    </row>
    <row r="1908" spans="1:11" x14ac:dyDescent="0.25">
      <c r="A1908" s="162">
        <v>25308</v>
      </c>
      <c r="B1908" s="163">
        <v>5.97</v>
      </c>
      <c r="C1908" s="163"/>
      <c r="D1908" s="163"/>
      <c r="E1908" s="163"/>
      <c r="J1908" s="157">
        <v>35951</v>
      </c>
      <c r="K1908" s="158">
        <v>5.89</v>
      </c>
    </row>
    <row r="1909" spans="1:11" x14ac:dyDescent="0.25">
      <c r="A1909" s="162">
        <v>25309</v>
      </c>
      <c r="B1909" s="164">
        <v>5.96</v>
      </c>
      <c r="C1909" s="164"/>
      <c r="D1909" s="164"/>
      <c r="E1909" s="164"/>
      <c r="J1909" s="157">
        <v>35958</v>
      </c>
      <c r="K1909" s="158">
        <v>5.81</v>
      </c>
    </row>
    <row r="1910" spans="1:11" x14ac:dyDescent="0.25">
      <c r="A1910" s="162">
        <v>25310</v>
      </c>
      <c r="B1910" s="163">
        <v>5.99</v>
      </c>
      <c r="C1910" s="163"/>
      <c r="D1910" s="163"/>
      <c r="E1910" s="163"/>
      <c r="J1910" s="157">
        <v>35965</v>
      </c>
      <c r="K1910" s="158">
        <v>5.77</v>
      </c>
    </row>
    <row r="1911" spans="1:11" x14ac:dyDescent="0.25">
      <c r="A1911" s="162">
        <v>25311</v>
      </c>
      <c r="B1911" s="163">
        <v>6.02</v>
      </c>
      <c r="C1911" s="163"/>
      <c r="D1911" s="163"/>
      <c r="E1911" s="163"/>
      <c r="J1911" s="157">
        <v>35972</v>
      </c>
      <c r="K1911" s="158">
        <v>5.75</v>
      </c>
    </row>
    <row r="1912" spans="1:11" x14ac:dyDescent="0.25">
      <c r="A1912" s="162">
        <v>25314</v>
      </c>
      <c r="B1912" s="163">
        <v>5.98</v>
      </c>
      <c r="C1912" s="163"/>
      <c r="D1912" s="163"/>
      <c r="E1912" s="163"/>
      <c r="J1912" s="157">
        <v>35979</v>
      </c>
      <c r="K1912" s="158">
        <v>5.73</v>
      </c>
    </row>
    <row r="1913" spans="1:11" x14ac:dyDescent="0.25">
      <c r="A1913" s="162">
        <v>25315</v>
      </c>
      <c r="B1913" s="163">
        <v>5.95</v>
      </c>
      <c r="C1913" s="163"/>
      <c r="D1913" s="163"/>
      <c r="E1913" s="163"/>
      <c r="J1913" s="157">
        <v>35986</v>
      </c>
      <c r="K1913" s="158">
        <v>5.71</v>
      </c>
    </row>
    <row r="1914" spans="1:11" x14ac:dyDescent="0.25">
      <c r="A1914" s="162">
        <v>25316</v>
      </c>
      <c r="B1914" s="163">
        <v>5.94</v>
      </c>
      <c r="C1914" s="163"/>
      <c r="D1914" s="163"/>
      <c r="E1914" s="163"/>
      <c r="J1914" s="157">
        <v>35993</v>
      </c>
      <c r="K1914" s="158">
        <v>5.82</v>
      </c>
    </row>
    <row r="1915" spans="1:11" x14ac:dyDescent="0.25">
      <c r="A1915" s="162">
        <v>25317</v>
      </c>
      <c r="B1915" s="163">
        <v>5.96</v>
      </c>
      <c r="C1915" s="163"/>
      <c r="D1915" s="163"/>
      <c r="E1915" s="163"/>
      <c r="J1915" s="157">
        <v>36000</v>
      </c>
      <c r="K1915" s="158">
        <v>5.79</v>
      </c>
    </row>
    <row r="1916" spans="1:11" x14ac:dyDescent="0.25">
      <c r="A1916" s="162">
        <v>25318</v>
      </c>
      <c r="B1916" s="163">
        <v>5.97</v>
      </c>
      <c r="C1916" s="163"/>
      <c r="D1916" s="163"/>
      <c r="E1916" s="163"/>
      <c r="J1916" s="157">
        <v>36007</v>
      </c>
      <c r="K1916" s="158">
        <v>5.83</v>
      </c>
    </row>
    <row r="1917" spans="1:11" x14ac:dyDescent="0.25">
      <c r="A1917" s="162">
        <v>25321</v>
      </c>
      <c r="B1917" s="163">
        <v>5.99</v>
      </c>
      <c r="C1917" s="163"/>
      <c r="D1917" s="163"/>
      <c r="E1917" s="163"/>
      <c r="J1917" s="157">
        <v>36014</v>
      </c>
      <c r="K1917" s="158">
        <v>5.74</v>
      </c>
    </row>
    <row r="1918" spans="1:11" x14ac:dyDescent="0.25">
      <c r="A1918" s="162">
        <v>25322</v>
      </c>
      <c r="B1918" s="163">
        <v>6</v>
      </c>
      <c r="C1918" s="163"/>
      <c r="D1918" s="163"/>
      <c r="E1918" s="163"/>
      <c r="J1918" s="157">
        <v>36021</v>
      </c>
      <c r="K1918" s="158">
        <v>5.7</v>
      </c>
    </row>
    <row r="1919" spans="1:11" x14ac:dyDescent="0.25">
      <c r="A1919" s="162">
        <v>25323</v>
      </c>
      <c r="B1919" s="163">
        <v>5.98</v>
      </c>
      <c r="C1919" s="163"/>
      <c r="D1919" s="163"/>
      <c r="E1919" s="163"/>
      <c r="J1919" s="157">
        <v>36028</v>
      </c>
      <c r="K1919" s="158">
        <v>5.68</v>
      </c>
    </row>
    <row r="1920" spans="1:11" x14ac:dyDescent="0.25">
      <c r="A1920" s="162">
        <v>25324</v>
      </c>
      <c r="B1920" s="163">
        <v>5.98</v>
      </c>
      <c r="C1920" s="163"/>
      <c r="D1920" s="163"/>
      <c r="E1920" s="163"/>
      <c r="J1920" s="157">
        <v>36035</v>
      </c>
      <c r="K1920" s="158">
        <v>5.57</v>
      </c>
    </row>
    <row r="1921" spans="1:11" x14ac:dyDescent="0.25">
      <c r="A1921" s="162">
        <v>25325</v>
      </c>
      <c r="B1921" s="163">
        <v>5.95</v>
      </c>
      <c r="C1921" s="163"/>
      <c r="D1921" s="163"/>
      <c r="E1921" s="163"/>
      <c r="J1921" s="157">
        <v>36042</v>
      </c>
      <c r="K1921" s="158">
        <v>5.47</v>
      </c>
    </row>
    <row r="1922" spans="1:11" x14ac:dyDescent="0.25">
      <c r="A1922" s="162">
        <v>25328</v>
      </c>
      <c r="B1922" s="163">
        <v>5.91</v>
      </c>
      <c r="C1922" s="163"/>
      <c r="D1922" s="163"/>
      <c r="E1922" s="163"/>
      <c r="J1922" s="157">
        <v>36049</v>
      </c>
      <c r="K1922" s="158">
        <v>5.41</v>
      </c>
    </row>
    <row r="1923" spans="1:11" x14ac:dyDescent="0.25">
      <c r="A1923" s="162">
        <v>25329</v>
      </c>
      <c r="B1923" s="163">
        <v>5.92</v>
      </c>
      <c r="C1923" s="163"/>
      <c r="D1923" s="163"/>
      <c r="E1923" s="163"/>
      <c r="J1923" s="157">
        <v>36056</v>
      </c>
      <c r="K1923" s="158">
        <v>5.38</v>
      </c>
    </row>
    <row r="1924" spans="1:11" x14ac:dyDescent="0.25">
      <c r="A1924" s="162">
        <v>25330</v>
      </c>
      <c r="B1924" s="163">
        <v>5.93</v>
      </c>
      <c r="C1924" s="163"/>
      <c r="D1924" s="163"/>
      <c r="E1924" s="163"/>
      <c r="J1924" s="157">
        <v>36063</v>
      </c>
      <c r="K1924" s="158">
        <v>5.34</v>
      </c>
    </row>
    <row r="1925" spans="1:11" x14ac:dyDescent="0.25">
      <c r="A1925" s="162">
        <v>25331</v>
      </c>
      <c r="B1925" s="163">
        <v>5.92</v>
      </c>
      <c r="C1925" s="163"/>
      <c r="D1925" s="163"/>
      <c r="E1925" s="163"/>
      <c r="J1925" s="157">
        <v>36070</v>
      </c>
      <c r="K1925" s="158">
        <v>5.19</v>
      </c>
    </row>
    <row r="1926" spans="1:11" x14ac:dyDescent="0.25">
      <c r="A1926" s="162">
        <v>25332</v>
      </c>
      <c r="B1926" s="163">
        <v>5.96</v>
      </c>
      <c r="C1926" s="163"/>
      <c r="D1926" s="163"/>
      <c r="E1926" s="163"/>
      <c r="J1926" s="157">
        <v>36077</v>
      </c>
      <c r="K1926" s="158">
        <v>5.16</v>
      </c>
    </row>
    <row r="1927" spans="1:11" x14ac:dyDescent="0.25">
      <c r="A1927" s="162">
        <v>25335</v>
      </c>
      <c r="B1927" s="163">
        <v>5.99</v>
      </c>
      <c r="C1927" s="163"/>
      <c r="D1927" s="163"/>
      <c r="E1927" s="163"/>
      <c r="J1927" s="157">
        <v>36084</v>
      </c>
      <c r="K1927" s="158">
        <v>5.39</v>
      </c>
    </row>
    <row r="1928" spans="1:11" x14ac:dyDescent="0.25">
      <c r="A1928" s="162">
        <v>25336</v>
      </c>
      <c r="B1928" s="163">
        <v>5.99</v>
      </c>
      <c r="C1928" s="163"/>
      <c r="D1928" s="163"/>
      <c r="E1928" s="163"/>
      <c r="J1928" s="157">
        <v>36091</v>
      </c>
      <c r="K1928" s="158">
        <v>5.42</v>
      </c>
    </row>
    <row r="1929" spans="1:11" x14ac:dyDescent="0.25">
      <c r="A1929" s="162">
        <v>25337</v>
      </c>
      <c r="B1929" s="163">
        <v>5.98</v>
      </c>
      <c r="C1929" s="163"/>
      <c r="D1929" s="163"/>
      <c r="E1929" s="163"/>
      <c r="J1929" s="157">
        <v>36098</v>
      </c>
      <c r="K1929" s="158">
        <v>5.35</v>
      </c>
    </row>
    <row r="1930" spans="1:11" x14ac:dyDescent="0.25">
      <c r="A1930" s="162">
        <v>25338</v>
      </c>
      <c r="B1930" s="163">
        <v>6.01</v>
      </c>
      <c r="C1930" s="163"/>
      <c r="D1930" s="163"/>
      <c r="E1930" s="163"/>
      <c r="J1930" s="157">
        <v>36105</v>
      </c>
      <c r="K1930" s="158">
        <v>5.54</v>
      </c>
    </row>
    <row r="1931" spans="1:11" x14ac:dyDescent="0.25">
      <c r="A1931" s="162">
        <v>25339</v>
      </c>
      <c r="B1931" s="163">
        <v>6.07</v>
      </c>
      <c r="C1931" s="163"/>
      <c r="D1931" s="163"/>
      <c r="E1931" s="163"/>
      <c r="J1931" s="157">
        <v>36112</v>
      </c>
      <c r="K1931" s="158">
        <v>5.48</v>
      </c>
    </row>
    <row r="1932" spans="1:11" x14ac:dyDescent="0.25">
      <c r="A1932" s="162">
        <v>25342</v>
      </c>
      <c r="B1932" s="163">
        <v>6.13</v>
      </c>
      <c r="C1932" s="163"/>
      <c r="D1932" s="163"/>
      <c r="E1932" s="163"/>
      <c r="J1932" s="157">
        <v>36119</v>
      </c>
      <c r="K1932" s="158">
        <v>5.46</v>
      </c>
    </row>
    <row r="1933" spans="1:11" x14ac:dyDescent="0.25">
      <c r="A1933" s="162">
        <v>25343</v>
      </c>
      <c r="B1933" s="164">
        <v>6.14</v>
      </c>
      <c r="C1933" s="164"/>
      <c r="D1933" s="164"/>
      <c r="E1933" s="164"/>
      <c r="J1933" s="157">
        <v>36126</v>
      </c>
      <c r="K1933" s="158">
        <v>5.46</v>
      </c>
    </row>
    <row r="1934" spans="1:11" x14ac:dyDescent="0.25">
      <c r="A1934" s="162">
        <v>25344</v>
      </c>
      <c r="B1934" s="163">
        <v>6.16</v>
      </c>
      <c r="C1934" s="163"/>
      <c r="D1934" s="163"/>
      <c r="E1934" s="163"/>
      <c r="J1934" s="157">
        <v>36133</v>
      </c>
      <c r="K1934" s="158">
        <v>5.31</v>
      </c>
    </row>
    <row r="1935" spans="1:11" x14ac:dyDescent="0.25">
      <c r="A1935" s="162">
        <v>25345</v>
      </c>
      <c r="B1935" s="163">
        <v>6.22</v>
      </c>
      <c r="C1935" s="163"/>
      <c r="D1935" s="163"/>
      <c r="E1935" s="163"/>
      <c r="J1935" s="157">
        <v>36140</v>
      </c>
      <c r="K1935" s="158">
        <v>5.29</v>
      </c>
    </row>
    <row r="1936" spans="1:11" x14ac:dyDescent="0.25">
      <c r="A1936" s="162">
        <v>25346</v>
      </c>
      <c r="B1936" s="163">
        <v>6.3</v>
      </c>
      <c r="C1936" s="163"/>
      <c r="D1936" s="163"/>
      <c r="E1936" s="163"/>
      <c r="J1936" s="157">
        <v>36147</v>
      </c>
      <c r="K1936" s="158">
        <v>5.32</v>
      </c>
    </row>
    <row r="1937" spans="1:11" x14ac:dyDescent="0.25">
      <c r="A1937" s="162">
        <v>25349</v>
      </c>
      <c r="B1937" s="163">
        <v>6.35</v>
      </c>
      <c r="C1937" s="163"/>
      <c r="D1937" s="163"/>
      <c r="E1937" s="163"/>
      <c r="J1937" s="157">
        <v>36154</v>
      </c>
      <c r="K1937" s="158">
        <v>5.47</v>
      </c>
    </row>
    <row r="1938" spans="1:11" x14ac:dyDescent="0.25">
      <c r="A1938" s="162">
        <v>25350</v>
      </c>
      <c r="B1938" s="163">
        <v>6.41</v>
      </c>
      <c r="C1938" s="163"/>
      <c r="D1938" s="163"/>
      <c r="E1938" s="163"/>
      <c r="J1938" s="157">
        <v>36161</v>
      </c>
      <c r="K1938" s="158">
        <v>5.42</v>
      </c>
    </row>
    <row r="1939" spans="1:11" x14ac:dyDescent="0.25">
      <c r="A1939" s="162">
        <v>25351</v>
      </c>
      <c r="B1939" s="163">
        <v>6.46</v>
      </c>
      <c r="C1939" s="163"/>
      <c r="D1939" s="163"/>
      <c r="E1939" s="163"/>
      <c r="J1939" s="157">
        <v>36168</v>
      </c>
      <c r="K1939" s="158">
        <v>5.47</v>
      </c>
    </row>
    <row r="1940" spans="1:11" x14ac:dyDescent="0.25">
      <c r="A1940" s="162">
        <v>25352</v>
      </c>
      <c r="B1940" s="163">
        <v>6.43</v>
      </c>
      <c r="C1940" s="163"/>
      <c r="D1940" s="163"/>
      <c r="E1940" s="163"/>
      <c r="J1940" s="157">
        <v>36175</v>
      </c>
      <c r="K1940" s="158">
        <v>5.49</v>
      </c>
    </row>
    <row r="1941" spans="1:11" x14ac:dyDescent="0.25">
      <c r="A1941" s="162">
        <v>25353</v>
      </c>
      <c r="B1941" s="163" t="e">
        <f>NA()</f>
        <v>#N/A</v>
      </c>
      <c r="C1941" s="163"/>
      <c r="D1941" s="163"/>
      <c r="E1941" s="163"/>
      <c r="J1941" s="157">
        <v>36182</v>
      </c>
      <c r="K1941" s="158">
        <v>5.44</v>
      </c>
    </row>
    <row r="1942" spans="1:11" x14ac:dyDescent="0.25">
      <c r="A1942" s="162">
        <v>25356</v>
      </c>
      <c r="B1942" s="164">
        <v>6.41</v>
      </c>
      <c r="C1942" s="164"/>
      <c r="D1942" s="164"/>
      <c r="E1942" s="164"/>
      <c r="J1942" s="157">
        <v>36189</v>
      </c>
      <c r="K1942" s="158">
        <v>5.39</v>
      </c>
    </row>
    <row r="1943" spans="1:11" x14ac:dyDescent="0.25">
      <c r="A1943" s="162">
        <v>25357</v>
      </c>
      <c r="B1943" s="163">
        <v>6.39</v>
      </c>
      <c r="C1943" s="163"/>
      <c r="D1943" s="163"/>
      <c r="E1943" s="163"/>
      <c r="J1943" s="157">
        <v>36196</v>
      </c>
      <c r="K1943" s="158">
        <v>5.53</v>
      </c>
    </row>
    <row r="1944" spans="1:11" x14ac:dyDescent="0.25">
      <c r="A1944" s="162">
        <v>25358</v>
      </c>
      <c r="B1944" s="163">
        <v>6.36</v>
      </c>
      <c r="C1944" s="163"/>
      <c r="D1944" s="163"/>
      <c r="E1944" s="163"/>
      <c r="J1944" s="157">
        <v>36203</v>
      </c>
      <c r="K1944" s="158">
        <v>5.62</v>
      </c>
    </row>
    <row r="1945" spans="1:11" x14ac:dyDescent="0.25">
      <c r="A1945" s="162">
        <v>25359</v>
      </c>
      <c r="B1945" s="163">
        <v>6.35</v>
      </c>
      <c r="C1945" s="163"/>
      <c r="D1945" s="163"/>
      <c r="E1945" s="163"/>
      <c r="J1945" s="157">
        <v>36210</v>
      </c>
      <c r="K1945" s="158">
        <v>5.69</v>
      </c>
    </row>
    <row r="1946" spans="1:11" x14ac:dyDescent="0.25">
      <c r="A1946" s="162">
        <v>25360</v>
      </c>
      <c r="B1946" s="163">
        <v>6.31</v>
      </c>
      <c r="C1946" s="163"/>
      <c r="D1946" s="163"/>
      <c r="E1946" s="163"/>
      <c r="J1946" s="157">
        <v>36217</v>
      </c>
      <c r="K1946" s="158">
        <v>5.8</v>
      </c>
    </row>
    <row r="1947" spans="1:11" x14ac:dyDescent="0.25">
      <c r="A1947" s="162">
        <v>25363</v>
      </c>
      <c r="B1947" s="163">
        <v>6.36</v>
      </c>
      <c r="C1947" s="163"/>
      <c r="D1947" s="163"/>
      <c r="E1947" s="163"/>
      <c r="J1947" s="157">
        <v>36224</v>
      </c>
      <c r="K1947" s="158">
        <v>5.93</v>
      </c>
    </row>
    <row r="1948" spans="1:11" x14ac:dyDescent="0.25">
      <c r="A1948" s="162">
        <v>25364</v>
      </c>
      <c r="B1948" s="163">
        <v>6.3</v>
      </c>
      <c r="C1948" s="163"/>
      <c r="D1948" s="163"/>
      <c r="E1948" s="163"/>
      <c r="J1948" s="157">
        <v>36231</v>
      </c>
      <c r="K1948" s="158">
        <v>5.86</v>
      </c>
    </row>
    <row r="1949" spans="1:11" x14ac:dyDescent="0.25">
      <c r="A1949" s="162">
        <v>25365</v>
      </c>
      <c r="B1949" s="163">
        <v>6.27</v>
      </c>
      <c r="C1949" s="163"/>
      <c r="D1949" s="163"/>
      <c r="E1949" s="163"/>
      <c r="J1949" s="157">
        <v>36238</v>
      </c>
      <c r="K1949" s="158">
        <v>5.78</v>
      </c>
    </row>
    <row r="1950" spans="1:11" x14ac:dyDescent="0.25">
      <c r="A1950" s="162">
        <v>25366</v>
      </c>
      <c r="B1950" s="163">
        <v>6.22</v>
      </c>
      <c r="C1950" s="163"/>
      <c r="D1950" s="163"/>
      <c r="E1950" s="163"/>
      <c r="J1950" s="157">
        <v>36245</v>
      </c>
      <c r="K1950" s="158">
        <v>5.87</v>
      </c>
    </row>
    <row r="1951" spans="1:11" x14ac:dyDescent="0.25">
      <c r="A1951" s="162">
        <v>25367</v>
      </c>
      <c r="B1951" s="163">
        <v>6.2</v>
      </c>
      <c r="C1951" s="163"/>
      <c r="D1951" s="163"/>
      <c r="E1951" s="163"/>
      <c r="J1951" s="157">
        <v>36252</v>
      </c>
      <c r="K1951" s="158">
        <v>5.92</v>
      </c>
    </row>
    <row r="1952" spans="1:11" x14ac:dyDescent="0.25">
      <c r="A1952" s="162">
        <v>25370</v>
      </c>
      <c r="B1952" s="163">
        <v>6.19</v>
      </c>
      <c r="C1952" s="163"/>
      <c r="D1952" s="163"/>
      <c r="E1952" s="163"/>
      <c r="J1952" s="157">
        <v>36259</v>
      </c>
      <c r="K1952" s="158">
        <v>5.78</v>
      </c>
    </row>
    <row r="1953" spans="1:11" x14ac:dyDescent="0.25">
      <c r="A1953" s="162">
        <v>25371</v>
      </c>
      <c r="B1953" s="163">
        <v>6.26</v>
      </c>
      <c r="C1953" s="163"/>
      <c r="D1953" s="163"/>
      <c r="E1953" s="163"/>
      <c r="J1953" s="157">
        <v>36266</v>
      </c>
      <c r="K1953" s="158">
        <v>5.78</v>
      </c>
    </row>
    <row r="1954" spans="1:11" x14ac:dyDescent="0.25">
      <c r="A1954" s="162">
        <v>25372</v>
      </c>
      <c r="B1954" s="163">
        <v>6.25</v>
      </c>
      <c r="C1954" s="163"/>
      <c r="D1954" s="163"/>
      <c r="E1954" s="163"/>
      <c r="J1954" s="157">
        <v>36273</v>
      </c>
      <c r="K1954" s="158">
        <v>5.83</v>
      </c>
    </row>
    <row r="1955" spans="1:11" x14ac:dyDescent="0.25">
      <c r="A1955" s="162">
        <v>25373</v>
      </c>
      <c r="B1955" s="163">
        <v>6.26</v>
      </c>
      <c r="C1955" s="163"/>
      <c r="D1955" s="163"/>
      <c r="E1955" s="163"/>
      <c r="J1955" s="157">
        <v>36280</v>
      </c>
      <c r="K1955" s="158">
        <v>5.85</v>
      </c>
    </row>
    <row r="1956" spans="1:11" x14ac:dyDescent="0.25">
      <c r="A1956" s="162">
        <v>25374</v>
      </c>
      <c r="B1956" s="163">
        <v>6.28</v>
      </c>
      <c r="C1956" s="163"/>
      <c r="D1956" s="163"/>
      <c r="E1956" s="163"/>
      <c r="J1956" s="157">
        <v>36287</v>
      </c>
      <c r="K1956" s="158">
        <v>6.01</v>
      </c>
    </row>
    <row r="1957" spans="1:11" x14ac:dyDescent="0.25">
      <c r="A1957" s="162">
        <v>25377</v>
      </c>
      <c r="B1957" s="163">
        <v>6.27</v>
      </c>
      <c r="C1957" s="163"/>
      <c r="D1957" s="163"/>
      <c r="E1957" s="163"/>
      <c r="J1957" s="157">
        <v>36294</v>
      </c>
      <c r="K1957" s="158">
        <v>6.09</v>
      </c>
    </row>
    <row r="1958" spans="1:11" x14ac:dyDescent="0.25">
      <c r="A1958" s="162">
        <v>25378</v>
      </c>
      <c r="B1958" s="163">
        <v>6.27</v>
      </c>
      <c r="C1958" s="163"/>
      <c r="D1958" s="163"/>
      <c r="E1958" s="163"/>
      <c r="J1958" s="157">
        <v>36301</v>
      </c>
      <c r="K1958" s="158">
        <v>6.12</v>
      </c>
    </row>
    <row r="1959" spans="1:11" x14ac:dyDescent="0.25">
      <c r="A1959" s="162">
        <v>25379</v>
      </c>
      <c r="B1959" s="163">
        <v>6.25</v>
      </c>
      <c r="C1959" s="163"/>
      <c r="D1959" s="163"/>
      <c r="E1959" s="163"/>
      <c r="J1959" s="157">
        <v>36308</v>
      </c>
      <c r="K1959" s="158">
        <v>6.11</v>
      </c>
    </row>
    <row r="1960" spans="1:11" x14ac:dyDescent="0.25">
      <c r="A1960" s="162">
        <v>25380</v>
      </c>
      <c r="B1960" s="163">
        <v>6.21</v>
      </c>
      <c r="C1960" s="163"/>
      <c r="D1960" s="163"/>
      <c r="E1960" s="163"/>
      <c r="J1960" s="157">
        <v>36315</v>
      </c>
      <c r="K1960" s="158">
        <v>6.27</v>
      </c>
    </row>
    <row r="1961" spans="1:11" x14ac:dyDescent="0.25">
      <c r="A1961" s="162">
        <v>25381</v>
      </c>
      <c r="B1961" s="163">
        <v>6.25</v>
      </c>
      <c r="C1961" s="163"/>
      <c r="D1961" s="163"/>
      <c r="E1961" s="163"/>
      <c r="J1961" s="157">
        <v>36322</v>
      </c>
      <c r="K1961" s="158">
        <v>6.35</v>
      </c>
    </row>
    <row r="1962" spans="1:11" x14ac:dyDescent="0.25">
      <c r="A1962" s="162">
        <v>25384</v>
      </c>
      <c r="B1962" s="163">
        <v>6.28</v>
      </c>
      <c r="C1962" s="163"/>
      <c r="D1962" s="163"/>
      <c r="E1962" s="163"/>
      <c r="J1962" s="157">
        <v>36329</v>
      </c>
      <c r="K1962" s="158">
        <v>6.37</v>
      </c>
    </row>
    <row r="1963" spans="1:11" x14ac:dyDescent="0.25">
      <c r="A1963" s="162">
        <v>25385</v>
      </c>
      <c r="B1963" s="163">
        <v>6.29</v>
      </c>
      <c r="C1963" s="163"/>
      <c r="D1963" s="163"/>
      <c r="E1963" s="163"/>
      <c r="J1963" s="157">
        <v>36336</v>
      </c>
      <c r="K1963" s="158">
        <v>6.45</v>
      </c>
    </row>
    <row r="1964" spans="1:11" x14ac:dyDescent="0.25">
      <c r="A1964" s="162">
        <v>25386</v>
      </c>
      <c r="B1964" s="164">
        <v>6.32</v>
      </c>
      <c r="C1964" s="164"/>
      <c r="D1964" s="164"/>
      <c r="E1964" s="164"/>
      <c r="J1964" s="157">
        <v>36343</v>
      </c>
      <c r="K1964" s="158">
        <v>6.34</v>
      </c>
    </row>
    <row r="1965" spans="1:11" x14ac:dyDescent="0.25">
      <c r="A1965" s="162">
        <v>25387</v>
      </c>
      <c r="B1965" s="163">
        <v>6.29</v>
      </c>
      <c r="C1965" s="163"/>
      <c r="D1965" s="163"/>
      <c r="E1965" s="163"/>
      <c r="J1965" s="157">
        <v>36350</v>
      </c>
      <c r="K1965" s="158">
        <v>6.33</v>
      </c>
    </row>
    <row r="1966" spans="1:11" x14ac:dyDescent="0.25">
      <c r="A1966" s="162">
        <v>25388</v>
      </c>
      <c r="B1966" s="163" t="e">
        <f>NA()</f>
        <v>#N/A</v>
      </c>
      <c r="C1966" s="163"/>
      <c r="D1966" s="163"/>
      <c r="E1966" s="163"/>
      <c r="J1966" s="157">
        <v>36357</v>
      </c>
      <c r="K1966" s="158">
        <v>6.2</v>
      </c>
    </row>
    <row r="1967" spans="1:11" x14ac:dyDescent="0.25">
      <c r="A1967" s="162">
        <v>25391</v>
      </c>
      <c r="B1967" s="163">
        <v>6.33</v>
      </c>
      <c r="C1967" s="163"/>
      <c r="D1967" s="163"/>
      <c r="E1967" s="163"/>
      <c r="J1967" s="157">
        <v>36364</v>
      </c>
      <c r="K1967" s="158">
        <v>6.23</v>
      </c>
    </row>
    <row r="1968" spans="1:11" x14ac:dyDescent="0.25">
      <c r="A1968" s="162">
        <v>25392</v>
      </c>
      <c r="B1968" s="163">
        <v>6.35</v>
      </c>
      <c r="C1968" s="163"/>
      <c r="D1968" s="163"/>
      <c r="E1968" s="163"/>
      <c r="J1968" s="157">
        <v>36371</v>
      </c>
      <c r="K1968" s="158">
        <v>6.34</v>
      </c>
    </row>
    <row r="1969" spans="1:11" x14ac:dyDescent="0.25">
      <c r="A1969" s="162">
        <v>25393</v>
      </c>
      <c r="B1969" s="164">
        <v>6.37</v>
      </c>
      <c r="C1969" s="164"/>
      <c r="D1969" s="164"/>
      <c r="E1969" s="164"/>
      <c r="J1969" s="157">
        <v>36378</v>
      </c>
      <c r="K1969" s="158">
        <v>6.42</v>
      </c>
    </row>
    <row r="1970" spans="1:11" x14ac:dyDescent="0.25">
      <c r="A1970" s="162">
        <v>25394</v>
      </c>
      <c r="B1970" s="163">
        <v>6.33</v>
      </c>
      <c r="C1970" s="163"/>
      <c r="D1970" s="163"/>
      <c r="E1970" s="163"/>
      <c r="J1970" s="157">
        <v>36385</v>
      </c>
      <c r="K1970" s="158">
        <v>6.52</v>
      </c>
    </row>
    <row r="1971" spans="1:11" x14ac:dyDescent="0.25">
      <c r="A1971" s="162">
        <v>25395</v>
      </c>
      <c r="B1971" s="163">
        <v>6.19</v>
      </c>
      <c r="C1971" s="163"/>
      <c r="D1971" s="163"/>
      <c r="E1971" s="163"/>
      <c r="J1971" s="157">
        <v>36392</v>
      </c>
      <c r="K1971" s="158">
        <v>6.43</v>
      </c>
    </row>
    <row r="1972" spans="1:11" x14ac:dyDescent="0.25">
      <c r="A1972" s="162">
        <v>25398</v>
      </c>
      <c r="B1972" s="163">
        <v>6.22</v>
      </c>
      <c r="C1972" s="163"/>
      <c r="D1972" s="163"/>
      <c r="E1972" s="163"/>
      <c r="J1972" s="157">
        <v>36399</v>
      </c>
      <c r="K1972" s="158">
        <v>6.35</v>
      </c>
    </row>
    <row r="1973" spans="1:11" x14ac:dyDescent="0.25">
      <c r="A1973" s="162">
        <v>25399</v>
      </c>
      <c r="B1973" s="163">
        <v>6.27</v>
      </c>
      <c r="C1973" s="163"/>
      <c r="D1973" s="163"/>
      <c r="E1973" s="163"/>
      <c r="J1973" s="157">
        <v>36406</v>
      </c>
      <c r="K1973" s="158">
        <v>6.5</v>
      </c>
    </row>
    <row r="1974" spans="1:11" x14ac:dyDescent="0.25">
      <c r="A1974" s="162">
        <v>25400</v>
      </c>
      <c r="B1974" s="163">
        <v>6.25</v>
      </c>
      <c r="C1974" s="163"/>
      <c r="D1974" s="163"/>
      <c r="E1974" s="163"/>
      <c r="J1974" s="157">
        <v>36413</v>
      </c>
      <c r="K1974" s="158">
        <v>6.51</v>
      </c>
    </row>
    <row r="1975" spans="1:11" x14ac:dyDescent="0.25">
      <c r="A1975" s="162">
        <v>25401</v>
      </c>
      <c r="B1975" s="163">
        <v>6.27</v>
      </c>
      <c r="C1975" s="163"/>
      <c r="D1975" s="163"/>
      <c r="E1975" s="163"/>
      <c r="J1975" s="157">
        <v>36420</v>
      </c>
      <c r="K1975" s="158">
        <v>6.52</v>
      </c>
    </row>
    <row r="1976" spans="1:11" x14ac:dyDescent="0.25">
      <c r="A1976" s="162">
        <v>25402</v>
      </c>
      <c r="B1976" s="163">
        <v>6.26</v>
      </c>
      <c r="C1976" s="163"/>
      <c r="D1976" s="163"/>
      <c r="E1976" s="163"/>
      <c r="J1976" s="157">
        <v>36427</v>
      </c>
      <c r="K1976" s="158">
        <v>6.46</v>
      </c>
    </row>
    <row r="1977" spans="1:11" x14ac:dyDescent="0.25">
      <c r="A1977" s="162">
        <v>25405</v>
      </c>
      <c r="B1977" s="163" t="e">
        <f>NA()</f>
        <v>#N/A</v>
      </c>
      <c r="C1977" s="163"/>
      <c r="D1977" s="163"/>
      <c r="E1977" s="163"/>
      <c r="J1977" s="157">
        <v>36434</v>
      </c>
      <c r="K1977" s="158">
        <v>6.5</v>
      </c>
    </row>
    <row r="1978" spans="1:11" x14ac:dyDescent="0.25">
      <c r="A1978" s="162">
        <v>25406</v>
      </c>
      <c r="B1978" s="163">
        <v>6.22</v>
      </c>
      <c r="C1978" s="163"/>
      <c r="D1978" s="163"/>
      <c r="E1978" s="163"/>
      <c r="J1978" s="157">
        <v>36441</v>
      </c>
      <c r="K1978" s="158">
        <v>6.58</v>
      </c>
    </row>
    <row r="1979" spans="1:11" x14ac:dyDescent="0.25">
      <c r="A1979" s="162">
        <v>25407</v>
      </c>
      <c r="B1979" s="164">
        <v>6.23</v>
      </c>
      <c r="C1979" s="164"/>
      <c r="D1979" s="164"/>
      <c r="E1979" s="164"/>
      <c r="J1979" s="157">
        <v>36448</v>
      </c>
      <c r="K1979" s="158">
        <v>6.68</v>
      </c>
    </row>
    <row r="1980" spans="1:11" x14ac:dyDescent="0.25">
      <c r="A1980" s="162">
        <v>25408</v>
      </c>
      <c r="B1980" s="163">
        <v>6.25</v>
      </c>
      <c r="C1980" s="163"/>
      <c r="D1980" s="163"/>
      <c r="E1980" s="163"/>
      <c r="J1980" s="157">
        <v>36455</v>
      </c>
      <c r="K1980" s="158">
        <v>6.74</v>
      </c>
    </row>
    <row r="1981" spans="1:11" x14ac:dyDescent="0.25">
      <c r="A1981" s="162">
        <v>25409</v>
      </c>
      <c r="B1981" s="163">
        <v>6.26</v>
      </c>
      <c r="C1981" s="163"/>
      <c r="D1981" s="163"/>
      <c r="E1981" s="163"/>
      <c r="J1981" s="157">
        <v>36462</v>
      </c>
      <c r="K1981" s="158">
        <v>6.68</v>
      </c>
    </row>
    <row r="1982" spans="1:11" x14ac:dyDescent="0.25">
      <c r="A1982" s="162">
        <v>25412</v>
      </c>
      <c r="B1982" s="163">
        <v>6.28</v>
      </c>
      <c r="C1982" s="163"/>
      <c r="D1982" s="163"/>
      <c r="E1982" s="163"/>
      <c r="J1982" s="157">
        <v>36469</v>
      </c>
      <c r="K1982" s="158">
        <v>6.48</v>
      </c>
    </row>
    <row r="1983" spans="1:11" x14ac:dyDescent="0.25">
      <c r="A1983" s="162">
        <v>25413</v>
      </c>
      <c r="B1983" s="163">
        <v>6.26</v>
      </c>
      <c r="C1983" s="163"/>
      <c r="D1983" s="163"/>
      <c r="E1983" s="163"/>
      <c r="J1983" s="157">
        <v>36476</v>
      </c>
      <c r="K1983" s="158">
        <v>6.42</v>
      </c>
    </row>
    <row r="1984" spans="1:11" x14ac:dyDescent="0.25">
      <c r="A1984" s="162">
        <v>25414</v>
      </c>
      <c r="B1984" s="163">
        <v>6.26</v>
      </c>
      <c r="C1984" s="163"/>
      <c r="D1984" s="163"/>
      <c r="E1984" s="163"/>
      <c r="J1984" s="157">
        <v>36483</v>
      </c>
      <c r="K1984" s="158">
        <v>6.44</v>
      </c>
    </row>
    <row r="1985" spans="1:11" x14ac:dyDescent="0.25">
      <c r="A1985" s="162">
        <v>25415</v>
      </c>
      <c r="B1985" s="163">
        <v>6.23</v>
      </c>
      <c r="C1985" s="163"/>
      <c r="D1985" s="163"/>
      <c r="E1985" s="163"/>
      <c r="J1985" s="157">
        <v>36490</v>
      </c>
      <c r="K1985" s="158">
        <v>6.53</v>
      </c>
    </row>
    <row r="1986" spans="1:11" x14ac:dyDescent="0.25">
      <c r="A1986" s="162">
        <v>25416</v>
      </c>
      <c r="B1986" s="163">
        <v>6.25</v>
      </c>
      <c r="C1986" s="163"/>
      <c r="D1986" s="163"/>
      <c r="E1986" s="163"/>
      <c r="J1986" s="157">
        <v>36497</v>
      </c>
      <c r="K1986" s="158">
        <v>6.64</v>
      </c>
    </row>
    <row r="1987" spans="1:11" x14ac:dyDescent="0.25">
      <c r="A1987" s="162">
        <v>25419</v>
      </c>
      <c r="B1987" s="163">
        <v>6.21</v>
      </c>
      <c r="C1987" s="163"/>
      <c r="D1987" s="163"/>
      <c r="E1987" s="163"/>
      <c r="J1987" s="157">
        <v>36504</v>
      </c>
      <c r="K1987" s="158">
        <v>6.54</v>
      </c>
    </row>
    <row r="1988" spans="1:11" x14ac:dyDescent="0.25">
      <c r="A1988" s="162">
        <v>25420</v>
      </c>
      <c r="B1988" s="163">
        <v>6.18</v>
      </c>
      <c r="C1988" s="163"/>
      <c r="D1988" s="163"/>
      <c r="E1988" s="163"/>
      <c r="J1988" s="157">
        <v>36511</v>
      </c>
      <c r="K1988" s="158">
        <v>6.67</v>
      </c>
    </row>
    <row r="1989" spans="1:11" x14ac:dyDescent="0.25">
      <c r="A1989" s="162">
        <v>25421</v>
      </c>
      <c r="B1989" s="163">
        <v>6.18</v>
      </c>
      <c r="C1989" s="163"/>
      <c r="D1989" s="163"/>
      <c r="E1989" s="163"/>
      <c r="J1989" s="157">
        <v>36518</v>
      </c>
      <c r="K1989" s="158">
        <v>6.82</v>
      </c>
    </row>
    <row r="1990" spans="1:11" x14ac:dyDescent="0.25">
      <c r="A1990" s="162">
        <v>25422</v>
      </c>
      <c r="B1990" s="163">
        <v>6.17</v>
      </c>
      <c r="C1990" s="163"/>
      <c r="D1990" s="163"/>
      <c r="E1990" s="163"/>
      <c r="J1990" s="157">
        <v>36525</v>
      </c>
      <c r="K1990" s="158">
        <v>6.8</v>
      </c>
    </row>
    <row r="1991" spans="1:11" x14ac:dyDescent="0.25">
      <c r="A1991" s="162">
        <v>25423</v>
      </c>
      <c r="B1991" s="163">
        <v>6.17</v>
      </c>
      <c r="C1991" s="163"/>
      <c r="D1991" s="163"/>
      <c r="E1991" s="163"/>
      <c r="J1991" s="157">
        <v>36532</v>
      </c>
      <c r="K1991" s="158">
        <v>6.88</v>
      </c>
    </row>
    <row r="1992" spans="1:11" x14ac:dyDescent="0.25">
      <c r="A1992" s="162">
        <v>25426</v>
      </c>
      <c r="B1992" s="163">
        <v>6.18</v>
      </c>
      <c r="C1992" s="163"/>
      <c r="D1992" s="163"/>
      <c r="E1992" s="163"/>
      <c r="J1992" s="157">
        <v>36539</v>
      </c>
      <c r="K1992" s="158">
        <v>6.91</v>
      </c>
    </row>
    <row r="1993" spans="1:11" x14ac:dyDescent="0.25">
      <c r="A1993" s="162">
        <v>25427</v>
      </c>
      <c r="B1993" s="163">
        <v>6.2</v>
      </c>
      <c r="C1993" s="163"/>
      <c r="D1993" s="163"/>
      <c r="E1993" s="163"/>
      <c r="J1993" s="157">
        <v>36546</v>
      </c>
      <c r="K1993" s="158">
        <v>6.92</v>
      </c>
    </row>
    <row r="1994" spans="1:11" x14ac:dyDescent="0.25">
      <c r="A1994" s="162">
        <v>25428</v>
      </c>
      <c r="B1994" s="163">
        <v>6.21</v>
      </c>
      <c r="C1994" s="163"/>
      <c r="D1994" s="163"/>
      <c r="E1994" s="163"/>
      <c r="J1994" s="157">
        <v>36553</v>
      </c>
      <c r="K1994" s="158">
        <v>6.77</v>
      </c>
    </row>
    <row r="1995" spans="1:11" x14ac:dyDescent="0.25">
      <c r="A1995" s="162">
        <v>25429</v>
      </c>
      <c r="B1995" s="163">
        <v>6.22</v>
      </c>
      <c r="C1995" s="163"/>
      <c r="D1995" s="163"/>
      <c r="E1995" s="163"/>
      <c r="J1995" s="157">
        <v>36560</v>
      </c>
      <c r="K1995" s="158">
        <v>6.61</v>
      </c>
    </row>
    <row r="1996" spans="1:11" x14ac:dyDescent="0.25">
      <c r="A1996" s="162">
        <v>25430</v>
      </c>
      <c r="B1996" s="163">
        <v>6.22</v>
      </c>
      <c r="C1996" s="163"/>
      <c r="D1996" s="163"/>
      <c r="E1996" s="163"/>
      <c r="J1996" s="157">
        <v>36567</v>
      </c>
      <c r="K1996" s="158">
        <v>6.6</v>
      </c>
    </row>
    <row r="1997" spans="1:11" x14ac:dyDescent="0.25">
      <c r="A1997" s="162">
        <v>25433</v>
      </c>
      <c r="B1997" s="163">
        <v>6.18</v>
      </c>
      <c r="C1997" s="163"/>
      <c r="D1997" s="163"/>
      <c r="E1997" s="163"/>
      <c r="J1997" s="157">
        <v>36574</v>
      </c>
      <c r="K1997" s="158">
        <v>6.55</v>
      </c>
    </row>
    <row r="1998" spans="1:11" x14ac:dyDescent="0.25">
      <c r="A1998" s="162">
        <v>25434</v>
      </c>
      <c r="B1998" s="163">
        <v>6.18</v>
      </c>
      <c r="C1998" s="163"/>
      <c r="D1998" s="163"/>
      <c r="E1998" s="163"/>
      <c r="J1998" s="157">
        <v>36581</v>
      </c>
      <c r="K1998" s="158">
        <v>6.44</v>
      </c>
    </row>
    <row r="1999" spans="1:11" x14ac:dyDescent="0.25">
      <c r="A1999" s="162">
        <v>25435</v>
      </c>
      <c r="B1999" s="163">
        <v>6.2</v>
      </c>
      <c r="C1999" s="163"/>
      <c r="D1999" s="163"/>
      <c r="E1999" s="163"/>
      <c r="J1999" s="157">
        <v>36588</v>
      </c>
      <c r="K1999" s="158">
        <v>6.45</v>
      </c>
    </row>
    <row r="2000" spans="1:11" x14ac:dyDescent="0.25">
      <c r="A2000" s="162">
        <v>25436</v>
      </c>
      <c r="B2000" s="163">
        <v>6.21</v>
      </c>
      <c r="C2000" s="163"/>
      <c r="D2000" s="163"/>
      <c r="E2000" s="163"/>
      <c r="J2000" s="157">
        <v>36595</v>
      </c>
      <c r="K2000" s="158">
        <v>6.48</v>
      </c>
    </row>
    <row r="2001" spans="1:11" x14ac:dyDescent="0.25">
      <c r="A2001" s="162">
        <v>25437</v>
      </c>
      <c r="B2001" s="163">
        <v>6.23</v>
      </c>
      <c r="C2001" s="163"/>
      <c r="D2001" s="163"/>
      <c r="E2001" s="163"/>
      <c r="J2001" s="157">
        <v>36602</v>
      </c>
      <c r="K2001" s="158">
        <v>6.4</v>
      </c>
    </row>
    <row r="2002" spans="1:11" x14ac:dyDescent="0.25">
      <c r="A2002" s="162">
        <v>25440</v>
      </c>
      <c r="B2002" s="163">
        <v>6.24</v>
      </c>
      <c r="C2002" s="163"/>
      <c r="D2002" s="163"/>
      <c r="E2002" s="163"/>
      <c r="J2002" s="157">
        <v>36609</v>
      </c>
      <c r="K2002" s="158">
        <v>6.3</v>
      </c>
    </row>
    <row r="2003" spans="1:11" x14ac:dyDescent="0.25">
      <c r="A2003" s="162">
        <v>25441</v>
      </c>
      <c r="B2003" s="163">
        <v>6.26</v>
      </c>
      <c r="C2003" s="163"/>
      <c r="D2003" s="163"/>
      <c r="E2003" s="163"/>
      <c r="J2003" s="157">
        <v>36616</v>
      </c>
      <c r="K2003" s="158">
        <v>6.3</v>
      </c>
    </row>
    <row r="2004" spans="1:11" x14ac:dyDescent="0.25">
      <c r="A2004" s="162">
        <v>25442</v>
      </c>
      <c r="B2004" s="164">
        <v>6.28</v>
      </c>
      <c r="C2004" s="164"/>
      <c r="D2004" s="164"/>
      <c r="E2004" s="164"/>
      <c r="J2004" s="157">
        <v>36623</v>
      </c>
      <c r="K2004" s="158">
        <v>6.12</v>
      </c>
    </row>
    <row r="2005" spans="1:11" x14ac:dyDescent="0.25">
      <c r="A2005" s="162">
        <v>25443</v>
      </c>
      <c r="B2005" s="163">
        <v>6.32</v>
      </c>
      <c r="C2005" s="163"/>
      <c r="D2005" s="163"/>
      <c r="E2005" s="163"/>
      <c r="J2005" s="157">
        <v>36630</v>
      </c>
      <c r="K2005" s="158">
        <v>6.13</v>
      </c>
    </row>
    <row r="2006" spans="1:11" x14ac:dyDescent="0.25">
      <c r="A2006" s="162">
        <v>25444</v>
      </c>
      <c r="B2006" s="163">
        <v>6.32</v>
      </c>
      <c r="C2006" s="163"/>
      <c r="D2006" s="163"/>
      <c r="E2006" s="163"/>
      <c r="J2006" s="157">
        <v>36637</v>
      </c>
      <c r="K2006" s="158">
        <v>6.22</v>
      </c>
    </row>
    <row r="2007" spans="1:11" x14ac:dyDescent="0.25">
      <c r="A2007" s="162">
        <v>25447</v>
      </c>
      <c r="B2007" s="163" t="e">
        <f>NA()</f>
        <v>#N/A</v>
      </c>
      <c r="C2007" s="163"/>
      <c r="D2007" s="163"/>
      <c r="E2007" s="163"/>
      <c r="J2007" s="157">
        <v>36644</v>
      </c>
      <c r="K2007" s="158">
        <v>6.28</v>
      </c>
    </row>
    <row r="2008" spans="1:11" x14ac:dyDescent="0.25">
      <c r="A2008" s="162">
        <v>25448</v>
      </c>
      <c r="B2008" s="163">
        <v>6.36</v>
      </c>
      <c r="C2008" s="163"/>
      <c r="D2008" s="163"/>
      <c r="E2008" s="163"/>
      <c r="J2008" s="157">
        <v>36651</v>
      </c>
      <c r="K2008" s="158">
        <v>6.48</v>
      </c>
    </row>
    <row r="2009" spans="1:11" x14ac:dyDescent="0.25">
      <c r="A2009" s="162">
        <v>25449</v>
      </c>
      <c r="B2009" s="163">
        <v>6.41</v>
      </c>
      <c r="C2009" s="163"/>
      <c r="D2009" s="163"/>
      <c r="E2009" s="163"/>
      <c r="J2009" s="157">
        <v>36658</v>
      </c>
      <c r="K2009" s="158">
        <v>6.61</v>
      </c>
    </row>
    <row r="2010" spans="1:11" x14ac:dyDescent="0.25">
      <c r="A2010" s="162">
        <v>25450</v>
      </c>
      <c r="B2010" s="163">
        <v>6.42</v>
      </c>
      <c r="C2010" s="163"/>
      <c r="D2010" s="163"/>
      <c r="E2010" s="163"/>
      <c r="J2010" s="157">
        <v>36665</v>
      </c>
      <c r="K2010" s="158">
        <v>6.59</v>
      </c>
    </row>
    <row r="2011" spans="1:11" x14ac:dyDescent="0.25">
      <c r="A2011" s="162">
        <v>25451</v>
      </c>
      <c r="B2011" s="163">
        <v>6.44</v>
      </c>
      <c r="C2011" s="163"/>
      <c r="D2011" s="163"/>
      <c r="E2011" s="163"/>
      <c r="J2011" s="157">
        <v>36672</v>
      </c>
      <c r="K2011" s="158">
        <v>6.54</v>
      </c>
    </row>
    <row r="2012" spans="1:11" x14ac:dyDescent="0.25">
      <c r="A2012" s="162">
        <v>25454</v>
      </c>
      <c r="B2012" s="163">
        <v>6.48</v>
      </c>
      <c r="C2012" s="163"/>
      <c r="D2012" s="163"/>
      <c r="E2012" s="163"/>
      <c r="J2012" s="157">
        <v>36679</v>
      </c>
      <c r="K2012" s="158">
        <v>6.39</v>
      </c>
    </row>
    <row r="2013" spans="1:11" x14ac:dyDescent="0.25">
      <c r="A2013" s="162">
        <v>25455</v>
      </c>
      <c r="B2013" s="163">
        <v>6.47</v>
      </c>
      <c r="C2013" s="163"/>
      <c r="D2013" s="163"/>
      <c r="E2013" s="163"/>
      <c r="J2013" s="157">
        <v>36686</v>
      </c>
      <c r="K2013" s="158">
        <v>6.27</v>
      </c>
    </row>
    <row r="2014" spans="1:11" x14ac:dyDescent="0.25">
      <c r="A2014" s="162">
        <v>25456</v>
      </c>
      <c r="B2014" s="163">
        <v>6.45</v>
      </c>
      <c r="C2014" s="163"/>
      <c r="D2014" s="163"/>
      <c r="E2014" s="163"/>
      <c r="J2014" s="157">
        <v>36693</v>
      </c>
      <c r="K2014" s="158">
        <v>6.25</v>
      </c>
    </row>
    <row r="2015" spans="1:11" x14ac:dyDescent="0.25">
      <c r="A2015" s="162">
        <v>25457</v>
      </c>
      <c r="B2015" s="163">
        <v>6.44</v>
      </c>
      <c r="C2015" s="163"/>
      <c r="D2015" s="163"/>
      <c r="E2015" s="163"/>
      <c r="J2015" s="157">
        <v>36700</v>
      </c>
      <c r="K2015" s="158">
        <v>6.3</v>
      </c>
    </row>
    <row r="2016" spans="1:11" x14ac:dyDescent="0.25">
      <c r="A2016" s="162">
        <v>25458</v>
      </c>
      <c r="B2016" s="163">
        <v>6.46</v>
      </c>
      <c r="C2016" s="163"/>
      <c r="D2016" s="163"/>
      <c r="E2016" s="163"/>
      <c r="J2016" s="157">
        <v>36707</v>
      </c>
      <c r="K2016" s="158">
        <v>6.3</v>
      </c>
    </row>
    <row r="2017" spans="1:11" x14ac:dyDescent="0.25">
      <c r="A2017" s="162">
        <v>25461</v>
      </c>
      <c r="B2017" s="163">
        <v>6.48</v>
      </c>
      <c r="C2017" s="163"/>
      <c r="D2017" s="163"/>
      <c r="E2017" s="163"/>
      <c r="J2017" s="157">
        <v>36714</v>
      </c>
      <c r="K2017" s="158">
        <v>6.23</v>
      </c>
    </row>
    <row r="2018" spans="1:11" x14ac:dyDescent="0.25">
      <c r="A2018" s="162">
        <v>25462</v>
      </c>
      <c r="B2018" s="163">
        <v>6.51</v>
      </c>
      <c r="C2018" s="163"/>
      <c r="D2018" s="163"/>
      <c r="E2018" s="163"/>
      <c r="J2018" s="157">
        <v>36721</v>
      </c>
      <c r="K2018" s="158">
        <v>6.22</v>
      </c>
    </row>
    <row r="2019" spans="1:11" x14ac:dyDescent="0.25">
      <c r="A2019" s="162">
        <v>25463</v>
      </c>
      <c r="B2019" s="163">
        <v>6.55</v>
      </c>
      <c r="C2019" s="163"/>
      <c r="D2019" s="163"/>
      <c r="E2019" s="163"/>
      <c r="J2019" s="157">
        <v>36728</v>
      </c>
      <c r="K2019" s="158">
        <v>6.23</v>
      </c>
    </row>
    <row r="2020" spans="1:11" x14ac:dyDescent="0.25">
      <c r="A2020" s="162">
        <v>25464</v>
      </c>
      <c r="B2020" s="163">
        <v>6.6</v>
      </c>
      <c r="C2020" s="163"/>
      <c r="D2020" s="163"/>
      <c r="E2020" s="163"/>
      <c r="J2020" s="157">
        <v>36735</v>
      </c>
      <c r="K2020" s="158">
        <v>6.13</v>
      </c>
    </row>
    <row r="2021" spans="1:11" x14ac:dyDescent="0.25">
      <c r="A2021" s="162">
        <v>25465</v>
      </c>
      <c r="B2021" s="163">
        <v>6.59</v>
      </c>
      <c r="C2021" s="163"/>
      <c r="D2021" s="163"/>
      <c r="E2021" s="163"/>
      <c r="J2021" s="157">
        <v>36742</v>
      </c>
      <c r="K2021" s="158">
        <v>6.08</v>
      </c>
    </row>
    <row r="2022" spans="1:11" x14ac:dyDescent="0.25">
      <c r="A2022" s="162">
        <v>25468</v>
      </c>
      <c r="B2022" s="163">
        <v>6.58</v>
      </c>
      <c r="C2022" s="163"/>
      <c r="D2022" s="163"/>
      <c r="E2022" s="163"/>
      <c r="J2022" s="157">
        <v>36749</v>
      </c>
      <c r="K2022" s="158">
        <v>6.03</v>
      </c>
    </row>
    <row r="2023" spans="1:11" x14ac:dyDescent="0.25">
      <c r="A2023" s="162">
        <v>25469</v>
      </c>
      <c r="B2023" s="163">
        <v>6.59</v>
      </c>
      <c r="C2023" s="163"/>
      <c r="D2023" s="163"/>
      <c r="E2023" s="163"/>
      <c r="J2023" s="157">
        <v>36756</v>
      </c>
      <c r="K2023" s="158">
        <v>6.02</v>
      </c>
    </row>
    <row r="2024" spans="1:11" x14ac:dyDescent="0.25">
      <c r="A2024" s="162">
        <v>25470</v>
      </c>
      <c r="B2024" s="163">
        <v>6.62</v>
      </c>
      <c r="C2024" s="163"/>
      <c r="D2024" s="163"/>
      <c r="E2024" s="163"/>
      <c r="J2024" s="157">
        <v>36763</v>
      </c>
      <c r="K2024" s="158">
        <v>5.98</v>
      </c>
    </row>
    <row r="2025" spans="1:11" x14ac:dyDescent="0.25">
      <c r="A2025" s="162">
        <v>25471</v>
      </c>
      <c r="B2025" s="163">
        <v>6.64</v>
      </c>
      <c r="C2025" s="163"/>
      <c r="D2025" s="163"/>
      <c r="E2025" s="163"/>
      <c r="J2025" s="157">
        <v>36770</v>
      </c>
      <c r="K2025" s="158">
        <v>6</v>
      </c>
    </row>
    <row r="2026" spans="1:11" x14ac:dyDescent="0.25">
      <c r="A2026" s="162">
        <v>25472</v>
      </c>
      <c r="B2026" s="163">
        <v>6.75</v>
      </c>
      <c r="C2026" s="163"/>
      <c r="D2026" s="163"/>
      <c r="E2026" s="163"/>
      <c r="J2026" s="157">
        <v>36777</v>
      </c>
      <c r="K2026" s="158">
        <v>5.99</v>
      </c>
    </row>
    <row r="2027" spans="1:11" x14ac:dyDescent="0.25">
      <c r="A2027" s="162">
        <v>25475</v>
      </c>
      <c r="B2027" s="163">
        <v>6.79</v>
      </c>
      <c r="C2027" s="163"/>
      <c r="D2027" s="163"/>
      <c r="E2027" s="163"/>
      <c r="J2027" s="157">
        <v>36784</v>
      </c>
      <c r="K2027" s="158">
        <v>6.06</v>
      </c>
    </row>
    <row r="2028" spans="1:11" x14ac:dyDescent="0.25">
      <c r="A2028" s="162">
        <v>25476</v>
      </c>
      <c r="B2028" s="163">
        <v>6.82</v>
      </c>
      <c r="C2028" s="163"/>
      <c r="D2028" s="163"/>
      <c r="E2028" s="163"/>
      <c r="J2028" s="157">
        <v>36791</v>
      </c>
      <c r="K2028" s="158">
        <v>6.19</v>
      </c>
    </row>
    <row r="2029" spans="1:11" x14ac:dyDescent="0.25">
      <c r="A2029" s="162">
        <v>25477</v>
      </c>
      <c r="B2029" s="163">
        <v>6.81</v>
      </c>
      <c r="C2029" s="163"/>
      <c r="D2029" s="163"/>
      <c r="E2029" s="163"/>
      <c r="J2029" s="157">
        <v>36798</v>
      </c>
      <c r="K2029" s="158">
        <v>6.14</v>
      </c>
    </row>
    <row r="2030" spans="1:11" x14ac:dyDescent="0.25">
      <c r="A2030" s="162">
        <v>25478</v>
      </c>
      <c r="B2030" s="163">
        <v>6.75</v>
      </c>
      <c r="C2030" s="163"/>
      <c r="D2030" s="163"/>
      <c r="E2030" s="163"/>
      <c r="J2030" s="157">
        <v>36805</v>
      </c>
      <c r="K2030" s="158">
        <v>6.17</v>
      </c>
    </row>
    <row r="2031" spans="1:11" x14ac:dyDescent="0.25">
      <c r="A2031" s="162">
        <v>25479</v>
      </c>
      <c r="B2031" s="163">
        <v>6.68</v>
      </c>
      <c r="C2031" s="163"/>
      <c r="D2031" s="163"/>
      <c r="E2031" s="163"/>
      <c r="J2031" s="157">
        <v>36812</v>
      </c>
      <c r="K2031" s="158">
        <v>6.06</v>
      </c>
    </row>
    <row r="2032" spans="1:11" x14ac:dyDescent="0.25">
      <c r="A2032" s="162">
        <v>25482</v>
      </c>
      <c r="B2032" s="163">
        <v>6.62</v>
      </c>
      <c r="C2032" s="163"/>
      <c r="D2032" s="163"/>
      <c r="E2032" s="163"/>
      <c r="J2032" s="157">
        <v>36819</v>
      </c>
      <c r="K2032" s="158">
        <v>6</v>
      </c>
    </row>
    <row r="2033" spans="1:11" x14ac:dyDescent="0.25">
      <c r="A2033" s="162">
        <v>25483</v>
      </c>
      <c r="B2033" s="163">
        <v>6.54</v>
      </c>
      <c r="C2033" s="163"/>
      <c r="D2033" s="163"/>
      <c r="E2033" s="163"/>
      <c r="J2033" s="157">
        <v>36826</v>
      </c>
      <c r="K2033" s="158">
        <v>5.94</v>
      </c>
    </row>
    <row r="2034" spans="1:11" x14ac:dyDescent="0.25">
      <c r="A2034" s="162">
        <v>25484</v>
      </c>
      <c r="B2034" s="163">
        <v>6.53</v>
      </c>
      <c r="C2034" s="163"/>
      <c r="D2034" s="163"/>
      <c r="E2034" s="163"/>
      <c r="J2034" s="157">
        <v>36833</v>
      </c>
      <c r="K2034" s="158">
        <v>6.02</v>
      </c>
    </row>
    <row r="2035" spans="1:11" x14ac:dyDescent="0.25">
      <c r="A2035" s="162">
        <v>25485</v>
      </c>
      <c r="B2035" s="163">
        <v>6.54</v>
      </c>
      <c r="C2035" s="163"/>
      <c r="D2035" s="163"/>
      <c r="E2035" s="163"/>
      <c r="J2035" s="157">
        <v>36840</v>
      </c>
      <c r="K2035" s="158">
        <v>6.09</v>
      </c>
    </row>
    <row r="2036" spans="1:11" x14ac:dyDescent="0.25">
      <c r="A2036" s="162">
        <v>25486</v>
      </c>
      <c r="B2036" s="163">
        <v>6.48</v>
      </c>
      <c r="C2036" s="163"/>
      <c r="D2036" s="163"/>
      <c r="E2036" s="163"/>
      <c r="J2036" s="157">
        <v>36847</v>
      </c>
      <c r="K2036" s="158">
        <v>5.99</v>
      </c>
    </row>
    <row r="2037" spans="1:11" x14ac:dyDescent="0.25">
      <c r="A2037" s="162">
        <v>25489</v>
      </c>
      <c r="B2037" s="163" t="e">
        <f>NA()</f>
        <v>#N/A</v>
      </c>
      <c r="C2037" s="163"/>
      <c r="D2037" s="163"/>
      <c r="E2037" s="163"/>
      <c r="J2037" s="157">
        <v>36854</v>
      </c>
      <c r="K2037" s="158">
        <v>5.91</v>
      </c>
    </row>
    <row r="2038" spans="1:11" x14ac:dyDescent="0.25">
      <c r="A2038" s="162">
        <v>25490</v>
      </c>
      <c r="B2038" s="163">
        <v>6.38</v>
      </c>
      <c r="C2038" s="163"/>
      <c r="D2038" s="163"/>
      <c r="E2038" s="163"/>
      <c r="J2038" s="157">
        <v>36861</v>
      </c>
      <c r="K2038" s="158">
        <v>5.84</v>
      </c>
    </row>
    <row r="2039" spans="1:11" x14ac:dyDescent="0.25">
      <c r="A2039" s="162">
        <v>25491</v>
      </c>
      <c r="B2039" s="163">
        <v>6.42</v>
      </c>
      <c r="C2039" s="163"/>
      <c r="D2039" s="163"/>
      <c r="E2039" s="163"/>
      <c r="J2039" s="157">
        <v>36868</v>
      </c>
      <c r="K2039" s="158">
        <v>5.73</v>
      </c>
    </row>
    <row r="2040" spans="1:11" x14ac:dyDescent="0.25">
      <c r="A2040" s="162">
        <v>25492</v>
      </c>
      <c r="B2040" s="163">
        <v>6.38</v>
      </c>
      <c r="C2040" s="163"/>
      <c r="D2040" s="163"/>
      <c r="E2040" s="163"/>
      <c r="J2040" s="157">
        <v>36875</v>
      </c>
      <c r="K2040" s="158">
        <v>5.65</v>
      </c>
    </row>
    <row r="2041" spans="1:11" x14ac:dyDescent="0.25">
      <c r="A2041" s="162">
        <v>25493</v>
      </c>
      <c r="B2041" s="163">
        <v>6.35</v>
      </c>
      <c r="C2041" s="163"/>
      <c r="D2041" s="163"/>
      <c r="E2041" s="163"/>
      <c r="J2041" s="157">
        <v>36882</v>
      </c>
      <c r="K2041" s="158">
        <v>5.56</v>
      </c>
    </row>
    <row r="2042" spans="1:11" x14ac:dyDescent="0.25">
      <c r="A2042" s="162">
        <v>25496</v>
      </c>
      <c r="B2042" s="163">
        <v>6.24</v>
      </c>
      <c r="C2042" s="163"/>
      <c r="D2042" s="163"/>
      <c r="E2042" s="163"/>
      <c r="J2042" s="157">
        <v>36889</v>
      </c>
      <c r="K2042" s="158">
        <v>5.58</v>
      </c>
    </row>
    <row r="2043" spans="1:11" x14ac:dyDescent="0.25">
      <c r="A2043" s="162">
        <v>25497</v>
      </c>
      <c r="B2043" s="163">
        <v>6.21</v>
      </c>
      <c r="C2043" s="163"/>
      <c r="D2043" s="163"/>
      <c r="E2043" s="163"/>
      <c r="J2043" s="157">
        <v>36896</v>
      </c>
      <c r="K2043" s="158">
        <v>5.54</v>
      </c>
    </row>
    <row r="2044" spans="1:11" x14ac:dyDescent="0.25">
      <c r="A2044" s="162">
        <v>25498</v>
      </c>
      <c r="B2044" s="163">
        <v>6.26</v>
      </c>
      <c r="C2044" s="163"/>
      <c r="D2044" s="163"/>
      <c r="E2044" s="163"/>
      <c r="J2044" s="157">
        <v>36903</v>
      </c>
      <c r="K2044" s="158">
        <v>5.61</v>
      </c>
    </row>
    <row r="2045" spans="1:11" x14ac:dyDescent="0.25">
      <c r="A2045" s="162">
        <v>25499</v>
      </c>
      <c r="B2045" s="163">
        <v>6.38</v>
      </c>
      <c r="C2045" s="163"/>
      <c r="D2045" s="163"/>
      <c r="E2045" s="163"/>
      <c r="J2045" s="157">
        <v>36910</v>
      </c>
      <c r="K2045" s="158">
        <v>5.65</v>
      </c>
    </row>
    <row r="2046" spans="1:11" x14ac:dyDescent="0.25">
      <c r="A2046" s="162">
        <v>25500</v>
      </c>
      <c r="B2046" s="163">
        <v>6.42</v>
      </c>
      <c r="C2046" s="163"/>
      <c r="D2046" s="163"/>
      <c r="E2046" s="163"/>
      <c r="J2046" s="157">
        <v>36917</v>
      </c>
      <c r="K2046" s="158">
        <v>5.75</v>
      </c>
    </row>
    <row r="2047" spans="1:11" x14ac:dyDescent="0.25">
      <c r="A2047" s="162">
        <v>25503</v>
      </c>
      <c r="B2047" s="163">
        <v>6.48</v>
      </c>
      <c r="C2047" s="163"/>
      <c r="D2047" s="163"/>
      <c r="E2047" s="163"/>
      <c r="J2047" s="157">
        <v>36924</v>
      </c>
      <c r="K2047" s="158">
        <v>5.65</v>
      </c>
    </row>
    <row r="2048" spans="1:11" x14ac:dyDescent="0.25">
      <c r="A2048" s="162">
        <v>25504</v>
      </c>
      <c r="B2048" s="163">
        <v>6.61</v>
      </c>
      <c r="C2048" s="163"/>
      <c r="D2048" s="163"/>
      <c r="E2048" s="163"/>
      <c r="J2048" s="157">
        <v>36931</v>
      </c>
      <c r="K2048" s="158">
        <v>5.59</v>
      </c>
    </row>
    <row r="2049" spans="1:11" x14ac:dyDescent="0.25">
      <c r="A2049" s="162">
        <v>25505</v>
      </c>
      <c r="B2049" s="163">
        <v>6.62</v>
      </c>
      <c r="C2049" s="163"/>
      <c r="D2049" s="163"/>
      <c r="E2049" s="163"/>
      <c r="J2049" s="157">
        <v>36938</v>
      </c>
      <c r="K2049" s="158">
        <v>5.65</v>
      </c>
    </row>
    <row r="2050" spans="1:11" x14ac:dyDescent="0.25">
      <c r="A2050" s="162">
        <v>25506</v>
      </c>
      <c r="B2050" s="163">
        <v>6.6</v>
      </c>
      <c r="C2050" s="163"/>
      <c r="D2050" s="163"/>
      <c r="E2050" s="163"/>
      <c r="J2050" s="157">
        <v>36945</v>
      </c>
      <c r="K2050" s="158">
        <v>5.69</v>
      </c>
    </row>
    <row r="2051" spans="1:11" x14ac:dyDescent="0.25">
      <c r="A2051" s="162">
        <v>25507</v>
      </c>
      <c r="B2051" s="163">
        <v>6.58</v>
      </c>
      <c r="C2051" s="163"/>
      <c r="D2051" s="163"/>
      <c r="E2051" s="163"/>
      <c r="J2051" s="157">
        <v>36952</v>
      </c>
      <c r="K2051" s="158">
        <v>5.53</v>
      </c>
    </row>
    <row r="2052" spans="1:11" x14ac:dyDescent="0.25">
      <c r="A2052" s="162">
        <v>25510</v>
      </c>
      <c r="B2052" s="163">
        <v>6.52</v>
      </c>
      <c r="C2052" s="163"/>
      <c r="D2052" s="163"/>
      <c r="E2052" s="163"/>
      <c r="J2052" s="157">
        <v>36959</v>
      </c>
      <c r="K2052" s="158">
        <v>5.52</v>
      </c>
    </row>
    <row r="2053" spans="1:11" x14ac:dyDescent="0.25">
      <c r="A2053" s="162">
        <v>25511</v>
      </c>
      <c r="B2053" s="163" t="e">
        <f>NA()</f>
        <v>#N/A</v>
      </c>
      <c r="C2053" s="163"/>
      <c r="D2053" s="163"/>
      <c r="E2053" s="163"/>
      <c r="J2053" s="157">
        <v>36966</v>
      </c>
      <c r="K2053" s="158">
        <v>5.45</v>
      </c>
    </row>
    <row r="2054" spans="1:11" x14ac:dyDescent="0.25">
      <c r="A2054" s="162">
        <v>25512</v>
      </c>
      <c r="B2054" s="163">
        <v>6.62</v>
      </c>
      <c r="C2054" s="163"/>
      <c r="D2054" s="163"/>
      <c r="E2054" s="163"/>
      <c r="J2054" s="157">
        <v>36973</v>
      </c>
      <c r="K2054" s="158">
        <v>5.42</v>
      </c>
    </row>
    <row r="2055" spans="1:11" x14ac:dyDescent="0.25">
      <c r="A2055" s="162">
        <v>25513</v>
      </c>
      <c r="B2055" s="163">
        <v>6.65</v>
      </c>
      <c r="C2055" s="163"/>
      <c r="D2055" s="163"/>
      <c r="E2055" s="163"/>
      <c r="J2055" s="157">
        <v>36980</v>
      </c>
      <c r="K2055" s="158">
        <v>5.59</v>
      </c>
    </row>
    <row r="2056" spans="1:11" x14ac:dyDescent="0.25">
      <c r="A2056" s="162">
        <v>25514</v>
      </c>
      <c r="B2056" s="163">
        <v>6.64</v>
      </c>
      <c r="C2056" s="163"/>
      <c r="D2056" s="163"/>
      <c r="E2056" s="163"/>
      <c r="J2056" s="157">
        <v>36987</v>
      </c>
      <c r="K2056" s="158">
        <v>5.62</v>
      </c>
    </row>
    <row r="2057" spans="1:11" x14ac:dyDescent="0.25">
      <c r="A2057" s="162">
        <v>25517</v>
      </c>
      <c r="B2057" s="163">
        <v>6.65</v>
      </c>
      <c r="C2057" s="163"/>
      <c r="D2057" s="163"/>
      <c r="E2057" s="163"/>
      <c r="J2057" s="157">
        <v>36994</v>
      </c>
      <c r="K2057" s="158">
        <v>5.72</v>
      </c>
    </row>
    <row r="2058" spans="1:11" x14ac:dyDescent="0.25">
      <c r="A2058" s="162">
        <v>25518</v>
      </c>
      <c r="B2058" s="163" t="e">
        <f>NA()</f>
        <v>#N/A</v>
      </c>
      <c r="C2058" s="163"/>
      <c r="D2058" s="163"/>
      <c r="E2058" s="163"/>
      <c r="J2058" s="157">
        <v>37001</v>
      </c>
      <c r="K2058" s="158">
        <v>5.86</v>
      </c>
    </row>
    <row r="2059" spans="1:11" x14ac:dyDescent="0.25">
      <c r="A2059" s="162">
        <v>25519</v>
      </c>
      <c r="B2059" s="163">
        <v>6.71</v>
      </c>
      <c r="C2059" s="163"/>
      <c r="D2059" s="163"/>
      <c r="E2059" s="163"/>
      <c r="J2059" s="157">
        <v>37008</v>
      </c>
      <c r="K2059" s="158">
        <v>5.88</v>
      </c>
    </row>
    <row r="2060" spans="1:11" x14ac:dyDescent="0.25">
      <c r="A2060" s="162">
        <v>25520</v>
      </c>
      <c r="B2060" s="163">
        <v>6.74</v>
      </c>
      <c r="C2060" s="163"/>
      <c r="D2060" s="163"/>
      <c r="E2060" s="163"/>
      <c r="J2060" s="157">
        <v>37015</v>
      </c>
      <c r="K2060" s="158">
        <v>5.83</v>
      </c>
    </row>
    <row r="2061" spans="1:11" x14ac:dyDescent="0.25">
      <c r="A2061" s="162">
        <v>25521</v>
      </c>
      <c r="B2061" s="163">
        <v>6.73</v>
      </c>
      <c r="C2061" s="163"/>
      <c r="D2061" s="163"/>
      <c r="E2061" s="163"/>
      <c r="J2061" s="157">
        <v>37022</v>
      </c>
      <c r="K2061" s="158">
        <v>5.85</v>
      </c>
    </row>
    <row r="2062" spans="1:11" x14ac:dyDescent="0.25">
      <c r="A2062" s="162">
        <v>25524</v>
      </c>
      <c r="B2062" s="163">
        <v>6.76</v>
      </c>
      <c r="C2062" s="163"/>
      <c r="D2062" s="163"/>
      <c r="E2062" s="163"/>
      <c r="J2062" s="157">
        <v>37029</v>
      </c>
      <c r="K2062" s="158">
        <v>5.98</v>
      </c>
    </row>
    <row r="2063" spans="1:11" x14ac:dyDescent="0.25">
      <c r="A2063" s="162">
        <v>25525</v>
      </c>
      <c r="B2063" s="163">
        <v>6.82</v>
      </c>
      <c r="C2063" s="163"/>
      <c r="D2063" s="163"/>
      <c r="E2063" s="163"/>
      <c r="J2063" s="157">
        <v>37036</v>
      </c>
      <c r="K2063" s="158">
        <v>5.98</v>
      </c>
    </row>
    <row r="2064" spans="1:11" x14ac:dyDescent="0.25">
      <c r="A2064" s="162">
        <v>25526</v>
      </c>
      <c r="B2064" s="163">
        <v>6.86</v>
      </c>
      <c r="C2064" s="163"/>
      <c r="D2064" s="163"/>
      <c r="E2064" s="163"/>
      <c r="J2064" s="157">
        <v>37043</v>
      </c>
      <c r="K2064" s="158">
        <v>5.98</v>
      </c>
    </row>
    <row r="2065" spans="1:11" x14ac:dyDescent="0.25">
      <c r="A2065" s="162">
        <v>25527</v>
      </c>
      <c r="B2065" s="163">
        <v>6.89</v>
      </c>
      <c r="C2065" s="163"/>
      <c r="D2065" s="163"/>
      <c r="E2065" s="163"/>
      <c r="J2065" s="157">
        <v>37050</v>
      </c>
      <c r="K2065" s="158">
        <v>5.87</v>
      </c>
    </row>
    <row r="2066" spans="1:11" x14ac:dyDescent="0.25">
      <c r="A2066" s="162">
        <v>25528</v>
      </c>
      <c r="B2066" s="163">
        <v>6.85</v>
      </c>
      <c r="C2066" s="163"/>
      <c r="D2066" s="163"/>
      <c r="E2066" s="163"/>
      <c r="J2066" s="157">
        <v>37057</v>
      </c>
      <c r="K2066" s="158">
        <v>5.82</v>
      </c>
    </row>
    <row r="2067" spans="1:11" x14ac:dyDescent="0.25">
      <c r="A2067" s="162">
        <v>25531</v>
      </c>
      <c r="B2067" s="163">
        <v>6.8</v>
      </c>
      <c r="C2067" s="163"/>
      <c r="D2067" s="163"/>
      <c r="E2067" s="163"/>
      <c r="J2067" s="157">
        <v>37064</v>
      </c>
      <c r="K2067" s="158">
        <v>5.79</v>
      </c>
    </row>
    <row r="2068" spans="1:11" x14ac:dyDescent="0.25">
      <c r="A2068" s="162">
        <v>25532</v>
      </c>
      <c r="B2068" s="163">
        <v>6.79</v>
      </c>
      <c r="C2068" s="163"/>
      <c r="D2068" s="163"/>
      <c r="E2068" s="163"/>
      <c r="J2068" s="157">
        <v>37071</v>
      </c>
      <c r="K2068" s="158">
        <v>5.81</v>
      </c>
    </row>
    <row r="2069" spans="1:11" x14ac:dyDescent="0.25">
      <c r="A2069" s="162">
        <v>25533</v>
      </c>
      <c r="B2069" s="163">
        <v>6.81</v>
      </c>
      <c r="C2069" s="163"/>
      <c r="D2069" s="163"/>
      <c r="E2069" s="163"/>
      <c r="J2069" s="157">
        <v>37078</v>
      </c>
      <c r="K2069" s="158">
        <v>5.91</v>
      </c>
    </row>
    <row r="2070" spans="1:11" x14ac:dyDescent="0.25">
      <c r="A2070" s="162">
        <v>25534</v>
      </c>
      <c r="B2070" s="163" t="e">
        <f>NA()</f>
        <v>#N/A</v>
      </c>
      <c r="C2070" s="163"/>
      <c r="D2070" s="163"/>
      <c r="E2070" s="163"/>
      <c r="J2070" s="157">
        <v>37085</v>
      </c>
      <c r="K2070" s="158">
        <v>5.83</v>
      </c>
    </row>
    <row r="2071" spans="1:11" x14ac:dyDescent="0.25">
      <c r="A2071" s="162">
        <v>25535</v>
      </c>
      <c r="B2071" s="163">
        <v>6.8</v>
      </c>
      <c r="C2071" s="163"/>
      <c r="D2071" s="163"/>
      <c r="E2071" s="163"/>
      <c r="J2071" s="157">
        <v>37092</v>
      </c>
      <c r="K2071" s="158">
        <v>5.69</v>
      </c>
    </row>
    <row r="2072" spans="1:11" x14ac:dyDescent="0.25">
      <c r="A2072" s="162">
        <v>25538</v>
      </c>
      <c r="B2072" s="163">
        <v>6.81</v>
      </c>
      <c r="C2072" s="163"/>
      <c r="D2072" s="163"/>
      <c r="E2072" s="163"/>
      <c r="J2072" s="157">
        <v>37099</v>
      </c>
      <c r="K2072" s="158">
        <v>5.67</v>
      </c>
    </row>
    <row r="2073" spans="1:11" x14ac:dyDescent="0.25">
      <c r="A2073" s="162">
        <v>25539</v>
      </c>
      <c r="B2073" s="163">
        <v>6.87</v>
      </c>
      <c r="C2073" s="163"/>
      <c r="D2073" s="163"/>
      <c r="E2073" s="163"/>
      <c r="J2073" s="157">
        <v>37106</v>
      </c>
      <c r="K2073" s="158">
        <v>5.65</v>
      </c>
    </row>
    <row r="2074" spans="1:11" x14ac:dyDescent="0.25">
      <c r="A2074" s="162">
        <v>25540</v>
      </c>
      <c r="B2074" s="164">
        <v>6.86</v>
      </c>
      <c r="C2074" s="164"/>
      <c r="D2074" s="164"/>
      <c r="E2074" s="164"/>
      <c r="J2074" s="157">
        <v>37113</v>
      </c>
      <c r="K2074" s="158">
        <v>5.65</v>
      </c>
    </row>
    <row r="2075" spans="1:11" x14ac:dyDescent="0.25">
      <c r="A2075" s="162">
        <v>25541</v>
      </c>
      <c r="B2075" s="163">
        <v>6.76</v>
      </c>
      <c r="C2075" s="163"/>
      <c r="D2075" s="163"/>
      <c r="E2075" s="163"/>
      <c r="J2075" s="157">
        <v>37120</v>
      </c>
      <c r="K2075" s="158">
        <v>5.58</v>
      </c>
    </row>
    <row r="2076" spans="1:11" x14ac:dyDescent="0.25">
      <c r="A2076" s="162">
        <v>25542</v>
      </c>
      <c r="B2076" s="163">
        <v>6.74</v>
      </c>
      <c r="C2076" s="163"/>
      <c r="D2076" s="163"/>
      <c r="E2076" s="163"/>
      <c r="J2076" s="157">
        <v>37127</v>
      </c>
      <c r="K2076" s="158">
        <v>5.53</v>
      </c>
    </row>
    <row r="2077" spans="1:11" x14ac:dyDescent="0.25">
      <c r="A2077" s="162">
        <v>25545</v>
      </c>
      <c r="B2077" s="163">
        <v>6.77</v>
      </c>
      <c r="C2077" s="163"/>
      <c r="D2077" s="163"/>
      <c r="E2077" s="163"/>
      <c r="J2077" s="157">
        <v>37134</v>
      </c>
      <c r="K2077" s="158">
        <v>5.48</v>
      </c>
    </row>
    <row r="2078" spans="1:11" x14ac:dyDescent="0.25">
      <c r="A2078" s="162">
        <v>25546</v>
      </c>
      <c r="B2078" s="163">
        <v>6.84</v>
      </c>
      <c r="C2078" s="163"/>
      <c r="D2078" s="163"/>
      <c r="E2078" s="163"/>
      <c r="J2078" s="157">
        <v>37141</v>
      </c>
      <c r="K2078" s="158">
        <v>5.53</v>
      </c>
    </row>
    <row r="2079" spans="1:11" x14ac:dyDescent="0.25">
      <c r="A2079" s="162">
        <v>25547</v>
      </c>
      <c r="B2079" s="163">
        <v>6.88</v>
      </c>
      <c r="C2079" s="163"/>
      <c r="D2079" s="163"/>
      <c r="E2079" s="163"/>
      <c r="J2079" s="157">
        <v>37148</v>
      </c>
      <c r="K2079" s="158">
        <v>5.43</v>
      </c>
    </row>
    <row r="2080" spans="1:11" x14ac:dyDescent="0.25">
      <c r="A2080" s="162">
        <v>25548</v>
      </c>
      <c r="B2080" s="163">
        <v>6.9</v>
      </c>
      <c r="C2080" s="163"/>
      <c r="D2080" s="163"/>
      <c r="E2080" s="163"/>
      <c r="J2080" s="157">
        <v>37155</v>
      </c>
      <c r="K2080" s="158">
        <v>5.58</v>
      </c>
    </row>
    <row r="2081" spans="1:11" x14ac:dyDescent="0.25">
      <c r="A2081" s="162">
        <v>25549</v>
      </c>
      <c r="B2081" s="163">
        <v>6.88</v>
      </c>
      <c r="C2081" s="163"/>
      <c r="D2081" s="163"/>
      <c r="E2081" s="163"/>
      <c r="J2081" s="157">
        <v>37162</v>
      </c>
      <c r="K2081" s="158">
        <v>5.53</v>
      </c>
    </row>
    <row r="2082" spans="1:11" x14ac:dyDescent="0.25">
      <c r="A2082" s="162">
        <v>25552</v>
      </c>
      <c r="B2082" s="163">
        <v>6.88</v>
      </c>
      <c r="C2082" s="163"/>
      <c r="D2082" s="163"/>
      <c r="E2082" s="163"/>
      <c r="J2082" s="157">
        <v>37169</v>
      </c>
      <c r="K2082" s="158">
        <v>5.35</v>
      </c>
    </row>
    <row r="2083" spans="1:11" x14ac:dyDescent="0.25">
      <c r="A2083" s="162">
        <v>25553</v>
      </c>
      <c r="B2083" s="163">
        <v>6.92</v>
      </c>
      <c r="C2083" s="163"/>
      <c r="D2083" s="163"/>
      <c r="E2083" s="163"/>
      <c r="J2083" s="157">
        <v>37176</v>
      </c>
      <c r="K2083" s="158">
        <v>5.43</v>
      </c>
    </row>
    <row r="2084" spans="1:11" x14ac:dyDescent="0.25">
      <c r="A2084" s="162">
        <v>25554</v>
      </c>
      <c r="B2084" s="163">
        <v>6.94</v>
      </c>
      <c r="C2084" s="163"/>
      <c r="D2084" s="163"/>
      <c r="E2084" s="163"/>
      <c r="J2084" s="157">
        <v>37183</v>
      </c>
      <c r="K2084" s="158">
        <v>5.37</v>
      </c>
    </row>
    <row r="2085" spans="1:11" x14ac:dyDescent="0.25">
      <c r="A2085" s="162">
        <v>25555</v>
      </c>
      <c r="B2085" s="163">
        <v>6.96</v>
      </c>
      <c r="C2085" s="163"/>
      <c r="D2085" s="163"/>
      <c r="E2085" s="163"/>
      <c r="J2085" s="157">
        <v>37190</v>
      </c>
      <c r="K2085" s="158">
        <v>5.33</v>
      </c>
    </row>
    <row r="2086" spans="1:11" x14ac:dyDescent="0.25">
      <c r="A2086" s="162">
        <v>25556</v>
      </c>
      <c r="B2086" s="163">
        <v>6.93</v>
      </c>
      <c r="C2086" s="163"/>
      <c r="D2086" s="163"/>
      <c r="E2086" s="163"/>
      <c r="J2086" s="157">
        <v>37197</v>
      </c>
      <c r="K2086" s="158">
        <v>5.13</v>
      </c>
    </row>
    <row r="2087" spans="1:11" x14ac:dyDescent="0.25">
      <c r="A2087" s="162">
        <v>25559</v>
      </c>
      <c r="B2087" s="163">
        <v>6.92</v>
      </c>
      <c r="C2087" s="163"/>
      <c r="D2087" s="163"/>
      <c r="E2087" s="163"/>
      <c r="J2087" s="157">
        <v>37204</v>
      </c>
      <c r="K2087" s="158">
        <v>5.03</v>
      </c>
    </row>
    <row r="2088" spans="1:11" x14ac:dyDescent="0.25">
      <c r="A2088" s="162">
        <v>25560</v>
      </c>
      <c r="B2088" s="163">
        <v>6.95</v>
      </c>
      <c r="C2088" s="163"/>
      <c r="D2088" s="163"/>
      <c r="E2088" s="163"/>
      <c r="J2088" s="157">
        <v>37211</v>
      </c>
      <c r="K2088" s="158">
        <v>5.31</v>
      </c>
    </row>
    <row r="2089" spans="1:11" x14ac:dyDescent="0.25">
      <c r="A2089" s="162">
        <v>25561</v>
      </c>
      <c r="B2089" s="163">
        <v>6.99</v>
      </c>
      <c r="C2089" s="163"/>
      <c r="D2089" s="163"/>
      <c r="E2089" s="163"/>
      <c r="J2089" s="157">
        <v>37218</v>
      </c>
      <c r="K2089" s="158">
        <v>5.54</v>
      </c>
    </row>
    <row r="2090" spans="1:11" x14ac:dyDescent="0.25">
      <c r="A2090" s="162">
        <v>25562</v>
      </c>
      <c r="B2090" s="163" t="e">
        <f>NA()</f>
        <v>#N/A</v>
      </c>
      <c r="C2090" s="163"/>
      <c r="D2090" s="163"/>
      <c r="E2090" s="163"/>
      <c r="J2090" s="157">
        <v>37225</v>
      </c>
      <c r="K2090" s="158">
        <v>5.6</v>
      </c>
    </row>
    <row r="2091" spans="1:11" x14ac:dyDescent="0.25">
      <c r="A2091" s="162">
        <v>25563</v>
      </c>
      <c r="B2091" s="163">
        <v>7.02</v>
      </c>
      <c r="C2091" s="163"/>
      <c r="D2091" s="163"/>
      <c r="E2091" s="163"/>
      <c r="J2091" s="157">
        <v>37232</v>
      </c>
      <c r="K2091" s="158">
        <v>5.63</v>
      </c>
    </row>
    <row r="2092" spans="1:11" x14ac:dyDescent="0.25">
      <c r="A2092" s="162">
        <v>25566</v>
      </c>
      <c r="B2092" s="163">
        <v>7.14</v>
      </c>
      <c r="C2092" s="163"/>
      <c r="D2092" s="163"/>
      <c r="E2092" s="163"/>
      <c r="J2092" s="157">
        <v>37239</v>
      </c>
      <c r="K2092" s="158">
        <v>5.83</v>
      </c>
    </row>
    <row r="2093" spans="1:11" x14ac:dyDescent="0.25">
      <c r="A2093" s="162">
        <v>25567</v>
      </c>
      <c r="B2093" s="163">
        <v>7.04</v>
      </c>
      <c r="C2093" s="163"/>
      <c r="D2093" s="163"/>
      <c r="E2093" s="163"/>
      <c r="J2093" s="157">
        <v>37246</v>
      </c>
      <c r="K2093" s="158">
        <v>5.79</v>
      </c>
    </row>
    <row r="2094" spans="1:11" x14ac:dyDescent="0.25">
      <c r="A2094" s="162">
        <v>25568</v>
      </c>
      <c r="B2094" s="163">
        <v>6.94</v>
      </c>
      <c r="C2094" s="163"/>
      <c r="D2094" s="163"/>
      <c r="E2094" s="163"/>
      <c r="J2094" s="157">
        <v>37253</v>
      </c>
      <c r="K2094" s="158">
        <v>5.81</v>
      </c>
    </row>
    <row r="2095" spans="1:11" x14ac:dyDescent="0.25">
      <c r="A2095" s="162">
        <v>25569</v>
      </c>
      <c r="B2095" s="163" t="e">
        <f>NA()</f>
        <v>#N/A</v>
      </c>
      <c r="C2095" s="163"/>
      <c r="D2095" s="163"/>
      <c r="E2095" s="163"/>
      <c r="J2095" s="157">
        <v>37260</v>
      </c>
      <c r="K2095" s="158">
        <v>5.83</v>
      </c>
    </row>
    <row r="2096" spans="1:11" x14ac:dyDescent="0.25">
      <c r="A2096" s="162">
        <v>25570</v>
      </c>
      <c r="B2096" s="163">
        <v>6.88</v>
      </c>
      <c r="C2096" s="163"/>
      <c r="D2096" s="163"/>
      <c r="E2096" s="163"/>
      <c r="J2096" s="157">
        <v>37267</v>
      </c>
      <c r="K2096" s="158">
        <v>5.71</v>
      </c>
    </row>
    <row r="2097" spans="1:11" x14ac:dyDescent="0.25">
      <c r="A2097" s="162">
        <v>25573</v>
      </c>
      <c r="B2097" s="163">
        <v>6.9</v>
      </c>
      <c r="C2097" s="163"/>
      <c r="D2097" s="163"/>
      <c r="E2097" s="163"/>
      <c r="J2097" s="157">
        <v>37274</v>
      </c>
      <c r="K2097" s="158">
        <v>5.6</v>
      </c>
    </row>
    <row r="2098" spans="1:11" x14ac:dyDescent="0.25">
      <c r="A2098" s="162">
        <v>25574</v>
      </c>
      <c r="B2098" s="163">
        <v>6.96</v>
      </c>
      <c r="C2098" s="163"/>
      <c r="D2098" s="163"/>
      <c r="E2098" s="163"/>
      <c r="J2098" s="157">
        <v>37281</v>
      </c>
      <c r="K2098" s="158">
        <v>5.7</v>
      </c>
    </row>
    <row r="2099" spans="1:11" x14ac:dyDescent="0.25">
      <c r="A2099" s="162">
        <v>25575</v>
      </c>
      <c r="B2099" s="163">
        <v>6.98</v>
      </c>
      <c r="C2099" s="163"/>
      <c r="D2099" s="163"/>
      <c r="E2099" s="163"/>
      <c r="J2099" s="157">
        <v>37288</v>
      </c>
      <c r="K2099" s="158">
        <v>5.66</v>
      </c>
    </row>
    <row r="2100" spans="1:11" x14ac:dyDescent="0.25">
      <c r="A2100" s="162">
        <v>25576</v>
      </c>
      <c r="B2100" s="163">
        <v>6.93</v>
      </c>
      <c r="C2100" s="163"/>
      <c r="D2100" s="163"/>
      <c r="E2100" s="163"/>
      <c r="J2100" s="157">
        <v>37295</v>
      </c>
      <c r="K2100" s="158">
        <v>5.6</v>
      </c>
    </row>
    <row r="2101" spans="1:11" x14ac:dyDescent="0.25">
      <c r="A2101" s="162">
        <v>25577</v>
      </c>
      <c r="B2101" s="164">
        <v>6.85</v>
      </c>
      <c r="C2101" s="164"/>
      <c r="D2101" s="164"/>
      <c r="E2101" s="164"/>
      <c r="J2101" s="157">
        <v>37302</v>
      </c>
      <c r="K2101" s="158">
        <v>5.65</v>
      </c>
    </row>
    <row r="2102" spans="1:11" x14ac:dyDescent="0.25">
      <c r="A2102" s="162">
        <v>25580</v>
      </c>
      <c r="B2102" s="163">
        <v>6.84</v>
      </c>
      <c r="C2102" s="163"/>
      <c r="D2102" s="163"/>
      <c r="E2102" s="163"/>
      <c r="J2102" s="157">
        <v>37309</v>
      </c>
      <c r="K2102" s="158">
        <v>5.59</v>
      </c>
    </row>
    <row r="2103" spans="1:11" x14ac:dyDescent="0.25">
      <c r="A2103" s="162">
        <v>25581</v>
      </c>
      <c r="B2103" s="163">
        <v>6.88</v>
      </c>
      <c r="C2103" s="163"/>
      <c r="D2103" s="163"/>
      <c r="E2103" s="163"/>
      <c r="J2103" s="157">
        <v>37316</v>
      </c>
      <c r="K2103" s="158">
        <v>5.61</v>
      </c>
    </row>
    <row r="2104" spans="1:11" x14ac:dyDescent="0.25">
      <c r="A2104" s="162">
        <v>25582</v>
      </c>
      <c r="B2104" s="163">
        <v>6.96</v>
      </c>
      <c r="C2104" s="163"/>
      <c r="D2104" s="163"/>
      <c r="E2104" s="163"/>
      <c r="J2104" s="157">
        <v>37323</v>
      </c>
      <c r="K2104" s="158">
        <v>5.8</v>
      </c>
    </row>
    <row r="2105" spans="1:11" x14ac:dyDescent="0.25">
      <c r="A2105" s="162">
        <v>25583</v>
      </c>
      <c r="B2105" s="163">
        <v>6.95</v>
      </c>
      <c r="C2105" s="163"/>
      <c r="D2105" s="163"/>
      <c r="E2105" s="163"/>
      <c r="J2105" s="157">
        <v>37330</v>
      </c>
      <c r="K2105" s="158">
        <v>5.98</v>
      </c>
    </row>
    <row r="2106" spans="1:11" x14ac:dyDescent="0.25">
      <c r="A2106" s="162">
        <v>25584</v>
      </c>
      <c r="B2106" s="163">
        <v>6.9</v>
      </c>
      <c r="C2106" s="163"/>
      <c r="D2106" s="163"/>
      <c r="E2106" s="163"/>
      <c r="J2106" s="157">
        <v>37337</v>
      </c>
      <c r="K2106" s="158">
        <v>6</v>
      </c>
    </row>
    <row r="2107" spans="1:11" x14ac:dyDescent="0.25">
      <c r="A2107" s="162">
        <v>25587</v>
      </c>
      <c r="B2107" s="163">
        <v>6.88</v>
      </c>
      <c r="C2107" s="163"/>
      <c r="D2107" s="163"/>
      <c r="E2107" s="163"/>
      <c r="J2107" s="157">
        <v>37344</v>
      </c>
      <c r="K2107" s="158">
        <v>6</v>
      </c>
    </row>
    <row r="2108" spans="1:11" x14ac:dyDescent="0.25">
      <c r="A2108" s="162">
        <v>25588</v>
      </c>
      <c r="B2108" s="163">
        <v>6.92</v>
      </c>
      <c r="C2108" s="163"/>
      <c r="D2108" s="163"/>
      <c r="E2108" s="163"/>
      <c r="J2108" s="157">
        <v>37351</v>
      </c>
      <c r="K2108" s="158">
        <v>5.93</v>
      </c>
    </row>
    <row r="2109" spans="1:11" x14ac:dyDescent="0.25">
      <c r="A2109" s="162">
        <v>25589</v>
      </c>
      <c r="B2109" s="163">
        <v>6.92</v>
      </c>
      <c r="C2109" s="163"/>
      <c r="D2109" s="163"/>
      <c r="E2109" s="163"/>
      <c r="J2109" s="157">
        <v>37358</v>
      </c>
      <c r="K2109" s="158">
        <v>5.85</v>
      </c>
    </row>
    <row r="2110" spans="1:11" x14ac:dyDescent="0.25">
      <c r="A2110" s="162">
        <v>25590</v>
      </c>
      <c r="B2110" s="163">
        <v>6.93</v>
      </c>
      <c r="C2110" s="163"/>
      <c r="D2110" s="163"/>
      <c r="E2110" s="163"/>
      <c r="J2110" s="157">
        <v>37365</v>
      </c>
      <c r="K2110" s="158">
        <v>5.85</v>
      </c>
    </row>
    <row r="2111" spans="1:11" x14ac:dyDescent="0.25">
      <c r="A2111" s="162">
        <v>25591</v>
      </c>
      <c r="B2111" s="163">
        <v>6.95</v>
      </c>
      <c r="C2111" s="163"/>
      <c r="D2111" s="163"/>
      <c r="E2111" s="163"/>
      <c r="J2111" s="157">
        <v>37372</v>
      </c>
      <c r="K2111" s="158">
        <v>5.79</v>
      </c>
    </row>
    <row r="2112" spans="1:11" x14ac:dyDescent="0.25">
      <c r="A2112" s="162">
        <v>25594</v>
      </c>
      <c r="B2112" s="163">
        <v>6.95</v>
      </c>
      <c r="C2112" s="163"/>
      <c r="D2112" s="163"/>
      <c r="E2112" s="163"/>
      <c r="J2112" s="157">
        <v>37379</v>
      </c>
      <c r="K2112" s="158">
        <v>5.73</v>
      </c>
    </row>
    <row r="2113" spans="1:11" x14ac:dyDescent="0.25">
      <c r="A2113" s="162">
        <v>25595</v>
      </c>
      <c r="B2113" s="163">
        <v>6.92</v>
      </c>
      <c r="C2113" s="163"/>
      <c r="D2113" s="163"/>
      <c r="E2113" s="163"/>
      <c r="J2113" s="157">
        <v>37386</v>
      </c>
      <c r="K2113" s="158">
        <v>5.77</v>
      </c>
    </row>
    <row r="2114" spans="1:11" x14ac:dyDescent="0.25">
      <c r="A2114" s="162">
        <v>25596</v>
      </c>
      <c r="B2114" s="163">
        <v>6.93</v>
      </c>
      <c r="C2114" s="163"/>
      <c r="D2114" s="163"/>
      <c r="E2114" s="163"/>
      <c r="J2114" s="157">
        <v>37393</v>
      </c>
      <c r="K2114" s="158">
        <v>5.91</v>
      </c>
    </row>
    <row r="2115" spans="1:11" x14ac:dyDescent="0.25">
      <c r="A2115" s="162">
        <v>25597</v>
      </c>
      <c r="B2115" s="163">
        <v>6.94</v>
      </c>
      <c r="C2115" s="163"/>
      <c r="D2115" s="163"/>
      <c r="E2115" s="163"/>
      <c r="J2115" s="157">
        <v>37400</v>
      </c>
      <c r="K2115" s="158">
        <v>5.84</v>
      </c>
    </row>
    <row r="2116" spans="1:11" x14ac:dyDescent="0.25">
      <c r="A2116" s="162">
        <v>25598</v>
      </c>
      <c r="B2116" s="163">
        <v>6.96</v>
      </c>
      <c r="C2116" s="163"/>
      <c r="D2116" s="163"/>
      <c r="E2116" s="163"/>
      <c r="J2116" s="157">
        <v>37407</v>
      </c>
      <c r="K2116" s="158">
        <v>5.78</v>
      </c>
    </row>
    <row r="2117" spans="1:11" x14ac:dyDescent="0.25">
      <c r="A2117" s="162">
        <v>25601</v>
      </c>
      <c r="B2117" s="163">
        <v>6.92</v>
      </c>
      <c r="C2117" s="163"/>
      <c r="D2117" s="163"/>
      <c r="E2117" s="163"/>
      <c r="J2117" s="157">
        <v>37414</v>
      </c>
      <c r="K2117" s="158">
        <v>5.77</v>
      </c>
    </row>
    <row r="2118" spans="1:11" x14ac:dyDescent="0.25">
      <c r="A2118" s="162">
        <v>25602</v>
      </c>
      <c r="B2118" s="163">
        <v>6.9</v>
      </c>
      <c r="C2118" s="163"/>
      <c r="D2118" s="163"/>
      <c r="E2118" s="163"/>
      <c r="J2118" s="157">
        <v>37421</v>
      </c>
      <c r="K2118" s="158">
        <v>5.67</v>
      </c>
    </row>
    <row r="2119" spans="1:11" x14ac:dyDescent="0.25">
      <c r="A2119" s="162">
        <v>25603</v>
      </c>
      <c r="B2119" s="163">
        <v>6.85</v>
      </c>
      <c r="C2119" s="163"/>
      <c r="D2119" s="163"/>
      <c r="E2119" s="163"/>
      <c r="J2119" s="157">
        <v>37428</v>
      </c>
      <c r="K2119" s="158">
        <v>5.57</v>
      </c>
    </row>
    <row r="2120" spans="1:11" x14ac:dyDescent="0.25">
      <c r="A2120" s="162">
        <v>25604</v>
      </c>
      <c r="B2120" s="163">
        <v>6.81</v>
      </c>
      <c r="C2120" s="163"/>
      <c r="D2120" s="163"/>
      <c r="E2120" s="163"/>
      <c r="J2120" s="157">
        <v>37435</v>
      </c>
      <c r="K2120" s="158">
        <v>5.61</v>
      </c>
    </row>
    <row r="2121" spans="1:11" x14ac:dyDescent="0.25">
      <c r="A2121" s="162">
        <v>25605</v>
      </c>
      <c r="B2121" s="163">
        <v>6.74</v>
      </c>
      <c r="C2121" s="163"/>
      <c r="D2121" s="163"/>
      <c r="E2121" s="163"/>
      <c r="J2121" s="157">
        <v>37442</v>
      </c>
      <c r="K2121" s="158">
        <v>5.61</v>
      </c>
    </row>
    <row r="2122" spans="1:11" x14ac:dyDescent="0.25">
      <c r="A2122" s="162">
        <v>25608</v>
      </c>
      <c r="B2122" s="163">
        <v>6.65</v>
      </c>
      <c r="C2122" s="163"/>
      <c r="D2122" s="163"/>
      <c r="E2122" s="163"/>
      <c r="J2122" s="157">
        <v>37449</v>
      </c>
      <c r="K2122" s="158">
        <v>5.52</v>
      </c>
    </row>
    <row r="2123" spans="1:11" x14ac:dyDescent="0.25">
      <c r="A2123" s="162">
        <v>25609</v>
      </c>
      <c r="B2123" s="163">
        <v>6.69</v>
      </c>
      <c r="C2123" s="163"/>
      <c r="D2123" s="163"/>
      <c r="E2123" s="163"/>
      <c r="J2123" s="157">
        <v>37456</v>
      </c>
      <c r="K2123" s="158">
        <v>5.52</v>
      </c>
    </row>
    <row r="2124" spans="1:11" x14ac:dyDescent="0.25">
      <c r="A2124" s="162">
        <v>25610</v>
      </c>
      <c r="B2124" s="163">
        <v>6.7</v>
      </c>
      <c r="C2124" s="163"/>
      <c r="D2124" s="163"/>
      <c r="E2124" s="163"/>
      <c r="J2124" s="157">
        <v>37463</v>
      </c>
      <c r="K2124" s="158">
        <v>5.4</v>
      </c>
    </row>
    <row r="2125" spans="1:11" x14ac:dyDescent="0.25">
      <c r="A2125" s="162">
        <v>25611</v>
      </c>
      <c r="B2125" s="163" t="e">
        <f>NA()</f>
        <v>#N/A</v>
      </c>
      <c r="C2125" s="163"/>
      <c r="D2125" s="163"/>
      <c r="E2125" s="163"/>
      <c r="J2125" s="157">
        <v>37470</v>
      </c>
      <c r="K2125" s="158">
        <v>5.44</v>
      </c>
    </row>
    <row r="2126" spans="1:11" x14ac:dyDescent="0.25">
      <c r="A2126" s="162">
        <v>25612</v>
      </c>
      <c r="B2126" s="163">
        <v>6.56</v>
      </c>
      <c r="C2126" s="163"/>
      <c r="D2126" s="163"/>
      <c r="E2126" s="163"/>
      <c r="J2126" s="157">
        <v>37477</v>
      </c>
      <c r="K2126" s="158">
        <v>5.3</v>
      </c>
    </row>
    <row r="2127" spans="1:11" x14ac:dyDescent="0.25">
      <c r="A2127" s="162">
        <v>25615</v>
      </c>
      <c r="B2127" s="163">
        <v>6.58</v>
      </c>
      <c r="C2127" s="163"/>
      <c r="D2127" s="163"/>
      <c r="E2127" s="163"/>
      <c r="J2127" s="157">
        <v>37484</v>
      </c>
      <c r="K2127" s="158">
        <v>5.13</v>
      </c>
    </row>
    <row r="2128" spans="1:11" x14ac:dyDescent="0.25">
      <c r="A2128" s="162">
        <v>25616</v>
      </c>
      <c r="B2128" s="163">
        <v>6.6</v>
      </c>
      <c r="C2128" s="163"/>
      <c r="D2128" s="163"/>
      <c r="E2128" s="163"/>
      <c r="J2128" s="157">
        <v>37491</v>
      </c>
      <c r="K2128" s="158">
        <v>5.17</v>
      </c>
    </row>
    <row r="2129" spans="1:11" x14ac:dyDescent="0.25">
      <c r="A2129" s="162">
        <v>25617</v>
      </c>
      <c r="B2129" s="163">
        <v>6.6</v>
      </c>
      <c r="C2129" s="163"/>
      <c r="D2129" s="163"/>
      <c r="E2129" s="163"/>
      <c r="J2129" s="157">
        <v>37498</v>
      </c>
      <c r="K2129" s="158">
        <v>5.12</v>
      </c>
    </row>
    <row r="2130" spans="1:11" x14ac:dyDescent="0.25">
      <c r="A2130" s="162">
        <v>25618</v>
      </c>
      <c r="B2130" s="163">
        <v>6.59</v>
      </c>
      <c r="C2130" s="163"/>
      <c r="D2130" s="163"/>
      <c r="E2130" s="163"/>
      <c r="J2130" s="157">
        <v>37505</v>
      </c>
      <c r="K2130" s="158">
        <v>4.93</v>
      </c>
    </row>
    <row r="2131" spans="1:11" x14ac:dyDescent="0.25">
      <c r="A2131" s="162">
        <v>25619</v>
      </c>
      <c r="B2131" s="163">
        <v>6.63</v>
      </c>
      <c r="C2131" s="163"/>
      <c r="D2131" s="163"/>
      <c r="E2131" s="163"/>
      <c r="J2131" s="157">
        <v>37512</v>
      </c>
      <c r="K2131" s="158">
        <v>4.95</v>
      </c>
    </row>
    <row r="2132" spans="1:11" x14ac:dyDescent="0.25">
      <c r="A2132" s="162">
        <v>25622</v>
      </c>
      <c r="B2132" s="163" t="e">
        <f>NA()</f>
        <v>#N/A</v>
      </c>
      <c r="C2132" s="163"/>
      <c r="D2132" s="163"/>
      <c r="E2132" s="163"/>
      <c r="J2132" s="157">
        <v>37519</v>
      </c>
      <c r="K2132" s="158">
        <v>4.83</v>
      </c>
    </row>
    <row r="2133" spans="1:11" x14ac:dyDescent="0.25">
      <c r="A2133" s="162">
        <v>25623</v>
      </c>
      <c r="B2133" s="163">
        <v>6.61</v>
      </c>
      <c r="C2133" s="163"/>
      <c r="D2133" s="163"/>
      <c r="E2133" s="163"/>
      <c r="J2133" s="157">
        <v>37526</v>
      </c>
      <c r="K2133" s="158">
        <v>4.79</v>
      </c>
    </row>
    <row r="2134" spans="1:11" x14ac:dyDescent="0.25">
      <c r="A2134" s="162">
        <v>25624</v>
      </c>
      <c r="B2134" s="163">
        <v>6.58</v>
      </c>
      <c r="C2134" s="163"/>
      <c r="D2134" s="163"/>
      <c r="E2134" s="163"/>
      <c r="J2134" s="157">
        <v>37533</v>
      </c>
      <c r="K2134" s="158">
        <v>4.78</v>
      </c>
    </row>
    <row r="2135" spans="1:11" x14ac:dyDescent="0.25">
      <c r="A2135" s="162">
        <v>25625</v>
      </c>
      <c r="B2135" s="163">
        <v>6.55</v>
      </c>
      <c r="C2135" s="163"/>
      <c r="D2135" s="163"/>
      <c r="E2135" s="163"/>
      <c r="J2135" s="157">
        <v>37540</v>
      </c>
      <c r="K2135" s="158">
        <v>4.78</v>
      </c>
    </row>
    <row r="2136" spans="1:11" x14ac:dyDescent="0.25">
      <c r="A2136" s="162">
        <v>25626</v>
      </c>
      <c r="B2136" s="163">
        <v>6.55</v>
      </c>
      <c r="C2136" s="163"/>
      <c r="D2136" s="163"/>
      <c r="E2136" s="163"/>
      <c r="J2136" s="157">
        <v>37547</v>
      </c>
      <c r="K2136" s="158">
        <v>5.14</v>
      </c>
    </row>
    <row r="2137" spans="1:11" x14ac:dyDescent="0.25">
      <c r="A2137" s="162">
        <v>25629</v>
      </c>
      <c r="B2137" s="163">
        <v>6.59</v>
      </c>
      <c r="C2137" s="163"/>
      <c r="D2137" s="163"/>
      <c r="E2137" s="163"/>
      <c r="J2137" s="157">
        <v>37554</v>
      </c>
      <c r="K2137" s="158">
        <v>5.22</v>
      </c>
    </row>
    <row r="2138" spans="1:11" x14ac:dyDescent="0.25">
      <c r="A2138" s="162">
        <v>25630</v>
      </c>
      <c r="B2138" s="163">
        <v>6.59</v>
      </c>
      <c r="C2138" s="163"/>
      <c r="D2138" s="163"/>
      <c r="E2138" s="163"/>
      <c r="J2138" s="157">
        <v>37561</v>
      </c>
      <c r="K2138" s="158">
        <v>5.07</v>
      </c>
    </row>
    <row r="2139" spans="1:11" x14ac:dyDescent="0.25">
      <c r="A2139" s="162">
        <v>25631</v>
      </c>
      <c r="B2139" s="163">
        <v>6.59</v>
      </c>
      <c r="C2139" s="163"/>
      <c r="D2139" s="163"/>
      <c r="E2139" s="163"/>
      <c r="J2139" s="157">
        <v>37568</v>
      </c>
      <c r="K2139" s="158">
        <v>5.03</v>
      </c>
    </row>
    <row r="2140" spans="1:11" x14ac:dyDescent="0.25">
      <c r="A2140" s="162">
        <v>25632</v>
      </c>
      <c r="B2140" s="163">
        <v>6.63</v>
      </c>
      <c r="C2140" s="163"/>
      <c r="D2140" s="163"/>
      <c r="E2140" s="163"/>
      <c r="J2140" s="157">
        <v>37575</v>
      </c>
      <c r="K2140" s="158">
        <v>4.9400000000000004</v>
      </c>
    </row>
    <row r="2141" spans="1:11" x14ac:dyDescent="0.25">
      <c r="A2141" s="162">
        <v>25633</v>
      </c>
      <c r="B2141" s="163">
        <v>6.62</v>
      </c>
      <c r="C2141" s="163"/>
      <c r="D2141" s="163"/>
      <c r="E2141" s="163"/>
      <c r="J2141" s="157">
        <v>37582</v>
      </c>
      <c r="K2141" s="158">
        <v>5.04</v>
      </c>
    </row>
    <row r="2142" spans="1:11" x14ac:dyDescent="0.25">
      <c r="A2142" s="162">
        <v>25636</v>
      </c>
      <c r="B2142" s="163">
        <v>6.65</v>
      </c>
      <c r="C2142" s="163"/>
      <c r="D2142" s="163"/>
      <c r="E2142" s="163"/>
      <c r="J2142" s="157">
        <v>37589</v>
      </c>
      <c r="K2142" s="158">
        <v>5.14</v>
      </c>
    </row>
    <row r="2143" spans="1:11" x14ac:dyDescent="0.25">
      <c r="A2143" s="162">
        <v>25637</v>
      </c>
      <c r="B2143" s="163">
        <v>6.71</v>
      </c>
      <c r="C2143" s="163"/>
      <c r="D2143" s="163"/>
      <c r="E2143" s="163"/>
      <c r="J2143" s="157">
        <v>37596</v>
      </c>
      <c r="K2143" s="158">
        <v>5.13</v>
      </c>
    </row>
    <row r="2144" spans="1:11" x14ac:dyDescent="0.25">
      <c r="A2144" s="162">
        <v>25638</v>
      </c>
      <c r="B2144" s="164">
        <v>6.78</v>
      </c>
      <c r="C2144" s="164"/>
      <c r="D2144" s="164"/>
      <c r="E2144" s="164"/>
      <c r="J2144" s="157">
        <v>37603</v>
      </c>
      <c r="K2144" s="158">
        <v>5.01</v>
      </c>
    </row>
    <row r="2145" spans="1:11" x14ac:dyDescent="0.25">
      <c r="A2145" s="162">
        <v>25639</v>
      </c>
      <c r="B2145" s="163">
        <v>6.83</v>
      </c>
      <c r="C2145" s="163"/>
      <c r="D2145" s="163"/>
      <c r="E2145" s="163"/>
      <c r="J2145" s="157">
        <v>37610</v>
      </c>
      <c r="K2145" s="158">
        <v>5.04</v>
      </c>
    </row>
    <row r="2146" spans="1:11" x14ac:dyDescent="0.25">
      <c r="A2146" s="162">
        <v>25640</v>
      </c>
      <c r="B2146" s="163">
        <v>6.89</v>
      </c>
      <c r="C2146" s="163"/>
      <c r="D2146" s="163"/>
      <c r="E2146" s="163"/>
      <c r="J2146" s="157">
        <v>37617</v>
      </c>
      <c r="K2146" s="158">
        <v>4.91</v>
      </c>
    </row>
    <row r="2147" spans="1:11" x14ac:dyDescent="0.25">
      <c r="A2147" s="162">
        <v>25643</v>
      </c>
      <c r="B2147" s="163">
        <v>6.92</v>
      </c>
      <c r="C2147" s="163"/>
      <c r="D2147" s="163"/>
      <c r="E2147" s="163"/>
      <c r="J2147" s="157">
        <v>37624</v>
      </c>
      <c r="K2147" s="158">
        <v>4.93</v>
      </c>
    </row>
    <row r="2148" spans="1:11" x14ac:dyDescent="0.25">
      <c r="A2148" s="162">
        <v>25644</v>
      </c>
      <c r="B2148" s="163">
        <v>6.97</v>
      </c>
      <c r="C2148" s="163"/>
      <c r="D2148" s="163"/>
      <c r="E2148" s="163"/>
      <c r="J2148" s="157">
        <v>37631</v>
      </c>
      <c r="K2148" s="158">
        <v>5.08</v>
      </c>
    </row>
    <row r="2149" spans="1:11" x14ac:dyDescent="0.25">
      <c r="A2149" s="162">
        <v>25645</v>
      </c>
      <c r="B2149" s="163">
        <v>6.92</v>
      </c>
      <c r="C2149" s="163"/>
      <c r="D2149" s="163"/>
      <c r="E2149" s="163"/>
      <c r="J2149" s="157">
        <v>37638</v>
      </c>
      <c r="K2149" s="158">
        <v>5.07</v>
      </c>
    </row>
    <row r="2150" spans="1:11" x14ac:dyDescent="0.25">
      <c r="A2150" s="162">
        <v>25646</v>
      </c>
      <c r="B2150" s="163">
        <v>6.72</v>
      </c>
      <c r="C2150" s="163"/>
      <c r="D2150" s="163"/>
      <c r="E2150" s="163"/>
      <c r="J2150" s="157">
        <v>37645</v>
      </c>
      <c r="K2150" s="158">
        <v>4.96</v>
      </c>
    </row>
    <row r="2151" spans="1:11" x14ac:dyDescent="0.25">
      <c r="A2151" s="162">
        <v>25647</v>
      </c>
      <c r="B2151" s="163">
        <v>6.74</v>
      </c>
      <c r="C2151" s="163"/>
      <c r="D2151" s="163"/>
      <c r="E2151" s="163"/>
      <c r="J2151" s="157">
        <v>37652</v>
      </c>
      <c r="K2151" s="158">
        <v>4.96</v>
      </c>
    </row>
    <row r="2152" spans="1:11" x14ac:dyDescent="0.25">
      <c r="A2152" s="162">
        <v>25650</v>
      </c>
      <c r="B2152" s="163">
        <v>6.73</v>
      </c>
      <c r="C2152" s="163"/>
      <c r="D2152" s="163"/>
      <c r="E2152" s="163"/>
      <c r="J2152" s="157">
        <v>37659</v>
      </c>
      <c r="K2152" s="158">
        <v>4.92</v>
      </c>
    </row>
    <row r="2153" spans="1:11" x14ac:dyDescent="0.25">
      <c r="A2153" s="162">
        <v>25651</v>
      </c>
      <c r="B2153" s="163">
        <v>6.69</v>
      </c>
      <c r="C2153" s="163"/>
      <c r="D2153" s="163"/>
      <c r="E2153" s="163"/>
      <c r="J2153" s="157">
        <v>37666</v>
      </c>
      <c r="K2153" s="158">
        <v>4.91</v>
      </c>
    </row>
    <row r="2154" spans="1:11" x14ac:dyDescent="0.25">
      <c r="A2154" s="162">
        <v>25652</v>
      </c>
      <c r="B2154" s="163">
        <v>6.62</v>
      </c>
      <c r="C2154" s="163"/>
      <c r="D2154" s="163"/>
      <c r="E2154" s="163"/>
      <c r="J2154" s="157">
        <v>37673</v>
      </c>
      <c r="K2154" s="158">
        <v>4.88</v>
      </c>
    </row>
    <row r="2155" spans="1:11" x14ac:dyDescent="0.25">
      <c r="A2155" s="162">
        <v>25653</v>
      </c>
      <c r="B2155" s="163">
        <v>6.6</v>
      </c>
      <c r="C2155" s="163"/>
      <c r="D2155" s="163"/>
      <c r="E2155" s="163"/>
      <c r="J2155" s="157">
        <v>37680</v>
      </c>
      <c r="K2155" s="158">
        <v>4.78</v>
      </c>
    </row>
    <row r="2156" spans="1:11" x14ac:dyDescent="0.25">
      <c r="A2156" s="162">
        <v>25654</v>
      </c>
      <c r="B2156" s="163" t="e">
        <f>NA()</f>
        <v>#N/A</v>
      </c>
      <c r="C2156" s="163"/>
      <c r="D2156" s="163"/>
      <c r="E2156" s="163"/>
      <c r="J2156" s="157">
        <v>37687</v>
      </c>
      <c r="K2156" s="158">
        <v>4.68</v>
      </c>
    </row>
    <row r="2157" spans="1:11" x14ac:dyDescent="0.25">
      <c r="A2157" s="162">
        <v>25657</v>
      </c>
      <c r="B2157" s="163">
        <v>6.67</v>
      </c>
      <c r="C2157" s="163"/>
      <c r="D2157" s="163"/>
      <c r="E2157" s="163"/>
      <c r="J2157" s="157">
        <v>37694</v>
      </c>
      <c r="K2157" s="158">
        <v>4.68</v>
      </c>
    </row>
    <row r="2158" spans="1:11" x14ac:dyDescent="0.25">
      <c r="A2158" s="162">
        <v>25658</v>
      </c>
      <c r="B2158" s="163">
        <v>6.68</v>
      </c>
      <c r="C2158" s="163"/>
      <c r="D2158" s="163"/>
      <c r="E2158" s="163"/>
      <c r="J2158" s="157">
        <v>37701</v>
      </c>
      <c r="K2158" s="158">
        <v>4.9400000000000004</v>
      </c>
    </row>
    <row r="2159" spans="1:11" x14ac:dyDescent="0.25">
      <c r="A2159" s="162">
        <v>25659</v>
      </c>
      <c r="B2159" s="163">
        <v>6.63</v>
      </c>
      <c r="C2159" s="163"/>
      <c r="D2159" s="163"/>
      <c r="E2159" s="163"/>
      <c r="J2159" s="157">
        <v>37708</v>
      </c>
      <c r="K2159" s="158">
        <v>4.96</v>
      </c>
    </row>
    <row r="2160" spans="1:11" x14ac:dyDescent="0.25">
      <c r="A2160" s="162">
        <v>25660</v>
      </c>
      <c r="B2160" s="163">
        <v>6.63</v>
      </c>
      <c r="C2160" s="163"/>
      <c r="D2160" s="163"/>
      <c r="E2160" s="163"/>
      <c r="J2160" s="157">
        <v>37715</v>
      </c>
      <c r="K2160" s="158">
        <v>4.91</v>
      </c>
    </row>
    <row r="2161" spans="1:11" x14ac:dyDescent="0.25">
      <c r="A2161" s="162">
        <v>25661</v>
      </c>
      <c r="B2161" s="163">
        <v>6.65</v>
      </c>
      <c r="C2161" s="163"/>
      <c r="D2161" s="163"/>
      <c r="E2161" s="163"/>
      <c r="J2161" s="157">
        <v>37722</v>
      </c>
      <c r="K2161" s="158">
        <v>4.95</v>
      </c>
    </row>
    <row r="2162" spans="1:11" x14ac:dyDescent="0.25">
      <c r="A2162" s="162">
        <v>25664</v>
      </c>
      <c r="B2162" s="163">
        <v>6.69</v>
      </c>
      <c r="C2162" s="163"/>
      <c r="D2162" s="163"/>
      <c r="E2162" s="163"/>
      <c r="J2162" s="157">
        <v>37729</v>
      </c>
      <c r="K2162" s="158">
        <v>4.9400000000000004</v>
      </c>
    </row>
    <row r="2163" spans="1:11" x14ac:dyDescent="0.25">
      <c r="A2163" s="162">
        <v>25665</v>
      </c>
      <c r="B2163" s="163">
        <v>6.7</v>
      </c>
      <c r="C2163" s="163"/>
      <c r="D2163" s="163"/>
      <c r="E2163" s="163"/>
      <c r="J2163" s="157">
        <v>37736</v>
      </c>
      <c r="K2163" s="158">
        <v>4.8899999999999997</v>
      </c>
    </row>
    <row r="2164" spans="1:11" x14ac:dyDescent="0.25">
      <c r="A2164" s="162">
        <v>25666</v>
      </c>
      <c r="B2164" s="163">
        <v>6.71</v>
      </c>
      <c r="C2164" s="163"/>
      <c r="D2164" s="163"/>
      <c r="E2164" s="163"/>
      <c r="J2164" s="157">
        <v>37743</v>
      </c>
      <c r="K2164" s="158">
        <v>4.82</v>
      </c>
    </row>
    <row r="2165" spans="1:11" x14ac:dyDescent="0.25">
      <c r="A2165" s="162">
        <v>25667</v>
      </c>
      <c r="B2165" s="163">
        <v>6.72</v>
      </c>
      <c r="C2165" s="163"/>
      <c r="D2165" s="163"/>
      <c r="E2165" s="163"/>
      <c r="J2165" s="157">
        <v>37750</v>
      </c>
      <c r="K2165" s="158">
        <v>4.7</v>
      </c>
    </row>
    <row r="2166" spans="1:11" x14ac:dyDescent="0.25">
      <c r="A2166" s="162">
        <v>25668</v>
      </c>
      <c r="B2166" s="163">
        <v>6.7</v>
      </c>
      <c r="C2166" s="163"/>
      <c r="D2166" s="163"/>
      <c r="E2166" s="163"/>
      <c r="J2166" s="157">
        <v>37757</v>
      </c>
      <c r="K2166" s="158">
        <v>4.51</v>
      </c>
    </row>
    <row r="2167" spans="1:11" x14ac:dyDescent="0.25">
      <c r="A2167" s="162">
        <v>25671</v>
      </c>
      <c r="B2167" s="163">
        <v>6.71</v>
      </c>
      <c r="C2167" s="163"/>
      <c r="D2167" s="163"/>
      <c r="E2167" s="163"/>
      <c r="J2167" s="157">
        <v>37764</v>
      </c>
      <c r="K2167" s="158">
        <v>4.34</v>
      </c>
    </row>
    <row r="2168" spans="1:11" x14ac:dyDescent="0.25">
      <c r="A2168" s="162">
        <v>25672</v>
      </c>
      <c r="B2168" s="163">
        <v>6.73</v>
      </c>
      <c r="C2168" s="163"/>
      <c r="D2168" s="163"/>
      <c r="E2168" s="163"/>
      <c r="J2168" s="157">
        <v>37771</v>
      </c>
      <c r="K2168" s="158">
        <v>4.38</v>
      </c>
    </row>
    <row r="2169" spans="1:11" x14ac:dyDescent="0.25">
      <c r="A2169" s="162">
        <v>25673</v>
      </c>
      <c r="B2169" s="164">
        <v>6.77</v>
      </c>
      <c r="C2169" s="164"/>
      <c r="D2169" s="164"/>
      <c r="E2169" s="164"/>
      <c r="J2169" s="157">
        <v>37778</v>
      </c>
      <c r="K2169" s="158">
        <v>4.37</v>
      </c>
    </row>
    <row r="2170" spans="1:11" x14ac:dyDescent="0.25">
      <c r="A2170" s="162">
        <v>25674</v>
      </c>
      <c r="B2170" s="163">
        <v>6.83</v>
      </c>
      <c r="C2170" s="163"/>
      <c r="D2170" s="163"/>
      <c r="E2170" s="163"/>
      <c r="J2170" s="157">
        <v>37785</v>
      </c>
      <c r="K2170" s="158">
        <v>4.21</v>
      </c>
    </row>
    <row r="2171" spans="1:11" x14ac:dyDescent="0.25">
      <c r="A2171" s="162">
        <v>25675</v>
      </c>
      <c r="B2171" s="163">
        <v>6.9</v>
      </c>
      <c r="C2171" s="163"/>
      <c r="D2171" s="163"/>
      <c r="E2171" s="163"/>
      <c r="J2171" s="157">
        <v>37792</v>
      </c>
      <c r="K2171" s="158">
        <v>4.3099999999999996</v>
      </c>
    </row>
    <row r="2172" spans="1:11" x14ac:dyDescent="0.25">
      <c r="A2172" s="162">
        <v>25678</v>
      </c>
      <c r="B2172" s="163">
        <v>6.93</v>
      </c>
      <c r="C2172" s="163"/>
      <c r="D2172" s="163"/>
      <c r="E2172" s="163"/>
      <c r="J2172" s="157">
        <v>37799</v>
      </c>
      <c r="K2172" s="158">
        <v>4.43</v>
      </c>
    </row>
    <row r="2173" spans="1:11" x14ac:dyDescent="0.25">
      <c r="A2173" s="162">
        <v>25679</v>
      </c>
      <c r="B2173" s="163">
        <v>6.94</v>
      </c>
      <c r="C2173" s="163"/>
      <c r="D2173" s="163"/>
      <c r="E2173" s="163"/>
      <c r="J2173" s="157">
        <v>37806</v>
      </c>
      <c r="K2173" s="158">
        <v>4.5599999999999996</v>
      </c>
    </row>
    <row r="2174" spans="1:11" x14ac:dyDescent="0.25">
      <c r="A2174" s="162">
        <v>25680</v>
      </c>
      <c r="B2174" s="163">
        <v>7.03</v>
      </c>
      <c r="C2174" s="163"/>
      <c r="D2174" s="163"/>
      <c r="E2174" s="163"/>
      <c r="J2174" s="157">
        <v>37813</v>
      </c>
      <c r="K2174" s="158">
        <v>4.68</v>
      </c>
    </row>
    <row r="2175" spans="1:11" x14ac:dyDescent="0.25">
      <c r="A2175" s="162">
        <v>25681</v>
      </c>
      <c r="B2175" s="163">
        <v>7.05</v>
      </c>
      <c r="C2175" s="163"/>
      <c r="D2175" s="163"/>
      <c r="E2175" s="163"/>
      <c r="J2175" s="157">
        <v>37820</v>
      </c>
      <c r="K2175" s="158">
        <v>4.88</v>
      </c>
    </row>
    <row r="2176" spans="1:11" x14ac:dyDescent="0.25">
      <c r="A2176" s="162">
        <v>25682</v>
      </c>
      <c r="B2176" s="163">
        <v>7.08</v>
      </c>
      <c r="C2176" s="163"/>
      <c r="D2176" s="163"/>
      <c r="E2176" s="163"/>
      <c r="J2176" s="157">
        <v>37827</v>
      </c>
      <c r="K2176" s="158">
        <v>5.09</v>
      </c>
    </row>
    <row r="2177" spans="1:11" x14ac:dyDescent="0.25">
      <c r="A2177" s="162">
        <v>25685</v>
      </c>
      <c r="B2177" s="163">
        <v>7.1</v>
      </c>
      <c r="C2177" s="163"/>
      <c r="D2177" s="163"/>
      <c r="E2177" s="163"/>
      <c r="J2177" s="157">
        <v>37834</v>
      </c>
      <c r="K2177" s="158">
        <v>5.34</v>
      </c>
    </row>
    <row r="2178" spans="1:11" x14ac:dyDescent="0.25">
      <c r="A2178" s="162">
        <v>25686</v>
      </c>
      <c r="B2178" s="163">
        <v>7.09</v>
      </c>
      <c r="C2178" s="163"/>
      <c r="D2178" s="163"/>
      <c r="E2178" s="163"/>
      <c r="J2178" s="157">
        <v>37841</v>
      </c>
      <c r="K2178" s="158">
        <v>5.34</v>
      </c>
    </row>
    <row r="2179" spans="1:11" x14ac:dyDescent="0.25">
      <c r="A2179" s="162">
        <v>25687</v>
      </c>
      <c r="B2179" s="163">
        <v>7.06</v>
      </c>
      <c r="C2179" s="163"/>
      <c r="D2179" s="163"/>
      <c r="E2179" s="163"/>
      <c r="J2179" s="157">
        <v>37848</v>
      </c>
      <c r="K2179" s="158">
        <v>5.45</v>
      </c>
    </row>
    <row r="2180" spans="1:11" x14ac:dyDescent="0.25">
      <c r="A2180" s="162">
        <v>25688</v>
      </c>
      <c r="B2180" s="163">
        <v>7.07</v>
      </c>
      <c r="C2180" s="163"/>
      <c r="D2180" s="163"/>
      <c r="E2180" s="163"/>
      <c r="J2180" s="157">
        <v>37855</v>
      </c>
      <c r="K2180" s="158">
        <v>5.39</v>
      </c>
    </row>
    <row r="2181" spans="1:11" x14ac:dyDescent="0.25">
      <c r="A2181" s="162">
        <v>25689</v>
      </c>
      <c r="B2181" s="163">
        <v>7.09</v>
      </c>
      <c r="C2181" s="163"/>
      <c r="D2181" s="163"/>
      <c r="E2181" s="163"/>
      <c r="J2181" s="157">
        <v>37862</v>
      </c>
      <c r="K2181" s="158">
        <v>5.38</v>
      </c>
    </row>
    <row r="2182" spans="1:11" x14ac:dyDescent="0.25">
      <c r="A2182" s="162">
        <v>25692</v>
      </c>
      <c r="B2182" s="163">
        <v>7.21</v>
      </c>
      <c r="C2182" s="163"/>
      <c r="D2182" s="163"/>
      <c r="E2182" s="163"/>
      <c r="J2182" s="157">
        <v>37869</v>
      </c>
      <c r="K2182" s="158">
        <v>5.42</v>
      </c>
    </row>
    <row r="2183" spans="1:11" x14ac:dyDescent="0.25">
      <c r="A2183" s="162">
        <v>25693</v>
      </c>
      <c r="B2183" s="163">
        <v>7.21</v>
      </c>
      <c r="C2183" s="163"/>
      <c r="D2183" s="163"/>
      <c r="E2183" s="163"/>
      <c r="J2183" s="157">
        <v>37876</v>
      </c>
      <c r="K2183" s="158">
        <v>5.27</v>
      </c>
    </row>
    <row r="2184" spans="1:11" x14ac:dyDescent="0.25">
      <c r="A2184" s="162">
        <v>25694</v>
      </c>
      <c r="B2184" s="163">
        <v>7.14</v>
      </c>
      <c r="C2184" s="163"/>
      <c r="D2184" s="163"/>
      <c r="E2184" s="163"/>
      <c r="J2184" s="157">
        <v>37883</v>
      </c>
      <c r="K2184" s="158">
        <v>5.18</v>
      </c>
    </row>
    <row r="2185" spans="1:11" x14ac:dyDescent="0.25">
      <c r="A2185" s="162">
        <v>25695</v>
      </c>
      <c r="B2185" s="164">
        <v>7.12</v>
      </c>
      <c r="C2185" s="164"/>
      <c r="D2185" s="164"/>
      <c r="E2185" s="164"/>
      <c r="J2185" s="157">
        <v>37890</v>
      </c>
      <c r="K2185" s="158">
        <v>5.09</v>
      </c>
    </row>
    <row r="2186" spans="1:11" x14ac:dyDescent="0.25">
      <c r="A2186" s="162">
        <v>25696</v>
      </c>
      <c r="B2186" s="163">
        <v>7.08</v>
      </c>
      <c r="C2186" s="163"/>
      <c r="D2186" s="163"/>
      <c r="E2186" s="163"/>
      <c r="J2186" s="157">
        <v>37897</v>
      </c>
      <c r="K2186" s="158">
        <v>5</v>
      </c>
    </row>
    <row r="2187" spans="1:11" x14ac:dyDescent="0.25">
      <c r="A2187" s="162">
        <v>25699</v>
      </c>
      <c r="B2187" s="163">
        <v>7.11</v>
      </c>
      <c r="C2187" s="163"/>
      <c r="D2187" s="163"/>
      <c r="E2187" s="163"/>
      <c r="J2187" s="157">
        <v>37904</v>
      </c>
      <c r="K2187" s="158">
        <v>5.21</v>
      </c>
    </row>
    <row r="2188" spans="1:11" x14ac:dyDescent="0.25">
      <c r="A2188" s="162">
        <v>25700</v>
      </c>
      <c r="B2188" s="163">
        <v>7.13</v>
      </c>
      <c r="C2188" s="163"/>
      <c r="D2188" s="163"/>
      <c r="E2188" s="163"/>
      <c r="J2188" s="157">
        <v>37911</v>
      </c>
      <c r="K2188" s="158">
        <v>5.35</v>
      </c>
    </row>
    <row r="2189" spans="1:11" x14ac:dyDescent="0.25">
      <c r="A2189" s="162">
        <v>25701</v>
      </c>
      <c r="B2189" s="163">
        <v>7.13</v>
      </c>
      <c r="C2189" s="163"/>
      <c r="D2189" s="163"/>
      <c r="E2189" s="163"/>
      <c r="J2189" s="157">
        <v>37918</v>
      </c>
      <c r="K2189" s="158">
        <v>5.23</v>
      </c>
    </row>
    <row r="2190" spans="1:11" x14ac:dyDescent="0.25">
      <c r="A2190" s="162">
        <v>25702</v>
      </c>
      <c r="B2190" s="163">
        <v>7.14</v>
      </c>
      <c r="C2190" s="163"/>
      <c r="D2190" s="163"/>
      <c r="E2190" s="163"/>
      <c r="J2190" s="157">
        <v>37925</v>
      </c>
      <c r="K2190" s="158">
        <v>5.2</v>
      </c>
    </row>
    <row r="2191" spans="1:11" x14ac:dyDescent="0.25">
      <c r="A2191" s="162">
        <v>25703</v>
      </c>
      <c r="B2191" s="163">
        <v>7.11</v>
      </c>
      <c r="C2191" s="163"/>
      <c r="D2191" s="163"/>
      <c r="E2191" s="163"/>
      <c r="J2191" s="157">
        <v>37932</v>
      </c>
      <c r="K2191" s="158">
        <v>5.27</v>
      </c>
    </row>
    <row r="2192" spans="1:11" x14ac:dyDescent="0.25">
      <c r="A2192" s="162">
        <v>25706</v>
      </c>
      <c r="B2192" s="163">
        <v>7.1</v>
      </c>
      <c r="C2192" s="163"/>
      <c r="D2192" s="163"/>
      <c r="E2192" s="163"/>
      <c r="J2192" s="157">
        <v>37939</v>
      </c>
      <c r="K2192" s="158">
        <v>5.22</v>
      </c>
    </row>
    <row r="2193" spans="1:11" x14ac:dyDescent="0.25">
      <c r="A2193" s="162">
        <v>25707</v>
      </c>
      <c r="B2193" s="163">
        <v>7.1</v>
      </c>
      <c r="C2193" s="163"/>
      <c r="D2193" s="163"/>
      <c r="E2193" s="163"/>
      <c r="J2193" s="157">
        <v>37946</v>
      </c>
      <c r="K2193" s="158">
        <v>5.07</v>
      </c>
    </row>
    <row r="2194" spans="1:11" x14ac:dyDescent="0.25">
      <c r="A2194" s="162">
        <v>25708</v>
      </c>
      <c r="B2194" s="164">
        <v>7.14</v>
      </c>
      <c r="C2194" s="164"/>
      <c r="D2194" s="164"/>
      <c r="E2194" s="164"/>
      <c r="J2194" s="157">
        <v>37953</v>
      </c>
      <c r="K2194" s="158">
        <v>5.13</v>
      </c>
    </row>
    <row r="2195" spans="1:11" x14ac:dyDescent="0.25">
      <c r="A2195" s="162">
        <v>25709</v>
      </c>
      <c r="B2195" s="163">
        <v>7.22</v>
      </c>
      <c r="C2195" s="163"/>
      <c r="D2195" s="163"/>
      <c r="E2195" s="163"/>
      <c r="J2195" s="157">
        <v>37960</v>
      </c>
      <c r="K2195" s="158">
        <v>5.2</v>
      </c>
    </row>
    <row r="2196" spans="1:11" x14ac:dyDescent="0.25">
      <c r="A2196" s="162">
        <v>25710</v>
      </c>
      <c r="B2196" s="163">
        <v>7.31</v>
      </c>
      <c r="C2196" s="163"/>
      <c r="D2196" s="163"/>
      <c r="E2196" s="163"/>
      <c r="J2196" s="157">
        <v>37967</v>
      </c>
      <c r="K2196" s="158">
        <v>5.15</v>
      </c>
    </row>
    <row r="2197" spans="1:11" x14ac:dyDescent="0.25">
      <c r="A2197" s="162">
        <v>25713</v>
      </c>
      <c r="B2197" s="163">
        <v>7.52</v>
      </c>
      <c r="C2197" s="163"/>
      <c r="D2197" s="163"/>
      <c r="E2197" s="163"/>
      <c r="J2197" s="157">
        <v>37974</v>
      </c>
      <c r="K2197" s="158">
        <v>5.05</v>
      </c>
    </row>
    <row r="2198" spans="1:11" x14ac:dyDescent="0.25">
      <c r="A2198" s="162">
        <v>25714</v>
      </c>
      <c r="B2198" s="163">
        <v>7.73</v>
      </c>
      <c r="C2198" s="163"/>
      <c r="D2198" s="163"/>
      <c r="E2198" s="163"/>
      <c r="J2198" s="157">
        <v>37981</v>
      </c>
      <c r="K2198" s="158">
        <v>5.03</v>
      </c>
    </row>
    <row r="2199" spans="1:11" x14ac:dyDescent="0.25">
      <c r="A2199" s="162">
        <v>25715</v>
      </c>
      <c r="B2199" s="163">
        <v>7.55</v>
      </c>
      <c r="C2199" s="163"/>
      <c r="D2199" s="163"/>
      <c r="E2199" s="163"/>
      <c r="J2199" s="157">
        <v>37988</v>
      </c>
      <c r="K2199" s="158">
        <v>5.13</v>
      </c>
    </row>
    <row r="2200" spans="1:11" x14ac:dyDescent="0.25">
      <c r="A2200" s="162">
        <v>25716</v>
      </c>
      <c r="B2200" s="163">
        <v>7.49</v>
      </c>
      <c r="C2200" s="163"/>
      <c r="D2200" s="163"/>
      <c r="E2200" s="163"/>
      <c r="J2200" s="157">
        <v>37995</v>
      </c>
      <c r="K2200" s="158">
        <v>5.1100000000000003</v>
      </c>
    </row>
    <row r="2201" spans="1:11" x14ac:dyDescent="0.25">
      <c r="A2201" s="162">
        <v>25717</v>
      </c>
      <c r="B2201" s="163">
        <v>7.46</v>
      </c>
      <c r="C2201" s="163"/>
      <c r="D2201" s="163"/>
      <c r="E2201" s="163"/>
      <c r="J2201" s="157">
        <v>38002</v>
      </c>
      <c r="K2201" s="158">
        <v>4.92</v>
      </c>
    </row>
    <row r="2202" spans="1:11" x14ac:dyDescent="0.25">
      <c r="A2202" s="162">
        <v>25720</v>
      </c>
      <c r="B2202" s="164">
        <v>7.37</v>
      </c>
      <c r="C2202" s="164"/>
      <c r="D2202" s="164"/>
      <c r="E2202" s="164"/>
      <c r="J2202" s="157">
        <v>38009</v>
      </c>
      <c r="K2202" s="158">
        <v>4.92</v>
      </c>
    </row>
    <row r="2203" spans="1:11" x14ac:dyDescent="0.25">
      <c r="A2203" s="162">
        <v>25721</v>
      </c>
      <c r="B2203" s="163">
        <v>7.29</v>
      </c>
      <c r="C2203" s="163"/>
      <c r="D2203" s="163"/>
      <c r="E2203" s="163"/>
      <c r="J2203" s="157">
        <v>38016</v>
      </c>
      <c r="K2203" s="158">
        <v>5.0199999999999996</v>
      </c>
    </row>
    <row r="2204" spans="1:11" x14ac:dyDescent="0.25">
      <c r="A2204" s="162">
        <v>25722</v>
      </c>
      <c r="B2204" s="163">
        <v>7.29</v>
      </c>
      <c r="C2204" s="163"/>
      <c r="D2204" s="163"/>
      <c r="E2204" s="163"/>
      <c r="J2204" s="157">
        <v>38023</v>
      </c>
      <c r="K2204" s="158">
        <v>4.99</v>
      </c>
    </row>
    <row r="2205" spans="1:11" x14ac:dyDescent="0.25">
      <c r="A2205" s="162">
        <v>25723</v>
      </c>
      <c r="B2205" s="163">
        <v>7.31</v>
      </c>
      <c r="C2205" s="163"/>
      <c r="D2205" s="163"/>
      <c r="E2205" s="163"/>
      <c r="J2205" s="157">
        <v>38030</v>
      </c>
      <c r="K2205" s="158">
        <v>4.93</v>
      </c>
    </row>
    <row r="2206" spans="1:11" x14ac:dyDescent="0.25">
      <c r="A2206" s="162">
        <v>25724</v>
      </c>
      <c r="B2206" s="163">
        <v>7.38</v>
      </c>
      <c r="C2206" s="163"/>
      <c r="D2206" s="163"/>
      <c r="E2206" s="163"/>
      <c r="J2206" s="157">
        <v>38037</v>
      </c>
      <c r="K2206" s="158">
        <v>4.92</v>
      </c>
    </row>
    <row r="2207" spans="1:11" x14ac:dyDescent="0.25">
      <c r="A2207" s="162">
        <v>25727</v>
      </c>
      <c r="B2207" s="163">
        <v>7.42</v>
      </c>
      <c r="C2207" s="163"/>
      <c r="D2207" s="163"/>
      <c r="E2207" s="163"/>
      <c r="J2207" s="157">
        <v>38044</v>
      </c>
      <c r="K2207" s="158">
        <v>4.9000000000000004</v>
      </c>
    </row>
    <row r="2208" spans="1:11" x14ac:dyDescent="0.25">
      <c r="A2208" s="162">
        <v>25728</v>
      </c>
      <c r="B2208" s="163">
        <v>7.39</v>
      </c>
      <c r="C2208" s="163"/>
      <c r="D2208" s="163"/>
      <c r="E2208" s="163"/>
      <c r="J2208" s="157">
        <v>38051</v>
      </c>
      <c r="K2208" s="158">
        <v>4.8600000000000003</v>
      </c>
    </row>
    <row r="2209" spans="1:11" x14ac:dyDescent="0.25">
      <c r="A2209" s="162">
        <v>25729</v>
      </c>
      <c r="B2209" s="163">
        <v>7.4</v>
      </c>
      <c r="C2209" s="163"/>
      <c r="D2209" s="163"/>
      <c r="E2209" s="163"/>
      <c r="J2209" s="157">
        <v>38058</v>
      </c>
      <c r="K2209" s="158">
        <v>4.66</v>
      </c>
    </row>
    <row r="2210" spans="1:11" x14ac:dyDescent="0.25">
      <c r="A2210" s="162">
        <v>25730</v>
      </c>
      <c r="B2210" s="163">
        <v>7.44</v>
      </c>
      <c r="C2210" s="163"/>
      <c r="D2210" s="163"/>
      <c r="E2210" s="163"/>
      <c r="J2210" s="157">
        <v>38065</v>
      </c>
      <c r="K2210" s="158">
        <v>4.6500000000000004</v>
      </c>
    </row>
    <row r="2211" spans="1:11" x14ac:dyDescent="0.25">
      <c r="A2211" s="162">
        <v>25731</v>
      </c>
      <c r="B2211" s="163">
        <v>7.5</v>
      </c>
      <c r="C2211" s="163"/>
      <c r="D2211" s="163"/>
      <c r="E2211" s="163"/>
      <c r="J2211" s="157">
        <v>38072</v>
      </c>
      <c r="K2211" s="158">
        <v>4.6500000000000004</v>
      </c>
    </row>
    <row r="2212" spans="1:11" x14ac:dyDescent="0.25">
      <c r="A2212" s="162">
        <v>25734</v>
      </c>
      <c r="B2212" s="163">
        <v>7.51</v>
      </c>
      <c r="C2212" s="163"/>
      <c r="D2212" s="163"/>
      <c r="E2212" s="163"/>
      <c r="J2212" s="157">
        <v>38079</v>
      </c>
      <c r="K2212" s="158">
        <v>4.82</v>
      </c>
    </row>
    <row r="2213" spans="1:11" x14ac:dyDescent="0.25">
      <c r="A2213" s="162">
        <v>25735</v>
      </c>
      <c r="B2213" s="163">
        <v>7.36</v>
      </c>
      <c r="C2213" s="163"/>
      <c r="D2213" s="163"/>
      <c r="E2213" s="163"/>
      <c r="J2213" s="157">
        <v>38086</v>
      </c>
      <c r="K2213" s="158">
        <v>5.03</v>
      </c>
    </row>
    <row r="2214" spans="1:11" x14ac:dyDescent="0.25">
      <c r="A2214" s="162">
        <v>25736</v>
      </c>
      <c r="B2214" s="163">
        <v>7.39</v>
      </c>
      <c r="C2214" s="163"/>
      <c r="D2214" s="163"/>
      <c r="E2214" s="163"/>
      <c r="J2214" s="157">
        <v>38093</v>
      </c>
      <c r="K2214" s="158">
        <v>5.18</v>
      </c>
    </row>
    <row r="2215" spans="1:11" x14ac:dyDescent="0.25">
      <c r="A2215" s="162">
        <v>25737</v>
      </c>
      <c r="B2215" s="163">
        <v>7.38</v>
      </c>
      <c r="C2215" s="163"/>
      <c r="D2215" s="163"/>
      <c r="E2215" s="163"/>
      <c r="J2215" s="157">
        <v>38100</v>
      </c>
      <c r="K2215" s="158">
        <v>5.24</v>
      </c>
    </row>
    <row r="2216" spans="1:11" x14ac:dyDescent="0.25">
      <c r="A2216" s="162">
        <v>25738</v>
      </c>
      <c r="B2216" s="163">
        <v>7.39</v>
      </c>
      <c r="C2216" s="163"/>
      <c r="D2216" s="163"/>
      <c r="E2216" s="163"/>
      <c r="J2216" s="157">
        <v>38107</v>
      </c>
      <c r="K2216" s="158">
        <v>5.28</v>
      </c>
    </row>
    <row r="2217" spans="1:11" x14ac:dyDescent="0.25">
      <c r="A2217" s="162">
        <v>25741</v>
      </c>
      <c r="B2217" s="163">
        <v>7.36</v>
      </c>
      <c r="C2217" s="163"/>
      <c r="D2217" s="163"/>
      <c r="E2217" s="163"/>
      <c r="J2217" s="157">
        <v>38114</v>
      </c>
      <c r="K2217" s="158">
        <v>5.39</v>
      </c>
    </row>
    <row r="2218" spans="1:11" x14ac:dyDescent="0.25">
      <c r="A2218" s="162">
        <v>25742</v>
      </c>
      <c r="B2218" s="163">
        <v>7.26</v>
      </c>
      <c r="C2218" s="163"/>
      <c r="D2218" s="163"/>
      <c r="E2218" s="163"/>
      <c r="J2218" s="157">
        <v>38121</v>
      </c>
      <c r="K2218" s="158">
        <v>5.56</v>
      </c>
    </row>
    <row r="2219" spans="1:11" x14ac:dyDescent="0.25">
      <c r="A2219" s="162">
        <v>25743</v>
      </c>
      <c r="B2219" s="163">
        <v>7.22</v>
      </c>
      <c r="C2219" s="163"/>
      <c r="D2219" s="163"/>
      <c r="E2219" s="163"/>
      <c r="J2219" s="157">
        <v>38128</v>
      </c>
      <c r="K2219" s="158">
        <v>5.49</v>
      </c>
    </row>
    <row r="2220" spans="1:11" x14ac:dyDescent="0.25">
      <c r="A2220" s="162">
        <v>25744</v>
      </c>
      <c r="B2220" s="163">
        <v>7.25</v>
      </c>
      <c r="C2220" s="163"/>
      <c r="D2220" s="163"/>
      <c r="E2220" s="163"/>
      <c r="J2220" s="157">
        <v>38135</v>
      </c>
      <c r="K2220" s="158">
        <v>5.41</v>
      </c>
    </row>
    <row r="2221" spans="1:11" x14ac:dyDescent="0.25">
      <c r="A2221" s="162">
        <v>25745</v>
      </c>
      <c r="B2221" s="163">
        <v>7.27</v>
      </c>
      <c r="C2221" s="163"/>
      <c r="D2221" s="163"/>
      <c r="E2221" s="163"/>
      <c r="J2221" s="157">
        <v>38142</v>
      </c>
      <c r="K2221" s="158">
        <v>5.47</v>
      </c>
    </row>
    <row r="2222" spans="1:11" x14ac:dyDescent="0.25">
      <c r="A2222" s="162">
        <v>25748</v>
      </c>
      <c r="B2222" s="163">
        <v>7.24</v>
      </c>
      <c r="C2222" s="163"/>
      <c r="D2222" s="163"/>
      <c r="E2222" s="163"/>
      <c r="J2222" s="157">
        <v>38149</v>
      </c>
      <c r="K2222" s="158">
        <v>5.52</v>
      </c>
    </row>
    <row r="2223" spans="1:11" x14ac:dyDescent="0.25">
      <c r="A2223" s="162">
        <v>25749</v>
      </c>
      <c r="B2223" s="163">
        <v>7.11</v>
      </c>
      <c r="C2223" s="163"/>
      <c r="D2223" s="163"/>
      <c r="E2223" s="163"/>
      <c r="J2223" s="157">
        <v>38156</v>
      </c>
      <c r="K2223" s="158">
        <v>5.46</v>
      </c>
    </row>
    <row r="2224" spans="1:11" x14ac:dyDescent="0.25">
      <c r="A2224" s="162">
        <v>25750</v>
      </c>
      <c r="B2224" s="163">
        <v>7.06</v>
      </c>
      <c r="C2224" s="163"/>
      <c r="D2224" s="163"/>
      <c r="E2224" s="163"/>
      <c r="J2224" s="157">
        <v>38163</v>
      </c>
      <c r="K2224" s="158">
        <v>5.4</v>
      </c>
    </row>
    <row r="2225" spans="1:11" x14ac:dyDescent="0.25">
      <c r="A2225" s="162">
        <v>25751</v>
      </c>
      <c r="B2225" s="164">
        <v>6.97</v>
      </c>
      <c r="C2225" s="164"/>
      <c r="D2225" s="164"/>
      <c r="E2225" s="164"/>
      <c r="J2225" s="157">
        <v>38170</v>
      </c>
      <c r="K2225" s="158">
        <v>5.35</v>
      </c>
    </row>
    <row r="2226" spans="1:11" x14ac:dyDescent="0.25">
      <c r="A2226" s="162">
        <v>25752</v>
      </c>
      <c r="B2226" s="163" t="e">
        <f>NA()</f>
        <v>#N/A</v>
      </c>
      <c r="C2226" s="163"/>
      <c r="D2226" s="163"/>
      <c r="E2226" s="163"/>
      <c r="J2226" s="157">
        <v>38177</v>
      </c>
      <c r="K2226" s="158">
        <v>5.24</v>
      </c>
    </row>
    <row r="2227" spans="1:11" x14ac:dyDescent="0.25">
      <c r="A2227" s="162">
        <v>25755</v>
      </c>
      <c r="B2227" s="163">
        <v>6.88</v>
      </c>
      <c r="C2227" s="163"/>
      <c r="D2227" s="163"/>
      <c r="E2227" s="163"/>
      <c r="J2227" s="157">
        <v>38184</v>
      </c>
      <c r="K2227" s="158">
        <v>5.22</v>
      </c>
    </row>
    <row r="2228" spans="1:11" x14ac:dyDescent="0.25">
      <c r="A2228" s="162">
        <v>25756</v>
      </c>
      <c r="B2228" s="163">
        <v>6.84</v>
      </c>
      <c r="C2228" s="163"/>
      <c r="D2228" s="163"/>
      <c r="E2228" s="163"/>
      <c r="J2228" s="157">
        <v>38191</v>
      </c>
      <c r="K2228" s="158">
        <v>5.2</v>
      </c>
    </row>
    <row r="2229" spans="1:11" x14ac:dyDescent="0.25">
      <c r="A2229" s="162">
        <v>25757</v>
      </c>
      <c r="B2229" s="163">
        <v>6.9</v>
      </c>
      <c r="C2229" s="163"/>
      <c r="D2229" s="163"/>
      <c r="E2229" s="163"/>
      <c r="J2229" s="157">
        <v>38198</v>
      </c>
      <c r="K2229" s="158">
        <v>5.3</v>
      </c>
    </row>
    <row r="2230" spans="1:11" x14ac:dyDescent="0.25">
      <c r="A2230" s="162">
        <v>25758</v>
      </c>
      <c r="B2230" s="164">
        <v>6.93</v>
      </c>
      <c r="C2230" s="164"/>
      <c r="D2230" s="164"/>
      <c r="E2230" s="164"/>
      <c r="J2230" s="157">
        <v>38205</v>
      </c>
      <c r="K2230" s="158">
        <v>5.17</v>
      </c>
    </row>
    <row r="2231" spans="1:11" x14ac:dyDescent="0.25">
      <c r="A2231" s="162">
        <v>25759</v>
      </c>
      <c r="B2231" s="163">
        <v>6.99</v>
      </c>
      <c r="C2231" s="163"/>
      <c r="D2231" s="163"/>
      <c r="E2231" s="163"/>
      <c r="J2231" s="157">
        <v>38212</v>
      </c>
      <c r="K2231" s="158">
        <v>5.0599999999999996</v>
      </c>
    </row>
    <row r="2232" spans="1:11" x14ac:dyDescent="0.25">
      <c r="A2232" s="162">
        <v>25762</v>
      </c>
      <c r="B2232" s="163">
        <v>6.99</v>
      </c>
      <c r="C2232" s="163"/>
      <c r="D2232" s="163"/>
      <c r="E2232" s="163"/>
      <c r="J2232" s="157">
        <v>38219</v>
      </c>
      <c r="K2232" s="158">
        <v>5.04</v>
      </c>
    </row>
    <row r="2233" spans="1:11" x14ac:dyDescent="0.25">
      <c r="A2233" s="162">
        <v>25763</v>
      </c>
      <c r="B2233" s="163">
        <v>6.97</v>
      </c>
      <c r="C2233" s="163"/>
      <c r="D2233" s="163"/>
      <c r="E2233" s="163"/>
      <c r="J2233" s="157">
        <v>38226</v>
      </c>
      <c r="K2233" s="158">
        <v>5.05</v>
      </c>
    </row>
    <row r="2234" spans="1:11" x14ac:dyDescent="0.25">
      <c r="A2234" s="162">
        <v>25764</v>
      </c>
      <c r="B2234" s="163">
        <v>6.96</v>
      </c>
      <c r="C2234" s="163"/>
      <c r="D2234" s="163"/>
      <c r="E2234" s="163"/>
      <c r="J2234" s="157">
        <v>38233</v>
      </c>
      <c r="K2234" s="158">
        <v>4.9800000000000004</v>
      </c>
    </row>
    <row r="2235" spans="1:11" x14ac:dyDescent="0.25">
      <c r="A2235" s="162">
        <v>25765</v>
      </c>
      <c r="B2235" s="163">
        <v>6.94</v>
      </c>
      <c r="C2235" s="163"/>
      <c r="D2235" s="163"/>
      <c r="E2235" s="163"/>
      <c r="J2235" s="157">
        <v>38240</v>
      </c>
      <c r="K2235" s="158">
        <v>4.99</v>
      </c>
    </row>
    <row r="2236" spans="1:11" x14ac:dyDescent="0.25">
      <c r="A2236" s="162">
        <v>25766</v>
      </c>
      <c r="B2236" s="163">
        <v>6.93</v>
      </c>
      <c r="C2236" s="163"/>
      <c r="D2236" s="163"/>
      <c r="E2236" s="163"/>
      <c r="J2236" s="157">
        <v>38247</v>
      </c>
      <c r="K2236" s="158">
        <v>4.92</v>
      </c>
    </row>
    <row r="2237" spans="1:11" x14ac:dyDescent="0.25">
      <c r="A2237" s="162">
        <v>25769</v>
      </c>
      <c r="B2237" s="163">
        <v>6.94</v>
      </c>
      <c r="C2237" s="163"/>
      <c r="D2237" s="163"/>
      <c r="E2237" s="163"/>
      <c r="J2237" s="157">
        <v>38254</v>
      </c>
      <c r="K2237" s="158">
        <v>4.8</v>
      </c>
    </row>
    <row r="2238" spans="1:11" x14ac:dyDescent="0.25">
      <c r="A2238" s="162">
        <v>25770</v>
      </c>
      <c r="B2238" s="163">
        <v>6.95</v>
      </c>
      <c r="C2238" s="163"/>
      <c r="D2238" s="163"/>
      <c r="E2238" s="163"/>
      <c r="J2238" s="157">
        <v>38261</v>
      </c>
      <c r="K2238" s="158">
        <v>4.84</v>
      </c>
    </row>
    <row r="2239" spans="1:11" x14ac:dyDescent="0.25">
      <c r="A2239" s="162">
        <v>25771</v>
      </c>
      <c r="B2239" s="163">
        <v>6.94</v>
      </c>
      <c r="C2239" s="163"/>
      <c r="D2239" s="163"/>
      <c r="E2239" s="163"/>
      <c r="J2239" s="157">
        <v>38268</v>
      </c>
      <c r="K2239" s="158">
        <v>4.95</v>
      </c>
    </row>
    <row r="2240" spans="1:11" x14ac:dyDescent="0.25">
      <c r="A2240" s="162">
        <v>25772</v>
      </c>
      <c r="B2240" s="163">
        <v>6.81</v>
      </c>
      <c r="C2240" s="163"/>
      <c r="D2240" s="163"/>
      <c r="E2240" s="163"/>
      <c r="J2240" s="157">
        <v>38275</v>
      </c>
      <c r="K2240" s="158">
        <v>4.8499999999999996</v>
      </c>
    </row>
    <row r="2241" spans="1:11" x14ac:dyDescent="0.25">
      <c r="A2241" s="162">
        <v>25773</v>
      </c>
      <c r="B2241" s="163">
        <v>6.83</v>
      </c>
      <c r="C2241" s="163"/>
      <c r="D2241" s="163"/>
      <c r="E2241" s="163"/>
      <c r="J2241" s="157">
        <v>38282</v>
      </c>
      <c r="K2241" s="158">
        <v>4.79</v>
      </c>
    </row>
    <row r="2242" spans="1:11" x14ac:dyDescent="0.25">
      <c r="A2242" s="162">
        <v>25776</v>
      </c>
      <c r="B2242" s="163">
        <v>6.84</v>
      </c>
      <c r="C2242" s="163"/>
      <c r="D2242" s="163"/>
      <c r="E2242" s="163"/>
      <c r="J2242" s="157">
        <v>38289</v>
      </c>
      <c r="K2242" s="158">
        <v>4.79</v>
      </c>
    </row>
    <row r="2243" spans="1:11" x14ac:dyDescent="0.25">
      <c r="A2243" s="162">
        <v>25777</v>
      </c>
      <c r="B2243" s="163">
        <v>6.92</v>
      </c>
      <c r="C2243" s="163"/>
      <c r="D2243" s="163"/>
      <c r="E2243" s="163"/>
      <c r="J2243" s="157">
        <v>38296</v>
      </c>
      <c r="K2243" s="158">
        <v>4.8499999999999996</v>
      </c>
    </row>
    <row r="2244" spans="1:11" x14ac:dyDescent="0.25">
      <c r="A2244" s="162">
        <v>25778</v>
      </c>
      <c r="B2244" s="164">
        <v>6.91</v>
      </c>
      <c r="C2244" s="164"/>
      <c r="D2244" s="164"/>
      <c r="E2244" s="164"/>
      <c r="J2244" s="157">
        <v>38303</v>
      </c>
      <c r="K2244" s="158">
        <v>4.95</v>
      </c>
    </row>
    <row r="2245" spans="1:11" x14ac:dyDescent="0.25">
      <c r="A2245" s="162">
        <v>25779</v>
      </c>
      <c r="B2245" s="163">
        <v>6.91</v>
      </c>
      <c r="C2245" s="163"/>
      <c r="D2245" s="163"/>
      <c r="E2245" s="163"/>
      <c r="J2245" s="157">
        <v>38310</v>
      </c>
      <c r="K2245" s="158">
        <v>4.88</v>
      </c>
    </row>
    <row r="2246" spans="1:11" x14ac:dyDescent="0.25">
      <c r="A2246" s="162">
        <v>25780</v>
      </c>
      <c r="B2246" s="163">
        <v>6.91</v>
      </c>
      <c r="C2246" s="163"/>
      <c r="D2246" s="163"/>
      <c r="E2246" s="163"/>
      <c r="J2246" s="157">
        <v>38317</v>
      </c>
      <c r="K2246" s="158">
        <v>4.8600000000000003</v>
      </c>
    </row>
    <row r="2247" spans="1:11" x14ac:dyDescent="0.25">
      <c r="A2247" s="162">
        <v>25783</v>
      </c>
      <c r="B2247" s="163">
        <v>6.92</v>
      </c>
      <c r="C2247" s="163"/>
      <c r="D2247" s="163"/>
      <c r="E2247" s="163"/>
      <c r="J2247" s="157">
        <v>38324</v>
      </c>
      <c r="K2247" s="158">
        <v>5.0199999999999996</v>
      </c>
    </row>
    <row r="2248" spans="1:11" x14ac:dyDescent="0.25">
      <c r="A2248" s="162">
        <v>25784</v>
      </c>
      <c r="B2248" s="163">
        <v>6.93</v>
      </c>
      <c r="C2248" s="163"/>
      <c r="D2248" s="163"/>
      <c r="E2248" s="163"/>
      <c r="J2248" s="157">
        <v>38331</v>
      </c>
      <c r="K2248" s="158">
        <v>4.8600000000000003</v>
      </c>
    </row>
    <row r="2249" spans="1:11" x14ac:dyDescent="0.25">
      <c r="A2249" s="162">
        <v>25785</v>
      </c>
      <c r="B2249" s="163">
        <v>6.97</v>
      </c>
      <c r="C2249" s="163"/>
      <c r="D2249" s="163"/>
      <c r="E2249" s="163"/>
      <c r="J2249" s="157">
        <v>38338</v>
      </c>
      <c r="K2249" s="158">
        <v>4.8</v>
      </c>
    </row>
    <row r="2250" spans="1:11" x14ac:dyDescent="0.25">
      <c r="A2250" s="162">
        <v>25786</v>
      </c>
      <c r="B2250" s="163">
        <v>6.98</v>
      </c>
      <c r="C2250" s="163"/>
      <c r="D2250" s="163"/>
      <c r="E2250" s="163"/>
      <c r="J2250" s="157">
        <v>38345</v>
      </c>
      <c r="K2250" s="158">
        <v>4.84</v>
      </c>
    </row>
    <row r="2251" spans="1:11" x14ac:dyDescent="0.25">
      <c r="A2251" s="162">
        <v>25787</v>
      </c>
      <c r="B2251" s="163">
        <v>7</v>
      </c>
      <c r="C2251" s="163"/>
      <c r="D2251" s="163"/>
      <c r="E2251" s="163"/>
      <c r="J2251" s="157">
        <v>38352</v>
      </c>
      <c r="K2251" s="158">
        <v>4.92</v>
      </c>
    </row>
    <row r="2252" spans="1:11" x14ac:dyDescent="0.25">
      <c r="A2252" s="162">
        <v>25790</v>
      </c>
      <c r="B2252" s="163">
        <v>7.04</v>
      </c>
      <c r="C2252" s="163"/>
      <c r="D2252" s="163"/>
      <c r="E2252" s="163"/>
      <c r="J2252" s="157">
        <v>38359</v>
      </c>
      <c r="K2252" s="158">
        <v>4.88</v>
      </c>
    </row>
    <row r="2253" spans="1:11" x14ac:dyDescent="0.25">
      <c r="A2253" s="162">
        <v>25791</v>
      </c>
      <c r="B2253" s="163">
        <v>7.08</v>
      </c>
      <c r="C2253" s="163"/>
      <c r="D2253" s="163"/>
      <c r="E2253" s="163"/>
      <c r="J2253" s="157">
        <v>38366</v>
      </c>
      <c r="K2253" s="158">
        <v>4.8</v>
      </c>
    </row>
    <row r="2254" spans="1:11" x14ac:dyDescent="0.25">
      <c r="A2254" s="162">
        <v>25792</v>
      </c>
      <c r="B2254" s="163">
        <v>7.11</v>
      </c>
      <c r="C2254" s="163"/>
      <c r="D2254" s="163"/>
      <c r="E2254" s="163"/>
      <c r="J2254" s="157">
        <v>38373</v>
      </c>
      <c r="K2254" s="158">
        <v>4.71</v>
      </c>
    </row>
    <row r="2255" spans="1:11" x14ac:dyDescent="0.25">
      <c r="A2255" s="162">
        <v>25793</v>
      </c>
      <c r="B2255" s="163">
        <v>7.12</v>
      </c>
      <c r="C2255" s="163"/>
      <c r="D2255" s="163"/>
      <c r="E2255" s="163"/>
      <c r="J2255" s="157">
        <v>38380</v>
      </c>
      <c r="K2255" s="158">
        <v>4.7</v>
      </c>
    </row>
    <row r="2256" spans="1:11" x14ac:dyDescent="0.25">
      <c r="A2256" s="162">
        <v>25794</v>
      </c>
      <c r="B2256" s="163">
        <v>7.22</v>
      </c>
      <c r="C2256" s="163"/>
      <c r="D2256" s="163"/>
      <c r="E2256" s="163"/>
      <c r="J2256" s="157">
        <v>38387</v>
      </c>
      <c r="K2256" s="158">
        <v>4.62</v>
      </c>
    </row>
    <row r="2257" spans="1:11" x14ac:dyDescent="0.25">
      <c r="A2257" s="162">
        <v>25797</v>
      </c>
      <c r="B2257" s="163">
        <v>7.28</v>
      </c>
      <c r="C2257" s="163"/>
      <c r="D2257" s="163"/>
      <c r="E2257" s="163"/>
      <c r="J2257" s="157">
        <v>38394</v>
      </c>
      <c r="K2257" s="158">
        <v>4.49</v>
      </c>
    </row>
    <row r="2258" spans="1:11" x14ac:dyDescent="0.25">
      <c r="A2258" s="162">
        <v>25798</v>
      </c>
      <c r="B2258" s="163">
        <v>7.25</v>
      </c>
      <c r="C2258" s="163"/>
      <c r="D2258" s="163"/>
      <c r="E2258" s="163"/>
      <c r="J2258" s="157">
        <v>38401</v>
      </c>
      <c r="K2258" s="158">
        <v>4.6100000000000003</v>
      </c>
    </row>
    <row r="2259" spans="1:11" x14ac:dyDescent="0.25">
      <c r="A2259" s="162">
        <v>25799</v>
      </c>
      <c r="B2259" s="163">
        <v>7.23</v>
      </c>
      <c r="C2259" s="163"/>
      <c r="D2259" s="163"/>
      <c r="E2259" s="163"/>
      <c r="J2259" s="157">
        <v>38408</v>
      </c>
      <c r="K2259" s="158">
        <v>4.74</v>
      </c>
    </row>
    <row r="2260" spans="1:11" x14ac:dyDescent="0.25">
      <c r="A2260" s="162">
        <v>25800</v>
      </c>
      <c r="B2260" s="163">
        <v>7.23</v>
      </c>
      <c r="C2260" s="163"/>
      <c r="D2260" s="163"/>
      <c r="E2260" s="163"/>
      <c r="J2260" s="157">
        <v>38415</v>
      </c>
      <c r="K2260" s="158">
        <v>4.79</v>
      </c>
    </row>
    <row r="2261" spans="1:11" x14ac:dyDescent="0.25">
      <c r="A2261" s="162">
        <v>25801</v>
      </c>
      <c r="B2261" s="163">
        <v>7.17</v>
      </c>
      <c r="C2261" s="163"/>
      <c r="D2261" s="163"/>
      <c r="E2261" s="163"/>
      <c r="J2261" s="157">
        <v>38422</v>
      </c>
      <c r="K2261" s="158">
        <v>4.84</v>
      </c>
    </row>
    <row r="2262" spans="1:11" x14ac:dyDescent="0.25">
      <c r="A2262" s="162">
        <v>25804</v>
      </c>
      <c r="B2262" s="163">
        <v>7.02</v>
      </c>
      <c r="C2262" s="163"/>
      <c r="D2262" s="163"/>
      <c r="E2262" s="163"/>
      <c r="J2262" s="157">
        <v>38429</v>
      </c>
      <c r="K2262" s="158">
        <v>4.91</v>
      </c>
    </row>
    <row r="2263" spans="1:11" x14ac:dyDescent="0.25">
      <c r="A2263" s="162">
        <v>25805</v>
      </c>
      <c r="B2263" s="163">
        <v>7</v>
      </c>
      <c r="C2263" s="163"/>
      <c r="D2263" s="163"/>
      <c r="E2263" s="163"/>
      <c r="J2263" s="157">
        <v>38436</v>
      </c>
      <c r="K2263" s="158">
        <v>4.9800000000000004</v>
      </c>
    </row>
    <row r="2264" spans="1:11" x14ac:dyDescent="0.25">
      <c r="A2264" s="162">
        <v>25806</v>
      </c>
      <c r="B2264" s="164">
        <v>7</v>
      </c>
      <c r="C2264" s="164"/>
      <c r="D2264" s="164"/>
      <c r="E2264" s="164"/>
      <c r="J2264" s="157">
        <v>38443</v>
      </c>
      <c r="K2264" s="158">
        <v>4.93</v>
      </c>
    </row>
    <row r="2265" spans="1:11" x14ac:dyDescent="0.25">
      <c r="A2265" s="162">
        <v>25807</v>
      </c>
      <c r="B2265" s="163">
        <v>7.01</v>
      </c>
      <c r="C2265" s="163"/>
      <c r="D2265" s="163"/>
      <c r="E2265" s="163"/>
      <c r="J2265" s="157">
        <v>38450</v>
      </c>
      <c r="K2265" s="158">
        <v>4.87</v>
      </c>
    </row>
    <row r="2266" spans="1:11" x14ac:dyDescent="0.25">
      <c r="A2266" s="162">
        <v>25808</v>
      </c>
      <c r="B2266" s="163">
        <v>7.01</v>
      </c>
      <c r="C2266" s="163"/>
      <c r="D2266" s="163"/>
      <c r="E2266" s="163"/>
      <c r="J2266" s="157">
        <v>38457</v>
      </c>
      <c r="K2266" s="158">
        <v>4.79</v>
      </c>
    </row>
    <row r="2267" spans="1:11" x14ac:dyDescent="0.25">
      <c r="A2267" s="162">
        <v>25811</v>
      </c>
      <c r="B2267" s="163">
        <v>7</v>
      </c>
      <c r="C2267" s="163"/>
      <c r="D2267" s="163"/>
      <c r="E2267" s="163"/>
      <c r="J2267" s="157">
        <v>38464</v>
      </c>
      <c r="K2267" s="158">
        <v>4.68</v>
      </c>
    </row>
    <row r="2268" spans="1:11" x14ac:dyDescent="0.25">
      <c r="A2268" s="162">
        <v>25812</v>
      </c>
      <c r="B2268" s="163">
        <v>6.98</v>
      </c>
      <c r="C2268" s="163"/>
      <c r="D2268" s="163"/>
      <c r="E2268" s="163"/>
      <c r="J2268" s="157">
        <v>38471</v>
      </c>
      <c r="K2268" s="158">
        <v>4.6399999999999997</v>
      </c>
    </row>
    <row r="2269" spans="1:11" x14ac:dyDescent="0.25">
      <c r="A2269" s="162">
        <v>25813</v>
      </c>
      <c r="B2269" s="163">
        <v>6.97</v>
      </c>
      <c r="C2269" s="163"/>
      <c r="D2269" s="163"/>
      <c r="E2269" s="163"/>
      <c r="J2269" s="157">
        <v>38478</v>
      </c>
      <c r="K2269" s="158">
        <v>4.6399999999999997</v>
      </c>
    </row>
    <row r="2270" spans="1:11" x14ac:dyDescent="0.25">
      <c r="A2270" s="162">
        <v>25814</v>
      </c>
      <c r="B2270" s="163">
        <v>6.97</v>
      </c>
      <c r="C2270" s="163"/>
      <c r="D2270" s="163"/>
      <c r="E2270" s="163"/>
      <c r="J2270" s="157">
        <v>38485</v>
      </c>
      <c r="K2270" s="158">
        <v>4.62</v>
      </c>
    </row>
    <row r="2271" spans="1:11" x14ac:dyDescent="0.25">
      <c r="A2271" s="162">
        <v>25815</v>
      </c>
      <c r="B2271" s="163">
        <v>6.97</v>
      </c>
      <c r="C2271" s="163"/>
      <c r="D2271" s="163"/>
      <c r="E2271" s="163"/>
      <c r="J2271" s="157">
        <v>38492</v>
      </c>
      <c r="K2271" s="158">
        <v>4.53</v>
      </c>
    </row>
    <row r="2272" spans="1:11" x14ac:dyDescent="0.25">
      <c r="A2272" s="162">
        <v>25818</v>
      </c>
      <c r="B2272" s="163" t="e">
        <f>NA()</f>
        <v>#N/A</v>
      </c>
      <c r="C2272" s="163"/>
      <c r="D2272" s="163"/>
      <c r="E2272" s="163"/>
      <c r="J2272" s="157">
        <v>38499</v>
      </c>
      <c r="K2272" s="158">
        <v>4.47</v>
      </c>
    </row>
    <row r="2273" spans="1:11" x14ac:dyDescent="0.25">
      <c r="A2273" s="162">
        <v>25819</v>
      </c>
      <c r="B2273" s="163">
        <v>6.97</v>
      </c>
      <c r="C2273" s="163"/>
      <c r="D2273" s="163"/>
      <c r="E2273" s="163"/>
      <c r="J2273" s="157">
        <v>38506</v>
      </c>
      <c r="K2273" s="158">
        <v>4.33</v>
      </c>
    </row>
    <row r="2274" spans="1:11" x14ac:dyDescent="0.25">
      <c r="A2274" s="162">
        <v>25820</v>
      </c>
      <c r="B2274" s="163">
        <v>7</v>
      </c>
      <c r="C2274" s="163"/>
      <c r="D2274" s="163"/>
      <c r="E2274" s="163"/>
      <c r="J2274" s="157">
        <v>38513</v>
      </c>
      <c r="K2274" s="158">
        <v>4.3099999999999996</v>
      </c>
    </row>
    <row r="2275" spans="1:11" x14ac:dyDescent="0.25">
      <c r="A2275" s="162">
        <v>25821</v>
      </c>
      <c r="B2275" s="163">
        <v>7</v>
      </c>
      <c r="C2275" s="163"/>
      <c r="D2275" s="163"/>
      <c r="E2275" s="163"/>
      <c r="J2275" s="157">
        <v>38520</v>
      </c>
      <c r="K2275" s="158">
        <v>4.46</v>
      </c>
    </row>
    <row r="2276" spans="1:11" x14ac:dyDescent="0.25">
      <c r="A2276" s="162">
        <v>25822</v>
      </c>
      <c r="B2276" s="163">
        <v>6.97</v>
      </c>
      <c r="C2276" s="163"/>
      <c r="D2276" s="163"/>
      <c r="E2276" s="163"/>
      <c r="J2276" s="157">
        <v>38527</v>
      </c>
      <c r="K2276" s="158">
        <v>4.3499999999999996</v>
      </c>
    </row>
    <row r="2277" spans="1:11" x14ac:dyDescent="0.25">
      <c r="A2277" s="162">
        <v>25825</v>
      </c>
      <c r="B2277" s="163">
        <v>6.96</v>
      </c>
      <c r="C2277" s="163"/>
      <c r="D2277" s="163"/>
      <c r="E2277" s="163"/>
      <c r="J2277" s="157">
        <v>38534</v>
      </c>
      <c r="K2277" s="158">
        <v>4.3099999999999996</v>
      </c>
    </row>
    <row r="2278" spans="1:11" x14ac:dyDescent="0.25">
      <c r="A2278" s="162">
        <v>25826</v>
      </c>
      <c r="B2278" s="163">
        <v>6.94</v>
      </c>
      <c r="C2278" s="163"/>
      <c r="D2278" s="163"/>
      <c r="E2278" s="163"/>
      <c r="J2278" s="157">
        <v>38541</v>
      </c>
      <c r="K2278" s="158">
        <v>4.41</v>
      </c>
    </row>
    <row r="2279" spans="1:11" x14ac:dyDescent="0.25">
      <c r="A2279" s="162">
        <v>25827</v>
      </c>
      <c r="B2279" s="163">
        <v>6.89</v>
      </c>
      <c r="C2279" s="163"/>
      <c r="D2279" s="163"/>
      <c r="E2279" s="163"/>
      <c r="J2279" s="157">
        <v>38548</v>
      </c>
      <c r="K2279" s="158">
        <v>4.46</v>
      </c>
    </row>
    <row r="2280" spans="1:11" x14ac:dyDescent="0.25">
      <c r="A2280" s="162">
        <v>25828</v>
      </c>
      <c r="B2280" s="163">
        <v>6.81</v>
      </c>
      <c r="C2280" s="163"/>
      <c r="D2280" s="163"/>
      <c r="E2280" s="163"/>
      <c r="J2280" s="157">
        <v>38555</v>
      </c>
      <c r="K2280" s="158">
        <v>4.5199999999999996</v>
      </c>
    </row>
    <row r="2281" spans="1:11" x14ac:dyDescent="0.25">
      <c r="A2281" s="162">
        <v>25829</v>
      </c>
      <c r="B2281" s="163">
        <v>6.79</v>
      </c>
      <c r="C2281" s="163"/>
      <c r="D2281" s="163"/>
      <c r="E2281" s="163"/>
      <c r="J2281" s="157">
        <v>38562</v>
      </c>
      <c r="K2281" s="158">
        <v>4.53</v>
      </c>
    </row>
    <row r="2282" spans="1:11" x14ac:dyDescent="0.25">
      <c r="A2282" s="162">
        <v>25832</v>
      </c>
      <c r="B2282" s="163">
        <v>6.78</v>
      </c>
      <c r="C2282" s="163"/>
      <c r="D2282" s="163"/>
      <c r="E2282" s="163"/>
      <c r="J2282" s="157">
        <v>38569</v>
      </c>
      <c r="K2282" s="158">
        <v>4.6100000000000003</v>
      </c>
    </row>
    <row r="2283" spans="1:11" x14ac:dyDescent="0.25">
      <c r="A2283" s="162">
        <v>25833</v>
      </c>
      <c r="B2283" s="163">
        <v>6.77</v>
      </c>
      <c r="C2283" s="163"/>
      <c r="D2283" s="163"/>
      <c r="E2283" s="163"/>
      <c r="J2283" s="157">
        <v>38576</v>
      </c>
      <c r="K2283" s="158">
        <v>4.62</v>
      </c>
    </row>
    <row r="2284" spans="1:11" x14ac:dyDescent="0.25">
      <c r="A2284" s="162">
        <v>25834</v>
      </c>
      <c r="B2284" s="163">
        <v>6.76</v>
      </c>
      <c r="C2284" s="163"/>
      <c r="D2284" s="163"/>
      <c r="E2284" s="163"/>
      <c r="J2284" s="157">
        <v>38583</v>
      </c>
      <c r="K2284" s="158">
        <v>4.5</v>
      </c>
    </row>
    <row r="2285" spans="1:11" x14ac:dyDescent="0.25">
      <c r="A2285" s="162">
        <v>25835</v>
      </c>
      <c r="B2285" s="163">
        <v>6.78</v>
      </c>
      <c r="C2285" s="163"/>
      <c r="D2285" s="163"/>
      <c r="E2285" s="163"/>
      <c r="J2285" s="157">
        <v>38590</v>
      </c>
      <c r="K2285" s="158">
        <v>4.46</v>
      </c>
    </row>
    <row r="2286" spans="1:11" x14ac:dyDescent="0.25">
      <c r="A2286" s="162">
        <v>25836</v>
      </c>
      <c r="B2286" s="163">
        <v>6.78</v>
      </c>
      <c r="C2286" s="163"/>
      <c r="D2286" s="163"/>
      <c r="E2286" s="163"/>
      <c r="J2286" s="157">
        <v>38597</v>
      </c>
      <c r="K2286" s="158">
        <v>4.3600000000000003</v>
      </c>
    </row>
    <row r="2287" spans="1:11" x14ac:dyDescent="0.25">
      <c r="A2287" s="162">
        <v>25839</v>
      </c>
      <c r="B2287" s="163">
        <v>6.82</v>
      </c>
      <c r="C2287" s="163"/>
      <c r="D2287" s="163"/>
      <c r="E2287" s="163"/>
      <c r="J2287" s="157">
        <v>38604</v>
      </c>
      <c r="K2287" s="158">
        <v>4.4400000000000004</v>
      </c>
    </row>
    <row r="2288" spans="1:11" x14ac:dyDescent="0.25">
      <c r="A2288" s="162">
        <v>25840</v>
      </c>
      <c r="B2288" s="163">
        <v>6.8</v>
      </c>
      <c r="C2288" s="163"/>
      <c r="D2288" s="163"/>
      <c r="E2288" s="163"/>
      <c r="J2288" s="157">
        <v>38611</v>
      </c>
      <c r="K2288" s="158">
        <v>4.53</v>
      </c>
    </row>
    <row r="2289" spans="1:11" x14ac:dyDescent="0.25">
      <c r="A2289" s="162">
        <v>25841</v>
      </c>
      <c r="B2289" s="163">
        <v>6.81</v>
      </c>
      <c r="C2289" s="163"/>
      <c r="D2289" s="163"/>
      <c r="E2289" s="163"/>
      <c r="J2289" s="157">
        <v>38618</v>
      </c>
      <c r="K2289" s="158">
        <v>4.5599999999999996</v>
      </c>
    </row>
    <row r="2290" spans="1:11" x14ac:dyDescent="0.25">
      <c r="A2290" s="162">
        <v>25842</v>
      </c>
      <c r="B2290" s="163">
        <v>6.82</v>
      </c>
      <c r="C2290" s="163"/>
      <c r="D2290" s="163"/>
      <c r="E2290" s="163"/>
      <c r="J2290" s="157">
        <v>38625</v>
      </c>
      <c r="K2290" s="158">
        <v>4.59</v>
      </c>
    </row>
    <row r="2291" spans="1:11" x14ac:dyDescent="0.25">
      <c r="A2291" s="162">
        <v>25843</v>
      </c>
      <c r="B2291" s="163">
        <v>6.79</v>
      </c>
      <c r="C2291" s="163"/>
      <c r="D2291" s="163"/>
      <c r="E2291" s="163"/>
      <c r="J2291" s="157">
        <v>38632</v>
      </c>
      <c r="K2291" s="158">
        <v>4.6399999999999997</v>
      </c>
    </row>
    <row r="2292" spans="1:11" x14ac:dyDescent="0.25">
      <c r="A2292" s="162">
        <v>25846</v>
      </c>
      <c r="B2292" s="163">
        <v>6.79</v>
      </c>
      <c r="C2292" s="163"/>
      <c r="D2292" s="163"/>
      <c r="E2292" s="163"/>
      <c r="J2292" s="157">
        <v>38639</v>
      </c>
      <c r="K2292" s="158">
        <v>4.72</v>
      </c>
    </row>
    <row r="2293" spans="1:11" x14ac:dyDescent="0.25">
      <c r="A2293" s="162">
        <v>25847</v>
      </c>
      <c r="B2293" s="164">
        <v>6.78</v>
      </c>
      <c r="C2293" s="164"/>
      <c r="D2293" s="164"/>
      <c r="E2293" s="164"/>
      <c r="J2293" s="157">
        <v>38646</v>
      </c>
      <c r="K2293" s="158">
        <v>4.75</v>
      </c>
    </row>
    <row r="2294" spans="1:11" x14ac:dyDescent="0.25">
      <c r="A2294" s="162">
        <v>25848</v>
      </c>
      <c r="B2294" s="163">
        <v>6.78</v>
      </c>
      <c r="C2294" s="163"/>
      <c r="D2294" s="163"/>
      <c r="E2294" s="163"/>
      <c r="J2294" s="157">
        <v>38653</v>
      </c>
      <c r="K2294" s="158">
        <v>4.82</v>
      </c>
    </row>
    <row r="2295" spans="1:11" x14ac:dyDescent="0.25">
      <c r="A2295" s="162">
        <v>25849</v>
      </c>
      <c r="B2295" s="163">
        <v>6.79</v>
      </c>
      <c r="C2295" s="163"/>
      <c r="D2295" s="163"/>
      <c r="E2295" s="163"/>
      <c r="J2295" s="157">
        <v>38660</v>
      </c>
      <c r="K2295" s="158">
        <v>4.8899999999999997</v>
      </c>
    </row>
    <row r="2296" spans="1:11" x14ac:dyDescent="0.25">
      <c r="A2296" s="162">
        <v>25850</v>
      </c>
      <c r="B2296" s="163">
        <v>6.81</v>
      </c>
      <c r="C2296" s="163"/>
      <c r="D2296" s="163"/>
      <c r="E2296" s="163"/>
      <c r="J2296" s="157">
        <v>38667</v>
      </c>
      <c r="K2296" s="158">
        <v>4.8899999999999997</v>
      </c>
    </row>
    <row r="2297" spans="1:11" x14ac:dyDescent="0.25">
      <c r="A2297" s="162">
        <v>25853</v>
      </c>
      <c r="B2297" s="163" t="e">
        <f>NA()</f>
        <v>#N/A</v>
      </c>
      <c r="C2297" s="163"/>
      <c r="D2297" s="163"/>
      <c r="E2297" s="163"/>
      <c r="J2297" s="157">
        <v>38674</v>
      </c>
      <c r="K2297" s="158">
        <v>4.8099999999999996</v>
      </c>
    </row>
    <row r="2298" spans="1:11" x14ac:dyDescent="0.25">
      <c r="A2298" s="162">
        <v>25854</v>
      </c>
      <c r="B2298" s="163">
        <v>6.81</v>
      </c>
      <c r="C2298" s="163"/>
      <c r="D2298" s="163"/>
      <c r="E2298" s="163"/>
      <c r="J2298" s="157">
        <v>38681</v>
      </c>
      <c r="K2298" s="158">
        <v>4.7699999999999996</v>
      </c>
    </row>
    <row r="2299" spans="1:11" x14ac:dyDescent="0.25">
      <c r="A2299" s="162">
        <v>25855</v>
      </c>
      <c r="B2299" s="163">
        <v>6.86</v>
      </c>
      <c r="C2299" s="163"/>
      <c r="D2299" s="163"/>
      <c r="E2299" s="163"/>
      <c r="J2299" s="157">
        <v>38688</v>
      </c>
      <c r="K2299" s="158">
        <v>4.79</v>
      </c>
    </row>
    <row r="2300" spans="1:11" x14ac:dyDescent="0.25">
      <c r="A2300" s="162">
        <v>25856</v>
      </c>
      <c r="B2300" s="163">
        <v>6.85</v>
      </c>
      <c r="C2300" s="163"/>
      <c r="D2300" s="163"/>
      <c r="E2300" s="163"/>
      <c r="J2300" s="157">
        <v>38695</v>
      </c>
      <c r="K2300" s="158">
        <v>4.8</v>
      </c>
    </row>
    <row r="2301" spans="1:11" x14ac:dyDescent="0.25">
      <c r="A2301" s="162">
        <v>25857</v>
      </c>
      <c r="B2301" s="163">
        <v>6.87</v>
      </c>
      <c r="C2301" s="163"/>
      <c r="D2301" s="163"/>
      <c r="E2301" s="163"/>
      <c r="J2301" s="157">
        <v>38702</v>
      </c>
      <c r="K2301" s="158">
        <v>4.7699999999999996</v>
      </c>
    </row>
    <row r="2302" spans="1:11" x14ac:dyDescent="0.25">
      <c r="A2302" s="162">
        <v>25860</v>
      </c>
      <c r="B2302" s="163">
        <v>6.9</v>
      </c>
      <c r="C2302" s="163"/>
      <c r="D2302" s="163"/>
      <c r="E2302" s="163"/>
      <c r="J2302" s="157">
        <v>38709</v>
      </c>
      <c r="K2302" s="158">
        <v>4.71</v>
      </c>
    </row>
    <row r="2303" spans="1:11" x14ac:dyDescent="0.25">
      <c r="A2303" s="162">
        <v>25861</v>
      </c>
      <c r="B2303" s="163">
        <v>6.91</v>
      </c>
      <c r="C2303" s="163"/>
      <c r="D2303" s="163"/>
      <c r="E2303" s="163"/>
      <c r="J2303" s="157">
        <v>38716</v>
      </c>
      <c r="K2303" s="158">
        <v>4.5999999999999996</v>
      </c>
    </row>
    <row r="2304" spans="1:11" x14ac:dyDescent="0.25">
      <c r="A2304" s="162">
        <v>25862</v>
      </c>
      <c r="B2304" s="163">
        <v>6.95</v>
      </c>
      <c r="C2304" s="163"/>
      <c r="D2304" s="163"/>
      <c r="E2304" s="163"/>
      <c r="J2304" s="157">
        <v>38723</v>
      </c>
      <c r="K2304" s="158">
        <v>4.62</v>
      </c>
    </row>
    <row r="2305" spans="1:11" x14ac:dyDescent="0.25">
      <c r="A2305" s="162">
        <v>25863</v>
      </c>
      <c r="B2305" s="163">
        <v>6.98</v>
      </c>
      <c r="C2305" s="163"/>
      <c r="D2305" s="163"/>
      <c r="E2305" s="163"/>
      <c r="J2305" s="157">
        <v>38730</v>
      </c>
      <c r="K2305" s="158">
        <v>4.6500000000000004</v>
      </c>
    </row>
    <row r="2306" spans="1:11" x14ac:dyDescent="0.25">
      <c r="A2306" s="162">
        <v>25864</v>
      </c>
      <c r="B2306" s="163">
        <v>6.98</v>
      </c>
      <c r="C2306" s="163"/>
      <c r="D2306" s="163"/>
      <c r="E2306" s="163"/>
      <c r="J2306" s="157">
        <v>38737</v>
      </c>
      <c r="K2306" s="158">
        <v>4.59</v>
      </c>
    </row>
    <row r="2307" spans="1:11" x14ac:dyDescent="0.25">
      <c r="A2307" s="162">
        <v>25867</v>
      </c>
      <c r="B2307" s="163">
        <v>7</v>
      </c>
      <c r="C2307" s="163"/>
      <c r="D2307" s="163"/>
      <c r="E2307" s="163"/>
      <c r="J2307" s="157">
        <v>38744</v>
      </c>
      <c r="K2307" s="158">
        <v>4.6900000000000004</v>
      </c>
    </row>
    <row r="2308" spans="1:11" x14ac:dyDescent="0.25">
      <c r="A2308" s="162">
        <v>25868</v>
      </c>
      <c r="B2308" s="163">
        <v>7</v>
      </c>
      <c r="C2308" s="163"/>
      <c r="D2308" s="163"/>
      <c r="E2308" s="163"/>
      <c r="J2308" s="157">
        <v>38751</v>
      </c>
      <c r="K2308" s="158">
        <v>4.75</v>
      </c>
    </row>
    <row r="2309" spans="1:11" x14ac:dyDescent="0.25">
      <c r="A2309" s="162">
        <v>25869</v>
      </c>
      <c r="B2309" s="163">
        <v>6.97</v>
      </c>
      <c r="C2309" s="163"/>
      <c r="D2309" s="163"/>
      <c r="E2309" s="163"/>
      <c r="J2309" s="157">
        <v>38758</v>
      </c>
      <c r="K2309" s="158">
        <v>4.7300000000000004</v>
      </c>
    </row>
    <row r="2310" spans="1:11" x14ac:dyDescent="0.25">
      <c r="A2310" s="162">
        <v>25870</v>
      </c>
      <c r="B2310" s="163">
        <v>6.88</v>
      </c>
      <c r="C2310" s="163"/>
      <c r="D2310" s="163"/>
      <c r="E2310" s="163"/>
      <c r="J2310" s="157">
        <v>38765</v>
      </c>
      <c r="K2310" s="158">
        <v>4.76</v>
      </c>
    </row>
    <row r="2311" spans="1:11" x14ac:dyDescent="0.25">
      <c r="A2311" s="162">
        <v>25871</v>
      </c>
      <c r="B2311" s="163">
        <v>6.9</v>
      </c>
      <c r="C2311" s="163"/>
      <c r="D2311" s="163"/>
      <c r="E2311" s="163"/>
      <c r="J2311" s="157">
        <v>38772</v>
      </c>
      <c r="K2311" s="158">
        <v>4.7</v>
      </c>
    </row>
    <row r="2312" spans="1:11" x14ac:dyDescent="0.25">
      <c r="A2312" s="162">
        <v>25874</v>
      </c>
      <c r="B2312" s="163">
        <v>6.8</v>
      </c>
      <c r="C2312" s="163"/>
      <c r="D2312" s="163"/>
      <c r="E2312" s="163"/>
      <c r="J2312" s="157">
        <v>38779</v>
      </c>
      <c r="K2312" s="158">
        <v>4.76</v>
      </c>
    </row>
    <row r="2313" spans="1:11" x14ac:dyDescent="0.25">
      <c r="A2313" s="162">
        <v>25875</v>
      </c>
      <c r="B2313" s="163" t="e">
        <f>NA()</f>
        <v>#N/A</v>
      </c>
      <c r="C2313" s="163"/>
      <c r="D2313" s="163"/>
      <c r="E2313" s="163"/>
      <c r="J2313" s="157">
        <v>38786</v>
      </c>
      <c r="K2313" s="158">
        <v>4.91</v>
      </c>
    </row>
    <row r="2314" spans="1:11" x14ac:dyDescent="0.25">
      <c r="A2314" s="162">
        <v>25876</v>
      </c>
      <c r="B2314" s="163">
        <v>6.79</v>
      </c>
      <c r="C2314" s="163"/>
      <c r="D2314" s="163"/>
      <c r="E2314" s="163"/>
      <c r="J2314" s="157">
        <v>38793</v>
      </c>
      <c r="K2314" s="158">
        <v>4.9000000000000004</v>
      </c>
    </row>
    <row r="2315" spans="1:11" x14ac:dyDescent="0.25">
      <c r="A2315" s="162">
        <v>25877</v>
      </c>
      <c r="B2315" s="163">
        <v>6.79</v>
      </c>
      <c r="C2315" s="163"/>
      <c r="D2315" s="163"/>
      <c r="E2315" s="163"/>
      <c r="J2315" s="157">
        <v>38800</v>
      </c>
      <c r="K2315" s="158">
        <v>4.9000000000000004</v>
      </c>
    </row>
    <row r="2316" spans="1:11" x14ac:dyDescent="0.25">
      <c r="A2316" s="162">
        <v>25878</v>
      </c>
      <c r="B2316" s="163">
        <v>6.76</v>
      </c>
      <c r="C2316" s="163"/>
      <c r="D2316" s="163"/>
      <c r="E2316" s="163"/>
      <c r="J2316" s="157">
        <v>38807</v>
      </c>
      <c r="K2316" s="158">
        <v>5.01</v>
      </c>
    </row>
    <row r="2317" spans="1:11" x14ac:dyDescent="0.25">
      <c r="A2317" s="162">
        <v>25881</v>
      </c>
      <c r="B2317" s="163">
        <v>6.71</v>
      </c>
      <c r="C2317" s="163"/>
      <c r="D2317" s="163"/>
      <c r="E2317" s="163"/>
      <c r="J2317" s="157">
        <v>38814</v>
      </c>
      <c r="K2317" s="158">
        <v>5.1100000000000003</v>
      </c>
    </row>
    <row r="2318" spans="1:11" x14ac:dyDescent="0.25">
      <c r="A2318" s="162">
        <v>25882</v>
      </c>
      <c r="B2318" s="163">
        <v>6.7</v>
      </c>
      <c r="C2318" s="163"/>
      <c r="D2318" s="163"/>
      <c r="E2318" s="163"/>
      <c r="J2318" s="157">
        <v>38821</v>
      </c>
      <c r="K2318" s="158">
        <v>5.22</v>
      </c>
    </row>
    <row r="2319" spans="1:11" x14ac:dyDescent="0.25">
      <c r="A2319" s="162">
        <v>25883</v>
      </c>
      <c r="B2319" s="163" t="e">
        <f>NA()</f>
        <v>#N/A</v>
      </c>
      <c r="C2319" s="163"/>
      <c r="D2319" s="163"/>
      <c r="E2319" s="163"/>
      <c r="J2319" s="157">
        <v>38828</v>
      </c>
      <c r="K2319" s="158">
        <v>5.26</v>
      </c>
    </row>
    <row r="2320" spans="1:11" x14ac:dyDescent="0.25">
      <c r="A2320" s="162">
        <v>25884</v>
      </c>
      <c r="B2320" s="163">
        <v>6.63</v>
      </c>
      <c r="C2320" s="163"/>
      <c r="D2320" s="163"/>
      <c r="E2320" s="163"/>
      <c r="J2320" s="157">
        <v>38835</v>
      </c>
      <c r="K2320" s="158">
        <v>5.3</v>
      </c>
    </row>
    <row r="2321" spans="1:11" x14ac:dyDescent="0.25">
      <c r="A2321" s="162">
        <v>25885</v>
      </c>
      <c r="B2321" s="163">
        <v>6.67</v>
      </c>
      <c r="C2321" s="163"/>
      <c r="D2321" s="163"/>
      <c r="E2321" s="163"/>
      <c r="J2321" s="157">
        <v>38842</v>
      </c>
      <c r="K2321" s="158">
        <v>5.37</v>
      </c>
    </row>
    <row r="2322" spans="1:11" x14ac:dyDescent="0.25">
      <c r="A2322" s="162">
        <v>25888</v>
      </c>
      <c r="B2322" s="163">
        <v>6.68</v>
      </c>
      <c r="C2322" s="163"/>
      <c r="D2322" s="163"/>
      <c r="E2322" s="163"/>
      <c r="J2322" s="157">
        <v>38849</v>
      </c>
      <c r="K2322" s="158">
        <v>5.37</v>
      </c>
    </row>
    <row r="2323" spans="1:11" x14ac:dyDescent="0.25">
      <c r="A2323" s="162">
        <v>25889</v>
      </c>
      <c r="B2323" s="163">
        <v>6.68</v>
      </c>
      <c r="C2323" s="163"/>
      <c r="D2323" s="163"/>
      <c r="E2323" s="163"/>
      <c r="J2323" s="157">
        <v>38856</v>
      </c>
      <c r="K2323" s="158">
        <v>5.36</v>
      </c>
    </row>
    <row r="2324" spans="1:11" x14ac:dyDescent="0.25">
      <c r="A2324" s="162">
        <v>25890</v>
      </c>
      <c r="B2324" s="163">
        <v>6.64</v>
      </c>
      <c r="C2324" s="163"/>
      <c r="D2324" s="163"/>
      <c r="E2324" s="163"/>
      <c r="J2324" s="157">
        <v>38863</v>
      </c>
      <c r="K2324" s="158">
        <v>5.29</v>
      </c>
    </row>
    <row r="2325" spans="1:11" x14ac:dyDescent="0.25">
      <c r="A2325" s="162">
        <v>25891</v>
      </c>
      <c r="B2325" s="163">
        <v>6.53</v>
      </c>
      <c r="C2325" s="163"/>
      <c r="D2325" s="163"/>
      <c r="E2325" s="163"/>
      <c r="J2325" s="157">
        <v>38870</v>
      </c>
      <c r="K2325" s="158">
        <v>5.32</v>
      </c>
    </row>
    <row r="2326" spans="1:11" x14ac:dyDescent="0.25">
      <c r="A2326" s="162">
        <v>25892</v>
      </c>
      <c r="B2326" s="163">
        <v>6.35</v>
      </c>
      <c r="C2326" s="163"/>
      <c r="D2326" s="163"/>
      <c r="E2326" s="163"/>
      <c r="J2326" s="157">
        <v>38877</v>
      </c>
      <c r="K2326" s="158">
        <v>5.21</v>
      </c>
    </row>
    <row r="2327" spans="1:11" x14ac:dyDescent="0.25">
      <c r="A2327" s="162">
        <v>25895</v>
      </c>
      <c r="B2327" s="163">
        <v>6.21</v>
      </c>
      <c r="C2327" s="163"/>
      <c r="D2327" s="163"/>
      <c r="E2327" s="163"/>
      <c r="J2327" s="157">
        <v>38884</v>
      </c>
      <c r="K2327" s="158">
        <v>5.23</v>
      </c>
    </row>
    <row r="2328" spans="1:11" x14ac:dyDescent="0.25">
      <c r="A2328" s="162">
        <v>25896</v>
      </c>
      <c r="B2328" s="163">
        <v>6.32</v>
      </c>
      <c r="C2328" s="163"/>
      <c r="D2328" s="163"/>
      <c r="E2328" s="163"/>
      <c r="J2328" s="157">
        <v>38891</v>
      </c>
      <c r="K2328" s="158">
        <v>5.35</v>
      </c>
    </row>
    <row r="2329" spans="1:11" x14ac:dyDescent="0.25">
      <c r="A2329" s="162">
        <v>25897</v>
      </c>
      <c r="B2329" s="163">
        <v>6.38</v>
      </c>
      <c r="C2329" s="163"/>
      <c r="D2329" s="163"/>
      <c r="E2329" s="163"/>
      <c r="J2329" s="157">
        <v>38898</v>
      </c>
      <c r="K2329" s="158">
        <v>5.38</v>
      </c>
    </row>
    <row r="2330" spans="1:11" x14ac:dyDescent="0.25">
      <c r="A2330" s="162">
        <v>25898</v>
      </c>
      <c r="B2330" s="163" t="e">
        <f>NA()</f>
        <v>#N/A</v>
      </c>
      <c r="C2330" s="163"/>
      <c r="D2330" s="163"/>
      <c r="E2330" s="163"/>
      <c r="J2330" s="157">
        <v>38905</v>
      </c>
      <c r="K2330" s="158">
        <v>5.34</v>
      </c>
    </row>
    <row r="2331" spans="1:11" x14ac:dyDescent="0.25">
      <c r="A2331" s="162">
        <v>25899</v>
      </c>
      <c r="B2331" s="163">
        <v>6.38</v>
      </c>
      <c r="C2331" s="163"/>
      <c r="D2331" s="163"/>
      <c r="E2331" s="163"/>
      <c r="J2331" s="157">
        <v>38912</v>
      </c>
      <c r="K2331" s="158">
        <v>5.25</v>
      </c>
    </row>
    <row r="2332" spans="1:11" x14ac:dyDescent="0.25">
      <c r="A2332" s="162">
        <v>25902</v>
      </c>
      <c r="B2332" s="163">
        <v>6.39</v>
      </c>
      <c r="C2332" s="163"/>
      <c r="D2332" s="163"/>
      <c r="E2332" s="163"/>
      <c r="J2332" s="157">
        <v>38919</v>
      </c>
      <c r="K2332" s="158">
        <v>5.23</v>
      </c>
    </row>
    <row r="2333" spans="1:11" x14ac:dyDescent="0.25">
      <c r="A2333" s="162">
        <v>25903</v>
      </c>
      <c r="B2333" s="163">
        <v>6.36</v>
      </c>
      <c r="C2333" s="163"/>
      <c r="D2333" s="163"/>
      <c r="E2333" s="163"/>
      <c r="J2333" s="157">
        <v>38926</v>
      </c>
      <c r="K2333" s="158">
        <v>5.21</v>
      </c>
    </row>
    <row r="2334" spans="1:11" x14ac:dyDescent="0.25">
      <c r="A2334" s="162">
        <v>25904</v>
      </c>
      <c r="B2334" s="164">
        <v>6.28</v>
      </c>
      <c r="C2334" s="164"/>
      <c r="D2334" s="164"/>
      <c r="E2334" s="164"/>
      <c r="J2334" s="157">
        <v>38933</v>
      </c>
      <c r="K2334" s="158">
        <v>5.14</v>
      </c>
    </row>
    <row r="2335" spans="1:11" x14ac:dyDescent="0.25">
      <c r="A2335" s="162">
        <v>25905</v>
      </c>
      <c r="B2335" s="163">
        <v>6.21</v>
      </c>
      <c r="C2335" s="163"/>
      <c r="D2335" s="163"/>
      <c r="E2335" s="163"/>
      <c r="J2335" s="157">
        <v>38940</v>
      </c>
      <c r="K2335" s="158">
        <v>5.13</v>
      </c>
    </row>
    <row r="2336" spans="1:11" x14ac:dyDescent="0.25">
      <c r="A2336" s="162">
        <v>25906</v>
      </c>
      <c r="B2336" s="163">
        <v>6.16</v>
      </c>
      <c r="C2336" s="163"/>
      <c r="D2336" s="163"/>
      <c r="E2336" s="163"/>
      <c r="J2336" s="157">
        <v>38947</v>
      </c>
      <c r="K2336" s="158">
        <v>5.1100000000000003</v>
      </c>
    </row>
    <row r="2337" spans="1:11" x14ac:dyDescent="0.25">
      <c r="A2337" s="162">
        <v>25909</v>
      </c>
      <c r="B2337" s="163">
        <v>6.22</v>
      </c>
      <c r="C2337" s="163"/>
      <c r="D2337" s="163"/>
      <c r="E2337" s="163"/>
      <c r="J2337" s="157">
        <v>38954</v>
      </c>
      <c r="K2337" s="158">
        <v>5.03</v>
      </c>
    </row>
    <row r="2338" spans="1:11" x14ac:dyDescent="0.25">
      <c r="A2338" s="162">
        <v>25910</v>
      </c>
      <c r="B2338" s="163">
        <v>6.22</v>
      </c>
      <c r="C2338" s="163"/>
      <c r="D2338" s="163"/>
      <c r="E2338" s="163"/>
      <c r="J2338" s="157">
        <v>38961</v>
      </c>
      <c r="K2338" s="158">
        <v>4.9800000000000004</v>
      </c>
    </row>
    <row r="2339" spans="1:11" x14ac:dyDescent="0.25">
      <c r="A2339" s="162">
        <v>25911</v>
      </c>
      <c r="B2339" s="163">
        <v>6.25</v>
      </c>
      <c r="C2339" s="163"/>
      <c r="D2339" s="163"/>
      <c r="E2339" s="163"/>
      <c r="J2339" s="157">
        <v>38968</v>
      </c>
      <c r="K2339" s="158">
        <v>5.01</v>
      </c>
    </row>
    <row r="2340" spans="1:11" x14ac:dyDescent="0.25">
      <c r="A2340" s="162">
        <v>25912</v>
      </c>
      <c r="B2340" s="163">
        <v>6.25</v>
      </c>
      <c r="C2340" s="163"/>
      <c r="D2340" s="163"/>
      <c r="E2340" s="163"/>
      <c r="J2340" s="157">
        <v>38975</v>
      </c>
      <c r="K2340" s="158">
        <v>4.99</v>
      </c>
    </row>
    <row r="2341" spans="1:11" x14ac:dyDescent="0.25">
      <c r="A2341" s="162">
        <v>25913</v>
      </c>
      <c r="B2341" s="163">
        <v>6.21</v>
      </c>
      <c r="C2341" s="163"/>
      <c r="D2341" s="163"/>
      <c r="E2341" s="163"/>
      <c r="J2341" s="157">
        <v>38982</v>
      </c>
      <c r="K2341" s="158">
        <v>4.91</v>
      </c>
    </row>
    <row r="2342" spans="1:11" x14ac:dyDescent="0.25">
      <c r="A2342" s="162">
        <v>25916</v>
      </c>
      <c r="B2342" s="163">
        <v>6.16</v>
      </c>
      <c r="C2342" s="163"/>
      <c r="D2342" s="163"/>
      <c r="E2342" s="163"/>
      <c r="J2342" s="157">
        <v>38989</v>
      </c>
      <c r="K2342" s="158">
        <v>4.8099999999999996</v>
      </c>
    </row>
    <row r="2343" spans="1:11" x14ac:dyDescent="0.25">
      <c r="A2343" s="162">
        <v>25917</v>
      </c>
      <c r="B2343" s="163">
        <v>6.17</v>
      </c>
      <c r="C2343" s="163"/>
      <c r="D2343" s="163"/>
      <c r="E2343" s="163"/>
      <c r="J2343" s="157">
        <v>38996</v>
      </c>
      <c r="K2343" s="158">
        <v>4.84</v>
      </c>
    </row>
    <row r="2344" spans="1:11" x14ac:dyDescent="0.25">
      <c r="A2344" s="162">
        <v>25918</v>
      </c>
      <c r="B2344" s="163">
        <v>6.15</v>
      </c>
      <c r="C2344" s="163"/>
      <c r="D2344" s="163"/>
      <c r="E2344" s="163"/>
      <c r="J2344" s="157">
        <v>39003</v>
      </c>
      <c r="K2344" s="158">
        <v>4.99</v>
      </c>
    </row>
    <row r="2345" spans="1:11" x14ac:dyDescent="0.25">
      <c r="A2345" s="162">
        <v>25919</v>
      </c>
      <c r="B2345" s="163">
        <v>6.16</v>
      </c>
      <c r="C2345" s="163"/>
      <c r="D2345" s="163"/>
      <c r="E2345" s="163"/>
      <c r="J2345" s="157">
        <v>39010</v>
      </c>
      <c r="K2345" s="158">
        <v>4.99</v>
      </c>
    </row>
    <row r="2346" spans="1:11" x14ac:dyDescent="0.25">
      <c r="A2346" s="162">
        <v>25920</v>
      </c>
      <c r="B2346" s="163">
        <v>6.19</v>
      </c>
      <c r="C2346" s="163"/>
      <c r="D2346" s="163"/>
      <c r="E2346" s="163"/>
      <c r="J2346" s="157">
        <v>39017</v>
      </c>
      <c r="K2346" s="158">
        <v>4.97</v>
      </c>
    </row>
    <row r="2347" spans="1:11" x14ac:dyDescent="0.25">
      <c r="A2347" s="162">
        <v>25923</v>
      </c>
      <c r="B2347" s="163">
        <v>6.28</v>
      </c>
      <c r="C2347" s="163"/>
      <c r="D2347" s="163"/>
      <c r="E2347" s="163"/>
      <c r="J2347" s="157">
        <v>39024</v>
      </c>
      <c r="K2347" s="158">
        <v>4.83</v>
      </c>
    </row>
    <row r="2348" spans="1:11" x14ac:dyDescent="0.25">
      <c r="A2348" s="162">
        <v>25924</v>
      </c>
      <c r="B2348" s="163">
        <v>6.33</v>
      </c>
      <c r="C2348" s="163"/>
      <c r="D2348" s="163"/>
      <c r="E2348" s="163"/>
      <c r="J2348" s="157">
        <v>39031</v>
      </c>
      <c r="K2348" s="158">
        <v>4.83</v>
      </c>
    </row>
    <row r="2349" spans="1:11" x14ac:dyDescent="0.25">
      <c r="A2349" s="162">
        <v>25925</v>
      </c>
      <c r="B2349" s="163">
        <v>6.37</v>
      </c>
      <c r="C2349" s="163"/>
      <c r="D2349" s="163"/>
      <c r="E2349" s="163"/>
      <c r="J2349" s="157">
        <v>39038</v>
      </c>
      <c r="K2349" s="158">
        <v>4.8</v>
      </c>
    </row>
    <row r="2350" spans="1:11" x14ac:dyDescent="0.25">
      <c r="A2350" s="162">
        <v>25926</v>
      </c>
      <c r="B2350" s="163">
        <v>6.37</v>
      </c>
      <c r="C2350" s="163"/>
      <c r="D2350" s="163"/>
      <c r="E2350" s="163"/>
      <c r="J2350" s="157">
        <v>39045</v>
      </c>
      <c r="K2350" s="158">
        <v>4.76</v>
      </c>
    </row>
    <row r="2351" spans="1:11" x14ac:dyDescent="0.25">
      <c r="A2351" s="162">
        <v>25927</v>
      </c>
      <c r="B2351" s="163" t="e">
        <f>NA()</f>
        <v>#N/A</v>
      </c>
      <c r="C2351" s="163"/>
      <c r="D2351" s="163"/>
      <c r="E2351" s="163"/>
      <c r="J2351" s="157">
        <v>39052</v>
      </c>
      <c r="K2351" s="158">
        <v>4.6900000000000004</v>
      </c>
    </row>
    <row r="2352" spans="1:11" x14ac:dyDescent="0.25">
      <c r="A2352" s="162">
        <v>25930</v>
      </c>
      <c r="B2352" s="163">
        <v>6.4</v>
      </c>
      <c r="C2352" s="163"/>
      <c r="D2352" s="163"/>
      <c r="E2352" s="163"/>
      <c r="J2352" s="157">
        <v>39059</v>
      </c>
      <c r="K2352" s="158">
        <v>4.6900000000000004</v>
      </c>
    </row>
    <row r="2353" spans="1:11" x14ac:dyDescent="0.25">
      <c r="A2353" s="162">
        <v>25931</v>
      </c>
      <c r="B2353" s="163">
        <v>6.45</v>
      </c>
      <c r="C2353" s="163"/>
      <c r="D2353" s="163"/>
      <c r="E2353" s="163"/>
      <c r="J2353" s="157">
        <v>39066</v>
      </c>
      <c r="K2353" s="158">
        <v>4.7699999999999996</v>
      </c>
    </row>
    <row r="2354" spans="1:11" x14ac:dyDescent="0.25">
      <c r="A2354" s="162">
        <v>25932</v>
      </c>
      <c r="B2354" s="163">
        <v>6.44</v>
      </c>
      <c r="C2354" s="163"/>
      <c r="D2354" s="163"/>
      <c r="E2354" s="163"/>
      <c r="J2354" s="157">
        <v>39073</v>
      </c>
      <c r="K2354" s="158">
        <v>4.82</v>
      </c>
    </row>
    <row r="2355" spans="1:11" x14ac:dyDescent="0.25">
      <c r="A2355" s="162">
        <v>25933</v>
      </c>
      <c r="B2355" s="163">
        <v>6.45</v>
      </c>
      <c r="C2355" s="163"/>
      <c r="D2355" s="163"/>
      <c r="E2355" s="163"/>
      <c r="J2355" s="157">
        <v>39080</v>
      </c>
      <c r="K2355" s="158">
        <v>4.88</v>
      </c>
    </row>
    <row r="2356" spans="1:11" x14ac:dyDescent="0.25">
      <c r="A2356" s="162">
        <v>25934</v>
      </c>
      <c r="B2356" s="163" t="e">
        <f>NA()</f>
        <v>#N/A</v>
      </c>
      <c r="C2356" s="163"/>
      <c r="D2356" s="163"/>
      <c r="E2356" s="163"/>
      <c r="J2356" s="157">
        <v>39087</v>
      </c>
      <c r="K2356" s="158">
        <v>4.84</v>
      </c>
    </row>
    <row r="2357" spans="1:11" x14ac:dyDescent="0.25">
      <c r="A2357" s="162">
        <v>25937</v>
      </c>
      <c r="B2357" s="163">
        <v>6.39</v>
      </c>
      <c r="C2357" s="163"/>
      <c r="D2357" s="163"/>
      <c r="E2357" s="163"/>
      <c r="J2357" s="157">
        <v>39094</v>
      </c>
      <c r="K2357" s="158">
        <v>4.88</v>
      </c>
    </row>
    <row r="2358" spans="1:11" x14ac:dyDescent="0.25">
      <c r="A2358" s="162">
        <v>25938</v>
      </c>
      <c r="B2358" s="163">
        <v>6.38</v>
      </c>
      <c r="C2358" s="163"/>
      <c r="D2358" s="163"/>
      <c r="E2358" s="163"/>
      <c r="J2358" s="157">
        <v>39101</v>
      </c>
      <c r="K2358" s="158">
        <v>4.96</v>
      </c>
    </row>
    <row r="2359" spans="1:11" x14ac:dyDescent="0.25">
      <c r="A2359" s="162">
        <v>25939</v>
      </c>
      <c r="B2359" s="163">
        <v>6.37</v>
      </c>
      <c r="C2359" s="163"/>
      <c r="D2359" s="163"/>
      <c r="E2359" s="163"/>
      <c r="J2359" s="157">
        <v>39108</v>
      </c>
      <c r="K2359" s="158">
        <v>5.01</v>
      </c>
    </row>
    <row r="2360" spans="1:11" x14ac:dyDescent="0.25">
      <c r="A2360" s="162">
        <v>25940</v>
      </c>
      <c r="B2360" s="163">
        <v>6.33</v>
      </c>
      <c r="C2360" s="163"/>
      <c r="D2360" s="163"/>
      <c r="E2360" s="163"/>
      <c r="J2360" s="157">
        <v>39115</v>
      </c>
      <c r="K2360" s="158">
        <v>5.04</v>
      </c>
    </row>
    <row r="2361" spans="1:11" x14ac:dyDescent="0.25">
      <c r="A2361" s="162">
        <v>25941</v>
      </c>
      <c r="B2361" s="163">
        <v>6.31</v>
      </c>
      <c r="C2361" s="163"/>
      <c r="D2361" s="163"/>
      <c r="E2361" s="163"/>
      <c r="J2361" s="157">
        <v>39122</v>
      </c>
      <c r="K2361" s="158">
        <v>4.96</v>
      </c>
    </row>
    <row r="2362" spans="1:11" x14ac:dyDescent="0.25">
      <c r="A2362" s="162">
        <v>25944</v>
      </c>
      <c r="B2362" s="164">
        <v>6.28</v>
      </c>
      <c r="C2362" s="164"/>
      <c r="D2362" s="164"/>
      <c r="E2362" s="164"/>
      <c r="J2362" s="157">
        <v>39129</v>
      </c>
      <c r="K2362" s="158">
        <v>4.95</v>
      </c>
    </row>
    <row r="2363" spans="1:11" x14ac:dyDescent="0.25">
      <c r="A2363" s="162">
        <v>25945</v>
      </c>
      <c r="B2363" s="163">
        <v>6.25</v>
      </c>
      <c r="C2363" s="163"/>
      <c r="D2363" s="163"/>
      <c r="E2363" s="163"/>
      <c r="J2363" s="157">
        <v>39136</v>
      </c>
      <c r="K2363" s="158">
        <v>4.91</v>
      </c>
    </row>
    <row r="2364" spans="1:11" x14ac:dyDescent="0.25">
      <c r="A2364" s="162">
        <v>25946</v>
      </c>
      <c r="B2364" s="163">
        <v>6.22</v>
      </c>
      <c r="C2364" s="163"/>
      <c r="D2364" s="163"/>
      <c r="E2364" s="163"/>
      <c r="J2364" s="157">
        <v>39143</v>
      </c>
      <c r="K2364" s="158">
        <v>4.78</v>
      </c>
    </row>
    <row r="2365" spans="1:11" x14ac:dyDescent="0.25">
      <c r="A2365" s="162">
        <v>25947</v>
      </c>
      <c r="B2365" s="163">
        <v>6.16</v>
      </c>
      <c r="C2365" s="163"/>
      <c r="D2365" s="163"/>
      <c r="E2365" s="163"/>
      <c r="J2365" s="157">
        <v>39150</v>
      </c>
      <c r="K2365" s="158">
        <v>4.76</v>
      </c>
    </row>
    <row r="2366" spans="1:11" x14ac:dyDescent="0.25">
      <c r="A2366" s="162">
        <v>25948</v>
      </c>
      <c r="B2366" s="163">
        <v>6.16</v>
      </c>
      <c r="C2366" s="163"/>
      <c r="D2366" s="163"/>
      <c r="E2366" s="163"/>
      <c r="J2366" s="157">
        <v>39157</v>
      </c>
      <c r="K2366" s="158">
        <v>4.78</v>
      </c>
    </row>
    <row r="2367" spans="1:11" x14ac:dyDescent="0.25">
      <c r="A2367" s="162">
        <v>25951</v>
      </c>
      <c r="B2367" s="163">
        <v>6.11</v>
      </c>
      <c r="C2367" s="163"/>
      <c r="D2367" s="163"/>
      <c r="E2367" s="163"/>
      <c r="J2367" s="157">
        <v>39164</v>
      </c>
      <c r="K2367" s="158">
        <v>4.82</v>
      </c>
    </row>
    <row r="2368" spans="1:11" x14ac:dyDescent="0.25">
      <c r="A2368" s="162">
        <v>25952</v>
      </c>
      <c r="B2368" s="163">
        <v>6.12</v>
      </c>
      <c r="C2368" s="163"/>
      <c r="D2368" s="163"/>
      <c r="E2368" s="163"/>
      <c r="J2368" s="157">
        <v>39171</v>
      </c>
      <c r="K2368" s="158">
        <v>4.8899999999999997</v>
      </c>
    </row>
    <row r="2369" spans="1:11" x14ac:dyDescent="0.25">
      <c r="A2369" s="162">
        <v>25953</v>
      </c>
      <c r="B2369" s="163">
        <v>6.12</v>
      </c>
      <c r="C2369" s="163"/>
      <c r="D2369" s="163"/>
      <c r="E2369" s="163"/>
      <c r="J2369" s="157">
        <v>39178</v>
      </c>
      <c r="K2369" s="158">
        <v>4.9400000000000004</v>
      </c>
    </row>
    <row r="2370" spans="1:11" x14ac:dyDescent="0.25">
      <c r="A2370" s="162">
        <v>25954</v>
      </c>
      <c r="B2370" s="163">
        <v>6.08</v>
      </c>
      <c r="C2370" s="163"/>
      <c r="D2370" s="163"/>
      <c r="E2370" s="163"/>
      <c r="J2370" s="157">
        <v>39185</v>
      </c>
      <c r="K2370" s="158">
        <v>5</v>
      </c>
    </row>
    <row r="2371" spans="1:11" x14ac:dyDescent="0.25">
      <c r="A2371" s="162">
        <v>25955</v>
      </c>
      <c r="B2371" s="163">
        <v>6.04</v>
      </c>
      <c r="C2371" s="163"/>
      <c r="D2371" s="163"/>
      <c r="E2371" s="163"/>
      <c r="J2371" s="157">
        <v>39192</v>
      </c>
      <c r="K2371" s="158">
        <v>4.93</v>
      </c>
    </row>
    <row r="2372" spans="1:11" x14ac:dyDescent="0.25">
      <c r="A2372" s="162">
        <v>25958</v>
      </c>
      <c r="B2372" s="163">
        <v>6.02</v>
      </c>
      <c r="C2372" s="163"/>
      <c r="D2372" s="163"/>
      <c r="E2372" s="163"/>
      <c r="J2372" s="157">
        <v>39199</v>
      </c>
      <c r="K2372" s="158">
        <v>4.92</v>
      </c>
    </row>
    <row r="2373" spans="1:11" x14ac:dyDescent="0.25">
      <c r="A2373" s="162">
        <v>25959</v>
      </c>
      <c r="B2373" s="163">
        <v>6.04</v>
      </c>
      <c r="C2373" s="163"/>
      <c r="D2373" s="163"/>
      <c r="E2373" s="163"/>
      <c r="J2373" s="157">
        <v>39206</v>
      </c>
      <c r="K2373" s="158">
        <v>4.8899999999999997</v>
      </c>
    </row>
    <row r="2374" spans="1:11" x14ac:dyDescent="0.25">
      <c r="A2374" s="162">
        <v>25960</v>
      </c>
      <c r="B2374" s="163">
        <v>6.06</v>
      </c>
      <c r="C2374" s="163"/>
      <c r="D2374" s="163"/>
      <c r="E2374" s="163"/>
      <c r="J2374" s="157">
        <v>39213</v>
      </c>
      <c r="K2374" s="158">
        <v>4.8899999999999997</v>
      </c>
    </row>
    <row r="2375" spans="1:11" x14ac:dyDescent="0.25">
      <c r="A2375" s="162">
        <v>25961</v>
      </c>
      <c r="B2375" s="163">
        <v>6.06</v>
      </c>
      <c r="C2375" s="163"/>
      <c r="D2375" s="163"/>
      <c r="E2375" s="163"/>
      <c r="J2375" s="157">
        <v>39220</v>
      </c>
      <c r="K2375" s="158">
        <v>4.97</v>
      </c>
    </row>
    <row r="2376" spans="1:11" x14ac:dyDescent="0.25">
      <c r="A2376" s="162">
        <v>25962</v>
      </c>
      <c r="B2376" s="163">
        <v>6.07</v>
      </c>
      <c r="C2376" s="163"/>
      <c r="D2376" s="163"/>
      <c r="E2376" s="163"/>
      <c r="J2376" s="157">
        <v>39227</v>
      </c>
      <c r="K2376" s="158">
        <v>5.07</v>
      </c>
    </row>
    <row r="2377" spans="1:11" x14ac:dyDescent="0.25">
      <c r="A2377" s="162">
        <v>25965</v>
      </c>
      <c r="B2377" s="163">
        <v>6.09</v>
      </c>
      <c r="C2377" s="163"/>
      <c r="D2377" s="163"/>
      <c r="E2377" s="163"/>
      <c r="J2377" s="157">
        <v>39234</v>
      </c>
      <c r="K2377" s="158">
        <v>5.1100000000000003</v>
      </c>
    </row>
    <row r="2378" spans="1:11" x14ac:dyDescent="0.25">
      <c r="A2378" s="162">
        <v>25966</v>
      </c>
      <c r="B2378" s="163">
        <v>6.1</v>
      </c>
      <c r="C2378" s="163"/>
      <c r="D2378" s="163"/>
      <c r="E2378" s="163"/>
      <c r="J2378" s="157">
        <v>39241</v>
      </c>
      <c r="K2378" s="158">
        <v>5.21</v>
      </c>
    </row>
    <row r="2379" spans="1:11" x14ac:dyDescent="0.25">
      <c r="A2379" s="162">
        <v>25967</v>
      </c>
      <c r="B2379" s="163">
        <v>6.1</v>
      </c>
      <c r="C2379" s="163"/>
      <c r="D2379" s="163"/>
      <c r="E2379" s="163"/>
      <c r="J2379" s="157">
        <v>39248</v>
      </c>
      <c r="K2379" s="158">
        <v>5.37</v>
      </c>
    </row>
    <row r="2380" spans="1:11" x14ac:dyDescent="0.25">
      <c r="A2380" s="162">
        <v>25968</v>
      </c>
      <c r="B2380" s="163">
        <v>6.1</v>
      </c>
      <c r="C2380" s="163"/>
      <c r="D2380" s="163"/>
      <c r="E2380" s="163"/>
      <c r="J2380" s="157">
        <v>39255</v>
      </c>
      <c r="K2380" s="158">
        <v>5.33</v>
      </c>
    </row>
    <row r="2381" spans="1:11" x14ac:dyDescent="0.25">
      <c r="A2381" s="162">
        <v>25969</v>
      </c>
      <c r="B2381" s="163">
        <v>6.09</v>
      </c>
      <c r="C2381" s="163"/>
      <c r="D2381" s="163"/>
      <c r="E2381" s="163"/>
      <c r="J2381" s="157">
        <v>39262</v>
      </c>
      <c r="K2381" s="158">
        <v>5.28</v>
      </c>
    </row>
    <row r="2382" spans="1:11" x14ac:dyDescent="0.25">
      <c r="A2382" s="162">
        <v>25972</v>
      </c>
      <c r="B2382" s="163">
        <v>6.08</v>
      </c>
      <c r="C2382" s="163"/>
      <c r="D2382" s="163"/>
      <c r="E2382" s="163"/>
      <c r="J2382" s="157">
        <v>39269</v>
      </c>
      <c r="K2382" s="158">
        <v>5.27</v>
      </c>
    </row>
    <row r="2383" spans="1:11" x14ac:dyDescent="0.25">
      <c r="A2383" s="162">
        <v>25973</v>
      </c>
      <c r="B2383" s="163">
        <v>6.07</v>
      </c>
      <c r="C2383" s="163"/>
      <c r="D2383" s="163"/>
      <c r="E2383" s="163"/>
      <c r="J2383" s="157">
        <v>39276</v>
      </c>
      <c r="K2383" s="158">
        <v>5.27</v>
      </c>
    </row>
    <row r="2384" spans="1:11" x14ac:dyDescent="0.25">
      <c r="A2384" s="162">
        <v>25974</v>
      </c>
      <c r="B2384" s="163">
        <v>6.07</v>
      </c>
      <c r="C2384" s="163"/>
      <c r="D2384" s="163"/>
      <c r="E2384" s="163"/>
      <c r="J2384" s="157">
        <v>39283</v>
      </c>
      <c r="K2384" s="158">
        <v>5.19</v>
      </c>
    </row>
    <row r="2385" spans="1:11" x14ac:dyDescent="0.25">
      <c r="A2385" s="162">
        <v>25975</v>
      </c>
      <c r="B2385" s="163">
        <v>6.09</v>
      </c>
      <c r="C2385" s="163"/>
      <c r="D2385" s="163"/>
      <c r="E2385" s="163"/>
      <c r="J2385" s="157">
        <v>39290</v>
      </c>
      <c r="K2385" s="158">
        <v>5.09</v>
      </c>
    </row>
    <row r="2386" spans="1:11" x14ac:dyDescent="0.25">
      <c r="A2386" s="162">
        <v>25976</v>
      </c>
      <c r="B2386" s="163" t="e">
        <f>NA()</f>
        <v>#N/A</v>
      </c>
      <c r="C2386" s="163"/>
      <c r="D2386" s="163"/>
      <c r="E2386" s="163"/>
      <c r="J2386" s="157">
        <v>39297</v>
      </c>
      <c r="K2386" s="158">
        <v>5</v>
      </c>
    </row>
    <row r="2387" spans="1:11" x14ac:dyDescent="0.25">
      <c r="A2387" s="162">
        <v>25979</v>
      </c>
      <c r="B2387" s="163" t="e">
        <f>NA()</f>
        <v>#N/A</v>
      </c>
      <c r="C2387" s="163"/>
      <c r="D2387" s="163"/>
      <c r="E2387" s="163"/>
      <c r="J2387" s="157">
        <v>39304</v>
      </c>
      <c r="K2387" s="158">
        <v>5.0599999999999996</v>
      </c>
    </row>
    <row r="2388" spans="1:11" x14ac:dyDescent="0.25">
      <c r="A2388" s="162">
        <v>25980</v>
      </c>
      <c r="B2388" s="163">
        <v>6.12</v>
      </c>
      <c r="C2388" s="163"/>
      <c r="D2388" s="163"/>
      <c r="E2388" s="163"/>
      <c r="J2388" s="157">
        <v>39311</v>
      </c>
      <c r="K2388" s="158">
        <v>5.05</v>
      </c>
    </row>
    <row r="2389" spans="1:11" x14ac:dyDescent="0.25">
      <c r="A2389" s="162">
        <v>25981</v>
      </c>
      <c r="B2389" s="163">
        <v>6.13</v>
      </c>
      <c r="C2389" s="163"/>
      <c r="D2389" s="163"/>
      <c r="E2389" s="163"/>
      <c r="J2389" s="157">
        <v>39318</v>
      </c>
      <c r="K2389" s="158">
        <v>5</v>
      </c>
    </row>
    <row r="2390" spans="1:11" x14ac:dyDescent="0.25">
      <c r="A2390" s="162">
        <v>25982</v>
      </c>
      <c r="B2390" s="163">
        <v>6.14</v>
      </c>
      <c r="C2390" s="163"/>
      <c r="D2390" s="163"/>
      <c r="E2390" s="163"/>
      <c r="J2390" s="157">
        <v>39325</v>
      </c>
      <c r="K2390" s="158">
        <v>4.9000000000000004</v>
      </c>
    </row>
    <row r="2391" spans="1:11" x14ac:dyDescent="0.25">
      <c r="A2391" s="162">
        <v>25983</v>
      </c>
      <c r="B2391" s="163">
        <v>6.16</v>
      </c>
      <c r="C2391" s="163"/>
      <c r="D2391" s="163"/>
      <c r="E2391" s="163"/>
      <c r="J2391" s="157">
        <v>39332</v>
      </c>
      <c r="K2391" s="158">
        <v>4.82</v>
      </c>
    </row>
    <row r="2392" spans="1:11" x14ac:dyDescent="0.25">
      <c r="A2392" s="162">
        <v>25986</v>
      </c>
      <c r="B2392" s="163">
        <v>6.19</v>
      </c>
      <c r="C2392" s="163"/>
      <c r="D2392" s="163"/>
      <c r="E2392" s="163"/>
      <c r="J2392" s="157">
        <v>39339</v>
      </c>
      <c r="K2392" s="158">
        <v>4.7300000000000004</v>
      </c>
    </row>
    <row r="2393" spans="1:11" x14ac:dyDescent="0.25">
      <c r="A2393" s="162">
        <v>25987</v>
      </c>
      <c r="B2393" s="163">
        <v>6.22</v>
      </c>
      <c r="C2393" s="163"/>
      <c r="D2393" s="163"/>
      <c r="E2393" s="163"/>
      <c r="J2393" s="157">
        <v>39346</v>
      </c>
      <c r="K2393" s="158">
        <v>4.87</v>
      </c>
    </row>
    <row r="2394" spans="1:11" x14ac:dyDescent="0.25">
      <c r="A2394" s="162">
        <v>25988</v>
      </c>
      <c r="B2394" s="163">
        <v>6.24</v>
      </c>
      <c r="C2394" s="163"/>
      <c r="D2394" s="163"/>
      <c r="E2394" s="163"/>
      <c r="J2394" s="157">
        <v>39353</v>
      </c>
      <c r="K2394" s="158">
        <v>4.92</v>
      </c>
    </row>
    <row r="2395" spans="1:11" x14ac:dyDescent="0.25">
      <c r="A2395" s="162">
        <v>25989</v>
      </c>
      <c r="B2395" s="163">
        <v>6.22</v>
      </c>
      <c r="C2395" s="163"/>
      <c r="D2395" s="163"/>
      <c r="E2395" s="163"/>
      <c r="J2395" s="157">
        <v>39360</v>
      </c>
      <c r="K2395" s="158">
        <v>4.8600000000000003</v>
      </c>
    </row>
    <row r="2396" spans="1:11" x14ac:dyDescent="0.25">
      <c r="A2396" s="162">
        <v>25990</v>
      </c>
      <c r="B2396" s="163">
        <v>6.24</v>
      </c>
      <c r="C2396" s="163"/>
      <c r="D2396" s="163"/>
      <c r="E2396" s="163"/>
      <c r="J2396" s="157">
        <v>39367</v>
      </c>
      <c r="K2396" s="158">
        <v>4.95</v>
      </c>
    </row>
    <row r="2397" spans="1:11" x14ac:dyDescent="0.25">
      <c r="A2397" s="162">
        <v>25993</v>
      </c>
      <c r="B2397" s="163">
        <v>6.24</v>
      </c>
      <c r="C2397" s="163"/>
      <c r="D2397" s="163"/>
      <c r="E2397" s="163"/>
      <c r="J2397" s="157">
        <v>39374</v>
      </c>
      <c r="K2397" s="158">
        <v>4.88</v>
      </c>
    </row>
    <row r="2398" spans="1:11" x14ac:dyDescent="0.25">
      <c r="A2398" s="162">
        <v>25994</v>
      </c>
      <c r="B2398" s="163">
        <v>6.21</v>
      </c>
      <c r="C2398" s="163"/>
      <c r="D2398" s="163"/>
      <c r="E2398" s="163"/>
      <c r="J2398" s="157">
        <v>39381</v>
      </c>
      <c r="K2398" s="158">
        <v>4.72</v>
      </c>
    </row>
    <row r="2399" spans="1:11" x14ac:dyDescent="0.25">
      <c r="A2399" s="162">
        <v>25995</v>
      </c>
      <c r="B2399" s="163">
        <v>6.19</v>
      </c>
      <c r="C2399" s="163"/>
      <c r="D2399" s="163"/>
      <c r="E2399" s="163"/>
      <c r="J2399" s="157">
        <v>39388</v>
      </c>
      <c r="K2399" s="158">
        <v>4.71</v>
      </c>
    </row>
    <row r="2400" spans="1:11" x14ac:dyDescent="0.25">
      <c r="A2400" s="162">
        <v>25996</v>
      </c>
      <c r="B2400" s="163">
        <v>6.19</v>
      </c>
      <c r="C2400" s="163"/>
      <c r="D2400" s="163"/>
      <c r="E2400" s="163"/>
      <c r="J2400" s="157">
        <v>39395</v>
      </c>
      <c r="K2400" s="158">
        <v>4.68</v>
      </c>
    </row>
    <row r="2401" spans="1:11" x14ac:dyDescent="0.25">
      <c r="A2401" s="162">
        <v>25997</v>
      </c>
      <c r="B2401" s="163">
        <v>6.18</v>
      </c>
      <c r="C2401" s="163"/>
      <c r="D2401" s="163"/>
      <c r="E2401" s="163"/>
      <c r="J2401" s="157">
        <v>39402</v>
      </c>
      <c r="K2401" s="158">
        <v>4.6100000000000003</v>
      </c>
    </row>
    <row r="2402" spans="1:11" x14ac:dyDescent="0.25">
      <c r="A2402" s="162">
        <v>26000</v>
      </c>
      <c r="B2402" s="163">
        <v>6.16</v>
      </c>
      <c r="C2402" s="163"/>
      <c r="D2402" s="163"/>
      <c r="E2402" s="163"/>
      <c r="J2402" s="157">
        <v>39409</v>
      </c>
      <c r="K2402" s="158">
        <v>4.49</v>
      </c>
    </row>
    <row r="2403" spans="1:11" x14ac:dyDescent="0.25">
      <c r="A2403" s="162">
        <v>26001</v>
      </c>
      <c r="B2403" s="163">
        <v>6.08</v>
      </c>
      <c r="C2403" s="163"/>
      <c r="D2403" s="163"/>
      <c r="E2403" s="163"/>
      <c r="J2403" s="157">
        <v>39416</v>
      </c>
      <c r="K2403" s="158">
        <v>4.4000000000000004</v>
      </c>
    </row>
    <row r="2404" spans="1:11" x14ac:dyDescent="0.25">
      <c r="A2404" s="162">
        <v>26002</v>
      </c>
      <c r="B2404" s="164">
        <v>5.99</v>
      </c>
      <c r="C2404" s="164"/>
      <c r="D2404" s="164"/>
      <c r="E2404" s="164"/>
      <c r="J2404" s="157">
        <v>39423</v>
      </c>
      <c r="K2404" s="158">
        <v>4.46</v>
      </c>
    </row>
    <row r="2405" spans="1:11" x14ac:dyDescent="0.25">
      <c r="A2405" s="162">
        <v>26003</v>
      </c>
      <c r="B2405" s="163">
        <v>5.92</v>
      </c>
      <c r="C2405" s="163"/>
      <c r="D2405" s="163"/>
      <c r="E2405" s="163"/>
      <c r="J2405" s="157">
        <v>39430</v>
      </c>
      <c r="K2405" s="158">
        <v>4.6100000000000003</v>
      </c>
    </row>
    <row r="2406" spans="1:11" x14ac:dyDescent="0.25">
      <c r="A2406" s="162">
        <v>26004</v>
      </c>
      <c r="B2406" s="163">
        <v>5.94</v>
      </c>
      <c r="C2406" s="163"/>
      <c r="D2406" s="163"/>
      <c r="E2406" s="163"/>
      <c r="J2406" s="157">
        <v>39437</v>
      </c>
      <c r="K2406" s="158">
        <v>4.58</v>
      </c>
    </row>
    <row r="2407" spans="1:11" x14ac:dyDescent="0.25">
      <c r="A2407" s="162">
        <v>26007</v>
      </c>
      <c r="B2407" s="163">
        <v>5.94</v>
      </c>
      <c r="C2407" s="163"/>
      <c r="D2407" s="163"/>
      <c r="E2407" s="163"/>
      <c r="J2407" s="157">
        <v>39444</v>
      </c>
      <c r="K2407" s="158">
        <v>4.66</v>
      </c>
    </row>
    <row r="2408" spans="1:11" x14ac:dyDescent="0.25">
      <c r="A2408" s="162">
        <v>26008</v>
      </c>
      <c r="B2408" s="163">
        <v>5.92</v>
      </c>
      <c r="C2408" s="163"/>
      <c r="D2408" s="163"/>
      <c r="E2408" s="163"/>
      <c r="J2408" s="157">
        <v>39451</v>
      </c>
      <c r="K2408" s="158">
        <v>4.43</v>
      </c>
    </row>
    <row r="2409" spans="1:11" x14ac:dyDescent="0.25">
      <c r="A2409" s="162">
        <v>26009</v>
      </c>
      <c r="B2409" s="163">
        <v>5.87</v>
      </c>
      <c r="C2409" s="163"/>
      <c r="D2409" s="163"/>
      <c r="E2409" s="163"/>
      <c r="J2409" s="157">
        <v>39458</v>
      </c>
      <c r="K2409" s="158">
        <v>4.4000000000000004</v>
      </c>
    </row>
    <row r="2410" spans="1:11" x14ac:dyDescent="0.25">
      <c r="A2410" s="162">
        <v>26010</v>
      </c>
      <c r="B2410" s="163">
        <v>5.82</v>
      </c>
      <c r="C2410" s="163"/>
      <c r="D2410" s="163"/>
      <c r="E2410" s="163"/>
      <c r="J2410" s="157">
        <v>39465</v>
      </c>
      <c r="K2410" s="158">
        <v>4.32</v>
      </c>
    </row>
    <row r="2411" spans="1:11" x14ac:dyDescent="0.25">
      <c r="A2411" s="162">
        <v>26011</v>
      </c>
      <c r="B2411" s="163">
        <v>5.78</v>
      </c>
      <c r="C2411" s="163"/>
      <c r="D2411" s="163"/>
      <c r="E2411" s="163"/>
      <c r="J2411" s="157">
        <v>39472</v>
      </c>
      <c r="K2411" s="158">
        <v>4.28</v>
      </c>
    </row>
    <row r="2412" spans="1:11" x14ac:dyDescent="0.25">
      <c r="A2412" s="162">
        <v>26014</v>
      </c>
      <c r="B2412" s="163">
        <v>5.72</v>
      </c>
      <c r="C2412" s="163"/>
      <c r="D2412" s="163"/>
      <c r="E2412" s="163"/>
      <c r="J2412" s="157">
        <v>39479</v>
      </c>
      <c r="K2412" s="158">
        <v>4.3499999999999996</v>
      </c>
    </row>
    <row r="2413" spans="1:11" x14ac:dyDescent="0.25">
      <c r="A2413" s="162">
        <v>26015</v>
      </c>
      <c r="B2413" s="163">
        <v>5.69</v>
      </c>
      <c r="C2413" s="163"/>
      <c r="D2413" s="163"/>
      <c r="E2413" s="163"/>
      <c r="J2413" s="157">
        <v>39486</v>
      </c>
      <c r="K2413" s="158">
        <v>4.3899999999999997</v>
      </c>
    </row>
    <row r="2414" spans="1:11" x14ac:dyDescent="0.25">
      <c r="A2414" s="162">
        <v>26016</v>
      </c>
      <c r="B2414" s="163">
        <v>5.72</v>
      </c>
      <c r="C2414" s="163"/>
      <c r="D2414" s="163"/>
      <c r="E2414" s="163"/>
      <c r="J2414" s="157">
        <v>39493</v>
      </c>
      <c r="K2414" s="158">
        <v>4.49</v>
      </c>
    </row>
    <row r="2415" spans="1:11" x14ac:dyDescent="0.25">
      <c r="A2415" s="162">
        <v>26017</v>
      </c>
      <c r="B2415" s="163">
        <v>5.75</v>
      </c>
      <c r="C2415" s="163"/>
      <c r="D2415" s="163"/>
      <c r="E2415" s="163"/>
      <c r="J2415" s="157">
        <v>39500</v>
      </c>
      <c r="K2415" s="158">
        <v>4.58</v>
      </c>
    </row>
    <row r="2416" spans="1:11" x14ac:dyDescent="0.25">
      <c r="A2416" s="162">
        <v>26018</v>
      </c>
      <c r="B2416" s="163">
        <v>5.79</v>
      </c>
      <c r="C2416" s="163"/>
      <c r="D2416" s="163"/>
      <c r="E2416" s="163"/>
      <c r="J2416" s="157">
        <v>39507</v>
      </c>
      <c r="K2416" s="158">
        <v>4.5599999999999996</v>
      </c>
    </row>
    <row r="2417" spans="1:11" x14ac:dyDescent="0.25">
      <c r="A2417" s="162">
        <v>26021</v>
      </c>
      <c r="B2417" s="163">
        <v>5.83</v>
      </c>
      <c r="C2417" s="163"/>
      <c r="D2417" s="163"/>
      <c r="E2417" s="163"/>
      <c r="J2417" s="157">
        <v>39514</v>
      </c>
      <c r="K2417" s="158">
        <v>4.4800000000000004</v>
      </c>
    </row>
    <row r="2418" spans="1:11" x14ac:dyDescent="0.25">
      <c r="A2418" s="162">
        <v>26022</v>
      </c>
      <c r="B2418" s="163">
        <v>5.81</v>
      </c>
      <c r="C2418" s="163"/>
      <c r="D2418" s="163"/>
      <c r="E2418" s="163"/>
      <c r="J2418" s="157">
        <v>39521</v>
      </c>
      <c r="K2418" s="158">
        <v>4.3899999999999997</v>
      </c>
    </row>
    <row r="2419" spans="1:11" x14ac:dyDescent="0.25">
      <c r="A2419" s="162">
        <v>26023</v>
      </c>
      <c r="B2419" s="163">
        <v>5.83</v>
      </c>
      <c r="C2419" s="163"/>
      <c r="D2419" s="163"/>
      <c r="E2419" s="163"/>
      <c r="J2419" s="157">
        <v>39528</v>
      </c>
      <c r="K2419" s="158">
        <v>4.22</v>
      </c>
    </row>
    <row r="2420" spans="1:11" x14ac:dyDescent="0.25">
      <c r="A2420" s="162">
        <v>26024</v>
      </c>
      <c r="B2420" s="163">
        <v>5.85</v>
      </c>
      <c r="C2420" s="163"/>
      <c r="D2420" s="163"/>
      <c r="E2420" s="163"/>
      <c r="J2420" s="157">
        <v>39535</v>
      </c>
      <c r="K2420" s="158">
        <v>4.32</v>
      </c>
    </row>
    <row r="2421" spans="1:11" x14ac:dyDescent="0.25">
      <c r="A2421" s="162">
        <v>26025</v>
      </c>
      <c r="B2421" s="163">
        <v>5.88</v>
      </c>
      <c r="C2421" s="163"/>
      <c r="D2421" s="163"/>
      <c r="E2421" s="163"/>
      <c r="J2421" s="157">
        <v>39542</v>
      </c>
      <c r="K2421" s="158">
        <v>4.37</v>
      </c>
    </row>
    <row r="2422" spans="1:11" x14ac:dyDescent="0.25">
      <c r="A2422" s="162">
        <v>26028</v>
      </c>
      <c r="B2422" s="163">
        <v>5.89</v>
      </c>
      <c r="C2422" s="163"/>
      <c r="D2422" s="163"/>
      <c r="E2422" s="163"/>
      <c r="J2422" s="157">
        <v>39549</v>
      </c>
      <c r="K2422" s="158">
        <v>4.33</v>
      </c>
    </row>
    <row r="2423" spans="1:11" x14ac:dyDescent="0.25">
      <c r="A2423" s="162">
        <v>26029</v>
      </c>
      <c r="B2423" s="163">
        <v>5.87</v>
      </c>
      <c r="C2423" s="163"/>
      <c r="D2423" s="163"/>
      <c r="E2423" s="163"/>
      <c r="J2423" s="157">
        <v>39556</v>
      </c>
      <c r="K2423" s="158">
        <v>4.4400000000000004</v>
      </c>
    </row>
    <row r="2424" spans="1:11" x14ac:dyDescent="0.25">
      <c r="A2424" s="162">
        <v>26030</v>
      </c>
      <c r="B2424" s="163">
        <v>5.86</v>
      </c>
      <c r="C2424" s="163"/>
      <c r="D2424" s="163"/>
      <c r="E2424" s="163"/>
      <c r="J2424" s="157">
        <v>39563</v>
      </c>
      <c r="K2424" s="158">
        <v>4.5199999999999996</v>
      </c>
    </row>
    <row r="2425" spans="1:11" x14ac:dyDescent="0.25">
      <c r="A2425" s="162">
        <v>26031</v>
      </c>
      <c r="B2425" s="163">
        <v>5.86</v>
      </c>
      <c r="C2425" s="163"/>
      <c r="D2425" s="163"/>
      <c r="E2425" s="163"/>
      <c r="J2425" s="157">
        <v>39570</v>
      </c>
      <c r="K2425" s="158">
        <v>4.54</v>
      </c>
    </row>
    <row r="2426" spans="1:11" x14ac:dyDescent="0.25">
      <c r="A2426" s="162">
        <v>26032</v>
      </c>
      <c r="B2426" s="163" t="e">
        <f>NA()</f>
        <v>#N/A</v>
      </c>
      <c r="C2426" s="163"/>
      <c r="D2426" s="163"/>
      <c r="E2426" s="163"/>
      <c r="J2426" s="157">
        <v>39577</v>
      </c>
      <c r="K2426" s="158">
        <v>4.58</v>
      </c>
    </row>
    <row r="2427" spans="1:11" x14ac:dyDescent="0.25">
      <c r="A2427" s="162">
        <v>26035</v>
      </c>
      <c r="B2427" s="163">
        <v>5.94</v>
      </c>
      <c r="C2427" s="163"/>
      <c r="D2427" s="163"/>
      <c r="E2427" s="163"/>
      <c r="J2427" s="157">
        <v>39584</v>
      </c>
      <c r="K2427" s="158">
        <v>4.58</v>
      </c>
    </row>
    <row r="2428" spans="1:11" x14ac:dyDescent="0.25">
      <c r="A2428" s="162">
        <v>26036</v>
      </c>
      <c r="B2428" s="163">
        <v>5.96</v>
      </c>
      <c r="C2428" s="163"/>
      <c r="D2428" s="163"/>
      <c r="E2428" s="163"/>
      <c r="J2428" s="157">
        <v>39591</v>
      </c>
      <c r="K2428" s="158">
        <v>4.5599999999999996</v>
      </c>
    </row>
    <row r="2429" spans="1:11" x14ac:dyDescent="0.25">
      <c r="A2429" s="162">
        <v>26037</v>
      </c>
      <c r="B2429" s="163">
        <v>5.96</v>
      </c>
      <c r="C2429" s="163"/>
      <c r="D2429" s="163"/>
      <c r="E2429" s="163"/>
      <c r="J2429" s="157">
        <v>39598</v>
      </c>
      <c r="K2429" s="158">
        <v>4.72</v>
      </c>
    </row>
    <row r="2430" spans="1:11" x14ac:dyDescent="0.25">
      <c r="A2430" s="162">
        <v>26038</v>
      </c>
      <c r="B2430" s="163">
        <v>5.98</v>
      </c>
      <c r="C2430" s="163"/>
      <c r="D2430" s="163"/>
      <c r="E2430" s="163"/>
      <c r="J2430" s="157">
        <v>39605</v>
      </c>
      <c r="K2430" s="158">
        <v>4.7</v>
      </c>
    </row>
    <row r="2431" spans="1:11" x14ac:dyDescent="0.25">
      <c r="A2431" s="162">
        <v>26039</v>
      </c>
      <c r="B2431" s="163">
        <v>5.98</v>
      </c>
      <c r="C2431" s="163"/>
      <c r="D2431" s="163"/>
      <c r="E2431" s="163"/>
      <c r="J2431" s="157">
        <v>39612</v>
      </c>
      <c r="K2431" s="158">
        <v>4.78</v>
      </c>
    </row>
    <row r="2432" spans="1:11" x14ac:dyDescent="0.25">
      <c r="A2432" s="162">
        <v>26042</v>
      </c>
      <c r="B2432" s="163">
        <v>6.01</v>
      </c>
      <c r="C2432" s="163"/>
      <c r="D2432" s="163"/>
      <c r="E2432" s="163"/>
      <c r="J2432" s="157">
        <v>39619</v>
      </c>
      <c r="K2432" s="158">
        <v>4.8099999999999996</v>
      </c>
    </row>
    <row r="2433" spans="1:11" x14ac:dyDescent="0.25">
      <c r="A2433" s="162">
        <v>26043</v>
      </c>
      <c r="B2433" s="163">
        <v>6.08</v>
      </c>
      <c r="C2433" s="163"/>
      <c r="D2433" s="163"/>
      <c r="E2433" s="163"/>
      <c r="J2433" s="157">
        <v>39626</v>
      </c>
      <c r="K2433" s="158">
        <v>4.6900000000000004</v>
      </c>
    </row>
    <row r="2434" spans="1:11" x14ac:dyDescent="0.25">
      <c r="A2434" s="162">
        <v>26044</v>
      </c>
      <c r="B2434" s="164">
        <v>6.14</v>
      </c>
      <c r="C2434" s="164"/>
      <c r="D2434" s="164"/>
      <c r="E2434" s="164"/>
      <c r="J2434" s="157">
        <v>39633</v>
      </c>
      <c r="K2434" s="158">
        <v>4.59</v>
      </c>
    </row>
    <row r="2435" spans="1:11" x14ac:dyDescent="0.25">
      <c r="A2435" s="162">
        <v>26045</v>
      </c>
      <c r="B2435" s="163">
        <v>6.13</v>
      </c>
      <c r="C2435" s="163"/>
      <c r="D2435" s="163"/>
      <c r="E2435" s="163"/>
      <c r="J2435" s="157">
        <v>39640</v>
      </c>
      <c r="K2435" s="158">
        <v>4.51</v>
      </c>
    </row>
    <row r="2436" spans="1:11" x14ac:dyDescent="0.25">
      <c r="A2436" s="162">
        <v>26046</v>
      </c>
      <c r="B2436" s="163">
        <v>6.12</v>
      </c>
      <c r="C2436" s="163"/>
      <c r="D2436" s="163"/>
      <c r="E2436" s="163"/>
      <c r="J2436" s="157">
        <v>39647</v>
      </c>
      <c r="K2436" s="158">
        <v>4.62</v>
      </c>
    </row>
    <row r="2437" spans="1:11" x14ac:dyDescent="0.25">
      <c r="A2437" s="162">
        <v>26049</v>
      </c>
      <c r="B2437" s="163">
        <v>6.12</v>
      </c>
      <c r="C2437" s="163"/>
      <c r="D2437" s="163"/>
      <c r="E2437" s="163"/>
      <c r="J2437" s="157">
        <v>39654</v>
      </c>
      <c r="K2437" s="158">
        <v>4.72</v>
      </c>
    </row>
    <row r="2438" spans="1:11" x14ac:dyDescent="0.25">
      <c r="A2438" s="162">
        <v>26050</v>
      </c>
      <c r="B2438" s="163">
        <v>6.12</v>
      </c>
      <c r="C2438" s="163"/>
      <c r="D2438" s="163"/>
      <c r="E2438" s="163"/>
      <c r="J2438" s="157">
        <v>39661</v>
      </c>
      <c r="K2438" s="158">
        <v>4.66</v>
      </c>
    </row>
    <row r="2439" spans="1:11" x14ac:dyDescent="0.25">
      <c r="A2439" s="162">
        <v>26051</v>
      </c>
      <c r="B2439" s="163">
        <v>6.09</v>
      </c>
      <c r="C2439" s="163"/>
      <c r="D2439" s="163"/>
      <c r="E2439" s="163"/>
      <c r="J2439" s="157">
        <v>39668</v>
      </c>
      <c r="K2439" s="158">
        <v>4.63</v>
      </c>
    </row>
    <row r="2440" spans="1:11" x14ac:dyDescent="0.25">
      <c r="A2440" s="162">
        <v>26052</v>
      </c>
      <c r="B2440" s="163">
        <v>6.1</v>
      </c>
      <c r="C2440" s="163"/>
      <c r="D2440" s="163"/>
      <c r="E2440" s="163"/>
      <c r="J2440" s="157">
        <v>39675</v>
      </c>
      <c r="K2440" s="158">
        <v>4.58</v>
      </c>
    </row>
    <row r="2441" spans="1:11" x14ac:dyDescent="0.25">
      <c r="A2441" s="162">
        <v>26053</v>
      </c>
      <c r="B2441" s="163">
        <v>6.1</v>
      </c>
      <c r="C2441" s="163"/>
      <c r="D2441" s="163"/>
      <c r="E2441" s="163"/>
      <c r="J2441" s="157">
        <v>39682</v>
      </c>
      <c r="K2441" s="158">
        <v>4.4800000000000004</v>
      </c>
    </row>
    <row r="2442" spans="1:11" x14ac:dyDescent="0.25">
      <c r="A2442" s="162">
        <v>26056</v>
      </c>
      <c r="B2442" s="163">
        <v>6.16</v>
      </c>
      <c r="C2442" s="163"/>
      <c r="D2442" s="163"/>
      <c r="E2442" s="163"/>
      <c r="J2442" s="157">
        <v>39689</v>
      </c>
      <c r="K2442" s="158">
        <v>4.43</v>
      </c>
    </row>
    <row r="2443" spans="1:11" x14ac:dyDescent="0.25">
      <c r="A2443" s="162">
        <v>26057</v>
      </c>
      <c r="B2443" s="163">
        <v>6.27</v>
      </c>
      <c r="C2443" s="163"/>
      <c r="D2443" s="163"/>
      <c r="E2443" s="163"/>
      <c r="J2443" s="157">
        <v>39696</v>
      </c>
      <c r="K2443" s="158">
        <v>4.34</v>
      </c>
    </row>
    <row r="2444" spans="1:11" x14ac:dyDescent="0.25">
      <c r="A2444" s="162">
        <v>26058</v>
      </c>
      <c r="B2444" s="163">
        <v>6.27</v>
      </c>
      <c r="C2444" s="163"/>
      <c r="D2444" s="163"/>
      <c r="E2444" s="163"/>
      <c r="J2444" s="157">
        <v>39703</v>
      </c>
      <c r="K2444" s="158">
        <v>4.28</v>
      </c>
    </row>
    <row r="2445" spans="1:11" x14ac:dyDescent="0.25">
      <c r="A2445" s="162">
        <v>26059</v>
      </c>
      <c r="B2445" s="163">
        <v>6.29</v>
      </c>
      <c r="C2445" s="163"/>
      <c r="D2445" s="163"/>
      <c r="E2445" s="163"/>
      <c r="J2445" s="157">
        <v>39710</v>
      </c>
      <c r="K2445" s="158">
        <v>4.2</v>
      </c>
    </row>
    <row r="2446" spans="1:11" x14ac:dyDescent="0.25">
      <c r="A2446" s="162">
        <v>26060</v>
      </c>
      <c r="B2446" s="163">
        <v>6.27</v>
      </c>
      <c r="C2446" s="163"/>
      <c r="D2446" s="163"/>
      <c r="E2446" s="163"/>
      <c r="J2446" s="157">
        <v>39717</v>
      </c>
      <c r="K2446" s="158">
        <v>4.4800000000000004</v>
      </c>
    </row>
    <row r="2447" spans="1:11" x14ac:dyDescent="0.25">
      <c r="A2447" s="162">
        <v>26063</v>
      </c>
      <c r="B2447" s="163">
        <v>6.25</v>
      </c>
      <c r="C2447" s="163"/>
      <c r="D2447" s="163"/>
      <c r="E2447" s="163"/>
      <c r="J2447" s="157">
        <v>39724</v>
      </c>
      <c r="K2447" s="158">
        <v>4.3</v>
      </c>
    </row>
    <row r="2448" spans="1:11" x14ac:dyDescent="0.25">
      <c r="A2448" s="162">
        <v>26064</v>
      </c>
      <c r="B2448" s="163">
        <v>6.26</v>
      </c>
      <c r="C2448" s="163"/>
      <c r="D2448" s="163"/>
      <c r="E2448" s="163"/>
      <c r="J2448" s="157">
        <v>39731</v>
      </c>
      <c r="K2448" s="158">
        <v>4.28</v>
      </c>
    </row>
    <row r="2449" spans="1:11" x14ac:dyDescent="0.25">
      <c r="A2449" s="162">
        <v>26065</v>
      </c>
      <c r="B2449" s="163">
        <v>6.33</v>
      </c>
      <c r="C2449" s="163"/>
      <c r="D2449" s="163"/>
      <c r="E2449" s="163"/>
      <c r="J2449" s="157">
        <v>39738</v>
      </c>
      <c r="K2449" s="158">
        <v>4.5999999999999996</v>
      </c>
    </row>
    <row r="2450" spans="1:11" x14ac:dyDescent="0.25">
      <c r="A2450" s="162">
        <v>26066</v>
      </c>
      <c r="B2450" s="163">
        <v>6.39</v>
      </c>
      <c r="C2450" s="163"/>
      <c r="D2450" s="163"/>
      <c r="E2450" s="163"/>
      <c r="J2450" s="157">
        <v>39745</v>
      </c>
      <c r="K2450" s="158">
        <v>4.46</v>
      </c>
    </row>
    <row r="2451" spans="1:11" x14ac:dyDescent="0.25">
      <c r="A2451" s="162">
        <v>26067</v>
      </c>
      <c r="B2451" s="163">
        <v>6.42</v>
      </c>
      <c r="C2451" s="163"/>
      <c r="D2451" s="163"/>
      <c r="E2451" s="163"/>
      <c r="J2451" s="157">
        <v>39752</v>
      </c>
      <c r="K2451" s="158">
        <v>4.59</v>
      </c>
    </row>
    <row r="2452" spans="1:11" x14ac:dyDescent="0.25">
      <c r="A2452" s="162">
        <v>26070</v>
      </c>
      <c r="B2452" s="163">
        <v>6.44</v>
      </c>
      <c r="C2452" s="163"/>
      <c r="D2452" s="163"/>
      <c r="E2452" s="163"/>
      <c r="J2452" s="157">
        <v>39759</v>
      </c>
      <c r="K2452" s="158">
        <v>4.58</v>
      </c>
    </row>
    <row r="2453" spans="1:11" x14ac:dyDescent="0.25">
      <c r="A2453" s="162">
        <v>26071</v>
      </c>
      <c r="B2453" s="163">
        <v>6.49</v>
      </c>
      <c r="C2453" s="163"/>
      <c r="D2453" s="163"/>
      <c r="E2453" s="163"/>
      <c r="J2453" s="157">
        <v>39766</v>
      </c>
      <c r="K2453" s="158">
        <v>4.49</v>
      </c>
    </row>
    <row r="2454" spans="1:11" x14ac:dyDescent="0.25">
      <c r="A2454" s="162">
        <v>26072</v>
      </c>
      <c r="B2454" s="164">
        <v>6.47</v>
      </c>
      <c r="C2454" s="164"/>
      <c r="D2454" s="164"/>
      <c r="E2454" s="164"/>
      <c r="J2454" s="157">
        <v>39773</v>
      </c>
      <c r="K2454" s="158">
        <v>4.1399999999999997</v>
      </c>
    </row>
    <row r="2455" spans="1:11" x14ac:dyDescent="0.25">
      <c r="A2455" s="162">
        <v>26073</v>
      </c>
      <c r="B2455" s="163">
        <v>6.35</v>
      </c>
      <c r="C2455" s="163"/>
      <c r="D2455" s="163"/>
      <c r="E2455" s="163"/>
      <c r="J2455" s="157">
        <v>39780</v>
      </c>
      <c r="K2455" s="158">
        <v>3.84</v>
      </c>
    </row>
    <row r="2456" spans="1:11" x14ac:dyDescent="0.25">
      <c r="A2456" s="162">
        <v>26074</v>
      </c>
      <c r="B2456" s="163">
        <v>6.35</v>
      </c>
      <c r="C2456" s="163"/>
      <c r="D2456" s="163"/>
      <c r="E2456" s="163"/>
      <c r="J2456" s="157">
        <v>39787</v>
      </c>
      <c r="K2456" s="158">
        <v>3.44</v>
      </c>
    </row>
    <row r="2457" spans="1:11" x14ac:dyDescent="0.25">
      <c r="A2457" s="162">
        <v>26077</v>
      </c>
      <c r="B2457" s="163">
        <v>6.34</v>
      </c>
      <c r="C2457" s="163"/>
      <c r="D2457" s="163"/>
      <c r="E2457" s="163"/>
      <c r="J2457" s="157">
        <v>39794</v>
      </c>
      <c r="K2457" s="158">
        <v>3.38</v>
      </c>
    </row>
    <row r="2458" spans="1:11" x14ac:dyDescent="0.25">
      <c r="A2458" s="162">
        <v>26078</v>
      </c>
      <c r="B2458" s="163">
        <v>6.31</v>
      </c>
      <c r="C2458" s="163"/>
      <c r="D2458" s="163"/>
      <c r="E2458" s="163"/>
      <c r="J2458" s="157">
        <v>39801</v>
      </c>
      <c r="K2458" s="158">
        <v>3.04</v>
      </c>
    </row>
    <row r="2459" spans="1:11" x14ac:dyDescent="0.25">
      <c r="A2459" s="162">
        <v>26079</v>
      </c>
      <c r="B2459" s="163">
        <v>6.27</v>
      </c>
      <c r="C2459" s="163"/>
      <c r="D2459" s="163"/>
      <c r="E2459" s="163"/>
      <c r="J2459" s="157">
        <v>39808</v>
      </c>
      <c r="K2459" s="158">
        <v>2.93</v>
      </c>
    </row>
    <row r="2460" spans="1:11" x14ac:dyDescent="0.25">
      <c r="A2460" s="162">
        <v>26080</v>
      </c>
      <c r="B2460" s="163">
        <v>6.25</v>
      </c>
      <c r="C2460" s="163"/>
      <c r="D2460" s="163"/>
      <c r="E2460" s="163"/>
      <c r="J2460" s="157">
        <v>39815</v>
      </c>
      <c r="K2460" s="158">
        <v>3.02</v>
      </c>
    </row>
    <row r="2461" spans="1:11" x14ac:dyDescent="0.25">
      <c r="A2461" s="162">
        <v>26081</v>
      </c>
      <c r="B2461" s="163">
        <v>6.27</v>
      </c>
      <c r="C2461" s="163"/>
      <c r="D2461" s="163"/>
      <c r="E2461" s="163"/>
      <c r="J2461" s="157">
        <v>39822</v>
      </c>
      <c r="K2461" s="158">
        <v>3.4</v>
      </c>
    </row>
    <row r="2462" spans="1:11" x14ac:dyDescent="0.25">
      <c r="A2462" s="162">
        <v>26084</v>
      </c>
      <c r="B2462" s="163" t="e">
        <f>NA()</f>
        <v>#N/A</v>
      </c>
      <c r="C2462" s="163"/>
      <c r="D2462" s="163"/>
      <c r="E2462" s="163"/>
      <c r="J2462" s="157">
        <v>39829</v>
      </c>
      <c r="K2462" s="158">
        <v>3.23</v>
      </c>
    </row>
    <row r="2463" spans="1:11" x14ac:dyDescent="0.25">
      <c r="A2463" s="162">
        <v>26085</v>
      </c>
      <c r="B2463" s="163">
        <v>6.24</v>
      </c>
      <c r="C2463" s="163"/>
      <c r="D2463" s="163"/>
      <c r="E2463" s="163"/>
      <c r="J2463" s="157">
        <v>39836</v>
      </c>
      <c r="K2463" s="158">
        <v>3.52</v>
      </c>
    </row>
    <row r="2464" spans="1:11" x14ac:dyDescent="0.25">
      <c r="A2464" s="162">
        <v>26086</v>
      </c>
      <c r="B2464" s="163">
        <v>6.17</v>
      </c>
      <c r="C2464" s="163"/>
      <c r="D2464" s="163"/>
      <c r="E2464" s="163"/>
      <c r="J2464" s="157">
        <v>39843</v>
      </c>
      <c r="K2464" s="158">
        <v>3.74</v>
      </c>
    </row>
    <row r="2465" spans="1:11" x14ac:dyDescent="0.25">
      <c r="A2465" s="162">
        <v>26087</v>
      </c>
      <c r="B2465" s="163">
        <v>6.14</v>
      </c>
      <c r="C2465" s="163"/>
      <c r="D2465" s="163"/>
      <c r="E2465" s="163"/>
      <c r="J2465" s="157">
        <v>39850</v>
      </c>
      <c r="K2465" s="158">
        <v>3.86</v>
      </c>
    </row>
    <row r="2466" spans="1:11" x14ac:dyDescent="0.25">
      <c r="A2466" s="162">
        <v>26088</v>
      </c>
      <c r="B2466" s="163">
        <v>6.21</v>
      </c>
      <c r="C2466" s="163"/>
      <c r="D2466" s="163"/>
      <c r="E2466" s="163"/>
      <c r="J2466" s="157">
        <v>39857</v>
      </c>
      <c r="K2466" s="158">
        <v>3.8</v>
      </c>
    </row>
    <row r="2467" spans="1:11" x14ac:dyDescent="0.25">
      <c r="A2467" s="162">
        <v>26091</v>
      </c>
      <c r="B2467" s="164">
        <v>6.26</v>
      </c>
      <c r="C2467" s="164"/>
      <c r="D2467" s="164"/>
      <c r="E2467" s="164"/>
      <c r="J2467" s="157">
        <v>39864</v>
      </c>
      <c r="K2467" s="158">
        <v>3.8</v>
      </c>
    </row>
    <row r="2468" spans="1:11" x14ac:dyDescent="0.25">
      <c r="A2468" s="162">
        <v>26092</v>
      </c>
      <c r="B2468" s="163">
        <v>6.3</v>
      </c>
      <c r="C2468" s="163"/>
      <c r="D2468" s="163"/>
      <c r="E2468" s="163"/>
      <c r="J2468" s="157">
        <v>39871</v>
      </c>
      <c r="K2468" s="158">
        <v>3.87</v>
      </c>
    </row>
    <row r="2469" spans="1:11" x14ac:dyDescent="0.25">
      <c r="A2469" s="162">
        <v>26093</v>
      </c>
      <c r="B2469" s="163">
        <v>6.34</v>
      </c>
      <c r="C2469" s="163"/>
      <c r="D2469" s="163"/>
      <c r="E2469" s="163"/>
      <c r="J2469" s="157">
        <v>39878</v>
      </c>
      <c r="K2469" s="158">
        <v>3.85</v>
      </c>
    </row>
    <row r="2470" spans="1:11" x14ac:dyDescent="0.25">
      <c r="A2470" s="162">
        <v>26094</v>
      </c>
      <c r="B2470" s="163">
        <v>6.36</v>
      </c>
      <c r="C2470" s="163"/>
      <c r="D2470" s="163"/>
      <c r="E2470" s="163"/>
      <c r="J2470" s="157">
        <v>39885</v>
      </c>
      <c r="K2470" s="158">
        <v>3.86</v>
      </c>
    </row>
    <row r="2471" spans="1:11" x14ac:dyDescent="0.25">
      <c r="A2471" s="162">
        <v>26095</v>
      </c>
      <c r="B2471" s="163">
        <v>6.36</v>
      </c>
      <c r="C2471" s="163"/>
      <c r="D2471" s="163"/>
      <c r="E2471" s="163"/>
      <c r="J2471" s="157">
        <v>39892</v>
      </c>
      <c r="K2471" s="158">
        <v>3.78</v>
      </c>
    </row>
    <row r="2472" spans="1:11" x14ac:dyDescent="0.25">
      <c r="A2472" s="162">
        <v>26098</v>
      </c>
      <c r="B2472" s="163">
        <v>6.47</v>
      </c>
      <c r="C2472" s="163"/>
      <c r="D2472" s="163"/>
      <c r="E2472" s="163"/>
      <c r="J2472" s="157">
        <v>39899</v>
      </c>
      <c r="K2472" s="158">
        <v>3.69</v>
      </c>
    </row>
    <row r="2473" spans="1:11" x14ac:dyDescent="0.25">
      <c r="A2473" s="162">
        <v>26099</v>
      </c>
      <c r="B2473" s="163">
        <v>6.56</v>
      </c>
      <c r="C2473" s="163"/>
      <c r="D2473" s="163"/>
      <c r="E2473" s="163"/>
      <c r="J2473" s="157">
        <v>39906</v>
      </c>
      <c r="K2473" s="158">
        <v>3.64</v>
      </c>
    </row>
    <row r="2474" spans="1:11" x14ac:dyDescent="0.25">
      <c r="A2474" s="162">
        <v>26100</v>
      </c>
      <c r="B2474" s="163">
        <v>6.52</v>
      </c>
      <c r="C2474" s="163"/>
      <c r="D2474" s="163"/>
      <c r="E2474" s="163"/>
      <c r="J2474" s="157">
        <v>39913</v>
      </c>
      <c r="K2474" s="158">
        <v>3.8</v>
      </c>
    </row>
    <row r="2475" spans="1:11" x14ac:dyDescent="0.25">
      <c r="A2475" s="162">
        <v>26101</v>
      </c>
      <c r="B2475" s="163">
        <v>6.52</v>
      </c>
      <c r="C2475" s="163"/>
      <c r="D2475" s="163"/>
      <c r="E2475" s="163"/>
      <c r="J2475" s="157">
        <v>39920</v>
      </c>
      <c r="K2475" s="158">
        <v>3.8</v>
      </c>
    </row>
    <row r="2476" spans="1:11" x14ac:dyDescent="0.25">
      <c r="A2476" s="162">
        <v>26102</v>
      </c>
      <c r="B2476" s="163">
        <v>6.46</v>
      </c>
      <c r="C2476" s="163"/>
      <c r="D2476" s="163"/>
      <c r="E2476" s="163"/>
      <c r="J2476" s="157">
        <v>39927</v>
      </c>
      <c r="K2476" s="158">
        <v>3.9</v>
      </c>
    </row>
    <row r="2477" spans="1:11" x14ac:dyDescent="0.25">
      <c r="A2477" s="162">
        <v>26105</v>
      </c>
      <c r="B2477" s="163">
        <v>6.4</v>
      </c>
      <c r="C2477" s="163"/>
      <c r="D2477" s="163"/>
      <c r="E2477" s="163"/>
      <c r="J2477" s="157">
        <v>39934</v>
      </c>
      <c r="K2477" s="158">
        <v>4.05</v>
      </c>
    </row>
    <row r="2478" spans="1:11" x14ac:dyDescent="0.25">
      <c r="A2478" s="162">
        <v>26106</v>
      </c>
      <c r="B2478" s="163">
        <v>6.45</v>
      </c>
      <c r="C2478" s="163"/>
      <c r="D2478" s="163"/>
      <c r="E2478" s="163"/>
      <c r="J2478" s="157">
        <v>39941</v>
      </c>
      <c r="K2478" s="158">
        <v>4.17</v>
      </c>
    </row>
    <row r="2479" spans="1:11" x14ac:dyDescent="0.25">
      <c r="A2479" s="162">
        <v>26107</v>
      </c>
      <c r="B2479" s="163">
        <v>6.45</v>
      </c>
      <c r="C2479" s="163"/>
      <c r="D2479" s="163"/>
      <c r="E2479" s="163"/>
      <c r="J2479" s="157">
        <v>39948</v>
      </c>
      <c r="K2479" s="158">
        <v>4.09</v>
      </c>
    </row>
    <row r="2480" spans="1:11" x14ac:dyDescent="0.25">
      <c r="A2480" s="162">
        <v>26108</v>
      </c>
      <c r="B2480" s="163">
        <v>6.46</v>
      </c>
      <c r="C2480" s="163"/>
      <c r="D2480" s="163"/>
      <c r="E2480" s="163"/>
      <c r="J2480" s="157">
        <v>39955</v>
      </c>
      <c r="K2480" s="158">
        <v>4.22</v>
      </c>
    </row>
    <row r="2481" spans="1:11" x14ac:dyDescent="0.25">
      <c r="A2481" s="162">
        <v>26109</v>
      </c>
      <c r="B2481" s="163">
        <v>6.45</v>
      </c>
      <c r="C2481" s="163"/>
      <c r="D2481" s="163"/>
      <c r="E2481" s="163"/>
      <c r="J2481" s="157">
        <v>39962</v>
      </c>
      <c r="K2481" s="158">
        <v>4.47</v>
      </c>
    </row>
    <row r="2482" spans="1:11" x14ac:dyDescent="0.25">
      <c r="A2482" s="162">
        <v>26112</v>
      </c>
      <c r="B2482" s="163">
        <v>6.45</v>
      </c>
      <c r="C2482" s="163"/>
      <c r="D2482" s="163"/>
      <c r="E2482" s="163"/>
      <c r="J2482" s="157">
        <v>39969</v>
      </c>
      <c r="K2482" s="158">
        <v>4.55</v>
      </c>
    </row>
    <row r="2483" spans="1:11" x14ac:dyDescent="0.25">
      <c r="A2483" s="162">
        <v>26113</v>
      </c>
      <c r="B2483" s="163">
        <v>6.45</v>
      </c>
      <c r="C2483" s="163"/>
      <c r="D2483" s="163"/>
      <c r="E2483" s="163"/>
      <c r="J2483" s="157">
        <v>39976</v>
      </c>
      <c r="K2483" s="158">
        <v>4.67</v>
      </c>
    </row>
    <row r="2484" spans="1:11" x14ac:dyDescent="0.25">
      <c r="A2484" s="162">
        <v>26114</v>
      </c>
      <c r="B2484" s="163">
        <v>6.44</v>
      </c>
      <c r="C2484" s="163"/>
      <c r="D2484" s="163"/>
      <c r="E2484" s="163"/>
      <c r="J2484" s="157">
        <v>39983</v>
      </c>
      <c r="K2484" s="158">
        <v>4.54</v>
      </c>
    </row>
    <row r="2485" spans="1:11" x14ac:dyDescent="0.25">
      <c r="A2485" s="162">
        <v>26115</v>
      </c>
      <c r="B2485" s="163">
        <v>6.43</v>
      </c>
      <c r="C2485" s="163"/>
      <c r="D2485" s="163"/>
      <c r="E2485" s="163"/>
      <c r="J2485" s="157">
        <v>39990</v>
      </c>
      <c r="K2485" s="158">
        <v>4.37</v>
      </c>
    </row>
    <row r="2486" spans="1:11" x14ac:dyDescent="0.25">
      <c r="A2486" s="162">
        <v>26116</v>
      </c>
      <c r="B2486" s="164">
        <v>6.41</v>
      </c>
      <c r="C2486" s="164"/>
      <c r="D2486" s="164"/>
      <c r="E2486" s="164"/>
      <c r="J2486" s="157">
        <v>39997</v>
      </c>
      <c r="K2486" s="158">
        <v>4.3</v>
      </c>
    </row>
    <row r="2487" spans="1:11" x14ac:dyDescent="0.25">
      <c r="A2487" s="162">
        <v>26119</v>
      </c>
      <c r="B2487" s="163" t="e">
        <f>NA()</f>
        <v>#N/A</v>
      </c>
      <c r="C2487" s="163"/>
      <c r="D2487" s="163"/>
      <c r="E2487" s="163"/>
      <c r="J2487" s="157">
        <v>40004</v>
      </c>
      <c r="K2487" s="158">
        <v>4.22</v>
      </c>
    </row>
    <row r="2488" spans="1:11" x14ac:dyDescent="0.25">
      <c r="A2488" s="162">
        <v>26120</v>
      </c>
      <c r="B2488" s="163">
        <v>6.39</v>
      </c>
      <c r="C2488" s="163"/>
      <c r="D2488" s="163"/>
      <c r="E2488" s="163"/>
      <c r="J2488" s="157">
        <v>40011</v>
      </c>
      <c r="K2488" s="158">
        <v>4.3899999999999997</v>
      </c>
    </row>
    <row r="2489" spans="1:11" x14ac:dyDescent="0.25">
      <c r="A2489" s="162">
        <v>26121</v>
      </c>
      <c r="B2489" s="163">
        <v>6.38</v>
      </c>
      <c r="C2489" s="163"/>
      <c r="D2489" s="163"/>
      <c r="E2489" s="163"/>
      <c r="J2489" s="157">
        <v>40018</v>
      </c>
      <c r="K2489" s="158">
        <v>4.46</v>
      </c>
    </row>
    <row r="2490" spans="1:11" x14ac:dyDescent="0.25">
      <c r="A2490" s="162">
        <v>26122</v>
      </c>
      <c r="B2490" s="163">
        <v>6.38</v>
      </c>
      <c r="C2490" s="163"/>
      <c r="D2490" s="163"/>
      <c r="E2490" s="163"/>
      <c r="J2490" s="157">
        <v>40025</v>
      </c>
      <c r="K2490" s="158">
        <v>4.47</v>
      </c>
    </row>
    <row r="2491" spans="1:11" x14ac:dyDescent="0.25">
      <c r="A2491" s="162">
        <v>26123</v>
      </c>
      <c r="B2491" s="164">
        <v>6.38</v>
      </c>
      <c r="C2491" s="164"/>
      <c r="D2491" s="164"/>
      <c r="E2491" s="164"/>
      <c r="J2491" s="157">
        <v>40032</v>
      </c>
      <c r="K2491" s="158">
        <v>4.5</v>
      </c>
    </row>
    <row r="2492" spans="1:11" x14ac:dyDescent="0.25">
      <c r="A2492" s="162">
        <v>26126</v>
      </c>
      <c r="B2492" s="163">
        <v>6.32</v>
      </c>
      <c r="C2492" s="163"/>
      <c r="D2492" s="163"/>
      <c r="E2492" s="163"/>
      <c r="J2492" s="157">
        <v>40039</v>
      </c>
      <c r="K2492" s="158">
        <v>4.42</v>
      </c>
    </row>
    <row r="2493" spans="1:11" x14ac:dyDescent="0.25">
      <c r="A2493" s="162">
        <v>26127</v>
      </c>
      <c r="B2493" s="163">
        <v>6.3</v>
      </c>
      <c r="C2493" s="163"/>
      <c r="D2493" s="163"/>
      <c r="E2493" s="163"/>
      <c r="J2493" s="157">
        <v>40046</v>
      </c>
      <c r="K2493" s="158">
        <v>4.26</v>
      </c>
    </row>
    <row r="2494" spans="1:11" x14ac:dyDescent="0.25">
      <c r="A2494" s="162">
        <v>26128</v>
      </c>
      <c r="B2494" s="163">
        <v>6.28</v>
      </c>
      <c r="C2494" s="163"/>
      <c r="D2494" s="163"/>
      <c r="E2494" s="163"/>
      <c r="J2494" s="157">
        <v>40053</v>
      </c>
      <c r="K2494" s="158">
        <v>4.18</v>
      </c>
    </row>
    <row r="2495" spans="1:11" x14ac:dyDescent="0.25">
      <c r="A2495" s="162">
        <v>26129</v>
      </c>
      <c r="B2495" s="163">
        <v>6.27</v>
      </c>
      <c r="C2495" s="163"/>
      <c r="D2495" s="163"/>
      <c r="E2495" s="163"/>
      <c r="J2495" s="157">
        <v>40060</v>
      </c>
      <c r="K2495" s="158">
        <v>4.12</v>
      </c>
    </row>
    <row r="2496" spans="1:11" x14ac:dyDescent="0.25">
      <c r="A2496" s="162">
        <v>26130</v>
      </c>
      <c r="B2496" s="163">
        <v>6.32</v>
      </c>
      <c r="C2496" s="163"/>
      <c r="D2496" s="163"/>
      <c r="E2496" s="163"/>
      <c r="J2496" s="157">
        <v>40067</v>
      </c>
      <c r="K2496" s="158">
        <v>4.18</v>
      </c>
    </row>
    <row r="2497" spans="1:11" x14ac:dyDescent="0.25">
      <c r="A2497" s="162">
        <v>26133</v>
      </c>
      <c r="B2497" s="163">
        <v>6.37</v>
      </c>
      <c r="C2497" s="163"/>
      <c r="D2497" s="163"/>
      <c r="E2497" s="163"/>
      <c r="J2497" s="157">
        <v>40074</v>
      </c>
      <c r="K2497" s="158">
        <v>4.1900000000000004</v>
      </c>
    </row>
    <row r="2498" spans="1:11" x14ac:dyDescent="0.25">
      <c r="A2498" s="162">
        <v>26134</v>
      </c>
      <c r="B2498" s="163">
        <v>6.38</v>
      </c>
      <c r="C2498" s="163"/>
      <c r="D2498" s="163"/>
      <c r="E2498" s="163"/>
      <c r="J2498" s="157">
        <v>40081</v>
      </c>
      <c r="K2498" s="158">
        <v>4.1500000000000004</v>
      </c>
    </row>
    <row r="2499" spans="1:11" x14ac:dyDescent="0.25">
      <c r="A2499" s="162">
        <v>26135</v>
      </c>
      <c r="B2499" s="163">
        <v>6.36</v>
      </c>
      <c r="C2499" s="163"/>
      <c r="D2499" s="163"/>
      <c r="E2499" s="163"/>
      <c r="J2499" s="157">
        <v>40088</v>
      </c>
      <c r="K2499" s="158">
        <v>4</v>
      </c>
    </row>
    <row r="2500" spans="1:11" x14ac:dyDescent="0.25">
      <c r="A2500" s="162">
        <v>26136</v>
      </c>
      <c r="B2500" s="163">
        <v>6.41</v>
      </c>
      <c r="C2500" s="163"/>
      <c r="D2500" s="163"/>
      <c r="E2500" s="163"/>
      <c r="J2500" s="157">
        <v>40095</v>
      </c>
      <c r="K2500" s="158">
        <v>4.04</v>
      </c>
    </row>
    <row r="2501" spans="1:11" x14ac:dyDescent="0.25">
      <c r="A2501" s="162">
        <v>26137</v>
      </c>
      <c r="B2501" s="163">
        <v>6.44</v>
      </c>
      <c r="C2501" s="163"/>
      <c r="D2501" s="163"/>
      <c r="E2501" s="163"/>
      <c r="J2501" s="157">
        <v>40102</v>
      </c>
      <c r="K2501" s="158">
        <v>4.2300000000000004</v>
      </c>
    </row>
    <row r="2502" spans="1:11" x14ac:dyDescent="0.25">
      <c r="A2502" s="162">
        <v>26140</v>
      </c>
      <c r="B2502" s="163">
        <v>6.45</v>
      </c>
      <c r="C2502" s="163"/>
      <c r="D2502" s="163"/>
      <c r="E2502" s="163"/>
      <c r="J2502" s="157">
        <v>40109</v>
      </c>
      <c r="K2502" s="158">
        <v>4.2</v>
      </c>
    </row>
    <row r="2503" spans="1:11" x14ac:dyDescent="0.25">
      <c r="A2503" s="162">
        <v>26141</v>
      </c>
      <c r="B2503" s="163">
        <v>6.45</v>
      </c>
      <c r="C2503" s="163"/>
      <c r="D2503" s="163"/>
      <c r="E2503" s="163"/>
      <c r="J2503" s="157">
        <v>40116</v>
      </c>
      <c r="K2503" s="158">
        <v>4.2699999999999996</v>
      </c>
    </row>
    <row r="2504" spans="1:11" x14ac:dyDescent="0.25">
      <c r="A2504" s="162">
        <v>26142</v>
      </c>
      <c r="B2504" s="164">
        <v>6.46</v>
      </c>
      <c r="C2504" s="164"/>
      <c r="D2504" s="164"/>
      <c r="E2504" s="164"/>
      <c r="J2504" s="157">
        <v>40123</v>
      </c>
      <c r="K2504" s="158">
        <v>4.32</v>
      </c>
    </row>
    <row r="2505" spans="1:11" x14ac:dyDescent="0.25">
      <c r="A2505" s="162">
        <v>26143</v>
      </c>
      <c r="B2505" s="163">
        <v>6.44</v>
      </c>
      <c r="C2505" s="163"/>
      <c r="D2505" s="163"/>
      <c r="E2505" s="163"/>
      <c r="J2505" s="157">
        <v>40130</v>
      </c>
      <c r="K2505" s="158">
        <v>4.33</v>
      </c>
    </row>
    <row r="2506" spans="1:11" x14ac:dyDescent="0.25">
      <c r="A2506" s="162">
        <v>26144</v>
      </c>
      <c r="B2506" s="163">
        <v>6.43</v>
      </c>
      <c r="C2506" s="163"/>
      <c r="D2506" s="163"/>
      <c r="E2506" s="163"/>
      <c r="J2506" s="157">
        <v>40137</v>
      </c>
      <c r="K2506" s="158">
        <v>4.1900000000000004</v>
      </c>
    </row>
    <row r="2507" spans="1:11" x14ac:dyDescent="0.25">
      <c r="A2507" s="162">
        <v>26147</v>
      </c>
      <c r="B2507" s="163">
        <v>6.42</v>
      </c>
      <c r="C2507" s="163"/>
      <c r="D2507" s="163"/>
      <c r="E2507" s="163"/>
      <c r="J2507" s="157">
        <v>40144</v>
      </c>
      <c r="K2507" s="158">
        <v>4.1399999999999997</v>
      </c>
    </row>
    <row r="2508" spans="1:11" x14ac:dyDescent="0.25">
      <c r="A2508" s="162">
        <v>26148</v>
      </c>
      <c r="B2508" s="163">
        <v>6.45</v>
      </c>
      <c r="C2508" s="163"/>
      <c r="D2508" s="163"/>
      <c r="E2508" s="163"/>
      <c r="J2508" s="157">
        <v>40151</v>
      </c>
      <c r="K2508" s="158">
        <v>4.18</v>
      </c>
    </row>
    <row r="2509" spans="1:11" x14ac:dyDescent="0.25">
      <c r="A2509" s="162">
        <v>26149</v>
      </c>
      <c r="B2509" s="163">
        <v>6.46</v>
      </c>
      <c r="C2509" s="163"/>
      <c r="D2509" s="163"/>
      <c r="E2509" s="163"/>
      <c r="J2509" s="157">
        <v>40158</v>
      </c>
      <c r="K2509" s="158">
        <v>4.33</v>
      </c>
    </row>
    <row r="2510" spans="1:11" x14ac:dyDescent="0.25">
      <c r="A2510" s="162">
        <v>26150</v>
      </c>
      <c r="B2510" s="163">
        <v>6.44</v>
      </c>
      <c r="C2510" s="163"/>
      <c r="D2510" s="163"/>
      <c r="E2510" s="163"/>
      <c r="J2510" s="157">
        <v>40165</v>
      </c>
      <c r="K2510" s="158">
        <v>4.38</v>
      </c>
    </row>
    <row r="2511" spans="1:11" x14ac:dyDescent="0.25">
      <c r="A2511" s="162">
        <v>26151</v>
      </c>
      <c r="B2511" s="163">
        <v>6.44</v>
      </c>
      <c r="C2511" s="163"/>
      <c r="D2511" s="163"/>
      <c r="E2511" s="163"/>
      <c r="J2511" s="157">
        <v>40172</v>
      </c>
      <c r="K2511" s="158">
        <v>4.53</v>
      </c>
    </row>
    <row r="2512" spans="1:11" x14ac:dyDescent="0.25">
      <c r="A2512" s="162">
        <v>26154</v>
      </c>
      <c r="B2512" s="163">
        <v>6.45</v>
      </c>
      <c r="C2512" s="163"/>
      <c r="D2512" s="163"/>
      <c r="E2512" s="163"/>
      <c r="J2512" s="157">
        <v>40179</v>
      </c>
      <c r="K2512" s="158">
        <v>4.58</v>
      </c>
    </row>
    <row r="2513" spans="1:11" x14ac:dyDescent="0.25">
      <c r="A2513" s="162">
        <v>26155</v>
      </c>
      <c r="B2513" s="163">
        <v>6.45</v>
      </c>
      <c r="C2513" s="163"/>
      <c r="D2513" s="163"/>
      <c r="E2513" s="163"/>
      <c r="J2513" s="157">
        <v>40186</v>
      </c>
      <c r="K2513" s="158">
        <v>4.5999999999999996</v>
      </c>
    </row>
    <row r="2514" spans="1:11" x14ac:dyDescent="0.25">
      <c r="A2514" s="162">
        <v>26156</v>
      </c>
      <c r="B2514" s="163">
        <v>6.43</v>
      </c>
      <c r="C2514" s="163"/>
      <c r="D2514" s="163"/>
      <c r="E2514" s="163"/>
      <c r="J2514" s="157">
        <v>40193</v>
      </c>
      <c r="K2514" s="158">
        <v>4.55</v>
      </c>
    </row>
    <row r="2515" spans="1:11" x14ac:dyDescent="0.25">
      <c r="A2515" s="162">
        <v>26157</v>
      </c>
      <c r="B2515" s="163">
        <v>6.38</v>
      </c>
      <c r="C2515" s="163"/>
      <c r="D2515" s="163"/>
      <c r="E2515" s="163"/>
      <c r="J2515" s="157">
        <v>40200</v>
      </c>
      <c r="K2515" s="158">
        <v>4.42</v>
      </c>
    </row>
    <row r="2516" spans="1:11" x14ac:dyDescent="0.25">
      <c r="A2516" s="162">
        <v>26158</v>
      </c>
      <c r="B2516" s="163">
        <v>6.32</v>
      </c>
      <c r="C2516" s="163"/>
      <c r="D2516" s="163"/>
      <c r="E2516" s="163"/>
      <c r="J2516" s="157">
        <v>40207</v>
      </c>
      <c r="K2516" s="158">
        <v>4.42</v>
      </c>
    </row>
    <row r="2517" spans="1:11" x14ac:dyDescent="0.25">
      <c r="A2517" s="162">
        <v>26161</v>
      </c>
      <c r="B2517" s="163">
        <v>6.14</v>
      </c>
      <c r="C2517" s="163"/>
      <c r="D2517" s="163"/>
      <c r="E2517" s="163"/>
      <c r="J2517" s="157">
        <v>40214</v>
      </c>
      <c r="K2517" s="158">
        <v>4.42</v>
      </c>
    </row>
    <row r="2518" spans="1:11" x14ac:dyDescent="0.25">
      <c r="A2518" s="162">
        <v>26162</v>
      </c>
      <c r="B2518" s="163">
        <v>6.1</v>
      </c>
      <c r="C2518" s="163"/>
      <c r="D2518" s="163"/>
      <c r="E2518" s="163"/>
      <c r="J2518" s="157">
        <v>40221</v>
      </c>
      <c r="K2518" s="158">
        <v>4.4800000000000004</v>
      </c>
    </row>
    <row r="2519" spans="1:11" x14ac:dyDescent="0.25">
      <c r="A2519" s="162">
        <v>26163</v>
      </c>
      <c r="B2519" s="163">
        <v>6.11</v>
      </c>
      <c r="C2519" s="163"/>
      <c r="D2519" s="163"/>
      <c r="E2519" s="163"/>
      <c r="J2519" s="157">
        <v>40228</v>
      </c>
      <c r="K2519" s="158">
        <v>4.5599999999999996</v>
      </c>
    </row>
    <row r="2520" spans="1:11" x14ac:dyDescent="0.25">
      <c r="A2520" s="162">
        <v>26164</v>
      </c>
      <c r="B2520" s="163">
        <v>6.13</v>
      </c>
      <c r="C2520" s="163"/>
      <c r="D2520" s="163"/>
      <c r="E2520" s="163"/>
      <c r="J2520" s="157">
        <v>40235</v>
      </c>
      <c r="K2520" s="158">
        <v>4.4800000000000004</v>
      </c>
    </row>
    <row r="2521" spans="1:11" x14ac:dyDescent="0.25">
      <c r="A2521" s="162">
        <v>26165</v>
      </c>
      <c r="B2521" s="163">
        <v>6.14</v>
      </c>
      <c r="C2521" s="163"/>
      <c r="D2521" s="163"/>
      <c r="E2521" s="163"/>
      <c r="J2521" s="157">
        <v>40242</v>
      </c>
      <c r="K2521" s="158">
        <v>4.43</v>
      </c>
    </row>
    <row r="2522" spans="1:11" x14ac:dyDescent="0.25">
      <c r="A2522" s="162">
        <v>26168</v>
      </c>
      <c r="B2522" s="163">
        <v>6.22</v>
      </c>
      <c r="C2522" s="163"/>
      <c r="D2522" s="163"/>
      <c r="E2522" s="163"/>
      <c r="J2522" s="157">
        <v>40249</v>
      </c>
      <c r="K2522" s="158">
        <v>4.51</v>
      </c>
    </row>
    <row r="2523" spans="1:11" x14ac:dyDescent="0.25">
      <c r="A2523" s="162">
        <v>26169</v>
      </c>
      <c r="B2523" s="163">
        <v>6.19</v>
      </c>
      <c r="C2523" s="163"/>
      <c r="D2523" s="163"/>
      <c r="E2523" s="163"/>
      <c r="J2523" s="157">
        <v>40256</v>
      </c>
      <c r="K2523" s="158">
        <v>4.43</v>
      </c>
    </row>
    <row r="2524" spans="1:11" x14ac:dyDescent="0.25">
      <c r="A2524" s="162">
        <v>26170</v>
      </c>
      <c r="B2524" s="164">
        <v>6.2</v>
      </c>
      <c r="C2524" s="164"/>
      <c r="D2524" s="164"/>
      <c r="E2524" s="164"/>
      <c r="J2524" s="157">
        <v>40263</v>
      </c>
      <c r="K2524" s="158">
        <v>4.53</v>
      </c>
    </row>
    <row r="2525" spans="1:11" x14ac:dyDescent="0.25">
      <c r="A2525" s="162">
        <v>26171</v>
      </c>
      <c r="B2525" s="163">
        <v>6.18</v>
      </c>
      <c r="C2525" s="163"/>
      <c r="D2525" s="163"/>
      <c r="E2525" s="163"/>
      <c r="J2525" s="157">
        <v>40270</v>
      </c>
      <c r="K2525" s="158">
        <v>4.5999999999999996</v>
      </c>
    </row>
    <row r="2526" spans="1:11" x14ac:dyDescent="0.25">
      <c r="A2526" s="162">
        <v>26172</v>
      </c>
      <c r="B2526" s="163">
        <v>6.14</v>
      </c>
      <c r="C2526" s="163"/>
      <c r="D2526" s="163"/>
      <c r="E2526" s="163"/>
      <c r="J2526" s="157">
        <v>40277</v>
      </c>
      <c r="K2526" s="158">
        <v>4.63</v>
      </c>
    </row>
    <row r="2527" spans="1:11" x14ac:dyDescent="0.25">
      <c r="A2527" s="162">
        <v>26175</v>
      </c>
      <c r="B2527" s="163">
        <v>6.12</v>
      </c>
      <c r="C2527" s="163"/>
      <c r="D2527" s="163"/>
      <c r="E2527" s="163"/>
      <c r="J2527" s="157">
        <v>40284</v>
      </c>
      <c r="K2527" s="158">
        <v>4.54</v>
      </c>
    </row>
    <row r="2528" spans="1:11" x14ac:dyDescent="0.25">
      <c r="A2528" s="162">
        <v>26176</v>
      </c>
      <c r="B2528" s="163">
        <v>6.09</v>
      </c>
      <c r="C2528" s="163"/>
      <c r="D2528" s="163"/>
      <c r="E2528" s="163"/>
      <c r="J2528" s="157">
        <v>40291</v>
      </c>
      <c r="K2528" s="158">
        <v>4.5</v>
      </c>
    </row>
    <row r="2529" spans="1:11" x14ac:dyDescent="0.25">
      <c r="A2529" s="162">
        <v>26177</v>
      </c>
      <c r="B2529" s="163">
        <v>6.08</v>
      </c>
      <c r="C2529" s="163"/>
      <c r="D2529" s="163"/>
      <c r="E2529" s="163"/>
      <c r="J2529" s="157">
        <v>40298</v>
      </c>
      <c r="K2529" s="158">
        <v>4.43</v>
      </c>
    </row>
    <row r="2530" spans="1:11" x14ac:dyDescent="0.25">
      <c r="A2530" s="162">
        <v>26178</v>
      </c>
      <c r="B2530" s="163">
        <v>6.04</v>
      </c>
      <c r="C2530" s="163"/>
      <c r="D2530" s="163"/>
      <c r="E2530" s="163"/>
      <c r="J2530" s="157">
        <v>40305</v>
      </c>
      <c r="K2530" s="158">
        <v>4.2</v>
      </c>
    </row>
    <row r="2531" spans="1:11" x14ac:dyDescent="0.25">
      <c r="A2531" s="162">
        <v>26179</v>
      </c>
      <c r="B2531" s="163">
        <v>5.99</v>
      </c>
      <c r="C2531" s="163"/>
      <c r="D2531" s="163"/>
      <c r="E2531" s="163"/>
      <c r="J2531" s="157">
        <v>40312</v>
      </c>
      <c r="K2531" s="158">
        <v>4.2300000000000004</v>
      </c>
    </row>
    <row r="2532" spans="1:11" x14ac:dyDescent="0.25">
      <c r="A2532" s="162">
        <v>26182</v>
      </c>
      <c r="B2532" s="163" t="e">
        <f>NA()</f>
        <v>#N/A</v>
      </c>
      <c r="C2532" s="163"/>
      <c r="D2532" s="163"/>
      <c r="E2532" s="163"/>
      <c r="J2532" s="157">
        <v>40319</v>
      </c>
      <c r="K2532" s="158">
        <v>4.04</v>
      </c>
    </row>
    <row r="2533" spans="1:11" x14ac:dyDescent="0.25">
      <c r="A2533" s="162">
        <v>26183</v>
      </c>
      <c r="B2533" s="163">
        <v>5.95</v>
      </c>
      <c r="C2533" s="163"/>
      <c r="D2533" s="163"/>
      <c r="E2533" s="163"/>
      <c r="J2533" s="157">
        <v>40326</v>
      </c>
      <c r="K2533" s="158">
        <v>3.99</v>
      </c>
    </row>
    <row r="2534" spans="1:11" x14ac:dyDescent="0.25">
      <c r="A2534" s="162">
        <v>26184</v>
      </c>
      <c r="B2534" s="163">
        <v>5.97</v>
      </c>
      <c r="C2534" s="163"/>
      <c r="D2534" s="163"/>
      <c r="E2534" s="163"/>
      <c r="J2534" s="157">
        <v>40333</v>
      </c>
      <c r="K2534" s="158">
        <v>4.05</v>
      </c>
    </row>
    <row r="2535" spans="1:11" x14ac:dyDescent="0.25">
      <c r="A2535" s="162">
        <v>26185</v>
      </c>
      <c r="B2535" s="163">
        <v>6</v>
      </c>
      <c r="C2535" s="163"/>
      <c r="D2535" s="163"/>
      <c r="E2535" s="163"/>
      <c r="J2535" s="157">
        <v>40340</v>
      </c>
      <c r="K2535" s="158">
        <v>3.96</v>
      </c>
    </row>
    <row r="2536" spans="1:11" x14ac:dyDescent="0.25">
      <c r="A2536" s="162">
        <v>26186</v>
      </c>
      <c r="B2536" s="163">
        <v>6.02</v>
      </c>
      <c r="C2536" s="163"/>
      <c r="D2536" s="163"/>
      <c r="E2536" s="163"/>
      <c r="J2536" s="157">
        <v>40347</v>
      </c>
      <c r="K2536" s="158">
        <v>4</v>
      </c>
    </row>
    <row r="2537" spans="1:11" x14ac:dyDescent="0.25">
      <c r="A2537" s="162">
        <v>26189</v>
      </c>
      <c r="B2537" s="163">
        <v>6.09</v>
      </c>
      <c r="C2537" s="163"/>
      <c r="D2537" s="163"/>
      <c r="E2537" s="163"/>
      <c r="J2537" s="157">
        <v>40354</v>
      </c>
      <c r="K2537" s="158">
        <v>3.92</v>
      </c>
    </row>
    <row r="2538" spans="1:11" x14ac:dyDescent="0.25">
      <c r="A2538" s="162">
        <v>26190</v>
      </c>
      <c r="B2538" s="163">
        <v>6.11</v>
      </c>
      <c r="C2538" s="163"/>
      <c r="D2538" s="163"/>
      <c r="E2538" s="163"/>
      <c r="J2538" s="157">
        <v>40361</v>
      </c>
      <c r="K2538" s="158">
        <v>3.76</v>
      </c>
    </row>
    <row r="2539" spans="1:11" x14ac:dyDescent="0.25">
      <c r="A2539" s="162">
        <v>26191</v>
      </c>
      <c r="B2539" s="163">
        <v>6.09</v>
      </c>
      <c r="C2539" s="163"/>
      <c r="D2539" s="163"/>
      <c r="E2539" s="163"/>
      <c r="J2539" s="157">
        <v>40368</v>
      </c>
      <c r="K2539" s="158">
        <v>3.79</v>
      </c>
    </row>
    <row r="2540" spans="1:11" x14ac:dyDescent="0.25">
      <c r="A2540" s="162">
        <v>26192</v>
      </c>
      <c r="B2540" s="163">
        <v>6.08</v>
      </c>
      <c r="C2540" s="163"/>
      <c r="D2540" s="163"/>
      <c r="E2540" s="163"/>
      <c r="J2540" s="157">
        <v>40375</v>
      </c>
      <c r="K2540" s="158">
        <v>3.83</v>
      </c>
    </row>
    <row r="2541" spans="1:11" x14ac:dyDescent="0.25">
      <c r="A2541" s="162">
        <v>26193</v>
      </c>
      <c r="B2541" s="163">
        <v>6.05</v>
      </c>
      <c r="C2541" s="163"/>
      <c r="D2541" s="163"/>
      <c r="E2541" s="163"/>
      <c r="J2541" s="157">
        <v>40382</v>
      </c>
      <c r="K2541" s="158">
        <v>3.76</v>
      </c>
    </row>
    <row r="2542" spans="1:11" x14ac:dyDescent="0.25">
      <c r="A2542" s="162">
        <v>26196</v>
      </c>
      <c r="B2542" s="163">
        <v>6.07</v>
      </c>
      <c r="C2542" s="163"/>
      <c r="D2542" s="163"/>
      <c r="E2542" s="163"/>
      <c r="J2542" s="157">
        <v>40389</v>
      </c>
      <c r="K2542" s="158">
        <v>3.83</v>
      </c>
    </row>
    <row r="2543" spans="1:11" x14ac:dyDescent="0.25">
      <c r="A2543" s="162">
        <v>26197</v>
      </c>
      <c r="B2543" s="163">
        <v>6.08</v>
      </c>
      <c r="C2543" s="163"/>
      <c r="D2543" s="163"/>
      <c r="E2543" s="163"/>
      <c r="J2543" s="157">
        <v>40396</v>
      </c>
      <c r="K2543" s="158">
        <v>3.78</v>
      </c>
    </row>
    <row r="2544" spans="1:11" x14ac:dyDescent="0.25">
      <c r="A2544" s="162">
        <v>26198</v>
      </c>
      <c r="B2544" s="163">
        <v>6.1</v>
      </c>
      <c r="C2544" s="163"/>
      <c r="D2544" s="163"/>
      <c r="E2544" s="163"/>
      <c r="J2544" s="157">
        <v>40403</v>
      </c>
      <c r="K2544" s="158">
        <v>3.65</v>
      </c>
    </row>
    <row r="2545" spans="1:11" x14ac:dyDescent="0.25">
      <c r="A2545" s="162">
        <v>26199</v>
      </c>
      <c r="B2545" s="163">
        <v>6.1</v>
      </c>
      <c r="C2545" s="163"/>
      <c r="D2545" s="163"/>
      <c r="E2545" s="163"/>
      <c r="J2545" s="157">
        <v>40410</v>
      </c>
      <c r="K2545" s="158">
        <v>3.42</v>
      </c>
    </row>
    <row r="2546" spans="1:11" x14ac:dyDescent="0.25">
      <c r="A2546" s="162">
        <v>26200</v>
      </c>
      <c r="B2546" s="163">
        <v>6.08</v>
      </c>
      <c r="C2546" s="163"/>
      <c r="D2546" s="163"/>
      <c r="E2546" s="163"/>
      <c r="J2546" s="157">
        <v>40417</v>
      </c>
      <c r="K2546" s="158">
        <v>3.32</v>
      </c>
    </row>
    <row r="2547" spans="1:11" x14ac:dyDescent="0.25">
      <c r="A2547" s="162">
        <v>26203</v>
      </c>
      <c r="B2547" s="163">
        <v>6.06</v>
      </c>
      <c r="C2547" s="163"/>
      <c r="D2547" s="163"/>
      <c r="E2547" s="163"/>
      <c r="J2547" s="157">
        <v>40424</v>
      </c>
      <c r="K2547" s="158">
        <v>3.36</v>
      </c>
    </row>
    <row r="2548" spans="1:11" x14ac:dyDescent="0.25">
      <c r="A2548" s="162">
        <v>26204</v>
      </c>
      <c r="B2548" s="163">
        <v>6.04</v>
      </c>
      <c r="C2548" s="163"/>
      <c r="D2548" s="163"/>
      <c r="E2548" s="163"/>
      <c r="J2548" s="157">
        <v>40431</v>
      </c>
      <c r="K2548" s="158">
        <v>3.48</v>
      </c>
    </row>
    <row r="2549" spans="1:11" x14ac:dyDescent="0.25">
      <c r="A2549" s="162">
        <v>26205</v>
      </c>
      <c r="B2549" s="163">
        <v>6.02</v>
      </c>
      <c r="C2549" s="163"/>
      <c r="D2549" s="163"/>
      <c r="E2549" s="163"/>
      <c r="J2549" s="157">
        <v>40438</v>
      </c>
      <c r="K2549" s="158">
        <v>3.55</v>
      </c>
    </row>
    <row r="2550" spans="1:11" x14ac:dyDescent="0.25">
      <c r="A2550" s="162">
        <v>26206</v>
      </c>
      <c r="B2550" s="163">
        <v>5.97</v>
      </c>
      <c r="C2550" s="163"/>
      <c r="D2550" s="163"/>
      <c r="E2550" s="163"/>
      <c r="J2550" s="157">
        <v>40445</v>
      </c>
      <c r="K2550" s="158">
        <v>3.48</v>
      </c>
    </row>
    <row r="2551" spans="1:11" x14ac:dyDescent="0.25">
      <c r="A2551" s="162">
        <v>26207</v>
      </c>
      <c r="B2551" s="163">
        <v>5.95</v>
      </c>
      <c r="C2551" s="163"/>
      <c r="D2551" s="163"/>
      <c r="E2551" s="163"/>
      <c r="J2551" s="157">
        <v>40452</v>
      </c>
      <c r="K2551" s="158">
        <v>3.38</v>
      </c>
    </row>
    <row r="2552" spans="1:11" x14ac:dyDescent="0.25">
      <c r="A2552" s="162">
        <v>26210</v>
      </c>
      <c r="B2552" s="163">
        <v>5.93</v>
      </c>
      <c r="C2552" s="163"/>
      <c r="D2552" s="163"/>
      <c r="E2552" s="163"/>
      <c r="J2552" s="157">
        <v>40459</v>
      </c>
      <c r="K2552" s="158">
        <v>3.38</v>
      </c>
    </row>
    <row r="2553" spans="1:11" x14ac:dyDescent="0.25">
      <c r="A2553" s="162">
        <v>26211</v>
      </c>
      <c r="B2553" s="163">
        <v>5.97</v>
      </c>
      <c r="C2553" s="163"/>
      <c r="D2553" s="163"/>
      <c r="E2553" s="163"/>
      <c r="J2553" s="157">
        <v>40466</v>
      </c>
      <c r="K2553" s="158">
        <v>3.52</v>
      </c>
    </row>
    <row r="2554" spans="1:11" x14ac:dyDescent="0.25">
      <c r="A2554" s="162">
        <v>26212</v>
      </c>
      <c r="B2554" s="163">
        <v>5.96</v>
      </c>
      <c r="C2554" s="163"/>
      <c r="D2554" s="163"/>
      <c r="E2554" s="163"/>
      <c r="J2554" s="157">
        <v>40473</v>
      </c>
      <c r="K2554" s="158">
        <v>3.56</v>
      </c>
    </row>
    <row r="2555" spans="1:11" x14ac:dyDescent="0.25">
      <c r="A2555" s="162">
        <v>26213</v>
      </c>
      <c r="B2555" s="163">
        <v>5.96</v>
      </c>
      <c r="C2555" s="163"/>
      <c r="D2555" s="163"/>
      <c r="E2555" s="163"/>
      <c r="J2555" s="157">
        <v>40480</v>
      </c>
      <c r="K2555" s="158">
        <v>3.66</v>
      </c>
    </row>
    <row r="2556" spans="1:11" x14ac:dyDescent="0.25">
      <c r="A2556" s="162">
        <v>26214</v>
      </c>
      <c r="B2556" s="163">
        <v>5.94</v>
      </c>
      <c r="C2556" s="163"/>
      <c r="D2556" s="163"/>
      <c r="E2556" s="163"/>
      <c r="J2556" s="157">
        <v>40487</v>
      </c>
      <c r="K2556" s="158">
        <v>3.65</v>
      </c>
    </row>
    <row r="2557" spans="1:11" x14ac:dyDescent="0.25">
      <c r="A2557" s="162">
        <v>26217</v>
      </c>
      <c r="B2557" s="163" t="e">
        <f>NA()</f>
        <v>#N/A</v>
      </c>
      <c r="C2557" s="163"/>
      <c r="D2557" s="163"/>
      <c r="E2557" s="163"/>
      <c r="J2557" s="157">
        <v>40494</v>
      </c>
      <c r="K2557" s="158">
        <v>3.81</v>
      </c>
    </row>
    <row r="2558" spans="1:11" x14ac:dyDescent="0.25">
      <c r="A2558" s="162">
        <v>26218</v>
      </c>
      <c r="B2558" s="163">
        <v>5.9</v>
      </c>
      <c r="C2558" s="163"/>
      <c r="D2558" s="163"/>
      <c r="E2558" s="163"/>
      <c r="J2558" s="157">
        <v>40501</v>
      </c>
      <c r="K2558" s="158">
        <v>3.94</v>
      </c>
    </row>
    <row r="2559" spans="1:11" x14ac:dyDescent="0.25">
      <c r="A2559" s="162">
        <v>26219</v>
      </c>
      <c r="B2559" s="163">
        <v>5.88</v>
      </c>
      <c r="C2559" s="163"/>
      <c r="D2559" s="163"/>
      <c r="E2559" s="163"/>
      <c r="J2559" s="157">
        <v>40508</v>
      </c>
      <c r="K2559" s="158">
        <v>3.88</v>
      </c>
    </row>
    <row r="2560" spans="1:11" x14ac:dyDescent="0.25">
      <c r="A2560" s="162">
        <v>26220</v>
      </c>
      <c r="B2560" s="163">
        <v>5.9</v>
      </c>
      <c r="C2560" s="163"/>
      <c r="D2560" s="163"/>
      <c r="E2560" s="163"/>
      <c r="J2560" s="157">
        <v>40515</v>
      </c>
      <c r="K2560" s="158">
        <v>3.91</v>
      </c>
    </row>
    <row r="2561" spans="1:11" x14ac:dyDescent="0.25">
      <c r="A2561" s="162">
        <v>26221</v>
      </c>
      <c r="B2561" s="163">
        <v>5.9</v>
      </c>
      <c r="C2561" s="163"/>
      <c r="D2561" s="163"/>
      <c r="E2561" s="163"/>
      <c r="J2561" s="157">
        <v>40522</v>
      </c>
      <c r="K2561" s="158">
        <v>4.1100000000000003</v>
      </c>
    </row>
    <row r="2562" spans="1:11" x14ac:dyDescent="0.25">
      <c r="A2562" s="162">
        <v>26224</v>
      </c>
      <c r="B2562" s="163">
        <v>5.94</v>
      </c>
      <c r="C2562" s="163"/>
      <c r="D2562" s="163"/>
      <c r="E2562" s="163"/>
      <c r="J2562" s="157">
        <v>40529</v>
      </c>
      <c r="K2562" s="158">
        <v>4.2699999999999996</v>
      </c>
    </row>
    <row r="2563" spans="1:11" x14ac:dyDescent="0.25">
      <c r="A2563" s="162">
        <v>26225</v>
      </c>
      <c r="B2563" s="163">
        <v>5.95</v>
      </c>
      <c r="C2563" s="163"/>
      <c r="D2563" s="163"/>
      <c r="E2563" s="163"/>
      <c r="J2563" s="157">
        <v>40536</v>
      </c>
      <c r="K2563" s="158">
        <v>4.2300000000000004</v>
      </c>
    </row>
    <row r="2564" spans="1:11" x14ac:dyDescent="0.25">
      <c r="A2564" s="162">
        <v>26226</v>
      </c>
      <c r="B2564" s="163">
        <v>5.93</v>
      </c>
      <c r="C2564" s="163"/>
      <c r="D2564" s="163"/>
      <c r="E2564" s="163"/>
      <c r="J2564" s="157">
        <v>40543</v>
      </c>
      <c r="K2564" s="158">
        <v>4.21</v>
      </c>
    </row>
    <row r="2565" spans="1:11" x14ac:dyDescent="0.25">
      <c r="A2565" s="162">
        <v>26227</v>
      </c>
      <c r="B2565" s="163">
        <v>5.91</v>
      </c>
      <c r="C2565" s="163"/>
      <c r="D2565" s="163"/>
      <c r="E2565" s="163"/>
      <c r="J2565" s="157">
        <v>40550</v>
      </c>
      <c r="K2565" s="158">
        <v>4.26</v>
      </c>
    </row>
    <row r="2566" spans="1:11" x14ac:dyDescent="0.25">
      <c r="A2566" s="162">
        <v>26228</v>
      </c>
      <c r="B2566" s="163">
        <v>5.91</v>
      </c>
      <c r="C2566" s="163"/>
      <c r="D2566" s="163"/>
      <c r="E2566" s="163"/>
      <c r="J2566" s="157">
        <v>40557</v>
      </c>
      <c r="K2566" s="158">
        <v>4.26</v>
      </c>
    </row>
    <row r="2567" spans="1:11" x14ac:dyDescent="0.25">
      <c r="A2567" s="162">
        <v>26231</v>
      </c>
      <c r="B2567" s="163" t="e">
        <f>NA()</f>
        <v>#N/A</v>
      </c>
      <c r="C2567" s="163"/>
      <c r="D2567" s="163"/>
      <c r="E2567" s="163"/>
      <c r="J2567" s="157">
        <v>40564</v>
      </c>
      <c r="K2567" s="158">
        <v>4.32</v>
      </c>
    </row>
    <row r="2568" spans="1:11" x14ac:dyDescent="0.25">
      <c r="A2568" s="162">
        <v>26232</v>
      </c>
      <c r="B2568" s="164">
        <v>5.89</v>
      </c>
      <c r="C2568" s="164"/>
      <c r="D2568" s="164"/>
      <c r="E2568" s="164"/>
      <c r="J2568" s="157">
        <v>40571</v>
      </c>
      <c r="K2568" s="158">
        <v>4.29</v>
      </c>
    </row>
    <row r="2569" spans="1:11" x14ac:dyDescent="0.25">
      <c r="A2569" s="162">
        <v>26233</v>
      </c>
      <c r="B2569" s="163">
        <v>5.9</v>
      </c>
      <c r="C2569" s="163"/>
      <c r="D2569" s="163"/>
      <c r="E2569" s="163"/>
      <c r="J2569" s="157">
        <v>40578</v>
      </c>
      <c r="K2569" s="158">
        <v>4.41</v>
      </c>
    </row>
    <row r="2570" spans="1:11" x14ac:dyDescent="0.25">
      <c r="A2570" s="162">
        <v>26234</v>
      </c>
      <c r="B2570" s="163">
        <v>5.9</v>
      </c>
      <c r="C2570" s="163"/>
      <c r="D2570" s="163"/>
      <c r="E2570" s="163"/>
      <c r="J2570" s="157">
        <v>40585</v>
      </c>
      <c r="K2570" s="158">
        <v>4.5199999999999996</v>
      </c>
    </row>
    <row r="2571" spans="1:11" x14ac:dyDescent="0.25">
      <c r="A2571" s="162">
        <v>26235</v>
      </c>
      <c r="B2571" s="163">
        <v>5.87</v>
      </c>
      <c r="C2571" s="163"/>
      <c r="D2571" s="163"/>
      <c r="E2571" s="163"/>
      <c r="J2571" s="157">
        <v>40592</v>
      </c>
      <c r="K2571" s="158">
        <v>4.45</v>
      </c>
    </row>
    <row r="2572" spans="1:11" x14ac:dyDescent="0.25">
      <c r="A2572" s="162">
        <v>26238</v>
      </c>
      <c r="B2572" s="163">
        <v>5.83</v>
      </c>
      <c r="C2572" s="163"/>
      <c r="D2572" s="163"/>
      <c r="E2572" s="163"/>
      <c r="J2572" s="157">
        <v>40599</v>
      </c>
      <c r="K2572" s="158">
        <v>4.3099999999999996</v>
      </c>
    </row>
    <row r="2573" spans="1:11" x14ac:dyDescent="0.25">
      <c r="A2573" s="162">
        <v>26239</v>
      </c>
      <c r="B2573" s="163" t="e">
        <f>NA()</f>
        <v>#N/A</v>
      </c>
      <c r="C2573" s="163"/>
      <c r="D2573" s="163"/>
      <c r="E2573" s="163"/>
      <c r="J2573" s="157">
        <v>40606</v>
      </c>
      <c r="K2573" s="158">
        <v>4.3099999999999996</v>
      </c>
    </row>
    <row r="2574" spans="1:11" x14ac:dyDescent="0.25">
      <c r="A2574" s="162">
        <v>26240</v>
      </c>
      <c r="B2574" s="163">
        <v>5.77</v>
      </c>
      <c r="C2574" s="163"/>
      <c r="D2574" s="163"/>
      <c r="E2574" s="163"/>
      <c r="J2574" s="157">
        <v>40613</v>
      </c>
      <c r="K2574" s="158">
        <v>4.33</v>
      </c>
    </row>
    <row r="2575" spans="1:11" x14ac:dyDescent="0.25">
      <c r="A2575" s="162">
        <v>26241</v>
      </c>
      <c r="B2575" s="163">
        <v>5.78</v>
      </c>
      <c r="C2575" s="163"/>
      <c r="D2575" s="163"/>
      <c r="E2575" s="163"/>
      <c r="J2575" s="157">
        <v>40620</v>
      </c>
      <c r="K2575" s="158">
        <v>4.18</v>
      </c>
    </row>
    <row r="2576" spans="1:11" x14ac:dyDescent="0.25">
      <c r="A2576" s="162">
        <v>26242</v>
      </c>
      <c r="B2576" s="163">
        <v>5.78</v>
      </c>
      <c r="C2576" s="163"/>
      <c r="D2576" s="163"/>
      <c r="E2576" s="163"/>
      <c r="J2576" s="157">
        <v>40627</v>
      </c>
      <c r="K2576" s="158">
        <v>4.22</v>
      </c>
    </row>
    <row r="2577" spans="1:11" x14ac:dyDescent="0.25">
      <c r="A2577" s="162">
        <v>26245</v>
      </c>
      <c r="B2577" s="163">
        <v>5.81</v>
      </c>
      <c r="C2577" s="163"/>
      <c r="D2577" s="163"/>
      <c r="E2577" s="163"/>
      <c r="J2577" s="157">
        <v>40634</v>
      </c>
      <c r="K2577" s="158">
        <v>4.29</v>
      </c>
    </row>
    <row r="2578" spans="1:11" x14ac:dyDescent="0.25">
      <c r="A2578" s="162">
        <v>26246</v>
      </c>
      <c r="B2578" s="163">
        <v>5.83</v>
      </c>
      <c r="C2578" s="163"/>
      <c r="D2578" s="163"/>
      <c r="E2578" s="163"/>
      <c r="J2578" s="157">
        <v>40641</v>
      </c>
      <c r="K2578" s="158">
        <v>4.3499999999999996</v>
      </c>
    </row>
    <row r="2579" spans="1:11" x14ac:dyDescent="0.25">
      <c r="A2579" s="162">
        <v>26247</v>
      </c>
      <c r="B2579" s="163">
        <v>5.86</v>
      </c>
      <c r="C2579" s="163"/>
      <c r="D2579" s="163"/>
      <c r="E2579" s="163"/>
      <c r="J2579" s="157">
        <v>40648</v>
      </c>
      <c r="K2579" s="158">
        <v>4.33</v>
      </c>
    </row>
    <row r="2580" spans="1:11" x14ac:dyDescent="0.25">
      <c r="A2580" s="162">
        <v>26248</v>
      </c>
      <c r="B2580" s="163">
        <v>5.86</v>
      </c>
      <c r="C2580" s="163"/>
      <c r="D2580" s="163"/>
      <c r="E2580" s="163"/>
      <c r="J2580" s="157">
        <v>40655</v>
      </c>
      <c r="K2580" s="158">
        <v>4.2300000000000004</v>
      </c>
    </row>
    <row r="2581" spans="1:11" x14ac:dyDescent="0.25">
      <c r="A2581" s="162">
        <v>26249</v>
      </c>
      <c r="B2581" s="163">
        <v>5.84</v>
      </c>
      <c r="C2581" s="163"/>
      <c r="D2581" s="163"/>
      <c r="E2581" s="163"/>
      <c r="J2581" s="157">
        <v>40662</v>
      </c>
      <c r="K2581" s="158">
        <v>4.18</v>
      </c>
    </row>
    <row r="2582" spans="1:11" x14ac:dyDescent="0.25">
      <c r="A2582" s="162">
        <v>26252</v>
      </c>
      <c r="B2582" s="163">
        <v>5.84</v>
      </c>
      <c r="C2582" s="163"/>
      <c r="D2582" s="163"/>
      <c r="E2582" s="163"/>
      <c r="J2582" s="157">
        <v>40669</v>
      </c>
      <c r="K2582" s="158">
        <v>4.07</v>
      </c>
    </row>
    <row r="2583" spans="1:11" x14ac:dyDescent="0.25">
      <c r="A2583" s="162">
        <v>26253</v>
      </c>
      <c r="B2583" s="163">
        <v>5.83</v>
      </c>
      <c r="C2583" s="163"/>
      <c r="D2583" s="163"/>
      <c r="E2583" s="163"/>
      <c r="J2583" s="157">
        <v>40676</v>
      </c>
      <c r="K2583" s="158">
        <v>4.05</v>
      </c>
    </row>
    <row r="2584" spans="1:11" x14ac:dyDescent="0.25">
      <c r="A2584" s="162">
        <v>26254</v>
      </c>
      <c r="B2584" s="163">
        <v>5.83</v>
      </c>
      <c r="C2584" s="163"/>
      <c r="D2584" s="163"/>
      <c r="E2584" s="163"/>
      <c r="J2584" s="157">
        <v>40683</v>
      </c>
      <c r="K2584" s="158">
        <v>3.99</v>
      </c>
    </row>
    <row r="2585" spans="1:11" x14ac:dyDescent="0.25">
      <c r="A2585" s="162">
        <v>26255</v>
      </c>
      <c r="B2585" s="163">
        <v>5.82</v>
      </c>
      <c r="C2585" s="163"/>
      <c r="D2585" s="163"/>
      <c r="E2585" s="163"/>
      <c r="J2585" s="157">
        <v>40690</v>
      </c>
      <c r="K2585" s="158">
        <v>3.96</v>
      </c>
    </row>
    <row r="2586" spans="1:11" x14ac:dyDescent="0.25">
      <c r="A2586" s="162">
        <v>26256</v>
      </c>
      <c r="B2586" s="163">
        <v>5.84</v>
      </c>
      <c r="C2586" s="163"/>
      <c r="D2586" s="163"/>
      <c r="E2586" s="163"/>
      <c r="J2586" s="157">
        <v>40697</v>
      </c>
      <c r="K2586" s="158">
        <v>3.89</v>
      </c>
    </row>
    <row r="2587" spans="1:11" x14ac:dyDescent="0.25">
      <c r="A2587" s="162">
        <v>26259</v>
      </c>
      <c r="B2587" s="163">
        <v>5.88</v>
      </c>
      <c r="C2587" s="163"/>
      <c r="D2587" s="163"/>
      <c r="E2587" s="163"/>
      <c r="J2587" s="157">
        <v>40704</v>
      </c>
      <c r="K2587" s="158">
        <v>3.9</v>
      </c>
    </row>
    <row r="2588" spans="1:11" x14ac:dyDescent="0.25">
      <c r="A2588" s="162">
        <v>26260</v>
      </c>
      <c r="B2588" s="163">
        <v>5.93</v>
      </c>
      <c r="C2588" s="163"/>
      <c r="D2588" s="163"/>
      <c r="E2588" s="163"/>
      <c r="J2588" s="157">
        <v>40711</v>
      </c>
      <c r="K2588" s="158">
        <v>3.9</v>
      </c>
    </row>
    <row r="2589" spans="1:11" x14ac:dyDescent="0.25">
      <c r="A2589" s="162">
        <v>26261</v>
      </c>
      <c r="B2589" s="163">
        <v>5.96</v>
      </c>
      <c r="C2589" s="163"/>
      <c r="D2589" s="163"/>
      <c r="E2589" s="163"/>
      <c r="J2589" s="157">
        <v>40718</v>
      </c>
      <c r="K2589" s="158">
        <v>3.87</v>
      </c>
    </row>
    <row r="2590" spans="1:11" x14ac:dyDescent="0.25">
      <c r="A2590" s="162">
        <v>26262</v>
      </c>
      <c r="B2590" s="163" t="e">
        <f>NA()</f>
        <v>#N/A</v>
      </c>
      <c r="C2590" s="163"/>
      <c r="D2590" s="163"/>
      <c r="E2590" s="163"/>
      <c r="J2590" s="157">
        <v>40725</v>
      </c>
      <c r="K2590" s="158">
        <v>4.05</v>
      </c>
    </row>
    <row r="2591" spans="1:11" x14ac:dyDescent="0.25">
      <c r="A2591" s="162">
        <v>26263</v>
      </c>
      <c r="B2591" s="163">
        <v>5.96</v>
      </c>
      <c r="C2591" s="163"/>
      <c r="D2591" s="163"/>
      <c r="E2591" s="163"/>
      <c r="J2591" s="157">
        <v>40732</v>
      </c>
      <c r="K2591" s="158">
        <v>4.05</v>
      </c>
    </row>
    <row r="2592" spans="1:11" x14ac:dyDescent="0.25">
      <c r="A2592" s="162">
        <v>26266</v>
      </c>
      <c r="B2592" s="163">
        <v>5.96</v>
      </c>
      <c r="C2592" s="163"/>
      <c r="D2592" s="163"/>
      <c r="E2592" s="163"/>
      <c r="J2592" s="157">
        <v>40739</v>
      </c>
      <c r="K2592" s="158">
        <v>3.89</v>
      </c>
    </row>
    <row r="2593" spans="1:11" x14ac:dyDescent="0.25">
      <c r="A2593" s="162">
        <v>26267</v>
      </c>
      <c r="B2593" s="163">
        <v>5.95</v>
      </c>
      <c r="C2593" s="163"/>
      <c r="D2593" s="163"/>
      <c r="E2593" s="163"/>
      <c r="J2593" s="157">
        <v>40746</v>
      </c>
      <c r="K2593" s="158">
        <v>3.93</v>
      </c>
    </row>
    <row r="2594" spans="1:11" x14ac:dyDescent="0.25">
      <c r="A2594" s="162">
        <v>26268</v>
      </c>
      <c r="B2594" s="164">
        <v>5.95</v>
      </c>
      <c r="C2594" s="164"/>
      <c r="D2594" s="164"/>
      <c r="E2594" s="164"/>
      <c r="J2594" s="157">
        <v>40753</v>
      </c>
      <c r="K2594" s="158">
        <v>3.91</v>
      </c>
    </row>
    <row r="2595" spans="1:11" x14ac:dyDescent="0.25">
      <c r="A2595" s="162">
        <v>26269</v>
      </c>
      <c r="B2595" s="163">
        <v>5.96</v>
      </c>
      <c r="C2595" s="163"/>
      <c r="D2595" s="163"/>
      <c r="E2595" s="163"/>
      <c r="J2595" s="157">
        <v>40760</v>
      </c>
      <c r="K2595" s="158">
        <v>3.54</v>
      </c>
    </row>
    <row r="2596" spans="1:11" x14ac:dyDescent="0.25">
      <c r="A2596" s="162">
        <v>26270</v>
      </c>
      <c r="B2596" s="163">
        <v>5.96</v>
      </c>
      <c r="C2596" s="163"/>
      <c r="D2596" s="163"/>
      <c r="E2596" s="163"/>
      <c r="J2596" s="157">
        <v>40767</v>
      </c>
      <c r="K2596" s="158">
        <v>3.23</v>
      </c>
    </row>
    <row r="2597" spans="1:11" x14ac:dyDescent="0.25">
      <c r="A2597" s="162">
        <v>26273</v>
      </c>
      <c r="B2597" s="163">
        <v>5.95</v>
      </c>
      <c r="C2597" s="163"/>
      <c r="D2597" s="163"/>
      <c r="E2597" s="163"/>
      <c r="J2597" s="157">
        <v>40774</v>
      </c>
      <c r="K2597" s="158">
        <v>3.13</v>
      </c>
    </row>
    <row r="2598" spans="1:11" x14ac:dyDescent="0.25">
      <c r="A2598" s="162">
        <v>26274</v>
      </c>
      <c r="B2598" s="163">
        <v>5.98</v>
      </c>
      <c r="C2598" s="163"/>
      <c r="D2598" s="163"/>
      <c r="E2598" s="163"/>
      <c r="J2598" s="157">
        <v>40781</v>
      </c>
      <c r="K2598" s="158">
        <v>3.12</v>
      </c>
    </row>
    <row r="2599" spans="1:11" x14ac:dyDescent="0.25">
      <c r="A2599" s="162">
        <v>26275</v>
      </c>
      <c r="B2599" s="163">
        <v>5.98</v>
      </c>
      <c r="C2599" s="163"/>
      <c r="D2599" s="163"/>
      <c r="E2599" s="163"/>
      <c r="J2599" s="157">
        <v>40788</v>
      </c>
      <c r="K2599" s="158">
        <v>3.11</v>
      </c>
    </row>
    <row r="2600" spans="1:11" x14ac:dyDescent="0.25">
      <c r="A2600" s="162">
        <v>26276</v>
      </c>
      <c r="B2600" s="163">
        <v>6</v>
      </c>
      <c r="C2600" s="163"/>
      <c r="D2600" s="163"/>
      <c r="E2600" s="163"/>
      <c r="J2600" s="157">
        <v>40795</v>
      </c>
      <c r="K2600" s="158">
        <v>2.9</v>
      </c>
    </row>
    <row r="2601" spans="1:11" x14ac:dyDescent="0.25">
      <c r="A2601" s="162">
        <v>26277</v>
      </c>
      <c r="B2601" s="163">
        <v>5.99</v>
      </c>
      <c r="C2601" s="163"/>
      <c r="D2601" s="163"/>
      <c r="E2601" s="163"/>
      <c r="J2601" s="157">
        <v>40802</v>
      </c>
      <c r="K2601" s="158">
        <v>2.92</v>
      </c>
    </row>
    <row r="2602" spans="1:11" x14ac:dyDescent="0.25">
      <c r="A2602" s="162">
        <v>26280</v>
      </c>
      <c r="B2602" s="163">
        <v>5.98</v>
      </c>
      <c r="C2602" s="163"/>
      <c r="D2602" s="163"/>
      <c r="E2602" s="163"/>
      <c r="J2602" s="157">
        <v>40809</v>
      </c>
      <c r="K2602" s="158">
        <v>2.68</v>
      </c>
    </row>
    <row r="2603" spans="1:11" x14ac:dyDescent="0.25">
      <c r="A2603" s="162">
        <v>26281</v>
      </c>
      <c r="B2603" s="163">
        <v>6</v>
      </c>
      <c r="C2603" s="163"/>
      <c r="D2603" s="163"/>
      <c r="E2603" s="163"/>
      <c r="J2603" s="157">
        <v>40816</v>
      </c>
      <c r="K2603" s="158">
        <v>2.74</v>
      </c>
    </row>
    <row r="2604" spans="1:11" x14ac:dyDescent="0.25">
      <c r="A2604" s="162">
        <v>26282</v>
      </c>
      <c r="B2604" s="163">
        <v>6.03</v>
      </c>
      <c r="C2604" s="163"/>
      <c r="D2604" s="163"/>
      <c r="E2604" s="163"/>
      <c r="J2604" s="157">
        <v>40823</v>
      </c>
      <c r="K2604" s="158">
        <v>2.63</v>
      </c>
    </row>
    <row r="2605" spans="1:11" x14ac:dyDescent="0.25">
      <c r="A2605" s="162">
        <v>26283</v>
      </c>
      <c r="B2605" s="163">
        <v>6.03</v>
      </c>
      <c r="C2605" s="163"/>
      <c r="D2605" s="163"/>
      <c r="E2605" s="163"/>
      <c r="J2605" s="157">
        <v>40830</v>
      </c>
      <c r="K2605" s="158">
        <v>2.92</v>
      </c>
    </row>
    <row r="2606" spans="1:11" x14ac:dyDescent="0.25">
      <c r="A2606" s="162">
        <v>26284</v>
      </c>
      <c r="B2606" s="163">
        <v>6.02</v>
      </c>
      <c r="C2606" s="163"/>
      <c r="D2606" s="163"/>
      <c r="E2606" s="163"/>
      <c r="J2606" s="157">
        <v>40837</v>
      </c>
      <c r="K2606" s="158">
        <v>2.92</v>
      </c>
    </row>
    <row r="2607" spans="1:11" x14ac:dyDescent="0.25">
      <c r="A2607" s="162">
        <v>26287</v>
      </c>
      <c r="B2607" s="163">
        <v>6.04</v>
      </c>
      <c r="C2607" s="163"/>
      <c r="D2607" s="163"/>
      <c r="E2607" s="163"/>
      <c r="J2607" s="157">
        <v>40844</v>
      </c>
      <c r="K2607" s="158">
        <v>3.02</v>
      </c>
    </row>
    <row r="2608" spans="1:11" x14ac:dyDescent="0.25">
      <c r="A2608" s="162">
        <v>26288</v>
      </c>
      <c r="B2608" s="163">
        <v>6.08</v>
      </c>
      <c r="C2608" s="163"/>
      <c r="D2608" s="163"/>
      <c r="E2608" s="163"/>
      <c r="J2608" s="157">
        <v>40851</v>
      </c>
      <c r="K2608" s="158">
        <v>2.8</v>
      </c>
    </row>
    <row r="2609" spans="1:11" x14ac:dyDescent="0.25">
      <c r="A2609" s="162">
        <v>26289</v>
      </c>
      <c r="B2609" s="163">
        <v>6.09</v>
      </c>
      <c r="C2609" s="163"/>
      <c r="D2609" s="163"/>
      <c r="E2609" s="163"/>
      <c r="J2609" s="157">
        <v>40858</v>
      </c>
      <c r="K2609" s="158">
        <v>2.79</v>
      </c>
    </row>
    <row r="2610" spans="1:11" x14ac:dyDescent="0.25">
      <c r="A2610" s="162">
        <v>26290</v>
      </c>
      <c r="B2610" s="163">
        <v>6.06</v>
      </c>
      <c r="C2610" s="163"/>
      <c r="D2610" s="163"/>
      <c r="E2610" s="163"/>
      <c r="J2610" s="157">
        <v>40865</v>
      </c>
      <c r="K2610" s="158">
        <v>2.73</v>
      </c>
    </row>
    <row r="2611" spans="1:11" x14ac:dyDescent="0.25">
      <c r="A2611" s="162">
        <v>26291</v>
      </c>
      <c r="B2611" s="163" t="e">
        <f>NA()</f>
        <v>#N/A</v>
      </c>
      <c r="C2611" s="163"/>
      <c r="D2611" s="163"/>
      <c r="E2611" s="163"/>
      <c r="J2611" s="157">
        <v>40872</v>
      </c>
      <c r="K2611" s="158">
        <v>2.6</v>
      </c>
    </row>
    <row r="2612" spans="1:11" x14ac:dyDescent="0.25">
      <c r="A2612" s="162">
        <v>26294</v>
      </c>
      <c r="B2612" s="163">
        <v>6.02</v>
      </c>
      <c r="C2612" s="163"/>
      <c r="D2612" s="163"/>
      <c r="E2612" s="163"/>
      <c r="J2612" s="157">
        <v>40879</v>
      </c>
      <c r="K2612" s="158">
        <v>2.72</v>
      </c>
    </row>
    <row r="2613" spans="1:11" x14ac:dyDescent="0.25">
      <c r="A2613" s="162">
        <v>26295</v>
      </c>
      <c r="B2613" s="163">
        <v>5.98</v>
      </c>
      <c r="C2613" s="163"/>
      <c r="D2613" s="163"/>
      <c r="E2613" s="163"/>
      <c r="J2613" s="157">
        <v>40886</v>
      </c>
      <c r="K2613" s="158">
        <v>2.74</v>
      </c>
    </row>
    <row r="2614" spans="1:11" x14ac:dyDescent="0.25">
      <c r="A2614" s="162">
        <v>26296</v>
      </c>
      <c r="B2614" s="163">
        <v>5.99</v>
      </c>
      <c r="C2614" s="163"/>
      <c r="D2614" s="163"/>
      <c r="E2614" s="163"/>
      <c r="J2614" s="157">
        <v>40893</v>
      </c>
      <c r="K2614" s="158">
        <v>2.63</v>
      </c>
    </row>
    <row r="2615" spans="1:11" x14ac:dyDescent="0.25">
      <c r="A2615" s="162">
        <v>26297</v>
      </c>
      <c r="B2615" s="163">
        <v>6</v>
      </c>
      <c r="C2615" s="163"/>
      <c r="D2615" s="163"/>
      <c r="E2615" s="163"/>
      <c r="J2615" s="157">
        <v>40900</v>
      </c>
      <c r="K2615" s="158">
        <v>2.63</v>
      </c>
    </row>
    <row r="2616" spans="1:11" x14ac:dyDescent="0.25">
      <c r="A2616" s="162">
        <v>26298</v>
      </c>
      <c r="B2616" s="163">
        <v>5.99</v>
      </c>
      <c r="C2616" s="163"/>
      <c r="D2616" s="163"/>
      <c r="E2616" s="163"/>
      <c r="J2616" s="157">
        <v>40907</v>
      </c>
      <c r="K2616" s="158">
        <v>2.62</v>
      </c>
    </row>
    <row r="2617" spans="1:11" x14ac:dyDescent="0.25">
      <c r="A2617" s="162">
        <v>26301</v>
      </c>
      <c r="B2617" s="163">
        <v>6.02</v>
      </c>
      <c r="C2617" s="163"/>
      <c r="D2617" s="163"/>
      <c r="E2617" s="163"/>
      <c r="J2617" s="157">
        <v>40914</v>
      </c>
      <c r="K2617" s="158">
        <v>2.71</v>
      </c>
    </row>
    <row r="2618" spans="1:11" x14ac:dyDescent="0.25">
      <c r="A2618" s="162">
        <v>26302</v>
      </c>
      <c r="B2618" s="163">
        <v>6.02</v>
      </c>
      <c r="C2618" s="163"/>
      <c r="D2618" s="163"/>
      <c r="E2618" s="163"/>
      <c r="J2618" s="157">
        <v>40921</v>
      </c>
      <c r="K2618" s="158">
        <v>2.66</v>
      </c>
    </row>
    <row r="2619" spans="1:11" x14ac:dyDescent="0.25">
      <c r="A2619" s="162">
        <v>26303</v>
      </c>
      <c r="B2619" s="163">
        <v>6.02</v>
      </c>
      <c r="C2619" s="163"/>
      <c r="D2619" s="163"/>
      <c r="E2619" s="163"/>
      <c r="J2619" s="157">
        <v>40928</v>
      </c>
      <c r="K2619" s="158">
        <v>2.68</v>
      </c>
    </row>
    <row r="2620" spans="1:11" x14ac:dyDescent="0.25">
      <c r="A2620" s="162">
        <v>26304</v>
      </c>
      <c r="B2620" s="163">
        <v>6</v>
      </c>
      <c r="C2620" s="163"/>
      <c r="D2620" s="163"/>
      <c r="E2620" s="163"/>
      <c r="J2620" s="157">
        <v>40935</v>
      </c>
      <c r="K2620" s="158">
        <v>2.77</v>
      </c>
    </row>
    <row r="2621" spans="1:11" x14ac:dyDescent="0.25">
      <c r="A2621" s="162">
        <v>26305</v>
      </c>
      <c r="B2621" s="163">
        <v>5.99</v>
      </c>
      <c r="C2621" s="163"/>
      <c r="D2621" s="163"/>
      <c r="E2621" s="163"/>
      <c r="J2621" s="157">
        <v>40942</v>
      </c>
      <c r="K2621" s="158">
        <v>2.66</v>
      </c>
    </row>
    <row r="2622" spans="1:11" x14ac:dyDescent="0.25">
      <c r="A2622" s="162">
        <v>26308</v>
      </c>
      <c r="B2622" s="163">
        <v>5.96</v>
      </c>
      <c r="C2622" s="163"/>
      <c r="D2622" s="163"/>
      <c r="E2622" s="163"/>
      <c r="J2622" s="157">
        <v>40949</v>
      </c>
      <c r="K2622" s="158">
        <v>2.77</v>
      </c>
    </row>
    <row r="2623" spans="1:11" x14ac:dyDescent="0.25">
      <c r="A2623" s="162">
        <v>26309</v>
      </c>
      <c r="B2623" s="164">
        <v>5.97</v>
      </c>
      <c r="C2623" s="164"/>
      <c r="D2623" s="164"/>
      <c r="E2623" s="164"/>
      <c r="J2623" s="157">
        <v>40956</v>
      </c>
      <c r="K2623" s="158">
        <v>2.76</v>
      </c>
    </row>
    <row r="2624" spans="1:11" x14ac:dyDescent="0.25">
      <c r="A2624" s="162">
        <v>26310</v>
      </c>
      <c r="B2624" s="163">
        <v>5.97</v>
      </c>
      <c r="C2624" s="163"/>
      <c r="D2624" s="163"/>
      <c r="E2624" s="163"/>
      <c r="J2624" s="157">
        <v>40963</v>
      </c>
      <c r="K2624" s="158">
        <v>2.79</v>
      </c>
    </row>
    <row r="2625" spans="1:11" x14ac:dyDescent="0.25">
      <c r="A2625" s="162">
        <v>26311</v>
      </c>
      <c r="B2625" s="163">
        <v>5.96</v>
      </c>
      <c r="C2625" s="163"/>
      <c r="D2625" s="163"/>
      <c r="E2625" s="163"/>
      <c r="J2625" s="157">
        <v>40970</v>
      </c>
      <c r="K2625" s="158">
        <v>2.74</v>
      </c>
    </row>
    <row r="2626" spans="1:11" x14ac:dyDescent="0.25">
      <c r="A2626" s="162">
        <v>26312</v>
      </c>
      <c r="B2626" s="163">
        <v>5.95</v>
      </c>
      <c r="C2626" s="163"/>
      <c r="D2626" s="163"/>
      <c r="E2626" s="163"/>
      <c r="J2626" s="157">
        <v>40977</v>
      </c>
      <c r="K2626" s="158">
        <v>2.78</v>
      </c>
    </row>
    <row r="2627" spans="1:11" x14ac:dyDescent="0.25">
      <c r="A2627" s="162">
        <v>26315</v>
      </c>
      <c r="B2627" s="163">
        <v>5.97</v>
      </c>
      <c r="C2627" s="163"/>
      <c r="D2627" s="163"/>
      <c r="E2627" s="163"/>
      <c r="J2627" s="157">
        <v>40984</v>
      </c>
      <c r="K2627" s="158">
        <v>3</v>
      </c>
    </row>
    <row r="2628" spans="1:11" x14ac:dyDescent="0.25">
      <c r="A2628" s="162">
        <v>26316</v>
      </c>
      <c r="B2628" s="163">
        <v>5.98</v>
      </c>
      <c r="C2628" s="163"/>
      <c r="D2628" s="163"/>
      <c r="E2628" s="163"/>
      <c r="J2628" s="157">
        <v>40991</v>
      </c>
      <c r="K2628" s="158">
        <v>3.07</v>
      </c>
    </row>
    <row r="2629" spans="1:11" x14ac:dyDescent="0.25">
      <c r="A2629" s="162">
        <v>26317</v>
      </c>
      <c r="B2629" s="163">
        <v>6</v>
      </c>
      <c r="C2629" s="163"/>
      <c r="D2629" s="163"/>
      <c r="E2629" s="163"/>
      <c r="J2629" s="157">
        <v>40998</v>
      </c>
      <c r="K2629" s="158">
        <v>2.97</v>
      </c>
    </row>
    <row r="2630" spans="1:11" x14ac:dyDescent="0.25">
      <c r="A2630" s="162">
        <v>26318</v>
      </c>
      <c r="B2630" s="163">
        <v>6.01</v>
      </c>
      <c r="C2630" s="163"/>
      <c r="D2630" s="163"/>
      <c r="E2630" s="163"/>
      <c r="J2630" s="157">
        <v>41005</v>
      </c>
      <c r="K2630" s="158">
        <v>2.98</v>
      </c>
    </row>
    <row r="2631" spans="1:11" x14ac:dyDescent="0.25">
      <c r="A2631" s="162">
        <v>26319</v>
      </c>
      <c r="B2631" s="163">
        <v>6.03</v>
      </c>
      <c r="C2631" s="163"/>
      <c r="D2631" s="163"/>
      <c r="E2631" s="163"/>
      <c r="J2631" s="157">
        <v>41012</v>
      </c>
      <c r="K2631" s="158">
        <v>2.81</v>
      </c>
    </row>
    <row r="2632" spans="1:11" x14ac:dyDescent="0.25">
      <c r="A2632" s="162">
        <v>26322</v>
      </c>
      <c r="B2632" s="163">
        <v>6.04</v>
      </c>
      <c r="C2632" s="163"/>
      <c r="D2632" s="163"/>
      <c r="E2632" s="163"/>
      <c r="J2632" s="157">
        <v>41019</v>
      </c>
      <c r="K2632" s="158">
        <v>2.76</v>
      </c>
    </row>
    <row r="2633" spans="1:11" x14ac:dyDescent="0.25">
      <c r="A2633" s="162">
        <v>26323</v>
      </c>
      <c r="B2633" s="163">
        <v>6.02</v>
      </c>
      <c r="C2633" s="163"/>
      <c r="D2633" s="163"/>
      <c r="E2633" s="163"/>
      <c r="J2633" s="157">
        <v>41026</v>
      </c>
      <c r="K2633" s="158">
        <v>2.74</v>
      </c>
    </row>
    <row r="2634" spans="1:11" x14ac:dyDescent="0.25">
      <c r="A2634" s="162">
        <v>26324</v>
      </c>
      <c r="B2634" s="163">
        <v>6.01</v>
      </c>
      <c r="C2634" s="163"/>
      <c r="D2634" s="163"/>
      <c r="E2634" s="163"/>
      <c r="J2634" s="157">
        <v>41033</v>
      </c>
      <c r="K2634" s="158">
        <v>2.72</v>
      </c>
    </row>
    <row r="2635" spans="1:11" x14ac:dyDescent="0.25">
      <c r="A2635" s="162">
        <v>26325</v>
      </c>
      <c r="B2635" s="163">
        <v>6.06</v>
      </c>
      <c r="C2635" s="163"/>
      <c r="D2635" s="163"/>
      <c r="E2635" s="163"/>
      <c r="J2635" s="157">
        <v>41040</v>
      </c>
      <c r="K2635" s="158">
        <v>2.63</v>
      </c>
    </row>
    <row r="2636" spans="1:11" x14ac:dyDescent="0.25">
      <c r="A2636" s="162">
        <v>26326</v>
      </c>
      <c r="B2636" s="163">
        <v>6.09</v>
      </c>
      <c r="C2636" s="163"/>
      <c r="D2636" s="163"/>
      <c r="E2636" s="163"/>
      <c r="J2636" s="157">
        <v>41047</v>
      </c>
      <c r="K2636" s="158">
        <v>2.46</v>
      </c>
    </row>
    <row r="2637" spans="1:11" x14ac:dyDescent="0.25">
      <c r="A2637" s="162">
        <v>26329</v>
      </c>
      <c r="B2637" s="163">
        <v>6.09</v>
      </c>
      <c r="C2637" s="163"/>
      <c r="D2637" s="163"/>
      <c r="E2637" s="163"/>
      <c r="J2637" s="157">
        <v>41054</v>
      </c>
      <c r="K2637" s="158">
        <v>2.44</v>
      </c>
    </row>
    <row r="2638" spans="1:11" x14ac:dyDescent="0.25">
      <c r="A2638" s="162">
        <v>26330</v>
      </c>
      <c r="B2638" s="163">
        <v>6.1</v>
      </c>
      <c r="C2638" s="163"/>
      <c r="D2638" s="163"/>
      <c r="E2638" s="163"/>
      <c r="J2638" s="157">
        <v>41061</v>
      </c>
      <c r="K2638" s="158">
        <v>2.29</v>
      </c>
    </row>
    <row r="2639" spans="1:11" x14ac:dyDescent="0.25">
      <c r="A2639" s="162">
        <v>26331</v>
      </c>
      <c r="B2639" s="163">
        <v>6.09</v>
      </c>
      <c r="C2639" s="163"/>
      <c r="D2639" s="163"/>
      <c r="E2639" s="163"/>
      <c r="J2639" s="157">
        <v>41068</v>
      </c>
      <c r="K2639" s="158">
        <v>2.29</v>
      </c>
    </row>
    <row r="2640" spans="1:11" x14ac:dyDescent="0.25">
      <c r="A2640" s="162">
        <v>26332</v>
      </c>
      <c r="B2640" s="163">
        <v>6.09</v>
      </c>
      <c r="C2640" s="163"/>
      <c r="D2640" s="163"/>
      <c r="E2640" s="163"/>
      <c r="J2640" s="157">
        <v>41075</v>
      </c>
      <c r="K2640" s="158">
        <v>2.3199999999999998</v>
      </c>
    </row>
    <row r="2641" spans="1:11" x14ac:dyDescent="0.25">
      <c r="A2641" s="162">
        <v>26333</v>
      </c>
      <c r="B2641" s="163">
        <v>6.09</v>
      </c>
      <c r="C2641" s="163"/>
      <c r="D2641" s="163"/>
      <c r="E2641" s="163"/>
      <c r="J2641" s="157">
        <v>41082</v>
      </c>
      <c r="K2641" s="158">
        <v>2.3199999999999998</v>
      </c>
    </row>
    <row r="2642" spans="1:11" x14ac:dyDescent="0.25">
      <c r="A2642" s="162">
        <v>26336</v>
      </c>
      <c r="B2642" s="163">
        <v>6.09</v>
      </c>
      <c r="C2642" s="163"/>
      <c r="D2642" s="163"/>
      <c r="E2642" s="163"/>
      <c r="J2642" s="157">
        <v>41089</v>
      </c>
      <c r="K2642" s="158">
        <v>2.33</v>
      </c>
    </row>
    <row r="2643" spans="1:11" x14ac:dyDescent="0.25">
      <c r="A2643" s="162">
        <v>26337</v>
      </c>
      <c r="B2643" s="163">
        <v>6.1</v>
      </c>
      <c r="C2643" s="163"/>
      <c r="D2643" s="163"/>
      <c r="E2643" s="163"/>
      <c r="J2643" s="157">
        <v>41096</v>
      </c>
      <c r="K2643" s="158">
        <v>2.3199999999999998</v>
      </c>
    </row>
    <row r="2644" spans="1:11" x14ac:dyDescent="0.25">
      <c r="A2644" s="162">
        <v>26338</v>
      </c>
      <c r="B2644" s="163">
        <v>6.1</v>
      </c>
      <c r="C2644" s="163"/>
      <c r="D2644" s="163"/>
      <c r="E2644" s="163"/>
      <c r="J2644" s="157">
        <v>41103</v>
      </c>
      <c r="K2644" s="158">
        <v>2.21</v>
      </c>
    </row>
    <row r="2645" spans="1:11" x14ac:dyDescent="0.25">
      <c r="A2645" s="162">
        <v>26339</v>
      </c>
      <c r="B2645" s="163">
        <v>6.1</v>
      </c>
      <c r="C2645" s="163"/>
      <c r="D2645" s="163"/>
      <c r="E2645" s="163"/>
      <c r="J2645" s="157">
        <v>41110</v>
      </c>
      <c r="K2645" s="158">
        <v>2.2000000000000002</v>
      </c>
    </row>
    <row r="2646" spans="1:11" x14ac:dyDescent="0.25">
      <c r="A2646" s="162">
        <v>26340</v>
      </c>
      <c r="B2646" s="163">
        <v>6.09</v>
      </c>
      <c r="C2646" s="163"/>
      <c r="D2646" s="163"/>
      <c r="E2646" s="163"/>
      <c r="J2646" s="157">
        <v>41117</v>
      </c>
      <c r="K2646" s="158">
        <v>2.15</v>
      </c>
    </row>
    <row r="2647" spans="1:11" x14ac:dyDescent="0.25">
      <c r="A2647" s="162">
        <v>26343</v>
      </c>
      <c r="B2647" s="163">
        <v>6.07</v>
      </c>
      <c r="C2647" s="163"/>
      <c r="D2647" s="163"/>
      <c r="E2647" s="163"/>
      <c r="J2647" s="157">
        <v>41124</v>
      </c>
      <c r="K2647" s="158">
        <v>2.2400000000000002</v>
      </c>
    </row>
    <row r="2648" spans="1:11" x14ac:dyDescent="0.25">
      <c r="A2648" s="162">
        <v>26344</v>
      </c>
      <c r="B2648" s="163">
        <v>6.06</v>
      </c>
      <c r="C2648" s="163"/>
      <c r="D2648" s="163"/>
      <c r="E2648" s="163"/>
      <c r="J2648" s="157">
        <v>41131</v>
      </c>
      <c r="K2648" s="158">
        <v>2.36</v>
      </c>
    </row>
    <row r="2649" spans="1:11" x14ac:dyDescent="0.25">
      <c r="A2649" s="162">
        <v>26345</v>
      </c>
      <c r="B2649" s="163">
        <v>6.04</v>
      </c>
      <c r="C2649" s="163"/>
      <c r="D2649" s="163"/>
      <c r="E2649" s="163"/>
      <c r="J2649" s="157">
        <v>41138</v>
      </c>
      <c r="K2649" s="158">
        <v>2.4900000000000002</v>
      </c>
    </row>
    <row r="2650" spans="1:11" x14ac:dyDescent="0.25">
      <c r="A2650" s="162">
        <v>26346</v>
      </c>
      <c r="B2650" s="163">
        <v>6.03</v>
      </c>
      <c r="C2650" s="163"/>
      <c r="D2650" s="163"/>
      <c r="E2650" s="163"/>
      <c r="J2650" s="157">
        <v>41145</v>
      </c>
      <c r="K2650" s="158">
        <v>2.4700000000000002</v>
      </c>
    </row>
    <row r="2651" spans="1:11" x14ac:dyDescent="0.25">
      <c r="A2651" s="162">
        <v>26347</v>
      </c>
      <c r="B2651" s="163">
        <v>6.03</v>
      </c>
      <c r="C2651" s="163"/>
      <c r="D2651" s="163"/>
      <c r="E2651" s="163"/>
      <c r="J2651" s="157">
        <v>41152</v>
      </c>
      <c r="K2651" s="158">
        <v>2.35</v>
      </c>
    </row>
    <row r="2652" spans="1:11" x14ac:dyDescent="0.25">
      <c r="A2652" s="162">
        <v>26350</v>
      </c>
      <c r="B2652" s="163" t="e">
        <f>NA()</f>
        <v>#N/A</v>
      </c>
      <c r="C2652" s="163"/>
      <c r="D2652" s="163"/>
      <c r="E2652" s="163"/>
      <c r="J2652" s="157">
        <v>41159</v>
      </c>
      <c r="K2652" s="158">
        <v>2.36</v>
      </c>
    </row>
    <row r="2653" spans="1:11" x14ac:dyDescent="0.25">
      <c r="A2653" s="162">
        <v>26351</v>
      </c>
      <c r="B2653" s="163">
        <v>6.02</v>
      </c>
      <c r="C2653" s="163"/>
      <c r="D2653" s="163"/>
      <c r="E2653" s="163"/>
      <c r="J2653" s="157">
        <v>41166</v>
      </c>
      <c r="K2653" s="158">
        <v>2.52</v>
      </c>
    </row>
    <row r="2654" spans="1:11" x14ac:dyDescent="0.25">
      <c r="A2654" s="162">
        <v>26352</v>
      </c>
      <c r="B2654" s="163">
        <v>6.02</v>
      </c>
      <c r="C2654" s="163"/>
      <c r="D2654" s="163"/>
      <c r="E2654" s="163"/>
      <c r="J2654" s="157">
        <v>41173</v>
      </c>
      <c r="K2654" s="158">
        <v>2.6</v>
      </c>
    </row>
    <row r="2655" spans="1:11" x14ac:dyDescent="0.25">
      <c r="A2655" s="162">
        <v>26353</v>
      </c>
      <c r="B2655" s="163">
        <v>6.03</v>
      </c>
      <c r="C2655" s="163"/>
      <c r="D2655" s="163"/>
      <c r="E2655" s="163"/>
      <c r="J2655" s="157">
        <v>41180</v>
      </c>
      <c r="K2655" s="158">
        <v>2.4500000000000002</v>
      </c>
    </row>
    <row r="2656" spans="1:11" x14ac:dyDescent="0.25">
      <c r="A2656" s="162">
        <v>26354</v>
      </c>
      <c r="B2656" s="163">
        <v>6.02</v>
      </c>
      <c r="C2656" s="163"/>
      <c r="D2656" s="163"/>
      <c r="E2656" s="163"/>
      <c r="J2656" s="157">
        <v>41187</v>
      </c>
      <c r="K2656" s="158">
        <v>2.4500000000000002</v>
      </c>
    </row>
    <row r="2657" spans="1:11" x14ac:dyDescent="0.25">
      <c r="A2657" s="162">
        <v>26357</v>
      </c>
      <c r="B2657" s="163">
        <v>6.02</v>
      </c>
      <c r="C2657" s="163"/>
      <c r="D2657" s="163"/>
      <c r="E2657" s="163"/>
      <c r="J2657" s="157">
        <v>41194</v>
      </c>
      <c r="K2657" s="158">
        <v>2.4700000000000002</v>
      </c>
    </row>
    <row r="2658" spans="1:11" x14ac:dyDescent="0.25">
      <c r="A2658" s="162">
        <v>26358</v>
      </c>
      <c r="B2658" s="163">
        <v>6.03</v>
      </c>
      <c r="C2658" s="163"/>
      <c r="D2658" s="163"/>
      <c r="E2658" s="163"/>
      <c r="J2658" s="157">
        <v>41201</v>
      </c>
      <c r="K2658" s="158">
        <v>2.5499999999999998</v>
      </c>
    </row>
    <row r="2659" spans="1:11" x14ac:dyDescent="0.25">
      <c r="A2659" s="162">
        <v>26359</v>
      </c>
      <c r="B2659" s="163">
        <v>6.02</v>
      </c>
      <c r="C2659" s="163"/>
      <c r="D2659" s="163"/>
      <c r="E2659" s="163"/>
      <c r="J2659" s="157">
        <v>41208</v>
      </c>
      <c r="K2659" s="158">
        <v>2.56</v>
      </c>
    </row>
    <row r="2660" spans="1:11" x14ac:dyDescent="0.25">
      <c r="A2660" s="162">
        <v>26360</v>
      </c>
      <c r="B2660" s="163">
        <v>6.02</v>
      </c>
      <c r="C2660" s="163"/>
      <c r="D2660" s="163"/>
      <c r="E2660" s="163"/>
      <c r="J2660" s="157">
        <v>41215</v>
      </c>
      <c r="K2660" s="158">
        <v>2.4900000000000002</v>
      </c>
    </row>
    <row r="2661" spans="1:11" x14ac:dyDescent="0.25">
      <c r="A2661" s="162">
        <v>26361</v>
      </c>
      <c r="B2661" s="163">
        <v>6.01</v>
      </c>
      <c r="C2661" s="163"/>
      <c r="D2661" s="163"/>
      <c r="E2661" s="163"/>
      <c r="J2661" s="157">
        <v>41222</v>
      </c>
      <c r="K2661" s="158">
        <v>2.42</v>
      </c>
    </row>
    <row r="2662" spans="1:11" x14ac:dyDescent="0.25">
      <c r="A2662" s="162">
        <v>26364</v>
      </c>
      <c r="B2662" s="163">
        <v>6.01</v>
      </c>
      <c r="C2662" s="163"/>
      <c r="D2662" s="163"/>
      <c r="E2662" s="163"/>
      <c r="J2662" s="157">
        <v>41229</v>
      </c>
      <c r="K2662" s="158">
        <v>2.31</v>
      </c>
    </row>
    <row r="2663" spans="1:11" x14ac:dyDescent="0.25">
      <c r="A2663" s="162">
        <v>26365</v>
      </c>
      <c r="B2663" s="163">
        <v>6.02</v>
      </c>
      <c r="C2663" s="163"/>
      <c r="D2663" s="163"/>
      <c r="E2663" s="163"/>
      <c r="J2663" s="157">
        <v>41236</v>
      </c>
      <c r="K2663" s="158">
        <v>2.4</v>
      </c>
    </row>
    <row r="2664" spans="1:11" x14ac:dyDescent="0.25">
      <c r="A2664" s="162">
        <v>26366</v>
      </c>
      <c r="B2664" s="164">
        <v>6.02</v>
      </c>
      <c r="C2664" s="164"/>
      <c r="D2664" s="164"/>
      <c r="E2664" s="164"/>
      <c r="J2664" s="157">
        <v>41243</v>
      </c>
      <c r="K2664" s="158">
        <v>2.37</v>
      </c>
    </row>
    <row r="2665" spans="1:11" x14ac:dyDescent="0.25">
      <c r="A2665" s="162">
        <v>26367</v>
      </c>
      <c r="B2665" s="163">
        <v>6.02</v>
      </c>
      <c r="C2665" s="163"/>
      <c r="D2665" s="163"/>
      <c r="E2665" s="163"/>
      <c r="J2665" s="157">
        <v>41250</v>
      </c>
      <c r="K2665" s="158">
        <v>2.36</v>
      </c>
    </row>
    <row r="2666" spans="1:11" x14ac:dyDescent="0.25">
      <c r="A2666" s="162">
        <v>26368</v>
      </c>
      <c r="B2666" s="163">
        <v>6.03</v>
      </c>
      <c r="C2666" s="163"/>
      <c r="D2666" s="163"/>
      <c r="E2666" s="163"/>
      <c r="J2666" s="157">
        <v>41257</v>
      </c>
      <c r="K2666" s="158">
        <v>2.44</v>
      </c>
    </row>
    <row r="2667" spans="1:11" x14ac:dyDescent="0.25">
      <c r="A2667" s="162">
        <v>26371</v>
      </c>
      <c r="B2667" s="163">
        <v>6.05</v>
      </c>
      <c r="C2667" s="163"/>
      <c r="D2667" s="163"/>
      <c r="E2667" s="163"/>
      <c r="J2667" s="157">
        <v>41264</v>
      </c>
      <c r="K2667" s="158">
        <v>2.56</v>
      </c>
    </row>
    <row r="2668" spans="1:11" x14ac:dyDescent="0.25">
      <c r="A2668" s="162">
        <v>26372</v>
      </c>
      <c r="B2668" s="163">
        <v>6.06</v>
      </c>
      <c r="C2668" s="163"/>
      <c r="D2668" s="163"/>
      <c r="E2668" s="163"/>
      <c r="J2668" s="157">
        <v>41271</v>
      </c>
      <c r="K2668" s="158">
        <v>2.5</v>
      </c>
    </row>
    <row r="2669" spans="1:11" x14ac:dyDescent="0.25">
      <c r="A2669" s="162">
        <v>26373</v>
      </c>
      <c r="B2669" s="163">
        <v>6.08</v>
      </c>
      <c r="C2669" s="163"/>
      <c r="D2669" s="163"/>
      <c r="E2669" s="163"/>
      <c r="J2669" s="157">
        <v>41278</v>
      </c>
      <c r="K2669" s="158">
        <v>2.64</v>
      </c>
    </row>
    <row r="2670" spans="1:11" x14ac:dyDescent="0.25">
      <c r="A2670" s="162">
        <v>26374</v>
      </c>
      <c r="B2670" s="163">
        <v>6.08</v>
      </c>
      <c r="C2670" s="163"/>
      <c r="D2670" s="163"/>
      <c r="E2670" s="163"/>
      <c r="J2670" s="157">
        <v>41285</v>
      </c>
      <c r="K2670" s="158">
        <v>2.67</v>
      </c>
    </row>
    <row r="2671" spans="1:11" x14ac:dyDescent="0.25">
      <c r="A2671" s="162">
        <v>26375</v>
      </c>
      <c r="B2671" s="163">
        <v>6.07</v>
      </c>
      <c r="C2671" s="163"/>
      <c r="D2671" s="163"/>
      <c r="E2671" s="163"/>
      <c r="J2671" s="157">
        <v>41292</v>
      </c>
      <c r="K2671" s="158">
        <v>2.63</v>
      </c>
    </row>
    <row r="2672" spans="1:11" x14ac:dyDescent="0.25">
      <c r="A2672" s="162">
        <v>26378</v>
      </c>
      <c r="B2672" s="163">
        <v>6.08</v>
      </c>
      <c r="C2672" s="163"/>
      <c r="D2672" s="163"/>
      <c r="E2672" s="163"/>
      <c r="J2672" s="157">
        <v>41299</v>
      </c>
      <c r="K2672" s="158">
        <v>2.66</v>
      </c>
    </row>
    <row r="2673" spans="1:11" x14ac:dyDescent="0.25">
      <c r="A2673" s="162">
        <v>26379</v>
      </c>
      <c r="B2673" s="163">
        <v>6.07</v>
      </c>
      <c r="C2673" s="163"/>
      <c r="D2673" s="163"/>
      <c r="E2673" s="163"/>
      <c r="J2673" s="157">
        <v>41306</v>
      </c>
      <c r="K2673" s="158">
        <v>2.79</v>
      </c>
    </row>
    <row r="2674" spans="1:11" x14ac:dyDescent="0.25">
      <c r="A2674" s="162">
        <v>26380</v>
      </c>
      <c r="B2674" s="163">
        <v>6.07</v>
      </c>
      <c r="C2674" s="163"/>
      <c r="D2674" s="163"/>
      <c r="E2674" s="163"/>
      <c r="J2674" s="157">
        <v>41313</v>
      </c>
      <c r="K2674" s="158">
        <v>2.8</v>
      </c>
    </row>
    <row r="2675" spans="1:11" x14ac:dyDescent="0.25">
      <c r="A2675" s="162">
        <v>26381</v>
      </c>
      <c r="B2675" s="163">
        <v>6.08</v>
      </c>
      <c r="C2675" s="163"/>
      <c r="D2675" s="163"/>
      <c r="E2675" s="163"/>
      <c r="J2675" s="157">
        <v>41320</v>
      </c>
      <c r="K2675" s="158">
        <v>2.81</v>
      </c>
    </row>
    <row r="2676" spans="1:11" x14ac:dyDescent="0.25">
      <c r="A2676" s="162">
        <v>26382</v>
      </c>
      <c r="B2676" s="163">
        <v>6.1</v>
      </c>
      <c r="C2676" s="163"/>
      <c r="D2676" s="163"/>
      <c r="E2676" s="163"/>
      <c r="J2676" s="157">
        <v>41327</v>
      </c>
      <c r="K2676" s="158">
        <v>2.8</v>
      </c>
    </row>
    <row r="2677" spans="1:11" x14ac:dyDescent="0.25">
      <c r="A2677" s="162">
        <v>26385</v>
      </c>
      <c r="B2677" s="163">
        <v>6.09</v>
      </c>
      <c r="C2677" s="163"/>
      <c r="D2677" s="163"/>
      <c r="E2677" s="163"/>
      <c r="J2677" s="157">
        <v>41334</v>
      </c>
      <c r="K2677" s="158">
        <v>2.7</v>
      </c>
    </row>
    <row r="2678" spans="1:11" x14ac:dyDescent="0.25">
      <c r="A2678" s="162">
        <v>26386</v>
      </c>
      <c r="B2678" s="163">
        <v>6.1</v>
      </c>
      <c r="C2678" s="163"/>
      <c r="D2678" s="163"/>
      <c r="E2678" s="163"/>
      <c r="J2678" s="157">
        <v>41341</v>
      </c>
      <c r="K2678" s="158">
        <v>2.78</v>
      </c>
    </row>
    <row r="2679" spans="1:11" x14ac:dyDescent="0.25">
      <c r="A2679" s="162">
        <v>26387</v>
      </c>
      <c r="B2679" s="163">
        <v>6.1</v>
      </c>
      <c r="C2679" s="163"/>
      <c r="D2679" s="163"/>
      <c r="E2679" s="163"/>
      <c r="J2679" s="157">
        <v>41348</v>
      </c>
      <c r="K2679" s="158">
        <v>2.86</v>
      </c>
    </row>
    <row r="2680" spans="1:11" x14ac:dyDescent="0.25">
      <c r="A2680" s="162">
        <v>26388</v>
      </c>
      <c r="B2680" s="163">
        <v>6.11</v>
      </c>
      <c r="C2680" s="163"/>
      <c r="D2680" s="163"/>
      <c r="E2680" s="163"/>
      <c r="J2680" s="157">
        <v>41355</v>
      </c>
      <c r="K2680" s="158">
        <v>2.77</v>
      </c>
    </row>
    <row r="2681" spans="1:11" x14ac:dyDescent="0.25">
      <c r="A2681" s="162">
        <v>26389</v>
      </c>
      <c r="B2681" s="163" t="e">
        <f>NA()</f>
        <v>#N/A</v>
      </c>
      <c r="C2681" s="163"/>
      <c r="D2681" s="163"/>
      <c r="E2681" s="163"/>
      <c r="J2681" s="157">
        <v>41362</v>
      </c>
      <c r="K2681" s="158">
        <v>2.73</v>
      </c>
    </row>
    <row r="2682" spans="1:11" x14ac:dyDescent="0.25">
      <c r="A2682" s="162">
        <v>26392</v>
      </c>
      <c r="B2682" s="163">
        <v>6.09</v>
      </c>
      <c r="C2682" s="163"/>
      <c r="D2682" s="163"/>
      <c r="E2682" s="163"/>
      <c r="J2682" s="157">
        <v>41369</v>
      </c>
      <c r="K2682" s="158">
        <v>2.64</v>
      </c>
    </row>
    <row r="2683" spans="1:11" x14ac:dyDescent="0.25">
      <c r="A2683" s="162">
        <v>26393</v>
      </c>
      <c r="B2683" s="163">
        <v>6.13</v>
      </c>
      <c r="C2683" s="163"/>
      <c r="D2683" s="163"/>
      <c r="E2683" s="163"/>
      <c r="J2683" s="157">
        <v>41376</v>
      </c>
      <c r="K2683" s="158">
        <v>2.58</v>
      </c>
    </row>
    <row r="2684" spans="1:11" x14ac:dyDescent="0.25">
      <c r="A2684" s="162">
        <v>26394</v>
      </c>
      <c r="B2684" s="163">
        <v>6.13</v>
      </c>
      <c r="C2684" s="163"/>
      <c r="D2684" s="163"/>
      <c r="E2684" s="163"/>
      <c r="J2684" s="157">
        <v>41383</v>
      </c>
      <c r="K2684" s="158">
        <v>2.5099999999999998</v>
      </c>
    </row>
    <row r="2685" spans="1:11" x14ac:dyDescent="0.25">
      <c r="A2685" s="162">
        <v>26395</v>
      </c>
      <c r="B2685" s="163">
        <v>6.14</v>
      </c>
      <c r="C2685" s="163"/>
      <c r="D2685" s="163"/>
      <c r="E2685" s="163"/>
      <c r="J2685" s="157">
        <v>41390</v>
      </c>
      <c r="K2685" s="158">
        <v>2.5</v>
      </c>
    </row>
    <row r="2686" spans="1:11" x14ac:dyDescent="0.25">
      <c r="A2686" s="162">
        <v>26396</v>
      </c>
      <c r="B2686" s="163">
        <v>6.14</v>
      </c>
      <c r="C2686" s="163"/>
      <c r="D2686" s="163"/>
      <c r="E2686" s="163"/>
      <c r="J2686" s="157">
        <v>41397</v>
      </c>
      <c r="K2686" s="158">
        <v>2.4900000000000002</v>
      </c>
    </row>
    <row r="2687" spans="1:11" x14ac:dyDescent="0.25">
      <c r="A2687" s="162">
        <v>26399</v>
      </c>
      <c r="B2687" s="163">
        <v>6.14</v>
      </c>
      <c r="C2687" s="163"/>
      <c r="D2687" s="163"/>
      <c r="E2687" s="163"/>
      <c r="J2687" s="157">
        <v>41404</v>
      </c>
      <c r="K2687" s="158">
        <v>2.63</v>
      </c>
    </row>
    <row r="2688" spans="1:11" x14ac:dyDescent="0.25">
      <c r="A2688" s="162">
        <v>26400</v>
      </c>
      <c r="B2688" s="163">
        <v>6.16</v>
      </c>
      <c r="C2688" s="163"/>
      <c r="D2688" s="163"/>
      <c r="E2688" s="163"/>
      <c r="J2688" s="157">
        <v>41411</v>
      </c>
      <c r="K2688" s="158">
        <v>2.74</v>
      </c>
    </row>
    <row r="2689" spans="1:11" x14ac:dyDescent="0.25">
      <c r="A2689" s="162">
        <v>26401</v>
      </c>
      <c r="B2689" s="163">
        <v>6.19</v>
      </c>
      <c r="C2689" s="163"/>
      <c r="D2689" s="163"/>
      <c r="E2689" s="163"/>
      <c r="J2689" s="157">
        <v>41418</v>
      </c>
      <c r="K2689" s="158">
        <v>2.8</v>
      </c>
    </row>
    <row r="2690" spans="1:11" x14ac:dyDescent="0.25">
      <c r="A2690" s="162">
        <v>26402</v>
      </c>
      <c r="B2690" s="163">
        <v>6.22</v>
      </c>
      <c r="C2690" s="163"/>
      <c r="D2690" s="163"/>
      <c r="E2690" s="163"/>
      <c r="J2690" s="157">
        <v>41425</v>
      </c>
      <c r="K2690" s="158">
        <v>2.93</v>
      </c>
    </row>
    <row r="2691" spans="1:11" x14ac:dyDescent="0.25">
      <c r="A2691" s="162">
        <v>26403</v>
      </c>
      <c r="B2691" s="163">
        <v>6.22</v>
      </c>
      <c r="C2691" s="163"/>
      <c r="D2691" s="163"/>
      <c r="E2691" s="163"/>
      <c r="J2691" s="157">
        <v>41432</v>
      </c>
      <c r="K2691" s="158">
        <v>2.93</v>
      </c>
    </row>
    <row r="2692" spans="1:11" x14ac:dyDescent="0.25">
      <c r="A2692" s="162">
        <v>26406</v>
      </c>
      <c r="B2692" s="163">
        <v>6.21</v>
      </c>
      <c r="C2692" s="163"/>
      <c r="D2692" s="163"/>
      <c r="E2692" s="163"/>
      <c r="J2692" s="157">
        <v>41439</v>
      </c>
      <c r="K2692" s="158">
        <v>3</v>
      </c>
    </row>
    <row r="2693" spans="1:11" x14ac:dyDescent="0.25">
      <c r="A2693" s="162">
        <v>26407</v>
      </c>
      <c r="B2693" s="163">
        <v>6.21</v>
      </c>
      <c r="C2693" s="163"/>
      <c r="D2693" s="163"/>
      <c r="E2693" s="163"/>
      <c r="J2693" s="157">
        <v>41446</v>
      </c>
      <c r="K2693" s="158">
        <v>3.11</v>
      </c>
    </row>
    <row r="2694" spans="1:11" x14ac:dyDescent="0.25">
      <c r="A2694" s="162">
        <v>26408</v>
      </c>
      <c r="B2694" s="164">
        <v>6.19</v>
      </c>
      <c r="C2694" s="164"/>
      <c r="D2694" s="164"/>
      <c r="E2694" s="164"/>
      <c r="J2694" s="157">
        <v>41453</v>
      </c>
      <c r="K2694" s="158">
        <v>3.26</v>
      </c>
    </row>
    <row r="2695" spans="1:11" x14ac:dyDescent="0.25">
      <c r="A2695" s="162">
        <v>26409</v>
      </c>
      <c r="B2695" s="163">
        <v>6.18</v>
      </c>
      <c r="C2695" s="163"/>
      <c r="D2695" s="163"/>
      <c r="E2695" s="163"/>
      <c r="J2695" s="157">
        <v>41460</v>
      </c>
      <c r="K2695" s="158">
        <v>3.25</v>
      </c>
    </row>
    <row r="2696" spans="1:11" x14ac:dyDescent="0.25">
      <c r="A2696" s="162">
        <v>26410</v>
      </c>
      <c r="B2696" s="163">
        <v>6.18</v>
      </c>
      <c r="C2696" s="163"/>
      <c r="D2696" s="163"/>
      <c r="E2696" s="163"/>
      <c r="J2696" s="157">
        <v>41467</v>
      </c>
      <c r="K2696" s="158">
        <v>3.36</v>
      </c>
    </row>
    <row r="2697" spans="1:11" x14ac:dyDescent="0.25">
      <c r="A2697" s="162">
        <v>26413</v>
      </c>
      <c r="B2697" s="163">
        <v>6.18</v>
      </c>
      <c r="C2697" s="163"/>
      <c r="D2697" s="163"/>
      <c r="E2697" s="163"/>
      <c r="J2697" s="157">
        <v>41474</v>
      </c>
      <c r="K2697" s="158">
        <v>3.28</v>
      </c>
    </row>
    <row r="2698" spans="1:11" x14ac:dyDescent="0.25">
      <c r="A2698" s="162">
        <v>26414</v>
      </c>
      <c r="B2698" s="163">
        <v>6.18</v>
      </c>
      <c r="C2698" s="163"/>
      <c r="D2698" s="163"/>
      <c r="E2698" s="163"/>
      <c r="J2698" s="157">
        <v>41481</v>
      </c>
      <c r="K2698" s="158">
        <v>3.3</v>
      </c>
    </row>
    <row r="2699" spans="1:11" x14ac:dyDescent="0.25">
      <c r="A2699" s="162">
        <v>26415</v>
      </c>
      <c r="B2699" s="163">
        <v>6.17</v>
      </c>
      <c r="C2699" s="163"/>
      <c r="D2699" s="163"/>
      <c r="E2699" s="163"/>
      <c r="J2699" s="157">
        <v>41488</v>
      </c>
      <c r="K2699" s="158">
        <v>3.38</v>
      </c>
    </row>
    <row r="2700" spans="1:11" x14ac:dyDescent="0.25">
      <c r="A2700" s="162">
        <v>26416</v>
      </c>
      <c r="B2700" s="163">
        <v>6.11</v>
      </c>
      <c r="C2700" s="163"/>
      <c r="D2700" s="163"/>
      <c r="E2700" s="163"/>
      <c r="J2700" s="157">
        <v>41495</v>
      </c>
      <c r="K2700" s="158">
        <v>3.39</v>
      </c>
    </row>
    <row r="2701" spans="1:11" x14ac:dyDescent="0.25">
      <c r="A2701" s="162">
        <v>26417</v>
      </c>
      <c r="B2701" s="163">
        <v>6.12</v>
      </c>
      <c r="C2701" s="163"/>
      <c r="D2701" s="163"/>
      <c r="E2701" s="163"/>
      <c r="J2701" s="157">
        <v>41502</v>
      </c>
      <c r="K2701" s="158">
        <v>3.5</v>
      </c>
    </row>
    <row r="2702" spans="1:11" x14ac:dyDescent="0.25">
      <c r="A2702" s="162">
        <v>26420</v>
      </c>
      <c r="B2702" s="163">
        <v>6.12</v>
      </c>
      <c r="C2702" s="163"/>
      <c r="D2702" s="163"/>
      <c r="E2702" s="163"/>
      <c r="J2702" s="157">
        <v>41509</v>
      </c>
      <c r="K2702" s="158">
        <v>3.61</v>
      </c>
    </row>
    <row r="2703" spans="1:11" x14ac:dyDescent="0.25">
      <c r="A2703" s="162">
        <v>26421</v>
      </c>
      <c r="B2703" s="163">
        <v>6.12</v>
      </c>
      <c r="C2703" s="163"/>
      <c r="D2703" s="163"/>
      <c r="E2703" s="163"/>
      <c r="J2703" s="157">
        <v>41516</v>
      </c>
      <c r="K2703" s="158">
        <v>3.48</v>
      </c>
    </row>
    <row r="2704" spans="1:11" x14ac:dyDescent="0.25">
      <c r="A2704" s="162">
        <v>26422</v>
      </c>
      <c r="B2704" s="163">
        <v>6.13</v>
      </c>
      <c r="C2704" s="163"/>
      <c r="D2704" s="163"/>
      <c r="E2704" s="163"/>
      <c r="J2704" s="157">
        <v>41523</v>
      </c>
      <c r="K2704" s="158">
        <v>3.59</v>
      </c>
    </row>
    <row r="2705" spans="1:11" x14ac:dyDescent="0.25">
      <c r="A2705" s="162">
        <v>26423</v>
      </c>
      <c r="B2705" s="163">
        <v>6.14</v>
      </c>
      <c r="C2705" s="163"/>
      <c r="D2705" s="163"/>
      <c r="E2705" s="163"/>
      <c r="J2705" s="157">
        <v>41530</v>
      </c>
      <c r="K2705" s="158">
        <v>3.61</v>
      </c>
    </row>
    <row r="2706" spans="1:11" x14ac:dyDescent="0.25">
      <c r="A2706" s="162">
        <v>26424</v>
      </c>
      <c r="B2706" s="163">
        <v>6.14</v>
      </c>
      <c r="C2706" s="163"/>
      <c r="D2706" s="163"/>
      <c r="E2706" s="163"/>
      <c r="J2706" s="157">
        <v>41537</v>
      </c>
      <c r="K2706" s="158">
        <v>3.53</v>
      </c>
    </row>
    <row r="2707" spans="1:11" x14ac:dyDescent="0.25">
      <c r="A2707" s="162">
        <v>26427</v>
      </c>
      <c r="B2707" s="163">
        <v>6.13</v>
      </c>
      <c r="C2707" s="163"/>
      <c r="D2707" s="163"/>
      <c r="E2707" s="163"/>
      <c r="J2707" s="157">
        <v>41544</v>
      </c>
      <c r="K2707" s="158">
        <v>3.41</v>
      </c>
    </row>
    <row r="2708" spans="1:11" x14ac:dyDescent="0.25">
      <c r="A2708" s="162">
        <v>26428</v>
      </c>
      <c r="B2708" s="163">
        <v>6.15</v>
      </c>
      <c r="C2708" s="163"/>
      <c r="D2708" s="163"/>
      <c r="E2708" s="163"/>
      <c r="J2708" s="157">
        <v>41551</v>
      </c>
      <c r="K2708" s="158">
        <v>3.42</v>
      </c>
    </row>
    <row r="2709" spans="1:11" x14ac:dyDescent="0.25">
      <c r="A2709" s="162">
        <v>26429</v>
      </c>
      <c r="B2709" s="163">
        <v>6.13</v>
      </c>
      <c r="C2709" s="163"/>
      <c r="D2709" s="163"/>
      <c r="E2709" s="163"/>
      <c r="J2709" s="157">
        <v>41558</v>
      </c>
      <c r="K2709" s="158">
        <v>3.43</v>
      </c>
    </row>
    <row r="2710" spans="1:11" x14ac:dyDescent="0.25">
      <c r="A2710" s="162">
        <v>26430</v>
      </c>
      <c r="B2710" s="163">
        <v>6.12</v>
      </c>
      <c r="C2710" s="163"/>
      <c r="D2710" s="163"/>
      <c r="E2710" s="163"/>
      <c r="J2710" s="157">
        <v>41565</v>
      </c>
      <c r="K2710" s="158">
        <v>3.41</v>
      </c>
    </row>
    <row r="2711" spans="1:11" x14ac:dyDescent="0.25">
      <c r="A2711" s="162">
        <v>26431</v>
      </c>
      <c r="B2711" s="163">
        <v>6.1</v>
      </c>
      <c r="C2711" s="163"/>
      <c r="D2711" s="163"/>
      <c r="E2711" s="163"/>
      <c r="J2711" s="157">
        <v>41572</v>
      </c>
      <c r="K2711" s="158">
        <v>3.32</v>
      </c>
    </row>
    <row r="2712" spans="1:11" x14ac:dyDescent="0.25">
      <c r="A2712" s="162">
        <v>26434</v>
      </c>
      <c r="B2712" s="163">
        <v>6.09</v>
      </c>
      <c r="C2712" s="163"/>
      <c r="D2712" s="163"/>
      <c r="E2712" s="163"/>
      <c r="J2712" s="157">
        <v>41579</v>
      </c>
      <c r="K2712" s="158">
        <v>3.34</v>
      </c>
    </row>
    <row r="2713" spans="1:11" x14ac:dyDescent="0.25">
      <c r="A2713" s="162">
        <v>26435</v>
      </c>
      <c r="B2713" s="163">
        <v>6.08</v>
      </c>
      <c r="C2713" s="163"/>
      <c r="D2713" s="163"/>
      <c r="E2713" s="163"/>
      <c r="J2713" s="157">
        <v>41586</v>
      </c>
      <c r="K2713" s="158">
        <v>3.46</v>
      </c>
    </row>
    <row r="2714" spans="1:11" x14ac:dyDescent="0.25">
      <c r="A2714" s="162">
        <v>26436</v>
      </c>
      <c r="B2714" s="163">
        <v>6.07</v>
      </c>
      <c r="C2714" s="163"/>
      <c r="D2714" s="163"/>
      <c r="E2714" s="163"/>
      <c r="J2714" s="157">
        <v>41593</v>
      </c>
      <c r="K2714" s="158">
        <v>3.53</v>
      </c>
    </row>
    <row r="2715" spans="1:11" x14ac:dyDescent="0.25">
      <c r="A2715" s="162">
        <v>26437</v>
      </c>
      <c r="B2715" s="164">
        <v>6.05</v>
      </c>
      <c r="C2715" s="164"/>
      <c r="D2715" s="164"/>
      <c r="E2715" s="164"/>
      <c r="J2715" s="157">
        <v>41600</v>
      </c>
      <c r="K2715" s="158">
        <v>3.54</v>
      </c>
    </row>
    <row r="2716" spans="1:11" x14ac:dyDescent="0.25">
      <c r="A2716" s="162">
        <v>26438</v>
      </c>
      <c r="B2716" s="163">
        <v>6.03</v>
      </c>
      <c r="C2716" s="163"/>
      <c r="D2716" s="163"/>
      <c r="E2716" s="163"/>
      <c r="J2716" s="157">
        <v>41607</v>
      </c>
      <c r="K2716" s="158">
        <v>3.52</v>
      </c>
    </row>
    <row r="2717" spans="1:11" x14ac:dyDescent="0.25">
      <c r="A2717" s="162">
        <v>26441</v>
      </c>
      <c r="B2717" s="163">
        <v>6.01</v>
      </c>
      <c r="C2717" s="163"/>
      <c r="D2717" s="163"/>
      <c r="E2717" s="163"/>
      <c r="J2717" s="157">
        <v>41614</v>
      </c>
      <c r="K2717" s="158">
        <v>3.61</v>
      </c>
    </row>
    <row r="2718" spans="1:11" x14ac:dyDescent="0.25">
      <c r="A2718" s="162">
        <v>26442</v>
      </c>
      <c r="B2718" s="163">
        <v>5.99</v>
      </c>
      <c r="C2718" s="163"/>
      <c r="D2718" s="163"/>
      <c r="E2718" s="163"/>
      <c r="J2718" s="157">
        <v>41621</v>
      </c>
      <c r="K2718" s="158">
        <v>3.6</v>
      </c>
    </row>
    <row r="2719" spans="1:11" x14ac:dyDescent="0.25">
      <c r="A2719" s="162">
        <v>26443</v>
      </c>
      <c r="B2719" s="163">
        <v>5.99</v>
      </c>
      <c r="C2719" s="163"/>
      <c r="D2719" s="163"/>
      <c r="E2719" s="163"/>
      <c r="J2719" s="157">
        <v>41628</v>
      </c>
      <c r="K2719" s="158">
        <v>3.61</v>
      </c>
    </row>
    <row r="2720" spans="1:11" x14ac:dyDescent="0.25">
      <c r="A2720" s="162">
        <v>26444</v>
      </c>
      <c r="B2720" s="163">
        <v>5.98</v>
      </c>
      <c r="C2720" s="163"/>
      <c r="D2720" s="163"/>
      <c r="E2720" s="163"/>
      <c r="J2720" s="157">
        <v>41635</v>
      </c>
      <c r="K2720" s="158">
        <v>3.66</v>
      </c>
    </row>
    <row r="2721" spans="1:11" x14ac:dyDescent="0.25">
      <c r="A2721" s="162">
        <v>26445</v>
      </c>
      <c r="B2721" s="163">
        <v>5.98</v>
      </c>
      <c r="C2721" s="163"/>
      <c r="D2721" s="163"/>
      <c r="E2721" s="163"/>
      <c r="J2721" s="157">
        <v>41642</v>
      </c>
      <c r="K2721" s="158">
        <v>3.69</v>
      </c>
    </row>
    <row r="2722" spans="1:11" x14ac:dyDescent="0.25">
      <c r="A2722" s="162">
        <v>26448</v>
      </c>
      <c r="B2722" s="163" t="e">
        <f>NA()</f>
        <v>#N/A</v>
      </c>
      <c r="C2722" s="163"/>
      <c r="D2722" s="163"/>
      <c r="E2722" s="163"/>
      <c r="J2722" s="157">
        <v>41649</v>
      </c>
      <c r="K2722" s="158">
        <v>3.63</v>
      </c>
    </row>
    <row r="2723" spans="1:11" x14ac:dyDescent="0.25">
      <c r="A2723" s="162">
        <v>26449</v>
      </c>
      <c r="B2723" s="163">
        <v>5.96</v>
      </c>
      <c r="C2723" s="163"/>
      <c r="D2723" s="163"/>
      <c r="E2723" s="163"/>
      <c r="J2723" s="157">
        <v>41656</v>
      </c>
      <c r="K2723" s="158">
        <v>3.53</v>
      </c>
    </row>
    <row r="2724" spans="1:11" x14ac:dyDescent="0.25">
      <c r="A2724" s="162">
        <v>26450</v>
      </c>
      <c r="B2724" s="163">
        <v>5.96</v>
      </c>
      <c r="C2724" s="163"/>
      <c r="D2724" s="163"/>
      <c r="E2724" s="163"/>
      <c r="J2724" s="157">
        <v>41663</v>
      </c>
      <c r="K2724" s="158">
        <v>3.47</v>
      </c>
    </row>
    <row r="2725" spans="1:11" x14ac:dyDescent="0.25">
      <c r="A2725" s="162">
        <v>26451</v>
      </c>
      <c r="B2725" s="163">
        <v>5.98</v>
      </c>
      <c r="C2725" s="163"/>
      <c r="D2725" s="163"/>
      <c r="E2725" s="163"/>
      <c r="J2725" s="157">
        <v>41670</v>
      </c>
      <c r="K2725" s="158">
        <v>3.39</v>
      </c>
    </row>
    <row r="2726" spans="1:11" x14ac:dyDescent="0.25">
      <c r="A2726" s="162">
        <v>26452</v>
      </c>
      <c r="B2726" s="163">
        <v>5.99</v>
      </c>
      <c r="C2726" s="163"/>
      <c r="D2726" s="163"/>
      <c r="E2726" s="163"/>
      <c r="J2726" s="157">
        <v>41677</v>
      </c>
      <c r="K2726" s="158">
        <v>3.37</v>
      </c>
    </row>
    <row r="2727" spans="1:11" x14ac:dyDescent="0.25">
      <c r="A2727" s="162">
        <v>26455</v>
      </c>
      <c r="B2727" s="164">
        <v>5.99</v>
      </c>
      <c r="C2727" s="164"/>
      <c r="D2727" s="164"/>
      <c r="E2727" s="164"/>
      <c r="J2727" s="157">
        <v>41684</v>
      </c>
      <c r="K2727" s="158">
        <v>3.41</v>
      </c>
    </row>
    <row r="2728" spans="1:11" x14ac:dyDescent="0.25">
      <c r="A2728" s="162">
        <v>26456</v>
      </c>
      <c r="B2728" s="163">
        <v>6.01</v>
      </c>
      <c r="C2728" s="163"/>
      <c r="D2728" s="163"/>
      <c r="E2728" s="163"/>
      <c r="J2728" s="157">
        <v>41691</v>
      </c>
      <c r="K2728" s="158">
        <v>3.42</v>
      </c>
    </row>
    <row r="2729" spans="1:11" x14ac:dyDescent="0.25">
      <c r="A2729" s="162">
        <v>26457</v>
      </c>
      <c r="B2729" s="163">
        <v>6.02</v>
      </c>
      <c r="C2729" s="163"/>
      <c r="D2729" s="163"/>
      <c r="E2729" s="163"/>
      <c r="J2729" s="157">
        <v>41698</v>
      </c>
      <c r="K2729" s="158">
        <v>3.35</v>
      </c>
    </row>
    <row r="2730" spans="1:11" x14ac:dyDescent="0.25">
      <c r="A2730" s="162">
        <v>26458</v>
      </c>
      <c r="B2730" s="163">
        <v>6.02</v>
      </c>
      <c r="C2730" s="163"/>
      <c r="D2730" s="163"/>
      <c r="E2730" s="163"/>
      <c r="J2730" s="157">
        <v>41705</v>
      </c>
      <c r="K2730" s="158">
        <v>3.37</v>
      </c>
    </row>
    <row r="2731" spans="1:11" x14ac:dyDescent="0.25">
      <c r="A2731" s="162">
        <v>26459</v>
      </c>
      <c r="B2731" s="163">
        <v>6.01</v>
      </c>
      <c r="C2731" s="163"/>
      <c r="D2731" s="163"/>
      <c r="E2731" s="163"/>
      <c r="J2731" s="157">
        <v>41712</v>
      </c>
      <c r="K2731" s="158">
        <v>3.37</v>
      </c>
    </row>
    <row r="2732" spans="1:11" x14ac:dyDescent="0.25">
      <c r="A2732" s="162">
        <v>26462</v>
      </c>
      <c r="B2732" s="163">
        <v>6.01</v>
      </c>
      <c r="C2732" s="163"/>
      <c r="D2732" s="163"/>
      <c r="E2732" s="163"/>
      <c r="J2732" s="157">
        <v>41719</v>
      </c>
      <c r="K2732" s="158">
        <v>3.36</v>
      </c>
    </row>
    <row r="2733" spans="1:11" x14ac:dyDescent="0.25">
      <c r="A2733" s="162">
        <v>26463</v>
      </c>
      <c r="B2733" s="163">
        <v>6.01</v>
      </c>
      <c r="C2733" s="163"/>
      <c r="D2733" s="163"/>
      <c r="E2733" s="163"/>
      <c r="J2733" s="157">
        <v>41726</v>
      </c>
      <c r="K2733" s="158">
        <v>3.29</v>
      </c>
    </row>
    <row r="2734" spans="1:11" x14ac:dyDescent="0.25">
      <c r="A2734" s="162">
        <v>26464</v>
      </c>
      <c r="B2734" s="163">
        <v>6.01</v>
      </c>
      <c r="C2734" s="163"/>
      <c r="D2734" s="163"/>
      <c r="E2734" s="163"/>
      <c r="J2734" s="157">
        <v>41733</v>
      </c>
      <c r="K2734" s="158">
        <v>3.35</v>
      </c>
    </row>
    <row r="2735" spans="1:11" x14ac:dyDescent="0.25">
      <c r="A2735" s="162">
        <v>26465</v>
      </c>
      <c r="B2735" s="163">
        <v>6</v>
      </c>
      <c r="C2735" s="163"/>
      <c r="D2735" s="163"/>
      <c r="E2735" s="163"/>
      <c r="J2735" s="157">
        <v>41740</v>
      </c>
      <c r="K2735" s="158">
        <v>3.27</v>
      </c>
    </row>
    <row r="2736" spans="1:11" x14ac:dyDescent="0.25">
      <c r="A2736" s="162">
        <v>26466</v>
      </c>
      <c r="B2736" s="163">
        <v>6</v>
      </c>
      <c r="C2736" s="163"/>
      <c r="D2736" s="163"/>
      <c r="E2736" s="163"/>
      <c r="J2736" s="157">
        <v>41747</v>
      </c>
      <c r="K2736" s="158">
        <v>3.23</v>
      </c>
    </row>
    <row r="2737" spans="1:11" x14ac:dyDescent="0.25">
      <c r="A2737" s="162">
        <v>26469</v>
      </c>
      <c r="B2737" s="163">
        <v>6</v>
      </c>
      <c r="C2737" s="163"/>
      <c r="D2737" s="163"/>
      <c r="E2737" s="163"/>
      <c r="J2737" s="157">
        <v>41754</v>
      </c>
      <c r="K2737" s="158">
        <v>3.23</v>
      </c>
    </row>
    <row r="2738" spans="1:11" x14ac:dyDescent="0.25">
      <c r="A2738" s="162">
        <v>26470</v>
      </c>
      <c r="B2738" s="163">
        <v>5.99</v>
      </c>
      <c r="C2738" s="163"/>
      <c r="D2738" s="163"/>
      <c r="E2738" s="163"/>
      <c r="J2738" s="157">
        <v>41761</v>
      </c>
      <c r="K2738" s="158">
        <v>3.2</v>
      </c>
    </row>
    <row r="2739" spans="1:11" x14ac:dyDescent="0.25">
      <c r="A2739" s="162">
        <v>26471</v>
      </c>
      <c r="B2739" s="163">
        <v>6</v>
      </c>
      <c r="C2739" s="163"/>
      <c r="D2739" s="163"/>
      <c r="E2739" s="163"/>
      <c r="J2739" s="157">
        <v>41768</v>
      </c>
      <c r="K2739" s="158">
        <v>3.15</v>
      </c>
    </row>
    <row r="2740" spans="1:11" x14ac:dyDescent="0.25">
      <c r="A2740" s="162">
        <v>26472</v>
      </c>
      <c r="B2740" s="163">
        <v>6</v>
      </c>
      <c r="C2740" s="163"/>
      <c r="D2740" s="163"/>
      <c r="E2740" s="163"/>
      <c r="J2740" s="157">
        <v>41775</v>
      </c>
      <c r="K2740" s="158">
        <v>3.12</v>
      </c>
    </row>
    <row r="2741" spans="1:11" x14ac:dyDescent="0.25">
      <c r="A2741" s="162">
        <v>26473</v>
      </c>
      <c r="B2741" s="163">
        <v>6.01</v>
      </c>
      <c r="C2741" s="163"/>
      <c r="D2741" s="163"/>
      <c r="E2741" s="163"/>
      <c r="J2741" s="157">
        <v>41782</v>
      </c>
      <c r="K2741" s="158">
        <v>3.12</v>
      </c>
    </row>
    <row r="2742" spans="1:11" x14ac:dyDescent="0.25">
      <c r="A2742" s="162">
        <v>26476</v>
      </c>
      <c r="B2742" s="163">
        <v>6.02</v>
      </c>
      <c r="C2742" s="163"/>
      <c r="D2742" s="163"/>
      <c r="E2742" s="163"/>
      <c r="J2742" s="157">
        <v>41789</v>
      </c>
      <c r="K2742" s="158">
        <v>3.05</v>
      </c>
    </row>
    <row r="2743" spans="1:11" x14ac:dyDescent="0.25">
      <c r="A2743" s="162">
        <v>26477</v>
      </c>
      <c r="B2743" s="163">
        <v>6.02</v>
      </c>
      <c r="C2743" s="163"/>
      <c r="D2743" s="163"/>
      <c r="E2743" s="163"/>
      <c r="J2743" s="157">
        <v>41796</v>
      </c>
      <c r="K2743" s="158">
        <v>3.16</v>
      </c>
    </row>
    <row r="2744" spans="1:11" x14ac:dyDescent="0.25">
      <c r="A2744" s="162">
        <v>26478</v>
      </c>
      <c r="B2744" s="163">
        <v>6.03</v>
      </c>
      <c r="C2744" s="163"/>
      <c r="D2744" s="163"/>
      <c r="E2744" s="163"/>
      <c r="J2744" s="157">
        <v>41803</v>
      </c>
      <c r="K2744" s="158">
        <v>3.17</v>
      </c>
    </row>
    <row r="2745" spans="1:11" x14ac:dyDescent="0.25">
      <c r="A2745" s="162">
        <v>26479</v>
      </c>
      <c r="B2745" s="163">
        <v>6.04</v>
      </c>
      <c r="C2745" s="163"/>
      <c r="D2745" s="163"/>
      <c r="E2745" s="163"/>
      <c r="J2745" s="157">
        <v>41810</v>
      </c>
      <c r="K2745" s="158">
        <v>3.17</v>
      </c>
    </row>
    <row r="2746" spans="1:11" x14ac:dyDescent="0.25">
      <c r="A2746" s="162">
        <v>26480</v>
      </c>
      <c r="B2746" s="163">
        <v>6.05</v>
      </c>
      <c r="C2746" s="163"/>
      <c r="D2746" s="163"/>
      <c r="E2746" s="163"/>
      <c r="J2746" s="157">
        <v>41817</v>
      </c>
      <c r="K2746" s="158">
        <v>3.12</v>
      </c>
    </row>
    <row r="2747" spans="1:11" x14ac:dyDescent="0.25">
      <c r="A2747" s="162">
        <v>26483</v>
      </c>
      <c r="B2747" s="164">
        <v>6.05</v>
      </c>
      <c r="C2747" s="164"/>
      <c r="D2747" s="164"/>
      <c r="E2747" s="164"/>
      <c r="J2747" s="157">
        <v>41824</v>
      </c>
      <c r="K2747" s="158">
        <v>3.16</v>
      </c>
    </row>
    <row r="2748" spans="1:11" x14ac:dyDescent="0.25">
      <c r="A2748" s="162">
        <v>26484</v>
      </c>
      <c r="B2748" s="163" t="e">
        <f>NA()</f>
        <v>#N/A</v>
      </c>
      <c r="C2748" s="163"/>
      <c r="D2748" s="163"/>
      <c r="E2748" s="163"/>
      <c r="J2748" s="157">
        <v>41831</v>
      </c>
      <c r="K2748" s="158">
        <v>3.11</v>
      </c>
    </row>
    <row r="2749" spans="1:11" x14ac:dyDescent="0.25">
      <c r="A2749" s="162">
        <v>26485</v>
      </c>
      <c r="B2749" s="163">
        <v>6.04</v>
      </c>
      <c r="C2749" s="163"/>
      <c r="D2749" s="163"/>
      <c r="E2749" s="163"/>
      <c r="J2749" s="157">
        <v>41838</v>
      </c>
      <c r="K2749" s="158">
        <v>3.06</v>
      </c>
    </row>
    <row r="2750" spans="1:11" x14ac:dyDescent="0.25">
      <c r="A2750" s="162">
        <v>26486</v>
      </c>
      <c r="B2750" s="163">
        <v>6.03</v>
      </c>
      <c r="C2750" s="163"/>
      <c r="D2750" s="163"/>
      <c r="E2750" s="163"/>
      <c r="J2750" s="157">
        <v>41845</v>
      </c>
      <c r="K2750" s="158">
        <v>3.01</v>
      </c>
    </row>
    <row r="2751" spans="1:11" x14ac:dyDescent="0.25">
      <c r="A2751" s="162">
        <v>26487</v>
      </c>
      <c r="B2751" s="163">
        <v>6.03</v>
      </c>
      <c r="C2751" s="163"/>
      <c r="D2751" s="163"/>
      <c r="E2751" s="163"/>
      <c r="J2751" s="157">
        <v>41852</v>
      </c>
      <c r="K2751" s="158">
        <v>3.03</v>
      </c>
    </row>
    <row r="2752" spans="1:11" x14ac:dyDescent="0.25">
      <c r="A2752" s="162">
        <v>26490</v>
      </c>
      <c r="B2752" s="164">
        <v>6.04</v>
      </c>
      <c r="C2752" s="164"/>
      <c r="D2752" s="164"/>
      <c r="E2752" s="164"/>
      <c r="J2752" s="157">
        <v>41859</v>
      </c>
      <c r="K2752" s="158">
        <v>3</v>
      </c>
    </row>
    <row r="2753" spans="1:11" x14ac:dyDescent="0.25">
      <c r="A2753" s="162">
        <v>26491</v>
      </c>
      <c r="B2753" s="163">
        <v>6.02</v>
      </c>
      <c r="C2753" s="163"/>
      <c r="D2753" s="163"/>
      <c r="E2753" s="163"/>
      <c r="J2753" s="157">
        <v>41866</v>
      </c>
      <c r="K2753" s="158">
        <v>2.95</v>
      </c>
    </row>
    <row r="2754" spans="1:11" x14ac:dyDescent="0.25">
      <c r="A2754" s="162">
        <v>26492</v>
      </c>
      <c r="B2754" s="163">
        <v>6.02</v>
      </c>
      <c r="C2754" s="163"/>
      <c r="D2754" s="163"/>
      <c r="E2754" s="163"/>
      <c r="J2754" s="157">
        <v>41873</v>
      </c>
      <c r="K2754" s="158">
        <v>2.93</v>
      </c>
    </row>
    <row r="2755" spans="1:11" x14ac:dyDescent="0.25">
      <c r="A2755" s="162">
        <v>26493</v>
      </c>
      <c r="B2755" s="163">
        <v>6.01</v>
      </c>
      <c r="C2755" s="163"/>
      <c r="D2755" s="163"/>
      <c r="E2755" s="163"/>
      <c r="J2755" s="157">
        <v>41880</v>
      </c>
      <c r="K2755" s="158">
        <v>2.85</v>
      </c>
    </row>
    <row r="2756" spans="1:11" x14ac:dyDescent="0.25">
      <c r="A2756" s="162">
        <v>26494</v>
      </c>
      <c r="B2756" s="163">
        <v>6</v>
      </c>
      <c r="C2756" s="163"/>
      <c r="D2756" s="163"/>
      <c r="E2756" s="163"/>
      <c r="J2756" s="157">
        <v>41887</v>
      </c>
      <c r="K2756" s="158">
        <v>2.93</v>
      </c>
    </row>
    <row r="2757" spans="1:11" x14ac:dyDescent="0.25">
      <c r="A2757" s="162">
        <v>26497</v>
      </c>
      <c r="B2757" s="163">
        <v>6</v>
      </c>
      <c r="C2757" s="163"/>
      <c r="D2757" s="163"/>
      <c r="E2757" s="163"/>
      <c r="J2757" s="157">
        <v>41894</v>
      </c>
      <c r="K2757" s="158">
        <v>3.01</v>
      </c>
    </row>
    <row r="2758" spans="1:11" x14ac:dyDescent="0.25">
      <c r="A2758" s="162">
        <v>26498</v>
      </c>
      <c r="B2758" s="163">
        <v>6.01</v>
      </c>
      <c r="C2758" s="163"/>
      <c r="D2758" s="163"/>
      <c r="E2758" s="163"/>
      <c r="J2758" s="157">
        <v>41901</v>
      </c>
      <c r="K2758" s="158">
        <v>3.1</v>
      </c>
    </row>
    <row r="2759" spans="1:11" x14ac:dyDescent="0.25">
      <c r="A2759" s="162">
        <v>26499</v>
      </c>
      <c r="B2759" s="163">
        <v>6</v>
      </c>
      <c r="C2759" s="163"/>
      <c r="D2759" s="163"/>
      <c r="E2759" s="163"/>
      <c r="J2759" s="157">
        <v>41908</v>
      </c>
      <c r="K2759" s="158">
        <v>3.01</v>
      </c>
    </row>
    <row r="2760" spans="1:11" x14ac:dyDescent="0.25">
      <c r="A2760" s="162">
        <v>26500</v>
      </c>
      <c r="B2760" s="163">
        <v>6</v>
      </c>
      <c r="C2760" s="163"/>
      <c r="D2760" s="163"/>
      <c r="E2760" s="163"/>
      <c r="J2760" s="157">
        <v>41915</v>
      </c>
      <c r="K2760" s="158">
        <v>2.92</v>
      </c>
    </row>
    <row r="2761" spans="1:11" x14ac:dyDescent="0.25">
      <c r="A2761" s="162">
        <v>26501</v>
      </c>
      <c r="B2761" s="163">
        <v>6</v>
      </c>
      <c r="C2761" s="163"/>
      <c r="D2761" s="163"/>
      <c r="E2761" s="163"/>
      <c r="J2761" s="157">
        <v>41922</v>
      </c>
      <c r="K2761" s="158">
        <v>2.82</v>
      </c>
    </row>
    <row r="2762" spans="1:11" x14ac:dyDescent="0.25">
      <c r="A2762" s="162">
        <v>26504</v>
      </c>
      <c r="B2762" s="163">
        <v>6</v>
      </c>
      <c r="C2762" s="163"/>
      <c r="D2762" s="163"/>
      <c r="E2762" s="163"/>
      <c r="J2762" s="157">
        <v>41929</v>
      </c>
      <c r="K2762" s="158">
        <v>2.67</v>
      </c>
    </row>
    <row r="2763" spans="1:11" x14ac:dyDescent="0.25">
      <c r="A2763" s="162">
        <v>26505</v>
      </c>
      <c r="B2763" s="163">
        <v>5.99</v>
      </c>
      <c r="C2763" s="163"/>
      <c r="D2763" s="163"/>
      <c r="E2763" s="163"/>
      <c r="J2763" s="157">
        <v>41936</v>
      </c>
      <c r="K2763" s="158">
        <v>2.73</v>
      </c>
    </row>
    <row r="2764" spans="1:11" x14ac:dyDescent="0.25">
      <c r="A2764" s="162">
        <v>26506</v>
      </c>
      <c r="B2764" s="164">
        <v>5.97</v>
      </c>
      <c r="C2764" s="164"/>
      <c r="D2764" s="164"/>
      <c r="E2764" s="164"/>
      <c r="J2764" s="157">
        <v>41943</v>
      </c>
      <c r="K2764" s="158">
        <v>2.78</v>
      </c>
    </row>
    <row r="2765" spans="1:11" x14ac:dyDescent="0.25">
      <c r="A2765" s="162">
        <v>26507</v>
      </c>
      <c r="B2765" s="163">
        <v>5.99</v>
      </c>
      <c r="C2765" s="163"/>
      <c r="D2765" s="163"/>
      <c r="E2765" s="163"/>
      <c r="J2765" s="157">
        <v>41950</v>
      </c>
      <c r="K2765" s="158">
        <v>2.79</v>
      </c>
    </row>
    <row r="2766" spans="1:11" x14ac:dyDescent="0.25">
      <c r="A2766" s="162">
        <v>26508</v>
      </c>
      <c r="B2766" s="163">
        <v>5.98</v>
      </c>
      <c r="C2766" s="163"/>
      <c r="D2766" s="163"/>
      <c r="E2766" s="163"/>
      <c r="J2766" s="157">
        <v>41957</v>
      </c>
      <c r="K2766" s="158">
        <v>2.8</v>
      </c>
    </row>
    <row r="2767" spans="1:11" x14ac:dyDescent="0.25">
      <c r="A2767" s="162">
        <v>26511</v>
      </c>
      <c r="B2767" s="163">
        <v>5.98</v>
      </c>
      <c r="C2767" s="163"/>
      <c r="D2767" s="163"/>
      <c r="E2767" s="163"/>
      <c r="J2767" s="157">
        <v>41964</v>
      </c>
      <c r="K2767" s="158">
        <v>2.78</v>
      </c>
    </row>
    <row r="2768" spans="1:11" x14ac:dyDescent="0.25">
      <c r="A2768" s="162">
        <v>26512</v>
      </c>
      <c r="B2768" s="163">
        <v>5.97</v>
      </c>
      <c r="C2768" s="163"/>
      <c r="D2768" s="163"/>
      <c r="E2768" s="163"/>
      <c r="J2768" s="157">
        <v>41971</v>
      </c>
      <c r="K2768" s="158">
        <v>2.68</v>
      </c>
    </row>
    <row r="2769" spans="1:11" x14ac:dyDescent="0.25">
      <c r="A2769" s="162">
        <v>26513</v>
      </c>
      <c r="B2769" s="163">
        <v>5.96</v>
      </c>
      <c r="C2769" s="163"/>
      <c r="D2769" s="163"/>
      <c r="E2769" s="163"/>
      <c r="J2769" s="157">
        <v>41978</v>
      </c>
      <c r="K2769" s="158">
        <v>2.69</v>
      </c>
    </row>
    <row r="2770" spans="1:11" x14ac:dyDescent="0.25">
      <c r="A2770" s="162">
        <v>26514</v>
      </c>
      <c r="B2770" s="163">
        <v>5.96</v>
      </c>
      <c r="C2770" s="163"/>
      <c r="D2770" s="163"/>
      <c r="E2770" s="163"/>
      <c r="J2770" s="157">
        <v>41985</v>
      </c>
      <c r="K2770" s="158">
        <v>2.5499999999999998</v>
      </c>
    </row>
    <row r="2771" spans="1:11" x14ac:dyDescent="0.25">
      <c r="A2771" s="162">
        <v>26515</v>
      </c>
      <c r="B2771" s="163">
        <v>5.96</v>
      </c>
      <c r="C2771" s="163"/>
      <c r="D2771" s="163"/>
      <c r="E2771" s="163"/>
      <c r="J2771" s="157">
        <v>41992</v>
      </c>
      <c r="K2771" s="158">
        <v>2.4700000000000002</v>
      </c>
    </row>
    <row r="2772" spans="1:11" x14ac:dyDescent="0.25">
      <c r="A2772" s="162">
        <v>26518</v>
      </c>
      <c r="B2772" s="163">
        <v>5.96</v>
      </c>
      <c r="C2772" s="163"/>
      <c r="D2772" s="163"/>
      <c r="E2772" s="163"/>
      <c r="J2772" s="157">
        <v>41999</v>
      </c>
      <c r="K2772" s="158">
        <v>2.54</v>
      </c>
    </row>
    <row r="2773" spans="1:11" x14ac:dyDescent="0.25">
      <c r="A2773" s="162">
        <v>26519</v>
      </c>
      <c r="B2773" s="163">
        <v>5.94</v>
      </c>
      <c r="C2773" s="163"/>
      <c r="D2773" s="163"/>
      <c r="E2773" s="163"/>
      <c r="J2773" s="157">
        <v>42006</v>
      </c>
      <c r="K2773" s="158">
        <v>2.4700000000000002</v>
      </c>
    </row>
    <row r="2774" spans="1:11" x14ac:dyDescent="0.25">
      <c r="A2774" s="162">
        <v>26520</v>
      </c>
      <c r="B2774" s="163">
        <v>5.92</v>
      </c>
      <c r="C2774" s="163"/>
      <c r="D2774" s="163"/>
      <c r="E2774" s="163"/>
      <c r="J2774" s="157">
        <v>42013</v>
      </c>
      <c r="K2774" s="158">
        <v>2.29</v>
      </c>
    </row>
    <row r="2775" spans="1:11" x14ac:dyDescent="0.25">
      <c r="A2775" s="162">
        <v>26521</v>
      </c>
      <c r="B2775" s="163">
        <v>5.92</v>
      </c>
      <c r="C2775" s="163"/>
      <c r="D2775" s="163"/>
      <c r="E2775" s="163"/>
      <c r="J2775" s="157">
        <v>42020</v>
      </c>
      <c r="K2775" s="158">
        <v>2.19</v>
      </c>
    </row>
    <row r="2776" spans="1:11" x14ac:dyDescent="0.25">
      <c r="A2776" s="162">
        <v>26522</v>
      </c>
      <c r="B2776" s="163">
        <v>5.92</v>
      </c>
      <c r="C2776" s="163"/>
      <c r="D2776" s="163"/>
      <c r="E2776" s="163"/>
      <c r="J2776" s="157">
        <v>42027</v>
      </c>
      <c r="K2776" s="158">
        <v>2.17</v>
      </c>
    </row>
    <row r="2777" spans="1:11" x14ac:dyDescent="0.25">
      <c r="A2777" s="162">
        <v>26525</v>
      </c>
      <c r="B2777" s="163">
        <v>5.93</v>
      </c>
      <c r="C2777" s="163"/>
      <c r="D2777" s="163"/>
      <c r="E2777" s="163"/>
      <c r="J2777" s="157">
        <v>42034</v>
      </c>
      <c r="K2777" s="158">
        <v>2.1</v>
      </c>
    </row>
    <row r="2778" spans="1:11" x14ac:dyDescent="0.25">
      <c r="A2778" s="162">
        <v>26526</v>
      </c>
      <c r="B2778" s="163">
        <v>5.92</v>
      </c>
      <c r="C2778" s="163"/>
      <c r="D2778" s="163"/>
      <c r="E2778" s="163"/>
      <c r="J2778" s="157">
        <v>42041</v>
      </c>
      <c r="K2778" s="158">
        <v>2.1800000000000002</v>
      </c>
    </row>
    <row r="2779" spans="1:11" x14ac:dyDescent="0.25">
      <c r="A2779" s="162">
        <v>26527</v>
      </c>
      <c r="B2779" s="163">
        <v>5.92</v>
      </c>
      <c r="C2779" s="163"/>
      <c r="D2779" s="163"/>
      <c r="E2779" s="163"/>
      <c r="J2779" s="157">
        <v>42048</v>
      </c>
      <c r="K2779" s="158">
        <v>2.33</v>
      </c>
    </row>
    <row r="2780" spans="1:11" x14ac:dyDescent="0.25">
      <c r="A2780" s="162">
        <v>26528</v>
      </c>
      <c r="B2780" s="163">
        <v>5.92</v>
      </c>
      <c r="C2780" s="163"/>
      <c r="D2780" s="163"/>
      <c r="E2780" s="163"/>
      <c r="J2780" s="157">
        <v>42055</v>
      </c>
      <c r="K2780" s="158">
        <v>2.4900000000000002</v>
      </c>
    </row>
    <row r="2781" spans="1:11" x14ac:dyDescent="0.25">
      <c r="A2781" s="162">
        <v>26529</v>
      </c>
      <c r="B2781" s="163">
        <v>5.93</v>
      </c>
      <c r="C2781" s="163"/>
      <c r="D2781" s="163"/>
      <c r="E2781" s="163"/>
      <c r="J2781" s="157">
        <v>42062</v>
      </c>
      <c r="K2781" s="158">
        <v>2.39</v>
      </c>
    </row>
    <row r="2782" spans="1:11" x14ac:dyDescent="0.25">
      <c r="A2782" s="162">
        <v>26532</v>
      </c>
      <c r="B2782" s="163">
        <v>5.93</v>
      </c>
      <c r="C2782" s="163"/>
      <c r="D2782" s="163"/>
      <c r="E2782" s="163"/>
      <c r="J2782" s="157">
        <v>42069</v>
      </c>
      <c r="K2782" s="158">
        <v>2.5099999999999998</v>
      </c>
    </row>
    <row r="2783" spans="1:11" x14ac:dyDescent="0.25">
      <c r="A2783" s="162">
        <v>26533</v>
      </c>
      <c r="B2783" s="163">
        <v>5.91</v>
      </c>
      <c r="C2783" s="163"/>
      <c r="D2783" s="163"/>
      <c r="E2783" s="163"/>
      <c r="J2783" s="157">
        <v>42076</v>
      </c>
      <c r="K2783" s="158">
        <v>2.5</v>
      </c>
    </row>
    <row r="2784" spans="1:11" x14ac:dyDescent="0.25">
      <c r="A2784" s="162">
        <v>26534</v>
      </c>
      <c r="B2784" s="164">
        <v>5.92</v>
      </c>
      <c r="C2784" s="164"/>
      <c r="D2784" s="164"/>
      <c r="E2784" s="164"/>
      <c r="J2784" s="157">
        <v>42083</v>
      </c>
      <c r="K2784" s="158">
        <v>2.36</v>
      </c>
    </row>
    <row r="2785" spans="1:11" x14ac:dyDescent="0.25">
      <c r="A2785" s="162">
        <v>26535</v>
      </c>
      <c r="B2785" s="163">
        <v>5.92</v>
      </c>
      <c r="C2785" s="163"/>
      <c r="D2785" s="163"/>
      <c r="E2785" s="163"/>
      <c r="J2785" s="157">
        <v>42090</v>
      </c>
      <c r="K2785" s="158">
        <v>2.29</v>
      </c>
    </row>
    <row r="2786" spans="1:11" x14ac:dyDescent="0.25">
      <c r="A2786" s="162">
        <v>26536</v>
      </c>
      <c r="B2786" s="163">
        <v>5.93</v>
      </c>
      <c r="C2786" s="163"/>
      <c r="D2786" s="163"/>
      <c r="E2786" s="163"/>
      <c r="J2786" s="157">
        <v>42097</v>
      </c>
      <c r="K2786" s="158">
        <v>2.2799999999999998</v>
      </c>
    </row>
    <row r="2787" spans="1:11" x14ac:dyDescent="0.25">
      <c r="A2787" s="162">
        <v>26539</v>
      </c>
      <c r="B2787" s="163">
        <v>5.95</v>
      </c>
      <c r="C2787" s="163"/>
      <c r="D2787" s="163"/>
      <c r="E2787" s="163"/>
      <c r="J2787" s="157">
        <v>42104</v>
      </c>
      <c r="K2787" s="158">
        <v>2.31</v>
      </c>
    </row>
    <row r="2788" spans="1:11" x14ac:dyDescent="0.25">
      <c r="A2788" s="162">
        <v>26540</v>
      </c>
      <c r="B2788" s="163">
        <v>5.95</v>
      </c>
      <c r="C2788" s="163"/>
      <c r="D2788" s="163"/>
      <c r="E2788" s="163"/>
      <c r="J2788" s="157">
        <v>42111</v>
      </c>
      <c r="K2788" s="158">
        <v>2.2999999999999998</v>
      </c>
    </row>
    <row r="2789" spans="1:11" x14ac:dyDescent="0.25">
      <c r="A2789" s="162">
        <v>26541</v>
      </c>
      <c r="B2789" s="163">
        <v>5.99</v>
      </c>
      <c r="C2789" s="163"/>
      <c r="D2789" s="163"/>
      <c r="E2789" s="163"/>
      <c r="J2789" s="157">
        <v>42118</v>
      </c>
      <c r="K2789" s="158">
        <v>2.36</v>
      </c>
    </row>
    <row r="2790" spans="1:11" x14ac:dyDescent="0.25">
      <c r="A2790" s="162">
        <v>26542</v>
      </c>
      <c r="B2790" s="163">
        <v>5.99</v>
      </c>
      <c r="C2790" s="163"/>
      <c r="D2790" s="163"/>
      <c r="E2790" s="163"/>
      <c r="J2790" s="157">
        <v>42125</v>
      </c>
      <c r="K2790" s="158">
        <v>2.4700000000000002</v>
      </c>
    </row>
    <row r="2791" spans="1:11" x14ac:dyDescent="0.25">
      <c r="A2791" s="162">
        <v>26543</v>
      </c>
      <c r="B2791" s="163">
        <v>5.98</v>
      </c>
      <c r="C2791" s="163"/>
      <c r="D2791" s="163"/>
      <c r="E2791" s="163"/>
      <c r="J2791" s="157">
        <v>42132</v>
      </c>
      <c r="K2791" s="158">
        <v>2.65</v>
      </c>
    </row>
    <row r="2792" spans="1:11" x14ac:dyDescent="0.25">
      <c r="A2792" s="162">
        <v>26546</v>
      </c>
      <c r="B2792" s="163" t="e">
        <f>NA()</f>
        <v>#N/A</v>
      </c>
      <c r="C2792" s="163"/>
      <c r="D2792" s="163"/>
      <c r="E2792" s="163"/>
      <c r="J2792" s="157">
        <v>42139</v>
      </c>
      <c r="K2792" s="158">
        <v>2.74</v>
      </c>
    </row>
    <row r="2793" spans="1:11" x14ac:dyDescent="0.25">
      <c r="A2793" s="162">
        <v>26547</v>
      </c>
      <c r="B2793" s="163">
        <v>5.98</v>
      </c>
      <c r="C2793" s="163"/>
      <c r="D2793" s="163"/>
      <c r="E2793" s="163"/>
      <c r="J2793" s="157">
        <v>42146</v>
      </c>
      <c r="K2793" s="158">
        <v>2.75</v>
      </c>
    </row>
    <row r="2794" spans="1:11" x14ac:dyDescent="0.25">
      <c r="A2794" s="162">
        <v>26548</v>
      </c>
      <c r="B2794" s="163">
        <v>6</v>
      </c>
      <c r="C2794" s="163"/>
      <c r="D2794" s="163"/>
      <c r="E2794" s="163"/>
      <c r="J2794" s="157">
        <v>42153</v>
      </c>
      <c r="K2794" s="158">
        <v>2.64</v>
      </c>
    </row>
    <row r="2795" spans="1:11" x14ac:dyDescent="0.25">
      <c r="A2795" s="162">
        <v>26549</v>
      </c>
      <c r="B2795" s="163">
        <v>6.01</v>
      </c>
      <c r="C2795" s="163"/>
      <c r="D2795" s="163"/>
      <c r="E2795" s="163"/>
      <c r="J2795" s="157">
        <v>42160</v>
      </c>
      <c r="K2795" s="158">
        <v>2.8</v>
      </c>
    </row>
    <row r="2796" spans="1:11" x14ac:dyDescent="0.25">
      <c r="A2796" s="162">
        <v>26550</v>
      </c>
      <c r="B2796" s="163">
        <v>6.04</v>
      </c>
      <c r="C2796" s="163"/>
      <c r="D2796" s="163"/>
      <c r="E2796" s="163"/>
      <c r="J2796" s="157">
        <v>42167</v>
      </c>
      <c r="K2796" s="158">
        <v>2.88</v>
      </c>
    </row>
    <row r="2797" spans="1:11" x14ac:dyDescent="0.25">
      <c r="A2797" s="162">
        <v>26553</v>
      </c>
      <c r="B2797" s="163">
        <v>6.02</v>
      </c>
      <c r="C2797" s="163"/>
      <c r="D2797" s="163"/>
      <c r="E2797" s="163"/>
      <c r="J2797" s="157">
        <v>42174</v>
      </c>
      <c r="K2797" s="158">
        <v>2.81</v>
      </c>
    </row>
    <row r="2798" spans="1:11" x14ac:dyDescent="0.25">
      <c r="A2798" s="162">
        <v>26554</v>
      </c>
      <c r="B2798" s="163">
        <v>6.02</v>
      </c>
      <c r="C2798" s="163"/>
      <c r="D2798" s="163"/>
      <c r="E2798" s="163"/>
      <c r="J2798" s="157">
        <v>42181</v>
      </c>
      <c r="K2798" s="158">
        <v>2.9</v>
      </c>
    </row>
    <row r="2799" spans="1:11" x14ac:dyDescent="0.25">
      <c r="A2799" s="162">
        <v>26555</v>
      </c>
      <c r="B2799" s="163">
        <v>6.02</v>
      </c>
      <c r="C2799" s="163"/>
      <c r="D2799" s="163"/>
      <c r="E2799" s="163"/>
      <c r="J2799" s="157">
        <v>42188</v>
      </c>
      <c r="K2799" s="158">
        <v>2.87</v>
      </c>
    </row>
    <row r="2800" spans="1:11" x14ac:dyDescent="0.25">
      <c r="A2800" s="162">
        <v>26556</v>
      </c>
      <c r="B2800" s="163">
        <v>6.04</v>
      </c>
      <c r="C2800" s="163"/>
      <c r="D2800" s="163"/>
      <c r="E2800" s="163"/>
      <c r="J2800" s="157">
        <v>42195</v>
      </c>
      <c r="K2800" s="158">
        <v>2.78</v>
      </c>
    </row>
    <row r="2801" spans="1:11" x14ac:dyDescent="0.25">
      <c r="A2801" s="162">
        <v>26557</v>
      </c>
      <c r="B2801" s="163">
        <v>6.04</v>
      </c>
      <c r="C2801" s="163"/>
      <c r="D2801" s="163"/>
      <c r="E2801" s="163"/>
      <c r="J2801" s="157">
        <v>42202</v>
      </c>
      <c r="K2801" s="158">
        <v>2.85</v>
      </c>
    </row>
    <row r="2802" spans="1:11" x14ac:dyDescent="0.25">
      <c r="A2802" s="162">
        <v>26560</v>
      </c>
      <c r="B2802" s="163">
        <v>6.04</v>
      </c>
      <c r="C2802" s="163"/>
      <c r="D2802" s="163"/>
      <c r="E2802" s="163"/>
      <c r="J2802" s="157">
        <v>42209</v>
      </c>
      <c r="K2802" s="158">
        <v>2.73</v>
      </c>
    </row>
    <row r="2803" spans="1:11" x14ac:dyDescent="0.25">
      <c r="A2803" s="162">
        <v>26561</v>
      </c>
      <c r="B2803" s="163">
        <v>6.04</v>
      </c>
      <c r="C2803" s="163"/>
      <c r="D2803" s="163"/>
      <c r="E2803" s="163"/>
      <c r="J2803" s="157">
        <v>42216</v>
      </c>
      <c r="K2803" s="158">
        <v>2.65</v>
      </c>
    </row>
    <row r="2804" spans="1:11" x14ac:dyDescent="0.25">
      <c r="A2804" s="162">
        <v>26562</v>
      </c>
      <c r="B2804" s="163">
        <v>6.06</v>
      </c>
      <c r="C2804" s="163"/>
      <c r="D2804" s="163"/>
      <c r="E2804" s="163"/>
      <c r="J2804" s="157">
        <v>42223</v>
      </c>
      <c r="K2804" s="158">
        <v>2.58</v>
      </c>
    </row>
    <row r="2805" spans="1:11" x14ac:dyDescent="0.25">
      <c r="A2805" s="162">
        <v>26563</v>
      </c>
      <c r="B2805" s="163">
        <v>6.09</v>
      </c>
      <c r="C2805" s="163"/>
      <c r="D2805" s="163"/>
      <c r="E2805" s="163"/>
      <c r="J2805" s="157">
        <v>42230</v>
      </c>
      <c r="K2805" s="158">
        <v>2.54</v>
      </c>
    </row>
    <row r="2806" spans="1:11" x14ac:dyDescent="0.25">
      <c r="A2806" s="162">
        <v>26564</v>
      </c>
      <c r="B2806" s="163">
        <v>6.11</v>
      </c>
      <c r="C2806" s="163"/>
      <c r="D2806" s="163"/>
      <c r="E2806" s="163"/>
      <c r="J2806" s="157">
        <v>42237</v>
      </c>
      <c r="K2806" s="158">
        <v>2.4900000000000002</v>
      </c>
    </row>
    <row r="2807" spans="1:11" x14ac:dyDescent="0.25">
      <c r="A2807" s="162">
        <v>26567</v>
      </c>
      <c r="B2807" s="163">
        <v>6.12</v>
      </c>
      <c r="C2807" s="163"/>
      <c r="D2807" s="163"/>
      <c r="E2807" s="163"/>
      <c r="J2807" s="157">
        <v>42244</v>
      </c>
      <c r="K2807" s="158">
        <v>2.56</v>
      </c>
    </row>
    <row r="2808" spans="1:11" x14ac:dyDescent="0.25">
      <c r="A2808" s="162">
        <v>26568</v>
      </c>
      <c r="B2808" s="163">
        <v>6.13</v>
      </c>
      <c r="C2808" s="163"/>
      <c r="D2808" s="163"/>
      <c r="E2808" s="163"/>
      <c r="J2808" s="157">
        <v>42251</v>
      </c>
      <c r="K2808" s="158">
        <v>2.63</v>
      </c>
    </row>
    <row r="2809" spans="1:11" x14ac:dyDescent="0.25">
      <c r="A2809" s="162">
        <v>26569</v>
      </c>
      <c r="B2809" s="163">
        <v>6.13</v>
      </c>
      <c r="C2809" s="163"/>
      <c r="D2809" s="163"/>
      <c r="E2809" s="163"/>
      <c r="J2809" s="157">
        <v>42258</v>
      </c>
      <c r="K2809" s="158">
        <v>2.65</v>
      </c>
    </row>
    <row r="2810" spans="1:11" x14ac:dyDescent="0.25">
      <c r="A2810" s="162">
        <v>26570</v>
      </c>
      <c r="B2810" s="163">
        <v>6.12</v>
      </c>
      <c r="C2810" s="163"/>
      <c r="D2810" s="163"/>
      <c r="E2810" s="163"/>
      <c r="J2810" s="157">
        <v>42265</v>
      </c>
      <c r="K2810" s="158">
        <v>2.67</v>
      </c>
    </row>
    <row r="2811" spans="1:11" x14ac:dyDescent="0.25">
      <c r="A2811" s="162">
        <v>26571</v>
      </c>
      <c r="B2811" s="163">
        <v>6.09</v>
      </c>
      <c r="C2811" s="163"/>
      <c r="D2811" s="163"/>
      <c r="E2811" s="163"/>
      <c r="J2811" s="157">
        <v>42272</v>
      </c>
      <c r="K2811" s="158">
        <v>2.6</v>
      </c>
    </row>
    <row r="2812" spans="1:11" x14ac:dyDescent="0.25">
      <c r="A2812" s="162">
        <v>26574</v>
      </c>
      <c r="B2812" s="163">
        <v>6.09</v>
      </c>
      <c r="C2812" s="163"/>
      <c r="D2812" s="163"/>
      <c r="E2812" s="163"/>
      <c r="J2812" s="157">
        <v>42279</v>
      </c>
      <c r="K2812" s="158">
        <v>2.4900000000000002</v>
      </c>
    </row>
    <row r="2813" spans="1:11" x14ac:dyDescent="0.25">
      <c r="A2813" s="162">
        <v>26575</v>
      </c>
      <c r="B2813" s="163">
        <v>6.09</v>
      </c>
      <c r="C2813" s="163"/>
      <c r="D2813" s="163"/>
      <c r="E2813" s="163"/>
      <c r="J2813" s="157">
        <v>42286</v>
      </c>
      <c r="K2813" s="158">
        <v>2.5299999999999998</v>
      </c>
    </row>
    <row r="2814" spans="1:11" x14ac:dyDescent="0.25">
      <c r="A2814" s="162">
        <v>26576</v>
      </c>
      <c r="B2814" s="163">
        <v>6.07</v>
      </c>
      <c r="C2814" s="163"/>
      <c r="D2814" s="163"/>
      <c r="E2814" s="163"/>
      <c r="J2814" s="157">
        <v>42293</v>
      </c>
      <c r="K2814" s="158">
        <v>2.46</v>
      </c>
    </row>
    <row r="2815" spans="1:11" x14ac:dyDescent="0.25">
      <c r="A2815" s="162">
        <v>26577</v>
      </c>
      <c r="B2815" s="163">
        <v>6.06</v>
      </c>
      <c r="C2815" s="163"/>
      <c r="D2815" s="163"/>
      <c r="E2815" s="163"/>
      <c r="J2815" s="157">
        <v>42300</v>
      </c>
      <c r="K2815" s="158">
        <v>2.5</v>
      </c>
    </row>
    <row r="2816" spans="1:11" x14ac:dyDescent="0.25">
      <c r="A2816" s="162">
        <v>26578</v>
      </c>
      <c r="B2816" s="163">
        <v>6.05</v>
      </c>
      <c r="C2816" s="163"/>
      <c r="D2816" s="163"/>
      <c r="E2816" s="163"/>
      <c r="J2816" s="157">
        <v>42307</v>
      </c>
      <c r="K2816" s="158">
        <v>2.5299999999999998</v>
      </c>
    </row>
    <row r="2817" spans="1:11" x14ac:dyDescent="0.25">
      <c r="A2817" s="162">
        <v>26581</v>
      </c>
      <c r="B2817" s="163" t="e">
        <f>NA()</f>
        <v>#N/A</v>
      </c>
      <c r="C2817" s="163"/>
      <c r="D2817" s="163"/>
      <c r="E2817" s="163"/>
      <c r="J2817" s="157">
        <v>42314</v>
      </c>
      <c r="K2817" s="158">
        <v>2.67</v>
      </c>
    </row>
    <row r="2818" spans="1:11" x14ac:dyDescent="0.25">
      <c r="A2818" s="162">
        <v>26582</v>
      </c>
      <c r="B2818" s="163">
        <v>6.02</v>
      </c>
      <c r="C2818" s="163"/>
      <c r="D2818" s="163"/>
      <c r="E2818" s="163"/>
      <c r="J2818" s="157">
        <v>42321</v>
      </c>
      <c r="K2818" s="158">
        <v>2.76</v>
      </c>
    </row>
    <row r="2819" spans="1:11" x14ac:dyDescent="0.25">
      <c r="A2819" s="162">
        <v>26583</v>
      </c>
      <c r="B2819" s="163">
        <v>6</v>
      </c>
      <c r="C2819" s="163"/>
      <c r="D2819" s="163"/>
      <c r="E2819" s="163"/>
      <c r="J2819" s="157">
        <v>42328</v>
      </c>
      <c r="K2819" s="158">
        <v>2.69</v>
      </c>
    </row>
    <row r="2820" spans="1:11" x14ac:dyDescent="0.25">
      <c r="A2820" s="162">
        <v>26584</v>
      </c>
      <c r="B2820" s="163">
        <v>6.01</v>
      </c>
      <c r="C2820" s="163"/>
      <c r="D2820" s="163"/>
      <c r="E2820" s="163"/>
      <c r="J2820" s="157">
        <v>42335</v>
      </c>
      <c r="K2820" s="158">
        <v>2.65</v>
      </c>
    </row>
    <row r="2821" spans="1:11" x14ac:dyDescent="0.25">
      <c r="A2821" s="162">
        <v>26585</v>
      </c>
      <c r="B2821" s="163">
        <v>6.02</v>
      </c>
      <c r="C2821" s="163"/>
      <c r="D2821" s="163"/>
      <c r="E2821" s="163"/>
      <c r="J2821" s="157">
        <v>42342</v>
      </c>
      <c r="K2821" s="158">
        <v>2.62</v>
      </c>
    </row>
    <row r="2822" spans="1:11" x14ac:dyDescent="0.25">
      <c r="A2822" s="162">
        <v>26588</v>
      </c>
      <c r="B2822" s="163">
        <v>6.01</v>
      </c>
      <c r="C2822" s="163"/>
      <c r="D2822" s="163"/>
      <c r="E2822" s="163"/>
      <c r="J2822" s="157">
        <v>42349</v>
      </c>
      <c r="K2822" s="158">
        <v>2.58</v>
      </c>
    </row>
    <row r="2823" spans="1:11" x14ac:dyDescent="0.25">
      <c r="A2823" s="162">
        <v>26589</v>
      </c>
      <c r="B2823" s="163">
        <v>6</v>
      </c>
      <c r="C2823" s="163"/>
      <c r="D2823" s="163"/>
      <c r="E2823" s="163"/>
      <c r="J2823" s="157">
        <v>42356</v>
      </c>
      <c r="K2823" s="158">
        <v>2.59</v>
      </c>
    </row>
    <row r="2824" spans="1:11" x14ac:dyDescent="0.25">
      <c r="A2824" s="162">
        <v>26590</v>
      </c>
      <c r="B2824" s="163">
        <v>6</v>
      </c>
      <c r="C2824" s="163"/>
      <c r="D2824" s="163"/>
      <c r="E2824" s="163"/>
      <c r="J2824" s="157">
        <v>42363</v>
      </c>
      <c r="K2824" s="158">
        <v>2.6</v>
      </c>
    </row>
    <row r="2825" spans="1:11" x14ac:dyDescent="0.25">
      <c r="A2825" s="162">
        <v>26591</v>
      </c>
      <c r="B2825" s="163">
        <v>5.99</v>
      </c>
      <c r="C2825" s="163"/>
      <c r="D2825" s="163"/>
      <c r="E2825" s="163"/>
      <c r="J2825" s="157">
        <v>42370</v>
      </c>
      <c r="K2825" s="158">
        <v>2.66</v>
      </c>
    </row>
    <row r="2826" spans="1:11" x14ac:dyDescent="0.25">
      <c r="A2826" s="162">
        <v>26592</v>
      </c>
      <c r="B2826" s="163">
        <v>5.99</v>
      </c>
      <c r="C2826" s="163"/>
      <c r="D2826" s="163"/>
      <c r="E2826" s="163"/>
      <c r="J2826" s="157">
        <v>42377</v>
      </c>
      <c r="K2826" s="158">
        <v>2.6</v>
      </c>
    </row>
    <row r="2827" spans="1:11" x14ac:dyDescent="0.25">
      <c r="A2827" s="162">
        <v>26595</v>
      </c>
      <c r="B2827" s="163" t="e">
        <f>NA()</f>
        <v>#N/A</v>
      </c>
      <c r="C2827" s="163"/>
      <c r="D2827" s="163"/>
      <c r="E2827" s="163"/>
      <c r="J2827" s="157">
        <v>42384</v>
      </c>
      <c r="K2827" s="158">
        <v>2.5</v>
      </c>
    </row>
    <row r="2828" spans="1:11" x14ac:dyDescent="0.25">
      <c r="A2828" s="162">
        <v>26596</v>
      </c>
      <c r="B2828" s="163">
        <v>5.97</v>
      </c>
      <c r="C2828" s="163"/>
      <c r="D2828" s="163"/>
      <c r="E2828" s="163"/>
      <c r="J2828" s="157">
        <v>42391</v>
      </c>
      <c r="K2828" s="158">
        <v>2.44</v>
      </c>
    </row>
    <row r="2829" spans="1:11" x14ac:dyDescent="0.25">
      <c r="A2829" s="162">
        <v>26597</v>
      </c>
      <c r="B2829" s="163">
        <v>5.96</v>
      </c>
      <c r="C2829" s="163"/>
      <c r="D2829" s="163"/>
      <c r="E2829" s="163"/>
      <c r="J2829" s="157">
        <v>42398</v>
      </c>
      <c r="K2829" s="158">
        <v>2.4</v>
      </c>
    </row>
    <row r="2830" spans="1:11" x14ac:dyDescent="0.25">
      <c r="A2830" s="162">
        <v>26598</v>
      </c>
      <c r="B2830" s="163">
        <v>5.95</v>
      </c>
      <c r="C2830" s="163"/>
      <c r="D2830" s="163"/>
      <c r="E2830" s="163"/>
      <c r="J2830" s="157">
        <v>42405</v>
      </c>
      <c r="K2830" s="158">
        <v>2.2999999999999998</v>
      </c>
    </row>
    <row r="2831" spans="1:11" x14ac:dyDescent="0.25">
      <c r="A2831" s="162">
        <v>26599</v>
      </c>
      <c r="B2831" s="163">
        <v>5.9</v>
      </c>
      <c r="C2831" s="163"/>
      <c r="D2831" s="163"/>
      <c r="E2831" s="163"/>
      <c r="J2831" s="157">
        <v>42412</v>
      </c>
      <c r="K2831" s="158">
        <v>2.13</v>
      </c>
    </row>
    <row r="2832" spans="1:11" x14ac:dyDescent="0.25">
      <c r="A2832" s="162">
        <v>26602</v>
      </c>
      <c r="B2832" s="163">
        <v>5.94</v>
      </c>
      <c r="C2832" s="163"/>
      <c r="D2832" s="163"/>
      <c r="E2832" s="163"/>
      <c r="J2832" s="157">
        <v>42419</v>
      </c>
      <c r="K2832" s="158">
        <v>2.19</v>
      </c>
    </row>
    <row r="2833" spans="1:11" x14ac:dyDescent="0.25">
      <c r="A2833" s="162">
        <v>26603</v>
      </c>
      <c r="B2833" s="163">
        <v>5.93</v>
      </c>
      <c r="C2833" s="163"/>
      <c r="D2833" s="163"/>
      <c r="E2833" s="163"/>
      <c r="J2833" s="157">
        <v>42426</v>
      </c>
      <c r="K2833" s="158">
        <v>2.17</v>
      </c>
    </row>
    <row r="2834" spans="1:11" x14ac:dyDescent="0.25">
      <c r="A2834" s="162">
        <v>26604</v>
      </c>
      <c r="B2834" s="163">
        <v>5.89</v>
      </c>
      <c r="C2834" s="163"/>
      <c r="D2834" s="163"/>
      <c r="E2834" s="163"/>
      <c r="J2834" s="157">
        <v>42433</v>
      </c>
      <c r="K2834" s="158">
        <v>2.25</v>
      </c>
    </row>
    <row r="2835" spans="1:11" x14ac:dyDescent="0.25">
      <c r="A2835" s="162">
        <v>26605</v>
      </c>
      <c r="B2835" s="163">
        <v>5.85</v>
      </c>
      <c r="C2835" s="163"/>
      <c r="D2835" s="163"/>
      <c r="E2835" s="163"/>
      <c r="J2835" s="157">
        <v>42440</v>
      </c>
      <c r="K2835" s="158">
        <v>2.2799999999999998</v>
      </c>
    </row>
    <row r="2836" spans="1:11" x14ac:dyDescent="0.25">
      <c r="A2836" s="162">
        <v>26606</v>
      </c>
      <c r="B2836" s="163">
        <v>5.82</v>
      </c>
      <c r="C2836" s="163"/>
      <c r="D2836" s="163"/>
      <c r="E2836" s="163"/>
      <c r="J2836" s="157">
        <v>42447</v>
      </c>
      <c r="K2836" s="158">
        <v>2.2999999999999998</v>
      </c>
    </row>
    <row r="2837" spans="1:11" x14ac:dyDescent="0.25">
      <c r="A2837" s="162">
        <v>26609</v>
      </c>
      <c r="B2837" s="163">
        <v>5.81</v>
      </c>
      <c r="C2837" s="163"/>
      <c r="D2837" s="163"/>
      <c r="E2837" s="163"/>
      <c r="J2837" s="157">
        <v>42454</v>
      </c>
      <c r="K2837" s="158">
        <v>2.29</v>
      </c>
    </row>
    <row r="2838" spans="1:11" x14ac:dyDescent="0.25">
      <c r="A2838" s="162">
        <v>26610</v>
      </c>
      <c r="B2838" s="163" t="e">
        <f>NA()</f>
        <v>#N/A</v>
      </c>
      <c r="C2838" s="163"/>
      <c r="D2838" s="163"/>
      <c r="E2838" s="163"/>
      <c r="J2838" s="157">
        <v>42461</v>
      </c>
      <c r="K2838" s="158">
        <v>2.2200000000000002</v>
      </c>
    </row>
    <row r="2839" spans="1:11" x14ac:dyDescent="0.25">
      <c r="A2839" s="162">
        <v>26611</v>
      </c>
      <c r="B2839" s="163">
        <v>5.8</v>
      </c>
      <c r="C2839" s="163"/>
      <c r="D2839" s="163"/>
      <c r="E2839" s="163"/>
      <c r="J2839" s="157">
        <v>42468</v>
      </c>
      <c r="K2839" s="158">
        <v>2.14</v>
      </c>
    </row>
    <row r="2840" spans="1:11" x14ac:dyDescent="0.25">
      <c r="A2840" s="162">
        <v>26612</v>
      </c>
      <c r="B2840" s="163">
        <v>5.79</v>
      </c>
      <c r="C2840" s="163"/>
      <c r="D2840" s="163"/>
      <c r="E2840" s="163"/>
      <c r="J2840" s="157">
        <v>42475</v>
      </c>
      <c r="K2840" s="158">
        <v>2.16</v>
      </c>
    </row>
    <row r="2841" spans="1:11" x14ac:dyDescent="0.25">
      <c r="A2841" s="162">
        <v>26613</v>
      </c>
      <c r="B2841" s="163">
        <v>5.78</v>
      </c>
      <c r="C2841" s="163"/>
      <c r="D2841" s="163"/>
      <c r="E2841" s="163"/>
      <c r="J2841" s="157">
        <v>42482</v>
      </c>
      <c r="K2841" s="158">
        <v>2.2400000000000002</v>
      </c>
    </row>
    <row r="2842" spans="1:11" x14ac:dyDescent="0.25">
      <c r="A2842" s="162">
        <v>26616</v>
      </c>
      <c r="B2842" s="163">
        <v>5.77</v>
      </c>
      <c r="C2842" s="163"/>
      <c r="D2842" s="163"/>
      <c r="E2842" s="163"/>
      <c r="J2842" s="157">
        <v>42489</v>
      </c>
      <c r="K2842" s="158">
        <v>2.2999999999999998</v>
      </c>
    </row>
    <row r="2843" spans="1:11" x14ac:dyDescent="0.25">
      <c r="A2843" s="162">
        <v>26617</v>
      </c>
      <c r="B2843" s="163">
        <v>5.75</v>
      </c>
      <c r="C2843" s="163"/>
      <c r="D2843" s="163"/>
      <c r="E2843" s="163"/>
      <c r="J2843" s="157">
        <v>42496</v>
      </c>
      <c r="K2843" s="158">
        <v>2.23</v>
      </c>
    </row>
    <row r="2844" spans="1:11" x14ac:dyDescent="0.25">
      <c r="A2844" s="162">
        <v>26618</v>
      </c>
      <c r="B2844" s="163">
        <v>5.71</v>
      </c>
      <c r="C2844" s="163"/>
      <c r="D2844" s="163"/>
      <c r="E2844" s="163"/>
      <c r="J2844" s="157">
        <v>42503</v>
      </c>
      <c r="K2844" s="158">
        <v>2.17</v>
      </c>
    </row>
    <row r="2845" spans="1:11" x14ac:dyDescent="0.25">
      <c r="A2845" s="162">
        <v>26619</v>
      </c>
      <c r="B2845" s="163">
        <v>5.73</v>
      </c>
      <c r="C2845" s="163"/>
      <c r="D2845" s="163"/>
      <c r="E2845" s="163"/>
      <c r="J2845" s="157">
        <v>42510</v>
      </c>
      <c r="K2845" s="158">
        <v>2.2200000000000002</v>
      </c>
    </row>
    <row r="2846" spans="1:11" x14ac:dyDescent="0.25">
      <c r="A2846" s="162">
        <v>26620</v>
      </c>
      <c r="B2846" s="163">
        <v>5.73</v>
      </c>
      <c r="C2846" s="163"/>
      <c r="D2846" s="163"/>
      <c r="E2846" s="163"/>
      <c r="J2846" s="157">
        <v>42517</v>
      </c>
      <c r="K2846" s="158">
        <v>2.25</v>
      </c>
    </row>
    <row r="2847" spans="1:11" x14ac:dyDescent="0.25">
      <c r="A2847" s="162">
        <v>26623</v>
      </c>
      <c r="B2847" s="163">
        <v>5.73</v>
      </c>
      <c r="C2847" s="163"/>
      <c r="D2847" s="163"/>
      <c r="E2847" s="163"/>
      <c r="J2847" s="157">
        <v>42524</v>
      </c>
      <c r="K2847" s="158">
        <v>2.1800000000000002</v>
      </c>
    </row>
    <row r="2848" spans="1:11" x14ac:dyDescent="0.25">
      <c r="A2848" s="162">
        <v>26624</v>
      </c>
      <c r="B2848" s="163">
        <v>5.76</v>
      </c>
      <c r="C2848" s="163"/>
      <c r="D2848" s="163"/>
      <c r="E2848" s="163"/>
      <c r="J2848" s="157">
        <v>42531</v>
      </c>
      <c r="K2848" s="158">
        <v>2.0699999999999998</v>
      </c>
    </row>
    <row r="2849" spans="1:11" x14ac:dyDescent="0.25">
      <c r="A2849" s="162">
        <v>26625</v>
      </c>
      <c r="B2849" s="163">
        <v>5.77</v>
      </c>
      <c r="C2849" s="163"/>
      <c r="D2849" s="163"/>
      <c r="E2849" s="163"/>
      <c r="J2849" s="157">
        <v>42538</v>
      </c>
      <c r="K2849" s="158">
        <v>1.99</v>
      </c>
    </row>
    <row r="2850" spans="1:11" x14ac:dyDescent="0.25">
      <c r="A2850" s="162">
        <v>26626</v>
      </c>
      <c r="B2850" s="163" t="e">
        <f>NA()</f>
        <v>#N/A</v>
      </c>
      <c r="C2850" s="163"/>
      <c r="D2850" s="163"/>
      <c r="E2850" s="163"/>
      <c r="J2850" s="157">
        <v>42545</v>
      </c>
      <c r="K2850" s="158">
        <v>2.0499999999999998</v>
      </c>
    </row>
    <row r="2851" spans="1:11" x14ac:dyDescent="0.25">
      <c r="A2851" s="162">
        <v>26627</v>
      </c>
      <c r="B2851" s="163">
        <v>5.78</v>
      </c>
      <c r="C2851" s="163"/>
      <c r="D2851" s="163"/>
      <c r="E2851" s="163"/>
      <c r="J2851" s="157">
        <v>42552</v>
      </c>
      <c r="K2851" s="158">
        <v>1.84</v>
      </c>
    </row>
    <row r="2852" spans="1:11" x14ac:dyDescent="0.25">
      <c r="A2852" s="162">
        <v>26630</v>
      </c>
      <c r="B2852" s="163">
        <v>5.81</v>
      </c>
      <c r="C2852" s="163"/>
      <c r="D2852" s="163"/>
      <c r="E2852" s="163"/>
      <c r="J2852" s="157">
        <v>42559</v>
      </c>
      <c r="K2852" s="158">
        <v>1.71</v>
      </c>
    </row>
    <row r="2853" spans="1:11" x14ac:dyDescent="0.25">
      <c r="A2853" s="162">
        <v>26631</v>
      </c>
      <c r="B2853" s="163">
        <v>5.81</v>
      </c>
      <c r="C2853" s="163"/>
      <c r="D2853" s="163"/>
      <c r="E2853" s="163"/>
      <c r="J2853" s="157">
        <v>42566</v>
      </c>
      <c r="K2853" s="158">
        <v>1.81</v>
      </c>
    </row>
    <row r="2854" spans="1:11" x14ac:dyDescent="0.25">
      <c r="A2854" s="162">
        <v>26632</v>
      </c>
      <c r="B2854" s="164">
        <v>5.8</v>
      </c>
      <c r="C2854" s="164"/>
      <c r="D2854" s="164"/>
      <c r="E2854" s="164"/>
      <c r="J2854" s="157">
        <v>42573</v>
      </c>
      <c r="K2854" s="158">
        <v>1.9</v>
      </c>
    </row>
    <row r="2855" spans="1:11" x14ac:dyDescent="0.25">
      <c r="A2855" s="162">
        <v>26633</v>
      </c>
      <c r="B2855" s="163">
        <v>5.82</v>
      </c>
      <c r="C2855" s="163"/>
      <c r="D2855" s="163"/>
      <c r="E2855" s="163"/>
      <c r="J2855" s="157">
        <v>42580</v>
      </c>
      <c r="K2855" s="158">
        <v>1.85</v>
      </c>
    </row>
    <row r="2856" spans="1:11" x14ac:dyDescent="0.25">
      <c r="A2856" s="162">
        <v>26634</v>
      </c>
      <c r="B2856" s="163">
        <v>5.84</v>
      </c>
      <c r="C2856" s="163"/>
      <c r="D2856" s="163"/>
      <c r="E2856" s="163"/>
      <c r="J2856" s="157">
        <v>42587</v>
      </c>
      <c r="K2856" s="158">
        <v>1.87</v>
      </c>
    </row>
    <row r="2857" spans="1:11" x14ac:dyDescent="0.25">
      <c r="A2857" s="162">
        <v>26637</v>
      </c>
      <c r="B2857" s="163">
        <v>5.84</v>
      </c>
      <c r="C2857" s="163"/>
      <c r="D2857" s="163"/>
      <c r="E2857" s="163"/>
      <c r="J2857" s="157">
        <v>42594</v>
      </c>
      <c r="K2857" s="158">
        <v>1.87</v>
      </c>
    </row>
    <row r="2858" spans="1:11" x14ac:dyDescent="0.25">
      <c r="A2858" s="162">
        <v>26638</v>
      </c>
      <c r="B2858" s="163">
        <v>5.86</v>
      </c>
      <c r="C2858" s="163"/>
      <c r="D2858" s="163"/>
      <c r="E2858" s="163"/>
      <c r="J2858" s="157">
        <v>42601</v>
      </c>
      <c r="K2858" s="158">
        <v>1.91</v>
      </c>
    </row>
    <row r="2859" spans="1:11" x14ac:dyDescent="0.25">
      <c r="A2859" s="162">
        <v>26639</v>
      </c>
      <c r="B2859" s="163">
        <v>5.87</v>
      </c>
      <c r="C2859" s="163"/>
      <c r="D2859" s="163"/>
      <c r="E2859" s="163"/>
      <c r="J2859" s="157">
        <v>42608</v>
      </c>
      <c r="K2859" s="158">
        <v>1.9</v>
      </c>
    </row>
    <row r="2860" spans="1:11" x14ac:dyDescent="0.25">
      <c r="A2860" s="162">
        <v>26640</v>
      </c>
      <c r="B2860" s="163">
        <v>5.88</v>
      </c>
      <c r="C2860" s="163"/>
      <c r="D2860" s="163"/>
      <c r="E2860" s="163"/>
      <c r="J2860" s="157">
        <v>42615</v>
      </c>
      <c r="K2860" s="158">
        <v>1.91</v>
      </c>
    </row>
    <row r="2861" spans="1:11" x14ac:dyDescent="0.25">
      <c r="A2861" s="162">
        <v>26641</v>
      </c>
      <c r="B2861" s="163">
        <v>5.89</v>
      </c>
      <c r="C2861" s="163"/>
      <c r="D2861" s="163"/>
      <c r="E2861" s="163"/>
      <c r="J2861" s="157">
        <v>42622</v>
      </c>
      <c r="K2861" s="158">
        <v>1.96</v>
      </c>
    </row>
    <row r="2862" spans="1:11" x14ac:dyDescent="0.25">
      <c r="A2862" s="162">
        <v>26644</v>
      </c>
      <c r="B2862" s="163">
        <v>5.91</v>
      </c>
      <c r="C2862" s="163"/>
      <c r="D2862" s="163"/>
      <c r="E2862" s="163"/>
      <c r="J2862" s="157">
        <v>42629</v>
      </c>
      <c r="K2862" s="158">
        <v>2.1</v>
      </c>
    </row>
    <row r="2863" spans="1:11" x14ac:dyDescent="0.25">
      <c r="A2863" s="162">
        <v>26645</v>
      </c>
      <c r="B2863" s="163">
        <v>5.92</v>
      </c>
      <c r="C2863" s="163"/>
      <c r="D2863" s="163"/>
      <c r="E2863" s="163"/>
      <c r="J2863" s="157">
        <v>42636</v>
      </c>
      <c r="K2863" s="158">
        <v>2.06</v>
      </c>
    </row>
    <row r="2864" spans="1:11" x14ac:dyDescent="0.25">
      <c r="A2864" s="162">
        <v>26646</v>
      </c>
      <c r="B2864" s="163">
        <v>5.93</v>
      </c>
      <c r="C2864" s="163"/>
      <c r="D2864" s="163"/>
      <c r="E2864" s="163"/>
      <c r="J2864" s="157">
        <v>42643</v>
      </c>
      <c r="K2864" s="158">
        <v>1.97</v>
      </c>
    </row>
    <row r="2865" spans="1:11" x14ac:dyDescent="0.25">
      <c r="A2865" s="162">
        <v>26647</v>
      </c>
      <c r="B2865" s="163">
        <v>5.94</v>
      </c>
      <c r="C2865" s="163"/>
      <c r="D2865" s="163"/>
      <c r="E2865" s="163"/>
      <c r="J2865" s="157">
        <v>42650</v>
      </c>
      <c r="K2865" s="158">
        <v>2.1</v>
      </c>
    </row>
    <row r="2866" spans="1:11" x14ac:dyDescent="0.25">
      <c r="A2866" s="162">
        <v>26648</v>
      </c>
      <c r="B2866" s="163">
        <v>5.95</v>
      </c>
      <c r="C2866" s="163"/>
      <c r="D2866" s="163"/>
      <c r="E2866" s="163"/>
      <c r="J2866" s="157">
        <v>42657</v>
      </c>
      <c r="K2866" s="158">
        <v>2.1800000000000002</v>
      </c>
    </row>
    <row r="2867" spans="1:11" x14ac:dyDescent="0.25">
      <c r="A2867" s="162">
        <v>26651</v>
      </c>
      <c r="B2867" s="163">
        <v>6</v>
      </c>
      <c r="C2867" s="163"/>
      <c r="D2867" s="163"/>
      <c r="E2867" s="163"/>
      <c r="J2867" s="157">
        <v>42664</v>
      </c>
      <c r="K2867" s="158">
        <v>2.17</v>
      </c>
    </row>
    <row r="2868" spans="1:11" x14ac:dyDescent="0.25">
      <c r="A2868" s="162">
        <v>26652</v>
      </c>
      <c r="B2868" s="163">
        <v>6.04</v>
      </c>
      <c r="C2868" s="163"/>
      <c r="D2868" s="163"/>
      <c r="E2868" s="163"/>
      <c r="J2868" s="157">
        <v>42671</v>
      </c>
      <c r="K2868" s="158">
        <v>2.2200000000000002</v>
      </c>
    </row>
    <row r="2869" spans="1:11" x14ac:dyDescent="0.25">
      <c r="A2869" s="162">
        <v>26653</v>
      </c>
      <c r="B2869" s="163">
        <v>6.05</v>
      </c>
      <c r="C2869" s="163"/>
      <c r="D2869" s="163"/>
      <c r="E2869" s="163"/>
      <c r="J2869" s="157">
        <v>42678</v>
      </c>
      <c r="K2869" s="158">
        <v>2.2400000000000002</v>
      </c>
    </row>
    <row r="2870" spans="1:11" x14ac:dyDescent="0.25">
      <c r="A2870" s="162">
        <v>26654</v>
      </c>
      <c r="B2870" s="163">
        <v>6.04</v>
      </c>
      <c r="C2870" s="163"/>
      <c r="D2870" s="163"/>
      <c r="E2870" s="163"/>
      <c r="J2870" s="157">
        <v>42685</v>
      </c>
      <c r="K2870" s="158">
        <v>2.41</v>
      </c>
    </row>
    <row r="2871" spans="1:11" x14ac:dyDescent="0.25">
      <c r="A2871" s="162">
        <v>26655</v>
      </c>
      <c r="B2871" s="163">
        <v>6.04</v>
      </c>
      <c r="C2871" s="163"/>
      <c r="D2871" s="163"/>
      <c r="E2871" s="163"/>
      <c r="J2871" s="157">
        <v>42692</v>
      </c>
      <c r="K2871" s="158">
        <v>2.66</v>
      </c>
    </row>
    <row r="2872" spans="1:11" x14ac:dyDescent="0.25">
      <c r="A2872" s="162">
        <v>26658</v>
      </c>
      <c r="B2872" s="163" t="e">
        <f>NA()</f>
        <v>#N/A</v>
      </c>
      <c r="C2872" s="163"/>
      <c r="D2872" s="163"/>
      <c r="E2872" s="163"/>
      <c r="J2872" s="157">
        <v>42699</v>
      </c>
      <c r="K2872" s="158">
        <v>2.7</v>
      </c>
    </row>
    <row r="2873" spans="1:11" x14ac:dyDescent="0.25">
      <c r="A2873" s="162">
        <v>26659</v>
      </c>
      <c r="B2873" s="163">
        <v>6.03</v>
      </c>
      <c r="C2873" s="163"/>
      <c r="D2873" s="163"/>
      <c r="E2873" s="163"/>
      <c r="J2873" s="157">
        <v>42706</v>
      </c>
      <c r="K2873" s="158">
        <v>2.73</v>
      </c>
    </row>
    <row r="2874" spans="1:11" x14ac:dyDescent="0.25">
      <c r="A2874" s="162">
        <v>26660</v>
      </c>
      <c r="B2874" s="163">
        <v>6.03</v>
      </c>
      <c r="C2874" s="163"/>
      <c r="D2874" s="163"/>
      <c r="E2874" s="163"/>
      <c r="J2874" s="157">
        <v>42713</v>
      </c>
      <c r="K2874" s="158">
        <v>2.79</v>
      </c>
    </row>
    <row r="2875" spans="1:11" x14ac:dyDescent="0.25">
      <c r="A2875" s="162">
        <v>26661</v>
      </c>
      <c r="B2875" s="163">
        <v>6.03</v>
      </c>
      <c r="C2875" s="163"/>
      <c r="D2875" s="163"/>
      <c r="E2875" s="163"/>
      <c r="J2875" s="157">
        <v>42720</v>
      </c>
      <c r="K2875" s="158">
        <v>2.87</v>
      </c>
    </row>
    <row r="2876" spans="1:11" x14ac:dyDescent="0.25">
      <c r="A2876" s="162">
        <v>26662</v>
      </c>
      <c r="B2876" s="163">
        <v>6.03</v>
      </c>
      <c r="C2876" s="163"/>
      <c r="D2876" s="163"/>
      <c r="E2876" s="163"/>
      <c r="J2876" s="157">
        <v>42727</v>
      </c>
      <c r="K2876" s="158">
        <v>2.86</v>
      </c>
    </row>
    <row r="2877" spans="1:11" x14ac:dyDescent="0.25">
      <c r="A2877" s="162">
        <v>26665</v>
      </c>
      <c r="B2877" s="163" t="e">
        <f>NA()</f>
        <v>#N/A</v>
      </c>
      <c r="C2877" s="163"/>
      <c r="D2877" s="163"/>
      <c r="E2877" s="163"/>
      <c r="J2877" s="157">
        <v>42734</v>
      </c>
      <c r="K2877" s="158">
        <v>2.83</v>
      </c>
    </row>
    <row r="2878" spans="1:11" x14ac:dyDescent="0.25">
      <c r="A2878" s="162">
        <v>26666</v>
      </c>
      <c r="B2878" s="163">
        <v>6.05</v>
      </c>
      <c r="C2878" s="163"/>
      <c r="D2878" s="163"/>
      <c r="E2878" s="163"/>
      <c r="J2878" s="157">
        <v>42741</v>
      </c>
      <c r="K2878" s="158">
        <v>2.75</v>
      </c>
    </row>
    <row r="2879" spans="1:11" x14ac:dyDescent="0.25">
      <c r="A2879" s="162">
        <v>26667</v>
      </c>
      <c r="B2879" s="163">
        <v>6.04</v>
      </c>
      <c r="C2879" s="163"/>
      <c r="D2879" s="163"/>
      <c r="E2879" s="163"/>
      <c r="J2879" s="157">
        <v>42748</v>
      </c>
      <c r="K2879" s="158">
        <v>2.69</v>
      </c>
    </row>
    <row r="2880" spans="1:11" x14ac:dyDescent="0.25">
      <c r="A2880" s="162">
        <v>26668</v>
      </c>
      <c r="B2880" s="163">
        <v>6.78</v>
      </c>
      <c r="C2880" s="163"/>
      <c r="D2880" s="163"/>
      <c r="E2880" s="163"/>
      <c r="J2880" s="157">
        <v>42755</v>
      </c>
      <c r="K2880" s="158">
        <v>2.74</v>
      </c>
    </row>
    <row r="2881" spans="1:11" x14ac:dyDescent="0.25">
      <c r="A2881" s="162">
        <v>26669</v>
      </c>
      <c r="B2881" s="163">
        <v>6.81</v>
      </c>
      <c r="C2881" s="163"/>
      <c r="D2881" s="163"/>
      <c r="E2881" s="163"/>
      <c r="J2881" s="157">
        <v>42762</v>
      </c>
      <c r="K2881" s="158">
        <v>2.79</v>
      </c>
    </row>
    <row r="2882" spans="1:11" x14ac:dyDescent="0.25">
      <c r="A2882" s="162">
        <v>26672</v>
      </c>
      <c r="B2882" s="163">
        <v>6.84</v>
      </c>
      <c r="C2882" s="163"/>
      <c r="D2882" s="163"/>
      <c r="E2882" s="163"/>
      <c r="J2882" s="157">
        <v>42769</v>
      </c>
      <c r="K2882" s="158">
        <v>2.8</v>
      </c>
    </row>
    <row r="2883" spans="1:11" x14ac:dyDescent="0.25">
      <c r="A2883" s="162">
        <v>26673</v>
      </c>
      <c r="B2883" s="164">
        <v>6.84</v>
      </c>
      <c r="C2883" s="164"/>
      <c r="D2883" s="164"/>
      <c r="E2883" s="164"/>
      <c r="J2883" s="157">
        <v>42776</v>
      </c>
      <c r="K2883" s="158">
        <v>2.73</v>
      </c>
    </row>
    <row r="2884" spans="1:11" x14ac:dyDescent="0.25">
      <c r="A2884" s="162">
        <v>26674</v>
      </c>
      <c r="B2884" s="163">
        <v>6.85</v>
      </c>
      <c r="C2884" s="163"/>
      <c r="D2884" s="163"/>
      <c r="E2884" s="163"/>
      <c r="J2884" s="157">
        <v>42783</v>
      </c>
      <c r="K2884" s="158">
        <v>2.8</v>
      </c>
    </row>
    <row r="2885" spans="1:11" x14ac:dyDescent="0.25">
      <c r="A2885" s="162">
        <v>26675</v>
      </c>
      <c r="B2885" s="163">
        <v>6.85</v>
      </c>
      <c r="C2885" s="163"/>
      <c r="D2885" s="163"/>
      <c r="E2885" s="163"/>
      <c r="J2885" s="157">
        <v>42790</v>
      </c>
      <c r="K2885" s="158">
        <v>2.75</v>
      </c>
    </row>
    <row r="2886" spans="1:11" x14ac:dyDescent="0.25">
      <c r="A2886" s="162">
        <v>26676</v>
      </c>
      <c r="B2886" s="163">
        <v>6.86</v>
      </c>
      <c r="C2886" s="163"/>
      <c r="D2886" s="163"/>
      <c r="E2886" s="163"/>
      <c r="J2886" s="157">
        <v>42797</v>
      </c>
      <c r="K2886" s="158">
        <v>2.78</v>
      </c>
    </row>
    <row r="2887" spans="1:11" x14ac:dyDescent="0.25">
      <c r="A2887" s="162">
        <v>26679</v>
      </c>
      <c r="B2887" s="163">
        <v>6.85</v>
      </c>
      <c r="C2887" s="163"/>
      <c r="D2887" s="163"/>
      <c r="E2887" s="163"/>
      <c r="J2887" s="157">
        <v>42804</v>
      </c>
      <c r="K2887" s="158">
        <v>2.89</v>
      </c>
    </row>
    <row r="2888" spans="1:11" x14ac:dyDescent="0.25">
      <c r="A2888" s="162">
        <v>26680</v>
      </c>
      <c r="B2888" s="163">
        <v>6.85</v>
      </c>
      <c r="C2888" s="163"/>
      <c r="D2888" s="163"/>
      <c r="E2888" s="163"/>
      <c r="J2888" s="157">
        <v>42811</v>
      </c>
      <c r="K2888" s="158">
        <v>2.91</v>
      </c>
    </row>
    <row r="2889" spans="1:11" x14ac:dyDescent="0.25">
      <c r="A2889" s="162">
        <v>26681</v>
      </c>
      <c r="B2889" s="163">
        <v>6.85</v>
      </c>
      <c r="C2889" s="163"/>
      <c r="D2889" s="163"/>
      <c r="E2889" s="163"/>
      <c r="J2889" s="157">
        <v>42818</v>
      </c>
      <c r="K2889" s="158">
        <v>2.78</v>
      </c>
    </row>
    <row r="2890" spans="1:11" x14ac:dyDescent="0.25">
      <c r="A2890" s="162">
        <v>26682</v>
      </c>
      <c r="B2890" s="163">
        <v>6.86</v>
      </c>
      <c r="C2890" s="163"/>
      <c r="D2890" s="163"/>
      <c r="E2890" s="163"/>
      <c r="J2890" s="157">
        <v>42825</v>
      </c>
      <c r="K2890" s="158">
        <v>2.76</v>
      </c>
    </row>
    <row r="2891" spans="1:11" x14ac:dyDescent="0.25">
      <c r="A2891" s="162">
        <v>26683</v>
      </c>
      <c r="B2891" s="163">
        <v>6.87</v>
      </c>
      <c r="C2891" s="163"/>
      <c r="D2891" s="163"/>
      <c r="E2891" s="163"/>
      <c r="J2891" s="157">
        <v>42832</v>
      </c>
      <c r="K2891" s="158">
        <v>2.72</v>
      </c>
    </row>
    <row r="2892" spans="1:11" x14ac:dyDescent="0.25">
      <c r="A2892" s="162">
        <v>26686</v>
      </c>
      <c r="B2892" s="163">
        <v>6.88</v>
      </c>
      <c r="C2892" s="163"/>
      <c r="D2892" s="163"/>
      <c r="E2892" s="163"/>
      <c r="J2892" s="157">
        <v>42839</v>
      </c>
      <c r="K2892" s="158">
        <v>2.67</v>
      </c>
    </row>
    <row r="2893" spans="1:11" x14ac:dyDescent="0.25">
      <c r="A2893" s="162">
        <v>26687</v>
      </c>
      <c r="B2893" s="163">
        <v>6.84</v>
      </c>
      <c r="C2893" s="163"/>
      <c r="D2893" s="163"/>
      <c r="E2893" s="163"/>
      <c r="J2893" s="157">
        <v>42846</v>
      </c>
      <c r="K2893" s="158">
        <v>2.6</v>
      </c>
    </row>
    <row r="2894" spans="1:11" x14ac:dyDescent="0.25">
      <c r="A2894" s="162">
        <v>26688</v>
      </c>
      <c r="B2894" s="163">
        <v>6.86</v>
      </c>
      <c r="C2894" s="163"/>
      <c r="D2894" s="163"/>
      <c r="E2894" s="163"/>
      <c r="J2894" s="157">
        <v>42853</v>
      </c>
      <c r="K2894" s="158">
        <v>2.68</v>
      </c>
    </row>
    <row r="2895" spans="1:11" x14ac:dyDescent="0.25">
      <c r="A2895" s="162">
        <v>26689</v>
      </c>
      <c r="B2895" s="163">
        <v>6.87</v>
      </c>
      <c r="C2895" s="163"/>
      <c r="D2895" s="163"/>
      <c r="E2895" s="163"/>
      <c r="J2895" s="157">
        <v>42860</v>
      </c>
      <c r="K2895" s="158">
        <v>2.71</v>
      </c>
    </row>
    <row r="2896" spans="1:11" x14ac:dyDescent="0.25">
      <c r="A2896" s="162">
        <v>26690</v>
      </c>
      <c r="B2896" s="163">
        <v>6.88</v>
      </c>
      <c r="C2896" s="163"/>
      <c r="D2896" s="163"/>
      <c r="E2896" s="163"/>
      <c r="J2896" s="157">
        <v>42867</v>
      </c>
      <c r="K2896" s="158">
        <v>2.77</v>
      </c>
    </row>
    <row r="2897" spans="1:11" x14ac:dyDescent="0.25">
      <c r="A2897" s="162">
        <v>26693</v>
      </c>
      <c r="B2897" s="163">
        <v>6.88</v>
      </c>
      <c r="C2897" s="163"/>
      <c r="D2897" s="163"/>
      <c r="E2897" s="163"/>
      <c r="J2897" s="157">
        <v>42874</v>
      </c>
      <c r="K2897" s="158">
        <v>2.68</v>
      </c>
    </row>
    <row r="2898" spans="1:11" x14ac:dyDescent="0.25">
      <c r="A2898" s="162">
        <v>26694</v>
      </c>
      <c r="B2898" s="163">
        <v>6.87</v>
      </c>
      <c r="C2898" s="163"/>
      <c r="D2898" s="163"/>
      <c r="E2898" s="163"/>
      <c r="J2898" s="157">
        <v>42881</v>
      </c>
      <c r="K2898" s="158">
        <v>2.65</v>
      </c>
    </row>
    <row r="2899" spans="1:11" x14ac:dyDescent="0.25">
      <c r="A2899" s="162">
        <v>26695</v>
      </c>
      <c r="B2899" s="163">
        <v>6.86</v>
      </c>
      <c r="C2899" s="163"/>
      <c r="D2899" s="163"/>
      <c r="E2899" s="163"/>
      <c r="J2899" s="157">
        <v>42888</v>
      </c>
      <c r="K2899" s="158">
        <v>2.59</v>
      </c>
    </row>
    <row r="2900" spans="1:11" x14ac:dyDescent="0.25">
      <c r="A2900" s="162">
        <v>26696</v>
      </c>
      <c r="B2900" s="163">
        <v>6.87</v>
      </c>
      <c r="C2900" s="163"/>
      <c r="D2900" s="163"/>
      <c r="E2900" s="163"/>
      <c r="J2900" s="157">
        <v>42895</v>
      </c>
      <c r="K2900" s="158">
        <v>2.56</v>
      </c>
    </row>
    <row r="2901" spans="1:11" x14ac:dyDescent="0.25">
      <c r="A2901" s="162">
        <v>26697</v>
      </c>
      <c r="B2901" s="163">
        <v>6.9</v>
      </c>
      <c r="C2901" s="163"/>
      <c r="D2901" s="163"/>
      <c r="E2901" s="163"/>
      <c r="J2901" s="157">
        <v>42902</v>
      </c>
      <c r="K2901" s="158">
        <v>2.5499999999999998</v>
      </c>
    </row>
    <row r="2902" spans="1:11" x14ac:dyDescent="0.25">
      <c r="A2902" s="162">
        <v>26700</v>
      </c>
      <c r="B2902" s="163">
        <v>6.89</v>
      </c>
      <c r="C2902" s="163"/>
      <c r="D2902" s="163"/>
      <c r="E2902" s="163"/>
      <c r="J2902" s="157">
        <v>42909</v>
      </c>
      <c r="K2902" s="158">
        <v>2.4900000000000002</v>
      </c>
    </row>
    <row r="2903" spans="1:11" x14ac:dyDescent="0.25">
      <c r="A2903" s="162">
        <v>26701</v>
      </c>
      <c r="B2903" s="163">
        <v>6.9</v>
      </c>
      <c r="C2903" s="163"/>
      <c r="D2903" s="163"/>
      <c r="E2903" s="163"/>
      <c r="J2903" s="157">
        <v>42916</v>
      </c>
      <c r="K2903" s="158">
        <v>2.5499999999999998</v>
      </c>
    </row>
    <row r="2904" spans="1:11" x14ac:dyDescent="0.25">
      <c r="A2904" s="162">
        <v>26702</v>
      </c>
      <c r="B2904" s="163">
        <v>6.89</v>
      </c>
      <c r="C2904" s="163"/>
      <c r="D2904" s="163"/>
      <c r="E2904" s="163"/>
      <c r="J2904" s="157">
        <v>42923</v>
      </c>
      <c r="K2904" s="158">
        <v>2.67</v>
      </c>
    </row>
    <row r="2905" spans="1:11" x14ac:dyDescent="0.25">
      <c r="A2905" s="162">
        <v>26703</v>
      </c>
      <c r="B2905" s="163">
        <v>6.89</v>
      </c>
      <c r="C2905" s="163"/>
      <c r="D2905" s="163"/>
      <c r="E2905" s="163"/>
      <c r="J2905" s="157">
        <v>42930</v>
      </c>
      <c r="K2905" s="158">
        <v>2.68</v>
      </c>
    </row>
    <row r="2906" spans="1:11" x14ac:dyDescent="0.25">
      <c r="A2906" s="162">
        <v>26704</v>
      </c>
      <c r="B2906" s="163">
        <v>6.87</v>
      </c>
      <c r="C2906" s="163"/>
      <c r="D2906" s="163"/>
      <c r="E2906" s="163"/>
      <c r="J2906" s="157">
        <v>42937</v>
      </c>
      <c r="K2906" s="158">
        <v>2.61</v>
      </c>
    </row>
    <row r="2907" spans="1:11" x14ac:dyDescent="0.25">
      <c r="A2907" s="162">
        <v>26707</v>
      </c>
      <c r="B2907" s="163" t="e">
        <f>NA()</f>
        <v>#N/A</v>
      </c>
      <c r="C2907" s="163"/>
      <c r="D2907" s="163"/>
      <c r="E2907" s="163"/>
      <c r="J2907" s="157">
        <v>42944</v>
      </c>
      <c r="K2907" s="158">
        <v>2.65</v>
      </c>
    </row>
    <row r="2908" spans="1:11" x14ac:dyDescent="0.25">
      <c r="A2908" s="162">
        <v>26708</v>
      </c>
      <c r="B2908" s="163">
        <v>6.85</v>
      </c>
      <c r="C2908" s="163"/>
      <c r="D2908" s="163"/>
      <c r="E2908" s="163"/>
      <c r="J2908" s="157">
        <v>42951</v>
      </c>
      <c r="K2908" s="158">
        <v>2.61</v>
      </c>
    </row>
    <row r="2909" spans="1:11" x14ac:dyDescent="0.25">
      <c r="A2909" s="162">
        <v>26709</v>
      </c>
      <c r="B2909" s="163">
        <v>6.85</v>
      </c>
      <c r="C2909" s="163"/>
      <c r="D2909" s="163"/>
      <c r="E2909" s="163"/>
      <c r="J2909" s="157">
        <v>42958</v>
      </c>
      <c r="K2909" s="158">
        <v>2.58</v>
      </c>
    </row>
    <row r="2910" spans="1:11" x14ac:dyDescent="0.25">
      <c r="A2910" s="162">
        <v>26710</v>
      </c>
      <c r="B2910" s="163">
        <v>6.84</v>
      </c>
      <c r="C2910" s="163"/>
      <c r="D2910" s="163"/>
      <c r="E2910" s="163"/>
      <c r="J2910" s="157">
        <v>42965</v>
      </c>
      <c r="K2910" s="158">
        <v>2.57</v>
      </c>
    </row>
    <row r="2911" spans="1:11" x14ac:dyDescent="0.25">
      <c r="A2911" s="162">
        <v>26711</v>
      </c>
      <c r="B2911" s="163">
        <v>6.85</v>
      </c>
      <c r="C2911" s="163"/>
      <c r="D2911" s="163"/>
      <c r="E2911" s="163"/>
      <c r="J2911" s="157">
        <v>42972</v>
      </c>
      <c r="K2911" s="158">
        <v>2.52</v>
      </c>
    </row>
    <row r="2912" spans="1:11" x14ac:dyDescent="0.25">
      <c r="A2912" s="162">
        <v>26714</v>
      </c>
      <c r="B2912" s="163" t="e">
        <f>NA()</f>
        <v>#N/A</v>
      </c>
      <c r="C2912" s="163"/>
      <c r="D2912" s="163"/>
      <c r="E2912" s="163"/>
      <c r="J2912" s="157">
        <v>42979</v>
      </c>
      <c r="K2912" s="158">
        <v>2.4900000000000002</v>
      </c>
    </row>
    <row r="2913" spans="1:11" x14ac:dyDescent="0.25">
      <c r="A2913" s="162">
        <v>26715</v>
      </c>
      <c r="B2913" s="163">
        <v>6.88</v>
      </c>
      <c r="C2913" s="163"/>
      <c r="D2913" s="163"/>
      <c r="E2913" s="163"/>
      <c r="J2913" s="157">
        <v>42986</v>
      </c>
      <c r="K2913" s="158">
        <v>2.4300000000000002</v>
      </c>
    </row>
    <row r="2914" spans="1:11" x14ac:dyDescent="0.25">
      <c r="A2914" s="162">
        <v>26716</v>
      </c>
      <c r="B2914" s="163">
        <v>6.9</v>
      </c>
      <c r="C2914" s="163"/>
      <c r="D2914" s="163"/>
      <c r="E2914" s="163"/>
      <c r="J2914" s="157">
        <v>42993</v>
      </c>
      <c r="K2914" s="158">
        <v>2.52</v>
      </c>
    </row>
    <row r="2915" spans="1:11" x14ac:dyDescent="0.25">
      <c r="A2915" s="162">
        <v>26717</v>
      </c>
      <c r="B2915" s="163">
        <v>6.89</v>
      </c>
      <c r="C2915" s="163"/>
      <c r="D2915" s="163"/>
      <c r="E2915" s="163"/>
      <c r="J2915" s="157">
        <v>43000</v>
      </c>
      <c r="K2915" s="158">
        <v>2.57</v>
      </c>
    </row>
    <row r="2916" spans="1:11" x14ac:dyDescent="0.25">
      <c r="A2916" s="162">
        <v>26718</v>
      </c>
      <c r="B2916" s="163">
        <v>6.87</v>
      </c>
      <c r="C2916" s="163"/>
      <c r="D2916" s="163"/>
      <c r="E2916" s="163"/>
      <c r="J2916" s="157">
        <v>43007</v>
      </c>
      <c r="K2916" s="158">
        <v>2.59</v>
      </c>
    </row>
    <row r="2917" spans="1:11" x14ac:dyDescent="0.25">
      <c r="A2917" s="162">
        <v>26721</v>
      </c>
      <c r="B2917" s="163">
        <v>6.9</v>
      </c>
      <c r="C2917" s="163"/>
      <c r="D2917" s="163"/>
      <c r="E2917" s="163"/>
      <c r="J2917" s="157">
        <v>43014</v>
      </c>
      <c r="K2917" s="158">
        <v>2.65</v>
      </c>
    </row>
    <row r="2918" spans="1:11" x14ac:dyDescent="0.25">
      <c r="A2918" s="162">
        <v>26722</v>
      </c>
      <c r="B2918" s="163">
        <v>6.9</v>
      </c>
      <c r="C2918" s="163"/>
      <c r="D2918" s="163"/>
      <c r="E2918" s="163"/>
      <c r="J2918" s="157">
        <v>43021</v>
      </c>
      <c r="K2918" s="158">
        <v>2.62</v>
      </c>
    </row>
    <row r="2919" spans="1:11" x14ac:dyDescent="0.25">
      <c r="A2919" s="162">
        <v>26723</v>
      </c>
      <c r="B2919" s="163">
        <v>6.9</v>
      </c>
      <c r="C2919" s="163"/>
      <c r="D2919" s="163"/>
      <c r="E2919" s="163"/>
      <c r="J2919" s="157">
        <v>43028</v>
      </c>
      <c r="K2919" s="158">
        <v>2.61</v>
      </c>
    </row>
    <row r="2920" spans="1:11" x14ac:dyDescent="0.25">
      <c r="A2920" s="162">
        <v>26724</v>
      </c>
      <c r="B2920" s="163">
        <v>6.9</v>
      </c>
      <c r="C2920" s="163"/>
      <c r="D2920" s="163"/>
      <c r="E2920" s="163"/>
      <c r="J2920" s="157">
        <v>43035</v>
      </c>
      <c r="K2920" s="158">
        <v>2.71</v>
      </c>
    </row>
    <row r="2921" spans="1:11" x14ac:dyDescent="0.25">
      <c r="A2921" s="162">
        <v>26725</v>
      </c>
      <c r="B2921" s="163">
        <v>6.91</v>
      </c>
      <c r="C2921" s="163"/>
      <c r="D2921" s="163"/>
      <c r="E2921" s="163"/>
      <c r="J2921" s="157">
        <v>43042</v>
      </c>
      <c r="K2921" s="158">
        <v>2.63</v>
      </c>
    </row>
    <row r="2922" spans="1:11" x14ac:dyDescent="0.25">
      <c r="A2922" s="162">
        <v>26728</v>
      </c>
      <c r="B2922" s="163">
        <v>6.91</v>
      </c>
      <c r="C2922" s="163"/>
      <c r="D2922" s="163"/>
      <c r="E2922" s="163"/>
      <c r="J2922" s="157">
        <v>43049</v>
      </c>
      <c r="K2922" s="158">
        <v>2.59</v>
      </c>
    </row>
    <row r="2923" spans="1:11" x14ac:dyDescent="0.25">
      <c r="A2923" s="162">
        <v>26729</v>
      </c>
      <c r="B2923" s="163">
        <v>6.91</v>
      </c>
      <c r="C2923" s="163"/>
      <c r="D2923" s="163"/>
      <c r="E2923" s="163"/>
      <c r="J2923" s="157">
        <v>43056</v>
      </c>
      <c r="K2923" s="158">
        <v>2.62</v>
      </c>
    </row>
    <row r="2924" spans="1:11" x14ac:dyDescent="0.25">
      <c r="A2924" s="162">
        <v>26730</v>
      </c>
      <c r="B2924" s="163">
        <v>6.9</v>
      </c>
      <c r="C2924" s="163"/>
      <c r="D2924" s="163"/>
      <c r="E2924" s="163"/>
      <c r="J2924" s="157">
        <v>43063</v>
      </c>
      <c r="K2924" s="158">
        <v>2.58</v>
      </c>
    </row>
    <row r="2925" spans="1:11" x14ac:dyDescent="0.25">
      <c r="A2925" s="162">
        <v>26731</v>
      </c>
      <c r="B2925" s="163">
        <v>6.9</v>
      </c>
      <c r="C2925" s="163"/>
      <c r="D2925" s="163"/>
      <c r="E2925" s="163"/>
      <c r="J2925" s="157">
        <v>43070</v>
      </c>
      <c r="K2925" s="158">
        <v>2.6</v>
      </c>
    </row>
    <row r="2926" spans="1:11" x14ac:dyDescent="0.25">
      <c r="A2926" s="162">
        <v>26732</v>
      </c>
      <c r="B2926" s="163">
        <v>6.91</v>
      </c>
      <c r="C2926" s="163"/>
      <c r="D2926" s="163"/>
      <c r="E2926" s="163"/>
      <c r="J2926" s="157">
        <v>43077</v>
      </c>
      <c r="K2926" s="158">
        <v>2.57</v>
      </c>
    </row>
    <row r="2927" spans="1:11" x14ac:dyDescent="0.25">
      <c r="A2927" s="162">
        <v>26735</v>
      </c>
      <c r="B2927" s="163">
        <v>6.92</v>
      </c>
      <c r="C2927" s="163"/>
      <c r="D2927" s="163"/>
      <c r="E2927" s="163"/>
      <c r="J2927" s="157">
        <v>43084</v>
      </c>
      <c r="K2927" s="158">
        <v>2.56</v>
      </c>
    </row>
    <row r="2928" spans="1:11" x14ac:dyDescent="0.25">
      <c r="A2928" s="162">
        <v>26736</v>
      </c>
      <c r="B2928" s="163">
        <v>6.92</v>
      </c>
      <c r="C2928" s="163"/>
      <c r="D2928" s="163"/>
      <c r="E2928" s="163"/>
      <c r="J2928" s="157">
        <v>43091</v>
      </c>
      <c r="K2928" s="158">
        <v>2.66</v>
      </c>
    </row>
    <row r="2929" spans="1:11" x14ac:dyDescent="0.25">
      <c r="A2929" s="162">
        <v>26737</v>
      </c>
      <c r="B2929" s="164">
        <v>6.92</v>
      </c>
      <c r="C2929" s="164"/>
      <c r="D2929" s="164"/>
      <c r="E2929" s="164"/>
      <c r="J2929" s="157">
        <v>43098</v>
      </c>
      <c r="K2929" s="158">
        <v>2.61</v>
      </c>
    </row>
    <row r="2930" spans="1:11" x14ac:dyDescent="0.25">
      <c r="A2930" s="162">
        <v>26738</v>
      </c>
      <c r="B2930" s="163">
        <v>6.93</v>
      </c>
      <c r="C2930" s="163"/>
      <c r="D2930" s="163"/>
      <c r="E2930" s="163"/>
      <c r="J2930" s="157">
        <v>43105</v>
      </c>
      <c r="K2930" s="158">
        <v>2.63</v>
      </c>
    </row>
    <row r="2931" spans="1:11" x14ac:dyDescent="0.25">
      <c r="A2931" s="162">
        <v>26739</v>
      </c>
      <c r="B2931" s="163">
        <v>6.95</v>
      </c>
      <c r="C2931" s="163"/>
      <c r="D2931" s="163"/>
      <c r="E2931" s="163"/>
      <c r="J2931" s="157">
        <v>43112</v>
      </c>
      <c r="K2931" s="158">
        <v>2.71</v>
      </c>
    </row>
    <row r="2932" spans="1:11" x14ac:dyDescent="0.25">
      <c r="A2932" s="162">
        <v>26742</v>
      </c>
      <c r="B2932" s="163">
        <v>6.93</v>
      </c>
      <c r="C2932" s="163"/>
      <c r="D2932" s="163"/>
      <c r="E2932" s="163"/>
      <c r="J2932" s="157">
        <v>43119</v>
      </c>
      <c r="K2932" s="158">
        <v>2.74</v>
      </c>
    </row>
    <row r="2933" spans="1:11" x14ac:dyDescent="0.25">
      <c r="A2933" s="162">
        <v>26743</v>
      </c>
      <c r="B2933" s="163">
        <v>6.94</v>
      </c>
      <c r="C2933" s="163"/>
      <c r="D2933" s="163"/>
      <c r="E2933" s="163"/>
      <c r="J2933" s="157">
        <v>43126</v>
      </c>
      <c r="K2933" s="158">
        <v>2.78</v>
      </c>
    </row>
    <row r="2934" spans="1:11" x14ac:dyDescent="0.25">
      <c r="A2934" s="162">
        <v>26744</v>
      </c>
      <c r="B2934" s="163">
        <v>6.92</v>
      </c>
      <c r="C2934" s="163"/>
      <c r="D2934" s="163"/>
      <c r="E2934" s="163"/>
      <c r="J2934" s="157">
        <v>43133</v>
      </c>
      <c r="K2934" s="158">
        <v>2.88</v>
      </c>
    </row>
    <row r="2935" spans="1:11" x14ac:dyDescent="0.25">
      <c r="A2935" s="162">
        <v>26745</v>
      </c>
      <c r="B2935" s="163">
        <v>6.92</v>
      </c>
      <c r="C2935" s="163"/>
      <c r="D2935" s="163"/>
      <c r="E2935" s="163"/>
      <c r="J2935" s="157">
        <v>43140</v>
      </c>
      <c r="K2935" s="158">
        <v>2.98</v>
      </c>
    </row>
    <row r="2936" spans="1:11" x14ac:dyDescent="0.25">
      <c r="A2936" s="162">
        <v>26746</v>
      </c>
      <c r="B2936" s="163">
        <v>6.91</v>
      </c>
      <c r="C2936" s="163"/>
      <c r="D2936" s="163"/>
      <c r="E2936" s="163"/>
      <c r="J2936" s="157">
        <v>43147</v>
      </c>
      <c r="K2936" s="158">
        <v>3.03</v>
      </c>
    </row>
    <row r="2937" spans="1:11" x14ac:dyDescent="0.25">
      <c r="A2937" s="162">
        <v>26749</v>
      </c>
      <c r="B2937" s="163">
        <v>6.89</v>
      </c>
      <c r="C2937" s="163"/>
      <c r="D2937" s="163"/>
      <c r="E2937" s="163"/>
      <c r="J2937" s="157">
        <v>43154</v>
      </c>
      <c r="K2937" s="158">
        <v>3.07</v>
      </c>
    </row>
    <row r="2938" spans="1:11" x14ac:dyDescent="0.25">
      <c r="A2938" s="162">
        <v>26750</v>
      </c>
      <c r="B2938" s="163">
        <v>6.88</v>
      </c>
      <c r="C2938" s="163"/>
      <c r="D2938" s="163"/>
      <c r="E2938" s="163"/>
      <c r="J2938" s="157">
        <v>43161</v>
      </c>
      <c r="K2938" s="158">
        <v>3.02</v>
      </c>
    </row>
    <row r="2939" spans="1:11" x14ac:dyDescent="0.25">
      <c r="A2939" s="162">
        <v>26751</v>
      </c>
      <c r="B2939" s="163">
        <v>6.87</v>
      </c>
      <c r="C2939" s="163"/>
      <c r="D2939" s="163"/>
      <c r="E2939" s="163"/>
      <c r="J2939" s="157">
        <v>43168</v>
      </c>
      <c r="K2939" s="158">
        <v>3.03</v>
      </c>
    </row>
    <row r="2940" spans="1:11" x14ac:dyDescent="0.25">
      <c r="A2940" s="162">
        <v>26752</v>
      </c>
      <c r="B2940" s="163">
        <v>6.85</v>
      </c>
      <c r="C2940" s="163"/>
      <c r="D2940" s="163"/>
      <c r="E2940" s="163"/>
      <c r="J2940" s="157">
        <v>43175</v>
      </c>
      <c r="K2940" s="158">
        <v>2.96</v>
      </c>
    </row>
    <row r="2941" spans="1:11" x14ac:dyDescent="0.25">
      <c r="A2941" s="162">
        <v>26753</v>
      </c>
      <c r="B2941" s="163">
        <v>6.89</v>
      </c>
      <c r="C2941" s="163"/>
      <c r="D2941" s="163"/>
      <c r="E2941" s="163"/>
      <c r="J2941" s="157">
        <v>43182</v>
      </c>
      <c r="K2941" s="158">
        <v>2.97</v>
      </c>
    </row>
    <row r="2942" spans="1:11" x14ac:dyDescent="0.25">
      <c r="A2942" s="162">
        <v>26756</v>
      </c>
      <c r="B2942" s="163">
        <v>6.9</v>
      </c>
      <c r="C2942" s="163"/>
      <c r="D2942" s="163"/>
      <c r="E2942" s="163"/>
      <c r="J2942" s="157">
        <v>43189</v>
      </c>
      <c r="K2942" s="158">
        <v>2.9</v>
      </c>
    </row>
    <row r="2943" spans="1:11" x14ac:dyDescent="0.25">
      <c r="A2943" s="162">
        <v>26757</v>
      </c>
      <c r="B2943" s="163">
        <v>6.88</v>
      </c>
      <c r="C2943" s="163"/>
      <c r="D2943" s="163"/>
      <c r="E2943" s="163"/>
      <c r="J2943" s="157">
        <v>43196</v>
      </c>
      <c r="K2943" s="158">
        <v>2.9</v>
      </c>
    </row>
    <row r="2944" spans="1:11" x14ac:dyDescent="0.25">
      <c r="A2944" s="162">
        <v>26758</v>
      </c>
      <c r="B2944" s="163">
        <v>6.87</v>
      </c>
      <c r="C2944" s="163"/>
      <c r="D2944" s="163"/>
      <c r="E2944" s="163"/>
      <c r="J2944" s="157">
        <v>43203</v>
      </c>
      <c r="K2944" s="158">
        <v>2.9</v>
      </c>
    </row>
    <row r="2945" spans="1:11" x14ac:dyDescent="0.25">
      <c r="A2945" s="162">
        <v>26759</v>
      </c>
      <c r="B2945" s="163">
        <v>6.87</v>
      </c>
      <c r="C2945" s="163"/>
      <c r="D2945" s="163"/>
      <c r="E2945" s="163"/>
      <c r="J2945" s="157">
        <v>43210</v>
      </c>
      <c r="K2945" s="158">
        <v>2.96</v>
      </c>
    </row>
    <row r="2946" spans="1:11" x14ac:dyDescent="0.25">
      <c r="A2946" s="162">
        <v>26760</v>
      </c>
      <c r="B2946" s="163">
        <v>6.82</v>
      </c>
      <c r="C2946" s="163"/>
      <c r="D2946" s="163"/>
      <c r="E2946" s="163"/>
      <c r="J2946" s="157">
        <v>43217</v>
      </c>
      <c r="K2946" s="158">
        <v>3.07</v>
      </c>
    </row>
    <row r="2947" spans="1:11" x14ac:dyDescent="0.25">
      <c r="A2947" s="162">
        <v>26763</v>
      </c>
      <c r="B2947" s="163">
        <v>6.81</v>
      </c>
      <c r="C2947" s="163"/>
      <c r="D2947" s="163"/>
      <c r="E2947" s="163"/>
      <c r="J2947" s="157">
        <v>43224</v>
      </c>
      <c r="K2947" s="158">
        <v>3.02</v>
      </c>
    </row>
    <row r="2948" spans="1:11" x14ac:dyDescent="0.25">
      <c r="A2948" s="162">
        <v>26764</v>
      </c>
      <c r="B2948" s="163">
        <v>6.84</v>
      </c>
      <c r="C2948" s="163"/>
      <c r="D2948" s="163"/>
      <c r="E2948" s="163"/>
      <c r="J2948" s="157">
        <v>43231</v>
      </c>
      <c r="K2948" s="158">
        <v>3.04</v>
      </c>
    </row>
    <row r="2949" spans="1:11" x14ac:dyDescent="0.25">
      <c r="A2949" s="162">
        <v>26765</v>
      </c>
      <c r="B2949" s="163">
        <v>6.85</v>
      </c>
      <c r="C2949" s="163"/>
      <c r="D2949" s="163"/>
      <c r="E2949" s="163"/>
      <c r="J2949" s="157">
        <v>43238</v>
      </c>
      <c r="K2949" s="158">
        <v>3.14</v>
      </c>
    </row>
    <row r="2950" spans="1:11" x14ac:dyDescent="0.25">
      <c r="A2950" s="162">
        <v>26766</v>
      </c>
      <c r="B2950" s="163">
        <v>6.85</v>
      </c>
      <c r="C2950" s="163"/>
      <c r="D2950" s="163"/>
      <c r="E2950" s="163"/>
      <c r="J2950" s="157">
        <v>43245</v>
      </c>
      <c r="K2950" s="158">
        <v>3.09</v>
      </c>
    </row>
    <row r="2951" spans="1:11" x14ac:dyDescent="0.25">
      <c r="A2951" s="162">
        <v>26767</v>
      </c>
      <c r="B2951" s="163">
        <v>6.84</v>
      </c>
      <c r="C2951" s="163"/>
      <c r="D2951" s="163"/>
      <c r="E2951" s="163"/>
      <c r="J2951" s="157">
        <v>43252</v>
      </c>
      <c r="K2951" s="158">
        <v>2.92</v>
      </c>
    </row>
    <row r="2952" spans="1:11" x14ac:dyDescent="0.25">
      <c r="A2952" s="162">
        <v>26770</v>
      </c>
      <c r="B2952" s="163">
        <v>6.83</v>
      </c>
      <c r="C2952" s="163"/>
      <c r="D2952" s="163"/>
      <c r="E2952" s="163"/>
      <c r="J2952" s="157">
        <v>43259</v>
      </c>
      <c r="K2952" s="158">
        <v>3.01</v>
      </c>
    </row>
    <row r="2953" spans="1:11" x14ac:dyDescent="0.25">
      <c r="A2953" s="162">
        <v>26771</v>
      </c>
      <c r="B2953" s="163">
        <v>6.84</v>
      </c>
      <c r="C2953" s="163"/>
      <c r="D2953" s="163"/>
      <c r="E2953" s="163"/>
      <c r="J2953" s="157">
        <v>43266</v>
      </c>
      <c r="K2953" s="158">
        <v>3.01</v>
      </c>
    </row>
    <row r="2954" spans="1:11" x14ac:dyDescent="0.25">
      <c r="A2954" s="162">
        <v>26772</v>
      </c>
      <c r="B2954" s="164">
        <v>6.85</v>
      </c>
      <c r="C2954" s="164"/>
      <c r="D2954" s="164"/>
      <c r="E2954" s="164"/>
      <c r="J2954" s="157">
        <v>43273</v>
      </c>
      <c r="K2954" s="158">
        <v>2.97</v>
      </c>
    </row>
    <row r="2955" spans="1:11" x14ac:dyDescent="0.25">
      <c r="A2955" s="162">
        <v>26773</v>
      </c>
      <c r="B2955" s="163">
        <v>6.85</v>
      </c>
      <c r="C2955" s="163"/>
      <c r="D2955" s="163"/>
      <c r="E2955" s="163"/>
      <c r="J2955" s="157">
        <v>43280</v>
      </c>
      <c r="K2955" s="158">
        <v>2.92</v>
      </c>
    </row>
    <row r="2956" spans="1:11" x14ac:dyDescent="0.25">
      <c r="A2956" s="162">
        <v>26774</v>
      </c>
      <c r="B2956" s="163" t="e">
        <f>NA()</f>
        <v>#N/A</v>
      </c>
      <c r="C2956" s="163"/>
      <c r="D2956" s="163"/>
      <c r="E2956" s="163"/>
      <c r="J2956" s="157">
        <v>43287</v>
      </c>
      <c r="K2956" s="158">
        <v>2.89</v>
      </c>
    </row>
    <row r="2957" spans="1:11" x14ac:dyDescent="0.25">
      <c r="A2957" s="162">
        <v>26777</v>
      </c>
      <c r="B2957" s="163">
        <v>6.87</v>
      </c>
      <c r="C2957" s="163"/>
      <c r="D2957" s="163"/>
      <c r="E2957" s="163"/>
      <c r="J2957" s="157">
        <v>43294</v>
      </c>
      <c r="K2957" s="158">
        <v>2.89</v>
      </c>
    </row>
    <row r="2958" spans="1:11" x14ac:dyDescent="0.25">
      <c r="A2958" s="162">
        <v>26778</v>
      </c>
      <c r="B2958" s="163">
        <v>6.86</v>
      </c>
      <c r="C2958" s="163"/>
      <c r="D2958" s="163"/>
      <c r="E2958" s="163"/>
      <c r="J2958" s="157">
        <v>43301</v>
      </c>
      <c r="K2958" s="158">
        <v>2.92</v>
      </c>
    </row>
    <row r="2959" spans="1:11" x14ac:dyDescent="0.25">
      <c r="A2959" s="162">
        <v>26779</v>
      </c>
      <c r="B2959" s="163">
        <v>6.87</v>
      </c>
      <c r="C2959" s="163"/>
      <c r="D2959" s="163"/>
      <c r="E2959" s="163"/>
      <c r="J2959" s="157">
        <v>43308</v>
      </c>
      <c r="K2959" s="158">
        <v>3.03</v>
      </c>
    </row>
    <row r="2960" spans="1:11" x14ac:dyDescent="0.25">
      <c r="A2960" s="162">
        <v>26780</v>
      </c>
      <c r="B2960" s="163">
        <v>6.9</v>
      </c>
      <c r="C2960" s="163"/>
      <c r="D2960" s="163"/>
      <c r="E2960" s="163"/>
      <c r="J2960" s="157">
        <v>43315</v>
      </c>
      <c r="K2960" s="158">
        <v>3.05</v>
      </c>
    </row>
    <row r="2961" spans="1:11" x14ac:dyDescent="0.25">
      <c r="A2961" s="162">
        <v>26781</v>
      </c>
      <c r="B2961" s="163">
        <v>6.91</v>
      </c>
      <c r="C2961" s="163"/>
      <c r="D2961" s="163"/>
      <c r="E2961" s="163"/>
      <c r="J2961" s="157">
        <v>43322</v>
      </c>
      <c r="K2961" s="158">
        <v>3.02</v>
      </c>
    </row>
    <row r="2962" spans="1:11" x14ac:dyDescent="0.25">
      <c r="A2962" s="162">
        <v>26784</v>
      </c>
      <c r="B2962" s="163">
        <v>6.91</v>
      </c>
      <c r="C2962" s="163"/>
      <c r="D2962" s="163"/>
      <c r="E2962" s="163"/>
      <c r="J2962" s="157">
        <v>43329</v>
      </c>
      <c r="K2962" s="158">
        <v>2.96</v>
      </c>
    </row>
    <row r="2963" spans="1:11" x14ac:dyDescent="0.25">
      <c r="A2963" s="162">
        <v>26785</v>
      </c>
      <c r="B2963" s="163">
        <v>6.92</v>
      </c>
      <c r="C2963" s="163"/>
      <c r="D2963" s="163"/>
      <c r="E2963" s="163"/>
      <c r="J2963" s="157">
        <v>43336</v>
      </c>
      <c r="K2963" s="158">
        <v>2.91</v>
      </c>
    </row>
    <row r="2964" spans="1:11" x14ac:dyDescent="0.25">
      <c r="A2964" s="162">
        <v>26786</v>
      </c>
      <c r="B2964" s="163">
        <v>6.94</v>
      </c>
      <c r="C2964" s="163"/>
      <c r="D2964" s="163"/>
      <c r="E2964" s="163"/>
      <c r="J2964" s="157">
        <v>43343</v>
      </c>
      <c r="K2964" s="158">
        <v>2.94</v>
      </c>
    </row>
    <row r="2965" spans="1:11" x14ac:dyDescent="0.25">
      <c r="A2965" s="162">
        <v>26787</v>
      </c>
      <c r="B2965" s="163">
        <v>6.96</v>
      </c>
      <c r="C2965" s="163"/>
      <c r="D2965" s="163"/>
      <c r="E2965" s="163"/>
      <c r="J2965" s="157">
        <v>43350</v>
      </c>
      <c r="K2965" s="158">
        <v>3</v>
      </c>
    </row>
    <row r="2966" spans="1:11" x14ac:dyDescent="0.25">
      <c r="A2966" s="162">
        <v>26788</v>
      </c>
      <c r="B2966" s="163">
        <v>6.97</v>
      </c>
      <c r="C2966" s="163"/>
      <c r="D2966" s="163"/>
      <c r="E2966" s="163"/>
      <c r="J2966" s="157">
        <v>43357</v>
      </c>
      <c r="K2966" s="158">
        <v>3.05</v>
      </c>
    </row>
    <row r="2967" spans="1:11" x14ac:dyDescent="0.25">
      <c r="A2967" s="162">
        <v>26791</v>
      </c>
      <c r="B2967" s="163">
        <v>6.98</v>
      </c>
      <c r="C2967" s="163"/>
      <c r="D2967" s="163"/>
      <c r="E2967" s="163"/>
      <c r="J2967" s="157">
        <v>43364</v>
      </c>
      <c r="K2967" s="158">
        <v>3.13</v>
      </c>
    </row>
    <row r="2968" spans="1:11" x14ac:dyDescent="0.25">
      <c r="A2968" s="162">
        <v>26792</v>
      </c>
      <c r="B2968" s="163">
        <v>6.98</v>
      </c>
      <c r="C2968" s="163"/>
      <c r="D2968" s="163"/>
      <c r="E2968" s="163"/>
      <c r="J2968" s="157">
        <v>43371</v>
      </c>
      <c r="K2968" s="158">
        <v>3.14</v>
      </c>
    </row>
    <row r="2969" spans="1:11" x14ac:dyDescent="0.25">
      <c r="A2969" s="162">
        <v>26793</v>
      </c>
      <c r="B2969" s="163">
        <v>6.98</v>
      </c>
      <c r="C2969" s="163"/>
      <c r="D2969" s="163"/>
      <c r="E2969" s="163"/>
      <c r="J2969" s="157">
        <v>43378</v>
      </c>
      <c r="K2969" s="158">
        <v>3.24</v>
      </c>
    </row>
    <row r="2970" spans="1:11" x14ac:dyDescent="0.25">
      <c r="A2970" s="162">
        <v>26794</v>
      </c>
      <c r="B2970" s="163">
        <v>6.97</v>
      </c>
      <c r="C2970" s="163"/>
      <c r="D2970" s="163"/>
      <c r="E2970" s="163"/>
      <c r="J2970" s="157">
        <v>43385</v>
      </c>
      <c r="K2970" s="158">
        <v>3.28</v>
      </c>
    </row>
    <row r="2971" spans="1:11" x14ac:dyDescent="0.25">
      <c r="A2971" s="162">
        <v>26795</v>
      </c>
      <c r="B2971" s="163">
        <v>6.98</v>
      </c>
      <c r="C2971" s="163"/>
      <c r="D2971" s="163"/>
      <c r="E2971" s="163"/>
      <c r="J2971" s="157">
        <v>43392</v>
      </c>
      <c r="K2971" s="158">
        <v>3.28</v>
      </c>
    </row>
    <row r="2972" spans="1:11" x14ac:dyDescent="0.25">
      <c r="A2972" s="162">
        <v>26798</v>
      </c>
      <c r="B2972" s="163">
        <v>6.98</v>
      </c>
      <c r="C2972" s="163"/>
      <c r="D2972" s="163"/>
      <c r="E2972" s="163"/>
      <c r="J2972" s="157">
        <v>43399</v>
      </c>
      <c r="K2972" s="158">
        <v>3.27</v>
      </c>
    </row>
    <row r="2973" spans="1:11" x14ac:dyDescent="0.25">
      <c r="A2973" s="162">
        <v>26799</v>
      </c>
      <c r="B2973" s="163">
        <v>6.98</v>
      </c>
      <c r="C2973" s="163"/>
      <c r="D2973" s="163"/>
      <c r="E2973" s="163"/>
      <c r="J2973" s="157">
        <v>43406</v>
      </c>
      <c r="K2973" s="158">
        <v>3.29</v>
      </c>
    </row>
    <row r="2974" spans="1:11" x14ac:dyDescent="0.25">
      <c r="A2974" s="162">
        <v>26800</v>
      </c>
      <c r="B2974" s="163">
        <v>6.97</v>
      </c>
      <c r="C2974" s="163"/>
      <c r="D2974" s="163"/>
      <c r="E2974" s="163"/>
      <c r="J2974" s="157">
        <v>43413</v>
      </c>
      <c r="K2974" s="158">
        <v>3.34</v>
      </c>
    </row>
    <row r="2975" spans="1:11" x14ac:dyDescent="0.25">
      <c r="A2975" s="162">
        <v>26801</v>
      </c>
      <c r="B2975" s="163">
        <v>6.98</v>
      </c>
      <c r="C2975" s="163"/>
      <c r="D2975" s="163"/>
      <c r="E2975" s="163"/>
      <c r="J2975" s="157">
        <v>43420</v>
      </c>
      <c r="K2975" s="158">
        <v>3.26</v>
      </c>
    </row>
    <row r="2976" spans="1:11" x14ac:dyDescent="0.25">
      <c r="A2976" s="162">
        <v>26802</v>
      </c>
      <c r="B2976" s="164">
        <v>7</v>
      </c>
      <c r="C2976" s="164"/>
      <c r="D2976" s="164"/>
      <c r="E2976" s="164"/>
      <c r="J2976" s="157">
        <v>43427</v>
      </c>
      <c r="K2976" s="158">
        <v>3.22</v>
      </c>
    </row>
    <row r="2977" spans="1:11" x14ac:dyDescent="0.25">
      <c r="A2977" s="162">
        <v>26805</v>
      </c>
      <c r="B2977" s="163">
        <v>7.02</v>
      </c>
      <c r="C2977" s="163"/>
      <c r="D2977" s="163"/>
      <c r="E2977" s="163"/>
      <c r="J2977" s="157">
        <v>43434</v>
      </c>
      <c r="K2977" s="158">
        <v>3.21</v>
      </c>
    </row>
    <row r="2978" spans="1:11" x14ac:dyDescent="0.25">
      <c r="A2978" s="162">
        <v>26806</v>
      </c>
      <c r="B2978" s="163">
        <v>7.02</v>
      </c>
      <c r="C2978" s="163"/>
      <c r="D2978" s="163"/>
      <c r="E2978" s="163"/>
      <c r="J2978" s="157">
        <v>43441</v>
      </c>
      <c r="K2978" s="158">
        <v>3.06</v>
      </c>
    </row>
    <row r="2979" spans="1:11" x14ac:dyDescent="0.25">
      <c r="A2979" s="162">
        <v>26807</v>
      </c>
      <c r="B2979" s="163">
        <v>7.04</v>
      </c>
      <c r="C2979" s="163"/>
      <c r="D2979" s="163"/>
      <c r="E2979" s="163"/>
      <c r="J2979" s="157">
        <v>43448</v>
      </c>
      <c r="K2979" s="158">
        <v>3.03</v>
      </c>
    </row>
    <row r="2980" spans="1:11" x14ac:dyDescent="0.25">
      <c r="A2980" s="162">
        <v>26808</v>
      </c>
      <c r="B2980" s="163">
        <v>7.03</v>
      </c>
      <c r="C2980" s="163"/>
      <c r="D2980" s="163"/>
      <c r="E2980" s="163"/>
      <c r="J2980" s="157">
        <v>43455</v>
      </c>
      <c r="K2980" s="158">
        <v>2.94</v>
      </c>
    </row>
    <row r="2981" spans="1:11" x14ac:dyDescent="0.25">
      <c r="A2981" s="162">
        <v>26809</v>
      </c>
      <c r="B2981" s="163">
        <v>7.02</v>
      </c>
      <c r="C2981" s="163"/>
      <c r="D2981" s="163"/>
      <c r="E2981" s="163"/>
      <c r="J2981" s="157">
        <v>43462</v>
      </c>
      <c r="K2981" s="158">
        <v>2.91</v>
      </c>
    </row>
    <row r="2982" spans="1:11" x14ac:dyDescent="0.25">
      <c r="A2982" s="162">
        <v>26812</v>
      </c>
      <c r="B2982" s="163" t="e">
        <f>NA()</f>
        <v>#N/A</v>
      </c>
      <c r="C2982" s="163"/>
      <c r="D2982" s="163"/>
      <c r="E2982" s="163"/>
      <c r="J2982" s="157">
        <v>43469</v>
      </c>
      <c r="K2982" s="158">
        <v>2.82</v>
      </c>
    </row>
    <row r="2983" spans="1:11" x14ac:dyDescent="0.25">
      <c r="A2983" s="162">
        <v>26813</v>
      </c>
      <c r="B2983" s="163">
        <v>7.03</v>
      </c>
      <c r="C2983" s="163"/>
      <c r="D2983" s="163"/>
      <c r="E2983" s="163"/>
      <c r="J2983" s="157">
        <v>43476</v>
      </c>
      <c r="K2983" s="158">
        <v>2.89</v>
      </c>
    </row>
    <row r="2984" spans="1:11" x14ac:dyDescent="0.25">
      <c r="A2984" s="162">
        <v>26814</v>
      </c>
      <c r="B2984" s="163">
        <v>7.04</v>
      </c>
      <c r="C2984" s="163"/>
      <c r="D2984" s="163"/>
      <c r="E2984" s="163"/>
      <c r="J2984" s="157">
        <v>43483</v>
      </c>
      <c r="K2984" s="158">
        <v>2.93</v>
      </c>
    </row>
    <row r="2985" spans="1:11" x14ac:dyDescent="0.25">
      <c r="A2985" s="162">
        <v>26815</v>
      </c>
      <c r="B2985" s="163">
        <v>7.05</v>
      </c>
      <c r="C2985" s="163"/>
      <c r="D2985" s="163"/>
      <c r="E2985" s="163"/>
      <c r="J2985" s="157">
        <v>43490</v>
      </c>
      <c r="K2985" s="158">
        <v>2.91</v>
      </c>
    </row>
    <row r="2986" spans="1:11" x14ac:dyDescent="0.25">
      <c r="A2986" s="162">
        <v>26816</v>
      </c>
      <c r="B2986" s="163">
        <v>7.07</v>
      </c>
      <c r="C2986" s="163"/>
      <c r="D2986" s="163"/>
      <c r="E2986" s="163"/>
      <c r="J2986" s="157">
        <v>43497</v>
      </c>
      <c r="K2986" s="158">
        <v>2.89</v>
      </c>
    </row>
    <row r="2987" spans="1:11" x14ac:dyDescent="0.25">
      <c r="A2987" s="162">
        <v>26819</v>
      </c>
      <c r="B2987" s="164">
        <v>7.1</v>
      </c>
      <c r="C2987" s="164"/>
      <c r="D2987" s="164"/>
      <c r="E2987" s="164"/>
      <c r="J2987" s="157">
        <v>43504</v>
      </c>
      <c r="K2987" s="158">
        <v>2.87</v>
      </c>
    </row>
    <row r="2988" spans="1:11" x14ac:dyDescent="0.25">
      <c r="A2988" s="162">
        <v>26820</v>
      </c>
      <c r="B2988" s="163">
        <v>7.07</v>
      </c>
      <c r="C2988" s="163"/>
      <c r="D2988" s="163"/>
      <c r="E2988" s="163"/>
      <c r="J2988" s="157">
        <v>43511</v>
      </c>
      <c r="K2988" s="158">
        <v>2.86</v>
      </c>
    </row>
    <row r="2989" spans="1:11" x14ac:dyDescent="0.25">
      <c r="A2989" s="162">
        <v>26821</v>
      </c>
      <c r="B2989" s="163">
        <v>7.03</v>
      </c>
      <c r="C2989" s="163"/>
      <c r="D2989" s="163"/>
      <c r="E2989" s="163"/>
      <c r="J2989" s="157">
        <v>43518</v>
      </c>
      <c r="K2989" s="158">
        <v>2.86</v>
      </c>
    </row>
    <row r="2990" spans="1:11" x14ac:dyDescent="0.25">
      <c r="A2990" s="162">
        <v>26822</v>
      </c>
      <c r="B2990" s="163">
        <v>7.02</v>
      </c>
      <c r="C2990" s="163"/>
      <c r="D2990" s="163"/>
      <c r="E2990" s="163"/>
      <c r="J2990" s="157">
        <v>43525</v>
      </c>
      <c r="K2990" s="158">
        <v>2.91</v>
      </c>
    </row>
    <row r="2991" spans="1:11" x14ac:dyDescent="0.25">
      <c r="A2991" s="162">
        <v>26823</v>
      </c>
      <c r="B2991" s="163">
        <v>7.01</v>
      </c>
      <c r="C2991" s="163"/>
      <c r="D2991" s="163"/>
      <c r="E2991" s="163"/>
      <c r="J2991" s="157">
        <v>43532</v>
      </c>
      <c r="K2991" s="158">
        <v>2.89</v>
      </c>
    </row>
    <row r="2992" spans="1:11" x14ac:dyDescent="0.25">
      <c r="A2992" s="162">
        <v>26826</v>
      </c>
      <c r="B2992" s="163">
        <v>7.03</v>
      </c>
      <c r="C2992" s="163"/>
      <c r="D2992" s="163"/>
      <c r="E2992" s="163"/>
      <c r="J2992" s="157">
        <v>43539</v>
      </c>
      <c r="K2992" s="158">
        <v>2.84</v>
      </c>
    </row>
    <row r="2993" spans="1:11" x14ac:dyDescent="0.25">
      <c r="A2993" s="162">
        <v>26827</v>
      </c>
      <c r="B2993" s="163">
        <v>7.02</v>
      </c>
      <c r="C2993" s="163"/>
      <c r="D2993" s="163"/>
      <c r="E2993" s="163"/>
      <c r="J2993" s="157">
        <v>43546</v>
      </c>
      <c r="K2993" s="158">
        <v>2.79</v>
      </c>
    </row>
    <row r="2994" spans="1:11" x14ac:dyDescent="0.25">
      <c r="A2994" s="162">
        <v>26828</v>
      </c>
      <c r="B2994" s="163">
        <v>7.01</v>
      </c>
      <c r="C2994" s="163"/>
      <c r="D2994" s="163"/>
      <c r="E2994" s="163"/>
      <c r="J2994" s="157">
        <v>43553</v>
      </c>
      <c r="K2994" s="158">
        <v>2.65</v>
      </c>
    </row>
    <row r="2995" spans="1:11" x14ac:dyDescent="0.25">
      <c r="A2995" s="162">
        <v>26829</v>
      </c>
      <c r="B2995" s="163">
        <v>7.02</v>
      </c>
      <c r="C2995" s="163"/>
      <c r="D2995" s="163"/>
      <c r="E2995" s="163"/>
      <c r="J2995" s="157">
        <v>43560</v>
      </c>
      <c r="K2995" s="158">
        <v>2.72</v>
      </c>
    </row>
    <row r="2996" spans="1:11" x14ac:dyDescent="0.25">
      <c r="A2996" s="162">
        <v>26830</v>
      </c>
      <c r="B2996" s="163">
        <v>7.02</v>
      </c>
      <c r="C2996" s="163"/>
      <c r="D2996" s="163"/>
      <c r="E2996" s="163"/>
      <c r="J2996" s="157">
        <v>43567</v>
      </c>
      <c r="K2996" s="158">
        <v>2.74</v>
      </c>
    </row>
    <row r="2997" spans="1:11" x14ac:dyDescent="0.25">
      <c r="A2997" s="162">
        <v>26833</v>
      </c>
      <c r="B2997" s="163">
        <v>7.05</v>
      </c>
      <c r="C2997" s="163"/>
      <c r="D2997" s="163"/>
      <c r="E2997" s="163"/>
      <c r="J2997" s="157">
        <v>43574</v>
      </c>
      <c r="K2997" s="158">
        <v>2.79</v>
      </c>
    </row>
    <row r="2998" spans="1:11" x14ac:dyDescent="0.25">
      <c r="A2998" s="162">
        <v>26834</v>
      </c>
      <c r="B2998" s="163">
        <v>7.05</v>
      </c>
      <c r="C2998" s="163"/>
      <c r="D2998" s="163"/>
      <c r="E2998" s="163"/>
      <c r="J2998" s="157">
        <v>43581</v>
      </c>
      <c r="K2998" s="158">
        <v>2.78</v>
      </c>
    </row>
    <row r="2999" spans="1:11" x14ac:dyDescent="0.25">
      <c r="A2999" s="162">
        <v>26835</v>
      </c>
      <c r="B2999" s="163">
        <v>7.07</v>
      </c>
      <c r="C2999" s="163"/>
      <c r="D2999" s="163"/>
      <c r="E2999" s="163"/>
      <c r="J2999" s="157">
        <v>43588</v>
      </c>
      <c r="K2999" s="158">
        <v>2.76</v>
      </c>
    </row>
    <row r="3000" spans="1:11" x14ac:dyDescent="0.25">
      <c r="A3000" s="162">
        <v>26836</v>
      </c>
      <c r="B3000" s="163">
        <v>7.07</v>
      </c>
      <c r="C3000" s="163"/>
      <c r="D3000" s="163"/>
      <c r="E3000" s="163"/>
      <c r="J3000" s="157">
        <v>43595</v>
      </c>
      <c r="K3000" s="158">
        <v>2.7</v>
      </c>
    </row>
    <row r="3001" spans="1:11" x14ac:dyDescent="0.25">
      <c r="A3001" s="162">
        <v>26837</v>
      </c>
      <c r="B3001" s="163">
        <v>7.08</v>
      </c>
      <c r="C3001" s="163"/>
      <c r="D3001" s="163"/>
      <c r="E3001" s="163"/>
      <c r="J3001" s="157">
        <v>43602</v>
      </c>
      <c r="K3001" s="158">
        <v>2.65</v>
      </c>
    </row>
    <row r="3002" spans="1:11" x14ac:dyDescent="0.25">
      <c r="A3002" s="162">
        <v>26840</v>
      </c>
      <c r="B3002" s="163">
        <v>7.1</v>
      </c>
      <c r="C3002" s="163"/>
      <c r="D3002" s="163"/>
      <c r="E3002" s="163"/>
      <c r="J3002" s="157">
        <v>43609</v>
      </c>
      <c r="K3002" s="158">
        <v>2.62</v>
      </c>
    </row>
    <row r="3003" spans="1:11" x14ac:dyDescent="0.25">
      <c r="A3003" s="162">
        <v>26841</v>
      </c>
      <c r="B3003" s="163">
        <v>7.11</v>
      </c>
      <c r="C3003" s="163"/>
      <c r="D3003" s="163"/>
      <c r="E3003" s="163"/>
      <c r="J3003" s="157">
        <v>43616</v>
      </c>
      <c r="K3003" s="158">
        <v>2.4700000000000002</v>
      </c>
    </row>
    <row r="3004" spans="1:11" x14ac:dyDescent="0.25">
      <c r="A3004" s="162">
        <v>26842</v>
      </c>
      <c r="B3004" s="163">
        <v>7.11</v>
      </c>
      <c r="C3004" s="163"/>
      <c r="D3004" s="163"/>
      <c r="E3004" s="163"/>
      <c r="J3004" s="157">
        <v>43623</v>
      </c>
      <c r="K3004" s="158">
        <v>2.39</v>
      </c>
    </row>
    <row r="3005" spans="1:11" x14ac:dyDescent="0.25">
      <c r="A3005" s="162">
        <v>26843</v>
      </c>
      <c r="B3005" s="163">
        <v>7.11</v>
      </c>
      <c r="C3005" s="163"/>
      <c r="D3005" s="163"/>
      <c r="E3005" s="163"/>
      <c r="J3005" s="157">
        <v>43630</v>
      </c>
      <c r="K3005" s="158">
        <v>2.4</v>
      </c>
    </row>
    <row r="3006" spans="1:11" x14ac:dyDescent="0.25">
      <c r="A3006" s="162">
        <v>26844</v>
      </c>
      <c r="B3006" s="163">
        <v>7.13</v>
      </c>
      <c r="C3006" s="163"/>
      <c r="D3006" s="163"/>
      <c r="E3006" s="163"/>
      <c r="J3006" s="157">
        <v>43637</v>
      </c>
      <c r="K3006" s="158">
        <v>2.34</v>
      </c>
    </row>
    <row r="3007" spans="1:11" x14ac:dyDescent="0.25">
      <c r="A3007" s="162">
        <v>26847</v>
      </c>
      <c r="B3007" s="163">
        <v>7.17</v>
      </c>
      <c r="C3007" s="163"/>
      <c r="D3007" s="163"/>
      <c r="E3007" s="163"/>
      <c r="J3007" s="157">
        <v>43644</v>
      </c>
      <c r="K3007" s="158">
        <v>2.3199999999999998</v>
      </c>
    </row>
    <row r="3008" spans="1:11" x14ac:dyDescent="0.25">
      <c r="A3008" s="162">
        <v>26848</v>
      </c>
      <c r="B3008" s="164">
        <v>7.17</v>
      </c>
      <c r="C3008" s="164"/>
      <c r="D3008" s="164"/>
      <c r="E3008" s="164"/>
      <c r="J3008" s="157">
        <v>43651</v>
      </c>
      <c r="K3008" s="158">
        <v>2.31</v>
      </c>
    </row>
    <row r="3009" spans="1:11" x14ac:dyDescent="0.25">
      <c r="A3009" s="162">
        <v>26849</v>
      </c>
      <c r="B3009" s="163" t="e">
        <f>NA()</f>
        <v>#N/A</v>
      </c>
      <c r="C3009" s="163"/>
      <c r="D3009" s="163"/>
      <c r="E3009" s="163"/>
      <c r="J3009" s="157">
        <v>43658</v>
      </c>
      <c r="K3009" s="158">
        <v>2.37</v>
      </c>
    </row>
    <row r="3010" spans="1:11" x14ac:dyDescent="0.25">
      <c r="A3010" s="162">
        <v>26850</v>
      </c>
      <c r="B3010" s="163">
        <v>7.14</v>
      </c>
      <c r="C3010" s="163"/>
      <c r="D3010" s="163"/>
      <c r="E3010" s="163"/>
      <c r="J3010" s="157">
        <v>43665</v>
      </c>
      <c r="K3010" s="158">
        <v>2.37</v>
      </c>
    </row>
    <row r="3011" spans="1:11" x14ac:dyDescent="0.25">
      <c r="A3011" s="162">
        <v>26851</v>
      </c>
      <c r="B3011" s="163">
        <v>7.17</v>
      </c>
      <c r="C3011" s="163"/>
      <c r="D3011" s="163"/>
      <c r="E3011" s="163"/>
      <c r="J3011" s="157">
        <v>43672</v>
      </c>
      <c r="K3011" s="158">
        <v>2.37</v>
      </c>
    </row>
    <row r="3012" spans="1:11" x14ac:dyDescent="0.25">
      <c r="A3012" s="162">
        <v>26854</v>
      </c>
      <c r="B3012" s="163">
        <v>7.2</v>
      </c>
      <c r="C3012" s="163"/>
      <c r="D3012" s="163"/>
      <c r="E3012" s="163"/>
      <c r="J3012" s="157">
        <v>43679</v>
      </c>
      <c r="K3012" s="158">
        <v>2.2799999999999998</v>
      </c>
    </row>
    <row r="3013" spans="1:11" x14ac:dyDescent="0.25">
      <c r="A3013" s="162">
        <v>26855</v>
      </c>
      <c r="B3013" s="164">
        <v>7.19</v>
      </c>
      <c r="C3013" s="164"/>
      <c r="D3013" s="164"/>
      <c r="E3013" s="164"/>
      <c r="J3013" s="157">
        <v>43686</v>
      </c>
      <c r="K3013" s="158">
        <v>2.0299999999999998</v>
      </c>
    </row>
    <row r="3014" spans="1:11" x14ac:dyDescent="0.25">
      <c r="A3014" s="162">
        <v>26856</v>
      </c>
      <c r="B3014" s="163">
        <v>7.19</v>
      </c>
      <c r="C3014" s="163"/>
      <c r="D3014" s="163"/>
      <c r="E3014" s="163"/>
      <c r="J3014" s="157">
        <v>43693</v>
      </c>
      <c r="K3014" s="158">
        <v>1.86</v>
      </c>
    </row>
    <row r="3015" spans="1:11" x14ac:dyDescent="0.25">
      <c r="A3015" s="162">
        <v>26857</v>
      </c>
      <c r="B3015" s="163">
        <v>7.2</v>
      </c>
      <c r="C3015" s="163"/>
      <c r="D3015" s="163"/>
      <c r="E3015" s="163"/>
      <c r="J3015" s="157">
        <v>43700</v>
      </c>
      <c r="K3015" s="158">
        <v>1.86</v>
      </c>
    </row>
    <row r="3016" spans="1:11" x14ac:dyDescent="0.25">
      <c r="A3016" s="162">
        <v>26858</v>
      </c>
      <c r="B3016" s="163">
        <v>7.21</v>
      </c>
      <c r="C3016" s="163"/>
      <c r="D3016" s="163"/>
      <c r="E3016" s="163"/>
      <c r="J3016" s="157">
        <v>43707</v>
      </c>
      <c r="K3016" s="158">
        <v>1.79</v>
      </c>
    </row>
    <row r="3017" spans="1:11" x14ac:dyDescent="0.25">
      <c r="A3017" s="162">
        <v>26861</v>
      </c>
      <c r="B3017" s="163">
        <v>7.21</v>
      </c>
      <c r="C3017" s="163"/>
      <c r="D3017" s="163"/>
      <c r="E3017" s="163"/>
      <c r="J3017" s="157">
        <v>43714</v>
      </c>
      <c r="K3017" s="158">
        <v>1.81</v>
      </c>
    </row>
    <row r="3018" spans="1:11" x14ac:dyDescent="0.25">
      <c r="A3018" s="162">
        <v>26862</v>
      </c>
      <c r="B3018" s="163">
        <v>7.21</v>
      </c>
      <c r="C3018" s="163"/>
      <c r="D3018" s="163"/>
      <c r="E3018" s="163"/>
      <c r="J3018" s="157">
        <v>43721</v>
      </c>
      <c r="K3018" s="158">
        <v>2.0299999999999998</v>
      </c>
    </row>
    <row r="3019" spans="1:11" x14ac:dyDescent="0.25">
      <c r="A3019" s="162">
        <v>26863</v>
      </c>
      <c r="B3019" s="163">
        <v>7.25</v>
      </c>
      <c r="C3019" s="163"/>
      <c r="D3019" s="163"/>
      <c r="E3019" s="163"/>
      <c r="J3019" s="157">
        <v>43728</v>
      </c>
      <c r="K3019" s="158">
        <v>2.06</v>
      </c>
    </row>
    <row r="3020" spans="1:11" x14ac:dyDescent="0.25">
      <c r="A3020" s="162">
        <v>26864</v>
      </c>
      <c r="B3020" s="163">
        <v>7.29</v>
      </c>
      <c r="C3020" s="163"/>
      <c r="D3020" s="163"/>
      <c r="E3020" s="163"/>
      <c r="J3020" s="157">
        <v>43735</v>
      </c>
      <c r="K3020" s="158">
        <v>1.96</v>
      </c>
    </row>
    <row r="3021" spans="1:11" x14ac:dyDescent="0.25">
      <c r="A3021" s="162">
        <v>26865</v>
      </c>
      <c r="B3021" s="163">
        <v>7.31</v>
      </c>
      <c r="C3021" s="163"/>
      <c r="D3021" s="163"/>
      <c r="E3021" s="163"/>
      <c r="J3021" s="157">
        <v>43742</v>
      </c>
      <c r="K3021" s="158">
        <v>1.89</v>
      </c>
    </row>
    <row r="3022" spans="1:11" x14ac:dyDescent="0.25">
      <c r="A3022" s="162">
        <v>26868</v>
      </c>
      <c r="B3022" s="163">
        <v>7.31</v>
      </c>
      <c r="C3022" s="163"/>
      <c r="D3022" s="163"/>
      <c r="E3022" s="163"/>
      <c r="J3022" s="157">
        <v>43749</v>
      </c>
      <c r="K3022" s="158">
        <v>1.91</v>
      </c>
    </row>
    <row r="3023" spans="1:11" x14ac:dyDescent="0.25">
      <c r="A3023" s="162">
        <v>26869</v>
      </c>
      <c r="B3023" s="163">
        <v>7.33</v>
      </c>
      <c r="C3023" s="163"/>
      <c r="D3023" s="163"/>
      <c r="E3023" s="163"/>
      <c r="J3023" s="157">
        <v>43756</v>
      </c>
      <c r="K3023" s="158">
        <v>2.06</v>
      </c>
    </row>
    <row r="3024" spans="1:11" x14ac:dyDescent="0.25">
      <c r="A3024" s="162">
        <v>26870</v>
      </c>
      <c r="B3024" s="164">
        <v>7.34</v>
      </c>
      <c r="C3024" s="164"/>
      <c r="D3024" s="164"/>
      <c r="E3024" s="164"/>
      <c r="J3024" s="157">
        <v>43763</v>
      </c>
      <c r="K3024" s="158">
        <v>2.08</v>
      </c>
    </row>
    <row r="3025" spans="1:11" x14ac:dyDescent="0.25">
      <c r="A3025" s="162">
        <v>26871</v>
      </c>
      <c r="B3025" s="163">
        <v>7.46</v>
      </c>
      <c r="C3025" s="163"/>
      <c r="D3025" s="163"/>
      <c r="E3025" s="163"/>
      <c r="J3025" s="157">
        <v>43770</v>
      </c>
      <c r="K3025" s="158">
        <v>2.08</v>
      </c>
    </row>
    <row r="3026" spans="1:11" x14ac:dyDescent="0.25">
      <c r="A3026" s="162">
        <v>26872</v>
      </c>
      <c r="B3026" s="163">
        <v>7.53</v>
      </c>
      <c r="C3026" s="163"/>
      <c r="D3026" s="163"/>
      <c r="E3026" s="163"/>
      <c r="J3026" s="157">
        <v>43777</v>
      </c>
      <c r="K3026" s="158">
        <v>2.1800000000000002</v>
      </c>
    </row>
    <row r="3027" spans="1:11" x14ac:dyDescent="0.25">
      <c r="A3027" s="162">
        <v>26875</v>
      </c>
      <c r="B3027" s="163">
        <v>7.56</v>
      </c>
      <c r="C3027" s="163"/>
      <c r="D3027" s="163"/>
      <c r="E3027" s="163"/>
      <c r="J3027" s="157">
        <v>43784</v>
      </c>
      <c r="K3027" s="158">
        <v>2.19</v>
      </c>
    </row>
    <row r="3028" spans="1:11" x14ac:dyDescent="0.25">
      <c r="A3028" s="162">
        <v>26876</v>
      </c>
      <c r="B3028" s="163">
        <v>7.63</v>
      </c>
      <c r="C3028" s="163"/>
      <c r="D3028" s="163"/>
      <c r="E3028" s="163"/>
      <c r="J3028" s="157">
        <v>43791</v>
      </c>
      <c r="K3028" s="158">
        <v>2.09</v>
      </c>
    </row>
    <row r="3029" spans="1:11" x14ac:dyDescent="0.25">
      <c r="A3029" s="162">
        <v>26877</v>
      </c>
      <c r="B3029" s="163">
        <v>7.78</v>
      </c>
      <c r="C3029" s="163"/>
      <c r="D3029" s="163"/>
      <c r="E3029" s="163"/>
      <c r="J3029" s="157">
        <v>43798</v>
      </c>
      <c r="K3029" s="158">
        <v>2.06</v>
      </c>
    </row>
    <row r="3030" spans="1:11" x14ac:dyDescent="0.25">
      <c r="A3030" s="162">
        <v>26878</v>
      </c>
      <c r="B3030" s="163">
        <v>7.77</v>
      </c>
      <c r="C3030" s="163"/>
      <c r="D3030" s="163"/>
      <c r="E3030" s="163"/>
      <c r="J3030" s="157">
        <v>43805</v>
      </c>
      <c r="K3030" s="158">
        <v>2.1</v>
      </c>
    </row>
    <row r="3031" spans="1:11" x14ac:dyDescent="0.25">
      <c r="A3031" s="162">
        <v>26879</v>
      </c>
      <c r="B3031" s="163">
        <v>7.79</v>
      </c>
      <c r="C3031" s="163"/>
      <c r="D3031" s="163"/>
      <c r="E3031" s="163"/>
      <c r="J3031" s="157">
        <v>43812</v>
      </c>
      <c r="K3031" s="158">
        <v>2.12</v>
      </c>
    </row>
    <row r="3032" spans="1:11" x14ac:dyDescent="0.25">
      <c r="A3032" s="162">
        <v>26882</v>
      </c>
      <c r="B3032" s="163">
        <v>7.8</v>
      </c>
      <c r="C3032" s="163"/>
      <c r="D3032" s="163"/>
      <c r="E3032" s="163"/>
      <c r="J3032" s="157">
        <v>43819</v>
      </c>
      <c r="K3032" s="158">
        <v>2.2000000000000002</v>
      </c>
    </row>
    <row r="3033" spans="1:11" x14ac:dyDescent="0.25">
      <c r="A3033" s="162">
        <v>26883</v>
      </c>
      <c r="B3033" s="163">
        <v>7.83</v>
      </c>
      <c r="C3033" s="163"/>
      <c r="D3033" s="163"/>
      <c r="E3033" s="163"/>
      <c r="J3033" s="157">
        <v>43826</v>
      </c>
      <c r="K3033" s="158">
        <v>2.2000000000000002</v>
      </c>
    </row>
    <row r="3034" spans="1:11" x14ac:dyDescent="0.25">
      <c r="A3034" s="162">
        <v>26884</v>
      </c>
      <c r="B3034" s="163">
        <v>7.79</v>
      </c>
      <c r="C3034" s="163"/>
      <c r="D3034" s="163"/>
      <c r="E3034" s="163"/>
      <c r="J3034" s="157">
        <v>43833</v>
      </c>
      <c r="K3034" s="158">
        <v>2.19</v>
      </c>
    </row>
    <row r="3035" spans="1:11" x14ac:dyDescent="0.25">
      <c r="A3035" s="162">
        <v>26885</v>
      </c>
      <c r="B3035" s="163">
        <v>7.78</v>
      </c>
      <c r="C3035" s="163"/>
      <c r="D3035" s="163"/>
      <c r="E3035" s="163"/>
      <c r="J3035" s="157">
        <v>43840</v>
      </c>
      <c r="K3035" s="158">
        <v>2.16</v>
      </c>
    </row>
    <row r="3036" spans="1:11" x14ac:dyDescent="0.25">
      <c r="A3036" s="162">
        <v>26886</v>
      </c>
      <c r="B3036" s="163">
        <v>7.76</v>
      </c>
      <c r="C3036" s="163"/>
      <c r="D3036" s="163"/>
      <c r="E3036" s="163"/>
      <c r="J3036" s="157">
        <v>43847</v>
      </c>
      <c r="K3036" s="158">
        <v>2.13</v>
      </c>
    </row>
    <row r="3037" spans="1:11" x14ac:dyDescent="0.25">
      <c r="A3037" s="162">
        <v>26889</v>
      </c>
      <c r="B3037" s="163">
        <v>7.72</v>
      </c>
      <c r="C3037" s="163"/>
      <c r="D3037" s="163"/>
      <c r="E3037" s="163"/>
      <c r="J3037" s="157">
        <v>43854</v>
      </c>
      <c r="K3037" s="158">
        <v>2.0499999999999998</v>
      </c>
    </row>
    <row r="3038" spans="1:11" x14ac:dyDescent="0.25">
      <c r="A3038" s="162">
        <v>26890</v>
      </c>
      <c r="B3038" s="163">
        <v>7.73</v>
      </c>
      <c r="C3038" s="163"/>
      <c r="D3038" s="163"/>
      <c r="E3038" s="163"/>
      <c r="J3038" s="157">
        <v>43861</v>
      </c>
      <c r="K3038" s="158">
        <v>1.89</v>
      </c>
    </row>
    <row r="3039" spans="1:11" x14ac:dyDescent="0.25">
      <c r="A3039" s="162">
        <v>26891</v>
      </c>
      <c r="B3039" s="163">
        <v>7.69</v>
      </c>
      <c r="C3039" s="163"/>
      <c r="D3039" s="163"/>
      <c r="E3039" s="163"/>
      <c r="J3039" s="157">
        <v>43868</v>
      </c>
      <c r="K3039" s="158">
        <v>1.91</v>
      </c>
    </row>
    <row r="3040" spans="1:11" x14ac:dyDescent="0.25">
      <c r="A3040" s="162">
        <v>26892</v>
      </c>
      <c r="B3040" s="163">
        <v>7.57</v>
      </c>
      <c r="C3040" s="163"/>
      <c r="D3040" s="163"/>
      <c r="E3040" s="163"/>
      <c r="J3040" s="157">
        <v>43875</v>
      </c>
      <c r="K3040" s="158">
        <v>1.9</v>
      </c>
    </row>
    <row r="3041" spans="1:11" x14ac:dyDescent="0.25">
      <c r="A3041" s="162">
        <v>26893</v>
      </c>
      <c r="B3041" s="163">
        <v>7.52</v>
      </c>
      <c r="C3041" s="163"/>
      <c r="D3041" s="163"/>
      <c r="E3041" s="163"/>
      <c r="J3041" s="157">
        <v>43882</v>
      </c>
      <c r="K3041" s="158">
        <v>1.82</v>
      </c>
    </row>
    <row r="3042" spans="1:11" x14ac:dyDescent="0.25">
      <c r="A3042" s="162">
        <v>26896</v>
      </c>
      <c r="B3042" s="163">
        <v>7.58</v>
      </c>
      <c r="C3042" s="163"/>
      <c r="D3042" s="163"/>
      <c r="E3042" s="163"/>
      <c r="J3042" s="157">
        <v>43889</v>
      </c>
      <c r="K3042" s="158">
        <v>1.6</v>
      </c>
    </row>
    <row r="3043" spans="1:11" x14ac:dyDescent="0.25">
      <c r="A3043" s="162">
        <v>26897</v>
      </c>
      <c r="B3043" s="163">
        <v>7.56</v>
      </c>
      <c r="C3043" s="163"/>
      <c r="D3043" s="163"/>
      <c r="E3043" s="163"/>
      <c r="J3043" s="157">
        <v>43896</v>
      </c>
      <c r="K3043" s="158">
        <v>1.36</v>
      </c>
    </row>
    <row r="3044" spans="1:11" x14ac:dyDescent="0.25">
      <c r="A3044" s="162">
        <v>26898</v>
      </c>
      <c r="B3044" s="164">
        <v>7.57</v>
      </c>
      <c r="C3044" s="164"/>
      <c r="D3044" s="164"/>
      <c r="E3044" s="164"/>
      <c r="J3044" s="157">
        <v>43903</v>
      </c>
      <c r="K3044" s="158">
        <v>1.1499999999999999</v>
      </c>
    </row>
    <row r="3045" spans="1:11" x14ac:dyDescent="0.25">
      <c r="A3045" s="162">
        <v>26899</v>
      </c>
      <c r="B3045" s="163">
        <v>7.49</v>
      </c>
      <c r="C3045" s="163"/>
      <c r="D3045" s="163"/>
      <c r="E3045" s="163"/>
      <c r="J3045" s="157">
        <v>43910</v>
      </c>
      <c r="K3045" s="158">
        <v>1.41</v>
      </c>
    </row>
    <row r="3046" spans="1:11" x14ac:dyDescent="0.25">
      <c r="A3046" s="162">
        <v>26900</v>
      </c>
      <c r="B3046" s="163">
        <v>7.41</v>
      </c>
      <c r="C3046" s="163"/>
      <c r="D3046" s="163"/>
      <c r="E3046" s="163"/>
      <c r="J3046" s="157">
        <v>43917</v>
      </c>
      <c r="K3046" s="158">
        <v>1.17</v>
      </c>
    </row>
    <row r="3047" spans="1:11" x14ac:dyDescent="0.25">
      <c r="A3047" s="162">
        <v>26903</v>
      </c>
      <c r="B3047" s="163">
        <v>7.44</v>
      </c>
      <c r="C3047" s="163"/>
      <c r="D3047" s="163"/>
      <c r="E3047" s="163"/>
      <c r="J3047" s="157">
        <v>43924</v>
      </c>
      <c r="K3047" s="158">
        <v>1.08</v>
      </c>
    </row>
    <row r="3048" spans="1:11" x14ac:dyDescent="0.25">
      <c r="A3048" s="162">
        <v>26904</v>
      </c>
      <c r="B3048" s="163">
        <v>7.47</v>
      </c>
      <c r="C3048" s="163"/>
      <c r="D3048" s="163"/>
      <c r="E3048" s="163"/>
      <c r="J3048" s="157">
        <v>43931</v>
      </c>
      <c r="K3048" s="158">
        <v>1.1399999999999999</v>
      </c>
    </row>
    <row r="3049" spans="1:11" x14ac:dyDescent="0.25">
      <c r="A3049" s="162">
        <v>26905</v>
      </c>
      <c r="B3049" s="163">
        <v>7.38</v>
      </c>
      <c r="C3049" s="163"/>
      <c r="D3049" s="163"/>
      <c r="E3049" s="163"/>
      <c r="J3049" s="157">
        <v>43938</v>
      </c>
      <c r="K3049" s="158">
        <v>1.1100000000000001</v>
      </c>
    </row>
    <row r="3050" spans="1:11" x14ac:dyDescent="0.25">
      <c r="A3050" s="162">
        <v>26906</v>
      </c>
      <c r="B3050" s="163">
        <v>7.36</v>
      </c>
      <c r="C3050" s="163"/>
      <c r="D3050" s="163"/>
      <c r="E3050" s="163"/>
      <c r="J3050" s="157">
        <v>43945</v>
      </c>
      <c r="K3050" s="158">
        <v>1</v>
      </c>
    </row>
    <row r="3051" spans="1:11" x14ac:dyDescent="0.25">
      <c r="A3051" s="162">
        <v>26907</v>
      </c>
      <c r="B3051" s="163">
        <v>7.35</v>
      </c>
      <c r="C3051" s="163"/>
      <c r="D3051" s="163"/>
      <c r="E3051" s="163"/>
      <c r="J3051" s="157">
        <v>43952</v>
      </c>
      <c r="K3051" s="158">
        <v>1.03</v>
      </c>
    </row>
    <row r="3052" spans="1:11" x14ac:dyDescent="0.25">
      <c r="A3052" s="162">
        <v>26910</v>
      </c>
      <c r="B3052" s="163" t="e">
        <f>NA()</f>
        <v>#N/A</v>
      </c>
      <c r="C3052" s="163"/>
      <c r="D3052" s="163"/>
      <c r="E3052" s="163"/>
      <c r="J3052" s="157">
        <v>43959</v>
      </c>
      <c r="K3052" s="158">
        <v>1.0900000000000001</v>
      </c>
    </row>
    <row r="3053" spans="1:11" x14ac:dyDescent="0.25">
      <c r="A3053" s="162">
        <v>26911</v>
      </c>
      <c r="B3053" s="163">
        <v>7.3</v>
      </c>
      <c r="C3053" s="163"/>
      <c r="D3053" s="163"/>
      <c r="E3053" s="163"/>
      <c r="J3053" s="157">
        <v>43966</v>
      </c>
      <c r="K3053" s="158">
        <v>1.08</v>
      </c>
    </row>
    <row r="3054" spans="1:11" x14ac:dyDescent="0.25">
      <c r="A3054" s="162">
        <v>26912</v>
      </c>
      <c r="B3054" s="163">
        <v>7.22</v>
      </c>
      <c r="C3054" s="163"/>
      <c r="D3054" s="163"/>
      <c r="E3054" s="163"/>
      <c r="J3054" s="157">
        <v>43973</v>
      </c>
      <c r="K3054" s="158">
        <v>1.1599999999999999</v>
      </c>
    </row>
    <row r="3055" spans="1:11" x14ac:dyDescent="0.25">
      <c r="A3055" s="162">
        <v>26913</v>
      </c>
      <c r="B3055" s="163">
        <v>7.23</v>
      </c>
      <c r="C3055" s="163"/>
      <c r="D3055" s="163"/>
      <c r="E3055" s="163"/>
      <c r="J3055" s="157">
        <v>43980</v>
      </c>
      <c r="K3055" s="158">
        <v>1.2</v>
      </c>
    </row>
    <row r="3056" spans="1:11" x14ac:dyDescent="0.25">
      <c r="A3056" s="162">
        <v>26914</v>
      </c>
      <c r="B3056" s="163">
        <v>7.23</v>
      </c>
      <c r="C3056" s="163"/>
      <c r="D3056" s="163"/>
      <c r="E3056" s="163"/>
      <c r="J3056" s="157">
        <v>43987</v>
      </c>
      <c r="K3056" s="158">
        <v>1.32</v>
      </c>
    </row>
    <row r="3057" spans="1:11" x14ac:dyDescent="0.25">
      <c r="A3057" s="162">
        <v>26917</v>
      </c>
      <c r="B3057" s="163">
        <v>7.25</v>
      </c>
      <c r="C3057" s="163"/>
      <c r="D3057" s="163"/>
      <c r="E3057" s="163"/>
      <c r="J3057" s="157">
        <v>43994</v>
      </c>
      <c r="K3057" s="158">
        <v>1.31</v>
      </c>
    </row>
    <row r="3058" spans="1:11" x14ac:dyDescent="0.25">
      <c r="A3058" s="162">
        <v>26918</v>
      </c>
      <c r="B3058" s="163">
        <v>7.32</v>
      </c>
      <c r="C3058" s="163"/>
      <c r="D3058" s="163"/>
      <c r="E3058" s="163"/>
      <c r="J3058" s="157">
        <v>44001</v>
      </c>
      <c r="K3058" s="158">
        <v>1.26</v>
      </c>
    </row>
    <row r="3059" spans="1:11" x14ac:dyDescent="0.25">
      <c r="A3059" s="162">
        <v>26919</v>
      </c>
      <c r="B3059" s="163">
        <v>7.35</v>
      </c>
      <c r="C3059" s="163"/>
      <c r="D3059" s="163"/>
      <c r="E3059" s="163"/>
      <c r="J3059" s="157">
        <v>44008</v>
      </c>
      <c r="K3059" s="158">
        <v>1.21</v>
      </c>
    </row>
    <row r="3060" spans="1:11" x14ac:dyDescent="0.25">
      <c r="A3060" s="162">
        <v>26920</v>
      </c>
      <c r="B3060" s="163">
        <v>7.38</v>
      </c>
      <c r="C3060" s="163"/>
      <c r="D3060" s="163"/>
      <c r="E3060" s="163"/>
      <c r="J3060" s="157">
        <v>44015</v>
      </c>
      <c r="K3060" s="158">
        <v>1.19</v>
      </c>
    </row>
    <row r="3061" spans="1:11" x14ac:dyDescent="0.25">
      <c r="A3061" s="162">
        <v>26921</v>
      </c>
      <c r="B3061" s="163">
        <v>7.38</v>
      </c>
      <c r="C3061" s="163"/>
      <c r="D3061" s="163"/>
      <c r="E3061" s="163"/>
      <c r="J3061" s="157">
        <v>44022</v>
      </c>
      <c r="K3061" s="158">
        <v>1.1499999999999999</v>
      </c>
    </row>
    <row r="3062" spans="1:11" x14ac:dyDescent="0.25">
      <c r="A3062" s="162">
        <v>26924</v>
      </c>
      <c r="B3062" s="163">
        <v>7.35</v>
      </c>
      <c r="C3062" s="163"/>
      <c r="D3062" s="163"/>
      <c r="E3062" s="163"/>
      <c r="J3062" s="157">
        <v>44029</v>
      </c>
      <c r="K3062" s="158">
        <v>1.1000000000000001</v>
      </c>
    </row>
    <row r="3063" spans="1:11" x14ac:dyDescent="0.25">
      <c r="A3063" s="162">
        <v>26925</v>
      </c>
      <c r="B3063" s="163">
        <v>7.34</v>
      </c>
      <c r="C3063" s="163"/>
      <c r="D3063" s="163"/>
      <c r="E3063" s="163"/>
      <c r="J3063" s="157">
        <v>44036</v>
      </c>
      <c r="K3063" s="158">
        <v>1.07</v>
      </c>
    </row>
    <row r="3064" spans="1:11" x14ac:dyDescent="0.25">
      <c r="A3064" s="162">
        <v>26926</v>
      </c>
      <c r="B3064" s="163">
        <v>7.33</v>
      </c>
      <c r="C3064" s="163"/>
      <c r="D3064" s="163"/>
      <c r="E3064" s="163"/>
      <c r="J3064" s="157">
        <v>44043</v>
      </c>
      <c r="K3064" s="158">
        <v>1.01</v>
      </c>
    </row>
    <row r="3065" spans="1:11" x14ac:dyDescent="0.25">
      <c r="A3065" s="162">
        <v>26927</v>
      </c>
      <c r="B3065" s="163">
        <v>7.31</v>
      </c>
      <c r="C3065" s="163"/>
      <c r="D3065" s="163"/>
      <c r="E3065" s="163"/>
      <c r="J3065" s="157">
        <v>44050</v>
      </c>
      <c r="K3065" s="158">
        <v>0.99</v>
      </c>
    </row>
    <row r="3066" spans="1:11" x14ac:dyDescent="0.25">
      <c r="A3066" s="162">
        <v>26928</v>
      </c>
      <c r="B3066" s="163">
        <v>7.23</v>
      </c>
      <c r="C3066" s="163"/>
      <c r="D3066" s="163"/>
      <c r="E3066" s="163"/>
      <c r="J3066" s="157">
        <v>44057</v>
      </c>
      <c r="K3066" s="158">
        <v>1.1399999999999999</v>
      </c>
    </row>
    <row r="3067" spans="1:11" x14ac:dyDescent="0.25">
      <c r="A3067" s="162">
        <v>26931</v>
      </c>
      <c r="B3067" s="163">
        <v>7.18</v>
      </c>
      <c r="C3067" s="163"/>
      <c r="D3067" s="163"/>
      <c r="E3067" s="163"/>
      <c r="J3067" s="157">
        <v>44064</v>
      </c>
      <c r="K3067" s="158">
        <v>1.17</v>
      </c>
    </row>
    <row r="3068" spans="1:11" x14ac:dyDescent="0.25">
      <c r="A3068" s="162">
        <v>26932</v>
      </c>
      <c r="B3068" s="163">
        <v>7.12</v>
      </c>
      <c r="C3068" s="163"/>
      <c r="D3068" s="163"/>
      <c r="E3068" s="163"/>
      <c r="J3068" s="157">
        <v>44071</v>
      </c>
      <c r="K3068" s="158">
        <v>1.22</v>
      </c>
    </row>
    <row r="3069" spans="1:11" x14ac:dyDescent="0.25">
      <c r="A3069" s="162">
        <v>26933</v>
      </c>
      <c r="B3069" s="163">
        <v>7.13</v>
      </c>
      <c r="C3069" s="163"/>
      <c r="D3069" s="163"/>
      <c r="E3069" s="163"/>
      <c r="J3069" s="157">
        <v>44078</v>
      </c>
      <c r="K3069" s="158">
        <v>1.2</v>
      </c>
    </row>
    <row r="3070" spans="1:11" x14ac:dyDescent="0.25">
      <c r="A3070" s="162">
        <v>26934</v>
      </c>
      <c r="B3070" s="163">
        <v>7.1</v>
      </c>
      <c r="C3070" s="163"/>
      <c r="D3070" s="163"/>
      <c r="E3070" s="163"/>
      <c r="J3070" s="157">
        <v>44085</v>
      </c>
      <c r="K3070" s="158">
        <v>1.23</v>
      </c>
    </row>
    <row r="3071" spans="1:11" x14ac:dyDescent="0.25">
      <c r="A3071" s="162">
        <v>26935</v>
      </c>
      <c r="B3071" s="163">
        <v>7.05</v>
      </c>
      <c r="C3071" s="163"/>
      <c r="D3071" s="163"/>
      <c r="E3071" s="163"/>
      <c r="J3071" s="157">
        <v>44092</v>
      </c>
      <c r="K3071" s="158">
        <v>1.22</v>
      </c>
    </row>
    <row r="3072" spans="1:11" x14ac:dyDescent="0.25">
      <c r="A3072" s="162">
        <v>26938</v>
      </c>
      <c r="B3072" s="163">
        <v>7.09</v>
      </c>
      <c r="C3072" s="163"/>
      <c r="D3072" s="163"/>
      <c r="E3072" s="163"/>
      <c r="J3072" s="157">
        <v>44099</v>
      </c>
      <c r="K3072" s="158">
        <v>1.2</v>
      </c>
    </row>
    <row r="3073" spans="1:11" x14ac:dyDescent="0.25">
      <c r="A3073" s="162">
        <v>26939</v>
      </c>
      <c r="B3073" s="164">
        <v>7.13</v>
      </c>
      <c r="C3073" s="164"/>
      <c r="D3073" s="164"/>
      <c r="E3073" s="164"/>
      <c r="J3073" s="157">
        <v>44106</v>
      </c>
      <c r="K3073" s="158">
        <v>1.22</v>
      </c>
    </row>
    <row r="3074" spans="1:11" x14ac:dyDescent="0.25">
      <c r="A3074" s="162">
        <v>26940</v>
      </c>
      <c r="B3074" s="163">
        <v>7.15</v>
      </c>
      <c r="C3074" s="163"/>
      <c r="D3074" s="163"/>
      <c r="E3074" s="163"/>
      <c r="J3074" s="157">
        <v>44113</v>
      </c>
      <c r="K3074" s="158">
        <v>1.34</v>
      </c>
    </row>
    <row r="3075" spans="1:11" x14ac:dyDescent="0.25">
      <c r="A3075" s="162">
        <v>26941</v>
      </c>
      <c r="B3075" s="163">
        <v>7.15</v>
      </c>
      <c r="C3075" s="163"/>
      <c r="D3075" s="163"/>
      <c r="E3075" s="163"/>
      <c r="J3075" s="157">
        <v>44120</v>
      </c>
      <c r="K3075" s="158">
        <v>1.29</v>
      </c>
    </row>
    <row r="3076" spans="1:11" x14ac:dyDescent="0.25">
      <c r="A3076" s="162">
        <v>26942</v>
      </c>
      <c r="B3076" s="163">
        <v>7.11</v>
      </c>
      <c r="C3076" s="163"/>
      <c r="D3076" s="163"/>
      <c r="E3076" s="163"/>
      <c r="J3076" s="157">
        <v>44127</v>
      </c>
      <c r="K3076" s="158">
        <v>1.39</v>
      </c>
    </row>
    <row r="3077" spans="1:11" x14ac:dyDescent="0.25">
      <c r="A3077" s="162">
        <v>26945</v>
      </c>
      <c r="B3077" s="163" t="e">
        <f>NA()</f>
        <v>#N/A</v>
      </c>
      <c r="C3077" s="163"/>
      <c r="D3077" s="163"/>
      <c r="E3077" s="163"/>
      <c r="J3077" s="157">
        <v>44134</v>
      </c>
      <c r="K3077" s="158">
        <v>1.37</v>
      </c>
    </row>
    <row r="3078" spans="1:11" x14ac:dyDescent="0.25">
      <c r="A3078" s="162">
        <v>26946</v>
      </c>
      <c r="B3078" s="163">
        <v>7.05</v>
      </c>
      <c r="C3078" s="163"/>
      <c r="D3078" s="163"/>
      <c r="E3078" s="163"/>
      <c r="J3078" s="157">
        <v>44141</v>
      </c>
      <c r="K3078" s="158">
        <v>1.37</v>
      </c>
    </row>
    <row r="3079" spans="1:11" x14ac:dyDescent="0.25">
      <c r="A3079" s="162">
        <v>26947</v>
      </c>
      <c r="B3079" s="163">
        <v>7.06</v>
      </c>
      <c r="C3079" s="163"/>
      <c r="D3079" s="163"/>
      <c r="E3079" s="163"/>
      <c r="J3079" s="157">
        <v>44148</v>
      </c>
      <c r="K3079" s="158">
        <v>1.47</v>
      </c>
    </row>
    <row r="3080" spans="1:11" x14ac:dyDescent="0.25">
      <c r="A3080" s="162">
        <v>26948</v>
      </c>
      <c r="B3080" s="163">
        <v>7.1</v>
      </c>
      <c r="C3080" s="163"/>
      <c r="D3080" s="163"/>
      <c r="E3080" s="163"/>
      <c r="J3080" s="157">
        <v>44155</v>
      </c>
      <c r="K3080" s="158">
        <v>1.39</v>
      </c>
    </row>
    <row r="3081" spans="1:11" x14ac:dyDescent="0.25">
      <c r="A3081" s="162">
        <v>26949</v>
      </c>
      <c r="B3081" s="163">
        <v>7.09</v>
      </c>
      <c r="C3081" s="163"/>
      <c r="D3081" s="163"/>
      <c r="E3081" s="163"/>
      <c r="J3081" s="157">
        <v>44162</v>
      </c>
      <c r="K3081" s="158">
        <v>1.38</v>
      </c>
    </row>
    <row r="3082" spans="1:11" x14ac:dyDescent="0.25">
      <c r="A3082" s="162">
        <v>26952</v>
      </c>
      <c r="B3082" s="163">
        <v>7.14</v>
      </c>
      <c r="C3082" s="163"/>
      <c r="D3082" s="163"/>
      <c r="E3082" s="163"/>
      <c r="J3082" s="157">
        <v>44169</v>
      </c>
      <c r="K3082" s="158">
        <v>1.46</v>
      </c>
    </row>
    <row r="3083" spans="1:11" x14ac:dyDescent="0.25">
      <c r="A3083" s="162">
        <v>26953</v>
      </c>
      <c r="B3083" s="163">
        <v>7.19</v>
      </c>
      <c r="C3083" s="163"/>
      <c r="D3083" s="163"/>
      <c r="E3083" s="163"/>
      <c r="J3083" s="157">
        <v>44176</v>
      </c>
      <c r="K3083" s="158">
        <v>1.46</v>
      </c>
    </row>
    <row r="3084" spans="1:11" x14ac:dyDescent="0.25">
      <c r="A3084" s="162">
        <v>26954</v>
      </c>
      <c r="B3084" s="163">
        <v>7.24</v>
      </c>
      <c r="C3084" s="163"/>
      <c r="D3084" s="163"/>
      <c r="E3084" s="163"/>
      <c r="J3084" s="157">
        <v>44183</v>
      </c>
      <c r="K3084" s="158">
        <v>1.46</v>
      </c>
    </row>
    <row r="3085" spans="1:11" x14ac:dyDescent="0.25">
      <c r="A3085" s="162">
        <v>26955</v>
      </c>
      <c r="B3085" s="163">
        <v>7.25</v>
      </c>
      <c r="C3085" s="163"/>
      <c r="D3085" s="163"/>
      <c r="E3085" s="163"/>
      <c r="J3085" s="157">
        <v>44190</v>
      </c>
      <c r="K3085" s="158">
        <v>1.47</v>
      </c>
    </row>
    <row r="3086" spans="1:11" x14ac:dyDescent="0.25">
      <c r="A3086" s="162">
        <v>26956</v>
      </c>
      <c r="B3086" s="163">
        <v>7.22</v>
      </c>
      <c r="C3086" s="163"/>
      <c r="D3086" s="163"/>
      <c r="E3086" s="163"/>
      <c r="J3086" s="157">
        <v>44197</v>
      </c>
      <c r="K3086" s="158">
        <v>1.46</v>
      </c>
    </row>
    <row r="3087" spans="1:11" x14ac:dyDescent="0.25">
      <c r="A3087" s="162">
        <v>26959</v>
      </c>
      <c r="B3087" s="163" t="e">
        <f>NA()</f>
        <v>#N/A</v>
      </c>
      <c r="C3087" s="163"/>
      <c r="D3087" s="163"/>
      <c r="E3087" s="163"/>
      <c r="J3087" s="157">
        <v>44204</v>
      </c>
      <c r="K3087" s="158">
        <v>1.57</v>
      </c>
    </row>
    <row r="3088" spans="1:11" x14ac:dyDescent="0.25">
      <c r="A3088" s="162">
        <v>26960</v>
      </c>
      <c r="B3088" s="163">
        <v>7.24</v>
      </c>
      <c r="C3088" s="163"/>
      <c r="D3088" s="163"/>
      <c r="E3088" s="163"/>
      <c r="J3088" s="157">
        <v>44211</v>
      </c>
      <c r="K3088" s="158">
        <v>1.67</v>
      </c>
    </row>
    <row r="3089" spans="1:11" x14ac:dyDescent="0.25">
      <c r="A3089" s="162">
        <v>26961</v>
      </c>
      <c r="B3089" s="163">
        <v>7.23</v>
      </c>
      <c r="C3089" s="163"/>
      <c r="D3089" s="163"/>
      <c r="E3089" s="163"/>
      <c r="J3089" s="157">
        <v>44218</v>
      </c>
      <c r="K3089" s="158">
        <v>1.66</v>
      </c>
    </row>
    <row r="3090" spans="1:11" x14ac:dyDescent="0.25">
      <c r="A3090" s="162">
        <v>26962</v>
      </c>
      <c r="B3090" s="163">
        <v>7.3</v>
      </c>
      <c r="C3090" s="163"/>
      <c r="D3090" s="163"/>
      <c r="E3090" s="163"/>
      <c r="J3090" s="157">
        <v>44225</v>
      </c>
      <c r="K3090" s="158">
        <v>1.63</v>
      </c>
    </row>
    <row r="3091" spans="1:11" x14ac:dyDescent="0.25">
      <c r="A3091" s="162">
        <v>26963</v>
      </c>
      <c r="B3091" s="163">
        <v>7.27</v>
      </c>
      <c r="C3091" s="163"/>
      <c r="D3091" s="163"/>
      <c r="E3091" s="163"/>
      <c r="J3091" s="157">
        <v>44232</v>
      </c>
      <c r="K3091" s="158">
        <v>1.72</v>
      </c>
    </row>
    <row r="3092" spans="1:11" x14ac:dyDescent="0.25">
      <c r="A3092" s="162">
        <v>26966</v>
      </c>
      <c r="B3092" s="163">
        <v>7.27</v>
      </c>
      <c r="C3092" s="163"/>
      <c r="D3092" s="163"/>
      <c r="E3092" s="163"/>
      <c r="J3092" s="157">
        <v>44239</v>
      </c>
      <c r="K3092" s="158">
        <v>1.78</v>
      </c>
    </row>
    <row r="3093" spans="1:11" x14ac:dyDescent="0.25">
      <c r="A3093" s="162">
        <v>26967</v>
      </c>
      <c r="B3093" s="163">
        <v>7.26</v>
      </c>
      <c r="C3093" s="163"/>
      <c r="D3093" s="163"/>
      <c r="E3093" s="163"/>
      <c r="J3093" s="157">
        <v>44246</v>
      </c>
      <c r="K3093" s="158">
        <v>1.93</v>
      </c>
    </row>
    <row r="3094" spans="1:11" x14ac:dyDescent="0.25">
      <c r="A3094" s="162">
        <v>26968</v>
      </c>
      <c r="B3094" s="163">
        <v>7.3</v>
      </c>
      <c r="C3094" s="163"/>
      <c r="D3094" s="163"/>
      <c r="E3094" s="163"/>
      <c r="J3094" s="157">
        <v>44253</v>
      </c>
      <c r="K3094" s="158">
        <v>2.09</v>
      </c>
    </row>
    <row r="3095" spans="1:11" x14ac:dyDescent="0.25">
      <c r="A3095" s="162">
        <v>26969</v>
      </c>
      <c r="B3095" s="163">
        <v>7.28</v>
      </c>
      <c r="C3095" s="163"/>
      <c r="D3095" s="163"/>
      <c r="E3095" s="163"/>
      <c r="J3095" s="157">
        <v>44260</v>
      </c>
      <c r="K3095" s="158">
        <v>2.14</v>
      </c>
    </row>
    <row r="3096" spans="1:11" x14ac:dyDescent="0.25">
      <c r="A3096" s="162">
        <v>26970</v>
      </c>
      <c r="B3096" s="163">
        <v>7.28</v>
      </c>
      <c r="C3096" s="163"/>
      <c r="D3096" s="163"/>
      <c r="E3096" s="163"/>
      <c r="J3096" s="157">
        <v>44267</v>
      </c>
      <c r="K3096" s="158">
        <v>2.2000000000000002</v>
      </c>
    </row>
    <row r="3097" spans="1:11" x14ac:dyDescent="0.25">
      <c r="A3097" s="162">
        <v>26973</v>
      </c>
      <c r="B3097" s="163">
        <v>7.33</v>
      </c>
      <c r="C3097" s="163"/>
      <c r="D3097" s="163"/>
      <c r="E3097" s="163"/>
      <c r="J3097" s="157">
        <v>44274</v>
      </c>
      <c r="K3097" s="158">
        <v>2.3199999999999998</v>
      </c>
    </row>
    <row r="3098" spans="1:11" x14ac:dyDescent="0.25">
      <c r="A3098" s="162">
        <v>26974</v>
      </c>
      <c r="B3098" s="163" t="e">
        <f>NA()</f>
        <v>#N/A</v>
      </c>
      <c r="C3098" s="163"/>
      <c r="D3098" s="163"/>
      <c r="E3098" s="163"/>
      <c r="J3098" s="157">
        <v>44281</v>
      </c>
      <c r="K3098" s="158">
        <v>2.25</v>
      </c>
    </row>
    <row r="3099" spans="1:11" x14ac:dyDescent="0.25">
      <c r="A3099" s="162">
        <v>26975</v>
      </c>
      <c r="B3099" s="163">
        <v>7.33</v>
      </c>
      <c r="C3099" s="163"/>
      <c r="D3099" s="163"/>
      <c r="E3099" s="163"/>
      <c r="J3099" s="157">
        <v>44288</v>
      </c>
      <c r="K3099" s="158">
        <v>2.29</v>
      </c>
    </row>
    <row r="3100" spans="1:11" x14ac:dyDescent="0.25">
      <c r="A3100" s="162">
        <v>26976</v>
      </c>
      <c r="B3100" s="163">
        <v>7.32</v>
      </c>
      <c r="C3100" s="163"/>
      <c r="D3100" s="163"/>
      <c r="E3100" s="163"/>
      <c r="J3100" s="157">
        <v>44295</v>
      </c>
      <c r="K3100" s="158">
        <v>2.25</v>
      </c>
    </row>
    <row r="3101" spans="1:11" x14ac:dyDescent="0.25">
      <c r="A3101" s="162">
        <v>26977</v>
      </c>
      <c r="B3101" s="163">
        <v>7.32</v>
      </c>
      <c r="C3101" s="163"/>
      <c r="D3101" s="163"/>
      <c r="E3101" s="163"/>
      <c r="J3101" s="157">
        <v>44302</v>
      </c>
      <c r="K3101" s="158">
        <v>2.19</v>
      </c>
    </row>
    <row r="3102" spans="1:11" x14ac:dyDescent="0.25">
      <c r="A3102" s="162">
        <v>26980</v>
      </c>
      <c r="B3102" s="163">
        <v>7.34</v>
      </c>
      <c r="C3102" s="163"/>
      <c r="D3102" s="163"/>
      <c r="E3102" s="163"/>
      <c r="J3102" s="157">
        <v>44309</v>
      </c>
      <c r="K3102" s="158">
        <v>2.15</v>
      </c>
    </row>
    <row r="3103" spans="1:11" x14ac:dyDescent="0.25">
      <c r="A3103" s="162">
        <v>26981</v>
      </c>
      <c r="B3103" s="163">
        <v>7.38</v>
      </c>
      <c r="C3103" s="163"/>
      <c r="D3103" s="163"/>
      <c r="E3103" s="163"/>
      <c r="J3103" s="157">
        <v>44316</v>
      </c>
      <c r="K3103" s="158">
        <v>2.1800000000000002</v>
      </c>
    </row>
    <row r="3104" spans="1:11" x14ac:dyDescent="0.25">
      <c r="A3104" s="162">
        <v>26982</v>
      </c>
      <c r="B3104" s="163">
        <v>7.39</v>
      </c>
      <c r="C3104" s="163"/>
      <c r="D3104" s="163"/>
      <c r="E3104" s="163"/>
      <c r="J3104" s="157">
        <v>44323</v>
      </c>
      <c r="K3104" s="158">
        <v>2.16</v>
      </c>
    </row>
    <row r="3105" spans="1:11" x14ac:dyDescent="0.25">
      <c r="A3105" s="162">
        <v>26983</v>
      </c>
      <c r="B3105" s="163">
        <v>7.36</v>
      </c>
      <c r="C3105" s="163"/>
      <c r="D3105" s="163"/>
      <c r="E3105" s="163"/>
      <c r="J3105" s="157">
        <v>44330</v>
      </c>
      <c r="K3105" s="158">
        <v>2.25</v>
      </c>
    </row>
    <row r="3106" spans="1:11" x14ac:dyDescent="0.25">
      <c r="A3106" s="162">
        <v>26984</v>
      </c>
      <c r="B3106" s="163">
        <v>7.33</v>
      </c>
      <c r="C3106" s="163"/>
      <c r="D3106" s="163"/>
      <c r="E3106" s="163"/>
      <c r="J3106" s="157">
        <v>44337</v>
      </c>
      <c r="K3106" s="158">
        <v>2.27</v>
      </c>
    </row>
    <row r="3107" spans="1:11" x14ac:dyDescent="0.25">
      <c r="A3107" s="162">
        <v>26987</v>
      </c>
      <c r="B3107" s="163">
        <v>7.29</v>
      </c>
      <c r="C3107" s="163"/>
      <c r="D3107" s="163"/>
      <c r="E3107" s="163"/>
      <c r="J3107" s="157">
        <v>44344</v>
      </c>
      <c r="K3107" s="158">
        <v>2.19</v>
      </c>
    </row>
    <row r="3108" spans="1:11" x14ac:dyDescent="0.25">
      <c r="A3108" s="162">
        <v>26988</v>
      </c>
      <c r="B3108" s="163">
        <v>7.29</v>
      </c>
      <c r="C3108" s="163"/>
      <c r="D3108" s="163"/>
      <c r="E3108" s="163"/>
      <c r="J3108" s="157">
        <v>44351</v>
      </c>
      <c r="K3108" s="158">
        <v>2.2000000000000002</v>
      </c>
    </row>
    <row r="3109" spans="1:11" x14ac:dyDescent="0.25">
      <c r="A3109" s="162">
        <v>26989</v>
      </c>
      <c r="B3109" s="163">
        <v>7.25</v>
      </c>
      <c r="C3109" s="163"/>
      <c r="D3109" s="163"/>
      <c r="E3109" s="163"/>
      <c r="J3109" s="157">
        <v>44358</v>
      </c>
      <c r="K3109" s="158">
        <v>2.11</v>
      </c>
    </row>
    <row r="3110" spans="1:11" x14ac:dyDescent="0.25">
      <c r="A3110" s="162">
        <v>26990</v>
      </c>
      <c r="B3110" s="163" t="e">
        <f>NA()</f>
        <v>#N/A</v>
      </c>
      <c r="C3110" s="163"/>
      <c r="D3110" s="163"/>
      <c r="E3110" s="163"/>
      <c r="J3110" s="157">
        <v>44365</v>
      </c>
      <c r="K3110" s="158">
        <v>2.08</v>
      </c>
    </row>
    <row r="3111" spans="1:11" x14ac:dyDescent="0.25">
      <c r="A3111" s="162">
        <v>26991</v>
      </c>
      <c r="B3111" s="163">
        <v>7.25</v>
      </c>
      <c r="C3111" s="163"/>
      <c r="D3111" s="163"/>
      <c r="E3111" s="163"/>
      <c r="J3111" s="157">
        <v>44372</v>
      </c>
      <c r="K3111" s="158">
        <v>2.0499999999999998</v>
      </c>
    </row>
    <row r="3112" spans="1:11" x14ac:dyDescent="0.25">
      <c r="A3112" s="162">
        <v>26994</v>
      </c>
      <c r="B3112" s="163">
        <v>7.23</v>
      </c>
      <c r="C3112" s="163"/>
      <c r="D3112" s="163"/>
      <c r="E3112" s="163"/>
      <c r="J3112" s="157">
        <v>44379</v>
      </c>
      <c r="K3112" s="158">
        <v>2.0099999999999998</v>
      </c>
    </row>
    <row r="3113" spans="1:11" x14ac:dyDescent="0.25">
      <c r="A3113" s="162">
        <v>26995</v>
      </c>
      <c r="B3113" s="163">
        <v>7.24</v>
      </c>
      <c r="C3113" s="163"/>
      <c r="D3113" s="163"/>
      <c r="E3113" s="163"/>
      <c r="J3113" s="157">
        <v>44386</v>
      </c>
      <c r="K3113" s="158">
        <v>1.89</v>
      </c>
    </row>
    <row r="3114" spans="1:11" x14ac:dyDescent="0.25">
      <c r="A3114" s="162">
        <v>26996</v>
      </c>
      <c r="B3114" s="163">
        <v>7.24</v>
      </c>
      <c r="C3114" s="163"/>
      <c r="D3114" s="163"/>
      <c r="E3114" s="163"/>
      <c r="J3114" s="157">
        <v>44393</v>
      </c>
      <c r="K3114" s="158">
        <v>1.9</v>
      </c>
    </row>
    <row r="3115" spans="1:11" x14ac:dyDescent="0.25">
      <c r="A3115" s="162">
        <v>26997</v>
      </c>
      <c r="B3115" s="163">
        <v>7.24</v>
      </c>
      <c r="C3115" s="163"/>
      <c r="D3115" s="163"/>
      <c r="E3115" s="163"/>
      <c r="J3115" s="157">
        <v>44400</v>
      </c>
      <c r="K3115" s="158">
        <v>1.81</v>
      </c>
    </row>
    <row r="3116" spans="1:11" x14ac:dyDescent="0.25">
      <c r="A3116" s="162">
        <v>26998</v>
      </c>
      <c r="B3116" s="163">
        <v>7.22</v>
      </c>
      <c r="C3116" s="163"/>
      <c r="D3116" s="163"/>
      <c r="E3116" s="163"/>
      <c r="J3116" s="157">
        <v>44407</v>
      </c>
      <c r="K3116" s="158">
        <v>1.83</v>
      </c>
    </row>
    <row r="3117" spans="1:11" x14ac:dyDescent="0.25">
      <c r="A3117" s="162">
        <v>27001</v>
      </c>
      <c r="B3117" s="163">
        <v>7.24</v>
      </c>
      <c r="C3117" s="163"/>
      <c r="D3117" s="163"/>
      <c r="E3117" s="163"/>
      <c r="J3117" s="157">
        <v>44414</v>
      </c>
      <c r="K3117" s="158">
        <v>1.78</v>
      </c>
    </row>
    <row r="3118" spans="1:11" x14ac:dyDescent="0.25">
      <c r="A3118" s="162">
        <v>27002</v>
      </c>
      <c r="B3118" s="163">
        <v>7.25</v>
      </c>
      <c r="C3118" s="163"/>
      <c r="D3118" s="163"/>
      <c r="E3118" s="163"/>
      <c r="J3118" s="157">
        <v>44421</v>
      </c>
      <c r="K3118" s="158">
        <v>1.89</v>
      </c>
    </row>
    <row r="3119" spans="1:11" x14ac:dyDescent="0.25">
      <c r="A3119" s="162">
        <v>27003</v>
      </c>
      <c r="B3119" s="164">
        <v>7.31</v>
      </c>
      <c r="C3119" s="164"/>
      <c r="D3119" s="164"/>
      <c r="E3119" s="164"/>
      <c r="J3119" s="157">
        <v>44428</v>
      </c>
      <c r="K3119" s="158">
        <v>1.81</v>
      </c>
    </row>
    <row r="3120" spans="1:11" x14ac:dyDescent="0.25">
      <c r="A3120" s="162">
        <v>27004</v>
      </c>
      <c r="B3120" s="163">
        <v>7.31</v>
      </c>
      <c r="C3120" s="163"/>
      <c r="D3120" s="163"/>
      <c r="E3120" s="163"/>
      <c r="J3120" s="157">
        <v>44435</v>
      </c>
      <c r="K3120" s="158">
        <v>1.84</v>
      </c>
    </row>
    <row r="3121" spans="1:11" x14ac:dyDescent="0.25">
      <c r="A3121" s="162">
        <v>27005</v>
      </c>
      <c r="B3121" s="163">
        <v>7.3</v>
      </c>
      <c r="C3121" s="163"/>
      <c r="D3121" s="163"/>
      <c r="E3121" s="163"/>
      <c r="J3121" s="157">
        <v>44442</v>
      </c>
      <c r="K3121" s="158">
        <v>1.84</v>
      </c>
    </row>
    <row r="3122" spans="1:11" x14ac:dyDescent="0.25">
      <c r="A3122" s="162">
        <v>27008</v>
      </c>
      <c r="B3122" s="163">
        <v>7.25</v>
      </c>
      <c r="C3122" s="163"/>
      <c r="D3122" s="163"/>
      <c r="E3122" s="163"/>
      <c r="J3122" s="157">
        <v>44449</v>
      </c>
      <c r="K3122" s="158">
        <v>1.87</v>
      </c>
    </row>
    <row r="3123" spans="1:11" x14ac:dyDescent="0.25">
      <c r="A3123" s="162">
        <v>27009</v>
      </c>
      <c r="B3123" s="163">
        <v>7.27</v>
      </c>
      <c r="C3123" s="163"/>
      <c r="D3123" s="163"/>
      <c r="E3123" s="163"/>
      <c r="J3123" s="157">
        <v>44456</v>
      </c>
      <c r="K3123" s="158">
        <v>1.82</v>
      </c>
    </row>
    <row r="3124" spans="1:11" x14ac:dyDescent="0.25">
      <c r="A3124" s="162">
        <v>27010</v>
      </c>
      <c r="B3124" s="163">
        <v>7.24</v>
      </c>
      <c r="C3124" s="163"/>
      <c r="D3124" s="163"/>
      <c r="E3124" s="163"/>
      <c r="J3124" s="157">
        <v>44463</v>
      </c>
      <c r="K3124" s="158">
        <v>1.84</v>
      </c>
    </row>
    <row r="3125" spans="1:11" x14ac:dyDescent="0.25">
      <c r="A3125" s="162">
        <v>27011</v>
      </c>
      <c r="B3125" s="163">
        <v>7.24</v>
      </c>
      <c r="C3125" s="163"/>
      <c r="D3125" s="163"/>
      <c r="E3125" s="163"/>
      <c r="J3125" s="157">
        <v>44470</v>
      </c>
      <c r="K3125" s="158">
        <v>2</v>
      </c>
    </row>
    <row r="3126" spans="1:11" x14ac:dyDescent="0.25">
      <c r="A3126" s="162">
        <v>27012</v>
      </c>
      <c r="B3126" s="163">
        <v>7.24</v>
      </c>
      <c r="C3126" s="163"/>
      <c r="D3126" s="163"/>
      <c r="E3126" s="163"/>
      <c r="J3126" s="157">
        <v>44477</v>
      </c>
      <c r="K3126" s="158">
        <v>2.0499999999999998</v>
      </c>
    </row>
    <row r="3127" spans="1:11" x14ac:dyDescent="0.25">
      <c r="A3127" s="162">
        <v>27015</v>
      </c>
      <c r="B3127" s="163">
        <v>7.23</v>
      </c>
      <c r="C3127" s="163"/>
      <c r="D3127" s="163"/>
      <c r="E3127" s="163"/>
      <c r="J3127" s="157">
        <v>44484</v>
      </c>
      <c r="K3127" s="158">
        <v>2.0099999999999998</v>
      </c>
    </row>
    <row r="3128" spans="1:11" x14ac:dyDescent="0.25">
      <c r="A3128" s="162">
        <v>27016</v>
      </c>
      <c r="B3128" s="163">
        <v>7.23</v>
      </c>
      <c r="C3128" s="163"/>
      <c r="D3128" s="163"/>
      <c r="E3128" s="163"/>
      <c r="J3128" s="157">
        <v>44491</v>
      </c>
      <c r="K3128" s="158">
        <v>2.06</v>
      </c>
    </row>
    <row r="3129" spans="1:11" x14ac:dyDescent="0.25">
      <c r="A3129" s="162">
        <v>27017</v>
      </c>
      <c r="B3129" s="163">
        <v>7.26</v>
      </c>
      <c r="C3129" s="163"/>
      <c r="D3129" s="163"/>
      <c r="E3129" s="163"/>
      <c r="J3129" s="157">
        <v>44498</v>
      </c>
      <c r="K3129" s="158">
        <v>2</v>
      </c>
    </row>
    <row r="3130" spans="1:11" x14ac:dyDescent="0.25">
      <c r="A3130" s="162">
        <v>27018</v>
      </c>
      <c r="B3130" s="163">
        <v>7.28</v>
      </c>
      <c r="C3130" s="163"/>
      <c r="D3130" s="163"/>
      <c r="E3130" s="163"/>
      <c r="J3130" s="157">
        <v>44505</v>
      </c>
      <c r="K3130" s="158">
        <v>1.97</v>
      </c>
    </row>
    <row r="3131" spans="1:11" x14ac:dyDescent="0.25">
      <c r="A3131" s="162">
        <v>27019</v>
      </c>
      <c r="B3131" s="163">
        <v>7.33</v>
      </c>
      <c r="C3131" s="163"/>
      <c r="D3131" s="163"/>
      <c r="E3131" s="163"/>
      <c r="J3131" s="157">
        <v>44512</v>
      </c>
      <c r="K3131" s="158">
        <v>1.93</v>
      </c>
    </row>
    <row r="3132" spans="1:11" x14ac:dyDescent="0.25">
      <c r="A3132" s="162">
        <v>27022</v>
      </c>
      <c r="B3132" s="163" t="e">
        <f>NA()</f>
        <v>#N/A</v>
      </c>
      <c r="C3132" s="163"/>
      <c r="D3132" s="163"/>
      <c r="E3132" s="163"/>
      <c r="J3132" s="157">
        <v>44519</v>
      </c>
      <c r="K3132" s="158">
        <v>2.02</v>
      </c>
    </row>
    <row r="3133" spans="1:11" x14ac:dyDescent="0.25">
      <c r="A3133" s="162">
        <v>27023</v>
      </c>
      <c r="B3133" s="163" t="e">
        <f>NA()</f>
        <v>#N/A</v>
      </c>
      <c r="C3133" s="163"/>
      <c r="D3133" s="163"/>
      <c r="E3133" s="163"/>
      <c r="J3133" s="157">
        <v>44526</v>
      </c>
      <c r="K3133" s="158">
        <v>2.0099999999999998</v>
      </c>
    </row>
    <row r="3134" spans="1:11" x14ac:dyDescent="0.25">
      <c r="A3134" s="162">
        <v>27024</v>
      </c>
      <c r="B3134" s="163">
        <v>7.38</v>
      </c>
      <c r="C3134" s="163"/>
      <c r="D3134" s="163"/>
      <c r="E3134" s="163"/>
      <c r="J3134" s="157">
        <v>44533</v>
      </c>
      <c r="K3134" s="158">
        <v>1.85</v>
      </c>
    </row>
    <row r="3135" spans="1:11" x14ac:dyDescent="0.25">
      <c r="A3135" s="162">
        <v>27025</v>
      </c>
      <c r="B3135" s="163">
        <v>7.39</v>
      </c>
      <c r="C3135" s="163"/>
      <c r="D3135" s="163"/>
      <c r="E3135" s="163"/>
      <c r="J3135" s="157">
        <v>44540</v>
      </c>
      <c r="K3135" s="158">
        <v>1.89</v>
      </c>
    </row>
    <row r="3136" spans="1:11" x14ac:dyDescent="0.25">
      <c r="A3136" s="162">
        <v>27026</v>
      </c>
      <c r="B3136" s="163">
        <v>7.38</v>
      </c>
      <c r="C3136" s="163"/>
      <c r="D3136" s="163"/>
      <c r="E3136" s="163"/>
      <c r="J3136" s="157">
        <v>44547</v>
      </c>
      <c r="K3136" s="158">
        <v>1.88</v>
      </c>
    </row>
    <row r="3137" spans="1:11" x14ac:dyDescent="0.25">
      <c r="A3137" s="162">
        <v>27029</v>
      </c>
      <c r="B3137" s="163">
        <v>7.38</v>
      </c>
      <c r="C3137" s="163"/>
      <c r="D3137" s="163"/>
      <c r="E3137" s="163"/>
      <c r="J3137" s="157">
        <v>44554</v>
      </c>
      <c r="K3137" s="158">
        <v>1.91</v>
      </c>
    </row>
    <row r="3138" spans="1:11" x14ac:dyDescent="0.25">
      <c r="A3138" s="162">
        <v>27030</v>
      </c>
      <c r="B3138" s="163" t="e">
        <f>NA()</f>
        <v>#N/A</v>
      </c>
      <c r="C3138" s="163"/>
      <c r="D3138" s="163"/>
      <c r="E3138" s="163"/>
      <c r="J3138" s="157">
        <v>44561</v>
      </c>
      <c r="K3138" s="158">
        <v>1.95</v>
      </c>
    </row>
    <row r="3139" spans="1:11" x14ac:dyDescent="0.25">
      <c r="A3139" s="162">
        <v>27031</v>
      </c>
      <c r="B3139" s="163">
        <v>7.41</v>
      </c>
      <c r="C3139" s="163"/>
      <c r="D3139" s="163"/>
      <c r="E3139" s="163"/>
      <c r="J3139" s="157">
        <v>44568</v>
      </c>
      <c r="K3139" s="158">
        <v>2.11</v>
      </c>
    </row>
    <row r="3140" spans="1:11" x14ac:dyDescent="0.25">
      <c r="A3140" s="162">
        <v>27032</v>
      </c>
      <c r="B3140" s="163">
        <v>7.4</v>
      </c>
      <c r="C3140" s="163"/>
      <c r="D3140" s="163"/>
      <c r="E3140" s="163"/>
      <c r="J3140" s="157">
        <v>44575</v>
      </c>
      <c r="K3140" s="158">
        <v>2.14</v>
      </c>
    </row>
    <row r="3141" spans="1:11" x14ac:dyDescent="0.25">
      <c r="A3141" s="162">
        <v>27033</v>
      </c>
      <c r="B3141" s="163">
        <v>7.4</v>
      </c>
      <c r="C3141" s="163"/>
      <c r="D3141" s="163"/>
      <c r="E3141" s="163"/>
      <c r="J3141" s="157">
        <v>44582</v>
      </c>
      <c r="K3141" s="158">
        <v>2.19</v>
      </c>
    </row>
    <row r="3142" spans="1:11" x14ac:dyDescent="0.25">
      <c r="A3142" s="162">
        <v>27036</v>
      </c>
      <c r="B3142" s="163">
        <v>7.44</v>
      </c>
      <c r="C3142" s="163"/>
      <c r="D3142" s="163"/>
      <c r="E3142" s="163"/>
      <c r="J3142" s="157">
        <v>44589</v>
      </c>
      <c r="K3142" s="158">
        <v>2.17</v>
      </c>
    </row>
    <row r="3143" spans="1:11" x14ac:dyDescent="0.25">
      <c r="A3143" s="162">
        <v>27037</v>
      </c>
      <c r="B3143" s="163">
        <v>7.47</v>
      </c>
      <c r="C3143" s="163"/>
      <c r="D3143" s="163"/>
      <c r="E3143" s="163"/>
      <c r="J3143" s="157">
        <v>44596</v>
      </c>
      <c r="K3143" s="158">
        <v>2.2000000000000002</v>
      </c>
    </row>
    <row r="3144" spans="1:11" x14ac:dyDescent="0.25">
      <c r="A3144" s="162">
        <v>27038</v>
      </c>
      <c r="B3144" s="164">
        <v>7.46</v>
      </c>
      <c r="C3144" s="164"/>
      <c r="D3144" s="164"/>
      <c r="E3144" s="164"/>
      <c r="J3144" s="157">
        <v>44603</v>
      </c>
      <c r="K3144" s="158">
        <v>2.31</v>
      </c>
    </row>
    <row r="3145" spans="1:11" x14ac:dyDescent="0.25">
      <c r="A3145" s="162">
        <v>27039</v>
      </c>
      <c r="B3145" s="163">
        <v>7.48</v>
      </c>
      <c r="C3145" s="163"/>
      <c r="D3145" s="163"/>
      <c r="E3145" s="163"/>
      <c r="J3145" s="157">
        <v>44610</v>
      </c>
      <c r="K3145" s="158">
        <v>2.36</v>
      </c>
    </row>
    <row r="3146" spans="1:11" x14ac:dyDescent="0.25">
      <c r="A3146" s="162">
        <v>27040</v>
      </c>
      <c r="B3146" s="163">
        <v>7.49</v>
      </c>
      <c r="C3146" s="163"/>
      <c r="D3146" s="163"/>
      <c r="E3146" s="163"/>
      <c r="J3146" s="157">
        <v>44617</v>
      </c>
      <c r="K3146" s="158">
        <v>2.35</v>
      </c>
    </row>
    <row r="3147" spans="1:11" x14ac:dyDescent="0.25">
      <c r="A3147" s="162">
        <v>27043</v>
      </c>
      <c r="B3147" s="163">
        <v>7.5</v>
      </c>
      <c r="C3147" s="163"/>
      <c r="D3147" s="163"/>
      <c r="E3147" s="163"/>
      <c r="J3147" s="157">
        <v>44624</v>
      </c>
      <c r="K3147" s="158">
        <v>2.2599999999999998</v>
      </c>
    </row>
    <row r="3148" spans="1:11" x14ac:dyDescent="0.25">
      <c r="A3148" s="162">
        <v>27044</v>
      </c>
      <c r="B3148" s="163">
        <v>7.51</v>
      </c>
      <c r="C3148" s="163"/>
      <c r="D3148" s="163"/>
      <c r="E3148" s="163"/>
      <c r="J3148" s="157">
        <v>44631</v>
      </c>
      <c r="K3148" s="158">
        <v>2.38</v>
      </c>
    </row>
    <row r="3149" spans="1:11" x14ac:dyDescent="0.25">
      <c r="A3149" s="162">
        <v>27045</v>
      </c>
      <c r="B3149" s="163">
        <v>7.51</v>
      </c>
      <c r="C3149" s="163"/>
      <c r="D3149" s="163"/>
      <c r="E3149" s="163"/>
      <c r="J3149" s="157">
        <v>44638</v>
      </c>
      <c r="K3149" s="158">
        <v>2.56</v>
      </c>
    </row>
    <row r="3150" spans="1:11" x14ac:dyDescent="0.25">
      <c r="A3150" s="162">
        <v>27046</v>
      </c>
      <c r="B3150" s="163">
        <v>7.47</v>
      </c>
      <c r="C3150" s="163"/>
      <c r="D3150" s="163"/>
      <c r="E3150" s="163"/>
      <c r="J3150" s="157">
        <v>44645</v>
      </c>
      <c r="K3150" s="158">
        <v>2.68</v>
      </c>
    </row>
    <row r="3151" spans="1:11" x14ac:dyDescent="0.25">
      <c r="A3151" s="162">
        <v>27047</v>
      </c>
      <c r="B3151" s="163">
        <v>7.47</v>
      </c>
      <c r="C3151" s="163"/>
      <c r="D3151" s="163"/>
      <c r="E3151" s="163"/>
      <c r="J3151" s="157">
        <v>44652</v>
      </c>
      <c r="K3151" s="158">
        <v>2.64</v>
      </c>
    </row>
    <row r="3152" spans="1:11" x14ac:dyDescent="0.25">
      <c r="A3152" s="162">
        <v>27050</v>
      </c>
      <c r="B3152" s="163">
        <v>7.49</v>
      </c>
      <c r="C3152" s="163"/>
      <c r="D3152" s="163"/>
      <c r="E3152" s="163"/>
      <c r="J3152" s="157">
        <v>44659</v>
      </c>
      <c r="K3152" s="158">
        <v>2.8</v>
      </c>
    </row>
    <row r="3153" spans="1:11" x14ac:dyDescent="0.25">
      <c r="A3153" s="162">
        <v>27051</v>
      </c>
      <c r="B3153" s="163">
        <v>7.49</v>
      </c>
      <c r="C3153" s="163"/>
      <c r="D3153" s="163"/>
      <c r="E3153" s="163"/>
      <c r="J3153" s="157">
        <v>44666</v>
      </c>
      <c r="K3153" s="158">
        <v>3.02</v>
      </c>
    </row>
    <row r="3154" spans="1:11" x14ac:dyDescent="0.25">
      <c r="A3154" s="162">
        <v>27052</v>
      </c>
      <c r="B3154" s="163">
        <v>7.5</v>
      </c>
      <c r="C3154" s="163"/>
      <c r="D3154" s="163"/>
      <c r="E3154" s="163"/>
      <c r="J3154" s="157">
        <v>44673</v>
      </c>
      <c r="K3154" s="158">
        <v>3.13</v>
      </c>
    </row>
    <row r="3155" spans="1:11" x14ac:dyDescent="0.25">
      <c r="A3155" s="162">
        <v>27053</v>
      </c>
      <c r="B3155" s="163">
        <v>7.5</v>
      </c>
      <c r="C3155" s="163"/>
      <c r="D3155" s="163"/>
      <c r="E3155" s="163"/>
      <c r="J3155" s="157">
        <v>44680</v>
      </c>
      <c r="K3155" s="158">
        <v>3.08</v>
      </c>
    </row>
    <row r="3156" spans="1:11" x14ac:dyDescent="0.25">
      <c r="A3156" s="162">
        <v>27054</v>
      </c>
      <c r="B3156" s="163">
        <v>7.5</v>
      </c>
      <c r="C3156" s="163"/>
      <c r="D3156" s="163"/>
      <c r="E3156" s="163"/>
      <c r="J3156" s="157">
        <v>44687</v>
      </c>
      <c r="K3156" s="158">
        <v>3.29</v>
      </c>
    </row>
    <row r="3157" spans="1:11" x14ac:dyDescent="0.25">
      <c r="A3157" s="162">
        <v>27057</v>
      </c>
      <c r="B3157" s="163">
        <v>7.49</v>
      </c>
      <c r="C3157" s="163"/>
      <c r="D3157" s="163"/>
      <c r="E3157" s="163"/>
      <c r="J3157" s="157">
        <v>44694</v>
      </c>
      <c r="K3157" s="158">
        <v>3.3</v>
      </c>
    </row>
    <row r="3158" spans="1:11" x14ac:dyDescent="0.25">
      <c r="A3158" s="162">
        <v>27058</v>
      </c>
      <c r="B3158" s="163">
        <v>7.5</v>
      </c>
      <c r="C3158" s="163"/>
      <c r="D3158" s="163"/>
      <c r="E3158" s="163"/>
      <c r="J3158" s="157">
        <v>44701</v>
      </c>
      <c r="K3158" s="158">
        <v>3.26</v>
      </c>
    </row>
    <row r="3159" spans="1:11" x14ac:dyDescent="0.25">
      <c r="A3159" s="162">
        <v>27059</v>
      </c>
      <c r="B3159" s="163">
        <v>7.49</v>
      </c>
      <c r="C3159" s="163"/>
      <c r="D3159" s="163"/>
      <c r="E3159" s="163"/>
      <c r="J3159" s="157">
        <v>44708</v>
      </c>
      <c r="K3159" s="158">
        <v>3.18</v>
      </c>
    </row>
    <row r="3160" spans="1:11" x14ac:dyDescent="0.25">
      <c r="A3160" s="162">
        <v>27060</v>
      </c>
      <c r="B3160" s="163">
        <v>7.48</v>
      </c>
      <c r="C3160" s="163"/>
      <c r="D3160" s="163"/>
      <c r="E3160" s="163"/>
      <c r="J3160" s="157">
        <v>44715</v>
      </c>
      <c r="K3160" s="158">
        <v>3.31</v>
      </c>
    </row>
    <row r="3161" spans="1:11" x14ac:dyDescent="0.25">
      <c r="A3161" s="162">
        <v>27061</v>
      </c>
      <c r="B3161" s="163">
        <v>7.47</v>
      </c>
      <c r="C3161" s="163"/>
      <c r="D3161" s="163"/>
      <c r="E3161" s="163"/>
      <c r="J3161" s="157">
        <v>44722</v>
      </c>
      <c r="K3161" s="158">
        <v>3.4</v>
      </c>
    </row>
    <row r="3162" spans="1:11" x14ac:dyDescent="0.25">
      <c r="A3162" s="162">
        <v>27064</v>
      </c>
      <c r="B3162" s="163">
        <v>7.45</v>
      </c>
      <c r="C3162" s="163"/>
      <c r="D3162" s="163"/>
      <c r="E3162" s="163"/>
      <c r="J3162" s="157">
        <v>44729</v>
      </c>
      <c r="K3162" s="158">
        <v>3.64</v>
      </c>
    </row>
    <row r="3163" spans="1:11" x14ac:dyDescent="0.25">
      <c r="A3163" s="162">
        <v>27065</v>
      </c>
      <c r="B3163" s="163">
        <v>7.43</v>
      </c>
      <c r="C3163" s="163"/>
      <c r="D3163" s="163"/>
      <c r="E3163" s="163"/>
      <c r="J3163" s="157">
        <v>44736</v>
      </c>
      <c r="K3163" s="158">
        <v>3.52</v>
      </c>
    </row>
    <row r="3164" spans="1:11" x14ac:dyDescent="0.25">
      <c r="A3164" s="162">
        <v>27066</v>
      </c>
      <c r="B3164" s="163">
        <v>7.41</v>
      </c>
      <c r="C3164" s="163"/>
      <c r="D3164" s="163"/>
      <c r="E3164" s="163"/>
      <c r="J3164" s="157">
        <v>44743</v>
      </c>
      <c r="K3164" s="158">
        <v>3.46</v>
      </c>
    </row>
    <row r="3165" spans="1:11" x14ac:dyDescent="0.25">
      <c r="A3165" s="162">
        <v>27067</v>
      </c>
      <c r="B3165" s="163">
        <v>7.43</v>
      </c>
      <c r="C3165" s="163"/>
      <c r="D3165" s="163"/>
      <c r="E3165" s="163"/>
      <c r="J3165" s="157">
        <v>44750</v>
      </c>
      <c r="K3165" s="158">
        <v>3.43</v>
      </c>
    </row>
    <row r="3166" spans="1:11" x14ac:dyDescent="0.25">
      <c r="A3166" s="162">
        <v>27068</v>
      </c>
      <c r="B3166" s="163">
        <v>7.42</v>
      </c>
      <c r="C3166" s="163"/>
      <c r="D3166" s="163"/>
      <c r="E3166" s="163"/>
      <c r="J3166" s="157">
        <v>44757</v>
      </c>
      <c r="K3166" s="158">
        <v>3.37</v>
      </c>
    </row>
    <row r="3167" spans="1:11" x14ac:dyDescent="0.25">
      <c r="A3167" s="162">
        <v>27071</v>
      </c>
      <c r="B3167" s="163">
        <v>7.43</v>
      </c>
      <c r="C3167" s="163"/>
      <c r="D3167" s="163"/>
      <c r="E3167" s="163"/>
      <c r="J3167" s="157">
        <v>44764</v>
      </c>
      <c r="K3167" s="158">
        <v>3.36</v>
      </c>
    </row>
    <row r="3168" spans="1:11" x14ac:dyDescent="0.25">
      <c r="A3168" s="162">
        <v>27072</v>
      </c>
      <c r="B3168" s="163" t="e">
        <f>NA()</f>
        <v>#N/A</v>
      </c>
      <c r="C3168" s="163"/>
      <c r="D3168" s="163"/>
      <c r="E3168" s="163"/>
      <c r="J3168" s="157">
        <v>44771</v>
      </c>
      <c r="K3168" s="158">
        <v>3.25</v>
      </c>
    </row>
    <row r="3169" spans="1:11" x14ac:dyDescent="0.25">
      <c r="A3169" s="162">
        <v>27073</v>
      </c>
      <c r="B3169" s="163">
        <v>7.42</v>
      </c>
      <c r="C3169" s="163"/>
      <c r="D3169" s="163"/>
      <c r="E3169" s="163"/>
      <c r="J3169" s="157">
        <v>44778</v>
      </c>
      <c r="K3169" s="158">
        <v>3.19</v>
      </c>
    </row>
    <row r="3170" spans="1:11" x14ac:dyDescent="0.25">
      <c r="A3170" s="162">
        <v>27074</v>
      </c>
      <c r="B3170" s="163">
        <v>7.41</v>
      </c>
      <c r="C3170" s="163"/>
      <c r="D3170" s="163"/>
      <c r="E3170" s="163"/>
      <c r="J3170" s="157">
        <v>44785</v>
      </c>
      <c r="K3170" s="158">
        <v>3.29</v>
      </c>
    </row>
    <row r="3171" spans="1:11" x14ac:dyDescent="0.25">
      <c r="A3171" s="162">
        <v>27075</v>
      </c>
      <c r="B3171" s="163">
        <v>7.43</v>
      </c>
      <c r="C3171" s="163"/>
      <c r="D3171" s="163"/>
      <c r="E3171" s="163"/>
      <c r="J3171" s="157">
        <v>44792</v>
      </c>
      <c r="K3171" s="158">
        <v>3.36</v>
      </c>
    </row>
    <row r="3172" spans="1:11" x14ac:dyDescent="0.25">
      <c r="A3172" s="162">
        <v>27078</v>
      </c>
      <c r="B3172" s="163" t="e">
        <f>NA()</f>
        <v>#N/A</v>
      </c>
      <c r="C3172" s="163"/>
      <c r="D3172" s="163"/>
      <c r="E3172" s="163"/>
      <c r="J3172" s="157">
        <v>44799</v>
      </c>
      <c r="K3172" s="158">
        <v>3.49</v>
      </c>
    </row>
    <row r="3173" spans="1:11" x14ac:dyDescent="0.25">
      <c r="A3173" s="162">
        <v>27079</v>
      </c>
      <c r="B3173" s="163">
        <v>7.44</v>
      </c>
      <c r="C3173" s="163"/>
      <c r="D3173" s="163"/>
      <c r="E3173" s="163"/>
      <c r="J3173" s="157">
        <v>44806</v>
      </c>
      <c r="K3173" s="158">
        <v>3.55</v>
      </c>
    </row>
    <row r="3174" spans="1:11" x14ac:dyDescent="0.25">
      <c r="A3174" s="162">
        <v>27080</v>
      </c>
      <c r="B3174" s="163">
        <v>7.47</v>
      </c>
      <c r="C3174" s="163"/>
      <c r="D3174" s="163"/>
      <c r="E3174" s="163"/>
      <c r="J3174" s="157">
        <v>44813</v>
      </c>
      <c r="K3174" s="158">
        <v>3.7</v>
      </c>
    </row>
    <row r="3175" spans="1:11" x14ac:dyDescent="0.25">
      <c r="A3175" s="162">
        <v>27081</v>
      </c>
      <c r="B3175" s="163">
        <v>7.5</v>
      </c>
      <c r="C3175" s="163"/>
      <c r="D3175" s="163"/>
      <c r="E3175" s="163"/>
      <c r="J3175" s="157">
        <v>44820</v>
      </c>
      <c r="K3175" s="158">
        <v>3.76</v>
      </c>
    </row>
    <row r="3176" spans="1:11" x14ac:dyDescent="0.25">
      <c r="A3176" s="162">
        <v>27082</v>
      </c>
      <c r="B3176" s="163">
        <v>7.48</v>
      </c>
      <c r="C3176" s="163"/>
      <c r="D3176" s="163"/>
      <c r="E3176" s="163"/>
      <c r="J3176" s="157">
        <v>44827</v>
      </c>
      <c r="K3176" s="158">
        <v>3.82</v>
      </c>
    </row>
    <row r="3177" spans="1:11" x14ac:dyDescent="0.25">
      <c r="A3177" s="162">
        <v>27085</v>
      </c>
      <c r="B3177" s="163">
        <v>7.47</v>
      </c>
      <c r="C3177" s="163"/>
      <c r="D3177" s="163"/>
      <c r="E3177" s="163"/>
      <c r="J3177" s="157">
        <v>44834</v>
      </c>
      <c r="K3177" s="158">
        <v>4.04</v>
      </c>
    </row>
    <row r="3178" spans="1:11" x14ac:dyDescent="0.25">
      <c r="A3178" s="162">
        <v>27086</v>
      </c>
      <c r="B3178" s="163">
        <v>7.51</v>
      </c>
      <c r="C3178" s="163"/>
      <c r="D3178" s="163"/>
      <c r="E3178" s="163"/>
      <c r="J3178" s="157">
        <v>44841</v>
      </c>
      <c r="K3178" s="158">
        <v>4.04</v>
      </c>
    </row>
    <row r="3179" spans="1:11" x14ac:dyDescent="0.25">
      <c r="A3179" s="162">
        <v>27087</v>
      </c>
      <c r="B3179" s="163">
        <v>7.54</v>
      </c>
      <c r="C3179" s="163"/>
      <c r="D3179" s="163"/>
      <c r="E3179" s="163"/>
      <c r="J3179" s="157">
        <v>44848</v>
      </c>
      <c r="K3179" s="158">
        <v>4.22</v>
      </c>
    </row>
    <row r="3180" spans="1:11" x14ac:dyDescent="0.25">
      <c r="A3180" s="162">
        <v>27088</v>
      </c>
      <c r="B3180" s="163">
        <v>7.57</v>
      </c>
      <c r="C3180" s="163"/>
      <c r="D3180" s="163"/>
      <c r="E3180" s="163"/>
      <c r="J3180" s="157">
        <v>44855</v>
      </c>
      <c r="K3180" s="158">
        <v>4.3899999999999997</v>
      </c>
    </row>
    <row r="3181" spans="1:11" x14ac:dyDescent="0.25">
      <c r="A3181" s="162">
        <v>27089</v>
      </c>
      <c r="B3181" s="163">
        <v>7.63</v>
      </c>
      <c r="C3181" s="163"/>
      <c r="D3181" s="163"/>
      <c r="E3181" s="163"/>
      <c r="J3181" s="157">
        <v>44862</v>
      </c>
      <c r="K3181" s="158">
        <v>4.42</v>
      </c>
    </row>
    <row r="3182" spans="1:11" x14ac:dyDescent="0.25">
      <c r="A3182" s="162">
        <v>27092</v>
      </c>
      <c r="B3182" s="163">
        <v>7.65</v>
      </c>
      <c r="C3182" s="163"/>
      <c r="D3182" s="163"/>
      <c r="E3182" s="163"/>
      <c r="J3182" s="157">
        <v>44869</v>
      </c>
      <c r="K3182" s="158">
        <v>4.43</v>
      </c>
    </row>
    <row r="3183" spans="1:11" x14ac:dyDescent="0.25">
      <c r="A3183" s="162">
        <v>27093</v>
      </c>
      <c r="B3183" s="163">
        <v>7.63</v>
      </c>
      <c r="C3183" s="163"/>
      <c r="D3183" s="163"/>
      <c r="E3183" s="163"/>
      <c r="J3183" s="157">
        <v>44876</v>
      </c>
      <c r="K3183" s="158">
        <v>4.4400000000000004</v>
      </c>
    </row>
    <row r="3184" spans="1:11" x14ac:dyDescent="0.25">
      <c r="A3184" s="162">
        <v>27094</v>
      </c>
      <c r="B3184" s="163">
        <v>7.58</v>
      </c>
      <c r="C3184" s="163"/>
      <c r="D3184" s="163"/>
      <c r="E3184" s="163"/>
      <c r="J3184" s="157">
        <v>44883</v>
      </c>
      <c r="K3184" s="158">
        <v>4.1500000000000004</v>
      </c>
    </row>
    <row r="3185" spans="1:11" x14ac:dyDescent="0.25">
      <c r="A3185" s="162">
        <v>27095</v>
      </c>
      <c r="B3185" s="163">
        <v>7.57</v>
      </c>
      <c r="C3185" s="163"/>
      <c r="D3185" s="163"/>
      <c r="E3185" s="163"/>
      <c r="J3185" s="157">
        <v>44890</v>
      </c>
      <c r="K3185" s="158">
        <v>4.03</v>
      </c>
    </row>
    <row r="3186" spans="1:11" x14ac:dyDescent="0.25">
      <c r="A3186" s="162">
        <v>27096</v>
      </c>
      <c r="B3186" s="163">
        <v>7.6</v>
      </c>
      <c r="C3186" s="163"/>
      <c r="D3186" s="163"/>
      <c r="E3186" s="163"/>
      <c r="J3186" s="157">
        <v>44897</v>
      </c>
      <c r="K3186" s="158">
        <v>3.93</v>
      </c>
    </row>
    <row r="3187" spans="1:11" x14ac:dyDescent="0.25">
      <c r="A3187" s="162">
        <v>27099</v>
      </c>
      <c r="B3187" s="163">
        <v>7.63</v>
      </c>
      <c r="C3187" s="163"/>
      <c r="D3187" s="163"/>
      <c r="E3187" s="163"/>
      <c r="J3187" s="157">
        <v>44904</v>
      </c>
      <c r="K3187" s="158">
        <v>3.76</v>
      </c>
    </row>
    <row r="3188" spans="1:11" x14ac:dyDescent="0.25">
      <c r="A3188" s="162">
        <v>27100</v>
      </c>
      <c r="B3188" s="163">
        <v>7.63</v>
      </c>
      <c r="C3188" s="163"/>
      <c r="D3188" s="163"/>
      <c r="E3188" s="163"/>
      <c r="J3188" s="157">
        <v>44911</v>
      </c>
      <c r="K3188" s="158">
        <v>3.75</v>
      </c>
    </row>
    <row r="3189" spans="1:11" x14ac:dyDescent="0.25">
      <c r="A3189" s="162">
        <v>27101</v>
      </c>
      <c r="B3189" s="164">
        <v>7.67</v>
      </c>
      <c r="C3189" s="164"/>
      <c r="D3189" s="164"/>
      <c r="E3189" s="164"/>
      <c r="J3189" s="157">
        <v>44918</v>
      </c>
      <c r="K3189" s="158">
        <v>3.92</v>
      </c>
    </row>
    <row r="3190" spans="1:11" x14ac:dyDescent="0.25">
      <c r="A3190" s="162">
        <v>27102</v>
      </c>
      <c r="B3190" s="163">
        <v>7.66</v>
      </c>
      <c r="C3190" s="163"/>
      <c r="D3190" s="163"/>
      <c r="E3190" s="163"/>
      <c r="J3190" s="157">
        <v>44925</v>
      </c>
      <c r="K3190" s="158">
        <v>4.12</v>
      </c>
    </row>
    <row r="3191" spans="1:11" x14ac:dyDescent="0.25">
      <c r="A3191" s="162">
        <v>27103</v>
      </c>
      <c r="B3191" s="163">
        <v>7.71</v>
      </c>
      <c r="C3191" s="163"/>
      <c r="D3191" s="163"/>
      <c r="E3191" s="163"/>
      <c r="J3191" s="157">
        <v>44932</v>
      </c>
      <c r="K3191" s="158">
        <v>3.96</v>
      </c>
    </row>
    <row r="3192" spans="1:11" x14ac:dyDescent="0.25">
      <c r="A3192" s="162">
        <v>27106</v>
      </c>
      <c r="B3192" s="163">
        <v>7.78</v>
      </c>
      <c r="C3192" s="163"/>
      <c r="D3192" s="163"/>
      <c r="E3192" s="163"/>
      <c r="J3192" s="157">
        <v>44939</v>
      </c>
      <c r="K3192" s="158">
        <v>3.82</v>
      </c>
    </row>
    <row r="3193" spans="1:11" x14ac:dyDescent="0.25">
      <c r="A3193" s="162">
        <v>27107</v>
      </c>
      <c r="B3193" s="163">
        <v>7.76</v>
      </c>
      <c r="C3193" s="163"/>
      <c r="D3193" s="163"/>
      <c r="E3193" s="163"/>
      <c r="J3193" s="157">
        <v>44946</v>
      </c>
      <c r="K3193" s="158">
        <v>3.73</v>
      </c>
    </row>
    <row r="3194" spans="1:11" x14ac:dyDescent="0.25">
      <c r="A3194" s="162">
        <v>27108</v>
      </c>
      <c r="B3194" s="163">
        <v>7.79</v>
      </c>
      <c r="C3194" s="163"/>
      <c r="D3194" s="163"/>
      <c r="E3194" s="163"/>
      <c r="J3194" s="157">
        <v>44953</v>
      </c>
      <c r="K3194" s="158">
        <v>3.76</v>
      </c>
    </row>
    <row r="3195" spans="1:11" x14ac:dyDescent="0.25">
      <c r="A3195" s="162">
        <v>27109</v>
      </c>
      <c r="B3195" s="163">
        <v>7.82</v>
      </c>
      <c r="C3195" s="163"/>
      <c r="D3195" s="163"/>
      <c r="E3195" s="163"/>
      <c r="J3195" s="157">
        <v>44960</v>
      </c>
      <c r="K3195" s="158">
        <v>3.74</v>
      </c>
    </row>
    <row r="3196" spans="1:11" x14ac:dyDescent="0.25">
      <c r="A3196" s="162">
        <v>27110</v>
      </c>
      <c r="B3196" s="163">
        <v>7.83</v>
      </c>
      <c r="C3196" s="163"/>
      <c r="D3196" s="163"/>
      <c r="E3196" s="163"/>
      <c r="J3196" s="157">
        <v>44967</v>
      </c>
      <c r="K3196" s="158">
        <v>3.88</v>
      </c>
    </row>
    <row r="3197" spans="1:11" x14ac:dyDescent="0.25">
      <c r="A3197" s="162">
        <v>27113</v>
      </c>
      <c r="B3197" s="163">
        <v>7.87</v>
      </c>
      <c r="C3197" s="163"/>
      <c r="D3197" s="163"/>
      <c r="E3197" s="163"/>
      <c r="J3197" s="157">
        <v>44974</v>
      </c>
      <c r="K3197" s="158">
        <v>3.98</v>
      </c>
    </row>
    <row r="3198" spans="1:11" x14ac:dyDescent="0.25">
      <c r="A3198" s="162">
        <v>27114</v>
      </c>
      <c r="B3198" s="163">
        <v>7.86</v>
      </c>
      <c r="C3198" s="163"/>
      <c r="D3198" s="163"/>
      <c r="E3198" s="163"/>
      <c r="J3198" s="157">
        <v>44981</v>
      </c>
      <c r="K3198" s="158">
        <v>4.09</v>
      </c>
    </row>
    <row r="3199" spans="1:11" x14ac:dyDescent="0.25">
      <c r="A3199" s="162">
        <v>27115</v>
      </c>
      <c r="B3199" s="163">
        <v>7.84</v>
      </c>
      <c r="C3199" s="163"/>
      <c r="D3199" s="163"/>
      <c r="E3199" s="163"/>
      <c r="J3199" s="157">
        <v>44988</v>
      </c>
      <c r="K3199" s="158">
        <v>4.1500000000000004</v>
      </c>
    </row>
    <row r="3200" spans="1:11" x14ac:dyDescent="0.25">
      <c r="A3200" s="162">
        <v>27116</v>
      </c>
      <c r="B3200" s="163">
        <v>7.85</v>
      </c>
      <c r="C3200" s="163"/>
      <c r="D3200" s="163"/>
      <c r="E3200" s="163"/>
      <c r="J3200" s="157">
        <v>44995</v>
      </c>
      <c r="K3200" s="158">
        <v>4.07</v>
      </c>
    </row>
    <row r="3201" spans="1:11" x14ac:dyDescent="0.25">
      <c r="A3201" s="162">
        <v>27117</v>
      </c>
      <c r="B3201" s="163">
        <v>7.89</v>
      </c>
      <c r="C3201" s="163"/>
      <c r="D3201" s="163"/>
      <c r="E3201" s="163"/>
      <c r="J3201" s="157">
        <v>45002</v>
      </c>
      <c r="K3201" s="158">
        <v>3.84</v>
      </c>
    </row>
    <row r="3202" spans="1:11" x14ac:dyDescent="0.25">
      <c r="A3202" s="162">
        <v>27120</v>
      </c>
      <c r="B3202" s="163">
        <v>7.9</v>
      </c>
      <c r="C3202" s="163"/>
      <c r="D3202" s="163"/>
      <c r="E3202" s="163"/>
      <c r="J3202" s="157">
        <v>45009</v>
      </c>
      <c r="K3202" s="158">
        <v>3.82</v>
      </c>
    </row>
    <row r="3203" spans="1:11" x14ac:dyDescent="0.25">
      <c r="A3203" s="162">
        <v>27121</v>
      </c>
      <c r="B3203" s="163">
        <v>7.92</v>
      </c>
      <c r="C3203" s="163"/>
      <c r="D3203" s="163"/>
      <c r="E3203" s="163"/>
      <c r="J3203" s="157">
        <v>45016</v>
      </c>
      <c r="K3203" s="158">
        <v>3.88</v>
      </c>
    </row>
    <row r="3204" spans="1:11" x14ac:dyDescent="0.25">
      <c r="A3204" s="162">
        <v>27122</v>
      </c>
      <c r="B3204" s="163">
        <v>7.93</v>
      </c>
      <c r="C3204" s="163"/>
      <c r="D3204" s="163"/>
      <c r="E3204" s="163"/>
      <c r="J3204" s="157">
        <v>45023</v>
      </c>
      <c r="K3204" s="158">
        <v>3.71</v>
      </c>
    </row>
    <row r="3205" spans="1:11" x14ac:dyDescent="0.25">
      <c r="A3205" s="162">
        <v>27123</v>
      </c>
      <c r="B3205" s="163">
        <v>8.01</v>
      </c>
      <c r="C3205" s="163"/>
      <c r="D3205" s="163"/>
      <c r="E3205" s="163"/>
      <c r="J3205" s="157">
        <v>45030</v>
      </c>
      <c r="K3205" s="158">
        <v>3.78</v>
      </c>
    </row>
    <row r="3206" spans="1:11" x14ac:dyDescent="0.25">
      <c r="A3206" s="162">
        <v>27124</v>
      </c>
      <c r="B3206" s="163">
        <v>8.0299999999999994</v>
      </c>
      <c r="C3206" s="163"/>
      <c r="D3206" s="163"/>
      <c r="E3206" s="163"/>
      <c r="J3206" s="157">
        <v>45037</v>
      </c>
      <c r="K3206" s="158">
        <v>3.9</v>
      </c>
    </row>
    <row r="3207" spans="1:11" x14ac:dyDescent="0.25">
      <c r="A3207" s="162">
        <v>27127</v>
      </c>
      <c r="B3207" s="163">
        <v>8.01</v>
      </c>
      <c r="C3207" s="163"/>
      <c r="D3207" s="163"/>
      <c r="E3207" s="163"/>
      <c r="J3207" s="157">
        <v>45044</v>
      </c>
      <c r="K3207" s="158">
        <v>3.82</v>
      </c>
    </row>
    <row r="3208" spans="1:11" x14ac:dyDescent="0.25">
      <c r="A3208" s="162">
        <v>27128</v>
      </c>
      <c r="B3208" s="163">
        <v>8</v>
      </c>
      <c r="C3208" s="163"/>
      <c r="D3208" s="163"/>
      <c r="E3208" s="163"/>
      <c r="J3208" s="157">
        <v>45051</v>
      </c>
      <c r="K3208" s="158">
        <v>3.84</v>
      </c>
    </row>
    <row r="3209" spans="1:11" x14ac:dyDescent="0.25">
      <c r="A3209" s="162">
        <v>27129</v>
      </c>
      <c r="B3209" s="163">
        <v>7.97</v>
      </c>
      <c r="C3209" s="163"/>
      <c r="D3209" s="163"/>
      <c r="E3209" s="163"/>
      <c r="J3209" s="157">
        <v>45058</v>
      </c>
      <c r="K3209" s="158">
        <v>3.89</v>
      </c>
    </row>
    <row r="3210" spans="1:11" x14ac:dyDescent="0.25">
      <c r="A3210" s="162">
        <v>27130</v>
      </c>
      <c r="B3210" s="163">
        <v>7.97</v>
      </c>
      <c r="C3210" s="163"/>
      <c r="D3210" s="163"/>
      <c r="E3210" s="163"/>
      <c r="J3210" s="157">
        <v>45065</v>
      </c>
      <c r="K3210" s="158">
        <v>3.99</v>
      </c>
    </row>
    <row r="3211" spans="1:11" x14ac:dyDescent="0.25">
      <c r="A3211" s="162">
        <v>27131</v>
      </c>
      <c r="B3211" s="163" t="e">
        <f>NA()</f>
        <v>#N/A</v>
      </c>
      <c r="C3211" s="163"/>
      <c r="D3211" s="163"/>
      <c r="E3211" s="163"/>
      <c r="J3211" s="157">
        <v>45072</v>
      </c>
      <c r="K3211" s="158">
        <v>4.1100000000000003</v>
      </c>
    </row>
    <row r="3212" spans="1:11" x14ac:dyDescent="0.25">
      <c r="A3212" s="162">
        <v>27134</v>
      </c>
      <c r="B3212" s="163">
        <v>7.93</v>
      </c>
      <c r="C3212" s="163"/>
      <c r="D3212" s="163"/>
      <c r="E3212" s="163"/>
      <c r="J3212" s="157">
        <v>45079</v>
      </c>
      <c r="K3212" s="158">
        <v>4.0199999999999996</v>
      </c>
    </row>
    <row r="3213" spans="1:11" x14ac:dyDescent="0.25">
      <c r="A3213" s="162">
        <v>27135</v>
      </c>
      <c r="B3213" s="163">
        <v>7.93</v>
      </c>
      <c r="C3213" s="163"/>
      <c r="D3213" s="163"/>
      <c r="E3213" s="163"/>
      <c r="J3213" s="157">
        <v>45086</v>
      </c>
      <c r="K3213" s="158">
        <v>4.05</v>
      </c>
    </row>
    <row r="3214" spans="1:11" x14ac:dyDescent="0.25">
      <c r="A3214" s="162">
        <v>27136</v>
      </c>
      <c r="B3214" s="164">
        <v>7.92</v>
      </c>
      <c r="C3214" s="164"/>
      <c r="D3214" s="164"/>
      <c r="E3214" s="164"/>
      <c r="J3214" s="157">
        <v>45093</v>
      </c>
      <c r="K3214" s="158">
        <v>4.0599999999999996</v>
      </c>
    </row>
    <row r="3215" spans="1:11" x14ac:dyDescent="0.25">
      <c r="A3215" s="162">
        <v>27137</v>
      </c>
      <c r="B3215" s="163">
        <v>7.94</v>
      </c>
      <c r="C3215" s="163"/>
      <c r="D3215" s="163"/>
      <c r="E3215" s="163"/>
      <c r="J3215" s="157">
        <v>45100</v>
      </c>
      <c r="K3215" s="158">
        <v>4.0199999999999996</v>
      </c>
    </row>
    <row r="3216" spans="1:11" x14ac:dyDescent="0.25">
      <c r="A3216" s="162">
        <v>27138</v>
      </c>
      <c r="B3216" s="163">
        <v>7.95</v>
      </c>
      <c r="C3216" s="163"/>
      <c r="D3216" s="163"/>
      <c r="E3216" s="163"/>
      <c r="J3216" s="157">
        <v>45107</v>
      </c>
      <c r="K3216" s="158">
        <v>4.04</v>
      </c>
    </row>
    <row r="3217" spans="1:11" x14ac:dyDescent="0.25">
      <c r="A3217" s="162">
        <v>27141</v>
      </c>
      <c r="B3217" s="163">
        <v>7.96</v>
      </c>
      <c r="C3217" s="163"/>
      <c r="D3217" s="163"/>
      <c r="E3217" s="163"/>
      <c r="J3217" s="157">
        <v>45114</v>
      </c>
      <c r="K3217" s="158">
        <v>4.1900000000000004</v>
      </c>
    </row>
    <row r="3218" spans="1:11" x14ac:dyDescent="0.25">
      <c r="A3218" s="162">
        <v>27142</v>
      </c>
      <c r="B3218" s="163">
        <v>8.0399999999999991</v>
      </c>
      <c r="C3218" s="163"/>
      <c r="D3218" s="163"/>
      <c r="E3218" s="163"/>
      <c r="J3218" s="157">
        <v>45121</v>
      </c>
      <c r="K3218" s="158">
        <v>4.16</v>
      </c>
    </row>
    <row r="3219" spans="1:11" x14ac:dyDescent="0.25">
      <c r="A3219" s="162">
        <v>27143</v>
      </c>
      <c r="B3219" s="163">
        <v>8.07</v>
      </c>
      <c r="C3219" s="163"/>
      <c r="D3219" s="163"/>
      <c r="E3219" s="163"/>
      <c r="J3219" s="157">
        <v>45128</v>
      </c>
      <c r="K3219" s="158">
        <v>4.08</v>
      </c>
    </row>
    <row r="3220" spans="1:11" x14ac:dyDescent="0.25">
      <c r="A3220" s="162">
        <v>27144</v>
      </c>
      <c r="B3220" s="163">
        <v>8.1199999999999992</v>
      </c>
      <c r="C3220" s="163"/>
      <c r="D3220" s="163"/>
      <c r="E3220" s="163"/>
      <c r="J3220" s="157">
        <v>45135</v>
      </c>
      <c r="K3220" s="158">
        <v>4.17</v>
      </c>
    </row>
    <row r="3221" spans="1:11" x14ac:dyDescent="0.25">
      <c r="A3221" s="162">
        <v>27145</v>
      </c>
      <c r="B3221" s="163">
        <v>8.17</v>
      </c>
      <c r="C3221" s="163"/>
      <c r="D3221" s="163"/>
      <c r="E3221" s="163"/>
      <c r="J3221" s="157">
        <v>45142</v>
      </c>
      <c r="K3221" s="158">
        <v>4.34</v>
      </c>
    </row>
    <row r="3222" spans="1:11" x14ac:dyDescent="0.25">
      <c r="A3222" s="162">
        <v>27148</v>
      </c>
      <c r="B3222" s="163">
        <v>8.2200000000000006</v>
      </c>
      <c r="C3222" s="163"/>
      <c r="D3222" s="163"/>
      <c r="E3222" s="163"/>
      <c r="J3222" s="157">
        <v>45149</v>
      </c>
      <c r="K3222" s="158">
        <v>4.3899999999999997</v>
      </c>
    </row>
    <row r="3223" spans="1:11" x14ac:dyDescent="0.25">
      <c r="A3223" s="162">
        <v>27149</v>
      </c>
      <c r="B3223" s="163">
        <v>8.19</v>
      </c>
      <c r="C3223" s="163"/>
      <c r="D3223" s="163"/>
      <c r="E3223" s="163"/>
      <c r="J3223" s="157">
        <v>45156</v>
      </c>
      <c r="K3223" s="158">
        <v>4.53</v>
      </c>
    </row>
    <row r="3224" spans="1:11" x14ac:dyDescent="0.25">
      <c r="A3224" s="162">
        <v>27150</v>
      </c>
      <c r="B3224" s="163">
        <v>8.16</v>
      </c>
      <c r="C3224" s="163"/>
      <c r="D3224" s="163"/>
      <c r="E3224" s="163"/>
      <c r="J3224" s="157">
        <v>45163</v>
      </c>
      <c r="K3224" s="158">
        <v>4.54</v>
      </c>
    </row>
    <row r="3225" spans="1:11" x14ac:dyDescent="0.25">
      <c r="A3225" s="162">
        <v>27151</v>
      </c>
      <c r="B3225" s="163">
        <v>8.1</v>
      </c>
      <c r="C3225" s="163"/>
      <c r="D3225" s="163"/>
      <c r="E3225" s="163"/>
      <c r="J3225" s="157">
        <v>45170</v>
      </c>
      <c r="K3225" s="158">
        <v>4.4400000000000004</v>
      </c>
    </row>
    <row r="3226" spans="1:11" x14ac:dyDescent="0.25">
      <c r="A3226" s="162">
        <v>27152</v>
      </c>
      <c r="B3226" s="163">
        <v>8.2200000000000006</v>
      </c>
      <c r="C3226" s="163"/>
      <c r="D3226" s="163"/>
      <c r="E3226" s="163"/>
      <c r="J3226" s="157">
        <v>45177</v>
      </c>
      <c r="K3226" s="158">
        <v>4.55</v>
      </c>
    </row>
    <row r="3227" spans="1:11" x14ac:dyDescent="0.25">
      <c r="A3227" s="162">
        <v>27155</v>
      </c>
      <c r="B3227" s="163">
        <v>8.23</v>
      </c>
      <c r="C3227" s="163"/>
      <c r="D3227" s="163"/>
      <c r="E3227" s="163"/>
      <c r="J3227" s="157">
        <v>45184</v>
      </c>
      <c r="K3227" s="158">
        <v>4.5599999999999996</v>
      </c>
    </row>
    <row r="3228" spans="1:11" x14ac:dyDescent="0.25">
      <c r="A3228" s="162">
        <v>27156</v>
      </c>
      <c r="B3228" s="163">
        <v>8.2100000000000009</v>
      </c>
      <c r="C3228" s="163"/>
      <c r="D3228" s="163"/>
      <c r="E3228" s="163"/>
      <c r="J3228" s="157">
        <v>45191</v>
      </c>
      <c r="K3228" s="158">
        <v>4.6399999999999997</v>
      </c>
    </row>
    <row r="3229" spans="1:11" x14ac:dyDescent="0.25">
      <c r="A3229" s="162">
        <v>27157</v>
      </c>
      <c r="B3229" s="163">
        <v>8.16</v>
      </c>
      <c r="C3229" s="163"/>
      <c r="D3229" s="163"/>
      <c r="E3229" s="163"/>
      <c r="J3229" s="157">
        <v>45198</v>
      </c>
      <c r="K3229" s="158">
        <v>4.8899999999999997</v>
      </c>
    </row>
    <row r="3230" spans="1:11" x14ac:dyDescent="0.25">
      <c r="A3230" s="162">
        <v>27158</v>
      </c>
      <c r="B3230" s="163">
        <v>8.17</v>
      </c>
      <c r="C3230" s="163"/>
      <c r="D3230" s="163"/>
      <c r="E3230" s="163"/>
      <c r="J3230" s="157">
        <v>45205</v>
      </c>
      <c r="K3230" s="158">
        <v>5.07</v>
      </c>
    </row>
    <row r="3231" spans="1:11" x14ac:dyDescent="0.25">
      <c r="A3231" s="162">
        <v>27159</v>
      </c>
      <c r="B3231" s="163">
        <v>8.11</v>
      </c>
      <c r="C3231" s="163"/>
      <c r="D3231" s="163"/>
      <c r="E3231" s="163"/>
      <c r="J3231" s="157">
        <v>45212</v>
      </c>
      <c r="K3231" s="158">
        <v>4.99</v>
      </c>
    </row>
    <row r="3232" spans="1:11" x14ac:dyDescent="0.25">
      <c r="A3232" s="162">
        <v>27162</v>
      </c>
      <c r="B3232" s="163">
        <v>8.09</v>
      </c>
      <c r="C3232" s="163"/>
      <c r="D3232" s="163"/>
      <c r="E3232" s="163"/>
      <c r="J3232" s="157">
        <v>45219</v>
      </c>
      <c r="K3232" s="158">
        <v>5.19</v>
      </c>
    </row>
    <row r="3233" spans="1:11" x14ac:dyDescent="0.25">
      <c r="A3233" s="162">
        <v>27163</v>
      </c>
      <c r="B3233" s="163">
        <v>8.1199999999999992</v>
      </c>
      <c r="C3233" s="163"/>
      <c r="D3233" s="163"/>
      <c r="E3233" s="163"/>
      <c r="J3233" s="157">
        <v>45226</v>
      </c>
      <c r="K3233" s="158">
        <v>5.2</v>
      </c>
    </row>
    <row r="3234" spans="1:11" x14ac:dyDescent="0.25">
      <c r="A3234" s="162">
        <v>27164</v>
      </c>
      <c r="B3234" s="163">
        <v>8.1199999999999992</v>
      </c>
      <c r="C3234" s="163"/>
      <c r="D3234" s="163"/>
      <c r="E3234" s="163"/>
      <c r="J3234" s="157">
        <v>45233</v>
      </c>
      <c r="K3234" s="158">
        <v>5.09</v>
      </c>
    </row>
    <row r="3235" spans="1:11" x14ac:dyDescent="0.25">
      <c r="A3235" s="162">
        <v>27165</v>
      </c>
      <c r="B3235" s="163">
        <v>8.1199999999999992</v>
      </c>
      <c r="C3235" s="163"/>
      <c r="D3235" s="163"/>
      <c r="E3235" s="163"/>
      <c r="J3235" s="157">
        <v>45240</v>
      </c>
      <c r="K3235" s="158">
        <v>4.93</v>
      </c>
    </row>
    <row r="3236" spans="1:11" x14ac:dyDescent="0.25">
      <c r="A3236" s="162">
        <v>27166</v>
      </c>
      <c r="B3236" s="163">
        <v>8.14</v>
      </c>
      <c r="C3236" s="163"/>
      <c r="D3236" s="163"/>
      <c r="E3236" s="163"/>
      <c r="J3236" s="157">
        <v>45247</v>
      </c>
      <c r="K3236" s="158">
        <v>4.8499999999999996</v>
      </c>
    </row>
    <row r="3237" spans="1:11" x14ac:dyDescent="0.25">
      <c r="A3237" s="162">
        <v>27169</v>
      </c>
      <c r="B3237" s="163">
        <v>8.17</v>
      </c>
      <c r="C3237" s="163"/>
      <c r="D3237" s="163"/>
      <c r="E3237" s="163"/>
      <c r="J3237" s="157">
        <v>45254</v>
      </c>
      <c r="K3237" s="158">
        <v>4.75</v>
      </c>
    </row>
    <row r="3238" spans="1:11" x14ac:dyDescent="0.25">
      <c r="A3238" s="162">
        <v>27170</v>
      </c>
      <c r="B3238" s="164">
        <v>8.17</v>
      </c>
      <c r="C3238" s="164"/>
      <c r="D3238" s="164"/>
      <c r="E3238" s="164"/>
      <c r="J3238" s="157">
        <v>45261</v>
      </c>
      <c r="K3238" s="158">
        <v>4.67</v>
      </c>
    </row>
    <row r="3239" spans="1:11" x14ac:dyDescent="0.25">
      <c r="A3239" s="162">
        <v>27171</v>
      </c>
      <c r="B3239" s="163">
        <v>8.16</v>
      </c>
      <c r="C3239" s="163"/>
      <c r="D3239" s="163"/>
      <c r="E3239" s="163"/>
      <c r="J3239" s="157">
        <v>45268</v>
      </c>
      <c r="K3239" s="158">
        <v>4.4800000000000004</v>
      </c>
    </row>
    <row r="3240" spans="1:11" x14ac:dyDescent="0.25">
      <c r="A3240" s="162">
        <v>27172</v>
      </c>
      <c r="B3240" s="163">
        <v>8.11</v>
      </c>
      <c r="C3240" s="163"/>
      <c r="D3240" s="163"/>
      <c r="E3240" s="163"/>
      <c r="J3240" s="157">
        <v>45275</v>
      </c>
      <c r="K3240" s="158">
        <v>4.3499999999999996</v>
      </c>
    </row>
    <row r="3241" spans="1:11" x14ac:dyDescent="0.25">
      <c r="A3241" s="162">
        <v>27173</v>
      </c>
      <c r="B3241" s="163">
        <v>8.09</v>
      </c>
      <c r="C3241" s="163"/>
      <c r="D3241" s="163"/>
      <c r="E3241" s="163"/>
      <c r="J3241" s="157">
        <v>45282</v>
      </c>
      <c r="K3241" s="158">
        <v>4.21</v>
      </c>
    </row>
    <row r="3242" spans="1:11" x14ac:dyDescent="0.25">
      <c r="A3242" s="162">
        <v>27176</v>
      </c>
      <c r="B3242" s="163" t="e">
        <f>NA()</f>
        <v>#N/A</v>
      </c>
      <c r="C3242" s="163"/>
      <c r="D3242" s="163"/>
      <c r="E3242" s="163"/>
      <c r="J3242" s="157">
        <v>45289</v>
      </c>
      <c r="K3242" s="158">
        <v>4.16</v>
      </c>
    </row>
    <row r="3243" spans="1:11" x14ac:dyDescent="0.25">
      <c r="A3243" s="162">
        <v>27177</v>
      </c>
      <c r="B3243" s="163">
        <v>8.1199999999999992</v>
      </c>
      <c r="C3243" s="163"/>
      <c r="D3243" s="163"/>
      <c r="E3243" s="163"/>
      <c r="J3243" s="157">
        <v>45296</v>
      </c>
      <c r="K3243" s="158">
        <v>4.28</v>
      </c>
    </row>
    <row r="3244" spans="1:11" x14ac:dyDescent="0.25">
      <c r="A3244" s="162">
        <v>27178</v>
      </c>
      <c r="B3244" s="163">
        <v>8.15</v>
      </c>
      <c r="C3244" s="163"/>
      <c r="D3244" s="163"/>
      <c r="E3244" s="163"/>
      <c r="J3244" s="157">
        <v>45303</v>
      </c>
      <c r="K3244" s="158">
        <v>4.33</v>
      </c>
    </row>
    <row r="3245" spans="1:11" x14ac:dyDescent="0.25">
      <c r="A3245" s="162">
        <v>27179</v>
      </c>
      <c r="B3245" s="163">
        <v>8.1300000000000008</v>
      </c>
      <c r="C3245" s="163"/>
      <c r="D3245" s="163"/>
      <c r="E3245" s="163"/>
      <c r="J3245" s="157">
        <v>45310</v>
      </c>
      <c r="K3245" s="158">
        <v>4.45</v>
      </c>
    </row>
    <row r="3246" spans="1:11" x14ac:dyDescent="0.25">
      <c r="A3246" s="162">
        <v>27180</v>
      </c>
      <c r="B3246" s="163">
        <v>8.1300000000000008</v>
      </c>
      <c r="C3246" s="163"/>
      <c r="D3246" s="163"/>
      <c r="E3246" s="163"/>
      <c r="J3246" s="157">
        <v>45317</v>
      </c>
      <c r="K3246" s="158">
        <v>4.4800000000000004</v>
      </c>
    </row>
    <row r="3247" spans="1:11" x14ac:dyDescent="0.25">
      <c r="A3247" s="162">
        <v>27183</v>
      </c>
      <c r="B3247" s="164">
        <v>8.14</v>
      </c>
      <c r="C3247" s="164"/>
      <c r="D3247" s="164"/>
      <c r="E3247" s="164"/>
      <c r="J3247" s="157">
        <v>45324</v>
      </c>
      <c r="K3247" s="158">
        <v>4.34</v>
      </c>
    </row>
    <row r="3248" spans="1:11" x14ac:dyDescent="0.25">
      <c r="A3248" s="162">
        <v>27184</v>
      </c>
      <c r="B3248" s="163">
        <v>8.1300000000000008</v>
      </c>
      <c r="C3248" s="163"/>
      <c r="D3248" s="163"/>
      <c r="E3248" s="163"/>
      <c r="J3248" s="157">
        <v>45331</v>
      </c>
      <c r="K3248" s="158">
        <v>4.4400000000000004</v>
      </c>
    </row>
    <row r="3249" spans="1:11" x14ac:dyDescent="0.25">
      <c r="A3249" s="162">
        <v>27185</v>
      </c>
      <c r="B3249" s="163">
        <v>8.1199999999999992</v>
      </c>
      <c r="C3249" s="163"/>
      <c r="D3249" s="163"/>
      <c r="E3249" s="163"/>
      <c r="J3249" s="157">
        <v>45338</v>
      </c>
      <c r="K3249" s="158">
        <v>4.55</v>
      </c>
    </row>
    <row r="3250" spans="1:11" x14ac:dyDescent="0.25">
      <c r="A3250" s="162">
        <v>27186</v>
      </c>
      <c r="B3250" s="163">
        <v>8.09</v>
      </c>
      <c r="C3250" s="163"/>
      <c r="D3250" s="163"/>
      <c r="E3250" s="163"/>
      <c r="J3250" s="157">
        <v>45345</v>
      </c>
      <c r="K3250" s="158">
        <v>4.5599999999999996</v>
      </c>
    </row>
    <row r="3251" spans="1:11" x14ac:dyDescent="0.25">
      <c r="A3251" s="162">
        <v>27187</v>
      </c>
      <c r="B3251" s="163">
        <v>8.0500000000000007</v>
      </c>
      <c r="C3251" s="163"/>
      <c r="D3251" s="163"/>
      <c r="E3251" s="163"/>
      <c r="J3251" s="157">
        <v>45352</v>
      </c>
      <c r="K3251" s="158">
        <v>4.5199999999999996</v>
      </c>
    </row>
    <row r="3252" spans="1:11" x14ac:dyDescent="0.25">
      <c r="A3252" s="162">
        <v>27190</v>
      </c>
      <c r="B3252" s="163">
        <v>8.0299999999999994</v>
      </c>
      <c r="C3252" s="163"/>
      <c r="D3252" s="163"/>
      <c r="E3252" s="163"/>
      <c r="J3252" s="157">
        <v>45359</v>
      </c>
      <c r="K3252" s="158">
        <v>4.3899999999999997</v>
      </c>
    </row>
    <row r="3253" spans="1:11" x14ac:dyDescent="0.25">
      <c r="A3253" s="162">
        <v>27191</v>
      </c>
      <c r="B3253" s="163">
        <v>8.0399999999999991</v>
      </c>
      <c r="C3253" s="163"/>
      <c r="D3253" s="163"/>
      <c r="E3253" s="163"/>
      <c r="J3253" s="157">
        <v>45366</v>
      </c>
      <c r="K3253" s="158">
        <v>4.46</v>
      </c>
    </row>
    <row r="3254" spans="1:11" x14ac:dyDescent="0.25">
      <c r="A3254" s="162">
        <v>27192</v>
      </c>
      <c r="B3254" s="163">
        <v>8.06</v>
      </c>
      <c r="C3254" s="163"/>
      <c r="D3254" s="163"/>
      <c r="E3254" s="163"/>
      <c r="J3254" s="157">
        <v>45373</v>
      </c>
      <c r="K3254" s="158">
        <v>4.53</v>
      </c>
    </row>
    <row r="3255" spans="1:11" x14ac:dyDescent="0.25">
      <c r="A3255" s="162">
        <v>27193</v>
      </c>
      <c r="B3255" s="163">
        <v>8.07</v>
      </c>
      <c r="C3255" s="163"/>
      <c r="D3255" s="163"/>
      <c r="E3255" s="163"/>
      <c r="J3255" s="157">
        <v>45380</v>
      </c>
      <c r="K3255" s="158">
        <v>4.4800000000000004</v>
      </c>
    </row>
    <row r="3256" spans="1:11" x14ac:dyDescent="0.25">
      <c r="A3256" s="162">
        <v>27194</v>
      </c>
      <c r="B3256" s="163">
        <v>8.08</v>
      </c>
      <c r="C3256" s="163"/>
      <c r="D3256" s="163"/>
      <c r="E3256" s="163"/>
      <c r="J3256" s="157">
        <v>45387</v>
      </c>
      <c r="K3256" s="158">
        <v>4.5999999999999996</v>
      </c>
    </row>
    <row r="3257" spans="1:11" x14ac:dyDescent="0.25">
      <c r="A3257" s="162">
        <v>27197</v>
      </c>
      <c r="B3257" s="163">
        <v>8.09</v>
      </c>
      <c r="C3257" s="163"/>
      <c r="D3257" s="163"/>
      <c r="E3257" s="163"/>
      <c r="J3257" s="157">
        <v>45394</v>
      </c>
      <c r="K3257" s="158">
        <v>4.7</v>
      </c>
    </row>
    <row r="3258" spans="1:11" x14ac:dyDescent="0.25">
      <c r="A3258" s="162">
        <v>27198</v>
      </c>
      <c r="B3258" s="163">
        <v>8.09</v>
      </c>
      <c r="C3258" s="163"/>
      <c r="D3258" s="163"/>
      <c r="E3258" s="163"/>
      <c r="J3258" s="157">
        <v>45401</v>
      </c>
      <c r="K3258" s="158">
        <v>4.84</v>
      </c>
    </row>
    <row r="3259" spans="1:11" x14ac:dyDescent="0.25">
      <c r="A3259" s="162">
        <v>27199</v>
      </c>
      <c r="B3259" s="163">
        <v>8.1</v>
      </c>
      <c r="C3259" s="163"/>
      <c r="D3259" s="163"/>
      <c r="E3259" s="163"/>
      <c r="J3259" s="157">
        <v>45408</v>
      </c>
      <c r="K3259" s="158">
        <v>4.88</v>
      </c>
    </row>
    <row r="3260" spans="1:11" x14ac:dyDescent="0.25">
      <c r="A3260" s="162">
        <v>27200</v>
      </c>
      <c r="B3260" s="163">
        <v>8.1</v>
      </c>
      <c r="C3260" s="163"/>
      <c r="D3260" s="163"/>
      <c r="E3260" s="163"/>
      <c r="J3260" s="157">
        <v>45415</v>
      </c>
      <c r="K3260" s="158">
        <v>4.84</v>
      </c>
    </row>
    <row r="3261" spans="1:11" x14ac:dyDescent="0.25">
      <c r="A3261" s="162">
        <v>27201</v>
      </c>
      <c r="B3261" s="163">
        <v>8.11</v>
      </c>
      <c r="C3261" s="163"/>
      <c r="D3261" s="163"/>
      <c r="E3261" s="163"/>
      <c r="J3261" s="157">
        <v>45422</v>
      </c>
      <c r="K3261" s="158">
        <v>4.72</v>
      </c>
    </row>
    <row r="3262" spans="1:11" x14ac:dyDescent="0.25">
      <c r="A3262" s="162">
        <v>27204</v>
      </c>
      <c r="B3262" s="163">
        <v>8.1300000000000008</v>
      </c>
      <c r="C3262" s="163"/>
      <c r="D3262" s="163"/>
      <c r="E3262" s="163"/>
    </row>
    <row r="3263" spans="1:11" x14ac:dyDescent="0.25">
      <c r="A3263" s="162">
        <v>27205</v>
      </c>
      <c r="B3263" s="163">
        <v>8.15</v>
      </c>
      <c r="C3263" s="163"/>
      <c r="D3263" s="163"/>
      <c r="E3263" s="163"/>
    </row>
    <row r="3264" spans="1:11" x14ac:dyDescent="0.25">
      <c r="A3264" s="162">
        <v>27206</v>
      </c>
      <c r="B3264" s="163">
        <v>8.17</v>
      </c>
      <c r="C3264" s="163"/>
      <c r="D3264" s="163"/>
      <c r="E3264" s="163"/>
    </row>
    <row r="3265" spans="1:5" x14ac:dyDescent="0.25">
      <c r="A3265" s="162">
        <v>27207</v>
      </c>
      <c r="B3265" s="163">
        <v>8.17</v>
      </c>
      <c r="C3265" s="163"/>
      <c r="D3265" s="163"/>
      <c r="E3265" s="163"/>
    </row>
    <row r="3266" spans="1:5" x14ac:dyDescent="0.25">
      <c r="A3266" s="162">
        <v>27208</v>
      </c>
      <c r="B3266" s="163">
        <v>8.17</v>
      </c>
      <c r="C3266" s="163"/>
      <c r="D3266" s="163"/>
      <c r="E3266" s="163"/>
    </row>
    <row r="3267" spans="1:5" x14ac:dyDescent="0.25">
      <c r="A3267" s="162">
        <v>27211</v>
      </c>
      <c r="B3267" s="163">
        <v>8.18</v>
      </c>
      <c r="C3267" s="163"/>
      <c r="D3267" s="163"/>
      <c r="E3267" s="163"/>
    </row>
    <row r="3268" spans="1:5" x14ac:dyDescent="0.25">
      <c r="A3268" s="162">
        <v>27212</v>
      </c>
      <c r="B3268" s="163">
        <v>8.18</v>
      </c>
      <c r="C3268" s="163"/>
      <c r="D3268" s="163"/>
      <c r="E3268" s="163"/>
    </row>
    <row r="3269" spans="1:5" x14ac:dyDescent="0.25">
      <c r="A3269" s="162">
        <v>27213</v>
      </c>
      <c r="B3269" s="164">
        <v>8.2200000000000006</v>
      </c>
      <c r="C3269" s="164"/>
      <c r="D3269" s="164"/>
      <c r="E3269" s="164"/>
    </row>
    <row r="3270" spans="1:5" x14ac:dyDescent="0.25">
      <c r="A3270" s="162">
        <v>27214</v>
      </c>
      <c r="B3270" s="163" t="e">
        <f>NA()</f>
        <v>#N/A</v>
      </c>
      <c r="C3270" s="163"/>
      <c r="D3270" s="163"/>
      <c r="E3270" s="163"/>
    </row>
    <row r="3271" spans="1:5" x14ac:dyDescent="0.25">
      <c r="A3271" s="162">
        <v>27215</v>
      </c>
      <c r="B3271" s="163">
        <v>8.23</v>
      </c>
      <c r="C3271" s="163"/>
      <c r="D3271" s="163"/>
      <c r="E3271" s="163"/>
    </row>
    <row r="3272" spans="1:5" x14ac:dyDescent="0.25">
      <c r="A3272" s="162">
        <v>27218</v>
      </c>
      <c r="B3272" s="163">
        <v>8.27</v>
      </c>
      <c r="C3272" s="163"/>
      <c r="D3272" s="163"/>
      <c r="E3272" s="163"/>
    </row>
    <row r="3273" spans="1:5" x14ac:dyDescent="0.25">
      <c r="A3273" s="162">
        <v>27219</v>
      </c>
      <c r="B3273" s="163">
        <v>8.3000000000000007</v>
      </c>
      <c r="C3273" s="163"/>
      <c r="D3273" s="163"/>
      <c r="E3273" s="163"/>
    </row>
    <row r="3274" spans="1:5" x14ac:dyDescent="0.25">
      <c r="A3274" s="162">
        <v>27220</v>
      </c>
      <c r="B3274" s="164">
        <v>8.32</v>
      </c>
      <c r="C3274" s="164"/>
      <c r="D3274" s="164"/>
      <c r="E3274" s="164"/>
    </row>
    <row r="3275" spans="1:5" x14ac:dyDescent="0.25">
      <c r="A3275" s="162">
        <v>27221</v>
      </c>
      <c r="B3275" s="163">
        <v>8.33</v>
      </c>
      <c r="C3275" s="163"/>
      <c r="D3275" s="163"/>
      <c r="E3275" s="163"/>
    </row>
    <row r="3276" spans="1:5" x14ac:dyDescent="0.25">
      <c r="A3276" s="162">
        <v>27222</v>
      </c>
      <c r="B3276" s="163">
        <v>8.3000000000000007</v>
      </c>
      <c r="C3276" s="163"/>
      <c r="D3276" s="163"/>
      <c r="E3276" s="163"/>
    </row>
    <row r="3277" spans="1:5" x14ac:dyDescent="0.25">
      <c r="A3277" s="162">
        <v>27225</v>
      </c>
      <c r="B3277" s="163">
        <v>8.31</v>
      </c>
      <c r="C3277" s="163"/>
      <c r="D3277" s="163"/>
      <c r="E3277" s="163"/>
    </row>
    <row r="3278" spans="1:5" x14ac:dyDescent="0.25">
      <c r="A3278" s="162">
        <v>27226</v>
      </c>
      <c r="B3278" s="163">
        <v>8.32</v>
      </c>
      <c r="C3278" s="163"/>
      <c r="D3278" s="163"/>
      <c r="E3278" s="163"/>
    </row>
    <row r="3279" spans="1:5" x14ac:dyDescent="0.25">
      <c r="A3279" s="162">
        <v>27227</v>
      </c>
      <c r="B3279" s="163">
        <v>8.32</v>
      </c>
      <c r="C3279" s="163"/>
      <c r="D3279" s="163"/>
      <c r="E3279" s="163"/>
    </row>
    <row r="3280" spans="1:5" x14ac:dyDescent="0.25">
      <c r="A3280" s="162">
        <v>27228</v>
      </c>
      <c r="B3280" s="163">
        <v>8.31</v>
      </c>
      <c r="C3280" s="163"/>
      <c r="D3280" s="163"/>
      <c r="E3280" s="163"/>
    </row>
    <row r="3281" spans="1:5" x14ac:dyDescent="0.25">
      <c r="A3281" s="162">
        <v>27229</v>
      </c>
      <c r="B3281" s="163">
        <v>8.2799999999999994</v>
      </c>
      <c r="C3281" s="163"/>
      <c r="D3281" s="163"/>
      <c r="E3281" s="163"/>
    </row>
    <row r="3282" spans="1:5" x14ac:dyDescent="0.25">
      <c r="A3282" s="162">
        <v>27232</v>
      </c>
      <c r="B3282" s="163">
        <v>8.2200000000000006</v>
      </c>
      <c r="C3282" s="163"/>
      <c r="D3282" s="163"/>
      <c r="E3282" s="163"/>
    </row>
    <row r="3283" spans="1:5" x14ac:dyDescent="0.25">
      <c r="A3283" s="162">
        <v>27233</v>
      </c>
      <c r="B3283" s="163">
        <v>8.2200000000000006</v>
      </c>
      <c r="C3283" s="163"/>
      <c r="D3283" s="163"/>
      <c r="E3283" s="163"/>
    </row>
    <row r="3284" spans="1:5" x14ac:dyDescent="0.25">
      <c r="A3284" s="162">
        <v>27234</v>
      </c>
      <c r="B3284" s="164">
        <v>8.1999999999999993</v>
      </c>
      <c r="C3284" s="164"/>
      <c r="D3284" s="164"/>
      <c r="E3284" s="164"/>
    </row>
    <row r="3285" spans="1:5" x14ac:dyDescent="0.25">
      <c r="A3285" s="162">
        <v>27235</v>
      </c>
      <c r="B3285" s="163">
        <v>8.16</v>
      </c>
      <c r="C3285" s="163"/>
      <c r="D3285" s="163"/>
      <c r="E3285" s="163"/>
    </row>
    <row r="3286" spans="1:5" x14ac:dyDescent="0.25">
      <c r="A3286" s="162">
        <v>27236</v>
      </c>
      <c r="B3286" s="163">
        <v>8.1999999999999993</v>
      </c>
      <c r="C3286" s="163"/>
      <c r="D3286" s="163"/>
      <c r="E3286" s="163"/>
    </row>
    <row r="3287" spans="1:5" x14ac:dyDescent="0.25">
      <c r="A3287" s="162">
        <v>27239</v>
      </c>
      <c r="B3287" s="163">
        <v>8.25</v>
      </c>
      <c r="C3287" s="163"/>
      <c r="D3287" s="163"/>
      <c r="E3287" s="163"/>
    </row>
    <row r="3288" spans="1:5" x14ac:dyDescent="0.25">
      <c r="A3288" s="162">
        <v>27240</v>
      </c>
      <c r="B3288" s="163">
        <v>8.32</v>
      </c>
      <c r="C3288" s="163"/>
      <c r="D3288" s="163"/>
      <c r="E3288" s="163"/>
    </row>
    <row r="3289" spans="1:5" x14ac:dyDescent="0.25">
      <c r="A3289" s="162">
        <v>27241</v>
      </c>
      <c r="B3289" s="163">
        <v>8.33</v>
      </c>
      <c r="C3289" s="163"/>
      <c r="D3289" s="163"/>
      <c r="E3289" s="163"/>
    </row>
    <row r="3290" spans="1:5" x14ac:dyDescent="0.25">
      <c r="A3290" s="162">
        <v>27242</v>
      </c>
      <c r="B3290" s="163">
        <v>8.49</v>
      </c>
      <c r="C3290" s="163"/>
      <c r="D3290" s="163"/>
      <c r="E3290" s="163"/>
    </row>
    <row r="3291" spans="1:5" x14ac:dyDescent="0.25">
      <c r="A3291" s="162">
        <v>27243</v>
      </c>
      <c r="B3291" s="163">
        <v>8.51</v>
      </c>
      <c r="C3291" s="163"/>
      <c r="D3291" s="163"/>
      <c r="E3291" s="163"/>
    </row>
    <row r="3292" spans="1:5" x14ac:dyDescent="0.25">
      <c r="A3292" s="162">
        <v>27246</v>
      </c>
      <c r="B3292" s="163">
        <v>8.5399999999999991</v>
      </c>
      <c r="C3292" s="163"/>
      <c r="D3292" s="163"/>
      <c r="E3292" s="163"/>
    </row>
    <row r="3293" spans="1:5" x14ac:dyDescent="0.25">
      <c r="A3293" s="162">
        <v>27247</v>
      </c>
      <c r="B3293" s="163">
        <v>8.51</v>
      </c>
      <c r="C3293" s="163"/>
      <c r="D3293" s="163"/>
      <c r="E3293" s="163"/>
    </row>
    <row r="3294" spans="1:5" x14ac:dyDescent="0.25">
      <c r="A3294" s="162">
        <v>27248</v>
      </c>
      <c r="B3294" s="163">
        <v>8.52</v>
      </c>
      <c r="C3294" s="163"/>
      <c r="D3294" s="163"/>
      <c r="E3294" s="163"/>
    </row>
    <row r="3295" spans="1:5" x14ac:dyDescent="0.25">
      <c r="A3295" s="162">
        <v>27249</v>
      </c>
      <c r="B3295" s="163">
        <v>8.58</v>
      </c>
      <c r="C3295" s="163"/>
      <c r="D3295" s="163"/>
      <c r="E3295" s="163"/>
    </row>
    <row r="3296" spans="1:5" x14ac:dyDescent="0.25">
      <c r="A3296" s="162">
        <v>27250</v>
      </c>
      <c r="B3296" s="163">
        <v>8.56</v>
      </c>
      <c r="C3296" s="163"/>
      <c r="D3296" s="163"/>
      <c r="E3296" s="163"/>
    </row>
    <row r="3297" spans="1:5" x14ac:dyDescent="0.25">
      <c r="A3297" s="162">
        <v>27253</v>
      </c>
      <c r="B3297" s="163">
        <v>8.6199999999999992</v>
      </c>
      <c r="C3297" s="163"/>
      <c r="D3297" s="163"/>
      <c r="E3297" s="163"/>
    </row>
    <row r="3298" spans="1:5" x14ac:dyDescent="0.25">
      <c r="A3298" s="162">
        <v>27254</v>
      </c>
      <c r="B3298" s="163">
        <v>8.6300000000000008</v>
      </c>
      <c r="C3298" s="163"/>
      <c r="D3298" s="163"/>
      <c r="E3298" s="163"/>
    </row>
    <row r="3299" spans="1:5" x14ac:dyDescent="0.25">
      <c r="A3299" s="162">
        <v>27255</v>
      </c>
      <c r="B3299" s="163">
        <v>8.6199999999999992</v>
      </c>
      <c r="C3299" s="163"/>
      <c r="D3299" s="163"/>
      <c r="E3299" s="163"/>
    </row>
    <row r="3300" spans="1:5" x14ac:dyDescent="0.25">
      <c r="A3300" s="162">
        <v>27256</v>
      </c>
      <c r="B3300" s="163">
        <v>8.58</v>
      </c>
      <c r="C3300" s="163"/>
      <c r="D3300" s="163"/>
      <c r="E3300" s="163"/>
    </row>
    <row r="3301" spans="1:5" x14ac:dyDescent="0.25">
      <c r="A3301" s="162">
        <v>27257</v>
      </c>
      <c r="B3301" s="163">
        <v>8.57</v>
      </c>
      <c r="C3301" s="163"/>
      <c r="D3301" s="163"/>
      <c r="E3301" s="163"/>
    </row>
    <row r="3302" spans="1:5" x14ac:dyDescent="0.25">
      <c r="A3302" s="162">
        <v>27260</v>
      </c>
      <c r="B3302" s="163">
        <v>8.5500000000000007</v>
      </c>
      <c r="C3302" s="163"/>
      <c r="D3302" s="163"/>
      <c r="E3302" s="163"/>
    </row>
    <row r="3303" spans="1:5" x14ac:dyDescent="0.25">
      <c r="A3303" s="162">
        <v>27261</v>
      </c>
      <c r="B3303" s="163">
        <v>8.58</v>
      </c>
      <c r="C3303" s="163"/>
      <c r="D3303" s="163"/>
      <c r="E3303" s="163"/>
    </row>
    <row r="3304" spans="1:5" x14ac:dyDescent="0.25">
      <c r="A3304" s="162">
        <v>27262</v>
      </c>
      <c r="B3304" s="163">
        <v>8.6199999999999992</v>
      </c>
      <c r="C3304" s="163"/>
      <c r="D3304" s="163"/>
      <c r="E3304" s="163"/>
    </row>
    <row r="3305" spans="1:5" x14ac:dyDescent="0.25">
      <c r="A3305" s="162">
        <v>27263</v>
      </c>
      <c r="B3305" s="163">
        <v>8.65</v>
      </c>
      <c r="C3305" s="163"/>
      <c r="D3305" s="163"/>
      <c r="E3305" s="163"/>
    </row>
    <row r="3306" spans="1:5" x14ac:dyDescent="0.25">
      <c r="A3306" s="162">
        <v>27264</v>
      </c>
      <c r="B3306" s="163">
        <v>8.6999999999999993</v>
      </c>
      <c r="C3306" s="163"/>
      <c r="D3306" s="163"/>
      <c r="E3306" s="163"/>
    </row>
    <row r="3307" spans="1:5" x14ac:dyDescent="0.25">
      <c r="A3307" s="162">
        <v>27267</v>
      </c>
      <c r="B3307" s="163">
        <v>8.7200000000000006</v>
      </c>
      <c r="C3307" s="163"/>
      <c r="D3307" s="163"/>
      <c r="E3307" s="163"/>
    </row>
    <row r="3308" spans="1:5" x14ac:dyDescent="0.25">
      <c r="A3308" s="162">
        <v>27268</v>
      </c>
      <c r="B3308" s="163">
        <v>8.7100000000000009</v>
      </c>
      <c r="C3308" s="163"/>
      <c r="D3308" s="163"/>
      <c r="E3308" s="163"/>
    </row>
    <row r="3309" spans="1:5" x14ac:dyDescent="0.25">
      <c r="A3309" s="162">
        <v>27269</v>
      </c>
      <c r="B3309" s="164">
        <v>8.68</v>
      </c>
      <c r="C3309" s="164"/>
      <c r="D3309" s="164"/>
      <c r="E3309" s="164"/>
    </row>
    <row r="3310" spans="1:5" x14ac:dyDescent="0.25">
      <c r="A3310" s="162">
        <v>27270</v>
      </c>
      <c r="B3310" s="163">
        <v>8.67</v>
      </c>
      <c r="C3310" s="163"/>
      <c r="D3310" s="163"/>
      <c r="E3310" s="163"/>
    </row>
    <row r="3311" spans="1:5" x14ac:dyDescent="0.25">
      <c r="A3311" s="162">
        <v>27271</v>
      </c>
      <c r="B3311" s="163">
        <v>8.64</v>
      </c>
      <c r="C3311" s="163"/>
      <c r="D3311" s="163"/>
      <c r="E3311" s="163"/>
    </row>
    <row r="3312" spans="1:5" x14ac:dyDescent="0.25">
      <c r="A3312" s="162">
        <v>27274</v>
      </c>
      <c r="B3312" s="163" t="e">
        <f>NA()</f>
        <v>#N/A</v>
      </c>
      <c r="C3312" s="163"/>
      <c r="D3312" s="163"/>
      <c r="E3312" s="163"/>
    </row>
    <row r="3313" spans="1:5" x14ac:dyDescent="0.25">
      <c r="A3313" s="162">
        <v>27275</v>
      </c>
      <c r="B3313" s="163">
        <v>8.64</v>
      </c>
      <c r="C3313" s="163"/>
      <c r="D3313" s="163"/>
      <c r="E3313" s="163"/>
    </row>
    <row r="3314" spans="1:5" x14ac:dyDescent="0.25">
      <c r="A3314" s="162">
        <v>27276</v>
      </c>
      <c r="B3314" s="163">
        <v>8.67</v>
      </c>
      <c r="C3314" s="163"/>
      <c r="D3314" s="163"/>
      <c r="E3314" s="163"/>
    </row>
    <row r="3315" spans="1:5" x14ac:dyDescent="0.25">
      <c r="A3315" s="162">
        <v>27277</v>
      </c>
      <c r="B3315" s="163">
        <v>8.65</v>
      </c>
      <c r="C3315" s="163"/>
      <c r="D3315" s="163"/>
      <c r="E3315" s="163"/>
    </row>
    <row r="3316" spans="1:5" x14ac:dyDescent="0.25">
      <c r="A3316" s="162">
        <v>27278</v>
      </c>
      <c r="B3316" s="163">
        <v>8.64</v>
      </c>
      <c r="C3316" s="163"/>
      <c r="D3316" s="163"/>
      <c r="E3316" s="163"/>
    </row>
    <row r="3317" spans="1:5" x14ac:dyDescent="0.25">
      <c r="A3317" s="162">
        <v>27281</v>
      </c>
      <c r="B3317" s="163">
        <v>8.57</v>
      </c>
      <c r="C3317" s="163"/>
      <c r="D3317" s="163"/>
      <c r="E3317" s="163"/>
    </row>
    <row r="3318" spans="1:5" x14ac:dyDescent="0.25">
      <c r="A3318" s="162">
        <v>27282</v>
      </c>
      <c r="B3318" s="163">
        <v>8.6</v>
      </c>
      <c r="C3318" s="163"/>
      <c r="D3318" s="163"/>
      <c r="E3318" s="163"/>
    </row>
    <row r="3319" spans="1:5" x14ac:dyDescent="0.25">
      <c r="A3319" s="162">
        <v>27283</v>
      </c>
      <c r="B3319" s="163">
        <v>8.59</v>
      </c>
      <c r="C3319" s="163"/>
      <c r="D3319" s="163"/>
      <c r="E3319" s="163"/>
    </row>
    <row r="3320" spans="1:5" x14ac:dyDescent="0.25">
      <c r="A3320" s="162">
        <v>27284</v>
      </c>
      <c r="B3320" s="163">
        <v>8.6199999999999992</v>
      </c>
      <c r="C3320" s="163"/>
      <c r="D3320" s="163"/>
      <c r="E3320" s="163"/>
    </row>
    <row r="3321" spans="1:5" x14ac:dyDescent="0.25">
      <c r="A3321" s="162">
        <v>27285</v>
      </c>
      <c r="B3321" s="163">
        <v>8.64</v>
      </c>
      <c r="C3321" s="163"/>
      <c r="D3321" s="163"/>
      <c r="E3321" s="163"/>
    </row>
    <row r="3322" spans="1:5" x14ac:dyDescent="0.25">
      <c r="A3322" s="162">
        <v>27288</v>
      </c>
      <c r="B3322" s="163">
        <v>8.64</v>
      </c>
      <c r="C3322" s="163"/>
      <c r="D3322" s="163"/>
      <c r="E3322" s="163"/>
    </row>
    <row r="3323" spans="1:5" x14ac:dyDescent="0.25">
      <c r="A3323" s="162">
        <v>27289</v>
      </c>
      <c r="B3323" s="163">
        <v>8.65</v>
      </c>
      <c r="C3323" s="163"/>
      <c r="D3323" s="163"/>
      <c r="E3323" s="163"/>
    </row>
    <row r="3324" spans="1:5" x14ac:dyDescent="0.25">
      <c r="A3324" s="162">
        <v>27290</v>
      </c>
      <c r="B3324" s="163">
        <v>8.64</v>
      </c>
      <c r="C3324" s="163"/>
      <c r="D3324" s="163"/>
      <c r="E3324" s="163"/>
    </row>
    <row r="3325" spans="1:5" x14ac:dyDescent="0.25">
      <c r="A3325" s="162">
        <v>27291</v>
      </c>
      <c r="B3325" s="163">
        <v>8.6300000000000008</v>
      </c>
      <c r="C3325" s="163"/>
      <c r="D3325" s="163"/>
      <c r="E3325" s="163"/>
    </row>
    <row r="3326" spans="1:5" x14ac:dyDescent="0.25">
      <c r="A3326" s="162">
        <v>27292</v>
      </c>
      <c r="B3326" s="163">
        <v>8.59</v>
      </c>
      <c r="C3326" s="163"/>
      <c r="D3326" s="163"/>
      <c r="E3326" s="163"/>
    </row>
    <row r="3327" spans="1:5" x14ac:dyDescent="0.25">
      <c r="A3327" s="162">
        <v>27295</v>
      </c>
      <c r="B3327" s="163">
        <v>8.52</v>
      </c>
      <c r="C3327" s="163"/>
      <c r="D3327" s="163"/>
      <c r="E3327" s="163"/>
    </row>
    <row r="3328" spans="1:5" x14ac:dyDescent="0.25">
      <c r="A3328" s="162">
        <v>27296</v>
      </c>
      <c r="B3328" s="163">
        <v>8.5399999999999991</v>
      </c>
      <c r="C3328" s="163"/>
      <c r="D3328" s="163"/>
      <c r="E3328" s="163"/>
    </row>
    <row r="3329" spans="1:5" x14ac:dyDescent="0.25">
      <c r="A3329" s="162">
        <v>27297</v>
      </c>
      <c r="B3329" s="163">
        <v>8.5500000000000007</v>
      </c>
      <c r="C3329" s="163"/>
      <c r="D3329" s="163"/>
      <c r="E3329" s="163"/>
    </row>
    <row r="3330" spans="1:5" x14ac:dyDescent="0.25">
      <c r="A3330" s="162">
        <v>27298</v>
      </c>
      <c r="B3330" s="163">
        <v>8.5500000000000007</v>
      </c>
      <c r="C3330" s="163"/>
      <c r="D3330" s="163"/>
      <c r="E3330" s="163"/>
    </row>
    <row r="3331" spans="1:5" x14ac:dyDescent="0.25">
      <c r="A3331" s="162">
        <v>27299</v>
      </c>
      <c r="B3331" s="163">
        <v>8.48</v>
      </c>
      <c r="C3331" s="163"/>
      <c r="D3331" s="163"/>
      <c r="E3331" s="163"/>
    </row>
    <row r="3332" spans="1:5" x14ac:dyDescent="0.25">
      <c r="A3332" s="162">
        <v>27302</v>
      </c>
      <c r="B3332" s="163">
        <v>8.49</v>
      </c>
      <c r="C3332" s="163"/>
      <c r="D3332" s="163"/>
      <c r="E3332" s="163"/>
    </row>
    <row r="3333" spans="1:5" x14ac:dyDescent="0.25">
      <c r="A3333" s="162">
        <v>27303</v>
      </c>
      <c r="B3333" s="163">
        <v>8.52</v>
      </c>
      <c r="C3333" s="163"/>
      <c r="D3333" s="163"/>
      <c r="E3333" s="163"/>
    </row>
    <row r="3334" spans="1:5" x14ac:dyDescent="0.25">
      <c r="A3334" s="162">
        <v>27304</v>
      </c>
      <c r="B3334" s="163">
        <v>8.5399999999999991</v>
      </c>
      <c r="C3334" s="163"/>
      <c r="D3334" s="163"/>
      <c r="E3334" s="163"/>
    </row>
    <row r="3335" spans="1:5" x14ac:dyDescent="0.25">
      <c r="A3335" s="162">
        <v>27305</v>
      </c>
      <c r="B3335" s="163">
        <v>8.59</v>
      </c>
      <c r="C3335" s="163"/>
      <c r="D3335" s="163"/>
      <c r="E3335" s="163"/>
    </row>
    <row r="3336" spans="1:5" x14ac:dyDescent="0.25">
      <c r="A3336" s="162">
        <v>27306</v>
      </c>
      <c r="B3336" s="163">
        <v>8.57</v>
      </c>
      <c r="C3336" s="163"/>
      <c r="D3336" s="163"/>
      <c r="E3336" s="163"/>
    </row>
    <row r="3337" spans="1:5" x14ac:dyDescent="0.25">
      <c r="A3337" s="162">
        <v>27309</v>
      </c>
      <c r="B3337" s="163">
        <v>8.49</v>
      </c>
      <c r="C3337" s="163"/>
      <c r="D3337" s="163"/>
      <c r="E3337" s="163"/>
    </row>
    <row r="3338" spans="1:5" x14ac:dyDescent="0.25">
      <c r="A3338" s="162">
        <v>27310</v>
      </c>
      <c r="B3338" s="163">
        <v>8.44</v>
      </c>
      <c r="C3338" s="163"/>
      <c r="D3338" s="163"/>
      <c r="E3338" s="163"/>
    </row>
    <row r="3339" spans="1:5" x14ac:dyDescent="0.25">
      <c r="A3339" s="162">
        <v>27311</v>
      </c>
      <c r="B3339" s="163">
        <v>8.4700000000000006</v>
      </c>
      <c r="C3339" s="163"/>
      <c r="D3339" s="163"/>
      <c r="E3339" s="163"/>
    </row>
    <row r="3340" spans="1:5" x14ac:dyDescent="0.25">
      <c r="A3340" s="162">
        <v>27312</v>
      </c>
      <c r="B3340" s="163">
        <v>8.44</v>
      </c>
      <c r="C3340" s="163"/>
      <c r="D3340" s="163"/>
      <c r="E3340" s="163"/>
    </row>
    <row r="3341" spans="1:5" x14ac:dyDescent="0.25">
      <c r="A3341" s="162">
        <v>27313</v>
      </c>
      <c r="B3341" s="163">
        <v>8.35</v>
      </c>
      <c r="C3341" s="163"/>
      <c r="D3341" s="163"/>
      <c r="E3341" s="163"/>
    </row>
    <row r="3342" spans="1:5" x14ac:dyDescent="0.25">
      <c r="A3342" s="162">
        <v>27316</v>
      </c>
      <c r="B3342" s="163" t="e">
        <f>NA()</f>
        <v>#N/A</v>
      </c>
      <c r="C3342" s="163"/>
      <c r="D3342" s="163"/>
      <c r="E3342" s="163"/>
    </row>
    <row r="3343" spans="1:5" x14ac:dyDescent="0.25">
      <c r="A3343" s="162">
        <v>27317</v>
      </c>
      <c r="B3343" s="163">
        <v>8.31</v>
      </c>
      <c r="C3343" s="163"/>
      <c r="D3343" s="163"/>
      <c r="E3343" s="163"/>
    </row>
    <row r="3344" spans="1:5" x14ac:dyDescent="0.25">
      <c r="A3344" s="162">
        <v>27318</v>
      </c>
      <c r="B3344" s="163">
        <v>8.35</v>
      </c>
      <c r="C3344" s="163"/>
      <c r="D3344" s="163"/>
      <c r="E3344" s="163"/>
    </row>
    <row r="3345" spans="1:5" x14ac:dyDescent="0.25">
      <c r="A3345" s="162">
        <v>27319</v>
      </c>
      <c r="B3345" s="163">
        <v>8.3699999999999992</v>
      </c>
      <c r="C3345" s="163"/>
      <c r="D3345" s="163"/>
      <c r="E3345" s="163"/>
    </row>
    <row r="3346" spans="1:5" x14ac:dyDescent="0.25">
      <c r="A3346" s="162">
        <v>27320</v>
      </c>
      <c r="B3346" s="163">
        <v>8.34</v>
      </c>
      <c r="C3346" s="163"/>
      <c r="D3346" s="163"/>
      <c r="E3346" s="163"/>
    </row>
    <row r="3347" spans="1:5" x14ac:dyDescent="0.25">
      <c r="A3347" s="162">
        <v>27323</v>
      </c>
      <c r="B3347" s="163">
        <v>8.2899999999999991</v>
      </c>
      <c r="C3347" s="163"/>
      <c r="D3347" s="163"/>
      <c r="E3347" s="163"/>
    </row>
    <row r="3348" spans="1:5" x14ac:dyDescent="0.25">
      <c r="A3348" s="162">
        <v>27324</v>
      </c>
      <c r="B3348" s="164">
        <v>8.2899999999999991</v>
      </c>
      <c r="C3348" s="164"/>
      <c r="D3348" s="164"/>
      <c r="E3348" s="164"/>
    </row>
    <row r="3349" spans="1:5" x14ac:dyDescent="0.25">
      <c r="A3349" s="162">
        <v>27325</v>
      </c>
      <c r="B3349" s="163">
        <v>8.31</v>
      </c>
      <c r="C3349" s="163"/>
      <c r="D3349" s="163"/>
      <c r="E3349" s="163"/>
    </row>
    <row r="3350" spans="1:5" x14ac:dyDescent="0.25">
      <c r="A3350" s="162">
        <v>27326</v>
      </c>
      <c r="B3350" s="163">
        <v>8.32</v>
      </c>
      <c r="C3350" s="163"/>
      <c r="D3350" s="163"/>
      <c r="E3350" s="163"/>
    </row>
    <row r="3351" spans="1:5" x14ac:dyDescent="0.25">
      <c r="A3351" s="162">
        <v>27327</v>
      </c>
      <c r="B3351" s="163">
        <v>8.2799999999999994</v>
      </c>
      <c r="C3351" s="163"/>
      <c r="D3351" s="163"/>
      <c r="E3351" s="163"/>
    </row>
    <row r="3352" spans="1:5" x14ac:dyDescent="0.25">
      <c r="A3352" s="162">
        <v>27330</v>
      </c>
      <c r="B3352" s="163">
        <v>8.2899999999999991</v>
      </c>
      <c r="C3352" s="163"/>
      <c r="D3352" s="163"/>
      <c r="E3352" s="163"/>
    </row>
    <row r="3353" spans="1:5" x14ac:dyDescent="0.25">
      <c r="A3353" s="162">
        <v>27331</v>
      </c>
      <c r="B3353" s="163">
        <v>8.25</v>
      </c>
      <c r="C3353" s="163"/>
      <c r="D3353" s="163"/>
      <c r="E3353" s="163"/>
    </row>
    <row r="3354" spans="1:5" x14ac:dyDescent="0.25">
      <c r="A3354" s="162">
        <v>27332</v>
      </c>
      <c r="B3354" s="163">
        <v>8.15</v>
      </c>
      <c r="C3354" s="163"/>
      <c r="D3354" s="163"/>
      <c r="E3354" s="163"/>
    </row>
    <row r="3355" spans="1:5" x14ac:dyDescent="0.25">
      <c r="A3355" s="162">
        <v>27333</v>
      </c>
      <c r="B3355" s="163">
        <v>8.1199999999999992</v>
      </c>
      <c r="C3355" s="163"/>
      <c r="D3355" s="163"/>
      <c r="E3355" s="163"/>
    </row>
    <row r="3356" spans="1:5" x14ac:dyDescent="0.25">
      <c r="A3356" s="162">
        <v>27334</v>
      </c>
      <c r="B3356" s="163">
        <v>8.1300000000000008</v>
      </c>
      <c r="C3356" s="163"/>
      <c r="D3356" s="163"/>
      <c r="E3356" s="163"/>
    </row>
    <row r="3357" spans="1:5" x14ac:dyDescent="0.25">
      <c r="A3357" s="162">
        <v>27337</v>
      </c>
      <c r="B3357" s="163">
        <v>8.1199999999999992</v>
      </c>
      <c r="C3357" s="163"/>
      <c r="D3357" s="163"/>
      <c r="E3357" s="163"/>
    </row>
    <row r="3358" spans="1:5" x14ac:dyDescent="0.25">
      <c r="A3358" s="162">
        <v>27338</v>
      </c>
      <c r="B3358" s="163" t="e">
        <f>NA()</f>
        <v>#N/A</v>
      </c>
      <c r="C3358" s="163"/>
      <c r="D3358" s="163"/>
      <c r="E3358" s="163"/>
    </row>
    <row r="3359" spans="1:5" x14ac:dyDescent="0.25">
      <c r="A3359" s="162">
        <v>27339</v>
      </c>
      <c r="B3359" s="163">
        <v>8.09</v>
      </c>
      <c r="C3359" s="163"/>
      <c r="D3359" s="163"/>
      <c r="E3359" s="163"/>
    </row>
    <row r="3360" spans="1:5" x14ac:dyDescent="0.25">
      <c r="A3360" s="162">
        <v>27340</v>
      </c>
      <c r="B3360" s="163">
        <v>8.0399999999999991</v>
      </c>
      <c r="C3360" s="163"/>
      <c r="D3360" s="163"/>
      <c r="E3360" s="163"/>
    </row>
    <row r="3361" spans="1:5" x14ac:dyDescent="0.25">
      <c r="A3361" s="162">
        <v>27341</v>
      </c>
      <c r="B3361" s="163">
        <v>8.0299999999999994</v>
      </c>
      <c r="C3361" s="163"/>
      <c r="D3361" s="163"/>
      <c r="E3361" s="163"/>
    </row>
    <row r="3362" spans="1:5" x14ac:dyDescent="0.25">
      <c r="A3362" s="162">
        <v>27344</v>
      </c>
      <c r="B3362" s="163" t="e">
        <f>NA()</f>
        <v>#N/A</v>
      </c>
      <c r="C3362" s="163"/>
      <c r="D3362" s="163"/>
      <c r="E3362" s="163"/>
    </row>
    <row r="3363" spans="1:5" x14ac:dyDescent="0.25">
      <c r="A3363" s="162">
        <v>27345</v>
      </c>
      <c r="B3363" s="163">
        <v>7.98</v>
      </c>
      <c r="C3363" s="163"/>
      <c r="D3363" s="163"/>
      <c r="E3363" s="163"/>
    </row>
    <row r="3364" spans="1:5" x14ac:dyDescent="0.25">
      <c r="A3364" s="162">
        <v>27346</v>
      </c>
      <c r="B3364" s="163">
        <v>7.98</v>
      </c>
      <c r="C3364" s="163"/>
      <c r="D3364" s="163"/>
      <c r="E3364" s="163"/>
    </row>
    <row r="3365" spans="1:5" x14ac:dyDescent="0.25">
      <c r="A3365" s="162">
        <v>27347</v>
      </c>
      <c r="B3365" s="163">
        <v>7.95</v>
      </c>
      <c r="C3365" s="163"/>
      <c r="D3365" s="163"/>
      <c r="E3365" s="163"/>
    </row>
    <row r="3366" spans="1:5" x14ac:dyDescent="0.25">
      <c r="A3366" s="162">
        <v>27348</v>
      </c>
      <c r="B3366" s="163">
        <v>7.93</v>
      </c>
      <c r="C3366" s="163"/>
      <c r="D3366" s="163"/>
      <c r="E3366" s="163"/>
    </row>
    <row r="3367" spans="1:5" x14ac:dyDescent="0.25">
      <c r="A3367" s="162">
        <v>27351</v>
      </c>
      <c r="B3367" s="163">
        <v>7.94</v>
      </c>
      <c r="C3367" s="163"/>
      <c r="D3367" s="163"/>
      <c r="E3367" s="163"/>
    </row>
    <row r="3368" spans="1:5" x14ac:dyDescent="0.25">
      <c r="A3368" s="162">
        <v>27352</v>
      </c>
      <c r="B3368" s="163">
        <v>7.93</v>
      </c>
      <c r="C3368" s="163"/>
      <c r="D3368" s="163"/>
      <c r="E3368" s="163"/>
    </row>
    <row r="3369" spans="1:5" x14ac:dyDescent="0.25">
      <c r="A3369" s="162">
        <v>27353</v>
      </c>
      <c r="B3369" s="163">
        <v>7.94</v>
      </c>
      <c r="C3369" s="163"/>
      <c r="D3369" s="163"/>
      <c r="E3369" s="163"/>
    </row>
    <row r="3370" spans="1:5" x14ac:dyDescent="0.25">
      <c r="A3370" s="162">
        <v>27354</v>
      </c>
      <c r="B3370" s="163">
        <v>7.95</v>
      </c>
      <c r="C3370" s="163"/>
      <c r="D3370" s="163"/>
      <c r="E3370" s="163"/>
    </row>
    <row r="3371" spans="1:5" x14ac:dyDescent="0.25">
      <c r="A3371" s="162">
        <v>27355</v>
      </c>
      <c r="B3371" s="163">
        <v>7.94</v>
      </c>
      <c r="C3371" s="163"/>
      <c r="D3371" s="163"/>
      <c r="E3371" s="163"/>
    </row>
    <row r="3372" spans="1:5" x14ac:dyDescent="0.25">
      <c r="A3372" s="162">
        <v>27358</v>
      </c>
      <c r="B3372" s="163">
        <v>7.9</v>
      </c>
      <c r="C3372" s="163"/>
      <c r="D3372" s="163"/>
      <c r="E3372" s="163"/>
    </row>
    <row r="3373" spans="1:5" x14ac:dyDescent="0.25">
      <c r="A3373" s="162">
        <v>27359</v>
      </c>
      <c r="B3373" s="163">
        <v>7.96</v>
      </c>
      <c r="C3373" s="163"/>
      <c r="D3373" s="163"/>
      <c r="E3373" s="163"/>
    </row>
    <row r="3374" spans="1:5" x14ac:dyDescent="0.25">
      <c r="A3374" s="162">
        <v>27360</v>
      </c>
      <c r="B3374" s="163">
        <v>7.96</v>
      </c>
      <c r="C3374" s="163"/>
      <c r="D3374" s="163"/>
      <c r="E3374" s="163"/>
    </row>
    <row r="3375" spans="1:5" x14ac:dyDescent="0.25">
      <c r="A3375" s="162">
        <v>27361</v>
      </c>
      <c r="B3375" s="163" t="e">
        <f>NA()</f>
        <v>#N/A</v>
      </c>
      <c r="C3375" s="163"/>
      <c r="D3375" s="163"/>
      <c r="E3375" s="163"/>
    </row>
    <row r="3376" spans="1:5" x14ac:dyDescent="0.25">
      <c r="A3376" s="162">
        <v>27362</v>
      </c>
      <c r="B3376" s="163">
        <v>7.96</v>
      </c>
      <c r="C3376" s="163"/>
      <c r="D3376" s="163"/>
      <c r="E3376" s="163"/>
    </row>
    <row r="3377" spans="1:5" x14ac:dyDescent="0.25">
      <c r="A3377" s="162">
        <v>27365</v>
      </c>
      <c r="B3377" s="163">
        <v>8</v>
      </c>
      <c r="C3377" s="163"/>
      <c r="D3377" s="163"/>
      <c r="E3377" s="163"/>
    </row>
    <row r="3378" spans="1:5" x14ac:dyDescent="0.25">
      <c r="A3378" s="162">
        <v>27366</v>
      </c>
      <c r="B3378" s="163">
        <v>8.06</v>
      </c>
      <c r="C3378" s="163"/>
      <c r="D3378" s="163"/>
      <c r="E3378" s="163"/>
    </row>
    <row r="3379" spans="1:5" x14ac:dyDescent="0.25">
      <c r="A3379" s="162">
        <v>27367</v>
      </c>
      <c r="B3379" s="164">
        <v>8.01</v>
      </c>
      <c r="C3379" s="164"/>
      <c r="D3379" s="164"/>
      <c r="E3379" s="164"/>
    </row>
    <row r="3380" spans="1:5" x14ac:dyDescent="0.25">
      <c r="A3380" s="162">
        <v>27368</v>
      </c>
      <c r="B3380" s="163">
        <v>7.99</v>
      </c>
      <c r="C3380" s="163"/>
      <c r="D3380" s="163"/>
      <c r="E3380" s="163"/>
    </row>
    <row r="3381" spans="1:5" x14ac:dyDescent="0.25">
      <c r="A3381" s="162">
        <v>27369</v>
      </c>
      <c r="B3381" s="163">
        <v>7.98</v>
      </c>
      <c r="C3381" s="163"/>
      <c r="D3381" s="163"/>
      <c r="E3381" s="163"/>
    </row>
    <row r="3382" spans="1:5" x14ac:dyDescent="0.25">
      <c r="A3382" s="162">
        <v>27372</v>
      </c>
      <c r="B3382" s="163">
        <v>7.87</v>
      </c>
      <c r="C3382" s="163"/>
      <c r="D3382" s="163"/>
      <c r="E3382" s="163"/>
    </row>
    <row r="3383" spans="1:5" x14ac:dyDescent="0.25">
      <c r="A3383" s="162">
        <v>27373</v>
      </c>
      <c r="B3383" s="163">
        <v>7.88</v>
      </c>
      <c r="C3383" s="163"/>
      <c r="D3383" s="163"/>
      <c r="E3383" s="163"/>
    </row>
    <row r="3384" spans="1:5" x14ac:dyDescent="0.25">
      <c r="A3384" s="162">
        <v>27374</v>
      </c>
      <c r="B3384" s="163">
        <v>7.86</v>
      </c>
      <c r="C3384" s="163"/>
      <c r="D3384" s="163"/>
      <c r="E3384" s="163"/>
    </row>
    <row r="3385" spans="1:5" x14ac:dyDescent="0.25">
      <c r="A3385" s="162">
        <v>27375</v>
      </c>
      <c r="B3385" s="163">
        <v>7.85</v>
      </c>
      <c r="C3385" s="163"/>
      <c r="D3385" s="163"/>
      <c r="E3385" s="163"/>
    </row>
    <row r="3386" spans="1:5" x14ac:dyDescent="0.25">
      <c r="A3386" s="162">
        <v>27376</v>
      </c>
      <c r="B3386" s="163">
        <v>7.87</v>
      </c>
      <c r="C3386" s="163"/>
      <c r="D3386" s="163"/>
      <c r="E3386" s="163"/>
    </row>
    <row r="3387" spans="1:5" x14ac:dyDescent="0.25">
      <c r="A3387" s="162">
        <v>27379</v>
      </c>
      <c r="B3387" s="163">
        <v>7.86</v>
      </c>
      <c r="C3387" s="163"/>
      <c r="D3387" s="163"/>
      <c r="E3387" s="163"/>
    </row>
    <row r="3388" spans="1:5" x14ac:dyDescent="0.25">
      <c r="A3388" s="162">
        <v>27380</v>
      </c>
      <c r="B3388" s="163">
        <v>7.84</v>
      </c>
      <c r="C3388" s="163"/>
      <c r="D3388" s="163"/>
      <c r="E3388" s="163"/>
    </row>
    <row r="3389" spans="1:5" x14ac:dyDescent="0.25">
      <c r="A3389" s="162">
        <v>27381</v>
      </c>
      <c r="B3389" s="163">
        <v>7.84</v>
      </c>
      <c r="C3389" s="163"/>
      <c r="D3389" s="163"/>
      <c r="E3389" s="163"/>
    </row>
    <row r="3390" spans="1:5" x14ac:dyDescent="0.25">
      <c r="A3390" s="162">
        <v>27382</v>
      </c>
      <c r="B3390" s="163">
        <v>7.84</v>
      </c>
      <c r="C3390" s="163"/>
      <c r="D3390" s="163"/>
      <c r="E3390" s="163"/>
    </row>
    <row r="3391" spans="1:5" x14ac:dyDescent="0.25">
      <c r="A3391" s="162">
        <v>27383</v>
      </c>
      <c r="B3391" s="163">
        <v>7.84</v>
      </c>
      <c r="C3391" s="163"/>
      <c r="D3391" s="163"/>
      <c r="E3391" s="163"/>
    </row>
    <row r="3392" spans="1:5" x14ac:dyDescent="0.25">
      <c r="A3392" s="162">
        <v>27386</v>
      </c>
      <c r="B3392" s="163">
        <v>7.94</v>
      </c>
      <c r="C3392" s="163"/>
      <c r="D3392" s="163"/>
      <c r="E3392" s="163"/>
    </row>
    <row r="3393" spans="1:5" x14ac:dyDescent="0.25">
      <c r="A3393" s="162">
        <v>27387</v>
      </c>
      <c r="B3393" s="163">
        <v>7.92</v>
      </c>
      <c r="C3393" s="163"/>
      <c r="D3393" s="163"/>
      <c r="E3393" s="163"/>
    </row>
    <row r="3394" spans="1:5" x14ac:dyDescent="0.25">
      <c r="A3394" s="162">
        <v>27388</v>
      </c>
      <c r="B3394" s="163" t="e">
        <f>NA()</f>
        <v>#N/A</v>
      </c>
      <c r="C3394" s="163"/>
      <c r="D3394" s="163"/>
      <c r="E3394" s="163"/>
    </row>
    <row r="3395" spans="1:5" x14ac:dyDescent="0.25">
      <c r="A3395" s="162">
        <v>27389</v>
      </c>
      <c r="B3395" s="163">
        <v>7.92</v>
      </c>
      <c r="C3395" s="163"/>
      <c r="D3395" s="163"/>
      <c r="E3395" s="163"/>
    </row>
    <row r="3396" spans="1:5" x14ac:dyDescent="0.25">
      <c r="A3396" s="162">
        <v>27390</v>
      </c>
      <c r="B3396" s="163">
        <v>7.9</v>
      </c>
      <c r="C3396" s="163"/>
      <c r="D3396" s="163"/>
      <c r="E3396" s="163"/>
    </row>
    <row r="3397" spans="1:5" x14ac:dyDescent="0.25">
      <c r="A3397" s="162">
        <v>27393</v>
      </c>
      <c r="B3397" s="163">
        <v>7.92</v>
      </c>
      <c r="C3397" s="163"/>
      <c r="D3397" s="163"/>
      <c r="E3397" s="163"/>
    </row>
    <row r="3398" spans="1:5" x14ac:dyDescent="0.25">
      <c r="A3398" s="162">
        <v>27394</v>
      </c>
      <c r="B3398" s="163">
        <v>7.93</v>
      </c>
      <c r="C3398" s="163"/>
      <c r="D3398" s="163"/>
      <c r="E3398" s="163"/>
    </row>
    <row r="3399" spans="1:5" x14ac:dyDescent="0.25">
      <c r="A3399" s="162">
        <v>27395</v>
      </c>
      <c r="B3399" s="163" t="e">
        <f>NA()</f>
        <v>#N/A</v>
      </c>
      <c r="C3399" s="163"/>
      <c r="D3399" s="163"/>
      <c r="E3399" s="163"/>
    </row>
    <row r="3400" spans="1:5" x14ac:dyDescent="0.25">
      <c r="A3400" s="162">
        <v>27396</v>
      </c>
      <c r="B3400" s="163">
        <v>7.94</v>
      </c>
      <c r="C3400" s="163"/>
      <c r="D3400" s="163"/>
      <c r="E3400" s="163"/>
    </row>
    <row r="3401" spans="1:5" x14ac:dyDescent="0.25">
      <c r="A3401" s="162">
        <v>27397</v>
      </c>
      <c r="B3401" s="163">
        <v>7.92</v>
      </c>
      <c r="C3401" s="163"/>
      <c r="D3401" s="163"/>
      <c r="E3401" s="163"/>
    </row>
    <row r="3402" spans="1:5" x14ac:dyDescent="0.25">
      <c r="A3402" s="162">
        <v>27400</v>
      </c>
      <c r="B3402" s="163">
        <v>7.89</v>
      </c>
      <c r="C3402" s="163"/>
      <c r="D3402" s="163"/>
      <c r="E3402" s="163"/>
    </row>
    <row r="3403" spans="1:5" x14ac:dyDescent="0.25">
      <c r="A3403" s="162">
        <v>27401</v>
      </c>
      <c r="B3403" s="163">
        <v>7.89</v>
      </c>
      <c r="C3403" s="163"/>
      <c r="D3403" s="163"/>
      <c r="E3403" s="163"/>
    </row>
    <row r="3404" spans="1:5" x14ac:dyDescent="0.25">
      <c r="A3404" s="162">
        <v>27402</v>
      </c>
      <c r="B3404" s="163">
        <v>7.86</v>
      </c>
      <c r="C3404" s="163"/>
      <c r="D3404" s="163"/>
      <c r="E3404" s="163"/>
    </row>
    <row r="3405" spans="1:5" x14ac:dyDescent="0.25">
      <c r="A3405" s="162">
        <v>27403</v>
      </c>
      <c r="B3405" s="164">
        <v>7.78</v>
      </c>
      <c r="C3405" s="164"/>
      <c r="D3405" s="164"/>
      <c r="E3405" s="164"/>
    </row>
    <row r="3406" spans="1:5" x14ac:dyDescent="0.25">
      <c r="A3406" s="162">
        <v>27404</v>
      </c>
      <c r="B3406" s="163">
        <v>7.76</v>
      </c>
      <c r="C3406" s="163"/>
      <c r="D3406" s="163"/>
      <c r="E3406" s="163"/>
    </row>
    <row r="3407" spans="1:5" x14ac:dyDescent="0.25">
      <c r="A3407" s="162">
        <v>27407</v>
      </c>
      <c r="B3407" s="163">
        <v>7.84</v>
      </c>
      <c r="C3407" s="163"/>
      <c r="D3407" s="163"/>
      <c r="E3407" s="163"/>
    </row>
    <row r="3408" spans="1:5" x14ac:dyDescent="0.25">
      <c r="A3408" s="162">
        <v>27408</v>
      </c>
      <c r="B3408" s="163">
        <v>7.84</v>
      </c>
      <c r="C3408" s="163"/>
      <c r="D3408" s="163"/>
      <c r="E3408" s="163"/>
    </row>
    <row r="3409" spans="1:5" x14ac:dyDescent="0.25">
      <c r="A3409" s="162">
        <v>27409</v>
      </c>
      <c r="B3409" s="163">
        <v>7.88</v>
      </c>
      <c r="C3409" s="163"/>
      <c r="D3409" s="163"/>
      <c r="E3409" s="163"/>
    </row>
    <row r="3410" spans="1:5" x14ac:dyDescent="0.25">
      <c r="A3410" s="162">
        <v>27410</v>
      </c>
      <c r="B3410" s="163">
        <v>7.86</v>
      </c>
      <c r="C3410" s="163"/>
      <c r="D3410" s="163"/>
      <c r="E3410" s="163"/>
    </row>
    <row r="3411" spans="1:5" x14ac:dyDescent="0.25">
      <c r="A3411" s="162">
        <v>27411</v>
      </c>
      <c r="B3411" s="163">
        <v>7.85</v>
      </c>
      <c r="C3411" s="163"/>
      <c r="D3411" s="163"/>
      <c r="E3411" s="163"/>
    </row>
    <row r="3412" spans="1:5" x14ac:dyDescent="0.25">
      <c r="A3412" s="162">
        <v>27414</v>
      </c>
      <c r="B3412" s="163">
        <v>7.89</v>
      </c>
      <c r="C3412" s="163"/>
      <c r="D3412" s="163"/>
      <c r="E3412" s="163"/>
    </row>
    <row r="3413" spans="1:5" x14ac:dyDescent="0.25">
      <c r="A3413" s="162">
        <v>27415</v>
      </c>
      <c r="B3413" s="163">
        <v>7.86</v>
      </c>
      <c r="C3413" s="163"/>
      <c r="D3413" s="163"/>
      <c r="E3413" s="163"/>
    </row>
    <row r="3414" spans="1:5" x14ac:dyDescent="0.25">
      <c r="A3414" s="162">
        <v>27416</v>
      </c>
      <c r="B3414" s="163">
        <v>7.86</v>
      </c>
      <c r="C3414" s="163"/>
      <c r="D3414" s="163"/>
      <c r="E3414" s="163"/>
    </row>
    <row r="3415" spans="1:5" x14ac:dyDescent="0.25">
      <c r="A3415" s="162">
        <v>27417</v>
      </c>
      <c r="B3415" s="163">
        <v>7.93</v>
      </c>
      <c r="C3415" s="163"/>
      <c r="D3415" s="163"/>
      <c r="E3415" s="163"/>
    </row>
    <row r="3416" spans="1:5" x14ac:dyDescent="0.25">
      <c r="A3416" s="162">
        <v>27418</v>
      </c>
      <c r="B3416" s="163">
        <v>7.95</v>
      </c>
      <c r="C3416" s="163"/>
      <c r="D3416" s="163"/>
      <c r="E3416" s="163"/>
    </row>
    <row r="3417" spans="1:5" x14ac:dyDescent="0.25">
      <c r="A3417" s="162">
        <v>27421</v>
      </c>
      <c r="B3417" s="163">
        <v>7.94</v>
      </c>
      <c r="C3417" s="163"/>
      <c r="D3417" s="163"/>
      <c r="E3417" s="163"/>
    </row>
    <row r="3418" spans="1:5" x14ac:dyDescent="0.25">
      <c r="A3418" s="162">
        <v>27422</v>
      </c>
      <c r="B3418" s="163">
        <v>7.93</v>
      </c>
      <c r="C3418" s="163"/>
      <c r="D3418" s="163"/>
      <c r="E3418" s="163"/>
    </row>
    <row r="3419" spans="1:5" x14ac:dyDescent="0.25">
      <c r="A3419" s="162">
        <v>27423</v>
      </c>
      <c r="B3419" s="163">
        <v>7.92</v>
      </c>
      <c r="C3419" s="163"/>
      <c r="D3419" s="163"/>
      <c r="E3419" s="163"/>
    </row>
    <row r="3420" spans="1:5" x14ac:dyDescent="0.25">
      <c r="A3420" s="162">
        <v>27424</v>
      </c>
      <c r="B3420" s="163">
        <v>7.85</v>
      </c>
      <c r="C3420" s="163"/>
      <c r="D3420" s="163"/>
      <c r="E3420" s="163"/>
    </row>
    <row r="3421" spans="1:5" x14ac:dyDescent="0.25">
      <c r="A3421" s="162">
        <v>27425</v>
      </c>
      <c r="B3421" s="163">
        <v>7.82</v>
      </c>
      <c r="C3421" s="163"/>
      <c r="D3421" s="163"/>
      <c r="E3421" s="163"/>
    </row>
    <row r="3422" spans="1:5" x14ac:dyDescent="0.25">
      <c r="A3422" s="162">
        <v>27428</v>
      </c>
      <c r="B3422" s="163">
        <v>7.79</v>
      </c>
      <c r="C3422" s="163"/>
      <c r="D3422" s="163"/>
      <c r="E3422" s="163"/>
    </row>
    <row r="3423" spans="1:5" x14ac:dyDescent="0.25">
      <c r="A3423" s="162">
        <v>27429</v>
      </c>
      <c r="B3423" s="163">
        <v>7.79</v>
      </c>
      <c r="C3423" s="163"/>
      <c r="D3423" s="163"/>
      <c r="E3423" s="163"/>
    </row>
    <row r="3424" spans="1:5" x14ac:dyDescent="0.25">
      <c r="A3424" s="162">
        <v>27430</v>
      </c>
      <c r="B3424" s="163">
        <v>7.74</v>
      </c>
      <c r="C3424" s="163"/>
      <c r="D3424" s="163"/>
      <c r="E3424" s="163"/>
    </row>
    <row r="3425" spans="1:5" x14ac:dyDescent="0.25">
      <c r="A3425" s="162">
        <v>27431</v>
      </c>
      <c r="B3425" s="163">
        <v>7.72</v>
      </c>
      <c r="C3425" s="163"/>
      <c r="D3425" s="163"/>
      <c r="E3425" s="163"/>
    </row>
    <row r="3426" spans="1:5" x14ac:dyDescent="0.25">
      <c r="A3426" s="162">
        <v>27432</v>
      </c>
      <c r="B3426" s="163">
        <v>7.69</v>
      </c>
      <c r="C3426" s="163"/>
      <c r="D3426" s="163"/>
      <c r="E3426" s="163"/>
    </row>
    <row r="3427" spans="1:5" x14ac:dyDescent="0.25">
      <c r="A3427" s="162">
        <v>27435</v>
      </c>
      <c r="B3427" s="163">
        <v>7.74</v>
      </c>
      <c r="C3427" s="163"/>
      <c r="D3427" s="163"/>
      <c r="E3427" s="163"/>
    </row>
    <row r="3428" spans="1:5" x14ac:dyDescent="0.25">
      <c r="A3428" s="162">
        <v>27436</v>
      </c>
      <c r="B3428" s="163">
        <v>7.72</v>
      </c>
      <c r="C3428" s="163"/>
      <c r="D3428" s="163"/>
      <c r="E3428" s="163"/>
    </row>
    <row r="3429" spans="1:5" x14ac:dyDescent="0.25">
      <c r="A3429" s="162">
        <v>27437</v>
      </c>
      <c r="B3429" s="163" t="e">
        <f>NA()</f>
        <v>#N/A</v>
      </c>
      <c r="C3429" s="163"/>
      <c r="D3429" s="163"/>
      <c r="E3429" s="163"/>
    </row>
    <row r="3430" spans="1:5" x14ac:dyDescent="0.25">
      <c r="A3430" s="162">
        <v>27438</v>
      </c>
      <c r="B3430" s="163">
        <v>7.8</v>
      </c>
      <c r="C3430" s="163"/>
      <c r="D3430" s="163"/>
      <c r="E3430" s="163"/>
    </row>
    <row r="3431" spans="1:5" x14ac:dyDescent="0.25">
      <c r="A3431" s="162">
        <v>27439</v>
      </c>
      <c r="B3431" s="163">
        <v>7.69</v>
      </c>
      <c r="C3431" s="163"/>
      <c r="D3431" s="163"/>
      <c r="E3431" s="163"/>
    </row>
    <row r="3432" spans="1:5" x14ac:dyDescent="0.25">
      <c r="A3432" s="162">
        <v>27442</v>
      </c>
      <c r="B3432" s="163" t="e">
        <f>NA()</f>
        <v>#N/A</v>
      </c>
      <c r="C3432" s="163"/>
      <c r="D3432" s="163"/>
      <c r="E3432" s="163"/>
    </row>
    <row r="3433" spans="1:5" x14ac:dyDescent="0.25">
      <c r="A3433" s="162">
        <v>27443</v>
      </c>
      <c r="B3433" s="163">
        <v>7.64</v>
      </c>
      <c r="C3433" s="163"/>
      <c r="D3433" s="163"/>
      <c r="E3433" s="163"/>
    </row>
    <row r="3434" spans="1:5" x14ac:dyDescent="0.25">
      <c r="A3434" s="162">
        <v>27444</v>
      </c>
      <c r="B3434" s="163">
        <v>7.64</v>
      </c>
      <c r="C3434" s="163"/>
      <c r="D3434" s="163"/>
      <c r="E3434" s="163"/>
    </row>
    <row r="3435" spans="1:5" x14ac:dyDescent="0.25">
      <c r="A3435" s="162">
        <v>27445</v>
      </c>
      <c r="B3435" s="163">
        <v>7.64</v>
      </c>
      <c r="C3435" s="163"/>
      <c r="D3435" s="163"/>
      <c r="E3435" s="163"/>
    </row>
    <row r="3436" spans="1:5" x14ac:dyDescent="0.25">
      <c r="A3436" s="162">
        <v>27446</v>
      </c>
      <c r="B3436" s="163">
        <v>7.58</v>
      </c>
      <c r="C3436" s="163"/>
      <c r="D3436" s="163"/>
      <c r="E3436" s="163"/>
    </row>
    <row r="3437" spans="1:5" x14ac:dyDescent="0.25">
      <c r="A3437" s="162">
        <v>27449</v>
      </c>
      <c r="B3437" s="163">
        <v>7.66</v>
      </c>
      <c r="C3437" s="163"/>
      <c r="D3437" s="163"/>
      <c r="E3437" s="163"/>
    </row>
    <row r="3438" spans="1:5" x14ac:dyDescent="0.25">
      <c r="A3438" s="162">
        <v>27450</v>
      </c>
      <c r="B3438" s="163">
        <v>7.7</v>
      </c>
      <c r="C3438" s="163"/>
      <c r="D3438" s="163"/>
      <c r="E3438" s="163"/>
    </row>
    <row r="3439" spans="1:5" x14ac:dyDescent="0.25">
      <c r="A3439" s="162">
        <v>27451</v>
      </c>
      <c r="B3439" s="163">
        <v>7.75</v>
      </c>
      <c r="C3439" s="163"/>
      <c r="D3439" s="163"/>
      <c r="E3439" s="163"/>
    </row>
    <row r="3440" spans="1:5" x14ac:dyDescent="0.25">
      <c r="A3440" s="162">
        <v>27452</v>
      </c>
      <c r="B3440" s="163">
        <v>7.73</v>
      </c>
      <c r="C3440" s="163"/>
      <c r="D3440" s="163"/>
      <c r="E3440" s="163"/>
    </row>
    <row r="3441" spans="1:5" x14ac:dyDescent="0.25">
      <c r="A3441" s="162">
        <v>27453</v>
      </c>
      <c r="B3441" s="163">
        <v>7.72</v>
      </c>
      <c r="C3441" s="163"/>
      <c r="D3441" s="163"/>
      <c r="E3441" s="163"/>
    </row>
    <row r="3442" spans="1:5" x14ac:dyDescent="0.25">
      <c r="A3442" s="162">
        <v>27456</v>
      </c>
      <c r="B3442" s="163">
        <v>7.75</v>
      </c>
      <c r="C3442" s="163"/>
      <c r="D3442" s="163"/>
      <c r="E3442" s="163"/>
    </row>
    <row r="3443" spans="1:5" x14ac:dyDescent="0.25">
      <c r="A3443" s="162">
        <v>27457</v>
      </c>
      <c r="B3443" s="163">
        <v>7.78</v>
      </c>
      <c r="C3443" s="163"/>
      <c r="D3443" s="163"/>
      <c r="E3443" s="163"/>
    </row>
    <row r="3444" spans="1:5" x14ac:dyDescent="0.25">
      <c r="A3444" s="162">
        <v>27458</v>
      </c>
      <c r="B3444" s="163">
        <v>7.74</v>
      </c>
      <c r="C3444" s="163"/>
      <c r="D3444" s="163"/>
      <c r="E3444" s="163"/>
    </row>
    <row r="3445" spans="1:5" x14ac:dyDescent="0.25">
      <c r="A3445" s="162">
        <v>27459</v>
      </c>
      <c r="B3445" s="163">
        <v>7.72</v>
      </c>
      <c r="C3445" s="163"/>
      <c r="D3445" s="163"/>
      <c r="E3445" s="163"/>
    </row>
    <row r="3446" spans="1:5" x14ac:dyDescent="0.25">
      <c r="A3446" s="162">
        <v>27460</v>
      </c>
      <c r="B3446" s="163">
        <v>7.76</v>
      </c>
      <c r="C3446" s="163"/>
      <c r="D3446" s="163"/>
      <c r="E3446" s="163"/>
    </row>
    <row r="3447" spans="1:5" x14ac:dyDescent="0.25">
      <c r="A3447" s="162">
        <v>27463</v>
      </c>
      <c r="B3447" s="163">
        <v>7.78</v>
      </c>
      <c r="C3447" s="163"/>
      <c r="D3447" s="163"/>
      <c r="E3447" s="163"/>
    </row>
    <row r="3448" spans="1:5" x14ac:dyDescent="0.25">
      <c r="A3448" s="162">
        <v>27464</v>
      </c>
      <c r="B3448" s="163">
        <v>7.82</v>
      </c>
      <c r="C3448" s="163"/>
      <c r="D3448" s="163"/>
      <c r="E3448" s="163"/>
    </row>
    <row r="3449" spans="1:5" x14ac:dyDescent="0.25">
      <c r="A3449" s="162">
        <v>27465</v>
      </c>
      <c r="B3449" s="164">
        <v>7.84</v>
      </c>
      <c r="C3449" s="164"/>
      <c r="D3449" s="164"/>
      <c r="E3449" s="164"/>
    </row>
    <row r="3450" spans="1:5" x14ac:dyDescent="0.25">
      <c r="A3450" s="162">
        <v>27466</v>
      </c>
      <c r="B3450" s="163">
        <v>7.83</v>
      </c>
      <c r="C3450" s="163"/>
      <c r="D3450" s="163"/>
      <c r="E3450" s="163"/>
    </row>
    <row r="3451" spans="1:5" x14ac:dyDescent="0.25">
      <c r="A3451" s="162">
        <v>27467</v>
      </c>
      <c r="B3451" s="163">
        <v>7.86</v>
      </c>
      <c r="C3451" s="163"/>
      <c r="D3451" s="163"/>
      <c r="E3451" s="163"/>
    </row>
    <row r="3452" spans="1:5" x14ac:dyDescent="0.25">
      <c r="A3452" s="162">
        <v>27470</v>
      </c>
      <c r="B3452" s="163">
        <v>7.96</v>
      </c>
      <c r="C3452" s="163"/>
      <c r="D3452" s="163"/>
      <c r="E3452" s="163"/>
    </row>
    <row r="3453" spans="1:5" x14ac:dyDescent="0.25">
      <c r="A3453" s="162">
        <v>27471</v>
      </c>
      <c r="B3453" s="163">
        <v>7.97</v>
      </c>
      <c r="C3453" s="163"/>
      <c r="D3453" s="163"/>
      <c r="E3453" s="163"/>
    </row>
    <row r="3454" spans="1:5" x14ac:dyDescent="0.25">
      <c r="A3454" s="162">
        <v>27472</v>
      </c>
      <c r="B3454" s="163">
        <v>8.0500000000000007</v>
      </c>
      <c r="C3454" s="163"/>
      <c r="D3454" s="163"/>
      <c r="E3454" s="163"/>
    </row>
    <row r="3455" spans="1:5" x14ac:dyDescent="0.25">
      <c r="A3455" s="162">
        <v>27473</v>
      </c>
      <c r="B3455" s="163">
        <v>8.3000000000000007</v>
      </c>
      <c r="C3455" s="163"/>
      <c r="D3455" s="163"/>
      <c r="E3455" s="163"/>
    </row>
    <row r="3456" spans="1:5" x14ac:dyDescent="0.25">
      <c r="A3456" s="162">
        <v>27474</v>
      </c>
      <c r="B3456" s="163">
        <v>8.18</v>
      </c>
      <c r="C3456" s="163"/>
      <c r="D3456" s="163"/>
      <c r="E3456" s="163"/>
    </row>
    <row r="3457" spans="1:5" x14ac:dyDescent="0.25">
      <c r="A3457" s="162">
        <v>27477</v>
      </c>
      <c r="B3457" s="163">
        <v>8.31</v>
      </c>
      <c r="C3457" s="163"/>
      <c r="D3457" s="163"/>
      <c r="E3457" s="163"/>
    </row>
    <row r="3458" spans="1:5" x14ac:dyDescent="0.25">
      <c r="A3458" s="162">
        <v>27478</v>
      </c>
      <c r="B3458" s="163">
        <v>8.2899999999999991</v>
      </c>
      <c r="C3458" s="163"/>
      <c r="D3458" s="163"/>
      <c r="E3458" s="163"/>
    </row>
    <row r="3459" spans="1:5" x14ac:dyDescent="0.25">
      <c r="A3459" s="162">
        <v>27479</v>
      </c>
      <c r="B3459" s="163">
        <v>8.2799999999999994</v>
      </c>
      <c r="C3459" s="163"/>
      <c r="D3459" s="163"/>
      <c r="E3459" s="163"/>
    </row>
    <row r="3460" spans="1:5" x14ac:dyDescent="0.25">
      <c r="A3460" s="162">
        <v>27480</v>
      </c>
      <c r="B3460" s="163">
        <v>8.26</v>
      </c>
      <c r="C3460" s="163"/>
      <c r="D3460" s="163"/>
      <c r="E3460" s="163"/>
    </row>
    <row r="3461" spans="1:5" x14ac:dyDescent="0.25">
      <c r="A3461" s="162">
        <v>27481</v>
      </c>
      <c r="B3461" s="163" t="e">
        <f>NA()</f>
        <v>#N/A</v>
      </c>
      <c r="C3461" s="163"/>
      <c r="D3461" s="163"/>
      <c r="E3461" s="163"/>
    </row>
    <row r="3462" spans="1:5" x14ac:dyDescent="0.25">
      <c r="A3462" s="162">
        <v>27484</v>
      </c>
      <c r="B3462" s="163">
        <v>8.24</v>
      </c>
      <c r="C3462" s="163"/>
      <c r="D3462" s="163"/>
      <c r="E3462" s="163"/>
    </row>
    <row r="3463" spans="1:5" x14ac:dyDescent="0.25">
      <c r="A3463" s="162">
        <v>27485</v>
      </c>
      <c r="B3463" s="163">
        <v>8.2799999999999994</v>
      </c>
      <c r="C3463" s="163"/>
      <c r="D3463" s="163"/>
      <c r="E3463" s="163"/>
    </row>
    <row r="3464" spans="1:5" x14ac:dyDescent="0.25">
      <c r="A3464" s="162">
        <v>27486</v>
      </c>
      <c r="B3464" s="163">
        <v>8.35</v>
      </c>
      <c r="C3464" s="163"/>
      <c r="D3464" s="163"/>
      <c r="E3464" s="163"/>
    </row>
    <row r="3465" spans="1:5" x14ac:dyDescent="0.25">
      <c r="A3465" s="162">
        <v>27487</v>
      </c>
      <c r="B3465" s="163">
        <v>8.35</v>
      </c>
      <c r="C3465" s="163"/>
      <c r="D3465" s="163"/>
      <c r="E3465" s="163"/>
    </row>
    <row r="3466" spans="1:5" x14ac:dyDescent="0.25">
      <c r="A3466" s="162">
        <v>27488</v>
      </c>
      <c r="B3466" s="163">
        <v>8.3800000000000008</v>
      </c>
      <c r="C3466" s="163"/>
      <c r="D3466" s="163"/>
      <c r="E3466" s="163"/>
    </row>
    <row r="3467" spans="1:5" x14ac:dyDescent="0.25">
      <c r="A3467" s="162">
        <v>27491</v>
      </c>
      <c r="B3467" s="163">
        <v>8.44</v>
      </c>
      <c r="C3467" s="163"/>
      <c r="D3467" s="163"/>
      <c r="E3467" s="163"/>
    </row>
    <row r="3468" spans="1:5" x14ac:dyDescent="0.25">
      <c r="A3468" s="162">
        <v>27492</v>
      </c>
      <c r="B3468" s="163">
        <v>8.3800000000000008</v>
      </c>
      <c r="C3468" s="163"/>
      <c r="D3468" s="163"/>
      <c r="E3468" s="163"/>
    </row>
    <row r="3469" spans="1:5" x14ac:dyDescent="0.25">
      <c r="A3469" s="162">
        <v>27493</v>
      </c>
      <c r="B3469" s="163">
        <v>8.32</v>
      </c>
      <c r="C3469" s="163"/>
      <c r="D3469" s="163"/>
      <c r="E3469" s="163"/>
    </row>
    <row r="3470" spans="1:5" x14ac:dyDescent="0.25">
      <c r="A3470" s="162">
        <v>27494</v>
      </c>
      <c r="B3470" s="163">
        <v>8.33</v>
      </c>
      <c r="C3470" s="163"/>
      <c r="D3470" s="163"/>
      <c r="E3470" s="163"/>
    </row>
    <row r="3471" spans="1:5" x14ac:dyDescent="0.25">
      <c r="A3471" s="162">
        <v>27495</v>
      </c>
      <c r="B3471" s="163">
        <v>8.33</v>
      </c>
      <c r="C3471" s="163"/>
      <c r="D3471" s="163"/>
      <c r="E3471" s="163"/>
    </row>
    <row r="3472" spans="1:5" x14ac:dyDescent="0.25">
      <c r="A3472" s="162">
        <v>27498</v>
      </c>
      <c r="B3472" s="163">
        <v>8.3000000000000007</v>
      </c>
      <c r="C3472" s="163"/>
      <c r="D3472" s="163"/>
      <c r="E3472" s="163"/>
    </row>
    <row r="3473" spans="1:5" x14ac:dyDescent="0.25">
      <c r="A3473" s="162">
        <v>27499</v>
      </c>
      <c r="B3473" s="163">
        <v>8.2899999999999991</v>
      </c>
      <c r="C3473" s="163"/>
      <c r="D3473" s="163"/>
      <c r="E3473" s="163"/>
    </row>
    <row r="3474" spans="1:5" x14ac:dyDescent="0.25">
      <c r="A3474" s="162">
        <v>27500</v>
      </c>
      <c r="B3474" s="164">
        <v>8.27</v>
      </c>
      <c r="C3474" s="164"/>
      <c r="D3474" s="164"/>
      <c r="E3474" s="164"/>
    </row>
    <row r="3475" spans="1:5" x14ac:dyDescent="0.25">
      <c r="A3475" s="162">
        <v>27501</v>
      </c>
      <c r="B3475" s="163">
        <v>8.32</v>
      </c>
      <c r="C3475" s="163"/>
      <c r="D3475" s="163"/>
      <c r="E3475" s="163"/>
    </row>
    <row r="3476" spans="1:5" x14ac:dyDescent="0.25">
      <c r="A3476" s="162">
        <v>27502</v>
      </c>
      <c r="B3476" s="163">
        <v>8.36</v>
      </c>
      <c r="C3476" s="163"/>
      <c r="D3476" s="163"/>
      <c r="E3476" s="163"/>
    </row>
    <row r="3477" spans="1:5" x14ac:dyDescent="0.25">
      <c r="A3477" s="162">
        <v>27505</v>
      </c>
      <c r="B3477" s="163">
        <v>8.4</v>
      </c>
      <c r="C3477" s="163"/>
      <c r="D3477" s="163"/>
      <c r="E3477" s="163"/>
    </row>
    <row r="3478" spans="1:5" x14ac:dyDescent="0.25">
      <c r="A3478" s="162">
        <v>27506</v>
      </c>
      <c r="B3478" s="163">
        <v>8.4</v>
      </c>
      <c r="C3478" s="163"/>
      <c r="D3478" s="163"/>
      <c r="E3478" s="163"/>
    </row>
    <row r="3479" spans="1:5" x14ac:dyDescent="0.25">
      <c r="A3479" s="162">
        <v>27507</v>
      </c>
      <c r="B3479" s="163">
        <v>8.3800000000000008</v>
      </c>
      <c r="C3479" s="163"/>
      <c r="D3479" s="163"/>
      <c r="E3479" s="163"/>
    </row>
    <row r="3480" spans="1:5" x14ac:dyDescent="0.25">
      <c r="A3480" s="162">
        <v>27508</v>
      </c>
      <c r="B3480" s="163">
        <v>8.36</v>
      </c>
      <c r="C3480" s="163"/>
      <c r="D3480" s="163"/>
      <c r="E3480" s="163"/>
    </row>
    <row r="3481" spans="1:5" x14ac:dyDescent="0.25">
      <c r="A3481" s="162">
        <v>27509</v>
      </c>
      <c r="B3481" s="163">
        <v>8.3800000000000008</v>
      </c>
      <c r="C3481" s="163"/>
      <c r="D3481" s="163"/>
      <c r="E3481" s="163"/>
    </row>
    <row r="3482" spans="1:5" x14ac:dyDescent="0.25">
      <c r="A3482" s="162">
        <v>27512</v>
      </c>
      <c r="B3482" s="163">
        <v>8.4700000000000006</v>
      </c>
      <c r="C3482" s="163"/>
      <c r="D3482" s="163"/>
      <c r="E3482" s="163"/>
    </row>
    <row r="3483" spans="1:5" x14ac:dyDescent="0.25">
      <c r="A3483" s="162">
        <v>27513</v>
      </c>
      <c r="B3483" s="163">
        <v>8.4499999999999993</v>
      </c>
      <c r="C3483" s="163"/>
      <c r="D3483" s="163"/>
      <c r="E3483" s="163"/>
    </row>
    <row r="3484" spans="1:5" x14ac:dyDescent="0.25">
      <c r="A3484" s="162">
        <v>27514</v>
      </c>
      <c r="B3484" s="163">
        <v>8.44</v>
      </c>
      <c r="C3484" s="163"/>
      <c r="D3484" s="163"/>
      <c r="E3484" s="163"/>
    </row>
    <row r="3485" spans="1:5" x14ac:dyDescent="0.25">
      <c r="A3485" s="162">
        <v>27515</v>
      </c>
      <c r="B3485" s="163">
        <v>8.43</v>
      </c>
      <c r="C3485" s="163"/>
      <c r="D3485" s="163"/>
      <c r="E3485" s="163"/>
    </row>
    <row r="3486" spans="1:5" x14ac:dyDescent="0.25">
      <c r="A3486" s="162">
        <v>27516</v>
      </c>
      <c r="B3486" s="163">
        <v>8.2799999999999994</v>
      </c>
      <c r="C3486" s="163"/>
      <c r="D3486" s="163"/>
      <c r="E3486" s="163"/>
    </row>
    <row r="3487" spans="1:5" x14ac:dyDescent="0.25">
      <c r="A3487" s="162">
        <v>27519</v>
      </c>
      <c r="B3487" s="163">
        <v>8.26</v>
      </c>
      <c r="C3487" s="163"/>
      <c r="D3487" s="163"/>
      <c r="E3487" s="163"/>
    </row>
    <row r="3488" spans="1:5" x14ac:dyDescent="0.25">
      <c r="A3488" s="162">
        <v>27520</v>
      </c>
      <c r="B3488" s="163">
        <v>8.27</v>
      </c>
      <c r="C3488" s="163"/>
      <c r="D3488" s="163"/>
      <c r="E3488" s="163"/>
    </row>
    <row r="3489" spans="1:5" x14ac:dyDescent="0.25">
      <c r="A3489" s="162">
        <v>27521</v>
      </c>
      <c r="B3489" s="163">
        <v>8.26</v>
      </c>
      <c r="C3489" s="163"/>
      <c r="D3489" s="163"/>
      <c r="E3489" s="163"/>
    </row>
    <row r="3490" spans="1:5" x14ac:dyDescent="0.25">
      <c r="A3490" s="162">
        <v>27522</v>
      </c>
      <c r="B3490" s="163">
        <v>8.2200000000000006</v>
      </c>
      <c r="C3490" s="163"/>
      <c r="D3490" s="163"/>
      <c r="E3490" s="163"/>
    </row>
    <row r="3491" spans="1:5" x14ac:dyDescent="0.25">
      <c r="A3491" s="162">
        <v>27523</v>
      </c>
      <c r="B3491" s="163">
        <v>8.23</v>
      </c>
      <c r="C3491" s="163"/>
      <c r="D3491" s="163"/>
      <c r="E3491" s="163"/>
    </row>
    <row r="3492" spans="1:5" x14ac:dyDescent="0.25">
      <c r="A3492" s="162">
        <v>27526</v>
      </c>
      <c r="B3492" s="163">
        <v>8.2200000000000006</v>
      </c>
      <c r="C3492" s="163"/>
      <c r="D3492" s="163"/>
      <c r="E3492" s="163"/>
    </row>
    <row r="3493" spans="1:5" x14ac:dyDescent="0.25">
      <c r="A3493" s="162">
        <v>27527</v>
      </c>
      <c r="B3493" s="163">
        <v>8.2100000000000009</v>
      </c>
      <c r="C3493" s="163"/>
      <c r="D3493" s="163"/>
      <c r="E3493" s="163"/>
    </row>
    <row r="3494" spans="1:5" x14ac:dyDescent="0.25">
      <c r="A3494" s="162">
        <v>27528</v>
      </c>
      <c r="B3494" s="163">
        <v>8.16</v>
      </c>
      <c r="C3494" s="163"/>
      <c r="D3494" s="163"/>
      <c r="E3494" s="163"/>
    </row>
    <row r="3495" spans="1:5" x14ac:dyDescent="0.25">
      <c r="A3495" s="162">
        <v>27529</v>
      </c>
      <c r="B3495" s="163">
        <v>8.16</v>
      </c>
      <c r="C3495" s="163"/>
      <c r="D3495" s="163"/>
      <c r="E3495" s="163"/>
    </row>
    <row r="3496" spans="1:5" x14ac:dyDescent="0.25">
      <c r="A3496" s="162">
        <v>27530</v>
      </c>
      <c r="B3496" s="163">
        <v>8.16</v>
      </c>
      <c r="C3496" s="163"/>
      <c r="D3496" s="163"/>
      <c r="E3496" s="163"/>
    </row>
    <row r="3497" spans="1:5" x14ac:dyDescent="0.25">
      <c r="A3497" s="162">
        <v>27533</v>
      </c>
      <c r="B3497" s="163">
        <v>8.14</v>
      </c>
      <c r="C3497" s="163"/>
      <c r="D3497" s="163"/>
      <c r="E3497" s="163"/>
    </row>
    <row r="3498" spans="1:5" x14ac:dyDescent="0.25">
      <c r="A3498" s="162">
        <v>27534</v>
      </c>
      <c r="B3498" s="163">
        <v>8.14</v>
      </c>
      <c r="C3498" s="163"/>
      <c r="D3498" s="163"/>
      <c r="E3498" s="163"/>
    </row>
    <row r="3499" spans="1:5" x14ac:dyDescent="0.25">
      <c r="A3499" s="162">
        <v>27535</v>
      </c>
      <c r="B3499" s="163">
        <v>8.14</v>
      </c>
      <c r="C3499" s="163"/>
      <c r="D3499" s="163"/>
      <c r="E3499" s="163"/>
    </row>
    <row r="3500" spans="1:5" x14ac:dyDescent="0.25">
      <c r="A3500" s="162">
        <v>27536</v>
      </c>
      <c r="B3500" s="163">
        <v>8.1999999999999993</v>
      </c>
      <c r="C3500" s="163"/>
      <c r="D3500" s="163"/>
      <c r="E3500" s="163"/>
    </row>
    <row r="3501" spans="1:5" x14ac:dyDescent="0.25">
      <c r="A3501" s="162">
        <v>27537</v>
      </c>
      <c r="B3501" s="163">
        <v>8.16</v>
      </c>
      <c r="C3501" s="163"/>
      <c r="D3501" s="163"/>
      <c r="E3501" s="163"/>
    </row>
    <row r="3502" spans="1:5" x14ac:dyDescent="0.25">
      <c r="A3502" s="162">
        <v>27540</v>
      </c>
      <c r="B3502" s="163" t="e">
        <f>NA()</f>
        <v>#N/A</v>
      </c>
      <c r="C3502" s="163"/>
      <c r="D3502" s="163"/>
      <c r="E3502" s="163"/>
    </row>
    <row r="3503" spans="1:5" x14ac:dyDescent="0.25">
      <c r="A3503" s="162">
        <v>27541</v>
      </c>
      <c r="B3503" s="163">
        <v>8.2100000000000009</v>
      </c>
      <c r="C3503" s="163"/>
      <c r="D3503" s="163"/>
      <c r="E3503" s="163"/>
    </row>
    <row r="3504" spans="1:5" x14ac:dyDescent="0.25">
      <c r="A3504" s="162">
        <v>27542</v>
      </c>
      <c r="B3504" s="163">
        <v>8.3000000000000007</v>
      </c>
      <c r="C3504" s="163"/>
      <c r="D3504" s="163"/>
      <c r="E3504" s="163"/>
    </row>
    <row r="3505" spans="1:5" x14ac:dyDescent="0.25">
      <c r="A3505" s="162">
        <v>27543</v>
      </c>
      <c r="B3505" s="163">
        <v>8.26</v>
      </c>
      <c r="C3505" s="163"/>
      <c r="D3505" s="163"/>
      <c r="E3505" s="163"/>
    </row>
    <row r="3506" spans="1:5" x14ac:dyDescent="0.25">
      <c r="A3506" s="162">
        <v>27544</v>
      </c>
      <c r="B3506" s="163">
        <v>8.1999999999999993</v>
      </c>
      <c r="C3506" s="163"/>
      <c r="D3506" s="163"/>
      <c r="E3506" s="163"/>
    </row>
    <row r="3507" spans="1:5" x14ac:dyDescent="0.25">
      <c r="A3507" s="162">
        <v>27547</v>
      </c>
      <c r="B3507" s="164">
        <v>8.2200000000000006</v>
      </c>
      <c r="C3507" s="164"/>
      <c r="D3507" s="164"/>
      <c r="E3507" s="164"/>
    </row>
    <row r="3508" spans="1:5" x14ac:dyDescent="0.25">
      <c r="A3508" s="162">
        <v>27548</v>
      </c>
      <c r="B3508" s="163">
        <v>8.19</v>
      </c>
      <c r="C3508" s="163"/>
      <c r="D3508" s="163"/>
      <c r="E3508" s="163"/>
    </row>
    <row r="3509" spans="1:5" x14ac:dyDescent="0.25">
      <c r="A3509" s="162">
        <v>27549</v>
      </c>
      <c r="B3509" s="163">
        <v>8.16</v>
      </c>
      <c r="C3509" s="163"/>
      <c r="D3509" s="163"/>
      <c r="E3509" s="163"/>
    </row>
    <row r="3510" spans="1:5" x14ac:dyDescent="0.25">
      <c r="A3510" s="162">
        <v>27550</v>
      </c>
      <c r="B3510" s="163">
        <v>8.15</v>
      </c>
      <c r="C3510" s="163"/>
      <c r="D3510" s="163"/>
      <c r="E3510" s="163"/>
    </row>
    <row r="3511" spans="1:5" x14ac:dyDescent="0.25">
      <c r="A3511" s="162">
        <v>27551</v>
      </c>
      <c r="B3511" s="163">
        <v>8.06</v>
      </c>
      <c r="C3511" s="163"/>
      <c r="D3511" s="163"/>
      <c r="E3511" s="163"/>
    </row>
    <row r="3512" spans="1:5" x14ac:dyDescent="0.25">
      <c r="A3512" s="162">
        <v>27554</v>
      </c>
      <c r="B3512" s="163">
        <v>7.96</v>
      </c>
      <c r="C3512" s="163"/>
      <c r="D3512" s="163"/>
      <c r="E3512" s="163"/>
    </row>
    <row r="3513" spans="1:5" x14ac:dyDescent="0.25">
      <c r="A3513" s="162">
        <v>27555</v>
      </c>
      <c r="B3513" s="163">
        <v>7.95</v>
      </c>
      <c r="C3513" s="163"/>
      <c r="D3513" s="163"/>
      <c r="E3513" s="163"/>
    </row>
    <row r="3514" spans="1:5" x14ac:dyDescent="0.25">
      <c r="A3514" s="162">
        <v>27556</v>
      </c>
      <c r="B3514" s="163">
        <v>7.85</v>
      </c>
      <c r="C3514" s="163"/>
      <c r="D3514" s="163"/>
      <c r="E3514" s="163"/>
    </row>
    <row r="3515" spans="1:5" x14ac:dyDescent="0.25">
      <c r="A3515" s="162">
        <v>27557</v>
      </c>
      <c r="B3515" s="163">
        <v>8.02</v>
      </c>
      <c r="C3515" s="163"/>
      <c r="D3515" s="163"/>
      <c r="E3515" s="163"/>
    </row>
    <row r="3516" spans="1:5" x14ac:dyDescent="0.25">
      <c r="A3516" s="162">
        <v>27558</v>
      </c>
      <c r="B3516" s="163">
        <v>7.98</v>
      </c>
      <c r="C3516" s="163"/>
      <c r="D3516" s="163"/>
      <c r="E3516" s="163"/>
    </row>
    <row r="3517" spans="1:5" x14ac:dyDescent="0.25">
      <c r="A3517" s="162">
        <v>27561</v>
      </c>
      <c r="B3517" s="163">
        <v>7.94</v>
      </c>
      <c r="C3517" s="163"/>
      <c r="D3517" s="163"/>
      <c r="E3517" s="163"/>
    </row>
    <row r="3518" spans="1:5" x14ac:dyDescent="0.25">
      <c r="A3518" s="162">
        <v>27562</v>
      </c>
      <c r="B3518" s="163">
        <v>7.96</v>
      </c>
      <c r="C3518" s="163"/>
      <c r="D3518" s="163"/>
      <c r="E3518" s="163"/>
    </row>
    <row r="3519" spans="1:5" x14ac:dyDescent="0.25">
      <c r="A3519" s="162">
        <v>27563</v>
      </c>
      <c r="B3519" s="163">
        <v>8.0399999999999991</v>
      </c>
      <c r="C3519" s="163"/>
      <c r="D3519" s="163"/>
      <c r="E3519" s="163"/>
    </row>
    <row r="3520" spans="1:5" x14ac:dyDescent="0.25">
      <c r="A3520" s="162">
        <v>27564</v>
      </c>
      <c r="B3520" s="163">
        <v>7.98</v>
      </c>
      <c r="C3520" s="163"/>
      <c r="D3520" s="163"/>
      <c r="E3520" s="163"/>
    </row>
    <row r="3521" spans="1:5" x14ac:dyDescent="0.25">
      <c r="A3521" s="162">
        <v>27565</v>
      </c>
      <c r="B3521" s="163">
        <v>8.0299999999999994</v>
      </c>
      <c r="C3521" s="163"/>
      <c r="D3521" s="163"/>
      <c r="E3521" s="163"/>
    </row>
    <row r="3522" spans="1:5" x14ac:dyDescent="0.25">
      <c r="A3522" s="162">
        <v>27568</v>
      </c>
      <c r="B3522" s="163">
        <v>8.0500000000000007</v>
      </c>
      <c r="C3522" s="163"/>
      <c r="D3522" s="163"/>
      <c r="E3522" s="163"/>
    </row>
    <row r="3523" spans="1:5" x14ac:dyDescent="0.25">
      <c r="A3523" s="162">
        <v>27569</v>
      </c>
      <c r="B3523" s="163">
        <v>8.0399999999999991</v>
      </c>
      <c r="C3523" s="163"/>
      <c r="D3523" s="163"/>
      <c r="E3523" s="163"/>
    </row>
    <row r="3524" spans="1:5" x14ac:dyDescent="0.25">
      <c r="A3524" s="162">
        <v>27570</v>
      </c>
      <c r="B3524" s="163">
        <v>8.07</v>
      </c>
      <c r="C3524" s="163"/>
      <c r="D3524" s="163"/>
      <c r="E3524" s="163"/>
    </row>
    <row r="3525" spans="1:5" x14ac:dyDescent="0.25">
      <c r="A3525" s="162">
        <v>27571</v>
      </c>
      <c r="B3525" s="163">
        <v>8.09</v>
      </c>
      <c r="C3525" s="163"/>
      <c r="D3525" s="163"/>
      <c r="E3525" s="163"/>
    </row>
    <row r="3526" spans="1:5" x14ac:dyDescent="0.25">
      <c r="A3526" s="162">
        <v>27572</v>
      </c>
      <c r="B3526" s="163">
        <v>8.1</v>
      </c>
      <c r="C3526" s="163"/>
      <c r="D3526" s="163"/>
      <c r="E3526" s="163"/>
    </row>
    <row r="3527" spans="1:5" x14ac:dyDescent="0.25">
      <c r="A3527" s="162">
        <v>27575</v>
      </c>
      <c r="B3527" s="163">
        <v>8.09</v>
      </c>
      <c r="C3527" s="163"/>
      <c r="D3527" s="163"/>
      <c r="E3527" s="163"/>
    </row>
    <row r="3528" spans="1:5" x14ac:dyDescent="0.25">
      <c r="A3528" s="162">
        <v>27576</v>
      </c>
      <c r="B3528" s="163">
        <v>8.1199999999999992</v>
      </c>
      <c r="C3528" s="163"/>
      <c r="D3528" s="163"/>
      <c r="E3528" s="163"/>
    </row>
    <row r="3529" spans="1:5" x14ac:dyDescent="0.25">
      <c r="A3529" s="162">
        <v>27577</v>
      </c>
      <c r="B3529" s="164">
        <v>8.16</v>
      </c>
      <c r="C3529" s="164"/>
      <c r="D3529" s="164"/>
      <c r="E3529" s="164"/>
    </row>
    <row r="3530" spans="1:5" x14ac:dyDescent="0.25">
      <c r="A3530" s="162">
        <v>27578</v>
      </c>
      <c r="B3530" s="163">
        <v>8.16</v>
      </c>
      <c r="C3530" s="163"/>
      <c r="D3530" s="163"/>
      <c r="E3530" s="163"/>
    </row>
    <row r="3531" spans="1:5" x14ac:dyDescent="0.25">
      <c r="A3531" s="162">
        <v>27579</v>
      </c>
      <c r="B3531" s="163" t="e">
        <f>NA()</f>
        <v>#N/A</v>
      </c>
      <c r="C3531" s="163"/>
      <c r="D3531" s="163"/>
      <c r="E3531" s="163"/>
    </row>
    <row r="3532" spans="1:5" x14ac:dyDescent="0.25">
      <c r="A3532" s="162">
        <v>27582</v>
      </c>
      <c r="B3532" s="163">
        <v>8.18</v>
      </c>
      <c r="C3532" s="163"/>
      <c r="D3532" s="163"/>
      <c r="E3532" s="163"/>
    </row>
    <row r="3533" spans="1:5" x14ac:dyDescent="0.25">
      <c r="A3533" s="162">
        <v>27583</v>
      </c>
      <c r="B3533" s="163">
        <v>8.17</v>
      </c>
      <c r="C3533" s="163"/>
      <c r="D3533" s="163"/>
      <c r="E3533" s="163"/>
    </row>
    <row r="3534" spans="1:5" x14ac:dyDescent="0.25">
      <c r="A3534" s="162">
        <v>27584</v>
      </c>
      <c r="B3534" s="164">
        <v>8.17</v>
      </c>
      <c r="C3534" s="164"/>
      <c r="D3534" s="164"/>
      <c r="E3534" s="164"/>
    </row>
    <row r="3535" spans="1:5" x14ac:dyDescent="0.25">
      <c r="A3535" s="162">
        <v>27585</v>
      </c>
      <c r="B3535" s="163">
        <v>8.17</v>
      </c>
      <c r="C3535" s="163"/>
      <c r="D3535" s="163"/>
      <c r="E3535" s="163"/>
    </row>
    <row r="3536" spans="1:5" x14ac:dyDescent="0.25">
      <c r="A3536" s="162">
        <v>27586</v>
      </c>
      <c r="B3536" s="163">
        <v>8.1199999999999992</v>
      </c>
      <c r="C3536" s="163"/>
      <c r="D3536" s="163"/>
      <c r="E3536" s="163"/>
    </row>
    <row r="3537" spans="1:5" x14ac:dyDescent="0.25">
      <c r="A3537" s="162">
        <v>27589</v>
      </c>
      <c r="B3537" s="163">
        <v>8.1199999999999992</v>
      </c>
      <c r="C3537" s="163"/>
      <c r="D3537" s="163"/>
      <c r="E3537" s="163"/>
    </row>
    <row r="3538" spans="1:5" x14ac:dyDescent="0.25">
      <c r="A3538" s="162">
        <v>27590</v>
      </c>
      <c r="B3538" s="163">
        <v>8.1</v>
      </c>
      <c r="C3538" s="163"/>
      <c r="D3538" s="163"/>
      <c r="E3538" s="163"/>
    </row>
    <row r="3539" spans="1:5" x14ac:dyDescent="0.25">
      <c r="A3539" s="162">
        <v>27591</v>
      </c>
      <c r="B3539" s="163">
        <v>8.1300000000000008</v>
      </c>
      <c r="C3539" s="163"/>
      <c r="D3539" s="163"/>
      <c r="E3539" s="163"/>
    </row>
    <row r="3540" spans="1:5" x14ac:dyDescent="0.25">
      <c r="A3540" s="162">
        <v>27592</v>
      </c>
      <c r="B3540" s="163">
        <v>8.14</v>
      </c>
      <c r="C3540" s="163"/>
      <c r="D3540" s="163"/>
      <c r="E3540" s="163"/>
    </row>
    <row r="3541" spans="1:5" x14ac:dyDescent="0.25">
      <c r="A3541" s="162">
        <v>27593</v>
      </c>
      <c r="B3541" s="163">
        <v>8.15</v>
      </c>
      <c r="C3541" s="163"/>
      <c r="D3541" s="163"/>
      <c r="E3541" s="163"/>
    </row>
    <row r="3542" spans="1:5" x14ac:dyDescent="0.25">
      <c r="A3542" s="162">
        <v>27596</v>
      </c>
      <c r="B3542" s="163">
        <v>8.18</v>
      </c>
      <c r="C3542" s="163"/>
      <c r="D3542" s="163"/>
      <c r="E3542" s="163"/>
    </row>
    <row r="3543" spans="1:5" x14ac:dyDescent="0.25">
      <c r="A3543" s="162">
        <v>27597</v>
      </c>
      <c r="B3543" s="163">
        <v>8.18</v>
      </c>
      <c r="C3543" s="163"/>
      <c r="D3543" s="163"/>
      <c r="E3543" s="163"/>
    </row>
    <row r="3544" spans="1:5" x14ac:dyDescent="0.25">
      <c r="A3544" s="162">
        <v>27598</v>
      </c>
      <c r="B3544" s="164">
        <v>8.18</v>
      </c>
      <c r="C3544" s="164"/>
      <c r="D3544" s="164"/>
      <c r="E3544" s="164"/>
    </row>
    <row r="3545" spans="1:5" x14ac:dyDescent="0.25">
      <c r="A3545" s="162">
        <v>27599</v>
      </c>
      <c r="B3545" s="163">
        <v>8.18</v>
      </c>
      <c r="C3545" s="163"/>
      <c r="D3545" s="163"/>
      <c r="E3545" s="163"/>
    </row>
    <row r="3546" spans="1:5" x14ac:dyDescent="0.25">
      <c r="A3546" s="162">
        <v>27600</v>
      </c>
      <c r="B3546" s="163">
        <v>8.1999999999999993</v>
      </c>
      <c r="C3546" s="163"/>
      <c r="D3546" s="163"/>
      <c r="E3546" s="163"/>
    </row>
    <row r="3547" spans="1:5" x14ac:dyDescent="0.25">
      <c r="A3547" s="162">
        <v>27603</v>
      </c>
      <c r="B3547" s="163">
        <v>8.2100000000000009</v>
      </c>
      <c r="C3547" s="163"/>
      <c r="D3547" s="163"/>
      <c r="E3547" s="163"/>
    </row>
    <row r="3548" spans="1:5" x14ac:dyDescent="0.25">
      <c r="A3548" s="162">
        <v>27604</v>
      </c>
      <c r="B3548" s="163">
        <v>8.2100000000000009</v>
      </c>
      <c r="C3548" s="163"/>
      <c r="D3548" s="163"/>
      <c r="E3548" s="163"/>
    </row>
    <row r="3549" spans="1:5" x14ac:dyDescent="0.25">
      <c r="A3549" s="162">
        <v>27605</v>
      </c>
      <c r="B3549" s="163">
        <v>8.23</v>
      </c>
      <c r="C3549" s="163"/>
      <c r="D3549" s="163"/>
      <c r="E3549" s="163"/>
    </row>
    <row r="3550" spans="1:5" x14ac:dyDescent="0.25">
      <c r="A3550" s="162">
        <v>27606</v>
      </c>
      <c r="B3550" s="163">
        <v>8.31</v>
      </c>
      <c r="C3550" s="163"/>
      <c r="D3550" s="163"/>
      <c r="E3550" s="163"/>
    </row>
    <row r="3551" spans="1:5" x14ac:dyDescent="0.25">
      <c r="A3551" s="162">
        <v>27607</v>
      </c>
      <c r="B3551" s="163">
        <v>8.3800000000000008</v>
      </c>
      <c r="C3551" s="163"/>
      <c r="D3551" s="163"/>
      <c r="E3551" s="163"/>
    </row>
    <row r="3552" spans="1:5" x14ac:dyDescent="0.25">
      <c r="A3552" s="162">
        <v>27610</v>
      </c>
      <c r="B3552" s="163">
        <v>8.4600000000000009</v>
      </c>
      <c r="C3552" s="163"/>
      <c r="D3552" s="163"/>
      <c r="E3552" s="163"/>
    </row>
    <row r="3553" spans="1:5" x14ac:dyDescent="0.25">
      <c r="A3553" s="162">
        <v>27611</v>
      </c>
      <c r="B3553" s="163">
        <v>8.4700000000000006</v>
      </c>
      <c r="C3553" s="163"/>
      <c r="D3553" s="163"/>
      <c r="E3553" s="163"/>
    </row>
    <row r="3554" spans="1:5" x14ac:dyDescent="0.25">
      <c r="A3554" s="162">
        <v>27612</v>
      </c>
      <c r="B3554" s="163">
        <v>8.5</v>
      </c>
      <c r="C3554" s="163"/>
      <c r="D3554" s="163"/>
      <c r="E3554" s="163"/>
    </row>
    <row r="3555" spans="1:5" x14ac:dyDescent="0.25">
      <c r="A3555" s="162">
        <v>27613</v>
      </c>
      <c r="B3555" s="163">
        <v>8.5399999999999991</v>
      </c>
      <c r="C3555" s="163"/>
      <c r="D3555" s="163"/>
      <c r="E3555" s="163"/>
    </row>
    <row r="3556" spans="1:5" x14ac:dyDescent="0.25">
      <c r="A3556" s="162">
        <v>27614</v>
      </c>
      <c r="B3556" s="163">
        <v>8.4700000000000006</v>
      </c>
      <c r="C3556" s="163"/>
      <c r="D3556" s="163"/>
      <c r="E3556" s="163"/>
    </row>
    <row r="3557" spans="1:5" x14ac:dyDescent="0.25">
      <c r="A3557" s="162">
        <v>27617</v>
      </c>
      <c r="B3557" s="163">
        <v>8.4499999999999993</v>
      </c>
      <c r="C3557" s="163"/>
      <c r="D3557" s="163"/>
      <c r="E3557" s="163"/>
    </row>
    <row r="3558" spans="1:5" x14ac:dyDescent="0.25">
      <c r="A3558" s="162">
        <v>27618</v>
      </c>
      <c r="B3558" s="163">
        <v>8.48</v>
      </c>
      <c r="C3558" s="163"/>
      <c r="D3558" s="163"/>
      <c r="E3558" s="163"/>
    </row>
    <row r="3559" spans="1:5" x14ac:dyDescent="0.25">
      <c r="A3559" s="162">
        <v>27619</v>
      </c>
      <c r="B3559" s="163">
        <v>8.49</v>
      </c>
      <c r="C3559" s="163"/>
      <c r="D3559" s="163"/>
      <c r="E3559" s="163"/>
    </row>
    <row r="3560" spans="1:5" x14ac:dyDescent="0.25">
      <c r="A3560" s="157">
        <v>27620</v>
      </c>
      <c r="B3560" s="158">
        <v>8.5399999999999991</v>
      </c>
    </row>
    <row r="3561" spans="1:5" x14ac:dyDescent="0.25">
      <c r="A3561" s="157">
        <v>27621</v>
      </c>
      <c r="B3561" s="158">
        <v>8.56</v>
      </c>
    </row>
    <row r="3562" spans="1:5" x14ac:dyDescent="0.25">
      <c r="A3562" s="157">
        <v>27624</v>
      </c>
      <c r="B3562" s="158">
        <v>8.5500000000000007</v>
      </c>
    </row>
    <row r="3563" spans="1:5" x14ac:dyDescent="0.25">
      <c r="A3563" s="157">
        <v>27625</v>
      </c>
      <c r="B3563" s="158">
        <v>8.5299999999999994</v>
      </c>
    </row>
    <row r="3564" spans="1:5" x14ac:dyDescent="0.25">
      <c r="A3564" s="157">
        <v>27626</v>
      </c>
      <c r="B3564" s="158">
        <v>8.51</v>
      </c>
    </row>
    <row r="3565" spans="1:5" x14ac:dyDescent="0.25">
      <c r="A3565" s="157">
        <v>27627</v>
      </c>
      <c r="B3565" s="158">
        <v>8.5299999999999994</v>
      </c>
    </row>
    <row r="3566" spans="1:5" x14ac:dyDescent="0.25">
      <c r="A3566" s="157">
        <v>27628</v>
      </c>
      <c r="B3566" s="158">
        <v>8.5299999999999994</v>
      </c>
    </row>
    <row r="3567" spans="1:5" x14ac:dyDescent="0.25">
      <c r="A3567" s="157">
        <v>27631</v>
      </c>
      <c r="B3567" s="158">
        <v>8.5399999999999991</v>
      </c>
    </row>
    <row r="3568" spans="1:5" x14ac:dyDescent="0.25">
      <c r="A3568" s="157">
        <v>27632</v>
      </c>
      <c r="B3568" s="158">
        <v>8.52</v>
      </c>
    </row>
    <row r="3569" spans="1:2" x14ac:dyDescent="0.25">
      <c r="A3569" s="157">
        <v>27633</v>
      </c>
      <c r="B3569" s="158">
        <v>8.48</v>
      </c>
    </row>
    <row r="3570" spans="1:2" x14ac:dyDescent="0.25">
      <c r="A3570" s="157">
        <v>27634</v>
      </c>
      <c r="B3570" s="158">
        <v>8.4499999999999993</v>
      </c>
    </row>
    <row r="3571" spans="1:2" x14ac:dyDescent="0.25">
      <c r="A3571" s="157">
        <v>27635</v>
      </c>
      <c r="B3571" s="158">
        <v>8.42</v>
      </c>
    </row>
    <row r="3572" spans="1:2" x14ac:dyDescent="0.25">
      <c r="A3572" s="157">
        <v>27638</v>
      </c>
      <c r="B3572" s="158" t="e">
        <f>NA()</f>
        <v>#N/A</v>
      </c>
    </row>
    <row r="3573" spans="1:2" x14ac:dyDescent="0.25">
      <c r="A3573" s="157">
        <v>27639</v>
      </c>
      <c r="B3573" s="158">
        <v>8.44</v>
      </c>
    </row>
    <row r="3574" spans="1:2" x14ac:dyDescent="0.25">
      <c r="A3574" s="157">
        <v>27640</v>
      </c>
      <c r="B3574" s="158">
        <v>8.4600000000000009</v>
      </c>
    </row>
    <row r="3575" spans="1:2" x14ac:dyDescent="0.25">
      <c r="A3575" s="157">
        <v>27641</v>
      </c>
      <c r="B3575" s="158">
        <v>8.4600000000000009</v>
      </c>
    </row>
    <row r="3576" spans="1:2" x14ac:dyDescent="0.25">
      <c r="A3576" s="157">
        <v>27642</v>
      </c>
      <c r="B3576" s="158">
        <v>8.51</v>
      </c>
    </row>
    <row r="3577" spans="1:2" x14ac:dyDescent="0.25">
      <c r="A3577" s="157">
        <v>27645</v>
      </c>
      <c r="B3577" s="158">
        <v>8.5399999999999991</v>
      </c>
    </row>
    <row r="3578" spans="1:2" x14ac:dyDescent="0.25">
      <c r="A3578" s="157">
        <v>27646</v>
      </c>
      <c r="B3578" s="158">
        <v>8.57</v>
      </c>
    </row>
    <row r="3579" spans="1:2" x14ac:dyDescent="0.25">
      <c r="A3579" s="157">
        <v>27647</v>
      </c>
      <c r="B3579" s="158">
        <v>8.6</v>
      </c>
    </row>
    <row r="3580" spans="1:2" x14ac:dyDescent="0.25">
      <c r="A3580" s="157">
        <v>27648</v>
      </c>
      <c r="B3580" s="158">
        <v>8.66</v>
      </c>
    </row>
    <row r="3581" spans="1:2" x14ac:dyDescent="0.25">
      <c r="A3581" s="157">
        <v>27649</v>
      </c>
      <c r="B3581" s="158">
        <v>8.68</v>
      </c>
    </row>
    <row r="3582" spans="1:2" x14ac:dyDescent="0.25">
      <c r="A3582" s="157">
        <v>27652</v>
      </c>
      <c r="B3582" s="158">
        <v>8.68</v>
      </c>
    </row>
    <row r="3583" spans="1:2" x14ac:dyDescent="0.25">
      <c r="A3583" s="157">
        <v>27653</v>
      </c>
      <c r="B3583" s="158">
        <v>8.7100000000000009</v>
      </c>
    </row>
    <row r="3584" spans="1:2" x14ac:dyDescent="0.25">
      <c r="A3584" s="157">
        <v>27654</v>
      </c>
      <c r="B3584" s="158">
        <v>8.6300000000000008</v>
      </c>
    </row>
    <row r="3585" spans="1:2" x14ac:dyDescent="0.25">
      <c r="A3585" s="157">
        <v>27655</v>
      </c>
      <c r="B3585" s="158">
        <v>8.6</v>
      </c>
    </row>
    <row r="3586" spans="1:2" x14ac:dyDescent="0.25">
      <c r="A3586" s="157">
        <v>27656</v>
      </c>
      <c r="B3586" s="158">
        <v>8.5399999999999991</v>
      </c>
    </row>
    <row r="3587" spans="1:2" x14ac:dyDescent="0.25">
      <c r="A3587" s="157">
        <v>27659</v>
      </c>
      <c r="B3587" s="158">
        <v>8.52</v>
      </c>
    </row>
    <row r="3588" spans="1:2" x14ac:dyDescent="0.25">
      <c r="A3588" s="157">
        <v>27660</v>
      </c>
      <c r="B3588" s="158">
        <v>8.52</v>
      </c>
    </row>
    <row r="3589" spans="1:2" x14ac:dyDescent="0.25">
      <c r="A3589" s="157">
        <v>27661</v>
      </c>
      <c r="B3589" s="158">
        <v>8.4700000000000006</v>
      </c>
    </row>
    <row r="3590" spans="1:2" x14ac:dyDescent="0.25">
      <c r="A3590" s="157">
        <v>27662</v>
      </c>
      <c r="B3590" s="158">
        <v>8.5299999999999994</v>
      </c>
    </row>
    <row r="3591" spans="1:2" x14ac:dyDescent="0.25">
      <c r="A3591" s="157">
        <v>27663</v>
      </c>
      <c r="B3591" s="158">
        <v>8.56</v>
      </c>
    </row>
    <row r="3592" spans="1:2" x14ac:dyDescent="0.25">
      <c r="A3592" s="157">
        <v>27666</v>
      </c>
      <c r="B3592" s="158">
        <v>8.59</v>
      </c>
    </row>
    <row r="3593" spans="1:2" x14ac:dyDescent="0.25">
      <c r="A3593" s="157">
        <v>27667</v>
      </c>
      <c r="B3593" s="158">
        <v>8.61</v>
      </c>
    </row>
    <row r="3594" spans="1:2" x14ac:dyDescent="0.25">
      <c r="A3594" s="157">
        <v>27668</v>
      </c>
      <c r="B3594" s="158">
        <v>8.61</v>
      </c>
    </row>
    <row r="3595" spans="1:2" x14ac:dyDescent="0.25">
      <c r="A3595" s="157">
        <v>27669</v>
      </c>
      <c r="B3595" s="158">
        <v>8.6</v>
      </c>
    </row>
    <row r="3596" spans="1:2" x14ac:dyDescent="0.25">
      <c r="A3596" s="157">
        <v>27670</v>
      </c>
      <c r="B3596" s="158">
        <v>8.5299999999999994</v>
      </c>
    </row>
    <row r="3597" spans="1:2" x14ac:dyDescent="0.25">
      <c r="A3597" s="157">
        <v>27673</v>
      </c>
      <c r="B3597" s="158">
        <v>8.4700000000000006</v>
      </c>
    </row>
    <row r="3598" spans="1:2" x14ac:dyDescent="0.25">
      <c r="A3598" s="157">
        <v>27674</v>
      </c>
      <c r="B3598" s="158">
        <v>8.48</v>
      </c>
    </row>
    <row r="3599" spans="1:2" x14ac:dyDescent="0.25">
      <c r="A3599" s="157">
        <v>27675</v>
      </c>
      <c r="B3599" s="158">
        <v>8.43</v>
      </c>
    </row>
    <row r="3600" spans="1:2" x14ac:dyDescent="0.25">
      <c r="A3600" s="157">
        <v>27676</v>
      </c>
      <c r="B3600" s="158">
        <v>8.4</v>
      </c>
    </row>
    <row r="3601" spans="1:2" x14ac:dyDescent="0.25">
      <c r="A3601" s="157">
        <v>27677</v>
      </c>
      <c r="B3601" s="158">
        <v>8.35</v>
      </c>
    </row>
    <row r="3602" spans="1:2" x14ac:dyDescent="0.25">
      <c r="A3602" s="157">
        <v>27680</v>
      </c>
      <c r="B3602" s="158" t="e">
        <f>NA()</f>
        <v>#N/A</v>
      </c>
    </row>
    <row r="3603" spans="1:2" x14ac:dyDescent="0.25">
      <c r="A3603" s="157">
        <v>27681</v>
      </c>
      <c r="B3603" s="158">
        <v>8.36</v>
      </c>
    </row>
    <row r="3604" spans="1:2" x14ac:dyDescent="0.25">
      <c r="A3604" s="157">
        <v>27682</v>
      </c>
      <c r="B3604" s="158">
        <v>8.3699999999999992</v>
      </c>
    </row>
    <row r="3605" spans="1:2" x14ac:dyDescent="0.25">
      <c r="A3605" s="157">
        <v>27683</v>
      </c>
      <c r="B3605" s="158">
        <v>8.31</v>
      </c>
    </row>
    <row r="3606" spans="1:2" x14ac:dyDescent="0.25">
      <c r="A3606" s="157">
        <v>27684</v>
      </c>
      <c r="B3606" s="158">
        <v>8.31</v>
      </c>
    </row>
    <row r="3607" spans="1:2" x14ac:dyDescent="0.25">
      <c r="A3607" s="157">
        <v>27687</v>
      </c>
      <c r="B3607" s="158">
        <v>8.33</v>
      </c>
    </row>
    <row r="3608" spans="1:2" x14ac:dyDescent="0.25">
      <c r="A3608" s="157">
        <v>27688</v>
      </c>
      <c r="B3608" s="158">
        <v>8.26</v>
      </c>
    </row>
    <row r="3609" spans="1:2" x14ac:dyDescent="0.25">
      <c r="A3609" s="157">
        <v>27689</v>
      </c>
      <c r="B3609" s="158">
        <v>8.25</v>
      </c>
    </row>
    <row r="3610" spans="1:2" x14ac:dyDescent="0.25">
      <c r="A3610" s="157">
        <v>27690</v>
      </c>
      <c r="B3610" s="158">
        <v>8.2100000000000009</v>
      </c>
    </row>
    <row r="3611" spans="1:2" x14ac:dyDescent="0.25">
      <c r="A3611" s="157">
        <v>27691</v>
      </c>
      <c r="B3611" s="158">
        <v>8.25</v>
      </c>
    </row>
    <row r="3612" spans="1:2" x14ac:dyDescent="0.25">
      <c r="A3612" s="157">
        <v>27694</v>
      </c>
      <c r="B3612" s="158">
        <v>8.27</v>
      </c>
    </row>
    <row r="3613" spans="1:2" x14ac:dyDescent="0.25">
      <c r="A3613" s="157">
        <v>27695</v>
      </c>
      <c r="B3613" s="158">
        <v>8.25</v>
      </c>
    </row>
    <row r="3614" spans="1:2" x14ac:dyDescent="0.25">
      <c r="A3614" s="157">
        <v>27696</v>
      </c>
      <c r="B3614" s="158">
        <v>8.23</v>
      </c>
    </row>
    <row r="3615" spans="1:2" x14ac:dyDescent="0.25">
      <c r="A3615" s="157">
        <v>27697</v>
      </c>
      <c r="B3615" s="158">
        <v>8.19</v>
      </c>
    </row>
    <row r="3616" spans="1:2" x14ac:dyDescent="0.25">
      <c r="A3616" s="157">
        <v>27698</v>
      </c>
      <c r="B3616" s="158">
        <v>8.15</v>
      </c>
    </row>
    <row r="3617" spans="1:2" x14ac:dyDescent="0.25">
      <c r="A3617" s="157">
        <v>27701</v>
      </c>
      <c r="B3617" s="158">
        <v>8.19</v>
      </c>
    </row>
    <row r="3618" spans="1:2" x14ac:dyDescent="0.25">
      <c r="A3618" s="157">
        <v>27702</v>
      </c>
      <c r="B3618" s="158" t="e">
        <f>NA()</f>
        <v>#N/A</v>
      </c>
    </row>
    <row r="3619" spans="1:2" x14ac:dyDescent="0.25">
      <c r="A3619" s="157">
        <v>27703</v>
      </c>
      <c r="B3619" s="158">
        <v>8.18</v>
      </c>
    </row>
    <row r="3620" spans="1:2" x14ac:dyDescent="0.25">
      <c r="A3620" s="157">
        <v>27704</v>
      </c>
      <c r="B3620" s="158">
        <v>8.19</v>
      </c>
    </row>
    <row r="3621" spans="1:2" x14ac:dyDescent="0.25">
      <c r="A3621" s="157">
        <v>27705</v>
      </c>
      <c r="B3621" s="158">
        <v>8.18</v>
      </c>
    </row>
    <row r="3622" spans="1:2" x14ac:dyDescent="0.25">
      <c r="A3622" s="157">
        <v>27708</v>
      </c>
      <c r="B3622" s="158">
        <v>8.17</v>
      </c>
    </row>
    <row r="3623" spans="1:2" x14ac:dyDescent="0.25">
      <c r="A3623" s="157">
        <v>27709</v>
      </c>
      <c r="B3623" s="158" t="e">
        <f>NA()</f>
        <v>#N/A</v>
      </c>
    </row>
    <row r="3624" spans="1:2" x14ac:dyDescent="0.25">
      <c r="A3624" s="157">
        <v>27710</v>
      </c>
      <c r="B3624" s="158">
        <v>8.1999999999999993</v>
      </c>
    </row>
    <row r="3625" spans="1:2" x14ac:dyDescent="0.25">
      <c r="A3625" s="157">
        <v>27711</v>
      </c>
      <c r="B3625" s="158">
        <v>8.2200000000000006</v>
      </c>
    </row>
    <row r="3626" spans="1:2" x14ac:dyDescent="0.25">
      <c r="A3626" s="157">
        <v>27712</v>
      </c>
      <c r="B3626" s="158">
        <v>8.2799999999999994</v>
      </c>
    </row>
    <row r="3627" spans="1:2" x14ac:dyDescent="0.25">
      <c r="A3627" s="157">
        <v>27715</v>
      </c>
      <c r="B3627" s="158">
        <v>8.2899999999999991</v>
      </c>
    </row>
    <row r="3628" spans="1:2" x14ac:dyDescent="0.25">
      <c r="A3628" s="157">
        <v>27716</v>
      </c>
      <c r="B3628" s="158">
        <v>8.36</v>
      </c>
    </row>
    <row r="3629" spans="1:2" x14ac:dyDescent="0.25">
      <c r="A3629" s="157">
        <v>27717</v>
      </c>
      <c r="B3629" s="158">
        <v>8.36</v>
      </c>
    </row>
    <row r="3630" spans="1:2" x14ac:dyDescent="0.25">
      <c r="A3630" s="157">
        <v>27718</v>
      </c>
      <c r="B3630" s="158">
        <v>8.34</v>
      </c>
    </row>
    <row r="3631" spans="1:2" x14ac:dyDescent="0.25">
      <c r="A3631" s="157">
        <v>27719</v>
      </c>
      <c r="B3631" s="158">
        <v>8.3699999999999992</v>
      </c>
    </row>
    <row r="3632" spans="1:2" x14ac:dyDescent="0.25">
      <c r="A3632" s="157">
        <v>27722</v>
      </c>
      <c r="B3632" s="158">
        <v>8.36</v>
      </c>
    </row>
    <row r="3633" spans="1:2" x14ac:dyDescent="0.25">
      <c r="A3633" s="157">
        <v>27723</v>
      </c>
      <c r="B3633" s="158">
        <v>8.34</v>
      </c>
    </row>
    <row r="3634" spans="1:2" x14ac:dyDescent="0.25">
      <c r="A3634" s="157">
        <v>27724</v>
      </c>
      <c r="B3634" s="158">
        <v>8.34</v>
      </c>
    </row>
    <row r="3635" spans="1:2" x14ac:dyDescent="0.25">
      <c r="A3635" s="157">
        <v>27725</v>
      </c>
      <c r="B3635" s="158" t="e">
        <f>NA()</f>
        <v>#N/A</v>
      </c>
    </row>
    <row r="3636" spans="1:2" x14ac:dyDescent="0.25">
      <c r="A3636" s="157">
        <v>27726</v>
      </c>
      <c r="B3636" s="158">
        <v>8.34</v>
      </c>
    </row>
    <row r="3637" spans="1:2" x14ac:dyDescent="0.25">
      <c r="A3637" s="157">
        <v>27729</v>
      </c>
      <c r="B3637" s="158">
        <v>8.35</v>
      </c>
    </row>
    <row r="3638" spans="1:2" x14ac:dyDescent="0.25">
      <c r="A3638" s="157">
        <v>27730</v>
      </c>
      <c r="B3638" s="158">
        <v>8.34</v>
      </c>
    </row>
    <row r="3639" spans="1:2" x14ac:dyDescent="0.25">
      <c r="A3639" s="157">
        <v>27731</v>
      </c>
      <c r="B3639" s="158">
        <v>8.34</v>
      </c>
    </row>
    <row r="3640" spans="1:2" x14ac:dyDescent="0.25">
      <c r="A3640" s="157">
        <v>27732</v>
      </c>
      <c r="B3640" s="158">
        <v>8.32</v>
      </c>
    </row>
    <row r="3641" spans="1:2" x14ac:dyDescent="0.25">
      <c r="A3641" s="157">
        <v>27733</v>
      </c>
      <c r="B3641" s="158">
        <v>8.33</v>
      </c>
    </row>
    <row r="3642" spans="1:2" x14ac:dyDescent="0.25">
      <c r="A3642" s="157">
        <v>27736</v>
      </c>
      <c r="B3642" s="158">
        <v>8.36</v>
      </c>
    </row>
    <row r="3643" spans="1:2" x14ac:dyDescent="0.25">
      <c r="A3643" s="157">
        <v>27737</v>
      </c>
      <c r="B3643" s="158">
        <v>8.4</v>
      </c>
    </row>
    <row r="3644" spans="1:2" x14ac:dyDescent="0.25">
      <c r="A3644" s="157">
        <v>27738</v>
      </c>
      <c r="B3644" s="158">
        <v>8.4</v>
      </c>
    </row>
    <row r="3645" spans="1:2" x14ac:dyDescent="0.25">
      <c r="A3645" s="157">
        <v>27739</v>
      </c>
      <c r="B3645" s="158">
        <v>8.3699999999999992</v>
      </c>
    </row>
    <row r="3646" spans="1:2" x14ac:dyDescent="0.25">
      <c r="A3646" s="157">
        <v>27740</v>
      </c>
      <c r="B3646" s="158">
        <v>8.33</v>
      </c>
    </row>
    <row r="3647" spans="1:2" x14ac:dyDescent="0.25">
      <c r="A3647" s="157">
        <v>27743</v>
      </c>
      <c r="B3647" s="158">
        <v>8.3000000000000007</v>
      </c>
    </row>
    <row r="3648" spans="1:2" x14ac:dyDescent="0.25">
      <c r="A3648" s="157">
        <v>27744</v>
      </c>
      <c r="B3648" s="158">
        <v>8.2200000000000006</v>
      </c>
    </row>
    <row r="3649" spans="1:2" x14ac:dyDescent="0.25">
      <c r="A3649" s="157">
        <v>27745</v>
      </c>
      <c r="B3649" s="158">
        <v>8.2100000000000009</v>
      </c>
    </row>
    <row r="3650" spans="1:2" x14ac:dyDescent="0.25">
      <c r="A3650" s="157">
        <v>27746</v>
      </c>
      <c r="B3650" s="158">
        <v>8.17</v>
      </c>
    </row>
    <row r="3651" spans="1:2" x14ac:dyDescent="0.25">
      <c r="A3651" s="157">
        <v>27747</v>
      </c>
      <c r="B3651" s="158">
        <v>8.1199999999999992</v>
      </c>
    </row>
    <row r="3652" spans="1:2" x14ac:dyDescent="0.25">
      <c r="A3652" s="157">
        <v>27750</v>
      </c>
      <c r="B3652" s="158">
        <v>8.11</v>
      </c>
    </row>
    <row r="3653" spans="1:2" x14ac:dyDescent="0.25">
      <c r="A3653" s="157">
        <v>27751</v>
      </c>
      <c r="B3653" s="158">
        <v>8.1</v>
      </c>
    </row>
    <row r="3654" spans="1:2" x14ac:dyDescent="0.25">
      <c r="A3654" s="157">
        <v>27752</v>
      </c>
      <c r="B3654" s="158">
        <v>8.08</v>
      </c>
    </row>
    <row r="3655" spans="1:2" x14ac:dyDescent="0.25">
      <c r="A3655" s="157">
        <v>27753</v>
      </c>
      <c r="B3655" s="158" t="e">
        <f>NA()</f>
        <v>#N/A</v>
      </c>
    </row>
    <row r="3656" spans="1:2" x14ac:dyDescent="0.25">
      <c r="A3656" s="157">
        <v>27754</v>
      </c>
      <c r="B3656" s="158">
        <v>8.0299999999999994</v>
      </c>
    </row>
    <row r="3657" spans="1:2" x14ac:dyDescent="0.25">
      <c r="A3657" s="157">
        <v>27757</v>
      </c>
      <c r="B3657" s="158">
        <v>8.0399999999999991</v>
      </c>
    </row>
    <row r="3658" spans="1:2" x14ac:dyDescent="0.25">
      <c r="A3658" s="157">
        <v>27758</v>
      </c>
      <c r="B3658" s="158">
        <v>8.02</v>
      </c>
    </row>
    <row r="3659" spans="1:2" x14ac:dyDescent="0.25">
      <c r="A3659" s="157">
        <v>27759</v>
      </c>
      <c r="B3659" s="158">
        <v>8.0399999999999991</v>
      </c>
    </row>
    <row r="3660" spans="1:2" x14ac:dyDescent="0.25">
      <c r="A3660" s="157">
        <v>27760</v>
      </c>
      <c r="B3660" s="158" t="e">
        <f>NA()</f>
        <v>#N/A</v>
      </c>
    </row>
    <row r="3661" spans="1:2" x14ac:dyDescent="0.25">
      <c r="A3661" s="157">
        <v>27761</v>
      </c>
      <c r="B3661" s="158">
        <v>8.06</v>
      </c>
    </row>
    <row r="3662" spans="1:2" x14ac:dyDescent="0.25">
      <c r="A3662" s="157">
        <v>27764</v>
      </c>
      <c r="B3662" s="158">
        <v>8.0299999999999994</v>
      </c>
    </row>
    <row r="3663" spans="1:2" x14ac:dyDescent="0.25">
      <c r="A3663" s="157">
        <v>27765</v>
      </c>
      <c r="B3663" s="158">
        <v>7.99</v>
      </c>
    </row>
    <row r="3664" spans="1:2" x14ac:dyDescent="0.25">
      <c r="A3664" s="157">
        <v>27766</v>
      </c>
      <c r="B3664" s="158">
        <v>7.98</v>
      </c>
    </row>
    <row r="3665" spans="1:2" x14ac:dyDescent="0.25">
      <c r="A3665" s="157">
        <v>27767</v>
      </c>
      <c r="B3665" s="158">
        <v>8.02</v>
      </c>
    </row>
    <row r="3666" spans="1:2" x14ac:dyDescent="0.25">
      <c r="A3666" s="157">
        <v>27768</v>
      </c>
      <c r="B3666" s="158">
        <v>7.95</v>
      </c>
    </row>
    <row r="3667" spans="1:2" x14ac:dyDescent="0.25">
      <c r="A3667" s="157">
        <v>27771</v>
      </c>
      <c r="B3667" s="158">
        <v>7.93</v>
      </c>
    </row>
    <row r="3668" spans="1:2" x14ac:dyDescent="0.25">
      <c r="A3668" s="157">
        <v>27772</v>
      </c>
      <c r="B3668" s="158">
        <v>7.92</v>
      </c>
    </row>
    <row r="3669" spans="1:2" x14ac:dyDescent="0.25">
      <c r="A3669" s="157">
        <v>27773</v>
      </c>
      <c r="B3669" s="158">
        <v>7.99</v>
      </c>
    </row>
    <row r="3670" spans="1:2" x14ac:dyDescent="0.25">
      <c r="A3670" s="157">
        <v>27774</v>
      </c>
      <c r="B3670" s="158">
        <v>7.98</v>
      </c>
    </row>
    <row r="3671" spans="1:2" x14ac:dyDescent="0.25">
      <c r="A3671" s="157">
        <v>27775</v>
      </c>
      <c r="B3671" s="158">
        <v>8.02</v>
      </c>
    </row>
    <row r="3672" spans="1:2" x14ac:dyDescent="0.25">
      <c r="A3672" s="157">
        <v>27778</v>
      </c>
      <c r="B3672" s="158">
        <v>8</v>
      </c>
    </row>
    <row r="3673" spans="1:2" x14ac:dyDescent="0.25">
      <c r="A3673" s="157">
        <v>27779</v>
      </c>
      <c r="B3673" s="158">
        <v>8.0500000000000007</v>
      </c>
    </row>
    <row r="3674" spans="1:2" x14ac:dyDescent="0.25">
      <c r="A3674" s="157">
        <v>27780</v>
      </c>
      <c r="B3674" s="158">
        <v>8.0399999999999991</v>
      </c>
    </row>
    <row r="3675" spans="1:2" x14ac:dyDescent="0.25">
      <c r="A3675" s="157">
        <v>27781</v>
      </c>
      <c r="B3675" s="158">
        <v>8.0399999999999991</v>
      </c>
    </row>
    <row r="3676" spans="1:2" x14ac:dyDescent="0.25">
      <c r="A3676" s="157">
        <v>27782</v>
      </c>
      <c r="B3676" s="158">
        <v>8.02</v>
      </c>
    </row>
    <row r="3677" spans="1:2" x14ac:dyDescent="0.25">
      <c r="A3677" s="157">
        <v>27785</v>
      </c>
      <c r="B3677" s="158">
        <v>8.0299999999999994</v>
      </c>
    </row>
    <row r="3678" spans="1:2" x14ac:dyDescent="0.25">
      <c r="A3678" s="157">
        <v>27786</v>
      </c>
      <c r="B3678" s="158">
        <v>8.0299999999999994</v>
      </c>
    </row>
    <row r="3679" spans="1:2" x14ac:dyDescent="0.25">
      <c r="A3679" s="157">
        <v>27787</v>
      </c>
      <c r="B3679" s="158">
        <v>8.0399999999999991</v>
      </c>
    </row>
    <row r="3680" spans="1:2" x14ac:dyDescent="0.25">
      <c r="A3680" s="157">
        <v>27788</v>
      </c>
      <c r="B3680" s="158">
        <v>8.02</v>
      </c>
    </row>
    <row r="3681" spans="1:2" x14ac:dyDescent="0.25">
      <c r="A3681" s="157">
        <v>27789</v>
      </c>
      <c r="B3681" s="158">
        <v>8</v>
      </c>
    </row>
    <row r="3682" spans="1:2" x14ac:dyDescent="0.25">
      <c r="A3682" s="157">
        <v>27792</v>
      </c>
      <c r="B3682" s="158">
        <v>8.01</v>
      </c>
    </row>
    <row r="3683" spans="1:2" x14ac:dyDescent="0.25">
      <c r="A3683" s="157">
        <v>27793</v>
      </c>
      <c r="B3683" s="158">
        <v>8.0299999999999994</v>
      </c>
    </row>
    <row r="3684" spans="1:2" x14ac:dyDescent="0.25">
      <c r="A3684" s="157">
        <v>27794</v>
      </c>
      <c r="B3684" s="158">
        <v>8.0500000000000007</v>
      </c>
    </row>
    <row r="3685" spans="1:2" x14ac:dyDescent="0.25">
      <c r="A3685" s="157">
        <v>27795</v>
      </c>
      <c r="B3685" s="158">
        <v>8.0399999999999991</v>
      </c>
    </row>
    <row r="3686" spans="1:2" x14ac:dyDescent="0.25">
      <c r="A3686" s="157">
        <v>27796</v>
      </c>
      <c r="B3686" s="158">
        <v>8.08</v>
      </c>
    </row>
    <row r="3687" spans="1:2" x14ac:dyDescent="0.25">
      <c r="A3687" s="157">
        <v>27799</v>
      </c>
      <c r="B3687" s="158">
        <v>8.1</v>
      </c>
    </row>
    <row r="3688" spans="1:2" x14ac:dyDescent="0.25">
      <c r="A3688" s="157">
        <v>27800</v>
      </c>
      <c r="B3688" s="158">
        <v>8.1199999999999992</v>
      </c>
    </row>
    <row r="3689" spans="1:2" x14ac:dyDescent="0.25">
      <c r="A3689" s="157">
        <v>27801</v>
      </c>
      <c r="B3689" s="158">
        <v>8.1</v>
      </c>
    </row>
    <row r="3690" spans="1:2" x14ac:dyDescent="0.25">
      <c r="A3690" s="157">
        <v>27802</v>
      </c>
      <c r="B3690" s="158" t="e">
        <f>NA()</f>
        <v>#N/A</v>
      </c>
    </row>
    <row r="3691" spans="1:2" x14ac:dyDescent="0.25">
      <c r="A3691" s="157">
        <v>27803</v>
      </c>
      <c r="B3691" s="158">
        <v>8.08</v>
      </c>
    </row>
    <row r="3692" spans="1:2" x14ac:dyDescent="0.25">
      <c r="A3692" s="157">
        <v>27806</v>
      </c>
      <c r="B3692" s="158" t="e">
        <f>NA()</f>
        <v>#N/A</v>
      </c>
    </row>
    <row r="3693" spans="1:2" x14ac:dyDescent="0.25">
      <c r="A3693" s="157">
        <v>27807</v>
      </c>
      <c r="B3693" s="158">
        <v>8.0399999999999991</v>
      </c>
    </row>
    <row r="3694" spans="1:2" x14ac:dyDescent="0.25">
      <c r="A3694" s="157">
        <v>27808</v>
      </c>
      <c r="B3694" s="158">
        <v>8.06</v>
      </c>
    </row>
    <row r="3695" spans="1:2" x14ac:dyDescent="0.25">
      <c r="A3695" s="157">
        <v>27809</v>
      </c>
      <c r="B3695" s="158">
        <v>8.07</v>
      </c>
    </row>
    <row r="3696" spans="1:2" x14ac:dyDescent="0.25">
      <c r="A3696" s="157">
        <v>27810</v>
      </c>
      <c r="B3696" s="158">
        <v>8.0500000000000007</v>
      </c>
    </row>
    <row r="3697" spans="1:2" x14ac:dyDescent="0.25">
      <c r="A3697" s="157">
        <v>27813</v>
      </c>
      <c r="B3697" s="158">
        <v>7.97</v>
      </c>
    </row>
    <row r="3698" spans="1:2" x14ac:dyDescent="0.25">
      <c r="A3698" s="157">
        <v>27814</v>
      </c>
      <c r="B3698" s="158">
        <v>7.93</v>
      </c>
    </row>
    <row r="3699" spans="1:2" x14ac:dyDescent="0.25">
      <c r="A3699" s="157">
        <v>27815</v>
      </c>
      <c r="B3699" s="158">
        <v>7.93</v>
      </c>
    </row>
    <row r="3700" spans="1:2" x14ac:dyDescent="0.25">
      <c r="A3700" s="157">
        <v>27816</v>
      </c>
      <c r="B3700" s="158">
        <v>7.94</v>
      </c>
    </row>
    <row r="3701" spans="1:2" x14ac:dyDescent="0.25">
      <c r="A3701" s="157">
        <v>27817</v>
      </c>
      <c r="B3701" s="158">
        <v>8.02</v>
      </c>
    </row>
    <row r="3702" spans="1:2" x14ac:dyDescent="0.25">
      <c r="A3702" s="157">
        <v>27820</v>
      </c>
      <c r="B3702" s="158">
        <v>8.11</v>
      </c>
    </row>
    <row r="3703" spans="1:2" x14ac:dyDescent="0.25">
      <c r="A3703" s="157">
        <v>27821</v>
      </c>
      <c r="B3703" s="158">
        <v>8.06</v>
      </c>
    </row>
    <row r="3704" spans="1:2" x14ac:dyDescent="0.25">
      <c r="A3704" s="157">
        <v>27822</v>
      </c>
      <c r="B3704" s="158">
        <v>8.07</v>
      </c>
    </row>
    <row r="3705" spans="1:2" x14ac:dyDescent="0.25">
      <c r="A3705" s="157">
        <v>27823</v>
      </c>
      <c r="B3705" s="158">
        <v>8.08</v>
      </c>
    </row>
    <row r="3706" spans="1:2" x14ac:dyDescent="0.25">
      <c r="A3706" s="157">
        <v>27824</v>
      </c>
      <c r="B3706" s="158">
        <v>8.02</v>
      </c>
    </row>
    <row r="3707" spans="1:2" x14ac:dyDescent="0.25">
      <c r="A3707" s="157">
        <v>27827</v>
      </c>
      <c r="B3707" s="158">
        <v>7.99</v>
      </c>
    </row>
    <row r="3708" spans="1:2" x14ac:dyDescent="0.25">
      <c r="A3708" s="157">
        <v>27828</v>
      </c>
      <c r="B3708" s="158">
        <v>8.02</v>
      </c>
    </row>
    <row r="3709" spans="1:2" x14ac:dyDescent="0.25">
      <c r="A3709" s="157">
        <v>27829</v>
      </c>
      <c r="B3709" s="158">
        <v>8</v>
      </c>
    </row>
    <row r="3710" spans="1:2" x14ac:dyDescent="0.25">
      <c r="A3710" s="157">
        <v>27830</v>
      </c>
      <c r="B3710" s="158">
        <v>8.01</v>
      </c>
    </row>
    <row r="3711" spans="1:2" x14ac:dyDescent="0.25">
      <c r="A3711" s="157">
        <v>27831</v>
      </c>
      <c r="B3711" s="158">
        <v>7.94</v>
      </c>
    </row>
    <row r="3712" spans="1:2" x14ac:dyDescent="0.25">
      <c r="A3712" s="157">
        <v>27834</v>
      </c>
      <c r="B3712" s="158">
        <v>7.96</v>
      </c>
    </row>
    <row r="3713" spans="1:2" x14ac:dyDescent="0.25">
      <c r="A3713" s="157">
        <v>27835</v>
      </c>
      <c r="B3713" s="158">
        <v>7.98</v>
      </c>
    </row>
    <row r="3714" spans="1:2" x14ac:dyDescent="0.25">
      <c r="A3714" s="157">
        <v>27836</v>
      </c>
      <c r="B3714" s="158">
        <v>7.99</v>
      </c>
    </row>
    <row r="3715" spans="1:2" x14ac:dyDescent="0.25">
      <c r="A3715" s="157">
        <v>27837</v>
      </c>
      <c r="B3715" s="158">
        <v>7.97</v>
      </c>
    </row>
    <row r="3716" spans="1:2" x14ac:dyDescent="0.25">
      <c r="A3716" s="157">
        <v>27838</v>
      </c>
      <c r="B3716" s="158">
        <v>7.97</v>
      </c>
    </row>
    <row r="3717" spans="1:2" x14ac:dyDescent="0.25">
      <c r="A3717" s="157">
        <v>27841</v>
      </c>
      <c r="B3717" s="158">
        <v>7.94</v>
      </c>
    </row>
    <row r="3718" spans="1:2" x14ac:dyDescent="0.25">
      <c r="A3718" s="157">
        <v>27842</v>
      </c>
      <c r="B3718" s="158">
        <v>7.91</v>
      </c>
    </row>
    <row r="3719" spans="1:2" x14ac:dyDescent="0.25">
      <c r="A3719" s="157">
        <v>27843</v>
      </c>
      <c r="B3719" s="158">
        <v>7.88</v>
      </c>
    </row>
    <row r="3720" spans="1:2" x14ac:dyDescent="0.25">
      <c r="A3720" s="157">
        <v>27844</v>
      </c>
      <c r="B3720" s="158">
        <v>7.87</v>
      </c>
    </row>
    <row r="3721" spans="1:2" x14ac:dyDescent="0.25">
      <c r="A3721" s="157">
        <v>27845</v>
      </c>
      <c r="B3721" s="158">
        <v>7.87</v>
      </c>
    </row>
    <row r="3722" spans="1:2" x14ac:dyDescent="0.25">
      <c r="A3722" s="157">
        <v>27848</v>
      </c>
      <c r="B3722" s="158">
        <v>7.88</v>
      </c>
    </row>
    <row r="3723" spans="1:2" x14ac:dyDescent="0.25">
      <c r="A3723" s="157">
        <v>27849</v>
      </c>
      <c r="B3723" s="158">
        <v>7.88</v>
      </c>
    </row>
    <row r="3724" spans="1:2" x14ac:dyDescent="0.25">
      <c r="A3724" s="157">
        <v>27850</v>
      </c>
      <c r="B3724" s="158">
        <v>7.9</v>
      </c>
    </row>
    <row r="3725" spans="1:2" x14ac:dyDescent="0.25">
      <c r="A3725" s="157">
        <v>27851</v>
      </c>
      <c r="B3725" s="158">
        <v>7.93</v>
      </c>
    </row>
    <row r="3726" spans="1:2" x14ac:dyDescent="0.25">
      <c r="A3726" s="157">
        <v>27852</v>
      </c>
      <c r="B3726" s="158">
        <v>7.91</v>
      </c>
    </row>
    <row r="3727" spans="1:2" x14ac:dyDescent="0.25">
      <c r="A3727" s="157">
        <v>27855</v>
      </c>
      <c r="B3727" s="158">
        <v>7.88</v>
      </c>
    </row>
    <row r="3728" spans="1:2" x14ac:dyDescent="0.25">
      <c r="A3728" s="157">
        <v>27856</v>
      </c>
      <c r="B3728" s="158">
        <v>7.84</v>
      </c>
    </row>
    <row r="3729" spans="1:2" x14ac:dyDescent="0.25">
      <c r="A3729" s="157">
        <v>27857</v>
      </c>
      <c r="B3729" s="158">
        <v>7.82</v>
      </c>
    </row>
    <row r="3730" spans="1:2" x14ac:dyDescent="0.25">
      <c r="A3730" s="157">
        <v>27858</v>
      </c>
      <c r="B3730" s="158">
        <v>7.82</v>
      </c>
    </row>
    <row r="3731" spans="1:2" x14ac:dyDescent="0.25">
      <c r="A3731" s="157">
        <v>27859</v>
      </c>
      <c r="B3731" s="158">
        <v>7.82</v>
      </c>
    </row>
    <row r="3732" spans="1:2" x14ac:dyDescent="0.25">
      <c r="A3732" s="157">
        <v>27862</v>
      </c>
      <c r="B3732" s="158">
        <v>7.82</v>
      </c>
    </row>
    <row r="3733" spans="1:2" x14ac:dyDescent="0.25">
      <c r="A3733" s="157">
        <v>27863</v>
      </c>
      <c r="B3733" s="158">
        <v>7.81</v>
      </c>
    </row>
    <row r="3734" spans="1:2" x14ac:dyDescent="0.25">
      <c r="A3734" s="157">
        <v>27864</v>
      </c>
      <c r="B3734" s="158">
        <v>7.77</v>
      </c>
    </row>
    <row r="3735" spans="1:2" x14ac:dyDescent="0.25">
      <c r="A3735" s="157">
        <v>27865</v>
      </c>
      <c r="B3735" s="158">
        <v>7.8</v>
      </c>
    </row>
    <row r="3736" spans="1:2" x14ac:dyDescent="0.25">
      <c r="A3736" s="157">
        <v>27866</v>
      </c>
      <c r="B3736" s="158" t="e">
        <f>NA()</f>
        <v>#N/A</v>
      </c>
    </row>
    <row r="3737" spans="1:2" x14ac:dyDescent="0.25">
      <c r="A3737" s="157">
        <v>27869</v>
      </c>
      <c r="B3737" s="158">
        <v>7.83</v>
      </c>
    </row>
    <row r="3738" spans="1:2" x14ac:dyDescent="0.25">
      <c r="A3738" s="157">
        <v>27870</v>
      </c>
      <c r="B3738" s="158">
        <v>7.82</v>
      </c>
    </row>
    <row r="3739" spans="1:2" x14ac:dyDescent="0.25">
      <c r="A3739" s="157">
        <v>27871</v>
      </c>
      <c r="B3739" s="158">
        <v>7.81</v>
      </c>
    </row>
    <row r="3740" spans="1:2" x14ac:dyDescent="0.25">
      <c r="A3740" s="157">
        <v>27872</v>
      </c>
      <c r="B3740" s="158">
        <v>7.84</v>
      </c>
    </row>
    <row r="3741" spans="1:2" x14ac:dyDescent="0.25">
      <c r="A3741" s="157">
        <v>27873</v>
      </c>
      <c r="B3741" s="158">
        <v>7.88</v>
      </c>
    </row>
    <row r="3742" spans="1:2" x14ac:dyDescent="0.25">
      <c r="A3742" s="157">
        <v>27876</v>
      </c>
      <c r="B3742" s="158">
        <v>7.92</v>
      </c>
    </row>
    <row r="3743" spans="1:2" x14ac:dyDescent="0.25">
      <c r="A3743" s="157">
        <v>27877</v>
      </c>
      <c r="B3743" s="158">
        <v>7.93</v>
      </c>
    </row>
    <row r="3744" spans="1:2" x14ac:dyDescent="0.25">
      <c r="A3744" s="157">
        <v>27878</v>
      </c>
      <c r="B3744" s="158">
        <v>7.92</v>
      </c>
    </row>
    <row r="3745" spans="1:2" x14ac:dyDescent="0.25">
      <c r="A3745" s="157">
        <v>27879</v>
      </c>
      <c r="B3745" s="158">
        <v>7.94</v>
      </c>
    </row>
    <row r="3746" spans="1:2" x14ac:dyDescent="0.25">
      <c r="A3746" s="157">
        <v>27880</v>
      </c>
      <c r="B3746" s="158">
        <v>7.99</v>
      </c>
    </row>
    <row r="3747" spans="1:2" x14ac:dyDescent="0.25">
      <c r="A3747" s="157">
        <v>27883</v>
      </c>
      <c r="B3747" s="158">
        <v>8.02</v>
      </c>
    </row>
    <row r="3748" spans="1:2" x14ac:dyDescent="0.25">
      <c r="A3748" s="157">
        <v>27884</v>
      </c>
      <c r="B3748" s="158">
        <v>7.98</v>
      </c>
    </row>
    <row r="3749" spans="1:2" x14ac:dyDescent="0.25">
      <c r="A3749" s="157">
        <v>27885</v>
      </c>
      <c r="B3749" s="158">
        <v>7.99</v>
      </c>
    </row>
    <row r="3750" spans="1:2" x14ac:dyDescent="0.25">
      <c r="A3750" s="157">
        <v>27886</v>
      </c>
      <c r="B3750" s="158">
        <v>8.02</v>
      </c>
    </row>
    <row r="3751" spans="1:2" x14ac:dyDescent="0.25">
      <c r="A3751" s="157">
        <v>27887</v>
      </c>
      <c r="B3751" s="158">
        <v>8.1199999999999992</v>
      </c>
    </row>
    <row r="3752" spans="1:2" x14ac:dyDescent="0.25">
      <c r="A3752" s="157">
        <v>27890</v>
      </c>
      <c r="B3752" s="158">
        <v>8.14</v>
      </c>
    </row>
    <row r="3753" spans="1:2" x14ac:dyDescent="0.25">
      <c r="A3753" s="157">
        <v>27891</v>
      </c>
      <c r="B3753" s="158">
        <v>8.1300000000000008</v>
      </c>
    </row>
    <row r="3754" spans="1:2" x14ac:dyDescent="0.25">
      <c r="A3754" s="157">
        <v>27892</v>
      </c>
      <c r="B3754" s="158">
        <v>8.17</v>
      </c>
    </row>
    <row r="3755" spans="1:2" x14ac:dyDescent="0.25">
      <c r="A3755" s="157">
        <v>27893</v>
      </c>
      <c r="B3755" s="158">
        <v>8.16</v>
      </c>
    </row>
    <row r="3756" spans="1:2" x14ac:dyDescent="0.25">
      <c r="A3756" s="157">
        <v>27894</v>
      </c>
      <c r="B3756" s="158">
        <v>8.14</v>
      </c>
    </row>
    <row r="3757" spans="1:2" x14ac:dyDescent="0.25">
      <c r="A3757" s="157">
        <v>27897</v>
      </c>
      <c r="B3757" s="158">
        <v>8.18</v>
      </c>
    </row>
    <row r="3758" spans="1:2" x14ac:dyDescent="0.25">
      <c r="A3758" s="157">
        <v>27898</v>
      </c>
      <c r="B3758" s="158">
        <v>8.1300000000000008</v>
      </c>
    </row>
    <row r="3759" spans="1:2" x14ac:dyDescent="0.25">
      <c r="A3759" s="157">
        <v>27899</v>
      </c>
      <c r="B3759" s="158">
        <v>8.14</v>
      </c>
    </row>
    <row r="3760" spans="1:2" x14ac:dyDescent="0.25">
      <c r="A3760" s="157">
        <v>27900</v>
      </c>
      <c r="B3760" s="158">
        <v>8.16</v>
      </c>
    </row>
    <row r="3761" spans="1:2" x14ac:dyDescent="0.25">
      <c r="A3761" s="157">
        <v>27901</v>
      </c>
      <c r="B3761" s="158">
        <v>8.1999999999999993</v>
      </c>
    </row>
    <row r="3762" spans="1:2" x14ac:dyDescent="0.25">
      <c r="A3762" s="157">
        <v>27904</v>
      </c>
      <c r="B3762" s="158">
        <v>8.18</v>
      </c>
    </row>
    <row r="3763" spans="1:2" x14ac:dyDescent="0.25">
      <c r="A3763" s="157">
        <v>27905</v>
      </c>
      <c r="B3763" s="158">
        <v>8.14</v>
      </c>
    </row>
    <row r="3764" spans="1:2" x14ac:dyDescent="0.25">
      <c r="A3764" s="157">
        <v>27906</v>
      </c>
      <c r="B3764" s="158">
        <v>8.16</v>
      </c>
    </row>
    <row r="3765" spans="1:2" x14ac:dyDescent="0.25">
      <c r="A3765" s="157">
        <v>27907</v>
      </c>
      <c r="B3765" s="158">
        <v>8.19</v>
      </c>
    </row>
    <row r="3766" spans="1:2" x14ac:dyDescent="0.25">
      <c r="A3766" s="157">
        <v>27908</v>
      </c>
      <c r="B3766" s="158">
        <v>8.19</v>
      </c>
    </row>
    <row r="3767" spans="1:2" x14ac:dyDescent="0.25">
      <c r="A3767" s="157">
        <v>27911</v>
      </c>
      <c r="B3767" s="158" t="e">
        <f>NA()</f>
        <v>#N/A</v>
      </c>
    </row>
    <row r="3768" spans="1:2" x14ac:dyDescent="0.25">
      <c r="A3768" s="157">
        <v>27912</v>
      </c>
      <c r="B3768" s="158">
        <v>8.1</v>
      </c>
    </row>
    <row r="3769" spans="1:2" x14ac:dyDescent="0.25">
      <c r="A3769" s="157">
        <v>27913</v>
      </c>
      <c r="B3769" s="158">
        <v>8.1</v>
      </c>
    </row>
    <row r="3770" spans="1:2" x14ac:dyDescent="0.25">
      <c r="A3770" s="157">
        <v>27914</v>
      </c>
      <c r="B3770" s="158">
        <v>8.07</v>
      </c>
    </row>
    <row r="3771" spans="1:2" x14ac:dyDescent="0.25">
      <c r="A3771" s="157">
        <v>27915</v>
      </c>
      <c r="B3771" s="158">
        <v>8.0399999999999991</v>
      </c>
    </row>
    <row r="3772" spans="1:2" x14ac:dyDescent="0.25">
      <c r="A3772" s="157">
        <v>27918</v>
      </c>
      <c r="B3772" s="158">
        <v>8.0500000000000007</v>
      </c>
    </row>
    <row r="3773" spans="1:2" x14ac:dyDescent="0.25">
      <c r="A3773" s="157">
        <v>27919</v>
      </c>
      <c r="B3773" s="158">
        <v>8.07</v>
      </c>
    </row>
    <row r="3774" spans="1:2" x14ac:dyDescent="0.25">
      <c r="A3774" s="157">
        <v>27920</v>
      </c>
      <c r="B3774" s="158">
        <v>8.06</v>
      </c>
    </row>
    <row r="3775" spans="1:2" x14ac:dyDescent="0.25">
      <c r="A3775" s="157">
        <v>27921</v>
      </c>
      <c r="B3775" s="158">
        <v>8.01</v>
      </c>
    </row>
    <row r="3776" spans="1:2" x14ac:dyDescent="0.25">
      <c r="A3776" s="157">
        <v>27922</v>
      </c>
      <c r="B3776" s="158">
        <v>8.01</v>
      </c>
    </row>
    <row r="3777" spans="1:2" x14ac:dyDescent="0.25">
      <c r="A3777" s="157">
        <v>27925</v>
      </c>
      <c r="B3777" s="158">
        <v>8.01</v>
      </c>
    </row>
    <row r="3778" spans="1:2" x14ac:dyDescent="0.25">
      <c r="A3778" s="157">
        <v>27926</v>
      </c>
      <c r="B3778" s="158">
        <v>8.01</v>
      </c>
    </row>
    <row r="3779" spans="1:2" x14ac:dyDescent="0.25">
      <c r="A3779" s="157">
        <v>27927</v>
      </c>
      <c r="B3779" s="158">
        <v>8.0399999999999991</v>
      </c>
    </row>
    <row r="3780" spans="1:2" x14ac:dyDescent="0.25">
      <c r="A3780" s="157">
        <v>27928</v>
      </c>
      <c r="B3780" s="158">
        <v>8.02</v>
      </c>
    </row>
    <row r="3781" spans="1:2" x14ac:dyDescent="0.25">
      <c r="A3781" s="157">
        <v>27929</v>
      </c>
      <c r="B3781" s="158">
        <v>8.01</v>
      </c>
    </row>
    <row r="3782" spans="1:2" x14ac:dyDescent="0.25">
      <c r="A3782" s="157">
        <v>27932</v>
      </c>
      <c r="B3782" s="158">
        <v>7.98</v>
      </c>
    </row>
    <row r="3783" spans="1:2" x14ac:dyDescent="0.25">
      <c r="A3783" s="157">
        <v>27933</v>
      </c>
      <c r="B3783" s="158">
        <v>7.99</v>
      </c>
    </row>
    <row r="3784" spans="1:2" x14ac:dyDescent="0.25">
      <c r="A3784" s="157">
        <v>27934</v>
      </c>
      <c r="B3784" s="158">
        <v>7.99</v>
      </c>
    </row>
    <row r="3785" spans="1:2" x14ac:dyDescent="0.25">
      <c r="A3785" s="157">
        <v>27935</v>
      </c>
      <c r="B3785" s="158">
        <v>7.99</v>
      </c>
    </row>
    <row r="3786" spans="1:2" x14ac:dyDescent="0.25">
      <c r="A3786" s="157">
        <v>27936</v>
      </c>
      <c r="B3786" s="158">
        <v>8</v>
      </c>
    </row>
    <row r="3787" spans="1:2" x14ac:dyDescent="0.25">
      <c r="A3787" s="157">
        <v>27939</v>
      </c>
      <c r="B3787" s="158">
        <v>8.02</v>
      </c>
    </row>
    <row r="3788" spans="1:2" x14ac:dyDescent="0.25">
      <c r="A3788" s="157">
        <v>27940</v>
      </c>
      <c r="B3788" s="158">
        <v>8.06</v>
      </c>
    </row>
    <row r="3789" spans="1:2" x14ac:dyDescent="0.25">
      <c r="A3789" s="157">
        <v>27941</v>
      </c>
      <c r="B3789" s="158">
        <v>8.02</v>
      </c>
    </row>
    <row r="3790" spans="1:2" x14ac:dyDescent="0.25">
      <c r="A3790" s="157">
        <v>27942</v>
      </c>
      <c r="B3790" s="158">
        <v>8.02</v>
      </c>
    </row>
    <row r="3791" spans="1:2" x14ac:dyDescent="0.25">
      <c r="A3791" s="157">
        <v>27943</v>
      </c>
      <c r="B3791" s="158">
        <v>7.98</v>
      </c>
    </row>
    <row r="3792" spans="1:2" x14ac:dyDescent="0.25">
      <c r="A3792" s="157">
        <v>27946</v>
      </c>
      <c r="B3792" s="158" t="e">
        <f>NA()</f>
        <v>#N/A</v>
      </c>
    </row>
    <row r="3793" spans="1:2" x14ac:dyDescent="0.25">
      <c r="A3793" s="157">
        <v>27947</v>
      </c>
      <c r="B3793" s="158">
        <v>7.98</v>
      </c>
    </row>
    <row r="3794" spans="1:2" x14ac:dyDescent="0.25">
      <c r="A3794" s="157">
        <v>27948</v>
      </c>
      <c r="B3794" s="158">
        <v>7.99</v>
      </c>
    </row>
    <row r="3795" spans="1:2" x14ac:dyDescent="0.25">
      <c r="A3795" s="157">
        <v>27949</v>
      </c>
      <c r="B3795" s="158">
        <v>7.98</v>
      </c>
    </row>
    <row r="3796" spans="1:2" x14ac:dyDescent="0.25">
      <c r="A3796" s="157">
        <v>27950</v>
      </c>
      <c r="B3796" s="158">
        <v>7.95</v>
      </c>
    </row>
    <row r="3797" spans="1:2" x14ac:dyDescent="0.25">
      <c r="A3797" s="157">
        <v>27953</v>
      </c>
      <c r="B3797" s="158">
        <v>7.94</v>
      </c>
    </row>
    <row r="3798" spans="1:2" x14ac:dyDescent="0.25">
      <c r="A3798" s="157">
        <v>27954</v>
      </c>
      <c r="B3798" s="158">
        <v>7.95</v>
      </c>
    </row>
    <row r="3799" spans="1:2" x14ac:dyDescent="0.25">
      <c r="A3799" s="157">
        <v>27955</v>
      </c>
      <c r="B3799" s="158">
        <v>7.96</v>
      </c>
    </row>
    <row r="3800" spans="1:2" x14ac:dyDescent="0.25">
      <c r="A3800" s="157">
        <v>27956</v>
      </c>
      <c r="B3800" s="158">
        <v>7.95</v>
      </c>
    </row>
    <row r="3801" spans="1:2" x14ac:dyDescent="0.25">
      <c r="A3801" s="157">
        <v>27957</v>
      </c>
      <c r="B3801" s="158">
        <v>8</v>
      </c>
    </row>
    <row r="3802" spans="1:2" x14ac:dyDescent="0.25">
      <c r="A3802" s="157">
        <v>27960</v>
      </c>
      <c r="B3802" s="158">
        <v>8.0299999999999994</v>
      </c>
    </row>
    <row r="3803" spans="1:2" x14ac:dyDescent="0.25">
      <c r="A3803" s="157">
        <v>27961</v>
      </c>
      <c r="B3803" s="158">
        <v>8.0500000000000007</v>
      </c>
    </row>
    <row r="3804" spans="1:2" x14ac:dyDescent="0.25">
      <c r="A3804" s="157">
        <v>27962</v>
      </c>
      <c r="B3804" s="158">
        <v>8.02</v>
      </c>
    </row>
    <row r="3805" spans="1:2" x14ac:dyDescent="0.25">
      <c r="A3805" s="157">
        <v>27963</v>
      </c>
      <c r="B3805" s="158">
        <v>8.02</v>
      </c>
    </row>
    <row r="3806" spans="1:2" x14ac:dyDescent="0.25">
      <c r="A3806" s="157">
        <v>27964</v>
      </c>
      <c r="B3806" s="158">
        <v>8.01</v>
      </c>
    </row>
    <row r="3807" spans="1:2" x14ac:dyDescent="0.25">
      <c r="A3807" s="157">
        <v>27967</v>
      </c>
      <c r="B3807" s="158">
        <v>8.0399999999999991</v>
      </c>
    </row>
    <row r="3808" spans="1:2" x14ac:dyDescent="0.25">
      <c r="A3808" s="157">
        <v>27968</v>
      </c>
      <c r="B3808" s="158">
        <v>8.0299999999999994</v>
      </c>
    </row>
    <row r="3809" spans="1:2" x14ac:dyDescent="0.25">
      <c r="A3809" s="157">
        <v>27969</v>
      </c>
      <c r="B3809" s="158">
        <v>8.01</v>
      </c>
    </row>
    <row r="3810" spans="1:2" x14ac:dyDescent="0.25">
      <c r="A3810" s="157">
        <v>27970</v>
      </c>
      <c r="B3810" s="158">
        <v>8.02</v>
      </c>
    </row>
    <row r="3811" spans="1:2" x14ac:dyDescent="0.25">
      <c r="A3811" s="157">
        <v>27971</v>
      </c>
      <c r="B3811" s="158">
        <v>8.0399999999999991</v>
      </c>
    </row>
    <row r="3812" spans="1:2" x14ac:dyDescent="0.25">
      <c r="A3812" s="157">
        <v>27974</v>
      </c>
      <c r="B3812" s="158">
        <v>8.01</v>
      </c>
    </row>
    <row r="3813" spans="1:2" x14ac:dyDescent="0.25">
      <c r="A3813" s="157">
        <v>27975</v>
      </c>
      <c r="B3813" s="158">
        <v>8</v>
      </c>
    </row>
    <row r="3814" spans="1:2" x14ac:dyDescent="0.25">
      <c r="A3814" s="157">
        <v>27976</v>
      </c>
      <c r="B3814" s="158">
        <v>8</v>
      </c>
    </row>
    <row r="3815" spans="1:2" x14ac:dyDescent="0.25">
      <c r="A3815" s="157">
        <v>27977</v>
      </c>
      <c r="B3815" s="158">
        <v>8</v>
      </c>
    </row>
    <row r="3816" spans="1:2" x14ac:dyDescent="0.25">
      <c r="A3816" s="157">
        <v>27978</v>
      </c>
      <c r="B3816" s="158">
        <v>7.95</v>
      </c>
    </row>
    <row r="3817" spans="1:2" x14ac:dyDescent="0.25">
      <c r="A3817" s="157">
        <v>27981</v>
      </c>
      <c r="B3817" s="158">
        <v>7.94</v>
      </c>
    </row>
    <row r="3818" spans="1:2" x14ac:dyDescent="0.25">
      <c r="A3818" s="157">
        <v>27982</v>
      </c>
      <c r="B3818" s="158">
        <v>7.96</v>
      </c>
    </row>
    <row r="3819" spans="1:2" x14ac:dyDescent="0.25">
      <c r="A3819" s="157">
        <v>27983</v>
      </c>
      <c r="B3819" s="158">
        <v>7.92</v>
      </c>
    </row>
    <row r="3820" spans="1:2" x14ac:dyDescent="0.25">
      <c r="A3820" s="157">
        <v>27984</v>
      </c>
      <c r="B3820" s="158">
        <v>7.92</v>
      </c>
    </row>
    <row r="3821" spans="1:2" x14ac:dyDescent="0.25">
      <c r="A3821" s="157">
        <v>27985</v>
      </c>
      <c r="B3821" s="158">
        <v>7.9</v>
      </c>
    </row>
    <row r="3822" spans="1:2" x14ac:dyDescent="0.25">
      <c r="A3822" s="157">
        <v>27988</v>
      </c>
      <c r="B3822" s="158">
        <v>7.88</v>
      </c>
    </row>
    <row r="3823" spans="1:2" x14ac:dyDescent="0.25">
      <c r="A3823" s="157">
        <v>27989</v>
      </c>
      <c r="B3823" s="158">
        <v>7.88</v>
      </c>
    </row>
    <row r="3824" spans="1:2" x14ac:dyDescent="0.25">
      <c r="A3824" s="157">
        <v>27990</v>
      </c>
      <c r="B3824" s="158">
        <v>7.89</v>
      </c>
    </row>
    <row r="3825" spans="1:2" x14ac:dyDescent="0.25">
      <c r="A3825" s="157">
        <v>27991</v>
      </c>
      <c r="B3825" s="158">
        <v>7.89</v>
      </c>
    </row>
    <row r="3826" spans="1:2" x14ac:dyDescent="0.25">
      <c r="A3826" s="157">
        <v>27992</v>
      </c>
      <c r="B3826" s="158">
        <v>7.89</v>
      </c>
    </row>
    <row r="3827" spans="1:2" x14ac:dyDescent="0.25">
      <c r="A3827" s="157">
        <v>27995</v>
      </c>
      <c r="B3827" s="158">
        <v>7.88</v>
      </c>
    </row>
    <row r="3828" spans="1:2" x14ac:dyDescent="0.25">
      <c r="A3828" s="157">
        <v>27996</v>
      </c>
      <c r="B3828" s="158">
        <v>7.87</v>
      </c>
    </row>
    <row r="3829" spans="1:2" x14ac:dyDescent="0.25">
      <c r="A3829" s="157">
        <v>27997</v>
      </c>
      <c r="B3829" s="158">
        <v>7.86</v>
      </c>
    </row>
    <row r="3830" spans="1:2" x14ac:dyDescent="0.25">
      <c r="A3830" s="157">
        <v>27998</v>
      </c>
      <c r="B3830" s="158">
        <v>7.84</v>
      </c>
    </row>
    <row r="3831" spans="1:2" x14ac:dyDescent="0.25">
      <c r="A3831" s="157">
        <v>27999</v>
      </c>
      <c r="B3831" s="158">
        <v>7.86</v>
      </c>
    </row>
    <row r="3832" spans="1:2" x14ac:dyDescent="0.25">
      <c r="A3832" s="157">
        <v>28002</v>
      </c>
      <c r="B3832" s="158">
        <v>7.85</v>
      </c>
    </row>
    <row r="3833" spans="1:2" x14ac:dyDescent="0.25">
      <c r="A3833" s="157">
        <v>28003</v>
      </c>
      <c r="B3833" s="158">
        <v>7.81</v>
      </c>
    </row>
    <row r="3834" spans="1:2" x14ac:dyDescent="0.25">
      <c r="A3834" s="157">
        <v>28004</v>
      </c>
      <c r="B3834" s="158">
        <v>7.8</v>
      </c>
    </row>
    <row r="3835" spans="1:2" x14ac:dyDescent="0.25">
      <c r="A3835" s="157">
        <v>28005</v>
      </c>
      <c r="B3835" s="158">
        <v>7.82</v>
      </c>
    </row>
    <row r="3836" spans="1:2" x14ac:dyDescent="0.25">
      <c r="A3836" s="157">
        <v>28006</v>
      </c>
      <c r="B3836" s="158">
        <v>7.81</v>
      </c>
    </row>
    <row r="3837" spans="1:2" x14ac:dyDescent="0.25">
      <c r="A3837" s="157">
        <v>28009</v>
      </c>
      <c r="B3837" s="158" t="e">
        <f>NA()</f>
        <v>#N/A</v>
      </c>
    </row>
    <row r="3838" spans="1:2" x14ac:dyDescent="0.25">
      <c r="A3838" s="157">
        <v>28010</v>
      </c>
      <c r="B3838" s="158">
        <v>7.81</v>
      </c>
    </row>
    <row r="3839" spans="1:2" x14ac:dyDescent="0.25">
      <c r="A3839" s="157">
        <v>28011</v>
      </c>
      <c r="B3839" s="158">
        <v>7.81</v>
      </c>
    </row>
    <row r="3840" spans="1:2" x14ac:dyDescent="0.25">
      <c r="A3840" s="157">
        <v>28012</v>
      </c>
      <c r="B3840" s="158">
        <v>7.82</v>
      </c>
    </row>
    <row r="3841" spans="1:2" x14ac:dyDescent="0.25">
      <c r="A3841" s="157">
        <v>28013</v>
      </c>
      <c r="B3841" s="158">
        <v>7.81</v>
      </c>
    </row>
    <row r="3842" spans="1:2" x14ac:dyDescent="0.25">
      <c r="A3842" s="157">
        <v>28016</v>
      </c>
      <c r="B3842" s="158">
        <v>7.83</v>
      </c>
    </row>
    <row r="3843" spans="1:2" x14ac:dyDescent="0.25">
      <c r="A3843" s="157">
        <v>28017</v>
      </c>
      <c r="B3843" s="158">
        <v>7.83</v>
      </c>
    </row>
    <row r="3844" spans="1:2" x14ac:dyDescent="0.25">
      <c r="A3844" s="157">
        <v>28018</v>
      </c>
      <c r="B3844" s="158">
        <v>7.81</v>
      </c>
    </row>
    <row r="3845" spans="1:2" x14ac:dyDescent="0.25">
      <c r="A3845" s="157">
        <v>28019</v>
      </c>
      <c r="B3845" s="158">
        <v>7.78</v>
      </c>
    </row>
    <row r="3846" spans="1:2" x14ac:dyDescent="0.25">
      <c r="A3846" s="157">
        <v>28020</v>
      </c>
      <c r="B3846" s="158">
        <v>7.71</v>
      </c>
    </row>
    <row r="3847" spans="1:2" x14ac:dyDescent="0.25">
      <c r="A3847" s="157">
        <v>28023</v>
      </c>
      <c r="B3847" s="158">
        <v>7.73</v>
      </c>
    </row>
    <row r="3848" spans="1:2" x14ac:dyDescent="0.25">
      <c r="A3848" s="157">
        <v>28024</v>
      </c>
      <c r="B3848" s="158">
        <v>7.71</v>
      </c>
    </row>
    <row r="3849" spans="1:2" x14ac:dyDescent="0.25">
      <c r="A3849" s="157">
        <v>28025</v>
      </c>
      <c r="B3849" s="158">
        <v>7.72</v>
      </c>
    </row>
    <row r="3850" spans="1:2" x14ac:dyDescent="0.25">
      <c r="A3850" s="157">
        <v>28026</v>
      </c>
      <c r="B3850" s="158">
        <v>7.74</v>
      </c>
    </row>
    <row r="3851" spans="1:2" x14ac:dyDescent="0.25">
      <c r="A3851" s="157">
        <v>28027</v>
      </c>
      <c r="B3851" s="158">
        <v>7.8</v>
      </c>
    </row>
    <row r="3852" spans="1:2" x14ac:dyDescent="0.25">
      <c r="A3852" s="157">
        <v>28030</v>
      </c>
      <c r="B3852" s="158">
        <v>7.78</v>
      </c>
    </row>
    <row r="3853" spans="1:2" x14ac:dyDescent="0.25">
      <c r="A3853" s="157">
        <v>28031</v>
      </c>
      <c r="B3853" s="158">
        <v>7.78</v>
      </c>
    </row>
    <row r="3854" spans="1:2" x14ac:dyDescent="0.25">
      <c r="A3854" s="157">
        <v>28032</v>
      </c>
      <c r="B3854" s="158">
        <v>7.77</v>
      </c>
    </row>
    <row r="3855" spans="1:2" x14ac:dyDescent="0.25">
      <c r="A3855" s="157">
        <v>28033</v>
      </c>
      <c r="B3855" s="158">
        <v>7.75</v>
      </c>
    </row>
    <row r="3856" spans="1:2" x14ac:dyDescent="0.25">
      <c r="A3856" s="157">
        <v>28034</v>
      </c>
      <c r="B3856" s="158">
        <v>7.73</v>
      </c>
    </row>
    <row r="3857" spans="1:2" x14ac:dyDescent="0.25">
      <c r="A3857" s="157">
        <v>28037</v>
      </c>
      <c r="B3857" s="158">
        <v>7.71</v>
      </c>
    </row>
    <row r="3858" spans="1:2" x14ac:dyDescent="0.25">
      <c r="A3858" s="157">
        <v>28038</v>
      </c>
      <c r="B3858" s="158">
        <v>7.72</v>
      </c>
    </row>
    <row r="3859" spans="1:2" x14ac:dyDescent="0.25">
      <c r="A3859" s="157">
        <v>28039</v>
      </c>
      <c r="B3859" s="158">
        <v>7.7</v>
      </c>
    </row>
    <row r="3860" spans="1:2" x14ac:dyDescent="0.25">
      <c r="A3860" s="157">
        <v>28040</v>
      </c>
      <c r="B3860" s="158">
        <v>7.69</v>
      </c>
    </row>
    <row r="3861" spans="1:2" x14ac:dyDescent="0.25">
      <c r="A3861" s="157">
        <v>28041</v>
      </c>
      <c r="B3861" s="158">
        <v>7.64</v>
      </c>
    </row>
    <row r="3862" spans="1:2" x14ac:dyDescent="0.25">
      <c r="A3862" s="157">
        <v>28044</v>
      </c>
      <c r="B3862" s="158" t="e">
        <f>NA()</f>
        <v>#N/A</v>
      </c>
    </row>
    <row r="3863" spans="1:2" x14ac:dyDescent="0.25">
      <c r="A3863" s="157">
        <v>28045</v>
      </c>
      <c r="B3863" s="158">
        <v>7.63</v>
      </c>
    </row>
    <row r="3864" spans="1:2" x14ac:dyDescent="0.25">
      <c r="A3864" s="157">
        <v>28046</v>
      </c>
      <c r="B3864" s="158">
        <v>7.64</v>
      </c>
    </row>
    <row r="3865" spans="1:2" x14ac:dyDescent="0.25">
      <c r="A3865" s="157">
        <v>28047</v>
      </c>
      <c r="B3865" s="158">
        <v>7.63</v>
      </c>
    </row>
    <row r="3866" spans="1:2" x14ac:dyDescent="0.25">
      <c r="A3866" s="157">
        <v>28048</v>
      </c>
      <c r="B3866" s="158">
        <v>7.63</v>
      </c>
    </row>
    <row r="3867" spans="1:2" x14ac:dyDescent="0.25">
      <c r="A3867" s="157">
        <v>28051</v>
      </c>
      <c r="B3867" s="158">
        <v>7.66</v>
      </c>
    </row>
    <row r="3868" spans="1:2" x14ac:dyDescent="0.25">
      <c r="A3868" s="157">
        <v>28052</v>
      </c>
      <c r="B3868" s="158">
        <v>7.69</v>
      </c>
    </row>
    <row r="3869" spans="1:2" x14ac:dyDescent="0.25">
      <c r="A3869" s="157">
        <v>28053</v>
      </c>
      <c r="B3869" s="158">
        <v>7.7</v>
      </c>
    </row>
    <row r="3870" spans="1:2" x14ac:dyDescent="0.25">
      <c r="A3870" s="157">
        <v>28054</v>
      </c>
      <c r="B3870" s="158">
        <v>7.7</v>
      </c>
    </row>
    <row r="3871" spans="1:2" x14ac:dyDescent="0.25">
      <c r="A3871" s="157">
        <v>28055</v>
      </c>
      <c r="B3871" s="158">
        <v>7.76</v>
      </c>
    </row>
    <row r="3872" spans="1:2" x14ac:dyDescent="0.25">
      <c r="A3872" s="157">
        <v>28058</v>
      </c>
      <c r="B3872" s="158">
        <v>7.79</v>
      </c>
    </row>
    <row r="3873" spans="1:2" x14ac:dyDescent="0.25">
      <c r="A3873" s="157">
        <v>28059</v>
      </c>
      <c r="B3873" s="158">
        <v>7.77</v>
      </c>
    </row>
    <row r="3874" spans="1:2" x14ac:dyDescent="0.25">
      <c r="A3874" s="157">
        <v>28060</v>
      </c>
      <c r="B3874" s="158">
        <v>7.73</v>
      </c>
    </row>
    <row r="3875" spans="1:2" x14ac:dyDescent="0.25">
      <c r="A3875" s="157">
        <v>28061</v>
      </c>
      <c r="B3875" s="158">
        <v>7.71</v>
      </c>
    </row>
    <row r="3876" spans="1:2" x14ac:dyDescent="0.25">
      <c r="A3876" s="157">
        <v>28062</v>
      </c>
      <c r="B3876" s="158">
        <v>7.72</v>
      </c>
    </row>
    <row r="3877" spans="1:2" x14ac:dyDescent="0.25">
      <c r="A3877" s="157">
        <v>28065</v>
      </c>
      <c r="B3877" s="158">
        <v>7.69</v>
      </c>
    </row>
    <row r="3878" spans="1:2" x14ac:dyDescent="0.25">
      <c r="A3878" s="157">
        <v>28066</v>
      </c>
      <c r="B3878" s="158" t="e">
        <f>NA()</f>
        <v>#N/A</v>
      </c>
    </row>
    <row r="3879" spans="1:2" x14ac:dyDescent="0.25">
      <c r="A3879" s="157">
        <v>28067</v>
      </c>
      <c r="B3879" s="158">
        <v>7.72</v>
      </c>
    </row>
    <row r="3880" spans="1:2" x14ac:dyDescent="0.25">
      <c r="A3880" s="157">
        <v>28068</v>
      </c>
      <c r="B3880" s="158">
        <v>7.68</v>
      </c>
    </row>
    <row r="3881" spans="1:2" x14ac:dyDescent="0.25">
      <c r="A3881" s="157">
        <v>28069</v>
      </c>
      <c r="B3881" s="158">
        <v>7.72</v>
      </c>
    </row>
    <row r="3882" spans="1:2" x14ac:dyDescent="0.25">
      <c r="A3882" s="157">
        <v>28072</v>
      </c>
      <c r="B3882" s="158">
        <v>7.76</v>
      </c>
    </row>
    <row r="3883" spans="1:2" x14ac:dyDescent="0.25">
      <c r="A3883" s="157">
        <v>28073</v>
      </c>
      <c r="B3883" s="158">
        <v>7.77</v>
      </c>
    </row>
    <row r="3884" spans="1:2" x14ac:dyDescent="0.25">
      <c r="A3884" s="157">
        <v>28074</v>
      </c>
      <c r="B3884" s="158">
        <v>7.76</v>
      </c>
    </row>
    <row r="3885" spans="1:2" x14ac:dyDescent="0.25">
      <c r="A3885" s="157">
        <v>28075</v>
      </c>
      <c r="B3885" s="158" t="e">
        <f>NA()</f>
        <v>#N/A</v>
      </c>
    </row>
    <row r="3886" spans="1:2" x14ac:dyDescent="0.25">
      <c r="A3886" s="157">
        <v>28076</v>
      </c>
      <c r="B3886" s="158">
        <v>7.73</v>
      </c>
    </row>
    <row r="3887" spans="1:2" x14ac:dyDescent="0.25">
      <c r="A3887" s="157">
        <v>28079</v>
      </c>
      <c r="B3887" s="158">
        <v>7.73</v>
      </c>
    </row>
    <row r="3888" spans="1:2" x14ac:dyDescent="0.25">
      <c r="A3888" s="157">
        <v>28080</v>
      </c>
      <c r="B3888" s="158">
        <v>7.67</v>
      </c>
    </row>
    <row r="3889" spans="1:2" x14ac:dyDescent="0.25">
      <c r="A3889" s="157">
        <v>28081</v>
      </c>
      <c r="B3889" s="158">
        <v>7.66</v>
      </c>
    </row>
    <row r="3890" spans="1:2" x14ac:dyDescent="0.25">
      <c r="A3890" s="157">
        <v>28082</v>
      </c>
      <c r="B3890" s="158">
        <v>7.66</v>
      </c>
    </row>
    <row r="3891" spans="1:2" x14ac:dyDescent="0.25">
      <c r="A3891" s="157">
        <v>28083</v>
      </c>
      <c r="B3891" s="158">
        <v>7.6</v>
      </c>
    </row>
    <row r="3892" spans="1:2" x14ac:dyDescent="0.25">
      <c r="A3892" s="157">
        <v>28086</v>
      </c>
      <c r="B3892" s="158">
        <v>7.54</v>
      </c>
    </row>
    <row r="3893" spans="1:2" x14ac:dyDescent="0.25">
      <c r="A3893" s="157">
        <v>28087</v>
      </c>
      <c r="B3893" s="158">
        <v>7.54</v>
      </c>
    </row>
    <row r="3894" spans="1:2" x14ac:dyDescent="0.25">
      <c r="A3894" s="157">
        <v>28088</v>
      </c>
      <c r="B3894" s="158">
        <v>7.54</v>
      </c>
    </row>
    <row r="3895" spans="1:2" x14ac:dyDescent="0.25">
      <c r="A3895" s="157">
        <v>28089</v>
      </c>
      <c r="B3895" s="158" t="e">
        <f>NA()</f>
        <v>#N/A</v>
      </c>
    </row>
    <row r="3896" spans="1:2" x14ac:dyDescent="0.25">
      <c r="A3896" s="157">
        <v>28090</v>
      </c>
      <c r="B3896" s="158">
        <v>7.43</v>
      </c>
    </row>
    <row r="3897" spans="1:2" x14ac:dyDescent="0.25">
      <c r="A3897" s="157">
        <v>28093</v>
      </c>
      <c r="B3897" s="158">
        <v>7.44</v>
      </c>
    </row>
    <row r="3898" spans="1:2" x14ac:dyDescent="0.25">
      <c r="A3898" s="157">
        <v>28094</v>
      </c>
      <c r="B3898" s="158">
        <v>7.44</v>
      </c>
    </row>
    <row r="3899" spans="1:2" x14ac:dyDescent="0.25">
      <c r="A3899" s="157">
        <v>28095</v>
      </c>
      <c r="B3899" s="158">
        <v>7.4</v>
      </c>
    </row>
    <row r="3900" spans="1:2" x14ac:dyDescent="0.25">
      <c r="A3900" s="157">
        <v>28096</v>
      </c>
      <c r="B3900" s="158">
        <v>7.36</v>
      </c>
    </row>
    <row r="3901" spans="1:2" x14ac:dyDescent="0.25">
      <c r="A3901" s="157">
        <v>28097</v>
      </c>
      <c r="B3901" s="158">
        <v>7.31</v>
      </c>
    </row>
    <row r="3902" spans="1:2" x14ac:dyDescent="0.25">
      <c r="A3902" s="157">
        <v>28100</v>
      </c>
      <c r="B3902" s="158">
        <v>7.32</v>
      </c>
    </row>
    <row r="3903" spans="1:2" x14ac:dyDescent="0.25">
      <c r="A3903" s="157">
        <v>28101</v>
      </c>
      <c r="B3903" s="158">
        <v>7.31</v>
      </c>
    </row>
    <row r="3904" spans="1:2" x14ac:dyDescent="0.25">
      <c r="A3904" s="157">
        <v>28102</v>
      </c>
      <c r="B3904" s="158">
        <v>7.32</v>
      </c>
    </row>
    <row r="3905" spans="1:2" x14ac:dyDescent="0.25">
      <c r="A3905" s="157">
        <v>28103</v>
      </c>
      <c r="B3905" s="158">
        <v>7.34</v>
      </c>
    </row>
    <row r="3906" spans="1:2" x14ac:dyDescent="0.25">
      <c r="A3906" s="157">
        <v>28104</v>
      </c>
      <c r="B3906" s="158">
        <v>7.3</v>
      </c>
    </row>
    <row r="3907" spans="1:2" x14ac:dyDescent="0.25">
      <c r="A3907" s="157">
        <v>28107</v>
      </c>
      <c r="B3907" s="158">
        <v>7.34</v>
      </c>
    </row>
    <row r="3908" spans="1:2" x14ac:dyDescent="0.25">
      <c r="A3908" s="157">
        <v>28108</v>
      </c>
      <c r="B3908" s="158">
        <v>7.33</v>
      </c>
    </row>
    <row r="3909" spans="1:2" x14ac:dyDescent="0.25">
      <c r="A3909" s="157">
        <v>28109</v>
      </c>
      <c r="B3909" s="158">
        <v>7.34</v>
      </c>
    </row>
    <row r="3910" spans="1:2" x14ac:dyDescent="0.25">
      <c r="A3910" s="157">
        <v>28110</v>
      </c>
      <c r="B3910" s="158">
        <v>7.35</v>
      </c>
    </row>
    <row r="3911" spans="1:2" x14ac:dyDescent="0.25">
      <c r="A3911" s="157">
        <v>28111</v>
      </c>
      <c r="B3911" s="158">
        <v>7.32</v>
      </c>
    </row>
    <row r="3912" spans="1:2" x14ac:dyDescent="0.25">
      <c r="A3912" s="157">
        <v>28114</v>
      </c>
      <c r="B3912" s="158">
        <v>7.28</v>
      </c>
    </row>
    <row r="3913" spans="1:2" x14ac:dyDescent="0.25">
      <c r="A3913" s="157">
        <v>28115</v>
      </c>
      <c r="B3913" s="158">
        <v>7.29</v>
      </c>
    </row>
    <row r="3914" spans="1:2" x14ac:dyDescent="0.25">
      <c r="A3914" s="157">
        <v>28116</v>
      </c>
      <c r="B3914" s="158">
        <v>7.29</v>
      </c>
    </row>
    <row r="3915" spans="1:2" x14ac:dyDescent="0.25">
      <c r="A3915" s="157">
        <v>28117</v>
      </c>
      <c r="B3915" s="158">
        <v>7.26</v>
      </c>
    </row>
    <row r="3916" spans="1:2" x14ac:dyDescent="0.25">
      <c r="A3916" s="157">
        <v>28118</v>
      </c>
      <c r="B3916" s="158" t="e">
        <f>NA()</f>
        <v>#N/A</v>
      </c>
    </row>
    <row r="3917" spans="1:2" x14ac:dyDescent="0.25">
      <c r="A3917" s="157">
        <v>28121</v>
      </c>
      <c r="B3917" s="158">
        <v>7.26</v>
      </c>
    </row>
    <row r="3918" spans="1:2" x14ac:dyDescent="0.25">
      <c r="A3918" s="157">
        <v>28122</v>
      </c>
      <c r="B3918" s="158">
        <v>7.25</v>
      </c>
    </row>
    <row r="3919" spans="1:2" x14ac:dyDescent="0.25">
      <c r="A3919" s="157">
        <v>28123</v>
      </c>
      <c r="B3919" s="158">
        <v>7.27</v>
      </c>
    </row>
    <row r="3920" spans="1:2" x14ac:dyDescent="0.25">
      <c r="A3920" s="157">
        <v>28124</v>
      </c>
      <c r="B3920" s="158">
        <v>7.18</v>
      </c>
    </row>
    <row r="3921" spans="1:2" x14ac:dyDescent="0.25">
      <c r="A3921" s="157">
        <v>28125</v>
      </c>
      <c r="B3921" s="158">
        <v>7.17</v>
      </c>
    </row>
    <row r="3922" spans="1:2" x14ac:dyDescent="0.25">
      <c r="A3922" s="157">
        <v>28128</v>
      </c>
      <c r="B3922" s="158">
        <v>7.2</v>
      </c>
    </row>
    <row r="3923" spans="1:2" x14ac:dyDescent="0.25">
      <c r="A3923" s="157">
        <v>28129</v>
      </c>
      <c r="B3923" s="158">
        <v>7.22</v>
      </c>
    </row>
    <row r="3924" spans="1:2" x14ac:dyDescent="0.25">
      <c r="A3924" s="157">
        <v>28130</v>
      </c>
      <c r="B3924" s="158">
        <v>7.23</v>
      </c>
    </row>
    <row r="3925" spans="1:2" x14ac:dyDescent="0.25">
      <c r="A3925" s="157">
        <v>28131</v>
      </c>
      <c r="B3925" s="158">
        <v>7.28</v>
      </c>
    </row>
    <row r="3926" spans="1:2" x14ac:dyDescent="0.25">
      <c r="A3926" s="157">
        <v>28132</v>
      </c>
      <c r="B3926" s="158">
        <v>7.36</v>
      </c>
    </row>
    <row r="3927" spans="1:2" x14ac:dyDescent="0.25">
      <c r="A3927" s="157">
        <v>28135</v>
      </c>
      <c r="B3927" s="158">
        <v>7.49</v>
      </c>
    </row>
    <row r="3928" spans="1:2" x14ac:dyDescent="0.25">
      <c r="A3928" s="157">
        <v>28136</v>
      </c>
      <c r="B3928" s="158">
        <v>7.52</v>
      </c>
    </row>
    <row r="3929" spans="1:2" x14ac:dyDescent="0.25">
      <c r="A3929" s="157">
        <v>28137</v>
      </c>
      <c r="B3929" s="158">
        <v>7.51</v>
      </c>
    </row>
    <row r="3930" spans="1:2" x14ac:dyDescent="0.25">
      <c r="A3930" s="157">
        <v>28138</v>
      </c>
      <c r="B3930" s="158">
        <v>7.46</v>
      </c>
    </row>
    <row r="3931" spans="1:2" x14ac:dyDescent="0.25">
      <c r="A3931" s="157">
        <v>28139</v>
      </c>
      <c r="B3931" s="158">
        <v>7.51</v>
      </c>
    </row>
    <row r="3932" spans="1:2" x14ac:dyDescent="0.25">
      <c r="A3932" s="157">
        <v>28142</v>
      </c>
      <c r="B3932" s="158">
        <v>7.54</v>
      </c>
    </row>
    <row r="3933" spans="1:2" x14ac:dyDescent="0.25">
      <c r="A3933" s="157">
        <v>28143</v>
      </c>
      <c r="B3933" s="158">
        <v>7.56</v>
      </c>
    </row>
    <row r="3934" spans="1:2" x14ac:dyDescent="0.25">
      <c r="A3934" s="157">
        <v>28144</v>
      </c>
      <c r="B3934" s="158">
        <v>7.54</v>
      </c>
    </row>
    <row r="3935" spans="1:2" x14ac:dyDescent="0.25">
      <c r="A3935" s="157">
        <v>28145</v>
      </c>
      <c r="B3935" s="158">
        <v>7.54</v>
      </c>
    </row>
    <row r="3936" spans="1:2" x14ac:dyDescent="0.25">
      <c r="A3936" s="157">
        <v>28146</v>
      </c>
      <c r="B3936" s="158">
        <v>7.52</v>
      </c>
    </row>
    <row r="3937" spans="1:2" x14ac:dyDescent="0.25">
      <c r="A3937" s="157">
        <v>28149</v>
      </c>
      <c r="B3937" s="158">
        <v>7.57</v>
      </c>
    </row>
    <row r="3938" spans="1:2" x14ac:dyDescent="0.25">
      <c r="A3938" s="157">
        <v>28150</v>
      </c>
      <c r="B3938" s="158">
        <v>7.56</v>
      </c>
    </row>
    <row r="3939" spans="1:2" x14ac:dyDescent="0.25">
      <c r="A3939" s="157">
        <v>28151</v>
      </c>
      <c r="B3939" s="158">
        <v>7.57</v>
      </c>
    </row>
    <row r="3940" spans="1:2" x14ac:dyDescent="0.25">
      <c r="A3940" s="157">
        <v>28152</v>
      </c>
      <c r="B3940" s="158">
        <v>7.65</v>
      </c>
    </row>
    <row r="3941" spans="1:2" x14ac:dyDescent="0.25">
      <c r="A3941" s="157">
        <v>28153</v>
      </c>
      <c r="B3941" s="158">
        <v>7.62</v>
      </c>
    </row>
    <row r="3942" spans="1:2" x14ac:dyDescent="0.25">
      <c r="A3942" s="157">
        <v>28156</v>
      </c>
      <c r="B3942" s="158">
        <v>7.61</v>
      </c>
    </row>
    <row r="3943" spans="1:2" x14ac:dyDescent="0.25">
      <c r="A3943" s="157">
        <v>28157</v>
      </c>
      <c r="B3943" s="158">
        <v>7.64</v>
      </c>
    </row>
    <row r="3944" spans="1:2" x14ac:dyDescent="0.25">
      <c r="A3944" s="157">
        <v>28158</v>
      </c>
      <c r="B3944" s="158">
        <v>7.7</v>
      </c>
    </row>
    <row r="3945" spans="1:2" x14ac:dyDescent="0.25">
      <c r="A3945" s="157">
        <v>28159</v>
      </c>
      <c r="B3945" s="158">
        <v>7.66</v>
      </c>
    </row>
    <row r="3946" spans="1:2" x14ac:dyDescent="0.25">
      <c r="A3946" s="157">
        <v>28160</v>
      </c>
      <c r="B3946" s="158">
        <v>7.55</v>
      </c>
    </row>
    <row r="3947" spans="1:2" x14ac:dyDescent="0.25">
      <c r="A3947" s="157">
        <v>28163</v>
      </c>
      <c r="B3947" s="158">
        <v>7.58</v>
      </c>
    </row>
    <row r="3948" spans="1:2" x14ac:dyDescent="0.25">
      <c r="A3948" s="157">
        <v>28164</v>
      </c>
      <c r="B3948" s="158">
        <v>7.61</v>
      </c>
    </row>
    <row r="3949" spans="1:2" x14ac:dyDescent="0.25">
      <c r="A3949" s="157">
        <v>28165</v>
      </c>
      <c r="B3949" s="158">
        <v>7.61</v>
      </c>
    </row>
    <row r="3950" spans="1:2" x14ac:dyDescent="0.25">
      <c r="A3950" s="157">
        <v>28166</v>
      </c>
      <c r="B3950" s="158">
        <v>7.6</v>
      </c>
    </row>
    <row r="3951" spans="1:2" x14ac:dyDescent="0.25">
      <c r="A3951" s="157">
        <v>28167</v>
      </c>
      <c r="B3951" s="158">
        <v>7.62</v>
      </c>
    </row>
    <row r="3952" spans="1:2" x14ac:dyDescent="0.25">
      <c r="A3952" s="157">
        <v>28170</v>
      </c>
      <c r="B3952" s="158">
        <v>7.64</v>
      </c>
    </row>
    <row r="3953" spans="1:2" x14ac:dyDescent="0.25">
      <c r="A3953" s="157">
        <v>28171</v>
      </c>
      <c r="B3953" s="158">
        <v>7.62</v>
      </c>
    </row>
    <row r="3954" spans="1:2" x14ac:dyDescent="0.25">
      <c r="A3954" s="157">
        <v>28172</v>
      </c>
      <c r="B3954" s="158">
        <v>7.57</v>
      </c>
    </row>
    <row r="3955" spans="1:2" x14ac:dyDescent="0.25">
      <c r="A3955" s="157">
        <v>28173</v>
      </c>
      <c r="B3955" s="158">
        <v>7.57</v>
      </c>
    </row>
    <row r="3956" spans="1:2" x14ac:dyDescent="0.25">
      <c r="A3956" s="157">
        <v>28174</v>
      </c>
      <c r="B3956" s="158">
        <v>7.64</v>
      </c>
    </row>
    <row r="3957" spans="1:2" x14ac:dyDescent="0.25">
      <c r="A3957" s="157">
        <v>28177</v>
      </c>
      <c r="B3957" s="158" t="e">
        <f>NA()</f>
        <v>#N/A</v>
      </c>
    </row>
    <row r="3958" spans="1:2" x14ac:dyDescent="0.25">
      <c r="A3958" s="157">
        <v>28178</v>
      </c>
      <c r="B3958" s="158">
        <v>7.64</v>
      </c>
    </row>
    <row r="3959" spans="1:2" x14ac:dyDescent="0.25">
      <c r="A3959" s="157">
        <v>28179</v>
      </c>
      <c r="B3959" s="158">
        <v>7.72</v>
      </c>
    </row>
    <row r="3960" spans="1:2" x14ac:dyDescent="0.25">
      <c r="A3960" s="157">
        <v>28180</v>
      </c>
      <c r="B3960" s="158">
        <v>7.75</v>
      </c>
    </row>
    <row r="3961" spans="1:2" x14ac:dyDescent="0.25">
      <c r="A3961" s="157">
        <v>28181</v>
      </c>
      <c r="B3961" s="158">
        <v>7.74</v>
      </c>
    </row>
    <row r="3962" spans="1:2" x14ac:dyDescent="0.25">
      <c r="A3962" s="157">
        <v>28184</v>
      </c>
      <c r="B3962" s="158">
        <v>7.73</v>
      </c>
    </row>
    <row r="3963" spans="1:2" x14ac:dyDescent="0.25">
      <c r="A3963" s="157">
        <v>28185</v>
      </c>
      <c r="B3963" s="158">
        <v>7.77</v>
      </c>
    </row>
    <row r="3964" spans="1:2" x14ac:dyDescent="0.25">
      <c r="A3964" s="157">
        <v>28186</v>
      </c>
      <c r="B3964" s="158">
        <v>7.75</v>
      </c>
    </row>
    <row r="3965" spans="1:2" x14ac:dyDescent="0.25">
      <c r="A3965" s="157">
        <v>28187</v>
      </c>
      <c r="B3965" s="158">
        <v>7.73</v>
      </c>
    </row>
    <row r="3966" spans="1:2" x14ac:dyDescent="0.25">
      <c r="A3966" s="157">
        <v>28188</v>
      </c>
      <c r="B3966" s="158">
        <v>7.76</v>
      </c>
    </row>
    <row r="3967" spans="1:2" x14ac:dyDescent="0.25">
      <c r="A3967" s="157">
        <v>28191</v>
      </c>
      <c r="B3967" s="158">
        <v>7.76</v>
      </c>
    </row>
    <row r="3968" spans="1:2" x14ac:dyDescent="0.25">
      <c r="A3968" s="157">
        <v>28192</v>
      </c>
      <c r="B3968" s="158">
        <v>7.78</v>
      </c>
    </row>
    <row r="3969" spans="1:2" x14ac:dyDescent="0.25">
      <c r="A3969" s="157">
        <v>28193</v>
      </c>
      <c r="B3969" s="158">
        <v>7.76</v>
      </c>
    </row>
    <row r="3970" spans="1:2" x14ac:dyDescent="0.25">
      <c r="A3970" s="157">
        <v>28194</v>
      </c>
      <c r="B3970" s="158">
        <v>7.76</v>
      </c>
    </row>
    <row r="3971" spans="1:2" x14ac:dyDescent="0.25">
      <c r="A3971" s="157">
        <v>28195</v>
      </c>
      <c r="B3971" s="158">
        <v>7.73</v>
      </c>
    </row>
    <row r="3972" spans="1:2" x14ac:dyDescent="0.25">
      <c r="A3972" s="157">
        <v>28198</v>
      </c>
      <c r="B3972" s="158">
        <v>7.74</v>
      </c>
    </row>
    <row r="3973" spans="1:2" x14ac:dyDescent="0.25">
      <c r="A3973" s="157">
        <v>28199</v>
      </c>
      <c r="B3973" s="158">
        <v>7.71</v>
      </c>
    </row>
    <row r="3974" spans="1:2" x14ac:dyDescent="0.25">
      <c r="A3974" s="157">
        <v>28200</v>
      </c>
      <c r="B3974" s="158">
        <v>7.72</v>
      </c>
    </row>
    <row r="3975" spans="1:2" x14ac:dyDescent="0.25">
      <c r="A3975" s="157">
        <v>28201</v>
      </c>
      <c r="B3975" s="158">
        <v>7.72</v>
      </c>
    </row>
    <row r="3976" spans="1:2" x14ac:dyDescent="0.25">
      <c r="A3976" s="157">
        <v>28202</v>
      </c>
      <c r="B3976" s="158">
        <v>7.7</v>
      </c>
    </row>
    <row r="3977" spans="1:2" x14ac:dyDescent="0.25">
      <c r="A3977" s="157">
        <v>28205</v>
      </c>
      <c r="B3977" s="158">
        <v>7.69</v>
      </c>
    </row>
    <row r="3978" spans="1:2" x14ac:dyDescent="0.25">
      <c r="A3978" s="157">
        <v>28206</v>
      </c>
      <c r="B3978" s="158">
        <v>7.7</v>
      </c>
    </row>
    <row r="3979" spans="1:2" x14ac:dyDescent="0.25">
      <c r="A3979" s="157">
        <v>28207</v>
      </c>
      <c r="B3979" s="158">
        <v>7.72</v>
      </c>
    </row>
    <row r="3980" spans="1:2" x14ac:dyDescent="0.25">
      <c r="A3980" s="157">
        <v>28208</v>
      </c>
      <c r="B3980" s="158">
        <v>7.73</v>
      </c>
    </row>
    <row r="3981" spans="1:2" x14ac:dyDescent="0.25">
      <c r="A3981" s="157">
        <v>28209</v>
      </c>
      <c r="B3981" s="158">
        <v>7.73</v>
      </c>
    </row>
    <row r="3982" spans="1:2" x14ac:dyDescent="0.25">
      <c r="A3982" s="157">
        <v>28212</v>
      </c>
      <c r="B3982" s="158">
        <v>7.74</v>
      </c>
    </row>
    <row r="3983" spans="1:2" x14ac:dyDescent="0.25">
      <c r="A3983" s="157">
        <v>28213</v>
      </c>
      <c r="B3983" s="158">
        <v>7.74</v>
      </c>
    </row>
    <row r="3984" spans="1:2" x14ac:dyDescent="0.25">
      <c r="A3984" s="157">
        <v>28214</v>
      </c>
      <c r="B3984" s="158">
        <v>7.73</v>
      </c>
    </row>
    <row r="3985" spans="1:2" x14ac:dyDescent="0.25">
      <c r="A3985" s="157">
        <v>28215</v>
      </c>
      <c r="B3985" s="158">
        <v>7.72</v>
      </c>
    </row>
    <row r="3986" spans="1:2" x14ac:dyDescent="0.25">
      <c r="A3986" s="157">
        <v>28216</v>
      </c>
      <c r="B3986" s="158">
        <v>7.72</v>
      </c>
    </row>
    <row r="3987" spans="1:2" x14ac:dyDescent="0.25">
      <c r="A3987" s="157">
        <v>28219</v>
      </c>
      <c r="B3987" s="158">
        <v>7.73</v>
      </c>
    </row>
    <row r="3988" spans="1:2" x14ac:dyDescent="0.25">
      <c r="A3988" s="157">
        <v>28220</v>
      </c>
      <c r="B3988" s="158">
        <v>7.72</v>
      </c>
    </row>
    <row r="3989" spans="1:2" x14ac:dyDescent="0.25">
      <c r="A3989" s="157">
        <v>28221</v>
      </c>
      <c r="B3989" s="158">
        <v>7.7</v>
      </c>
    </row>
    <row r="3990" spans="1:2" x14ac:dyDescent="0.25">
      <c r="A3990" s="157">
        <v>28222</v>
      </c>
      <c r="B3990" s="158">
        <v>7.72</v>
      </c>
    </row>
    <row r="3991" spans="1:2" x14ac:dyDescent="0.25">
      <c r="A3991" s="157">
        <v>28223</v>
      </c>
      <c r="B3991" s="158" t="e">
        <f>NA()</f>
        <v>#N/A</v>
      </c>
    </row>
    <row r="3992" spans="1:2" x14ac:dyDescent="0.25">
      <c r="A3992" s="157">
        <v>28226</v>
      </c>
      <c r="B3992" s="158">
        <v>7.7</v>
      </c>
    </row>
    <row r="3993" spans="1:2" x14ac:dyDescent="0.25">
      <c r="A3993" s="157">
        <v>28227</v>
      </c>
      <c r="B3993" s="158">
        <v>7.7</v>
      </c>
    </row>
    <row r="3994" spans="1:2" x14ac:dyDescent="0.25">
      <c r="A3994" s="157">
        <v>28228</v>
      </c>
      <c r="B3994" s="158">
        <v>7.67</v>
      </c>
    </row>
    <row r="3995" spans="1:2" x14ac:dyDescent="0.25">
      <c r="A3995" s="157">
        <v>28229</v>
      </c>
      <c r="B3995" s="158">
        <v>7.58</v>
      </c>
    </row>
    <row r="3996" spans="1:2" x14ac:dyDescent="0.25">
      <c r="A3996" s="157">
        <v>28230</v>
      </c>
      <c r="B3996" s="158">
        <v>7.58</v>
      </c>
    </row>
    <row r="3997" spans="1:2" x14ac:dyDescent="0.25">
      <c r="A3997" s="157">
        <v>28233</v>
      </c>
      <c r="B3997" s="158">
        <v>7.58</v>
      </c>
    </row>
    <row r="3998" spans="1:2" x14ac:dyDescent="0.25">
      <c r="A3998" s="157">
        <v>28234</v>
      </c>
      <c r="B3998" s="158">
        <v>7.61</v>
      </c>
    </row>
    <row r="3999" spans="1:2" x14ac:dyDescent="0.25">
      <c r="A3999" s="157">
        <v>28235</v>
      </c>
      <c r="B3999" s="158">
        <v>7.62</v>
      </c>
    </row>
    <row r="4000" spans="1:2" x14ac:dyDescent="0.25">
      <c r="A4000" s="157">
        <v>28236</v>
      </c>
      <c r="B4000" s="158">
        <v>7.63</v>
      </c>
    </row>
    <row r="4001" spans="1:2" x14ac:dyDescent="0.25">
      <c r="A4001" s="157">
        <v>28237</v>
      </c>
      <c r="B4001" s="158">
        <v>7.66</v>
      </c>
    </row>
    <row r="4002" spans="1:2" x14ac:dyDescent="0.25">
      <c r="A4002" s="157">
        <v>28240</v>
      </c>
      <c r="B4002" s="158">
        <v>7.68</v>
      </c>
    </row>
    <row r="4003" spans="1:2" x14ac:dyDescent="0.25">
      <c r="A4003" s="157">
        <v>28241</v>
      </c>
      <c r="B4003" s="158">
        <v>7.68</v>
      </c>
    </row>
    <row r="4004" spans="1:2" x14ac:dyDescent="0.25">
      <c r="A4004" s="157">
        <v>28242</v>
      </c>
      <c r="B4004" s="158">
        <v>7.67</v>
      </c>
    </row>
    <row r="4005" spans="1:2" x14ac:dyDescent="0.25">
      <c r="A4005" s="157">
        <v>28243</v>
      </c>
      <c r="B4005" s="158">
        <v>7.68</v>
      </c>
    </row>
    <row r="4006" spans="1:2" x14ac:dyDescent="0.25">
      <c r="A4006" s="157">
        <v>28244</v>
      </c>
      <c r="B4006" s="158">
        <v>7.72</v>
      </c>
    </row>
    <row r="4007" spans="1:2" x14ac:dyDescent="0.25">
      <c r="A4007" s="157">
        <v>28247</v>
      </c>
      <c r="B4007" s="158">
        <v>7.74</v>
      </c>
    </row>
    <row r="4008" spans="1:2" x14ac:dyDescent="0.25">
      <c r="A4008" s="157">
        <v>28248</v>
      </c>
      <c r="B4008" s="158">
        <v>7.72</v>
      </c>
    </row>
    <row r="4009" spans="1:2" x14ac:dyDescent="0.25">
      <c r="A4009" s="157">
        <v>28249</v>
      </c>
      <c r="B4009" s="158">
        <v>7.72</v>
      </c>
    </row>
    <row r="4010" spans="1:2" x14ac:dyDescent="0.25">
      <c r="A4010" s="157">
        <v>28250</v>
      </c>
      <c r="B4010" s="158">
        <v>7.74</v>
      </c>
    </row>
    <row r="4011" spans="1:2" x14ac:dyDescent="0.25">
      <c r="A4011" s="157">
        <v>28251</v>
      </c>
      <c r="B4011" s="158">
        <v>7.8</v>
      </c>
    </row>
    <row r="4012" spans="1:2" x14ac:dyDescent="0.25">
      <c r="A4012" s="157">
        <v>28254</v>
      </c>
      <c r="B4012" s="158">
        <v>7.78</v>
      </c>
    </row>
    <row r="4013" spans="1:2" x14ac:dyDescent="0.25">
      <c r="A4013" s="157">
        <v>28255</v>
      </c>
      <c r="B4013" s="158">
        <v>7.79</v>
      </c>
    </row>
    <row r="4014" spans="1:2" x14ac:dyDescent="0.25">
      <c r="A4014" s="157">
        <v>28256</v>
      </c>
      <c r="B4014" s="158">
        <v>7.8</v>
      </c>
    </row>
    <row r="4015" spans="1:2" x14ac:dyDescent="0.25">
      <c r="A4015" s="157">
        <v>28257</v>
      </c>
      <c r="B4015" s="158">
        <v>7.78</v>
      </c>
    </row>
    <row r="4016" spans="1:2" x14ac:dyDescent="0.25">
      <c r="A4016" s="157">
        <v>28258</v>
      </c>
      <c r="B4016" s="158">
        <v>7.74</v>
      </c>
    </row>
    <row r="4017" spans="1:2" x14ac:dyDescent="0.25">
      <c r="A4017" s="157">
        <v>28261</v>
      </c>
      <c r="B4017" s="158">
        <v>7.73</v>
      </c>
    </row>
    <row r="4018" spans="1:2" x14ac:dyDescent="0.25">
      <c r="A4018" s="157">
        <v>28262</v>
      </c>
      <c r="B4018" s="158">
        <v>7.72</v>
      </c>
    </row>
    <row r="4019" spans="1:2" x14ac:dyDescent="0.25">
      <c r="A4019" s="157">
        <v>28263</v>
      </c>
      <c r="B4019" s="158">
        <v>7.72</v>
      </c>
    </row>
    <row r="4020" spans="1:2" x14ac:dyDescent="0.25">
      <c r="A4020" s="157">
        <v>28264</v>
      </c>
      <c r="B4020" s="158">
        <v>7.76</v>
      </c>
    </row>
    <row r="4021" spans="1:2" x14ac:dyDescent="0.25">
      <c r="A4021" s="157">
        <v>28265</v>
      </c>
      <c r="B4021" s="158">
        <v>7.75</v>
      </c>
    </row>
    <row r="4022" spans="1:2" x14ac:dyDescent="0.25">
      <c r="A4022" s="157">
        <v>28268</v>
      </c>
      <c r="B4022" s="158">
        <v>7.73</v>
      </c>
    </row>
    <row r="4023" spans="1:2" x14ac:dyDescent="0.25">
      <c r="A4023" s="157">
        <v>28269</v>
      </c>
      <c r="B4023" s="158">
        <v>7.7</v>
      </c>
    </row>
    <row r="4024" spans="1:2" x14ac:dyDescent="0.25">
      <c r="A4024" s="157">
        <v>28270</v>
      </c>
      <c r="B4024" s="158">
        <v>7.69</v>
      </c>
    </row>
    <row r="4025" spans="1:2" x14ac:dyDescent="0.25">
      <c r="A4025" s="157">
        <v>28271</v>
      </c>
      <c r="B4025" s="158">
        <v>7.68</v>
      </c>
    </row>
    <row r="4026" spans="1:2" x14ac:dyDescent="0.25">
      <c r="A4026" s="157">
        <v>28272</v>
      </c>
      <c r="B4026" s="158">
        <v>7.68</v>
      </c>
    </row>
    <row r="4027" spans="1:2" x14ac:dyDescent="0.25">
      <c r="A4027" s="157">
        <v>28275</v>
      </c>
      <c r="B4027" s="158" t="e">
        <f>NA()</f>
        <v>#N/A</v>
      </c>
    </row>
    <row r="4028" spans="1:2" x14ac:dyDescent="0.25">
      <c r="A4028" s="157">
        <v>28276</v>
      </c>
      <c r="B4028" s="158">
        <v>7.68</v>
      </c>
    </row>
    <row r="4029" spans="1:2" x14ac:dyDescent="0.25">
      <c r="A4029" s="157">
        <v>28277</v>
      </c>
      <c r="B4029" s="158">
        <v>7.68</v>
      </c>
    </row>
    <row r="4030" spans="1:2" x14ac:dyDescent="0.25">
      <c r="A4030" s="157">
        <v>28278</v>
      </c>
      <c r="B4030" s="158">
        <v>7.68</v>
      </c>
    </row>
    <row r="4031" spans="1:2" x14ac:dyDescent="0.25">
      <c r="A4031" s="157">
        <v>28279</v>
      </c>
      <c r="B4031" s="158">
        <v>7.66</v>
      </c>
    </row>
    <row r="4032" spans="1:2" x14ac:dyDescent="0.25">
      <c r="A4032" s="157">
        <v>28282</v>
      </c>
      <c r="B4032" s="158">
        <v>7.67</v>
      </c>
    </row>
    <row r="4033" spans="1:2" x14ac:dyDescent="0.25">
      <c r="A4033" s="157">
        <v>28283</v>
      </c>
      <c r="B4033" s="158">
        <v>7.68</v>
      </c>
    </row>
    <row r="4034" spans="1:2" x14ac:dyDescent="0.25">
      <c r="A4034" s="157">
        <v>28284</v>
      </c>
      <c r="B4034" s="158">
        <v>7.7</v>
      </c>
    </row>
    <row r="4035" spans="1:2" x14ac:dyDescent="0.25">
      <c r="A4035" s="157">
        <v>28285</v>
      </c>
      <c r="B4035" s="158">
        <v>7.69</v>
      </c>
    </row>
    <row r="4036" spans="1:2" x14ac:dyDescent="0.25">
      <c r="A4036" s="157">
        <v>28286</v>
      </c>
      <c r="B4036" s="158">
        <v>7.67</v>
      </c>
    </row>
    <row r="4037" spans="1:2" x14ac:dyDescent="0.25">
      <c r="A4037" s="157">
        <v>28289</v>
      </c>
      <c r="B4037" s="158">
        <v>7.64</v>
      </c>
    </row>
    <row r="4038" spans="1:2" x14ac:dyDescent="0.25">
      <c r="A4038" s="157">
        <v>28290</v>
      </c>
      <c r="B4038" s="158">
        <v>7.6</v>
      </c>
    </row>
    <row r="4039" spans="1:2" x14ac:dyDescent="0.25">
      <c r="A4039" s="157">
        <v>28291</v>
      </c>
      <c r="B4039" s="158">
        <v>7.62</v>
      </c>
    </row>
    <row r="4040" spans="1:2" x14ac:dyDescent="0.25">
      <c r="A4040" s="157">
        <v>28292</v>
      </c>
      <c r="B4040" s="158">
        <v>7.64</v>
      </c>
    </row>
    <row r="4041" spans="1:2" x14ac:dyDescent="0.25">
      <c r="A4041" s="157">
        <v>28293</v>
      </c>
      <c r="B4041" s="158">
        <v>7.64</v>
      </c>
    </row>
    <row r="4042" spans="1:2" x14ac:dyDescent="0.25">
      <c r="A4042" s="157">
        <v>28296</v>
      </c>
      <c r="B4042" s="158">
        <v>7.65</v>
      </c>
    </row>
    <row r="4043" spans="1:2" x14ac:dyDescent="0.25">
      <c r="A4043" s="157">
        <v>28297</v>
      </c>
      <c r="B4043" s="158">
        <v>7.65</v>
      </c>
    </row>
    <row r="4044" spans="1:2" x14ac:dyDescent="0.25">
      <c r="A4044" s="157">
        <v>28298</v>
      </c>
      <c r="B4044" s="158">
        <v>7.63</v>
      </c>
    </row>
    <row r="4045" spans="1:2" x14ac:dyDescent="0.25">
      <c r="A4045" s="157">
        <v>28299</v>
      </c>
      <c r="B4045" s="158">
        <v>7.64</v>
      </c>
    </row>
    <row r="4046" spans="1:2" x14ac:dyDescent="0.25">
      <c r="A4046" s="157">
        <v>28300</v>
      </c>
      <c r="B4046" s="158">
        <v>7.6</v>
      </c>
    </row>
    <row r="4047" spans="1:2" x14ac:dyDescent="0.25">
      <c r="A4047" s="157">
        <v>28303</v>
      </c>
      <c r="B4047" s="158">
        <v>7.6</v>
      </c>
    </row>
    <row r="4048" spans="1:2" x14ac:dyDescent="0.25">
      <c r="A4048" s="157">
        <v>28304</v>
      </c>
      <c r="B4048" s="158">
        <v>7.58</v>
      </c>
    </row>
    <row r="4049" spans="1:2" x14ac:dyDescent="0.25">
      <c r="A4049" s="157">
        <v>28305</v>
      </c>
      <c r="B4049" s="158">
        <v>7.52</v>
      </c>
    </row>
    <row r="4050" spans="1:2" x14ac:dyDescent="0.25">
      <c r="A4050" s="157">
        <v>28306</v>
      </c>
      <c r="B4050" s="158">
        <v>7.57</v>
      </c>
    </row>
    <row r="4051" spans="1:2" x14ac:dyDescent="0.25">
      <c r="A4051" s="157">
        <v>28307</v>
      </c>
      <c r="B4051" s="158">
        <v>7.58</v>
      </c>
    </row>
    <row r="4052" spans="1:2" x14ac:dyDescent="0.25">
      <c r="A4052" s="157">
        <v>28310</v>
      </c>
      <c r="B4052" s="158" t="e">
        <f>NA()</f>
        <v>#N/A</v>
      </c>
    </row>
    <row r="4053" spans="1:2" x14ac:dyDescent="0.25">
      <c r="A4053" s="157">
        <v>28311</v>
      </c>
      <c r="B4053" s="158">
        <v>7.58</v>
      </c>
    </row>
    <row r="4054" spans="1:2" x14ac:dyDescent="0.25">
      <c r="A4054" s="157">
        <v>28312</v>
      </c>
      <c r="B4054" s="158">
        <v>7.58</v>
      </c>
    </row>
    <row r="4055" spans="1:2" x14ac:dyDescent="0.25">
      <c r="A4055" s="157">
        <v>28313</v>
      </c>
      <c r="B4055" s="158">
        <v>7.57</v>
      </c>
    </row>
    <row r="4056" spans="1:2" x14ac:dyDescent="0.25">
      <c r="A4056" s="157">
        <v>28314</v>
      </c>
      <c r="B4056" s="158">
        <v>7.6</v>
      </c>
    </row>
    <row r="4057" spans="1:2" x14ac:dyDescent="0.25">
      <c r="A4057" s="157">
        <v>28317</v>
      </c>
      <c r="B4057" s="158">
        <v>7.62</v>
      </c>
    </row>
    <row r="4058" spans="1:2" x14ac:dyDescent="0.25">
      <c r="A4058" s="157">
        <v>28318</v>
      </c>
      <c r="B4058" s="158">
        <v>7.6</v>
      </c>
    </row>
    <row r="4059" spans="1:2" x14ac:dyDescent="0.25">
      <c r="A4059" s="157">
        <v>28319</v>
      </c>
      <c r="B4059" s="158">
        <v>7.58</v>
      </c>
    </row>
    <row r="4060" spans="1:2" x14ac:dyDescent="0.25">
      <c r="A4060" s="157">
        <v>28320</v>
      </c>
      <c r="B4060" s="158" t="e">
        <f>NA()</f>
        <v>#N/A</v>
      </c>
    </row>
    <row r="4061" spans="1:2" x14ac:dyDescent="0.25">
      <c r="A4061" s="157">
        <v>28321</v>
      </c>
      <c r="B4061" s="158">
        <v>7.6</v>
      </c>
    </row>
    <row r="4062" spans="1:2" x14ac:dyDescent="0.25">
      <c r="A4062" s="157">
        <v>28324</v>
      </c>
      <c r="B4062" s="158">
        <v>7.61</v>
      </c>
    </row>
    <row r="4063" spans="1:2" x14ac:dyDescent="0.25">
      <c r="A4063" s="157">
        <v>28325</v>
      </c>
      <c r="B4063" s="158">
        <v>7.62</v>
      </c>
    </row>
    <row r="4064" spans="1:2" x14ac:dyDescent="0.25">
      <c r="A4064" s="157">
        <v>28326</v>
      </c>
      <c r="B4064" s="158">
        <v>7.62</v>
      </c>
    </row>
    <row r="4065" spans="1:2" x14ac:dyDescent="0.25">
      <c r="A4065" s="157">
        <v>28327</v>
      </c>
      <c r="B4065" s="158">
        <v>7.62</v>
      </c>
    </row>
    <row r="4066" spans="1:2" x14ac:dyDescent="0.25">
      <c r="A4066" s="157">
        <v>28328</v>
      </c>
      <c r="B4066" s="158">
        <v>7.61</v>
      </c>
    </row>
    <row r="4067" spans="1:2" x14ac:dyDescent="0.25">
      <c r="A4067" s="157">
        <v>28331</v>
      </c>
      <c r="B4067" s="158">
        <v>7.58</v>
      </c>
    </row>
    <row r="4068" spans="1:2" x14ac:dyDescent="0.25">
      <c r="A4068" s="157">
        <v>28332</v>
      </c>
      <c r="B4068" s="158">
        <v>7.56</v>
      </c>
    </row>
    <row r="4069" spans="1:2" x14ac:dyDescent="0.25">
      <c r="A4069" s="157">
        <v>28333</v>
      </c>
      <c r="B4069" s="158">
        <v>7.61</v>
      </c>
    </row>
    <row r="4070" spans="1:2" x14ac:dyDescent="0.25">
      <c r="A4070" s="157">
        <v>28334</v>
      </c>
      <c r="B4070" s="158">
        <v>7.64</v>
      </c>
    </row>
    <row r="4071" spans="1:2" x14ac:dyDescent="0.25">
      <c r="A4071" s="157">
        <v>28335</v>
      </c>
      <c r="B4071" s="158">
        <v>7.68</v>
      </c>
    </row>
    <row r="4072" spans="1:2" x14ac:dyDescent="0.25">
      <c r="A4072" s="157">
        <v>28338</v>
      </c>
      <c r="B4072" s="158">
        <v>7.66</v>
      </c>
    </row>
    <row r="4073" spans="1:2" x14ac:dyDescent="0.25">
      <c r="A4073" s="157">
        <v>28339</v>
      </c>
      <c r="B4073" s="158">
        <v>7.67</v>
      </c>
    </row>
    <row r="4074" spans="1:2" x14ac:dyDescent="0.25">
      <c r="A4074" s="157">
        <v>28340</v>
      </c>
      <c r="B4074" s="158">
        <v>7.65</v>
      </c>
    </row>
    <row r="4075" spans="1:2" x14ac:dyDescent="0.25">
      <c r="A4075" s="157">
        <v>28341</v>
      </c>
      <c r="B4075" s="158">
        <v>7.67</v>
      </c>
    </row>
    <row r="4076" spans="1:2" x14ac:dyDescent="0.25">
      <c r="A4076" s="157">
        <v>28342</v>
      </c>
      <c r="B4076" s="158">
        <v>7.66</v>
      </c>
    </row>
    <row r="4077" spans="1:2" x14ac:dyDescent="0.25">
      <c r="A4077" s="157">
        <v>28345</v>
      </c>
      <c r="B4077" s="158">
        <v>7.64</v>
      </c>
    </row>
    <row r="4078" spans="1:2" x14ac:dyDescent="0.25">
      <c r="A4078" s="157">
        <v>28346</v>
      </c>
      <c r="B4078" s="158">
        <v>7.68</v>
      </c>
    </row>
    <row r="4079" spans="1:2" x14ac:dyDescent="0.25">
      <c r="A4079" s="157">
        <v>28347</v>
      </c>
      <c r="B4079" s="158">
        <v>7.7</v>
      </c>
    </row>
    <row r="4080" spans="1:2" x14ac:dyDescent="0.25">
      <c r="A4080" s="157">
        <v>28348</v>
      </c>
      <c r="B4080" s="158">
        <v>7.71</v>
      </c>
    </row>
    <row r="4081" spans="1:2" x14ac:dyDescent="0.25">
      <c r="A4081" s="157">
        <v>28349</v>
      </c>
      <c r="B4081" s="158">
        <v>7.71</v>
      </c>
    </row>
    <row r="4082" spans="1:2" x14ac:dyDescent="0.25">
      <c r="A4082" s="157">
        <v>28352</v>
      </c>
      <c r="B4082" s="158">
        <v>7.72</v>
      </c>
    </row>
    <row r="4083" spans="1:2" x14ac:dyDescent="0.25">
      <c r="A4083" s="157">
        <v>28353</v>
      </c>
      <c r="B4083" s="158">
        <v>7.72</v>
      </c>
    </row>
    <row r="4084" spans="1:2" x14ac:dyDescent="0.25">
      <c r="A4084" s="157">
        <v>28354</v>
      </c>
      <c r="B4084" s="158">
        <v>7.68</v>
      </c>
    </row>
    <row r="4085" spans="1:2" x14ac:dyDescent="0.25">
      <c r="A4085" s="157">
        <v>28355</v>
      </c>
      <c r="B4085" s="158">
        <v>7.65</v>
      </c>
    </row>
    <row r="4086" spans="1:2" x14ac:dyDescent="0.25">
      <c r="A4086" s="157">
        <v>28356</v>
      </c>
      <c r="B4086" s="158">
        <v>7.64</v>
      </c>
    </row>
    <row r="4087" spans="1:2" x14ac:dyDescent="0.25">
      <c r="A4087" s="157">
        <v>28359</v>
      </c>
      <c r="B4087" s="158">
        <v>7.63</v>
      </c>
    </row>
    <row r="4088" spans="1:2" x14ac:dyDescent="0.25">
      <c r="A4088" s="157">
        <v>28360</v>
      </c>
      <c r="B4088" s="158">
        <v>7.61</v>
      </c>
    </row>
    <row r="4089" spans="1:2" x14ac:dyDescent="0.25">
      <c r="A4089" s="157">
        <v>28361</v>
      </c>
      <c r="B4089" s="158">
        <v>7.59</v>
      </c>
    </row>
    <row r="4090" spans="1:2" x14ac:dyDescent="0.25">
      <c r="A4090" s="157">
        <v>28362</v>
      </c>
      <c r="B4090" s="158">
        <v>7.56</v>
      </c>
    </row>
    <row r="4091" spans="1:2" x14ac:dyDescent="0.25">
      <c r="A4091" s="157">
        <v>28363</v>
      </c>
      <c r="B4091" s="158">
        <v>7.53</v>
      </c>
    </row>
    <row r="4092" spans="1:2" x14ac:dyDescent="0.25">
      <c r="A4092" s="157">
        <v>28366</v>
      </c>
      <c r="B4092" s="158">
        <v>7.51</v>
      </c>
    </row>
    <row r="4093" spans="1:2" x14ac:dyDescent="0.25">
      <c r="A4093" s="157">
        <v>28367</v>
      </c>
      <c r="B4093" s="158">
        <v>7.52</v>
      </c>
    </row>
    <row r="4094" spans="1:2" x14ac:dyDescent="0.25">
      <c r="A4094" s="157">
        <v>28368</v>
      </c>
      <c r="B4094" s="158">
        <v>7.53</v>
      </c>
    </row>
    <row r="4095" spans="1:2" x14ac:dyDescent="0.25">
      <c r="A4095" s="157">
        <v>28369</v>
      </c>
      <c r="B4095" s="158">
        <v>7.53</v>
      </c>
    </row>
    <row r="4096" spans="1:2" x14ac:dyDescent="0.25">
      <c r="A4096" s="157">
        <v>28370</v>
      </c>
      <c r="B4096" s="158">
        <v>7.51</v>
      </c>
    </row>
    <row r="4097" spans="1:2" x14ac:dyDescent="0.25">
      <c r="A4097" s="157">
        <v>28373</v>
      </c>
      <c r="B4097" s="158" t="e">
        <f>NA()</f>
        <v>#N/A</v>
      </c>
    </row>
    <row r="4098" spans="1:2" x14ac:dyDescent="0.25">
      <c r="A4098" s="157">
        <v>28374</v>
      </c>
      <c r="B4098" s="158">
        <v>7.5</v>
      </c>
    </row>
    <row r="4099" spans="1:2" x14ac:dyDescent="0.25">
      <c r="A4099" s="157">
        <v>28375</v>
      </c>
      <c r="B4099" s="158">
        <v>7.5</v>
      </c>
    </row>
    <row r="4100" spans="1:2" x14ac:dyDescent="0.25">
      <c r="A4100" s="157">
        <v>28376</v>
      </c>
      <c r="B4100" s="158">
        <v>7.51</v>
      </c>
    </row>
    <row r="4101" spans="1:2" x14ac:dyDescent="0.25">
      <c r="A4101" s="157">
        <v>28377</v>
      </c>
      <c r="B4101" s="158">
        <v>7.58</v>
      </c>
    </row>
    <row r="4102" spans="1:2" x14ac:dyDescent="0.25">
      <c r="A4102" s="157">
        <v>28380</v>
      </c>
      <c r="B4102" s="158">
        <v>7.59</v>
      </c>
    </row>
    <row r="4103" spans="1:2" x14ac:dyDescent="0.25">
      <c r="A4103" s="157">
        <v>28381</v>
      </c>
      <c r="B4103" s="158">
        <v>7.58</v>
      </c>
    </row>
    <row r="4104" spans="1:2" x14ac:dyDescent="0.25">
      <c r="A4104" s="157">
        <v>28382</v>
      </c>
      <c r="B4104" s="158">
        <v>7.56</v>
      </c>
    </row>
    <row r="4105" spans="1:2" x14ac:dyDescent="0.25">
      <c r="A4105" s="157">
        <v>28383</v>
      </c>
      <c r="B4105" s="158">
        <v>7.56</v>
      </c>
    </row>
    <row r="4106" spans="1:2" x14ac:dyDescent="0.25">
      <c r="A4106" s="157">
        <v>28384</v>
      </c>
      <c r="B4106" s="158">
        <v>7.56</v>
      </c>
    </row>
    <row r="4107" spans="1:2" x14ac:dyDescent="0.25">
      <c r="A4107" s="157">
        <v>28387</v>
      </c>
      <c r="B4107" s="158">
        <v>7.55</v>
      </c>
    </row>
    <row r="4108" spans="1:2" x14ac:dyDescent="0.25">
      <c r="A4108" s="157">
        <v>28388</v>
      </c>
      <c r="B4108" s="158">
        <v>7.58</v>
      </c>
    </row>
    <row r="4109" spans="1:2" x14ac:dyDescent="0.25">
      <c r="A4109" s="157">
        <v>28389</v>
      </c>
      <c r="B4109" s="158">
        <v>7.58</v>
      </c>
    </row>
    <row r="4110" spans="1:2" x14ac:dyDescent="0.25">
      <c r="A4110" s="157">
        <v>28390</v>
      </c>
      <c r="B4110" s="158">
        <v>7.61</v>
      </c>
    </row>
    <row r="4111" spans="1:2" x14ac:dyDescent="0.25">
      <c r="A4111" s="157">
        <v>28391</v>
      </c>
      <c r="B4111" s="158">
        <v>7.62</v>
      </c>
    </row>
    <row r="4112" spans="1:2" x14ac:dyDescent="0.25">
      <c r="A4112" s="157">
        <v>28394</v>
      </c>
      <c r="B4112" s="158">
        <v>7.62</v>
      </c>
    </row>
    <row r="4113" spans="1:2" x14ac:dyDescent="0.25">
      <c r="A4113" s="157">
        <v>28395</v>
      </c>
      <c r="B4113" s="158">
        <v>7.6</v>
      </c>
    </row>
    <row r="4114" spans="1:2" x14ac:dyDescent="0.25">
      <c r="A4114" s="157">
        <v>28396</v>
      </c>
      <c r="B4114" s="158">
        <v>7.6</v>
      </c>
    </row>
    <row r="4115" spans="1:2" x14ac:dyDescent="0.25">
      <c r="A4115" s="157">
        <v>28397</v>
      </c>
      <c r="B4115" s="158">
        <v>7.61</v>
      </c>
    </row>
    <row r="4116" spans="1:2" x14ac:dyDescent="0.25">
      <c r="A4116" s="157">
        <v>28398</v>
      </c>
      <c r="B4116" s="158">
        <v>7.61</v>
      </c>
    </row>
    <row r="4117" spans="1:2" x14ac:dyDescent="0.25">
      <c r="A4117" s="157">
        <v>28401</v>
      </c>
      <c r="B4117" s="158">
        <v>7.62</v>
      </c>
    </row>
    <row r="4118" spans="1:2" x14ac:dyDescent="0.25">
      <c r="A4118" s="157">
        <v>28402</v>
      </c>
      <c r="B4118" s="158">
        <v>7.62</v>
      </c>
    </row>
    <row r="4119" spans="1:2" x14ac:dyDescent="0.25">
      <c r="A4119" s="157">
        <v>28403</v>
      </c>
      <c r="B4119" s="158">
        <v>7.62</v>
      </c>
    </row>
    <row r="4120" spans="1:2" x14ac:dyDescent="0.25">
      <c r="A4120" s="157">
        <v>28404</v>
      </c>
      <c r="B4120" s="158">
        <v>7.63</v>
      </c>
    </row>
    <row r="4121" spans="1:2" x14ac:dyDescent="0.25">
      <c r="A4121" s="157">
        <v>28405</v>
      </c>
      <c r="B4121" s="158">
        <v>7.66</v>
      </c>
    </row>
    <row r="4122" spans="1:2" x14ac:dyDescent="0.25">
      <c r="A4122" s="157">
        <v>28408</v>
      </c>
      <c r="B4122" s="158" t="e">
        <f>NA()</f>
        <v>#N/A</v>
      </c>
    </row>
    <row r="4123" spans="1:2" x14ac:dyDescent="0.25">
      <c r="A4123" s="157">
        <v>28409</v>
      </c>
      <c r="B4123" s="158">
        <v>7.69</v>
      </c>
    </row>
    <row r="4124" spans="1:2" x14ac:dyDescent="0.25">
      <c r="A4124" s="157">
        <v>28410</v>
      </c>
      <c r="B4124" s="158">
        <v>7.72</v>
      </c>
    </row>
    <row r="4125" spans="1:2" x14ac:dyDescent="0.25">
      <c r="A4125" s="157">
        <v>28411</v>
      </c>
      <c r="B4125" s="158">
        <v>7.74</v>
      </c>
    </row>
    <row r="4126" spans="1:2" x14ac:dyDescent="0.25">
      <c r="A4126" s="157">
        <v>28412</v>
      </c>
      <c r="B4126" s="158">
        <v>7.7</v>
      </c>
    </row>
    <row r="4127" spans="1:2" x14ac:dyDescent="0.25">
      <c r="A4127" s="157">
        <v>28415</v>
      </c>
      <c r="B4127" s="158">
        <v>7.73</v>
      </c>
    </row>
    <row r="4128" spans="1:2" x14ac:dyDescent="0.25">
      <c r="A4128" s="157">
        <v>28416</v>
      </c>
      <c r="B4128" s="158">
        <v>7.73</v>
      </c>
    </row>
    <row r="4129" spans="1:2" x14ac:dyDescent="0.25">
      <c r="A4129" s="157">
        <v>28417</v>
      </c>
      <c r="B4129" s="158">
        <v>7.73</v>
      </c>
    </row>
    <row r="4130" spans="1:2" x14ac:dyDescent="0.25">
      <c r="A4130" s="157">
        <v>28418</v>
      </c>
      <c r="B4130" s="158">
        <v>7.71</v>
      </c>
    </row>
    <row r="4131" spans="1:2" x14ac:dyDescent="0.25">
      <c r="A4131" s="157">
        <v>28419</v>
      </c>
      <c r="B4131" s="158">
        <v>7.73</v>
      </c>
    </row>
    <row r="4132" spans="1:2" x14ac:dyDescent="0.25">
      <c r="A4132" s="157">
        <v>28422</v>
      </c>
      <c r="B4132" s="158">
        <v>7.74</v>
      </c>
    </row>
    <row r="4133" spans="1:2" x14ac:dyDescent="0.25">
      <c r="A4133" s="157">
        <v>28423</v>
      </c>
      <c r="B4133" s="158">
        <v>7.75</v>
      </c>
    </row>
    <row r="4134" spans="1:2" x14ac:dyDescent="0.25">
      <c r="A4134" s="157">
        <v>28424</v>
      </c>
      <c r="B4134" s="158">
        <v>7.74</v>
      </c>
    </row>
    <row r="4135" spans="1:2" x14ac:dyDescent="0.25">
      <c r="A4135" s="157">
        <v>28425</v>
      </c>
      <c r="B4135" s="158">
        <v>7.74</v>
      </c>
    </row>
    <row r="4136" spans="1:2" x14ac:dyDescent="0.25">
      <c r="A4136" s="157">
        <v>28426</v>
      </c>
      <c r="B4136" s="158">
        <v>7.74</v>
      </c>
    </row>
    <row r="4137" spans="1:2" x14ac:dyDescent="0.25">
      <c r="A4137" s="157">
        <v>28429</v>
      </c>
      <c r="B4137" s="158">
        <v>7.76</v>
      </c>
    </row>
    <row r="4138" spans="1:2" x14ac:dyDescent="0.25">
      <c r="A4138" s="157">
        <v>28430</v>
      </c>
      <c r="B4138" s="158">
        <v>7.8</v>
      </c>
    </row>
    <row r="4139" spans="1:2" x14ac:dyDescent="0.25">
      <c r="A4139" s="157">
        <v>28431</v>
      </c>
      <c r="B4139" s="158">
        <v>7.82</v>
      </c>
    </row>
    <row r="4140" spans="1:2" x14ac:dyDescent="0.25">
      <c r="A4140" s="157">
        <v>28432</v>
      </c>
      <c r="B4140" s="158">
        <v>7.83</v>
      </c>
    </row>
    <row r="4141" spans="1:2" x14ac:dyDescent="0.25">
      <c r="A4141" s="157">
        <v>28433</v>
      </c>
      <c r="B4141" s="158">
        <v>7.83</v>
      </c>
    </row>
    <row r="4142" spans="1:2" x14ac:dyDescent="0.25">
      <c r="A4142" s="157">
        <v>28436</v>
      </c>
      <c r="B4142" s="158">
        <v>7.82</v>
      </c>
    </row>
    <row r="4143" spans="1:2" x14ac:dyDescent="0.25">
      <c r="A4143" s="157">
        <v>28437</v>
      </c>
      <c r="B4143" s="158" t="e">
        <f>NA()</f>
        <v>#N/A</v>
      </c>
    </row>
    <row r="4144" spans="1:2" x14ac:dyDescent="0.25">
      <c r="A4144" s="157">
        <v>28438</v>
      </c>
      <c r="B4144" s="158">
        <v>7.8</v>
      </c>
    </row>
    <row r="4145" spans="1:2" x14ac:dyDescent="0.25">
      <c r="A4145" s="157">
        <v>28439</v>
      </c>
      <c r="B4145" s="158">
        <v>7.79</v>
      </c>
    </row>
    <row r="4146" spans="1:2" x14ac:dyDescent="0.25">
      <c r="A4146" s="157">
        <v>28440</v>
      </c>
      <c r="B4146" s="158" t="e">
        <f>NA()</f>
        <v>#N/A</v>
      </c>
    </row>
    <row r="4147" spans="1:2" x14ac:dyDescent="0.25">
      <c r="A4147" s="157">
        <v>28443</v>
      </c>
      <c r="B4147" s="158">
        <v>7.72</v>
      </c>
    </row>
    <row r="4148" spans="1:2" x14ac:dyDescent="0.25">
      <c r="A4148" s="157">
        <v>28444</v>
      </c>
      <c r="B4148" s="158">
        <v>7.74</v>
      </c>
    </row>
    <row r="4149" spans="1:2" x14ac:dyDescent="0.25">
      <c r="A4149" s="157">
        <v>28445</v>
      </c>
      <c r="B4149" s="158">
        <v>7.74</v>
      </c>
    </row>
    <row r="4150" spans="1:2" x14ac:dyDescent="0.25">
      <c r="A4150" s="157">
        <v>28446</v>
      </c>
      <c r="B4150" s="158">
        <v>7.74</v>
      </c>
    </row>
    <row r="4151" spans="1:2" x14ac:dyDescent="0.25">
      <c r="A4151" s="157">
        <v>28447</v>
      </c>
      <c r="B4151" s="158">
        <v>7.74</v>
      </c>
    </row>
    <row r="4152" spans="1:2" x14ac:dyDescent="0.25">
      <c r="A4152" s="157">
        <v>28450</v>
      </c>
      <c r="B4152" s="158">
        <v>7.74</v>
      </c>
    </row>
    <row r="4153" spans="1:2" x14ac:dyDescent="0.25">
      <c r="A4153" s="157">
        <v>28451</v>
      </c>
      <c r="B4153" s="158">
        <v>7.74</v>
      </c>
    </row>
    <row r="4154" spans="1:2" x14ac:dyDescent="0.25">
      <c r="A4154" s="157">
        <v>28452</v>
      </c>
      <c r="B4154" s="158">
        <v>7.72</v>
      </c>
    </row>
    <row r="4155" spans="1:2" x14ac:dyDescent="0.25">
      <c r="A4155" s="157">
        <v>28453</v>
      </c>
      <c r="B4155" s="158" t="e">
        <f>NA()</f>
        <v>#N/A</v>
      </c>
    </row>
    <row r="4156" spans="1:2" x14ac:dyDescent="0.25">
      <c r="A4156" s="157">
        <v>28454</v>
      </c>
      <c r="B4156" s="158">
        <v>7.72</v>
      </c>
    </row>
    <row r="4157" spans="1:2" x14ac:dyDescent="0.25">
      <c r="A4157" s="157">
        <v>28457</v>
      </c>
      <c r="B4157" s="158">
        <v>7.72</v>
      </c>
    </row>
    <row r="4158" spans="1:2" x14ac:dyDescent="0.25">
      <c r="A4158" s="157">
        <v>28458</v>
      </c>
      <c r="B4158" s="158">
        <v>7.74</v>
      </c>
    </row>
    <row r="4159" spans="1:2" x14ac:dyDescent="0.25">
      <c r="A4159" s="157">
        <v>28459</v>
      </c>
      <c r="B4159" s="158">
        <v>7.75</v>
      </c>
    </row>
    <row r="4160" spans="1:2" x14ac:dyDescent="0.25">
      <c r="A4160" s="157">
        <v>28460</v>
      </c>
      <c r="B4160" s="158">
        <v>7.76</v>
      </c>
    </row>
    <row r="4161" spans="1:2" x14ac:dyDescent="0.25">
      <c r="A4161" s="157">
        <v>28461</v>
      </c>
      <c r="B4161" s="158">
        <v>7.77</v>
      </c>
    </row>
    <row r="4162" spans="1:2" x14ac:dyDescent="0.25">
      <c r="A4162" s="157">
        <v>28464</v>
      </c>
      <c r="B4162" s="158">
        <v>7.79</v>
      </c>
    </row>
    <row r="4163" spans="1:2" x14ac:dyDescent="0.25">
      <c r="A4163" s="157">
        <v>28465</v>
      </c>
      <c r="B4163" s="158">
        <v>7.8</v>
      </c>
    </row>
    <row r="4164" spans="1:2" x14ac:dyDescent="0.25">
      <c r="A4164" s="157">
        <v>28466</v>
      </c>
      <c r="B4164" s="158">
        <v>7.83</v>
      </c>
    </row>
    <row r="4165" spans="1:2" x14ac:dyDescent="0.25">
      <c r="A4165" s="157">
        <v>28467</v>
      </c>
      <c r="B4165" s="158">
        <v>7.82</v>
      </c>
    </row>
    <row r="4166" spans="1:2" x14ac:dyDescent="0.25">
      <c r="A4166" s="157">
        <v>28468</v>
      </c>
      <c r="B4166" s="158">
        <v>7.81</v>
      </c>
    </row>
    <row r="4167" spans="1:2" x14ac:dyDescent="0.25">
      <c r="A4167" s="157">
        <v>28471</v>
      </c>
      <c r="B4167" s="158">
        <v>7.82</v>
      </c>
    </row>
    <row r="4168" spans="1:2" x14ac:dyDescent="0.25">
      <c r="A4168" s="157">
        <v>28472</v>
      </c>
      <c r="B4168" s="158">
        <v>7.83</v>
      </c>
    </row>
    <row r="4169" spans="1:2" x14ac:dyDescent="0.25">
      <c r="A4169" s="157">
        <v>28473</v>
      </c>
      <c r="B4169" s="158">
        <v>7.84</v>
      </c>
    </row>
    <row r="4170" spans="1:2" x14ac:dyDescent="0.25">
      <c r="A4170" s="157">
        <v>28474</v>
      </c>
      <c r="B4170" s="158">
        <v>7.86</v>
      </c>
    </row>
    <row r="4171" spans="1:2" x14ac:dyDescent="0.25">
      <c r="A4171" s="157">
        <v>28475</v>
      </c>
      <c r="B4171" s="158">
        <v>7.86</v>
      </c>
    </row>
    <row r="4172" spans="1:2" x14ac:dyDescent="0.25">
      <c r="A4172" s="157">
        <v>28478</v>
      </c>
      <c r="B4172" s="158">
        <v>7.88</v>
      </c>
    </row>
    <row r="4173" spans="1:2" x14ac:dyDescent="0.25">
      <c r="A4173" s="157">
        <v>28479</v>
      </c>
      <c r="B4173" s="158">
        <v>7.92</v>
      </c>
    </row>
    <row r="4174" spans="1:2" x14ac:dyDescent="0.25">
      <c r="A4174" s="157">
        <v>28480</v>
      </c>
      <c r="B4174" s="158">
        <v>7.92</v>
      </c>
    </row>
    <row r="4175" spans="1:2" x14ac:dyDescent="0.25">
      <c r="A4175" s="157">
        <v>28481</v>
      </c>
      <c r="B4175" s="158">
        <v>7.93</v>
      </c>
    </row>
    <row r="4176" spans="1:2" x14ac:dyDescent="0.25">
      <c r="A4176" s="157">
        <v>28482</v>
      </c>
      <c r="B4176" s="158">
        <v>7.94</v>
      </c>
    </row>
    <row r="4177" spans="1:2" x14ac:dyDescent="0.25">
      <c r="A4177" s="157">
        <v>28485</v>
      </c>
      <c r="B4177" s="158" t="e">
        <f>NA()</f>
        <v>#N/A</v>
      </c>
    </row>
    <row r="4178" spans="1:2" x14ac:dyDescent="0.25">
      <c r="A4178" s="157">
        <v>28486</v>
      </c>
      <c r="B4178" s="158">
        <v>7.97</v>
      </c>
    </row>
    <row r="4179" spans="1:2" x14ac:dyDescent="0.25">
      <c r="A4179" s="157">
        <v>28487</v>
      </c>
      <c r="B4179" s="158">
        <v>7.99</v>
      </c>
    </row>
    <row r="4180" spans="1:2" x14ac:dyDescent="0.25">
      <c r="A4180" s="157">
        <v>28488</v>
      </c>
      <c r="B4180" s="158">
        <v>8</v>
      </c>
    </row>
    <row r="4181" spans="1:2" x14ac:dyDescent="0.25">
      <c r="A4181" s="157">
        <v>28489</v>
      </c>
      <c r="B4181" s="158">
        <v>7.98</v>
      </c>
    </row>
    <row r="4182" spans="1:2" x14ac:dyDescent="0.25">
      <c r="A4182" s="157">
        <v>28492</v>
      </c>
      <c r="B4182" s="158" t="e">
        <f>NA()</f>
        <v>#N/A</v>
      </c>
    </row>
    <row r="4183" spans="1:2" x14ac:dyDescent="0.25">
      <c r="A4183" s="157">
        <v>28493</v>
      </c>
      <c r="B4183" s="158">
        <v>8</v>
      </c>
    </row>
    <row r="4184" spans="1:2" x14ac:dyDescent="0.25">
      <c r="A4184" s="157">
        <v>28494</v>
      </c>
      <c r="B4184" s="158">
        <v>8</v>
      </c>
    </row>
    <row r="4185" spans="1:2" x14ac:dyDescent="0.25">
      <c r="A4185" s="157">
        <v>28495</v>
      </c>
      <c r="B4185" s="158">
        <v>8</v>
      </c>
    </row>
    <row r="4186" spans="1:2" x14ac:dyDescent="0.25">
      <c r="A4186" s="157">
        <v>28496</v>
      </c>
      <c r="B4186" s="158">
        <v>8.02</v>
      </c>
    </row>
    <row r="4187" spans="1:2" x14ac:dyDescent="0.25">
      <c r="A4187" s="157">
        <v>28499</v>
      </c>
      <c r="B4187" s="158">
        <v>8.17</v>
      </c>
    </row>
    <row r="4188" spans="1:2" x14ac:dyDescent="0.25">
      <c r="A4188" s="157">
        <v>28500</v>
      </c>
      <c r="B4188" s="158">
        <v>8.18</v>
      </c>
    </row>
    <row r="4189" spans="1:2" x14ac:dyDescent="0.25">
      <c r="A4189" s="157">
        <v>28501</v>
      </c>
      <c r="B4189" s="158">
        <v>8.18</v>
      </c>
    </row>
    <row r="4190" spans="1:2" x14ac:dyDescent="0.25">
      <c r="A4190" s="157">
        <v>28502</v>
      </c>
      <c r="B4190" s="158">
        <v>8.1999999999999993</v>
      </c>
    </row>
    <row r="4191" spans="1:2" x14ac:dyDescent="0.25">
      <c r="A4191" s="157">
        <v>28503</v>
      </c>
      <c r="B4191" s="158">
        <v>8.16</v>
      </c>
    </row>
    <row r="4192" spans="1:2" x14ac:dyDescent="0.25">
      <c r="A4192" s="157">
        <v>28506</v>
      </c>
      <c r="B4192" s="158">
        <v>8.17</v>
      </c>
    </row>
    <row r="4193" spans="1:2" x14ac:dyDescent="0.25">
      <c r="A4193" s="157">
        <v>28507</v>
      </c>
      <c r="B4193" s="158">
        <v>8.17</v>
      </c>
    </row>
    <row r="4194" spans="1:2" x14ac:dyDescent="0.25">
      <c r="A4194" s="157">
        <v>28508</v>
      </c>
      <c r="B4194" s="158">
        <v>8.16</v>
      </c>
    </row>
    <row r="4195" spans="1:2" x14ac:dyDescent="0.25">
      <c r="A4195" s="157">
        <v>28509</v>
      </c>
      <c r="B4195" s="158">
        <v>8.16</v>
      </c>
    </row>
    <row r="4196" spans="1:2" x14ac:dyDescent="0.25">
      <c r="A4196" s="157">
        <v>28510</v>
      </c>
      <c r="B4196" s="158">
        <v>8.16</v>
      </c>
    </row>
    <row r="4197" spans="1:2" x14ac:dyDescent="0.25">
      <c r="A4197" s="157">
        <v>28513</v>
      </c>
      <c r="B4197" s="158">
        <v>8.15</v>
      </c>
    </row>
    <row r="4198" spans="1:2" x14ac:dyDescent="0.25">
      <c r="A4198" s="157">
        <v>28514</v>
      </c>
      <c r="B4198" s="158">
        <v>8.17</v>
      </c>
    </row>
    <row r="4199" spans="1:2" x14ac:dyDescent="0.25">
      <c r="A4199" s="157">
        <v>28515</v>
      </c>
      <c r="B4199" s="158">
        <v>8.19</v>
      </c>
    </row>
    <row r="4200" spans="1:2" x14ac:dyDescent="0.25">
      <c r="A4200" s="157">
        <v>28516</v>
      </c>
      <c r="B4200" s="158">
        <v>8.18</v>
      </c>
    </row>
    <row r="4201" spans="1:2" x14ac:dyDescent="0.25">
      <c r="A4201" s="157">
        <v>28517</v>
      </c>
      <c r="B4201" s="158">
        <v>8.18</v>
      </c>
    </row>
    <row r="4202" spans="1:2" x14ac:dyDescent="0.25">
      <c r="A4202" s="157">
        <v>28520</v>
      </c>
      <c r="B4202" s="158">
        <v>8.17</v>
      </c>
    </row>
    <row r="4203" spans="1:2" x14ac:dyDescent="0.25">
      <c r="A4203" s="157">
        <v>28521</v>
      </c>
      <c r="B4203" s="158">
        <v>8.16</v>
      </c>
    </row>
    <row r="4204" spans="1:2" x14ac:dyDescent="0.25">
      <c r="A4204" s="157">
        <v>28522</v>
      </c>
      <c r="B4204" s="158">
        <v>8.18</v>
      </c>
    </row>
    <row r="4205" spans="1:2" x14ac:dyDescent="0.25">
      <c r="A4205" s="157">
        <v>28523</v>
      </c>
      <c r="B4205" s="158">
        <v>8.17</v>
      </c>
    </row>
    <row r="4206" spans="1:2" x14ac:dyDescent="0.25">
      <c r="A4206" s="157">
        <v>28524</v>
      </c>
      <c r="B4206" s="158">
        <v>8.18</v>
      </c>
    </row>
    <row r="4207" spans="1:2" x14ac:dyDescent="0.25">
      <c r="A4207" s="157">
        <v>28527</v>
      </c>
      <c r="B4207" s="158">
        <v>8.1999999999999993</v>
      </c>
    </row>
    <row r="4208" spans="1:2" x14ac:dyDescent="0.25">
      <c r="A4208" s="157">
        <v>28528</v>
      </c>
      <c r="B4208" s="158">
        <v>8.19</v>
      </c>
    </row>
    <row r="4209" spans="1:2" x14ac:dyDescent="0.25">
      <c r="A4209" s="157">
        <v>28529</v>
      </c>
      <c r="B4209" s="158">
        <v>8.19</v>
      </c>
    </row>
    <row r="4210" spans="1:2" x14ac:dyDescent="0.25">
      <c r="A4210" s="157">
        <v>28530</v>
      </c>
      <c r="B4210" s="158">
        <v>8.1999999999999993</v>
      </c>
    </row>
    <row r="4211" spans="1:2" x14ac:dyDescent="0.25">
      <c r="A4211" s="157">
        <v>28531</v>
      </c>
      <c r="B4211" s="158">
        <v>8.2100000000000009</v>
      </c>
    </row>
    <row r="4212" spans="1:2" x14ac:dyDescent="0.25">
      <c r="A4212" s="157">
        <v>28534</v>
      </c>
      <c r="B4212" s="158" t="e">
        <f>NA()</f>
        <v>#N/A</v>
      </c>
    </row>
    <row r="4213" spans="1:2" x14ac:dyDescent="0.25">
      <c r="A4213" s="157">
        <v>28535</v>
      </c>
      <c r="B4213" s="158">
        <v>8.2200000000000006</v>
      </c>
    </row>
    <row r="4214" spans="1:2" x14ac:dyDescent="0.25">
      <c r="A4214" s="157">
        <v>28536</v>
      </c>
      <c r="B4214" s="158">
        <v>8.24</v>
      </c>
    </row>
    <row r="4215" spans="1:2" x14ac:dyDescent="0.25">
      <c r="A4215" s="157">
        <v>28537</v>
      </c>
      <c r="B4215" s="158">
        <v>8.27</v>
      </c>
    </row>
    <row r="4216" spans="1:2" x14ac:dyDescent="0.25">
      <c r="A4216" s="157">
        <v>28538</v>
      </c>
      <c r="B4216" s="158">
        <v>8.25</v>
      </c>
    </row>
    <row r="4217" spans="1:2" x14ac:dyDescent="0.25">
      <c r="A4217" s="157">
        <v>28541</v>
      </c>
      <c r="B4217" s="158" t="e">
        <f>NA()</f>
        <v>#N/A</v>
      </c>
    </row>
    <row r="4218" spans="1:2" x14ac:dyDescent="0.25">
      <c r="A4218" s="157">
        <v>28542</v>
      </c>
      <c r="B4218" s="158">
        <v>8.26</v>
      </c>
    </row>
    <row r="4219" spans="1:2" x14ac:dyDescent="0.25">
      <c r="A4219" s="157">
        <v>28543</v>
      </c>
      <c r="B4219" s="158">
        <v>8.26</v>
      </c>
    </row>
    <row r="4220" spans="1:2" x14ac:dyDescent="0.25">
      <c r="A4220" s="157">
        <v>28544</v>
      </c>
      <c r="B4220" s="158">
        <v>8.24</v>
      </c>
    </row>
    <row r="4221" spans="1:2" x14ac:dyDescent="0.25">
      <c r="A4221" s="157">
        <v>28545</v>
      </c>
      <c r="B4221" s="158">
        <v>8.2200000000000006</v>
      </c>
    </row>
    <row r="4222" spans="1:2" x14ac:dyDescent="0.25">
      <c r="A4222" s="157">
        <v>28548</v>
      </c>
      <c r="B4222" s="158">
        <v>8.1999999999999993</v>
      </c>
    </row>
    <row r="4223" spans="1:2" x14ac:dyDescent="0.25">
      <c r="A4223" s="157">
        <v>28549</v>
      </c>
      <c r="B4223" s="158">
        <v>8.2100000000000009</v>
      </c>
    </row>
    <row r="4224" spans="1:2" x14ac:dyDescent="0.25">
      <c r="A4224" s="157">
        <v>28550</v>
      </c>
      <c r="B4224" s="158">
        <v>8.2200000000000006</v>
      </c>
    </row>
    <row r="4225" spans="1:2" x14ac:dyDescent="0.25">
      <c r="A4225" s="157">
        <v>28551</v>
      </c>
      <c r="B4225" s="158">
        <v>8.2200000000000006</v>
      </c>
    </row>
    <row r="4226" spans="1:2" x14ac:dyDescent="0.25">
      <c r="A4226" s="157">
        <v>28552</v>
      </c>
      <c r="B4226" s="158">
        <v>8.2200000000000006</v>
      </c>
    </row>
    <row r="4227" spans="1:2" x14ac:dyDescent="0.25">
      <c r="A4227" s="157">
        <v>28555</v>
      </c>
      <c r="B4227" s="158">
        <v>8.23</v>
      </c>
    </row>
    <row r="4228" spans="1:2" x14ac:dyDescent="0.25">
      <c r="A4228" s="157">
        <v>28556</v>
      </c>
      <c r="B4228" s="158">
        <v>8.2100000000000009</v>
      </c>
    </row>
    <row r="4229" spans="1:2" x14ac:dyDescent="0.25">
      <c r="A4229" s="157">
        <v>28557</v>
      </c>
      <c r="B4229" s="158">
        <v>8.2100000000000009</v>
      </c>
    </row>
    <row r="4230" spans="1:2" x14ac:dyDescent="0.25">
      <c r="A4230" s="157">
        <v>28558</v>
      </c>
      <c r="B4230" s="158">
        <v>8.1999999999999993</v>
      </c>
    </row>
    <row r="4231" spans="1:2" x14ac:dyDescent="0.25">
      <c r="A4231" s="157">
        <v>28559</v>
      </c>
      <c r="B4231" s="158">
        <v>8.18</v>
      </c>
    </row>
    <row r="4232" spans="1:2" x14ac:dyDescent="0.25">
      <c r="A4232" s="157">
        <v>28562</v>
      </c>
      <c r="B4232" s="158">
        <v>8.17</v>
      </c>
    </row>
    <row r="4233" spans="1:2" x14ac:dyDescent="0.25">
      <c r="A4233" s="157">
        <v>28563</v>
      </c>
      <c r="B4233" s="158">
        <v>8.17</v>
      </c>
    </row>
    <row r="4234" spans="1:2" x14ac:dyDescent="0.25">
      <c r="A4234" s="157">
        <v>28564</v>
      </c>
      <c r="B4234" s="158">
        <v>8.17</v>
      </c>
    </row>
    <row r="4235" spans="1:2" x14ac:dyDescent="0.25">
      <c r="A4235" s="157">
        <v>28565</v>
      </c>
      <c r="B4235" s="158">
        <v>8.17</v>
      </c>
    </row>
    <row r="4236" spans="1:2" x14ac:dyDescent="0.25">
      <c r="A4236" s="157">
        <v>28566</v>
      </c>
      <c r="B4236" s="158">
        <v>8.17</v>
      </c>
    </row>
    <row r="4237" spans="1:2" x14ac:dyDescent="0.25">
      <c r="A4237" s="157">
        <v>28569</v>
      </c>
      <c r="B4237" s="158">
        <v>8.15</v>
      </c>
    </row>
    <row r="4238" spans="1:2" x14ac:dyDescent="0.25">
      <c r="A4238" s="157">
        <v>28570</v>
      </c>
      <c r="B4238" s="158">
        <v>8.15</v>
      </c>
    </row>
    <row r="4239" spans="1:2" x14ac:dyDescent="0.25">
      <c r="A4239" s="157">
        <v>28571</v>
      </c>
      <c r="B4239" s="158">
        <v>8.16</v>
      </c>
    </row>
    <row r="4240" spans="1:2" x14ac:dyDescent="0.25">
      <c r="A4240" s="157">
        <v>28572</v>
      </c>
      <c r="B4240" s="158">
        <v>8.1999999999999993</v>
      </c>
    </row>
    <row r="4241" spans="1:2" x14ac:dyDescent="0.25">
      <c r="A4241" s="157">
        <v>28573</v>
      </c>
      <c r="B4241" s="158" t="e">
        <f>NA()</f>
        <v>#N/A</v>
      </c>
    </row>
    <row r="4242" spans="1:2" x14ac:dyDescent="0.25">
      <c r="A4242" s="157">
        <v>28576</v>
      </c>
      <c r="B4242" s="158">
        <v>8.26</v>
      </c>
    </row>
    <row r="4243" spans="1:2" x14ac:dyDescent="0.25">
      <c r="A4243" s="157">
        <v>28577</v>
      </c>
      <c r="B4243" s="158">
        <v>8.25</v>
      </c>
    </row>
    <row r="4244" spans="1:2" x14ac:dyDescent="0.25">
      <c r="A4244" s="157">
        <v>28578</v>
      </c>
      <c r="B4244" s="158">
        <v>8.26</v>
      </c>
    </row>
    <row r="4245" spans="1:2" x14ac:dyDescent="0.25">
      <c r="A4245" s="157">
        <v>28579</v>
      </c>
      <c r="B4245" s="158">
        <v>8.26</v>
      </c>
    </row>
    <row r="4246" spans="1:2" x14ac:dyDescent="0.25">
      <c r="A4246" s="157">
        <v>28580</v>
      </c>
      <c r="B4246" s="158">
        <v>8.31</v>
      </c>
    </row>
    <row r="4247" spans="1:2" x14ac:dyDescent="0.25">
      <c r="A4247" s="157">
        <v>28583</v>
      </c>
      <c r="B4247" s="158">
        <v>8.3000000000000007</v>
      </c>
    </row>
    <row r="4248" spans="1:2" x14ac:dyDescent="0.25">
      <c r="A4248" s="157">
        <v>28584</v>
      </c>
      <c r="B4248" s="158">
        <v>8.2899999999999991</v>
      </c>
    </row>
    <row r="4249" spans="1:2" x14ac:dyDescent="0.25">
      <c r="A4249" s="157">
        <v>28585</v>
      </c>
      <c r="B4249" s="158">
        <v>8.3000000000000007</v>
      </c>
    </row>
    <row r="4250" spans="1:2" x14ac:dyDescent="0.25">
      <c r="A4250" s="157">
        <v>28586</v>
      </c>
      <c r="B4250" s="158">
        <v>8.32</v>
      </c>
    </row>
    <row r="4251" spans="1:2" x14ac:dyDescent="0.25">
      <c r="A4251" s="157">
        <v>28587</v>
      </c>
      <c r="B4251" s="158">
        <v>8.32</v>
      </c>
    </row>
    <row r="4252" spans="1:2" x14ac:dyDescent="0.25">
      <c r="A4252" s="157">
        <v>28590</v>
      </c>
      <c r="B4252" s="158">
        <v>8.33</v>
      </c>
    </row>
    <row r="4253" spans="1:2" x14ac:dyDescent="0.25">
      <c r="A4253" s="157">
        <v>28591</v>
      </c>
      <c r="B4253" s="158">
        <v>8.34</v>
      </c>
    </row>
    <row r="4254" spans="1:2" x14ac:dyDescent="0.25">
      <c r="A4254" s="157">
        <v>28592</v>
      </c>
      <c r="B4254" s="158">
        <v>8.34</v>
      </c>
    </row>
    <row r="4255" spans="1:2" x14ac:dyDescent="0.25">
      <c r="A4255" s="157">
        <v>28593</v>
      </c>
      <c r="B4255" s="158">
        <v>8.34</v>
      </c>
    </row>
    <row r="4256" spans="1:2" x14ac:dyDescent="0.25">
      <c r="A4256" s="157">
        <v>28594</v>
      </c>
      <c r="B4256" s="158">
        <v>8.31</v>
      </c>
    </row>
    <row r="4257" spans="1:2" x14ac:dyDescent="0.25">
      <c r="A4257" s="157">
        <v>28597</v>
      </c>
      <c r="B4257" s="158">
        <v>8.27</v>
      </c>
    </row>
    <row r="4258" spans="1:2" x14ac:dyDescent="0.25">
      <c r="A4258" s="157">
        <v>28598</v>
      </c>
      <c r="B4258" s="158">
        <v>8.27</v>
      </c>
    </row>
    <row r="4259" spans="1:2" x14ac:dyDescent="0.25">
      <c r="A4259" s="157">
        <v>28599</v>
      </c>
      <c r="B4259" s="158">
        <v>8.3000000000000007</v>
      </c>
    </row>
    <row r="4260" spans="1:2" x14ac:dyDescent="0.25">
      <c r="A4260" s="157">
        <v>28600</v>
      </c>
      <c r="B4260" s="158">
        <v>8.32</v>
      </c>
    </row>
    <row r="4261" spans="1:2" x14ac:dyDescent="0.25">
      <c r="A4261" s="157">
        <v>28601</v>
      </c>
      <c r="B4261" s="158">
        <v>8.33</v>
      </c>
    </row>
    <row r="4262" spans="1:2" x14ac:dyDescent="0.25">
      <c r="A4262" s="157">
        <v>28604</v>
      </c>
      <c r="B4262" s="158">
        <v>8.35</v>
      </c>
    </row>
    <row r="4263" spans="1:2" x14ac:dyDescent="0.25">
      <c r="A4263" s="157">
        <v>28605</v>
      </c>
      <c r="B4263" s="158">
        <v>8.34</v>
      </c>
    </row>
    <row r="4264" spans="1:2" x14ac:dyDescent="0.25">
      <c r="A4264" s="157">
        <v>28606</v>
      </c>
      <c r="B4264" s="158">
        <v>8.36</v>
      </c>
    </row>
    <row r="4265" spans="1:2" x14ac:dyDescent="0.25">
      <c r="A4265" s="157">
        <v>28607</v>
      </c>
      <c r="B4265" s="158">
        <v>8.3800000000000008</v>
      </c>
    </row>
    <row r="4266" spans="1:2" x14ac:dyDescent="0.25">
      <c r="A4266" s="157">
        <v>28608</v>
      </c>
      <c r="B4266" s="158">
        <v>8.3699999999999992</v>
      </c>
    </row>
    <row r="4267" spans="1:2" x14ac:dyDescent="0.25">
      <c r="A4267" s="157">
        <v>28611</v>
      </c>
      <c r="B4267" s="158">
        <v>8.3699999999999992</v>
      </c>
    </row>
    <row r="4268" spans="1:2" x14ac:dyDescent="0.25">
      <c r="A4268" s="157">
        <v>28612</v>
      </c>
      <c r="B4268" s="158">
        <v>8.3800000000000008</v>
      </c>
    </row>
    <row r="4269" spans="1:2" x14ac:dyDescent="0.25">
      <c r="A4269" s="157">
        <v>28613</v>
      </c>
      <c r="B4269" s="158">
        <v>8.4</v>
      </c>
    </row>
    <row r="4270" spans="1:2" x14ac:dyDescent="0.25">
      <c r="A4270" s="157">
        <v>28614</v>
      </c>
      <c r="B4270" s="158">
        <v>8.39</v>
      </c>
    </row>
    <row r="4271" spans="1:2" x14ac:dyDescent="0.25">
      <c r="A4271" s="157">
        <v>28615</v>
      </c>
      <c r="B4271" s="158">
        <v>8.4499999999999993</v>
      </c>
    </row>
    <row r="4272" spans="1:2" x14ac:dyDescent="0.25">
      <c r="A4272" s="157">
        <v>28618</v>
      </c>
      <c r="B4272" s="158">
        <v>8.4499999999999993</v>
      </c>
    </row>
    <row r="4273" spans="1:2" x14ac:dyDescent="0.25">
      <c r="A4273" s="157">
        <v>28619</v>
      </c>
      <c r="B4273" s="158">
        <v>8.44</v>
      </c>
    </row>
    <row r="4274" spans="1:2" x14ac:dyDescent="0.25">
      <c r="A4274" s="157">
        <v>28620</v>
      </c>
      <c r="B4274" s="158">
        <v>8.43</v>
      </c>
    </row>
    <row r="4275" spans="1:2" x14ac:dyDescent="0.25">
      <c r="A4275" s="157">
        <v>28621</v>
      </c>
      <c r="B4275" s="158">
        <v>8.43</v>
      </c>
    </row>
    <row r="4276" spans="1:2" x14ac:dyDescent="0.25">
      <c r="A4276" s="157">
        <v>28622</v>
      </c>
      <c r="B4276" s="158">
        <v>8.4499999999999993</v>
      </c>
    </row>
    <row r="4277" spans="1:2" x14ac:dyDescent="0.25">
      <c r="A4277" s="157">
        <v>28625</v>
      </c>
      <c r="B4277" s="158">
        <v>8.44</v>
      </c>
    </row>
    <row r="4278" spans="1:2" x14ac:dyDescent="0.25">
      <c r="A4278" s="157">
        <v>28626</v>
      </c>
      <c r="B4278" s="158">
        <v>8.43</v>
      </c>
    </row>
    <row r="4279" spans="1:2" x14ac:dyDescent="0.25">
      <c r="A4279" s="157">
        <v>28627</v>
      </c>
      <c r="B4279" s="158">
        <v>8.42</v>
      </c>
    </row>
    <row r="4280" spans="1:2" x14ac:dyDescent="0.25">
      <c r="A4280" s="157">
        <v>28628</v>
      </c>
      <c r="B4280" s="158">
        <v>8.4600000000000009</v>
      </c>
    </row>
    <row r="4281" spans="1:2" x14ac:dyDescent="0.25">
      <c r="A4281" s="157">
        <v>28629</v>
      </c>
      <c r="B4281" s="158">
        <v>8.4600000000000009</v>
      </c>
    </row>
    <row r="4282" spans="1:2" x14ac:dyDescent="0.25">
      <c r="A4282" s="157">
        <v>28632</v>
      </c>
      <c r="B4282" s="158">
        <v>8.4600000000000009</v>
      </c>
    </row>
    <row r="4283" spans="1:2" x14ac:dyDescent="0.25">
      <c r="A4283" s="157">
        <v>28633</v>
      </c>
      <c r="B4283" s="158">
        <v>8.4499999999999993</v>
      </c>
    </row>
    <row r="4284" spans="1:2" x14ac:dyDescent="0.25">
      <c r="A4284" s="157">
        <v>28634</v>
      </c>
      <c r="B4284" s="158">
        <v>8.4700000000000006</v>
      </c>
    </row>
    <row r="4285" spans="1:2" x14ac:dyDescent="0.25">
      <c r="A4285" s="157">
        <v>28635</v>
      </c>
      <c r="B4285" s="158">
        <v>8.48</v>
      </c>
    </row>
    <row r="4286" spans="1:2" x14ac:dyDescent="0.25">
      <c r="A4286" s="157">
        <v>28636</v>
      </c>
      <c r="B4286" s="158">
        <v>8.51</v>
      </c>
    </row>
    <row r="4287" spans="1:2" x14ac:dyDescent="0.25">
      <c r="A4287" s="157">
        <v>28639</v>
      </c>
      <c r="B4287" s="158" t="e">
        <f>NA()</f>
        <v>#N/A</v>
      </c>
    </row>
    <row r="4288" spans="1:2" x14ac:dyDescent="0.25">
      <c r="A4288" s="157">
        <v>28640</v>
      </c>
      <c r="B4288" s="158" t="e">
        <f>NA()</f>
        <v>#N/A</v>
      </c>
    </row>
    <row r="4289" spans="1:2" x14ac:dyDescent="0.25">
      <c r="A4289" s="157">
        <v>28641</v>
      </c>
      <c r="B4289" s="158">
        <v>8.5</v>
      </c>
    </row>
    <row r="4290" spans="1:2" x14ac:dyDescent="0.25">
      <c r="A4290" s="157">
        <v>28642</v>
      </c>
      <c r="B4290" s="158">
        <v>8.5</v>
      </c>
    </row>
    <row r="4291" spans="1:2" x14ac:dyDescent="0.25">
      <c r="A4291" s="157">
        <v>28643</v>
      </c>
      <c r="B4291" s="158">
        <v>8.48</v>
      </c>
    </row>
    <row r="4292" spans="1:2" x14ac:dyDescent="0.25">
      <c r="A4292" s="157">
        <v>28646</v>
      </c>
      <c r="B4292" s="158">
        <v>8.4700000000000006</v>
      </c>
    </row>
    <row r="4293" spans="1:2" x14ac:dyDescent="0.25">
      <c r="A4293" s="157">
        <v>28647</v>
      </c>
      <c r="B4293" s="158">
        <v>8.4700000000000006</v>
      </c>
    </row>
    <row r="4294" spans="1:2" x14ac:dyDescent="0.25">
      <c r="A4294" s="157">
        <v>28648</v>
      </c>
      <c r="B4294" s="158">
        <v>8.4600000000000009</v>
      </c>
    </row>
    <row r="4295" spans="1:2" x14ac:dyDescent="0.25">
      <c r="A4295" s="157">
        <v>28649</v>
      </c>
      <c r="B4295" s="158">
        <v>8.4700000000000006</v>
      </c>
    </row>
    <row r="4296" spans="1:2" x14ac:dyDescent="0.25">
      <c r="A4296" s="157">
        <v>28650</v>
      </c>
      <c r="B4296" s="158">
        <v>8.48</v>
      </c>
    </row>
    <row r="4297" spans="1:2" x14ac:dyDescent="0.25">
      <c r="A4297" s="157">
        <v>28653</v>
      </c>
      <c r="B4297" s="158">
        <v>8.48</v>
      </c>
    </row>
    <row r="4298" spans="1:2" x14ac:dyDescent="0.25">
      <c r="A4298" s="157">
        <v>28654</v>
      </c>
      <c r="B4298" s="158">
        <v>8.4700000000000006</v>
      </c>
    </row>
    <row r="4299" spans="1:2" x14ac:dyDescent="0.25">
      <c r="A4299" s="157">
        <v>28655</v>
      </c>
      <c r="B4299" s="158">
        <v>8.4600000000000009</v>
      </c>
    </row>
    <row r="4300" spans="1:2" x14ac:dyDescent="0.25">
      <c r="A4300" s="157">
        <v>28656</v>
      </c>
      <c r="B4300" s="158">
        <v>8.4700000000000006</v>
      </c>
    </row>
    <row r="4301" spans="1:2" x14ac:dyDescent="0.25">
      <c r="A4301" s="157">
        <v>28657</v>
      </c>
      <c r="B4301" s="158">
        <v>8.49</v>
      </c>
    </row>
    <row r="4302" spans="1:2" x14ac:dyDescent="0.25">
      <c r="A4302" s="157">
        <v>28660</v>
      </c>
      <c r="B4302" s="158">
        <v>8.5</v>
      </c>
    </row>
    <row r="4303" spans="1:2" x14ac:dyDescent="0.25">
      <c r="A4303" s="157">
        <v>28661</v>
      </c>
      <c r="B4303" s="158">
        <v>8.52</v>
      </c>
    </row>
    <row r="4304" spans="1:2" x14ac:dyDescent="0.25">
      <c r="A4304" s="157">
        <v>28662</v>
      </c>
      <c r="B4304" s="158">
        <v>8.56</v>
      </c>
    </row>
    <row r="4305" spans="1:2" x14ac:dyDescent="0.25">
      <c r="A4305" s="157">
        <v>28663</v>
      </c>
      <c r="B4305" s="158">
        <v>8.56</v>
      </c>
    </row>
    <row r="4306" spans="1:2" x14ac:dyDescent="0.25">
      <c r="A4306" s="157">
        <v>28664</v>
      </c>
      <c r="B4306" s="158">
        <v>8.59</v>
      </c>
    </row>
    <row r="4307" spans="1:2" x14ac:dyDescent="0.25">
      <c r="A4307" s="157">
        <v>28667</v>
      </c>
      <c r="B4307" s="158">
        <v>8.64</v>
      </c>
    </row>
    <row r="4308" spans="1:2" x14ac:dyDescent="0.25">
      <c r="A4308" s="157">
        <v>28668</v>
      </c>
      <c r="B4308" s="158">
        <v>8.6199999999999992</v>
      </c>
    </row>
    <row r="4309" spans="1:2" x14ac:dyDescent="0.25">
      <c r="A4309" s="157">
        <v>28669</v>
      </c>
      <c r="B4309" s="158">
        <v>8.61</v>
      </c>
    </row>
    <row r="4310" spans="1:2" x14ac:dyDescent="0.25">
      <c r="A4310" s="157">
        <v>28670</v>
      </c>
      <c r="B4310" s="158">
        <v>8.6199999999999992</v>
      </c>
    </row>
    <row r="4311" spans="1:2" x14ac:dyDescent="0.25">
      <c r="A4311" s="157">
        <v>28671</v>
      </c>
      <c r="B4311" s="158">
        <v>8.67</v>
      </c>
    </row>
    <row r="4312" spans="1:2" x14ac:dyDescent="0.25">
      <c r="A4312" s="157">
        <v>28674</v>
      </c>
      <c r="B4312" s="158">
        <v>8.65</v>
      </c>
    </row>
    <row r="4313" spans="1:2" x14ac:dyDescent="0.25">
      <c r="A4313" s="157">
        <v>28675</v>
      </c>
      <c r="B4313" s="158" t="e">
        <f>NA()</f>
        <v>#N/A</v>
      </c>
    </row>
    <row r="4314" spans="1:2" x14ac:dyDescent="0.25">
      <c r="A4314" s="157">
        <v>28676</v>
      </c>
      <c r="B4314" s="158">
        <v>8.67</v>
      </c>
    </row>
    <row r="4315" spans="1:2" x14ac:dyDescent="0.25">
      <c r="A4315" s="157">
        <v>28677</v>
      </c>
      <c r="B4315" s="158">
        <v>8.67</v>
      </c>
    </row>
    <row r="4316" spans="1:2" x14ac:dyDescent="0.25">
      <c r="A4316" s="157">
        <v>28678</v>
      </c>
      <c r="B4316" s="158">
        <v>8.7200000000000006</v>
      </c>
    </row>
    <row r="4317" spans="1:2" x14ac:dyDescent="0.25">
      <c r="A4317" s="157">
        <v>28681</v>
      </c>
      <c r="B4317" s="158">
        <v>8.7200000000000006</v>
      </c>
    </row>
    <row r="4318" spans="1:2" x14ac:dyDescent="0.25">
      <c r="A4318" s="157">
        <v>28682</v>
      </c>
      <c r="B4318" s="158">
        <v>8.7200000000000006</v>
      </c>
    </row>
    <row r="4319" spans="1:2" x14ac:dyDescent="0.25">
      <c r="A4319" s="157">
        <v>28683</v>
      </c>
      <c r="B4319" s="158">
        <v>8.7200000000000006</v>
      </c>
    </row>
    <row r="4320" spans="1:2" x14ac:dyDescent="0.25">
      <c r="A4320" s="157">
        <v>28684</v>
      </c>
      <c r="B4320" s="158">
        <v>8.73</v>
      </c>
    </row>
    <row r="4321" spans="1:2" x14ac:dyDescent="0.25">
      <c r="A4321" s="157">
        <v>28685</v>
      </c>
      <c r="B4321" s="158">
        <v>8.7100000000000009</v>
      </c>
    </row>
    <row r="4322" spans="1:2" x14ac:dyDescent="0.25">
      <c r="A4322" s="157">
        <v>28688</v>
      </c>
      <c r="B4322" s="158">
        <v>8.69</v>
      </c>
    </row>
    <row r="4323" spans="1:2" x14ac:dyDescent="0.25">
      <c r="A4323" s="157">
        <v>28689</v>
      </c>
      <c r="B4323" s="158">
        <v>8.68</v>
      </c>
    </row>
    <row r="4324" spans="1:2" x14ac:dyDescent="0.25">
      <c r="A4324" s="157">
        <v>28690</v>
      </c>
      <c r="B4324" s="158">
        <v>8.68</v>
      </c>
    </row>
    <row r="4325" spans="1:2" x14ac:dyDescent="0.25">
      <c r="A4325" s="157">
        <v>28691</v>
      </c>
      <c r="B4325" s="158">
        <v>8.7100000000000009</v>
      </c>
    </row>
    <row r="4326" spans="1:2" x14ac:dyDescent="0.25">
      <c r="A4326" s="157">
        <v>28692</v>
      </c>
      <c r="B4326" s="158">
        <v>8.7100000000000009</v>
      </c>
    </row>
    <row r="4327" spans="1:2" x14ac:dyDescent="0.25">
      <c r="A4327" s="157">
        <v>28695</v>
      </c>
      <c r="B4327" s="158">
        <v>8.7200000000000006</v>
      </c>
    </row>
    <row r="4328" spans="1:2" x14ac:dyDescent="0.25">
      <c r="A4328" s="157">
        <v>28696</v>
      </c>
      <c r="B4328" s="158">
        <v>8.7200000000000006</v>
      </c>
    </row>
    <row r="4329" spans="1:2" x14ac:dyDescent="0.25">
      <c r="A4329" s="157">
        <v>28697</v>
      </c>
      <c r="B4329" s="158">
        <v>8.6999999999999993</v>
      </c>
    </row>
    <row r="4330" spans="1:2" x14ac:dyDescent="0.25">
      <c r="A4330" s="157">
        <v>28698</v>
      </c>
      <c r="B4330" s="158">
        <v>8.6199999999999992</v>
      </c>
    </row>
    <row r="4331" spans="1:2" x14ac:dyDescent="0.25">
      <c r="A4331" s="157">
        <v>28699</v>
      </c>
      <c r="B4331" s="158">
        <v>8.58</v>
      </c>
    </row>
    <row r="4332" spans="1:2" x14ac:dyDescent="0.25">
      <c r="A4332" s="157">
        <v>28702</v>
      </c>
      <c r="B4332" s="158">
        <v>8.59</v>
      </c>
    </row>
    <row r="4333" spans="1:2" x14ac:dyDescent="0.25">
      <c r="A4333" s="157">
        <v>28703</v>
      </c>
      <c r="B4333" s="158">
        <v>8.57</v>
      </c>
    </row>
    <row r="4334" spans="1:2" x14ac:dyDescent="0.25">
      <c r="A4334" s="157">
        <v>28704</v>
      </c>
      <c r="B4334" s="158">
        <v>8.4600000000000009</v>
      </c>
    </row>
    <row r="4335" spans="1:2" x14ac:dyDescent="0.25">
      <c r="A4335" s="157">
        <v>28705</v>
      </c>
      <c r="B4335" s="158">
        <v>8.41</v>
      </c>
    </row>
    <row r="4336" spans="1:2" x14ac:dyDescent="0.25">
      <c r="A4336" s="157">
        <v>28706</v>
      </c>
      <c r="B4336" s="158">
        <v>8.41</v>
      </c>
    </row>
    <row r="4337" spans="1:2" x14ac:dyDescent="0.25">
      <c r="A4337" s="157">
        <v>28709</v>
      </c>
      <c r="B4337" s="158">
        <v>8.4</v>
      </c>
    </row>
    <row r="4338" spans="1:2" x14ac:dyDescent="0.25">
      <c r="A4338" s="157">
        <v>28710</v>
      </c>
      <c r="B4338" s="158">
        <v>8.4</v>
      </c>
    </row>
    <row r="4339" spans="1:2" x14ac:dyDescent="0.25">
      <c r="A4339" s="157">
        <v>28711</v>
      </c>
      <c r="B4339" s="158">
        <v>8.3699999999999992</v>
      </c>
    </row>
    <row r="4340" spans="1:2" x14ac:dyDescent="0.25">
      <c r="A4340" s="157">
        <v>28712</v>
      </c>
      <c r="B4340" s="158">
        <v>8.4499999999999993</v>
      </c>
    </row>
    <row r="4341" spans="1:2" x14ac:dyDescent="0.25">
      <c r="A4341" s="157">
        <v>28713</v>
      </c>
      <c r="B4341" s="158">
        <v>8.44</v>
      </c>
    </row>
    <row r="4342" spans="1:2" x14ac:dyDescent="0.25">
      <c r="A4342" s="157">
        <v>28716</v>
      </c>
      <c r="B4342" s="158">
        <v>8.5</v>
      </c>
    </row>
    <row r="4343" spans="1:2" x14ac:dyDescent="0.25">
      <c r="A4343" s="157">
        <v>28717</v>
      </c>
      <c r="B4343" s="158">
        <v>8.51</v>
      </c>
    </row>
    <row r="4344" spans="1:2" x14ac:dyDescent="0.25">
      <c r="A4344" s="157">
        <v>28718</v>
      </c>
      <c r="B4344" s="158">
        <v>8.59</v>
      </c>
    </row>
    <row r="4345" spans="1:2" x14ac:dyDescent="0.25">
      <c r="A4345" s="157">
        <v>28719</v>
      </c>
      <c r="B4345" s="158">
        <v>8.5</v>
      </c>
    </row>
    <row r="4346" spans="1:2" x14ac:dyDescent="0.25">
      <c r="A4346" s="157">
        <v>28720</v>
      </c>
      <c r="B4346" s="158">
        <v>8.5</v>
      </c>
    </row>
    <row r="4347" spans="1:2" x14ac:dyDescent="0.25">
      <c r="A4347" s="157">
        <v>28723</v>
      </c>
      <c r="B4347" s="158">
        <v>8.4499999999999993</v>
      </c>
    </row>
    <row r="4348" spans="1:2" x14ac:dyDescent="0.25">
      <c r="A4348" s="157">
        <v>28724</v>
      </c>
      <c r="B4348" s="158">
        <v>8.4499999999999993</v>
      </c>
    </row>
    <row r="4349" spans="1:2" x14ac:dyDescent="0.25">
      <c r="A4349" s="157">
        <v>28725</v>
      </c>
      <c r="B4349" s="158">
        <v>8.3800000000000008</v>
      </c>
    </row>
    <row r="4350" spans="1:2" x14ac:dyDescent="0.25">
      <c r="A4350" s="157">
        <v>28726</v>
      </c>
      <c r="B4350" s="158">
        <v>8.41</v>
      </c>
    </row>
    <row r="4351" spans="1:2" x14ac:dyDescent="0.25">
      <c r="A4351" s="157">
        <v>28727</v>
      </c>
      <c r="B4351" s="158">
        <v>8.41</v>
      </c>
    </row>
    <row r="4352" spans="1:2" x14ac:dyDescent="0.25">
      <c r="A4352" s="157">
        <v>28730</v>
      </c>
      <c r="B4352" s="158">
        <v>8.41</v>
      </c>
    </row>
    <row r="4353" spans="1:2" x14ac:dyDescent="0.25">
      <c r="A4353" s="157">
        <v>28731</v>
      </c>
      <c r="B4353" s="158">
        <v>8.42</v>
      </c>
    </row>
    <row r="4354" spans="1:2" x14ac:dyDescent="0.25">
      <c r="A4354" s="157">
        <v>28732</v>
      </c>
      <c r="B4354" s="158">
        <v>8.44</v>
      </c>
    </row>
    <row r="4355" spans="1:2" x14ac:dyDescent="0.25">
      <c r="A4355" s="157">
        <v>28733</v>
      </c>
      <c r="B4355" s="158">
        <v>8.43</v>
      </c>
    </row>
    <row r="4356" spans="1:2" x14ac:dyDescent="0.25">
      <c r="A4356" s="157">
        <v>28734</v>
      </c>
      <c r="B4356" s="158">
        <v>8.44</v>
      </c>
    </row>
    <row r="4357" spans="1:2" x14ac:dyDescent="0.25">
      <c r="A4357" s="157">
        <v>28737</v>
      </c>
      <c r="B4357" s="158" t="e">
        <f>NA()</f>
        <v>#N/A</v>
      </c>
    </row>
    <row r="4358" spans="1:2" x14ac:dyDescent="0.25">
      <c r="A4358" s="157">
        <v>28738</v>
      </c>
      <c r="B4358" s="158">
        <v>8.4</v>
      </c>
    </row>
    <row r="4359" spans="1:2" x14ac:dyDescent="0.25">
      <c r="A4359" s="157">
        <v>28739</v>
      </c>
      <c r="B4359" s="158">
        <v>8.39</v>
      </c>
    </row>
    <row r="4360" spans="1:2" x14ac:dyDescent="0.25">
      <c r="A4360" s="157">
        <v>28740</v>
      </c>
      <c r="B4360" s="158">
        <v>8.39</v>
      </c>
    </row>
    <row r="4361" spans="1:2" x14ac:dyDescent="0.25">
      <c r="A4361" s="157">
        <v>28741</v>
      </c>
      <c r="B4361" s="158">
        <v>8.39</v>
      </c>
    </row>
    <row r="4362" spans="1:2" x14ac:dyDescent="0.25">
      <c r="A4362" s="157">
        <v>28744</v>
      </c>
      <c r="B4362" s="158">
        <v>8.3699999999999992</v>
      </c>
    </row>
    <row r="4363" spans="1:2" x14ac:dyDescent="0.25">
      <c r="A4363" s="157">
        <v>28745</v>
      </c>
      <c r="B4363" s="158">
        <v>8.34</v>
      </c>
    </row>
    <row r="4364" spans="1:2" x14ac:dyDescent="0.25">
      <c r="A4364" s="157">
        <v>28746</v>
      </c>
      <c r="B4364" s="158">
        <v>8.35</v>
      </c>
    </row>
    <row r="4365" spans="1:2" x14ac:dyDescent="0.25">
      <c r="A4365" s="157">
        <v>28747</v>
      </c>
      <c r="B4365" s="158">
        <v>8.3699999999999992</v>
      </c>
    </row>
    <row r="4366" spans="1:2" x14ac:dyDescent="0.25">
      <c r="A4366" s="157">
        <v>28748</v>
      </c>
      <c r="B4366" s="158">
        <v>8.3800000000000008</v>
      </c>
    </row>
    <row r="4367" spans="1:2" x14ac:dyDescent="0.25">
      <c r="A4367" s="157">
        <v>28751</v>
      </c>
      <c r="B4367" s="158">
        <v>8.4</v>
      </c>
    </row>
    <row r="4368" spans="1:2" x14ac:dyDescent="0.25">
      <c r="A4368" s="157">
        <v>28752</v>
      </c>
      <c r="B4368" s="158">
        <v>8.43</v>
      </c>
    </row>
    <row r="4369" spans="1:2" x14ac:dyDescent="0.25">
      <c r="A4369" s="157">
        <v>28753</v>
      </c>
      <c r="B4369" s="158">
        <v>8.5</v>
      </c>
    </row>
    <row r="4370" spans="1:2" x14ac:dyDescent="0.25">
      <c r="A4370" s="157">
        <v>28754</v>
      </c>
      <c r="B4370" s="158">
        <v>8.5299999999999994</v>
      </c>
    </row>
    <row r="4371" spans="1:2" x14ac:dyDescent="0.25">
      <c r="A4371" s="157">
        <v>28755</v>
      </c>
      <c r="B4371" s="158">
        <v>8.6</v>
      </c>
    </row>
    <row r="4372" spans="1:2" x14ac:dyDescent="0.25">
      <c r="A4372" s="157">
        <v>28758</v>
      </c>
      <c r="B4372" s="158">
        <v>8.61</v>
      </c>
    </row>
    <row r="4373" spans="1:2" x14ac:dyDescent="0.25">
      <c r="A4373" s="157">
        <v>28759</v>
      </c>
      <c r="B4373" s="158">
        <v>8.6</v>
      </c>
    </row>
    <row r="4374" spans="1:2" x14ac:dyDescent="0.25">
      <c r="A4374" s="157">
        <v>28760</v>
      </c>
      <c r="B4374" s="158">
        <v>8.61</v>
      </c>
    </row>
    <row r="4375" spans="1:2" x14ac:dyDescent="0.25">
      <c r="A4375" s="157">
        <v>28761</v>
      </c>
      <c r="B4375" s="158">
        <v>8.61</v>
      </c>
    </row>
    <row r="4376" spans="1:2" x14ac:dyDescent="0.25">
      <c r="A4376" s="157">
        <v>28762</v>
      </c>
      <c r="B4376" s="158">
        <v>8.6300000000000008</v>
      </c>
    </row>
    <row r="4377" spans="1:2" x14ac:dyDescent="0.25">
      <c r="A4377" s="157">
        <v>28765</v>
      </c>
      <c r="B4377" s="158">
        <v>8.65</v>
      </c>
    </row>
    <row r="4378" spans="1:2" x14ac:dyDescent="0.25">
      <c r="A4378" s="157">
        <v>28766</v>
      </c>
      <c r="B4378" s="158">
        <v>8.64</v>
      </c>
    </row>
    <row r="4379" spans="1:2" x14ac:dyDescent="0.25">
      <c r="A4379" s="157">
        <v>28767</v>
      </c>
      <c r="B4379" s="158">
        <v>8.65</v>
      </c>
    </row>
    <row r="4380" spans="1:2" x14ac:dyDescent="0.25">
      <c r="A4380" s="157">
        <v>28768</v>
      </c>
      <c r="B4380" s="158">
        <v>8.65</v>
      </c>
    </row>
    <row r="4381" spans="1:2" x14ac:dyDescent="0.25">
      <c r="A4381" s="157">
        <v>28769</v>
      </c>
      <c r="B4381" s="158">
        <v>8.6199999999999992</v>
      </c>
    </row>
    <row r="4382" spans="1:2" x14ac:dyDescent="0.25">
      <c r="A4382" s="157">
        <v>28772</v>
      </c>
      <c r="B4382" s="158" t="e">
        <f>NA()</f>
        <v>#N/A</v>
      </c>
    </row>
    <row r="4383" spans="1:2" x14ac:dyDescent="0.25">
      <c r="A4383" s="157">
        <v>28773</v>
      </c>
      <c r="B4383" s="158">
        <v>8.6199999999999992</v>
      </c>
    </row>
    <row r="4384" spans="1:2" x14ac:dyDescent="0.25">
      <c r="A4384" s="157">
        <v>28774</v>
      </c>
      <c r="B4384" s="158">
        <v>8.6199999999999992</v>
      </c>
    </row>
    <row r="4385" spans="1:2" x14ac:dyDescent="0.25">
      <c r="A4385" s="157">
        <v>28775</v>
      </c>
      <c r="B4385" s="158">
        <v>8.6</v>
      </c>
    </row>
    <row r="4386" spans="1:2" x14ac:dyDescent="0.25">
      <c r="A4386" s="157">
        <v>28776</v>
      </c>
      <c r="B4386" s="158">
        <v>8.6</v>
      </c>
    </row>
    <row r="4387" spans="1:2" x14ac:dyDescent="0.25">
      <c r="A4387" s="157">
        <v>28779</v>
      </c>
      <c r="B4387" s="158">
        <v>8.65</v>
      </c>
    </row>
    <row r="4388" spans="1:2" x14ac:dyDescent="0.25">
      <c r="A4388" s="157">
        <v>28780</v>
      </c>
      <c r="B4388" s="158">
        <v>8.66</v>
      </c>
    </row>
    <row r="4389" spans="1:2" x14ac:dyDescent="0.25">
      <c r="A4389" s="157">
        <v>28781</v>
      </c>
      <c r="B4389" s="158">
        <v>8.67</v>
      </c>
    </row>
    <row r="4390" spans="1:2" x14ac:dyDescent="0.25">
      <c r="A4390" s="157">
        <v>28782</v>
      </c>
      <c r="B4390" s="158">
        <v>8.68</v>
      </c>
    </row>
    <row r="4391" spans="1:2" x14ac:dyDescent="0.25">
      <c r="A4391" s="157">
        <v>28783</v>
      </c>
      <c r="B4391" s="158">
        <v>8.6999999999999993</v>
      </c>
    </row>
    <row r="4392" spans="1:2" x14ac:dyDescent="0.25">
      <c r="A4392" s="157">
        <v>28786</v>
      </c>
      <c r="B4392" s="158">
        <v>8.7200000000000006</v>
      </c>
    </row>
    <row r="4393" spans="1:2" x14ac:dyDescent="0.25">
      <c r="A4393" s="157">
        <v>28787</v>
      </c>
      <c r="B4393" s="158">
        <v>8.6999999999999993</v>
      </c>
    </row>
    <row r="4394" spans="1:2" x14ac:dyDescent="0.25">
      <c r="A4394" s="157">
        <v>28788</v>
      </c>
      <c r="B4394" s="158">
        <v>8.7100000000000009</v>
      </c>
    </row>
    <row r="4395" spans="1:2" x14ac:dyDescent="0.25">
      <c r="A4395" s="157">
        <v>28789</v>
      </c>
      <c r="B4395" s="158">
        <v>8.74</v>
      </c>
    </row>
    <row r="4396" spans="1:2" x14ac:dyDescent="0.25">
      <c r="A4396" s="157">
        <v>28790</v>
      </c>
      <c r="B4396" s="158">
        <v>8.7799999999999994</v>
      </c>
    </row>
    <row r="4397" spans="1:2" x14ac:dyDescent="0.25">
      <c r="A4397" s="157">
        <v>28793</v>
      </c>
      <c r="B4397" s="158">
        <v>8.8800000000000008</v>
      </c>
    </row>
    <row r="4398" spans="1:2" x14ac:dyDescent="0.25">
      <c r="A4398" s="157">
        <v>28794</v>
      </c>
      <c r="B4398" s="158">
        <v>8.9</v>
      </c>
    </row>
    <row r="4399" spans="1:2" x14ac:dyDescent="0.25">
      <c r="A4399" s="157">
        <v>28795</v>
      </c>
      <c r="B4399" s="158">
        <v>8.7200000000000006</v>
      </c>
    </row>
    <row r="4400" spans="1:2" x14ac:dyDescent="0.25">
      <c r="A4400" s="157">
        <v>28796</v>
      </c>
      <c r="B4400" s="158">
        <v>8.7200000000000006</v>
      </c>
    </row>
    <row r="4401" spans="1:2" x14ac:dyDescent="0.25">
      <c r="A4401" s="157">
        <v>28797</v>
      </c>
      <c r="B4401" s="158">
        <v>8.7899999999999991</v>
      </c>
    </row>
    <row r="4402" spans="1:2" x14ac:dyDescent="0.25">
      <c r="A4402" s="157">
        <v>28800</v>
      </c>
      <c r="B4402" s="158">
        <v>8.8000000000000007</v>
      </c>
    </row>
    <row r="4403" spans="1:2" x14ac:dyDescent="0.25">
      <c r="A4403" s="157">
        <v>28801</v>
      </c>
      <c r="B4403" s="158" t="e">
        <f>NA()</f>
        <v>#N/A</v>
      </c>
    </row>
    <row r="4404" spans="1:2" x14ac:dyDescent="0.25">
      <c r="A4404" s="157">
        <v>28802</v>
      </c>
      <c r="B4404" s="158">
        <v>8.8000000000000007</v>
      </c>
    </row>
    <row r="4405" spans="1:2" x14ac:dyDescent="0.25">
      <c r="A4405" s="157">
        <v>28803</v>
      </c>
      <c r="B4405" s="158">
        <v>8.81</v>
      </c>
    </row>
    <row r="4406" spans="1:2" x14ac:dyDescent="0.25">
      <c r="A4406" s="157">
        <v>28804</v>
      </c>
      <c r="B4406" s="158">
        <v>8.7899999999999991</v>
      </c>
    </row>
    <row r="4407" spans="1:2" x14ac:dyDescent="0.25">
      <c r="A4407" s="157">
        <v>28807</v>
      </c>
      <c r="B4407" s="158">
        <v>8.77</v>
      </c>
    </row>
    <row r="4408" spans="1:2" x14ac:dyDescent="0.25">
      <c r="A4408" s="157">
        <v>28808</v>
      </c>
      <c r="B4408" s="158">
        <v>8.75</v>
      </c>
    </row>
    <row r="4409" spans="1:2" x14ac:dyDescent="0.25">
      <c r="A4409" s="157">
        <v>28809</v>
      </c>
      <c r="B4409" s="158">
        <v>8.69</v>
      </c>
    </row>
    <row r="4410" spans="1:2" x14ac:dyDescent="0.25">
      <c r="A4410" s="157">
        <v>28810</v>
      </c>
      <c r="B4410" s="158">
        <v>8.68</v>
      </c>
    </row>
    <row r="4411" spans="1:2" x14ac:dyDescent="0.25">
      <c r="A4411" s="157">
        <v>28811</v>
      </c>
      <c r="B4411" s="158">
        <v>8.69</v>
      </c>
    </row>
    <row r="4412" spans="1:2" x14ac:dyDescent="0.25">
      <c r="A4412" s="157">
        <v>28814</v>
      </c>
      <c r="B4412" s="158">
        <v>8.69</v>
      </c>
    </row>
    <row r="4413" spans="1:2" x14ac:dyDescent="0.25">
      <c r="A4413" s="157">
        <v>28815</v>
      </c>
      <c r="B4413" s="158">
        <v>8.6999999999999993</v>
      </c>
    </row>
    <row r="4414" spans="1:2" x14ac:dyDescent="0.25">
      <c r="A4414" s="157">
        <v>28816</v>
      </c>
      <c r="B4414" s="158">
        <v>8.7100000000000009</v>
      </c>
    </row>
    <row r="4415" spans="1:2" x14ac:dyDescent="0.25">
      <c r="A4415" s="157">
        <v>28817</v>
      </c>
      <c r="B4415" s="158" t="e">
        <f>NA()</f>
        <v>#N/A</v>
      </c>
    </row>
    <row r="4416" spans="1:2" x14ac:dyDescent="0.25">
      <c r="A4416" s="157">
        <v>28818</v>
      </c>
      <c r="B4416" s="158">
        <v>8.7799999999999994</v>
      </c>
    </row>
    <row r="4417" spans="1:2" x14ac:dyDescent="0.25">
      <c r="A4417" s="157">
        <v>28821</v>
      </c>
      <c r="B4417" s="158">
        <v>8.77</v>
      </c>
    </row>
    <row r="4418" spans="1:2" x14ac:dyDescent="0.25">
      <c r="A4418" s="157">
        <v>28822</v>
      </c>
      <c r="B4418" s="158">
        <v>8.77</v>
      </c>
    </row>
    <row r="4419" spans="1:2" x14ac:dyDescent="0.25">
      <c r="A4419" s="157">
        <v>28823</v>
      </c>
      <c r="B4419" s="158">
        <v>8.8000000000000007</v>
      </c>
    </row>
    <row r="4420" spans="1:2" x14ac:dyDescent="0.25">
      <c r="A4420" s="157">
        <v>28824</v>
      </c>
      <c r="B4420" s="158">
        <v>8.8000000000000007</v>
      </c>
    </row>
    <row r="4421" spans="1:2" x14ac:dyDescent="0.25">
      <c r="A4421" s="157">
        <v>28825</v>
      </c>
      <c r="B4421" s="158">
        <v>8.77</v>
      </c>
    </row>
    <row r="4422" spans="1:2" x14ac:dyDescent="0.25">
      <c r="A4422" s="157">
        <v>28828</v>
      </c>
      <c r="B4422" s="158">
        <v>8.7799999999999994</v>
      </c>
    </row>
    <row r="4423" spans="1:2" x14ac:dyDescent="0.25">
      <c r="A4423" s="157">
        <v>28829</v>
      </c>
      <c r="B4423" s="158">
        <v>8.7899999999999991</v>
      </c>
    </row>
    <row r="4424" spans="1:2" x14ac:dyDescent="0.25">
      <c r="A4424" s="157">
        <v>28830</v>
      </c>
      <c r="B4424" s="158">
        <v>8.77</v>
      </c>
    </row>
    <row r="4425" spans="1:2" x14ac:dyDescent="0.25">
      <c r="A4425" s="157">
        <v>28831</v>
      </c>
      <c r="B4425" s="158">
        <v>8.7899999999999991</v>
      </c>
    </row>
    <row r="4426" spans="1:2" x14ac:dyDescent="0.25">
      <c r="A4426" s="157">
        <v>28832</v>
      </c>
      <c r="B4426" s="158">
        <v>8.8000000000000007</v>
      </c>
    </row>
    <row r="4427" spans="1:2" x14ac:dyDescent="0.25">
      <c r="A4427" s="157">
        <v>28835</v>
      </c>
      <c r="B4427" s="158">
        <v>8.8000000000000007</v>
      </c>
    </row>
    <row r="4428" spans="1:2" x14ac:dyDescent="0.25">
      <c r="A4428" s="157">
        <v>28836</v>
      </c>
      <c r="B4428" s="158">
        <v>8.83</v>
      </c>
    </row>
    <row r="4429" spans="1:2" x14ac:dyDescent="0.25">
      <c r="A4429" s="157">
        <v>28837</v>
      </c>
      <c r="B4429" s="158">
        <v>8.8800000000000008</v>
      </c>
    </row>
    <row r="4430" spans="1:2" x14ac:dyDescent="0.25">
      <c r="A4430" s="157">
        <v>28838</v>
      </c>
      <c r="B4430" s="158">
        <v>8.8800000000000008</v>
      </c>
    </row>
    <row r="4431" spans="1:2" x14ac:dyDescent="0.25">
      <c r="A4431" s="157">
        <v>28839</v>
      </c>
      <c r="B4431" s="158">
        <v>8.8800000000000008</v>
      </c>
    </row>
    <row r="4432" spans="1:2" x14ac:dyDescent="0.25">
      <c r="A4432" s="157">
        <v>28842</v>
      </c>
      <c r="B4432" s="158">
        <v>8.98</v>
      </c>
    </row>
    <row r="4433" spans="1:2" x14ac:dyDescent="0.25">
      <c r="A4433" s="157">
        <v>28843</v>
      </c>
      <c r="B4433" s="158">
        <v>8.99</v>
      </c>
    </row>
    <row r="4434" spans="1:2" x14ac:dyDescent="0.25">
      <c r="A4434" s="157">
        <v>28844</v>
      </c>
      <c r="B4434" s="158">
        <v>9.0299999999999994</v>
      </c>
    </row>
    <row r="4435" spans="1:2" x14ac:dyDescent="0.25">
      <c r="A4435" s="157">
        <v>28845</v>
      </c>
      <c r="B4435" s="158">
        <v>9.02</v>
      </c>
    </row>
    <row r="4436" spans="1:2" x14ac:dyDescent="0.25">
      <c r="A4436" s="157">
        <v>28846</v>
      </c>
      <c r="B4436" s="158">
        <v>9</v>
      </c>
    </row>
    <row r="4437" spans="1:2" x14ac:dyDescent="0.25">
      <c r="A4437" s="157">
        <v>28849</v>
      </c>
      <c r="B4437" s="158" t="e">
        <f>NA()</f>
        <v>#N/A</v>
      </c>
    </row>
    <row r="4438" spans="1:2" x14ac:dyDescent="0.25">
      <c r="A4438" s="157">
        <v>28850</v>
      </c>
      <c r="B4438" s="158">
        <v>8.98</v>
      </c>
    </row>
    <row r="4439" spans="1:2" x14ac:dyDescent="0.25">
      <c r="A4439" s="157">
        <v>28851</v>
      </c>
      <c r="B4439" s="158">
        <v>8.9700000000000006</v>
      </c>
    </row>
    <row r="4440" spans="1:2" x14ac:dyDescent="0.25">
      <c r="A4440" s="157">
        <v>28852</v>
      </c>
      <c r="B4440" s="158">
        <v>9.01</v>
      </c>
    </row>
    <row r="4441" spans="1:2" x14ac:dyDescent="0.25">
      <c r="A4441" s="157">
        <v>28853</v>
      </c>
      <c r="B4441" s="158">
        <v>8.99</v>
      </c>
    </row>
    <row r="4442" spans="1:2" x14ac:dyDescent="0.25">
      <c r="A4442" s="157">
        <v>28856</v>
      </c>
      <c r="B4442" s="158" t="e">
        <f>NA()</f>
        <v>#N/A</v>
      </c>
    </row>
    <row r="4443" spans="1:2" x14ac:dyDescent="0.25">
      <c r="A4443" s="157">
        <v>28857</v>
      </c>
      <c r="B4443" s="158">
        <v>9</v>
      </c>
    </row>
    <row r="4444" spans="1:2" x14ac:dyDescent="0.25">
      <c r="A4444" s="157">
        <v>28858</v>
      </c>
      <c r="B4444" s="158">
        <v>9.01</v>
      </c>
    </row>
    <row r="4445" spans="1:2" x14ac:dyDescent="0.25">
      <c r="A4445" s="157">
        <v>28859</v>
      </c>
      <c r="B4445" s="158">
        <v>8.9700000000000006</v>
      </c>
    </row>
    <row r="4446" spans="1:2" x14ac:dyDescent="0.25">
      <c r="A4446" s="157">
        <v>28860</v>
      </c>
      <c r="B4446" s="158">
        <v>8.98</v>
      </c>
    </row>
    <row r="4447" spans="1:2" x14ac:dyDescent="0.25">
      <c r="A4447" s="157">
        <v>28863</v>
      </c>
      <c r="B4447" s="158">
        <v>8.98</v>
      </c>
    </row>
    <row r="4448" spans="1:2" x14ac:dyDescent="0.25">
      <c r="A4448" s="157">
        <v>28864</v>
      </c>
      <c r="B4448" s="158">
        <v>9.01</v>
      </c>
    </row>
    <row r="4449" spans="1:2" x14ac:dyDescent="0.25">
      <c r="A4449" s="157">
        <v>28865</v>
      </c>
      <c r="B4449" s="158">
        <v>9.02</v>
      </c>
    </row>
    <row r="4450" spans="1:2" x14ac:dyDescent="0.25">
      <c r="A4450" s="157">
        <v>28866</v>
      </c>
      <c r="B4450" s="158">
        <v>9.02</v>
      </c>
    </row>
    <row r="4451" spans="1:2" x14ac:dyDescent="0.25">
      <c r="A4451" s="157">
        <v>28867</v>
      </c>
      <c r="B4451" s="158">
        <v>9.01</v>
      </c>
    </row>
    <row r="4452" spans="1:2" x14ac:dyDescent="0.25">
      <c r="A4452" s="157">
        <v>28870</v>
      </c>
      <c r="B4452" s="158">
        <v>9.01</v>
      </c>
    </row>
    <row r="4453" spans="1:2" x14ac:dyDescent="0.25">
      <c r="A4453" s="157">
        <v>28871</v>
      </c>
      <c r="B4453" s="158">
        <v>9.02</v>
      </c>
    </row>
    <row r="4454" spans="1:2" x14ac:dyDescent="0.25">
      <c r="A4454" s="157">
        <v>28872</v>
      </c>
      <c r="B4454" s="158">
        <v>9.0299999999999994</v>
      </c>
    </row>
    <row r="4455" spans="1:2" x14ac:dyDescent="0.25">
      <c r="A4455" s="157">
        <v>28873</v>
      </c>
      <c r="B4455" s="158">
        <v>9.0399999999999991</v>
      </c>
    </row>
    <row r="4456" spans="1:2" x14ac:dyDescent="0.25">
      <c r="A4456" s="157">
        <v>28874</v>
      </c>
      <c r="B4456" s="158">
        <v>9.0299999999999994</v>
      </c>
    </row>
    <row r="4457" spans="1:2" x14ac:dyDescent="0.25">
      <c r="A4457" s="157">
        <v>28877</v>
      </c>
      <c r="B4457" s="158">
        <v>9</v>
      </c>
    </row>
    <row r="4458" spans="1:2" x14ac:dyDescent="0.25">
      <c r="A4458" s="157">
        <v>28878</v>
      </c>
      <c r="B4458" s="158">
        <v>9</v>
      </c>
    </row>
    <row r="4459" spans="1:2" x14ac:dyDescent="0.25">
      <c r="A4459" s="157">
        <v>28879</v>
      </c>
      <c r="B4459" s="158">
        <v>8.98</v>
      </c>
    </row>
    <row r="4460" spans="1:2" x14ac:dyDescent="0.25">
      <c r="A4460" s="157">
        <v>28880</v>
      </c>
      <c r="B4460" s="158">
        <v>8.9</v>
      </c>
    </row>
    <row r="4461" spans="1:2" x14ac:dyDescent="0.25">
      <c r="A4461" s="157">
        <v>28881</v>
      </c>
      <c r="B4461" s="158">
        <v>8.8800000000000008</v>
      </c>
    </row>
    <row r="4462" spans="1:2" x14ac:dyDescent="0.25">
      <c r="A4462" s="157">
        <v>28884</v>
      </c>
      <c r="B4462" s="158">
        <v>8.9</v>
      </c>
    </row>
    <row r="4463" spans="1:2" x14ac:dyDescent="0.25">
      <c r="A4463" s="157">
        <v>28885</v>
      </c>
      <c r="B4463" s="158">
        <v>8.9</v>
      </c>
    </row>
    <row r="4464" spans="1:2" x14ac:dyDescent="0.25">
      <c r="A4464" s="157">
        <v>28886</v>
      </c>
      <c r="B4464" s="158">
        <v>8.9</v>
      </c>
    </row>
    <row r="4465" spans="1:2" x14ac:dyDescent="0.25">
      <c r="A4465" s="157">
        <v>28887</v>
      </c>
      <c r="B4465" s="158">
        <v>8.89</v>
      </c>
    </row>
    <row r="4466" spans="1:2" x14ac:dyDescent="0.25">
      <c r="A4466" s="157">
        <v>28888</v>
      </c>
      <c r="B4466" s="158">
        <v>8.86</v>
      </c>
    </row>
    <row r="4467" spans="1:2" x14ac:dyDescent="0.25">
      <c r="A4467" s="157">
        <v>28891</v>
      </c>
      <c r="B4467" s="158">
        <v>8.91</v>
      </c>
    </row>
    <row r="4468" spans="1:2" x14ac:dyDescent="0.25">
      <c r="A4468" s="157">
        <v>28892</v>
      </c>
      <c r="B4468" s="158">
        <v>8.94</v>
      </c>
    </row>
    <row r="4469" spans="1:2" x14ac:dyDescent="0.25">
      <c r="A4469" s="157">
        <v>28893</v>
      </c>
      <c r="B4469" s="158">
        <v>9.0299999999999994</v>
      </c>
    </row>
    <row r="4470" spans="1:2" x14ac:dyDescent="0.25">
      <c r="A4470" s="157">
        <v>28894</v>
      </c>
      <c r="B4470" s="158">
        <v>9.0399999999999991</v>
      </c>
    </row>
    <row r="4471" spans="1:2" x14ac:dyDescent="0.25">
      <c r="A4471" s="157">
        <v>28895</v>
      </c>
      <c r="B4471" s="158">
        <v>9.06</v>
      </c>
    </row>
    <row r="4472" spans="1:2" x14ac:dyDescent="0.25">
      <c r="A4472" s="157">
        <v>28898</v>
      </c>
      <c r="B4472" s="158" t="e">
        <f>NA()</f>
        <v>#N/A</v>
      </c>
    </row>
    <row r="4473" spans="1:2" x14ac:dyDescent="0.25">
      <c r="A4473" s="157">
        <v>28899</v>
      </c>
      <c r="B4473" s="158">
        <v>9.0399999999999991</v>
      </c>
    </row>
    <row r="4474" spans="1:2" x14ac:dyDescent="0.25">
      <c r="A4474" s="157">
        <v>28900</v>
      </c>
      <c r="B4474" s="158">
        <v>9.0399999999999991</v>
      </c>
    </row>
    <row r="4475" spans="1:2" x14ac:dyDescent="0.25">
      <c r="A4475" s="157">
        <v>28901</v>
      </c>
      <c r="B4475" s="158">
        <v>9.0399999999999991</v>
      </c>
    </row>
    <row r="4476" spans="1:2" x14ac:dyDescent="0.25">
      <c r="A4476" s="157">
        <v>28902</v>
      </c>
      <c r="B4476" s="158">
        <v>9.0399999999999991</v>
      </c>
    </row>
    <row r="4477" spans="1:2" x14ac:dyDescent="0.25">
      <c r="A4477" s="157">
        <v>28905</v>
      </c>
      <c r="B4477" s="158" t="e">
        <f>NA()</f>
        <v>#N/A</v>
      </c>
    </row>
    <row r="4478" spans="1:2" x14ac:dyDescent="0.25">
      <c r="A4478" s="157">
        <v>28906</v>
      </c>
      <c r="B4478" s="158">
        <v>9.0500000000000007</v>
      </c>
    </row>
    <row r="4479" spans="1:2" x14ac:dyDescent="0.25">
      <c r="A4479" s="157">
        <v>28907</v>
      </c>
      <c r="B4479" s="158">
        <v>9.07</v>
      </c>
    </row>
    <row r="4480" spans="1:2" x14ac:dyDescent="0.25">
      <c r="A4480" s="157">
        <v>28908</v>
      </c>
      <c r="B4480" s="158">
        <v>9.1199999999999992</v>
      </c>
    </row>
    <row r="4481" spans="1:2" x14ac:dyDescent="0.25">
      <c r="A4481" s="157">
        <v>28909</v>
      </c>
      <c r="B4481" s="158">
        <v>9.1300000000000008</v>
      </c>
    </row>
    <row r="4482" spans="1:2" x14ac:dyDescent="0.25">
      <c r="A4482" s="157">
        <v>28912</v>
      </c>
      <c r="B4482" s="158">
        <v>9.1199999999999992</v>
      </c>
    </row>
    <row r="4483" spans="1:2" x14ac:dyDescent="0.25">
      <c r="A4483" s="157">
        <v>28913</v>
      </c>
      <c r="B4483" s="158">
        <v>9.1199999999999992</v>
      </c>
    </row>
    <row r="4484" spans="1:2" x14ac:dyDescent="0.25">
      <c r="A4484" s="157">
        <v>28914</v>
      </c>
      <c r="B4484" s="158">
        <v>9.1199999999999992</v>
      </c>
    </row>
    <row r="4485" spans="1:2" x14ac:dyDescent="0.25">
      <c r="A4485" s="157">
        <v>28915</v>
      </c>
      <c r="B4485" s="158">
        <v>9.14</v>
      </c>
    </row>
    <row r="4486" spans="1:2" x14ac:dyDescent="0.25">
      <c r="A4486" s="157">
        <v>28916</v>
      </c>
      <c r="B4486" s="158">
        <v>9.1199999999999992</v>
      </c>
    </row>
    <row r="4487" spans="1:2" x14ac:dyDescent="0.25">
      <c r="A4487" s="157">
        <v>28919</v>
      </c>
      <c r="B4487" s="158">
        <v>9.09</v>
      </c>
    </row>
    <row r="4488" spans="1:2" x14ac:dyDescent="0.25">
      <c r="A4488" s="157">
        <v>28920</v>
      </c>
      <c r="B4488" s="158">
        <v>9.09</v>
      </c>
    </row>
    <row r="4489" spans="1:2" x14ac:dyDescent="0.25">
      <c r="A4489" s="157">
        <v>28921</v>
      </c>
      <c r="B4489" s="158">
        <v>9.06</v>
      </c>
    </row>
    <row r="4490" spans="1:2" x14ac:dyDescent="0.25">
      <c r="A4490" s="157">
        <v>28922</v>
      </c>
      <c r="B4490" s="158">
        <v>9.06</v>
      </c>
    </row>
    <row r="4491" spans="1:2" x14ac:dyDescent="0.25">
      <c r="A4491" s="157">
        <v>28923</v>
      </c>
      <c r="B4491" s="158">
        <v>9.08</v>
      </c>
    </row>
    <row r="4492" spans="1:2" x14ac:dyDescent="0.25">
      <c r="A4492" s="157">
        <v>28926</v>
      </c>
      <c r="B4492" s="158">
        <v>9.07</v>
      </c>
    </row>
    <row r="4493" spans="1:2" x14ac:dyDescent="0.25">
      <c r="A4493" s="157">
        <v>28927</v>
      </c>
      <c r="B4493" s="158">
        <v>9.06</v>
      </c>
    </row>
    <row r="4494" spans="1:2" x14ac:dyDescent="0.25">
      <c r="A4494" s="157">
        <v>28928</v>
      </c>
      <c r="B4494" s="158">
        <v>9.08</v>
      </c>
    </row>
    <row r="4495" spans="1:2" x14ac:dyDescent="0.25">
      <c r="A4495" s="157">
        <v>28929</v>
      </c>
      <c r="B4495" s="158">
        <v>9.08</v>
      </c>
    </row>
    <row r="4496" spans="1:2" x14ac:dyDescent="0.25">
      <c r="A4496" s="157">
        <v>28930</v>
      </c>
      <c r="B4496" s="158">
        <v>9.08</v>
      </c>
    </row>
    <row r="4497" spans="1:2" x14ac:dyDescent="0.25">
      <c r="A4497" s="157">
        <v>28933</v>
      </c>
      <c r="B4497" s="158">
        <v>9.07</v>
      </c>
    </row>
    <row r="4498" spans="1:2" x14ac:dyDescent="0.25">
      <c r="A4498" s="157">
        <v>28934</v>
      </c>
      <c r="B4498" s="158">
        <v>9.09</v>
      </c>
    </row>
    <row r="4499" spans="1:2" x14ac:dyDescent="0.25">
      <c r="A4499" s="157">
        <v>28935</v>
      </c>
      <c r="B4499" s="158">
        <v>9.08</v>
      </c>
    </row>
    <row r="4500" spans="1:2" x14ac:dyDescent="0.25">
      <c r="A4500" s="157">
        <v>28936</v>
      </c>
      <c r="B4500" s="158">
        <v>9.07</v>
      </c>
    </row>
    <row r="4501" spans="1:2" x14ac:dyDescent="0.25">
      <c r="A4501" s="157">
        <v>28937</v>
      </c>
      <c r="B4501" s="158">
        <v>9.08</v>
      </c>
    </row>
    <row r="4502" spans="1:2" x14ac:dyDescent="0.25">
      <c r="A4502" s="157">
        <v>28940</v>
      </c>
      <c r="B4502" s="158">
        <v>9.06</v>
      </c>
    </row>
    <row r="4503" spans="1:2" x14ac:dyDescent="0.25">
      <c r="A4503" s="157">
        <v>28941</v>
      </c>
      <c r="B4503" s="158">
        <v>9.06</v>
      </c>
    </row>
    <row r="4504" spans="1:2" x14ac:dyDescent="0.25">
      <c r="A4504" s="157">
        <v>28942</v>
      </c>
      <c r="B4504" s="158">
        <v>9.0399999999999991</v>
      </c>
    </row>
    <row r="4505" spans="1:2" x14ac:dyDescent="0.25">
      <c r="A4505" s="157">
        <v>28943</v>
      </c>
      <c r="B4505" s="158">
        <v>9.0299999999999994</v>
      </c>
    </row>
    <row r="4506" spans="1:2" x14ac:dyDescent="0.25">
      <c r="A4506" s="157">
        <v>28944</v>
      </c>
      <c r="B4506" s="158">
        <v>9.07</v>
      </c>
    </row>
    <row r="4507" spans="1:2" x14ac:dyDescent="0.25">
      <c r="A4507" s="157">
        <v>28947</v>
      </c>
      <c r="B4507" s="158">
        <v>9.08</v>
      </c>
    </row>
    <row r="4508" spans="1:2" x14ac:dyDescent="0.25">
      <c r="A4508" s="157">
        <v>28948</v>
      </c>
      <c r="B4508" s="158">
        <v>9.0500000000000007</v>
      </c>
    </row>
    <row r="4509" spans="1:2" x14ac:dyDescent="0.25">
      <c r="A4509" s="157">
        <v>28949</v>
      </c>
      <c r="B4509" s="158">
        <v>9.0399999999999991</v>
      </c>
    </row>
    <row r="4510" spans="1:2" x14ac:dyDescent="0.25">
      <c r="A4510" s="157">
        <v>28950</v>
      </c>
      <c r="B4510" s="158">
        <v>9.02</v>
      </c>
    </row>
    <row r="4511" spans="1:2" x14ac:dyDescent="0.25">
      <c r="A4511" s="157">
        <v>28951</v>
      </c>
      <c r="B4511" s="158">
        <v>9.06</v>
      </c>
    </row>
    <row r="4512" spans="1:2" x14ac:dyDescent="0.25">
      <c r="A4512" s="157">
        <v>28954</v>
      </c>
      <c r="B4512" s="158">
        <v>9.08</v>
      </c>
    </row>
    <row r="4513" spans="1:2" x14ac:dyDescent="0.25">
      <c r="A4513" s="157">
        <v>28955</v>
      </c>
      <c r="B4513" s="158">
        <v>9.09</v>
      </c>
    </row>
    <row r="4514" spans="1:2" x14ac:dyDescent="0.25">
      <c r="A4514" s="157">
        <v>28956</v>
      </c>
      <c r="B4514" s="158">
        <v>9.1199999999999992</v>
      </c>
    </row>
    <row r="4515" spans="1:2" x14ac:dyDescent="0.25">
      <c r="A4515" s="157">
        <v>28957</v>
      </c>
      <c r="B4515" s="158">
        <v>9.1300000000000008</v>
      </c>
    </row>
    <row r="4516" spans="1:2" x14ac:dyDescent="0.25">
      <c r="A4516" s="157">
        <v>28958</v>
      </c>
      <c r="B4516" s="158" t="e">
        <f>NA()</f>
        <v>#N/A</v>
      </c>
    </row>
    <row r="4517" spans="1:2" x14ac:dyDescent="0.25">
      <c r="A4517" s="157">
        <v>28961</v>
      </c>
      <c r="B4517" s="158">
        <v>9.14</v>
      </c>
    </row>
    <row r="4518" spans="1:2" x14ac:dyDescent="0.25">
      <c r="A4518" s="157">
        <v>28962</v>
      </c>
      <c r="B4518" s="158">
        <v>9.1199999999999992</v>
      </c>
    </row>
    <row r="4519" spans="1:2" x14ac:dyDescent="0.25">
      <c r="A4519" s="157">
        <v>28963</v>
      </c>
      <c r="B4519" s="158">
        <v>9.1</v>
      </c>
    </row>
    <row r="4520" spans="1:2" x14ac:dyDescent="0.25">
      <c r="A4520" s="157">
        <v>28964</v>
      </c>
      <c r="B4520" s="158">
        <v>9.1</v>
      </c>
    </row>
    <row r="4521" spans="1:2" x14ac:dyDescent="0.25">
      <c r="A4521" s="157">
        <v>28965</v>
      </c>
      <c r="B4521" s="158">
        <v>9.1199999999999992</v>
      </c>
    </row>
    <row r="4522" spans="1:2" x14ac:dyDescent="0.25">
      <c r="A4522" s="157">
        <v>28968</v>
      </c>
      <c r="B4522" s="158">
        <v>9.17</v>
      </c>
    </row>
    <row r="4523" spans="1:2" x14ac:dyDescent="0.25">
      <c r="A4523" s="157">
        <v>28969</v>
      </c>
      <c r="B4523" s="158">
        <v>9.18</v>
      </c>
    </row>
    <row r="4524" spans="1:2" x14ac:dyDescent="0.25">
      <c r="A4524" s="157">
        <v>28970</v>
      </c>
      <c r="B4524" s="158">
        <v>9.18</v>
      </c>
    </row>
    <row r="4525" spans="1:2" x14ac:dyDescent="0.25">
      <c r="A4525" s="157">
        <v>28971</v>
      </c>
      <c r="B4525" s="158">
        <v>9.2100000000000009</v>
      </c>
    </row>
    <row r="4526" spans="1:2" x14ac:dyDescent="0.25">
      <c r="A4526" s="157">
        <v>28972</v>
      </c>
      <c r="B4526" s="158">
        <v>9.24</v>
      </c>
    </row>
    <row r="4527" spans="1:2" x14ac:dyDescent="0.25">
      <c r="A4527" s="157">
        <v>28975</v>
      </c>
      <c r="B4527" s="158">
        <v>9.26</v>
      </c>
    </row>
    <row r="4528" spans="1:2" x14ac:dyDescent="0.25">
      <c r="A4528" s="157">
        <v>28976</v>
      </c>
      <c r="B4528" s="158">
        <v>9.25</v>
      </c>
    </row>
    <row r="4529" spans="1:2" x14ac:dyDescent="0.25">
      <c r="A4529" s="157">
        <v>28977</v>
      </c>
      <c r="B4529" s="158">
        <v>9.27</v>
      </c>
    </row>
    <row r="4530" spans="1:2" x14ac:dyDescent="0.25">
      <c r="A4530" s="157">
        <v>28978</v>
      </c>
      <c r="B4530" s="158">
        <v>9.2899999999999991</v>
      </c>
    </row>
    <row r="4531" spans="1:2" x14ac:dyDescent="0.25">
      <c r="A4531" s="157">
        <v>28979</v>
      </c>
      <c r="B4531" s="158">
        <v>9.32</v>
      </c>
    </row>
    <row r="4532" spans="1:2" x14ac:dyDescent="0.25">
      <c r="A4532" s="157">
        <v>28982</v>
      </c>
      <c r="B4532" s="158">
        <v>9.32</v>
      </c>
    </row>
    <row r="4533" spans="1:2" x14ac:dyDescent="0.25">
      <c r="A4533" s="157">
        <v>28983</v>
      </c>
      <c r="B4533" s="158">
        <v>9.31</v>
      </c>
    </row>
    <row r="4534" spans="1:2" x14ac:dyDescent="0.25">
      <c r="A4534" s="157">
        <v>28984</v>
      </c>
      <c r="B4534" s="158">
        <v>9.3000000000000007</v>
      </c>
    </row>
    <row r="4535" spans="1:2" x14ac:dyDescent="0.25">
      <c r="A4535" s="157">
        <v>28985</v>
      </c>
      <c r="B4535" s="158">
        <v>9.31</v>
      </c>
    </row>
    <row r="4536" spans="1:2" x14ac:dyDescent="0.25">
      <c r="A4536" s="157">
        <v>28986</v>
      </c>
      <c r="B4536" s="158">
        <v>9.2799999999999994</v>
      </c>
    </row>
    <row r="4537" spans="1:2" x14ac:dyDescent="0.25">
      <c r="A4537" s="157">
        <v>28989</v>
      </c>
      <c r="B4537" s="158">
        <v>9.24</v>
      </c>
    </row>
    <row r="4538" spans="1:2" x14ac:dyDescent="0.25">
      <c r="A4538" s="157">
        <v>28990</v>
      </c>
      <c r="B4538" s="158">
        <v>9.25</v>
      </c>
    </row>
    <row r="4539" spans="1:2" x14ac:dyDescent="0.25">
      <c r="A4539" s="157">
        <v>28991</v>
      </c>
      <c r="B4539" s="158">
        <v>9.24</v>
      </c>
    </row>
    <row r="4540" spans="1:2" x14ac:dyDescent="0.25">
      <c r="A4540" s="157">
        <v>28992</v>
      </c>
      <c r="B4540" s="158">
        <v>9.2200000000000006</v>
      </c>
    </row>
    <row r="4541" spans="1:2" x14ac:dyDescent="0.25">
      <c r="A4541" s="157">
        <v>28993</v>
      </c>
      <c r="B4541" s="158">
        <v>9.19</v>
      </c>
    </row>
    <row r="4542" spans="1:2" x14ac:dyDescent="0.25">
      <c r="A4542" s="157">
        <v>28996</v>
      </c>
      <c r="B4542" s="158">
        <v>9.1999999999999993</v>
      </c>
    </row>
    <row r="4543" spans="1:2" x14ac:dyDescent="0.25">
      <c r="A4543" s="157">
        <v>28997</v>
      </c>
      <c r="B4543" s="158">
        <v>9.16</v>
      </c>
    </row>
    <row r="4544" spans="1:2" x14ac:dyDescent="0.25">
      <c r="A4544" s="157">
        <v>28998</v>
      </c>
      <c r="B4544" s="158">
        <v>9.09</v>
      </c>
    </row>
    <row r="4545" spans="1:2" x14ac:dyDescent="0.25">
      <c r="A4545" s="157">
        <v>28999</v>
      </c>
      <c r="B4545" s="158">
        <v>9.07</v>
      </c>
    </row>
    <row r="4546" spans="1:2" x14ac:dyDescent="0.25">
      <c r="A4546" s="157">
        <v>29000</v>
      </c>
      <c r="B4546" s="158">
        <v>9.0399999999999991</v>
      </c>
    </row>
    <row r="4547" spans="1:2" x14ac:dyDescent="0.25">
      <c r="A4547" s="157">
        <v>29003</v>
      </c>
      <c r="B4547" s="158" t="e">
        <f>NA()</f>
        <v>#N/A</v>
      </c>
    </row>
    <row r="4548" spans="1:2" x14ac:dyDescent="0.25">
      <c r="A4548" s="157">
        <v>29004</v>
      </c>
      <c r="B4548" s="158">
        <v>9.0299999999999994</v>
      </c>
    </row>
    <row r="4549" spans="1:2" x14ac:dyDescent="0.25">
      <c r="A4549" s="157">
        <v>29005</v>
      </c>
      <c r="B4549" s="158" t="e">
        <f>NA()</f>
        <v>#N/A</v>
      </c>
    </row>
    <row r="4550" spans="1:2" x14ac:dyDescent="0.25">
      <c r="A4550" s="157">
        <v>29006</v>
      </c>
      <c r="B4550" s="158">
        <v>9.08</v>
      </c>
    </row>
    <row r="4551" spans="1:2" x14ac:dyDescent="0.25">
      <c r="A4551" s="157">
        <v>29007</v>
      </c>
      <c r="B4551" s="158">
        <v>9.07</v>
      </c>
    </row>
    <row r="4552" spans="1:2" x14ac:dyDescent="0.25">
      <c r="A4552" s="157">
        <v>29010</v>
      </c>
      <c r="B4552" s="158">
        <v>9.07</v>
      </c>
    </row>
    <row r="4553" spans="1:2" x14ac:dyDescent="0.25">
      <c r="A4553" s="157">
        <v>29011</v>
      </c>
      <c r="B4553" s="158">
        <v>9.0500000000000007</v>
      </c>
    </row>
    <row r="4554" spans="1:2" x14ac:dyDescent="0.25">
      <c r="A4554" s="157">
        <v>29012</v>
      </c>
      <c r="B4554" s="158">
        <v>9.01</v>
      </c>
    </row>
    <row r="4555" spans="1:2" x14ac:dyDescent="0.25">
      <c r="A4555" s="157">
        <v>29013</v>
      </c>
      <c r="B4555" s="158">
        <v>8.8800000000000008</v>
      </c>
    </row>
    <row r="4556" spans="1:2" x14ac:dyDescent="0.25">
      <c r="A4556" s="157">
        <v>29014</v>
      </c>
      <c r="B4556" s="158">
        <v>8.89</v>
      </c>
    </row>
    <row r="4557" spans="1:2" x14ac:dyDescent="0.25">
      <c r="A4557" s="157">
        <v>29017</v>
      </c>
      <c r="B4557" s="158">
        <v>8.92</v>
      </c>
    </row>
    <row r="4558" spans="1:2" x14ac:dyDescent="0.25">
      <c r="A4558" s="157">
        <v>29018</v>
      </c>
      <c r="B4558" s="158">
        <v>8.84</v>
      </c>
    </row>
    <row r="4559" spans="1:2" x14ac:dyDescent="0.25">
      <c r="A4559" s="157">
        <v>29019</v>
      </c>
      <c r="B4559" s="158">
        <v>8.86</v>
      </c>
    </row>
    <row r="4560" spans="1:2" x14ac:dyDescent="0.25">
      <c r="A4560" s="157">
        <v>29020</v>
      </c>
      <c r="B4560" s="158">
        <v>8.8800000000000008</v>
      </c>
    </row>
    <row r="4561" spans="1:2" x14ac:dyDescent="0.25">
      <c r="A4561" s="157">
        <v>29021</v>
      </c>
      <c r="B4561" s="158">
        <v>8.93</v>
      </c>
    </row>
    <row r="4562" spans="1:2" x14ac:dyDescent="0.25">
      <c r="A4562" s="157">
        <v>29024</v>
      </c>
      <c r="B4562" s="158">
        <v>8.93</v>
      </c>
    </row>
    <row r="4563" spans="1:2" x14ac:dyDescent="0.25">
      <c r="A4563" s="157">
        <v>29025</v>
      </c>
      <c r="B4563" s="158">
        <v>8.93</v>
      </c>
    </row>
    <row r="4564" spans="1:2" x14ac:dyDescent="0.25">
      <c r="A4564" s="157">
        <v>29026</v>
      </c>
      <c r="B4564" s="158">
        <v>8.93</v>
      </c>
    </row>
    <row r="4565" spans="1:2" x14ac:dyDescent="0.25">
      <c r="A4565" s="157">
        <v>29027</v>
      </c>
      <c r="B4565" s="158">
        <v>8.92</v>
      </c>
    </row>
    <row r="4566" spans="1:2" x14ac:dyDescent="0.25">
      <c r="A4566" s="157">
        <v>29028</v>
      </c>
      <c r="B4566" s="158">
        <v>8.92</v>
      </c>
    </row>
    <row r="4567" spans="1:2" x14ac:dyDescent="0.25">
      <c r="A4567" s="157">
        <v>29031</v>
      </c>
      <c r="B4567" s="158">
        <v>8.89</v>
      </c>
    </row>
    <row r="4568" spans="1:2" x14ac:dyDescent="0.25">
      <c r="A4568" s="157">
        <v>29032</v>
      </c>
      <c r="B4568" s="158">
        <v>8.81</v>
      </c>
    </row>
    <row r="4569" spans="1:2" x14ac:dyDescent="0.25">
      <c r="A4569" s="157">
        <v>29033</v>
      </c>
      <c r="B4569" s="158">
        <v>8.7899999999999991</v>
      </c>
    </row>
    <row r="4570" spans="1:2" x14ac:dyDescent="0.25">
      <c r="A4570" s="157">
        <v>29034</v>
      </c>
      <c r="B4570" s="158">
        <v>8.8000000000000007</v>
      </c>
    </row>
    <row r="4571" spans="1:2" x14ac:dyDescent="0.25">
      <c r="A4571" s="157">
        <v>29035</v>
      </c>
      <c r="B4571" s="158">
        <v>8.82</v>
      </c>
    </row>
    <row r="4572" spans="1:2" x14ac:dyDescent="0.25">
      <c r="A4572" s="157">
        <v>29038</v>
      </c>
      <c r="B4572" s="158">
        <v>8.77</v>
      </c>
    </row>
    <row r="4573" spans="1:2" x14ac:dyDescent="0.25">
      <c r="A4573" s="157">
        <v>29039</v>
      </c>
      <c r="B4573" s="158">
        <v>8.7899999999999991</v>
      </c>
    </row>
    <row r="4574" spans="1:2" x14ac:dyDescent="0.25">
      <c r="A4574" s="157">
        <v>29040</v>
      </c>
      <c r="B4574" s="158" t="e">
        <f>NA()</f>
        <v>#N/A</v>
      </c>
    </row>
    <row r="4575" spans="1:2" x14ac:dyDescent="0.25">
      <c r="A4575" s="157">
        <v>29041</v>
      </c>
      <c r="B4575" s="158">
        <v>8.7899999999999991</v>
      </c>
    </row>
    <row r="4576" spans="1:2" x14ac:dyDescent="0.25">
      <c r="A4576" s="157">
        <v>29042</v>
      </c>
      <c r="B4576" s="158">
        <v>8.8000000000000007</v>
      </c>
    </row>
    <row r="4577" spans="1:2" x14ac:dyDescent="0.25">
      <c r="A4577" s="157">
        <v>29045</v>
      </c>
      <c r="B4577" s="158">
        <v>8.82</v>
      </c>
    </row>
    <row r="4578" spans="1:2" x14ac:dyDescent="0.25">
      <c r="A4578" s="157">
        <v>29046</v>
      </c>
      <c r="B4578" s="158">
        <v>8.8800000000000008</v>
      </c>
    </row>
    <row r="4579" spans="1:2" x14ac:dyDescent="0.25">
      <c r="A4579" s="157">
        <v>29047</v>
      </c>
      <c r="B4579" s="158">
        <v>8.9</v>
      </c>
    </row>
    <row r="4580" spans="1:2" x14ac:dyDescent="0.25">
      <c r="A4580" s="157">
        <v>29048</v>
      </c>
      <c r="B4580" s="158">
        <v>8.9</v>
      </c>
    </row>
    <row r="4581" spans="1:2" x14ac:dyDescent="0.25">
      <c r="A4581" s="157">
        <v>29049</v>
      </c>
      <c r="B4581" s="158">
        <v>8.91</v>
      </c>
    </row>
    <row r="4582" spans="1:2" x14ac:dyDescent="0.25">
      <c r="A4582" s="157">
        <v>29052</v>
      </c>
      <c r="B4582" s="158">
        <v>8.9499999999999993</v>
      </c>
    </row>
    <row r="4583" spans="1:2" x14ac:dyDescent="0.25">
      <c r="A4583" s="157">
        <v>29053</v>
      </c>
      <c r="B4583" s="158">
        <v>8.9700000000000006</v>
      </c>
    </row>
    <row r="4584" spans="1:2" x14ac:dyDescent="0.25">
      <c r="A4584" s="157">
        <v>29054</v>
      </c>
      <c r="B4584" s="158">
        <v>8.9700000000000006</v>
      </c>
    </row>
    <row r="4585" spans="1:2" x14ac:dyDescent="0.25">
      <c r="A4585" s="157">
        <v>29055</v>
      </c>
      <c r="B4585" s="158">
        <v>8.98</v>
      </c>
    </row>
    <row r="4586" spans="1:2" x14ac:dyDescent="0.25">
      <c r="A4586" s="157">
        <v>29056</v>
      </c>
      <c r="B4586" s="158">
        <v>8.9700000000000006</v>
      </c>
    </row>
    <row r="4587" spans="1:2" x14ac:dyDescent="0.25">
      <c r="A4587" s="157">
        <v>29059</v>
      </c>
      <c r="B4587" s="158">
        <v>8.98</v>
      </c>
    </row>
    <row r="4588" spans="1:2" x14ac:dyDescent="0.25">
      <c r="A4588" s="157">
        <v>29060</v>
      </c>
      <c r="B4588" s="158">
        <v>9</v>
      </c>
    </row>
    <row r="4589" spans="1:2" x14ac:dyDescent="0.25">
      <c r="A4589" s="157">
        <v>29061</v>
      </c>
      <c r="B4589" s="158">
        <v>8.9700000000000006</v>
      </c>
    </row>
    <row r="4590" spans="1:2" x14ac:dyDescent="0.25">
      <c r="A4590" s="157">
        <v>29062</v>
      </c>
      <c r="B4590" s="158">
        <v>8.9600000000000009</v>
      </c>
    </row>
    <row r="4591" spans="1:2" x14ac:dyDescent="0.25">
      <c r="A4591" s="157">
        <v>29063</v>
      </c>
      <c r="B4591" s="158">
        <v>8.99</v>
      </c>
    </row>
    <row r="4592" spans="1:2" x14ac:dyDescent="0.25">
      <c r="A4592" s="157">
        <v>29066</v>
      </c>
      <c r="B4592" s="158">
        <v>9</v>
      </c>
    </row>
    <row r="4593" spans="1:2" x14ac:dyDescent="0.25">
      <c r="A4593" s="157">
        <v>29067</v>
      </c>
      <c r="B4593" s="158">
        <v>8.98</v>
      </c>
    </row>
    <row r="4594" spans="1:2" x14ac:dyDescent="0.25">
      <c r="A4594" s="157">
        <v>29068</v>
      </c>
      <c r="B4594" s="158">
        <v>8.9700000000000006</v>
      </c>
    </row>
    <row r="4595" spans="1:2" x14ac:dyDescent="0.25">
      <c r="A4595" s="157">
        <v>29069</v>
      </c>
      <c r="B4595" s="158">
        <v>8.92</v>
      </c>
    </row>
    <row r="4596" spans="1:2" x14ac:dyDescent="0.25">
      <c r="A4596" s="157">
        <v>29070</v>
      </c>
      <c r="B4596" s="158">
        <v>8.93</v>
      </c>
    </row>
    <row r="4597" spans="1:2" x14ac:dyDescent="0.25">
      <c r="A4597" s="157">
        <v>29073</v>
      </c>
      <c r="B4597" s="158">
        <v>8.91</v>
      </c>
    </row>
    <row r="4598" spans="1:2" x14ac:dyDescent="0.25">
      <c r="A4598" s="157">
        <v>29074</v>
      </c>
      <c r="B4598" s="158">
        <v>8.9</v>
      </c>
    </row>
    <row r="4599" spans="1:2" x14ac:dyDescent="0.25">
      <c r="A4599" s="157">
        <v>29075</v>
      </c>
      <c r="B4599" s="158">
        <v>8.91</v>
      </c>
    </row>
    <row r="4600" spans="1:2" x14ac:dyDescent="0.25">
      <c r="A4600" s="157">
        <v>29076</v>
      </c>
      <c r="B4600" s="158">
        <v>8.94</v>
      </c>
    </row>
    <row r="4601" spans="1:2" x14ac:dyDescent="0.25">
      <c r="A4601" s="157">
        <v>29077</v>
      </c>
      <c r="B4601" s="158">
        <v>8.9600000000000009</v>
      </c>
    </row>
    <row r="4602" spans="1:2" x14ac:dyDescent="0.25">
      <c r="A4602" s="157">
        <v>29080</v>
      </c>
      <c r="B4602" s="158">
        <v>8.9700000000000006</v>
      </c>
    </row>
    <row r="4603" spans="1:2" x14ac:dyDescent="0.25">
      <c r="A4603" s="157">
        <v>29081</v>
      </c>
      <c r="B4603" s="158">
        <v>8.94</v>
      </c>
    </row>
    <row r="4604" spans="1:2" x14ac:dyDescent="0.25">
      <c r="A4604" s="157">
        <v>29082</v>
      </c>
      <c r="B4604" s="158">
        <v>8.9499999999999993</v>
      </c>
    </row>
    <row r="4605" spans="1:2" x14ac:dyDescent="0.25">
      <c r="A4605" s="157">
        <v>29083</v>
      </c>
      <c r="B4605" s="158">
        <v>8.94</v>
      </c>
    </row>
    <row r="4606" spans="1:2" x14ac:dyDescent="0.25">
      <c r="A4606" s="157">
        <v>29084</v>
      </c>
      <c r="B4606" s="158">
        <v>8.94</v>
      </c>
    </row>
    <row r="4607" spans="1:2" x14ac:dyDescent="0.25">
      <c r="A4607" s="157">
        <v>29087</v>
      </c>
      <c r="B4607" s="158">
        <v>8.94</v>
      </c>
    </row>
    <row r="4608" spans="1:2" x14ac:dyDescent="0.25">
      <c r="A4608" s="157">
        <v>29088</v>
      </c>
      <c r="B4608" s="158">
        <v>8.9499999999999993</v>
      </c>
    </row>
    <row r="4609" spans="1:2" x14ac:dyDescent="0.25">
      <c r="A4609" s="157">
        <v>29089</v>
      </c>
      <c r="B4609" s="158">
        <v>8.9700000000000006</v>
      </c>
    </row>
    <row r="4610" spans="1:2" x14ac:dyDescent="0.25">
      <c r="A4610" s="157">
        <v>29090</v>
      </c>
      <c r="B4610" s="158">
        <v>8.98</v>
      </c>
    </row>
    <row r="4611" spans="1:2" x14ac:dyDescent="0.25">
      <c r="A4611" s="157">
        <v>29091</v>
      </c>
      <c r="B4611" s="158">
        <v>9.02</v>
      </c>
    </row>
    <row r="4612" spans="1:2" x14ac:dyDescent="0.25">
      <c r="A4612" s="157">
        <v>29094</v>
      </c>
      <c r="B4612" s="158">
        <v>9.01</v>
      </c>
    </row>
    <row r="4613" spans="1:2" x14ac:dyDescent="0.25">
      <c r="A4613" s="157">
        <v>29095</v>
      </c>
      <c r="B4613" s="158">
        <v>9.02</v>
      </c>
    </row>
    <row r="4614" spans="1:2" x14ac:dyDescent="0.25">
      <c r="A4614" s="157">
        <v>29096</v>
      </c>
      <c r="B4614" s="158">
        <v>9.01</v>
      </c>
    </row>
    <row r="4615" spans="1:2" x14ac:dyDescent="0.25">
      <c r="A4615" s="157">
        <v>29097</v>
      </c>
      <c r="B4615" s="158">
        <v>9.07</v>
      </c>
    </row>
    <row r="4616" spans="1:2" x14ac:dyDescent="0.25">
      <c r="A4616" s="157">
        <v>29098</v>
      </c>
      <c r="B4616" s="158">
        <v>9.1</v>
      </c>
    </row>
    <row r="4617" spans="1:2" x14ac:dyDescent="0.25">
      <c r="A4617" s="157">
        <v>29101</v>
      </c>
      <c r="B4617" s="158" t="e">
        <f>NA()</f>
        <v>#N/A</v>
      </c>
    </row>
    <row r="4618" spans="1:2" x14ac:dyDescent="0.25">
      <c r="A4618" s="157">
        <v>29102</v>
      </c>
      <c r="B4618" s="158">
        <v>9.16</v>
      </c>
    </row>
    <row r="4619" spans="1:2" x14ac:dyDescent="0.25">
      <c r="A4619" s="157">
        <v>29103</v>
      </c>
      <c r="B4619" s="158">
        <v>9.18</v>
      </c>
    </row>
    <row r="4620" spans="1:2" x14ac:dyDescent="0.25">
      <c r="A4620" s="157">
        <v>29104</v>
      </c>
      <c r="B4620" s="158">
        <v>9.19</v>
      </c>
    </row>
    <row r="4621" spans="1:2" x14ac:dyDescent="0.25">
      <c r="A4621" s="157">
        <v>29105</v>
      </c>
      <c r="B4621" s="158">
        <v>9.1999999999999993</v>
      </c>
    </row>
    <row r="4622" spans="1:2" x14ac:dyDescent="0.25">
      <c r="A4622" s="157">
        <v>29108</v>
      </c>
      <c r="B4622" s="158">
        <v>9.23</v>
      </c>
    </row>
    <row r="4623" spans="1:2" x14ac:dyDescent="0.25">
      <c r="A4623" s="157">
        <v>29109</v>
      </c>
      <c r="B4623" s="158">
        <v>9.16</v>
      </c>
    </row>
    <row r="4624" spans="1:2" x14ac:dyDescent="0.25">
      <c r="A4624" s="157">
        <v>29110</v>
      </c>
      <c r="B4624" s="158">
        <v>9.19</v>
      </c>
    </row>
    <row r="4625" spans="1:2" x14ac:dyDescent="0.25">
      <c r="A4625" s="157">
        <v>29111</v>
      </c>
      <c r="B4625" s="158">
        <v>9.1999999999999993</v>
      </c>
    </row>
    <row r="4626" spans="1:2" x14ac:dyDescent="0.25">
      <c r="A4626" s="157">
        <v>29112</v>
      </c>
      <c r="B4626" s="158">
        <v>9.18</v>
      </c>
    </row>
    <row r="4627" spans="1:2" x14ac:dyDescent="0.25">
      <c r="A4627" s="157">
        <v>29115</v>
      </c>
      <c r="B4627" s="158">
        <v>9.2200000000000006</v>
      </c>
    </row>
    <row r="4628" spans="1:2" x14ac:dyDescent="0.25">
      <c r="A4628" s="157">
        <v>29116</v>
      </c>
      <c r="B4628" s="158">
        <v>9.2200000000000006</v>
      </c>
    </row>
    <row r="4629" spans="1:2" x14ac:dyDescent="0.25">
      <c r="A4629" s="157">
        <v>29117</v>
      </c>
      <c r="B4629" s="158">
        <v>9.1999999999999993</v>
      </c>
    </row>
    <row r="4630" spans="1:2" x14ac:dyDescent="0.25">
      <c r="A4630" s="157">
        <v>29118</v>
      </c>
      <c r="B4630" s="158">
        <v>9.18</v>
      </c>
    </row>
    <row r="4631" spans="1:2" x14ac:dyDescent="0.25">
      <c r="A4631" s="157">
        <v>29119</v>
      </c>
      <c r="B4631" s="158">
        <v>9.15</v>
      </c>
    </row>
    <row r="4632" spans="1:2" x14ac:dyDescent="0.25">
      <c r="A4632" s="157">
        <v>29122</v>
      </c>
      <c r="B4632" s="158">
        <v>9.2100000000000009</v>
      </c>
    </row>
    <row r="4633" spans="1:2" x14ac:dyDescent="0.25">
      <c r="A4633" s="157">
        <v>29123</v>
      </c>
      <c r="B4633" s="158">
        <v>9.2100000000000009</v>
      </c>
    </row>
    <row r="4634" spans="1:2" x14ac:dyDescent="0.25">
      <c r="A4634" s="157">
        <v>29124</v>
      </c>
      <c r="B4634" s="158">
        <v>9.23</v>
      </c>
    </row>
    <row r="4635" spans="1:2" x14ac:dyDescent="0.25">
      <c r="A4635" s="157">
        <v>29125</v>
      </c>
      <c r="B4635" s="158">
        <v>9.32</v>
      </c>
    </row>
    <row r="4636" spans="1:2" x14ac:dyDescent="0.25">
      <c r="A4636" s="157">
        <v>29126</v>
      </c>
      <c r="B4636" s="158">
        <v>9.31</v>
      </c>
    </row>
    <row r="4637" spans="1:2" x14ac:dyDescent="0.25">
      <c r="A4637" s="157">
        <v>29129</v>
      </c>
      <c r="B4637" s="158">
        <v>9.34</v>
      </c>
    </row>
    <row r="4638" spans="1:2" x14ac:dyDescent="0.25">
      <c r="A4638" s="157">
        <v>29130</v>
      </c>
      <c r="B4638" s="158">
        <v>9.35</v>
      </c>
    </row>
    <row r="4639" spans="1:2" x14ac:dyDescent="0.25">
      <c r="A4639" s="157">
        <v>29131</v>
      </c>
      <c r="B4639" s="158">
        <v>9.3699999999999992</v>
      </c>
    </row>
    <row r="4640" spans="1:2" x14ac:dyDescent="0.25">
      <c r="A4640" s="157">
        <v>29132</v>
      </c>
      <c r="B4640" s="158">
        <v>9.4</v>
      </c>
    </row>
    <row r="4641" spans="1:2" x14ac:dyDescent="0.25">
      <c r="A4641" s="157">
        <v>29133</v>
      </c>
      <c r="B4641" s="158">
        <v>9.44</v>
      </c>
    </row>
    <row r="4642" spans="1:2" x14ac:dyDescent="0.25">
      <c r="A4642" s="157">
        <v>29136</v>
      </c>
      <c r="B4642" s="158" t="e">
        <f>NA()</f>
        <v>#N/A</v>
      </c>
    </row>
    <row r="4643" spans="1:2" x14ac:dyDescent="0.25">
      <c r="A4643" s="157">
        <v>29137</v>
      </c>
      <c r="B4643" s="158">
        <v>9.73</v>
      </c>
    </row>
    <row r="4644" spans="1:2" x14ac:dyDescent="0.25">
      <c r="A4644" s="157">
        <v>29138</v>
      </c>
      <c r="B4644" s="158">
        <v>9.83</v>
      </c>
    </row>
    <row r="4645" spans="1:2" x14ac:dyDescent="0.25">
      <c r="A4645" s="157">
        <v>29139</v>
      </c>
      <c r="B4645" s="158">
        <v>9.89</v>
      </c>
    </row>
    <row r="4646" spans="1:2" x14ac:dyDescent="0.25">
      <c r="A4646" s="157">
        <v>29140</v>
      </c>
      <c r="B4646" s="158">
        <v>9.93</v>
      </c>
    </row>
    <row r="4647" spans="1:2" x14ac:dyDescent="0.25">
      <c r="A4647" s="157">
        <v>29143</v>
      </c>
      <c r="B4647" s="158">
        <v>10</v>
      </c>
    </row>
    <row r="4648" spans="1:2" x14ac:dyDescent="0.25">
      <c r="A4648" s="157">
        <v>29144</v>
      </c>
      <c r="B4648" s="158">
        <v>9.98</v>
      </c>
    </row>
    <row r="4649" spans="1:2" x14ac:dyDescent="0.25">
      <c r="A4649" s="157">
        <v>29145</v>
      </c>
      <c r="B4649" s="158">
        <v>9.92</v>
      </c>
    </row>
    <row r="4650" spans="1:2" x14ac:dyDescent="0.25">
      <c r="A4650" s="157">
        <v>29146</v>
      </c>
      <c r="B4650" s="158">
        <v>10.06</v>
      </c>
    </row>
    <row r="4651" spans="1:2" x14ac:dyDescent="0.25">
      <c r="A4651" s="157">
        <v>29147</v>
      </c>
      <c r="B4651" s="158">
        <v>10.23</v>
      </c>
    </row>
    <row r="4652" spans="1:2" x14ac:dyDescent="0.25">
      <c r="A4652" s="157">
        <v>29150</v>
      </c>
      <c r="B4652" s="158">
        <v>10.44</v>
      </c>
    </row>
    <row r="4653" spans="1:2" x14ac:dyDescent="0.25">
      <c r="A4653" s="157">
        <v>29151</v>
      </c>
      <c r="B4653" s="158">
        <v>10.44</v>
      </c>
    </row>
    <row r="4654" spans="1:2" x14ac:dyDescent="0.25">
      <c r="A4654" s="157">
        <v>29152</v>
      </c>
      <c r="B4654" s="158">
        <v>10.37</v>
      </c>
    </row>
    <row r="4655" spans="1:2" x14ac:dyDescent="0.25">
      <c r="A4655" s="157">
        <v>29153</v>
      </c>
      <c r="B4655" s="158">
        <v>10.49</v>
      </c>
    </row>
    <row r="4656" spans="1:2" x14ac:dyDescent="0.25">
      <c r="A4656" s="157">
        <v>29154</v>
      </c>
      <c r="B4656" s="158">
        <v>10.34</v>
      </c>
    </row>
    <row r="4657" spans="1:2" x14ac:dyDescent="0.25">
      <c r="A4657" s="157">
        <v>29157</v>
      </c>
      <c r="B4657" s="158">
        <v>10.4</v>
      </c>
    </row>
    <row r="4658" spans="1:2" x14ac:dyDescent="0.25">
      <c r="A4658" s="157">
        <v>29158</v>
      </c>
      <c r="B4658" s="158">
        <v>10.39</v>
      </c>
    </row>
    <row r="4659" spans="1:2" x14ac:dyDescent="0.25">
      <c r="A4659" s="157">
        <v>29159</v>
      </c>
      <c r="B4659" s="158">
        <v>10.4</v>
      </c>
    </row>
    <row r="4660" spans="1:2" x14ac:dyDescent="0.25">
      <c r="A4660" s="157">
        <v>29160</v>
      </c>
      <c r="B4660" s="158">
        <v>10.49</v>
      </c>
    </row>
    <row r="4661" spans="1:2" x14ac:dyDescent="0.25">
      <c r="A4661" s="157">
        <v>29161</v>
      </c>
      <c r="B4661" s="158">
        <v>10.53</v>
      </c>
    </row>
    <row r="4662" spans="1:2" x14ac:dyDescent="0.25">
      <c r="A4662" s="157">
        <v>29164</v>
      </c>
      <c r="B4662" s="158">
        <v>10.53</v>
      </c>
    </row>
    <row r="4663" spans="1:2" x14ac:dyDescent="0.25">
      <c r="A4663" s="157">
        <v>29165</v>
      </c>
      <c r="B4663" s="158" t="e">
        <f>NA()</f>
        <v>#N/A</v>
      </c>
    </row>
    <row r="4664" spans="1:2" x14ac:dyDescent="0.25">
      <c r="A4664" s="157">
        <v>29166</v>
      </c>
      <c r="B4664" s="158">
        <v>10.67</v>
      </c>
    </row>
    <row r="4665" spans="1:2" x14ac:dyDescent="0.25">
      <c r="A4665" s="157">
        <v>29167</v>
      </c>
      <c r="B4665" s="158">
        <v>10.61</v>
      </c>
    </row>
    <row r="4666" spans="1:2" x14ac:dyDescent="0.25">
      <c r="A4666" s="157">
        <v>29168</v>
      </c>
      <c r="B4666" s="158">
        <v>10.43</v>
      </c>
    </row>
    <row r="4667" spans="1:2" x14ac:dyDescent="0.25">
      <c r="A4667" s="157">
        <v>29171</v>
      </c>
      <c r="B4667" s="158" t="e">
        <f>NA()</f>
        <v>#N/A</v>
      </c>
    </row>
    <row r="4668" spans="1:2" x14ac:dyDescent="0.25">
      <c r="A4668" s="157">
        <v>29172</v>
      </c>
      <c r="B4668" s="158">
        <v>10.39</v>
      </c>
    </row>
    <row r="4669" spans="1:2" x14ac:dyDescent="0.25">
      <c r="A4669" s="157">
        <v>29173</v>
      </c>
      <c r="B4669" s="158">
        <v>10.46</v>
      </c>
    </row>
    <row r="4670" spans="1:2" x14ac:dyDescent="0.25">
      <c r="A4670" s="157">
        <v>29174</v>
      </c>
      <c r="B4670" s="158">
        <v>10.36</v>
      </c>
    </row>
    <row r="4671" spans="1:2" x14ac:dyDescent="0.25">
      <c r="A4671" s="157">
        <v>29175</v>
      </c>
      <c r="B4671" s="158">
        <v>10.46</v>
      </c>
    </row>
    <row r="4672" spans="1:2" x14ac:dyDescent="0.25">
      <c r="A4672" s="157">
        <v>29178</v>
      </c>
      <c r="B4672" s="158">
        <v>10.49</v>
      </c>
    </row>
    <row r="4673" spans="1:2" x14ac:dyDescent="0.25">
      <c r="A4673" s="157">
        <v>29179</v>
      </c>
      <c r="B4673" s="158">
        <v>10.47</v>
      </c>
    </row>
    <row r="4674" spans="1:2" x14ac:dyDescent="0.25">
      <c r="A4674" s="157">
        <v>29180</v>
      </c>
      <c r="B4674" s="158">
        <v>10.45</v>
      </c>
    </row>
    <row r="4675" spans="1:2" x14ac:dyDescent="0.25">
      <c r="A4675" s="157">
        <v>29181</v>
      </c>
      <c r="B4675" s="158" t="e">
        <f>NA()</f>
        <v>#N/A</v>
      </c>
    </row>
    <row r="4676" spans="1:2" x14ac:dyDescent="0.25">
      <c r="A4676" s="157">
        <v>29182</v>
      </c>
      <c r="B4676" s="158">
        <v>10.27</v>
      </c>
    </row>
    <row r="4677" spans="1:2" x14ac:dyDescent="0.25">
      <c r="A4677" s="157">
        <v>29185</v>
      </c>
      <c r="B4677" s="158">
        <v>10.130000000000001</v>
      </c>
    </row>
    <row r="4678" spans="1:2" x14ac:dyDescent="0.25">
      <c r="A4678" s="157">
        <v>29186</v>
      </c>
      <c r="B4678" s="158">
        <v>10.02</v>
      </c>
    </row>
    <row r="4679" spans="1:2" x14ac:dyDescent="0.25">
      <c r="A4679" s="157">
        <v>29187</v>
      </c>
      <c r="B4679" s="158">
        <v>10.11</v>
      </c>
    </row>
    <row r="4680" spans="1:2" x14ac:dyDescent="0.25">
      <c r="A4680" s="157">
        <v>29188</v>
      </c>
      <c r="B4680" s="158">
        <v>10.09</v>
      </c>
    </row>
    <row r="4681" spans="1:2" x14ac:dyDescent="0.25">
      <c r="A4681" s="157">
        <v>29189</v>
      </c>
      <c r="B4681" s="158">
        <v>10.1</v>
      </c>
    </row>
    <row r="4682" spans="1:2" x14ac:dyDescent="0.25">
      <c r="A4682" s="157">
        <v>29192</v>
      </c>
      <c r="B4682" s="158">
        <v>10.17</v>
      </c>
    </row>
    <row r="4683" spans="1:2" x14ac:dyDescent="0.25">
      <c r="A4683" s="157">
        <v>29193</v>
      </c>
      <c r="B4683" s="158">
        <v>10.08</v>
      </c>
    </row>
    <row r="4684" spans="1:2" x14ac:dyDescent="0.25">
      <c r="A4684" s="157">
        <v>29194</v>
      </c>
      <c r="B4684" s="158">
        <v>10.050000000000001</v>
      </c>
    </row>
    <row r="4685" spans="1:2" x14ac:dyDescent="0.25">
      <c r="A4685" s="157">
        <v>29195</v>
      </c>
      <c r="B4685" s="158">
        <v>9.98</v>
      </c>
    </row>
    <row r="4686" spans="1:2" x14ac:dyDescent="0.25">
      <c r="A4686" s="157">
        <v>29196</v>
      </c>
      <c r="B4686" s="158">
        <v>10.08</v>
      </c>
    </row>
    <row r="4687" spans="1:2" x14ac:dyDescent="0.25">
      <c r="A4687" s="157">
        <v>29199</v>
      </c>
      <c r="B4687" s="158">
        <v>10.07</v>
      </c>
    </row>
    <row r="4688" spans="1:2" x14ac:dyDescent="0.25">
      <c r="A4688" s="157">
        <v>29200</v>
      </c>
      <c r="B4688" s="158">
        <v>10.25</v>
      </c>
    </row>
    <row r="4689" spans="1:2" x14ac:dyDescent="0.25">
      <c r="A4689" s="157">
        <v>29201</v>
      </c>
      <c r="B4689" s="158">
        <v>10.31</v>
      </c>
    </row>
    <row r="4690" spans="1:2" x14ac:dyDescent="0.25">
      <c r="A4690" s="157">
        <v>29202</v>
      </c>
      <c r="B4690" s="158">
        <v>10.31</v>
      </c>
    </row>
    <row r="4691" spans="1:2" x14ac:dyDescent="0.25">
      <c r="A4691" s="157">
        <v>29203</v>
      </c>
      <c r="B4691" s="158">
        <v>10.199999999999999</v>
      </c>
    </row>
    <row r="4692" spans="1:2" x14ac:dyDescent="0.25">
      <c r="A4692" s="157">
        <v>29206</v>
      </c>
      <c r="B4692" s="158">
        <v>10.25</v>
      </c>
    </row>
    <row r="4693" spans="1:2" x14ac:dyDescent="0.25">
      <c r="A4693" s="157">
        <v>29207</v>
      </c>
      <c r="B4693" s="158">
        <v>10.199999999999999</v>
      </c>
    </row>
    <row r="4694" spans="1:2" x14ac:dyDescent="0.25">
      <c r="A4694" s="157">
        <v>29208</v>
      </c>
      <c r="B4694" s="158">
        <v>10.17</v>
      </c>
    </row>
    <row r="4695" spans="1:2" x14ac:dyDescent="0.25">
      <c r="A4695" s="157">
        <v>29209</v>
      </c>
      <c r="B4695" s="158">
        <v>10.199999999999999</v>
      </c>
    </row>
    <row r="4696" spans="1:2" x14ac:dyDescent="0.25">
      <c r="A4696" s="157">
        <v>29210</v>
      </c>
      <c r="B4696" s="158">
        <v>10.23</v>
      </c>
    </row>
    <row r="4697" spans="1:2" x14ac:dyDescent="0.25">
      <c r="A4697" s="157">
        <v>29213</v>
      </c>
      <c r="B4697" s="158">
        <v>10.24</v>
      </c>
    </row>
    <row r="4698" spans="1:2" x14ac:dyDescent="0.25">
      <c r="A4698" s="157">
        <v>29214</v>
      </c>
      <c r="B4698" s="158" t="e">
        <f>NA()</f>
        <v>#N/A</v>
      </c>
    </row>
    <row r="4699" spans="1:2" x14ac:dyDescent="0.25">
      <c r="A4699" s="157">
        <v>29215</v>
      </c>
      <c r="B4699" s="158">
        <v>10.25</v>
      </c>
    </row>
    <row r="4700" spans="1:2" x14ac:dyDescent="0.25">
      <c r="A4700" s="157">
        <v>29216</v>
      </c>
      <c r="B4700" s="158">
        <v>10.24</v>
      </c>
    </row>
    <row r="4701" spans="1:2" x14ac:dyDescent="0.25">
      <c r="A4701" s="157">
        <v>29217</v>
      </c>
      <c r="B4701" s="158">
        <v>10.220000000000001</v>
      </c>
    </row>
    <row r="4702" spans="1:2" x14ac:dyDescent="0.25">
      <c r="A4702" s="157">
        <v>29220</v>
      </c>
      <c r="B4702" s="158">
        <v>10.16</v>
      </c>
    </row>
    <row r="4703" spans="1:2" x14ac:dyDescent="0.25">
      <c r="A4703" s="157">
        <v>29221</v>
      </c>
      <c r="B4703" s="158" t="e">
        <f>NA()</f>
        <v>#N/A</v>
      </c>
    </row>
    <row r="4704" spans="1:2" x14ac:dyDescent="0.25">
      <c r="A4704" s="157">
        <v>29222</v>
      </c>
      <c r="B4704" s="158">
        <v>10.23</v>
      </c>
    </row>
    <row r="4705" spans="1:2" x14ac:dyDescent="0.25">
      <c r="A4705" s="157">
        <v>29223</v>
      </c>
      <c r="B4705" s="158">
        <v>10.37</v>
      </c>
    </row>
    <row r="4706" spans="1:2" x14ac:dyDescent="0.25">
      <c r="A4706" s="157">
        <v>29224</v>
      </c>
      <c r="B4706" s="158">
        <v>10.42</v>
      </c>
    </row>
    <row r="4707" spans="1:2" x14ac:dyDescent="0.25">
      <c r="A4707" s="157">
        <v>29227</v>
      </c>
      <c r="B4707" s="158">
        <v>10.41</v>
      </c>
    </row>
    <row r="4708" spans="1:2" x14ac:dyDescent="0.25">
      <c r="A4708" s="157">
        <v>29228</v>
      </c>
      <c r="B4708" s="158">
        <v>10.33</v>
      </c>
    </row>
    <row r="4709" spans="1:2" x14ac:dyDescent="0.25">
      <c r="A4709" s="157">
        <v>29229</v>
      </c>
      <c r="B4709" s="158">
        <v>10.35</v>
      </c>
    </row>
    <row r="4710" spans="1:2" x14ac:dyDescent="0.25">
      <c r="A4710" s="157">
        <v>29230</v>
      </c>
      <c r="B4710" s="158">
        <v>10.29</v>
      </c>
    </row>
    <row r="4711" spans="1:2" x14ac:dyDescent="0.25">
      <c r="A4711" s="157">
        <v>29231</v>
      </c>
      <c r="B4711" s="158">
        <v>10.39</v>
      </c>
    </row>
    <row r="4712" spans="1:2" x14ac:dyDescent="0.25">
      <c r="A4712" s="157">
        <v>29234</v>
      </c>
      <c r="B4712" s="158">
        <v>10.44</v>
      </c>
    </row>
    <row r="4713" spans="1:2" x14ac:dyDescent="0.25">
      <c r="A4713" s="157">
        <v>29235</v>
      </c>
      <c r="B4713" s="158">
        <v>10.48</v>
      </c>
    </row>
    <row r="4714" spans="1:2" x14ac:dyDescent="0.25">
      <c r="A4714" s="157">
        <v>29236</v>
      </c>
      <c r="B4714" s="158">
        <v>10.47</v>
      </c>
    </row>
    <row r="4715" spans="1:2" x14ac:dyDescent="0.25">
      <c r="A4715" s="157">
        <v>29237</v>
      </c>
      <c r="B4715" s="158">
        <v>10.55</v>
      </c>
    </row>
    <row r="4716" spans="1:2" x14ac:dyDescent="0.25">
      <c r="A4716" s="157">
        <v>29238</v>
      </c>
      <c r="B4716" s="158">
        <v>10.66</v>
      </c>
    </row>
    <row r="4717" spans="1:2" x14ac:dyDescent="0.25">
      <c r="A4717" s="157">
        <v>29241</v>
      </c>
      <c r="B4717" s="158">
        <v>10.87</v>
      </c>
    </row>
    <row r="4718" spans="1:2" x14ac:dyDescent="0.25">
      <c r="A4718" s="157">
        <v>29242</v>
      </c>
      <c r="B4718" s="158">
        <v>10.77</v>
      </c>
    </row>
    <row r="4719" spans="1:2" x14ac:dyDescent="0.25">
      <c r="A4719" s="157">
        <v>29243</v>
      </c>
      <c r="B4719" s="158">
        <v>10.74</v>
      </c>
    </row>
    <row r="4720" spans="1:2" x14ac:dyDescent="0.25">
      <c r="A4720" s="157">
        <v>29244</v>
      </c>
      <c r="B4720" s="158">
        <v>10.93</v>
      </c>
    </row>
    <row r="4721" spans="1:2" x14ac:dyDescent="0.25">
      <c r="A4721" s="157">
        <v>29245</v>
      </c>
      <c r="B4721" s="158">
        <v>11.01</v>
      </c>
    </row>
    <row r="4722" spans="1:2" x14ac:dyDescent="0.25">
      <c r="A4722" s="157">
        <v>29248</v>
      </c>
      <c r="B4722" s="158">
        <v>11.08</v>
      </c>
    </row>
    <row r="4723" spans="1:2" x14ac:dyDescent="0.25">
      <c r="A4723" s="157">
        <v>29249</v>
      </c>
      <c r="B4723" s="158">
        <v>11.2</v>
      </c>
    </row>
    <row r="4724" spans="1:2" x14ac:dyDescent="0.25">
      <c r="A4724" s="157">
        <v>29250</v>
      </c>
      <c r="B4724" s="158">
        <v>11.22</v>
      </c>
    </row>
    <row r="4725" spans="1:2" x14ac:dyDescent="0.25">
      <c r="A4725" s="157">
        <v>29251</v>
      </c>
      <c r="B4725" s="158">
        <v>11.16</v>
      </c>
    </row>
    <row r="4726" spans="1:2" x14ac:dyDescent="0.25">
      <c r="A4726" s="157">
        <v>29252</v>
      </c>
      <c r="B4726" s="158">
        <v>11.3</v>
      </c>
    </row>
    <row r="4727" spans="1:2" x14ac:dyDescent="0.25">
      <c r="A4727" s="157">
        <v>29255</v>
      </c>
      <c r="B4727" s="158">
        <v>11.41</v>
      </c>
    </row>
    <row r="4728" spans="1:2" x14ac:dyDescent="0.25">
      <c r="A4728" s="157">
        <v>29256</v>
      </c>
      <c r="B4728" s="158">
        <v>11.75</v>
      </c>
    </row>
    <row r="4729" spans="1:2" x14ac:dyDescent="0.25">
      <c r="A4729" s="157">
        <v>29257</v>
      </c>
      <c r="B4729" s="158">
        <v>11.92</v>
      </c>
    </row>
    <row r="4730" spans="1:2" x14ac:dyDescent="0.25">
      <c r="A4730" s="157">
        <v>29258</v>
      </c>
      <c r="B4730" s="158">
        <v>11.76</v>
      </c>
    </row>
    <row r="4731" spans="1:2" x14ac:dyDescent="0.25">
      <c r="A4731" s="157">
        <v>29259</v>
      </c>
      <c r="B4731" s="158">
        <v>11.76</v>
      </c>
    </row>
    <row r="4732" spans="1:2" x14ac:dyDescent="0.25">
      <c r="A4732" s="157">
        <v>29262</v>
      </c>
      <c r="B4732" s="158">
        <v>12</v>
      </c>
    </row>
    <row r="4733" spans="1:2" x14ac:dyDescent="0.25">
      <c r="A4733" s="157">
        <v>29263</v>
      </c>
      <c r="B4733" s="158" t="e">
        <f>NA()</f>
        <v>#N/A</v>
      </c>
    </row>
    <row r="4734" spans="1:2" x14ac:dyDescent="0.25">
      <c r="A4734" s="157">
        <v>29264</v>
      </c>
      <c r="B4734" s="158">
        <v>11.9</v>
      </c>
    </row>
    <row r="4735" spans="1:2" x14ac:dyDescent="0.25">
      <c r="A4735" s="157">
        <v>29265</v>
      </c>
      <c r="B4735" s="158">
        <v>11.91</v>
      </c>
    </row>
    <row r="4736" spans="1:2" x14ac:dyDescent="0.25">
      <c r="A4736" s="157">
        <v>29266</v>
      </c>
      <c r="B4736" s="158">
        <v>12.18</v>
      </c>
    </row>
    <row r="4737" spans="1:2" x14ac:dyDescent="0.25">
      <c r="A4737" s="157">
        <v>29269</v>
      </c>
      <c r="B4737" s="158" t="e">
        <f>NA()</f>
        <v>#N/A</v>
      </c>
    </row>
    <row r="4738" spans="1:2" x14ac:dyDescent="0.25">
      <c r="A4738" s="157">
        <v>29270</v>
      </c>
      <c r="B4738" s="158">
        <v>12.74</v>
      </c>
    </row>
    <row r="4739" spans="1:2" x14ac:dyDescent="0.25">
      <c r="A4739" s="157">
        <v>29271</v>
      </c>
      <c r="B4739" s="158">
        <v>12.72</v>
      </c>
    </row>
    <row r="4740" spans="1:2" x14ac:dyDescent="0.25">
      <c r="A4740" s="157">
        <v>29272</v>
      </c>
      <c r="B4740" s="158">
        <v>12.99</v>
      </c>
    </row>
    <row r="4741" spans="1:2" x14ac:dyDescent="0.25">
      <c r="A4741" s="157">
        <v>29273</v>
      </c>
      <c r="B4741" s="158">
        <v>12.7</v>
      </c>
    </row>
    <row r="4742" spans="1:2" x14ac:dyDescent="0.25">
      <c r="A4742" s="157">
        <v>29276</v>
      </c>
      <c r="B4742" s="158">
        <v>12.85</v>
      </c>
    </row>
    <row r="4743" spans="1:2" x14ac:dyDescent="0.25">
      <c r="A4743" s="157">
        <v>29277</v>
      </c>
      <c r="B4743" s="158">
        <v>12.97</v>
      </c>
    </row>
    <row r="4744" spans="1:2" x14ac:dyDescent="0.25">
      <c r="A4744" s="157">
        <v>29278</v>
      </c>
      <c r="B4744" s="158">
        <v>12.82</v>
      </c>
    </row>
    <row r="4745" spans="1:2" x14ac:dyDescent="0.25">
      <c r="A4745" s="157">
        <v>29279</v>
      </c>
      <c r="B4745" s="158">
        <v>12.18</v>
      </c>
    </row>
    <row r="4746" spans="1:2" x14ac:dyDescent="0.25">
      <c r="A4746" s="157">
        <v>29280</v>
      </c>
      <c r="B4746" s="158">
        <v>12.12</v>
      </c>
    </row>
    <row r="4747" spans="1:2" x14ac:dyDescent="0.25">
      <c r="A4747" s="157">
        <v>29283</v>
      </c>
      <c r="B4747" s="158">
        <v>12.38</v>
      </c>
    </row>
    <row r="4748" spans="1:2" x14ac:dyDescent="0.25">
      <c r="A4748" s="157">
        <v>29284</v>
      </c>
      <c r="B4748" s="158">
        <v>12.42</v>
      </c>
    </row>
    <row r="4749" spans="1:2" x14ac:dyDescent="0.25">
      <c r="A4749" s="157">
        <v>29285</v>
      </c>
      <c r="B4749" s="158">
        <v>12.62</v>
      </c>
    </row>
    <row r="4750" spans="1:2" x14ac:dyDescent="0.25">
      <c r="A4750" s="157">
        <v>29286</v>
      </c>
      <c r="B4750" s="158">
        <v>12.9</v>
      </c>
    </row>
    <row r="4751" spans="1:2" x14ac:dyDescent="0.25">
      <c r="A4751" s="157">
        <v>29287</v>
      </c>
      <c r="B4751" s="158">
        <v>12.75</v>
      </c>
    </row>
    <row r="4752" spans="1:2" x14ac:dyDescent="0.25">
      <c r="A4752" s="157">
        <v>29290</v>
      </c>
      <c r="B4752" s="158">
        <v>12.38</v>
      </c>
    </row>
    <row r="4753" spans="1:2" x14ac:dyDescent="0.25">
      <c r="A4753" s="157">
        <v>29291</v>
      </c>
      <c r="B4753" s="158">
        <v>12.24</v>
      </c>
    </row>
    <row r="4754" spans="1:2" x14ac:dyDescent="0.25">
      <c r="A4754" s="157">
        <v>29292</v>
      </c>
      <c r="B4754" s="158">
        <v>12.46</v>
      </c>
    </row>
    <row r="4755" spans="1:2" x14ac:dyDescent="0.25">
      <c r="A4755" s="157">
        <v>29293</v>
      </c>
      <c r="B4755" s="158">
        <v>12.45</v>
      </c>
    </row>
    <row r="4756" spans="1:2" x14ac:dyDescent="0.25">
      <c r="A4756" s="157">
        <v>29294</v>
      </c>
      <c r="B4756" s="158">
        <v>12.29</v>
      </c>
    </row>
    <row r="4757" spans="1:2" x14ac:dyDescent="0.25">
      <c r="A4757" s="157">
        <v>29297</v>
      </c>
      <c r="B4757" s="158">
        <v>12.4</v>
      </c>
    </row>
    <row r="4758" spans="1:2" x14ac:dyDescent="0.25">
      <c r="A4758" s="157">
        <v>29298</v>
      </c>
      <c r="B4758" s="158">
        <v>12.24</v>
      </c>
    </row>
    <row r="4759" spans="1:2" x14ac:dyDescent="0.25">
      <c r="A4759" s="157">
        <v>29299</v>
      </c>
      <c r="B4759" s="158">
        <v>12.01</v>
      </c>
    </row>
    <row r="4760" spans="1:2" x14ac:dyDescent="0.25">
      <c r="A4760" s="157">
        <v>29300</v>
      </c>
      <c r="B4760" s="158">
        <v>12.37</v>
      </c>
    </row>
    <row r="4761" spans="1:2" x14ac:dyDescent="0.25">
      <c r="A4761" s="157">
        <v>29301</v>
      </c>
      <c r="B4761" s="158">
        <v>12.41</v>
      </c>
    </row>
    <row r="4762" spans="1:2" x14ac:dyDescent="0.25">
      <c r="A4762" s="157">
        <v>29304</v>
      </c>
      <c r="B4762" s="158">
        <v>12.86</v>
      </c>
    </row>
    <row r="4763" spans="1:2" x14ac:dyDescent="0.25">
      <c r="A4763" s="157">
        <v>29305</v>
      </c>
      <c r="B4763" s="158">
        <v>12.89</v>
      </c>
    </row>
    <row r="4764" spans="1:2" x14ac:dyDescent="0.25">
      <c r="A4764" s="157">
        <v>29306</v>
      </c>
      <c r="B4764" s="158">
        <v>12.72</v>
      </c>
    </row>
    <row r="4765" spans="1:2" x14ac:dyDescent="0.25">
      <c r="A4765" s="157">
        <v>29307</v>
      </c>
      <c r="B4765" s="158">
        <v>12.69</v>
      </c>
    </row>
    <row r="4766" spans="1:2" x14ac:dyDescent="0.25">
      <c r="A4766" s="157">
        <v>29308</v>
      </c>
      <c r="B4766" s="158">
        <v>12.4</v>
      </c>
    </row>
    <row r="4767" spans="1:2" x14ac:dyDescent="0.25">
      <c r="A4767" s="157">
        <v>29311</v>
      </c>
      <c r="B4767" s="158">
        <v>12.44</v>
      </c>
    </row>
    <row r="4768" spans="1:2" x14ac:dyDescent="0.25">
      <c r="A4768" s="157">
        <v>29312</v>
      </c>
      <c r="B4768" s="158">
        <v>12.47</v>
      </c>
    </row>
    <row r="4769" spans="1:2" x14ac:dyDescent="0.25">
      <c r="A4769" s="157">
        <v>29313</v>
      </c>
      <c r="B4769" s="158">
        <v>12.4</v>
      </c>
    </row>
    <row r="4770" spans="1:2" x14ac:dyDescent="0.25">
      <c r="A4770" s="157">
        <v>29314</v>
      </c>
      <c r="B4770" s="158">
        <v>12.39</v>
      </c>
    </row>
    <row r="4771" spans="1:2" x14ac:dyDescent="0.25">
      <c r="A4771" s="157">
        <v>29315</v>
      </c>
      <c r="B4771" s="158" t="e">
        <f>NA()</f>
        <v>#N/A</v>
      </c>
    </row>
    <row r="4772" spans="1:2" x14ac:dyDescent="0.25">
      <c r="A4772" s="157">
        <v>29318</v>
      </c>
      <c r="B4772" s="158">
        <v>11.91</v>
      </c>
    </row>
    <row r="4773" spans="1:2" x14ac:dyDescent="0.25">
      <c r="A4773" s="157">
        <v>29319</v>
      </c>
      <c r="B4773" s="158">
        <v>11.86</v>
      </c>
    </row>
    <row r="4774" spans="1:2" x14ac:dyDescent="0.25">
      <c r="A4774" s="157">
        <v>29320</v>
      </c>
      <c r="B4774" s="158">
        <v>11.8</v>
      </c>
    </row>
    <row r="4775" spans="1:2" x14ac:dyDescent="0.25">
      <c r="A4775" s="157">
        <v>29321</v>
      </c>
      <c r="B4775" s="158">
        <v>11.8</v>
      </c>
    </row>
    <row r="4776" spans="1:2" x14ac:dyDescent="0.25">
      <c r="A4776" s="157">
        <v>29322</v>
      </c>
      <c r="B4776" s="158">
        <v>11.47</v>
      </c>
    </row>
    <row r="4777" spans="1:2" x14ac:dyDescent="0.25">
      <c r="A4777" s="157">
        <v>29325</v>
      </c>
      <c r="B4777" s="158">
        <v>11.4</v>
      </c>
    </row>
    <row r="4778" spans="1:2" x14ac:dyDescent="0.25">
      <c r="A4778" s="157">
        <v>29326</v>
      </c>
      <c r="B4778" s="158">
        <v>11.41</v>
      </c>
    </row>
    <row r="4779" spans="1:2" x14ac:dyDescent="0.25">
      <c r="A4779" s="157">
        <v>29327</v>
      </c>
      <c r="B4779" s="158">
        <v>10.9</v>
      </c>
    </row>
    <row r="4780" spans="1:2" x14ac:dyDescent="0.25">
      <c r="A4780" s="157">
        <v>29328</v>
      </c>
      <c r="B4780" s="158">
        <v>10.98</v>
      </c>
    </row>
    <row r="4781" spans="1:2" x14ac:dyDescent="0.25">
      <c r="A4781" s="157">
        <v>29329</v>
      </c>
      <c r="B4781" s="158">
        <v>10.98</v>
      </c>
    </row>
    <row r="4782" spans="1:2" x14ac:dyDescent="0.25">
      <c r="A4782" s="157">
        <v>29332</v>
      </c>
      <c r="B4782" s="158">
        <v>10.95</v>
      </c>
    </row>
    <row r="4783" spans="1:2" x14ac:dyDescent="0.25">
      <c r="A4783" s="157">
        <v>29333</v>
      </c>
      <c r="B4783" s="158">
        <v>10.93</v>
      </c>
    </row>
    <row r="4784" spans="1:2" x14ac:dyDescent="0.25">
      <c r="A4784" s="157">
        <v>29334</v>
      </c>
      <c r="B4784" s="158">
        <v>11.01</v>
      </c>
    </row>
    <row r="4785" spans="1:2" x14ac:dyDescent="0.25">
      <c r="A4785" s="157">
        <v>29335</v>
      </c>
      <c r="B4785" s="158">
        <v>11.13</v>
      </c>
    </row>
    <row r="4786" spans="1:2" x14ac:dyDescent="0.25">
      <c r="A4786" s="157">
        <v>29336</v>
      </c>
      <c r="B4786" s="158">
        <v>11.18</v>
      </c>
    </row>
    <row r="4787" spans="1:2" x14ac:dyDescent="0.25">
      <c r="A4787" s="157">
        <v>29339</v>
      </c>
      <c r="B4787" s="158">
        <v>10.88</v>
      </c>
    </row>
    <row r="4788" spans="1:2" x14ac:dyDescent="0.25">
      <c r="A4788" s="157">
        <v>29340</v>
      </c>
      <c r="B4788" s="158">
        <v>10.92</v>
      </c>
    </row>
    <row r="4789" spans="1:2" x14ac:dyDescent="0.25">
      <c r="A4789" s="157">
        <v>29341</v>
      </c>
      <c r="B4789" s="158">
        <v>10.92</v>
      </c>
    </row>
    <row r="4790" spans="1:2" x14ac:dyDescent="0.25">
      <c r="A4790" s="157">
        <v>29342</v>
      </c>
      <c r="B4790" s="158">
        <v>10.73</v>
      </c>
    </row>
    <row r="4791" spans="1:2" x14ac:dyDescent="0.25">
      <c r="A4791" s="157">
        <v>29343</v>
      </c>
      <c r="B4791" s="158">
        <v>10.44</v>
      </c>
    </row>
    <row r="4792" spans="1:2" x14ac:dyDescent="0.25">
      <c r="A4792" s="157">
        <v>29346</v>
      </c>
      <c r="B4792" s="158">
        <v>10.44</v>
      </c>
    </row>
    <row r="4793" spans="1:2" x14ac:dyDescent="0.25">
      <c r="A4793" s="157">
        <v>29347</v>
      </c>
      <c r="B4793" s="158">
        <v>10.210000000000001</v>
      </c>
    </row>
    <row r="4794" spans="1:2" x14ac:dyDescent="0.25">
      <c r="A4794" s="157">
        <v>29348</v>
      </c>
      <c r="B4794" s="158">
        <v>10.16</v>
      </c>
    </row>
    <row r="4795" spans="1:2" x14ac:dyDescent="0.25">
      <c r="A4795" s="157">
        <v>29349</v>
      </c>
      <c r="B4795" s="158">
        <v>10.34</v>
      </c>
    </row>
    <row r="4796" spans="1:2" x14ac:dyDescent="0.25">
      <c r="A4796" s="157">
        <v>29350</v>
      </c>
      <c r="B4796" s="158">
        <v>10.45</v>
      </c>
    </row>
    <row r="4797" spans="1:2" x14ac:dyDescent="0.25">
      <c r="A4797" s="157">
        <v>29353</v>
      </c>
      <c r="B4797" s="158">
        <v>10.5</v>
      </c>
    </row>
    <row r="4798" spans="1:2" x14ac:dyDescent="0.25">
      <c r="A4798" s="157">
        <v>29354</v>
      </c>
      <c r="B4798" s="158">
        <v>10.43</v>
      </c>
    </row>
    <row r="4799" spans="1:2" x14ac:dyDescent="0.25">
      <c r="A4799" s="157">
        <v>29355</v>
      </c>
      <c r="B4799" s="158">
        <v>10.37</v>
      </c>
    </row>
    <row r="4800" spans="1:2" x14ac:dyDescent="0.25">
      <c r="A4800" s="157">
        <v>29356</v>
      </c>
      <c r="B4800" s="158">
        <v>10.55</v>
      </c>
    </row>
    <row r="4801" spans="1:2" x14ac:dyDescent="0.25">
      <c r="A4801" s="157">
        <v>29357</v>
      </c>
      <c r="B4801" s="158">
        <v>10.62</v>
      </c>
    </row>
    <row r="4802" spans="1:2" x14ac:dyDescent="0.25">
      <c r="A4802" s="157">
        <v>29360</v>
      </c>
      <c r="B4802" s="158">
        <v>10.78</v>
      </c>
    </row>
    <row r="4803" spans="1:2" x14ac:dyDescent="0.25">
      <c r="A4803" s="157">
        <v>29361</v>
      </c>
      <c r="B4803" s="158">
        <v>10.57</v>
      </c>
    </row>
    <row r="4804" spans="1:2" x14ac:dyDescent="0.25">
      <c r="A4804" s="157">
        <v>29362</v>
      </c>
      <c r="B4804" s="158">
        <v>10.44</v>
      </c>
    </row>
    <row r="4805" spans="1:2" x14ac:dyDescent="0.25">
      <c r="A4805" s="157">
        <v>29363</v>
      </c>
      <c r="B4805" s="158">
        <v>10.46</v>
      </c>
    </row>
    <row r="4806" spans="1:2" x14ac:dyDescent="0.25">
      <c r="A4806" s="157">
        <v>29364</v>
      </c>
      <c r="B4806" s="158">
        <v>10.24</v>
      </c>
    </row>
    <row r="4807" spans="1:2" x14ac:dyDescent="0.25">
      <c r="A4807" s="157">
        <v>29367</v>
      </c>
      <c r="B4807" s="158" t="e">
        <f>NA()</f>
        <v>#N/A</v>
      </c>
    </row>
    <row r="4808" spans="1:2" x14ac:dyDescent="0.25">
      <c r="A4808" s="157">
        <v>29368</v>
      </c>
      <c r="B4808" s="158">
        <v>10.24</v>
      </c>
    </row>
    <row r="4809" spans="1:2" x14ac:dyDescent="0.25">
      <c r="A4809" s="157">
        <v>29369</v>
      </c>
      <c r="B4809" s="158">
        <v>10.33</v>
      </c>
    </row>
    <row r="4810" spans="1:2" x14ac:dyDescent="0.25">
      <c r="A4810" s="157">
        <v>29370</v>
      </c>
      <c r="B4810" s="158">
        <v>10.46</v>
      </c>
    </row>
    <row r="4811" spans="1:2" x14ac:dyDescent="0.25">
      <c r="A4811" s="157">
        <v>29371</v>
      </c>
      <c r="B4811" s="158">
        <v>10.46</v>
      </c>
    </row>
    <row r="4812" spans="1:2" x14ac:dyDescent="0.25">
      <c r="A4812" s="157">
        <v>29374</v>
      </c>
      <c r="B4812" s="158">
        <v>10.55</v>
      </c>
    </row>
    <row r="4813" spans="1:2" x14ac:dyDescent="0.25">
      <c r="A4813" s="157">
        <v>29375</v>
      </c>
      <c r="B4813" s="158">
        <v>10.43</v>
      </c>
    </row>
    <row r="4814" spans="1:2" x14ac:dyDescent="0.25">
      <c r="A4814" s="157">
        <v>29376</v>
      </c>
      <c r="B4814" s="158">
        <v>10.31</v>
      </c>
    </row>
    <row r="4815" spans="1:2" x14ac:dyDescent="0.25">
      <c r="A4815" s="157">
        <v>29377</v>
      </c>
      <c r="B4815" s="158">
        <v>10.19</v>
      </c>
    </row>
    <row r="4816" spans="1:2" x14ac:dyDescent="0.25">
      <c r="A4816" s="157">
        <v>29378</v>
      </c>
      <c r="B4816" s="158">
        <v>9.98</v>
      </c>
    </row>
    <row r="4817" spans="1:2" x14ac:dyDescent="0.25">
      <c r="A4817" s="157">
        <v>29381</v>
      </c>
      <c r="B4817" s="158">
        <v>9.81</v>
      </c>
    </row>
    <row r="4818" spans="1:2" x14ac:dyDescent="0.25">
      <c r="A4818" s="157">
        <v>29382</v>
      </c>
      <c r="B4818" s="158">
        <v>9.9499999999999993</v>
      </c>
    </row>
    <row r="4819" spans="1:2" x14ac:dyDescent="0.25">
      <c r="A4819" s="157">
        <v>29383</v>
      </c>
      <c r="B4819" s="158">
        <v>9.86</v>
      </c>
    </row>
    <row r="4820" spans="1:2" x14ac:dyDescent="0.25">
      <c r="A4820" s="157">
        <v>29384</v>
      </c>
      <c r="B4820" s="158">
        <v>9.6999999999999993</v>
      </c>
    </row>
    <row r="4821" spans="1:2" x14ac:dyDescent="0.25">
      <c r="A4821" s="157">
        <v>29385</v>
      </c>
      <c r="B4821" s="158">
        <v>9.56</v>
      </c>
    </row>
    <row r="4822" spans="1:2" x14ac:dyDescent="0.25">
      <c r="A4822" s="157">
        <v>29388</v>
      </c>
      <c r="B4822" s="158">
        <v>9.56</v>
      </c>
    </row>
    <row r="4823" spans="1:2" x14ac:dyDescent="0.25">
      <c r="A4823" s="157">
        <v>29389</v>
      </c>
      <c r="B4823" s="158">
        <v>9.57</v>
      </c>
    </row>
    <row r="4824" spans="1:2" x14ac:dyDescent="0.25">
      <c r="A4824" s="157">
        <v>29390</v>
      </c>
      <c r="B4824" s="158">
        <v>9.65</v>
      </c>
    </row>
    <row r="4825" spans="1:2" x14ac:dyDescent="0.25">
      <c r="A4825" s="157">
        <v>29391</v>
      </c>
      <c r="B4825" s="158">
        <v>9.6199999999999992</v>
      </c>
    </row>
    <row r="4826" spans="1:2" x14ac:dyDescent="0.25">
      <c r="A4826" s="157">
        <v>29392</v>
      </c>
      <c r="B4826" s="158">
        <v>9.56</v>
      </c>
    </row>
    <row r="4827" spans="1:2" x14ac:dyDescent="0.25">
      <c r="A4827" s="157">
        <v>29395</v>
      </c>
      <c r="B4827" s="158">
        <v>9.7100000000000009</v>
      </c>
    </row>
    <row r="4828" spans="1:2" x14ac:dyDescent="0.25">
      <c r="A4828" s="157">
        <v>29396</v>
      </c>
      <c r="B4828" s="158">
        <v>9.75</v>
      </c>
    </row>
    <row r="4829" spans="1:2" x14ac:dyDescent="0.25">
      <c r="A4829" s="157">
        <v>29397</v>
      </c>
      <c r="B4829" s="158">
        <v>9.84</v>
      </c>
    </row>
    <row r="4830" spans="1:2" x14ac:dyDescent="0.25">
      <c r="A4830" s="157">
        <v>29398</v>
      </c>
      <c r="B4830" s="158">
        <v>9.9499999999999993</v>
      </c>
    </row>
    <row r="4831" spans="1:2" x14ac:dyDescent="0.25">
      <c r="A4831" s="157">
        <v>29399</v>
      </c>
      <c r="B4831" s="158">
        <v>10.039999999999999</v>
      </c>
    </row>
    <row r="4832" spans="1:2" x14ac:dyDescent="0.25">
      <c r="A4832" s="157">
        <v>29402</v>
      </c>
      <c r="B4832" s="158">
        <v>10.08</v>
      </c>
    </row>
    <row r="4833" spans="1:2" x14ac:dyDescent="0.25">
      <c r="A4833" s="157">
        <v>29403</v>
      </c>
      <c r="B4833" s="158">
        <v>10.210000000000001</v>
      </c>
    </row>
    <row r="4834" spans="1:2" x14ac:dyDescent="0.25">
      <c r="A4834" s="157">
        <v>29404</v>
      </c>
      <c r="B4834" s="158">
        <v>10.220000000000001</v>
      </c>
    </row>
    <row r="4835" spans="1:2" x14ac:dyDescent="0.25">
      <c r="A4835" s="157">
        <v>29405</v>
      </c>
      <c r="B4835" s="158">
        <v>10.09</v>
      </c>
    </row>
    <row r="4836" spans="1:2" x14ac:dyDescent="0.25">
      <c r="A4836" s="157">
        <v>29406</v>
      </c>
      <c r="B4836" s="158" t="e">
        <f>NA()</f>
        <v>#N/A</v>
      </c>
    </row>
    <row r="4837" spans="1:2" x14ac:dyDescent="0.25">
      <c r="A4837" s="157">
        <v>29409</v>
      </c>
      <c r="B4837" s="158">
        <v>10.28</v>
      </c>
    </row>
    <row r="4838" spans="1:2" x14ac:dyDescent="0.25">
      <c r="A4838" s="157">
        <v>29410</v>
      </c>
      <c r="B4838" s="158">
        <v>10.130000000000001</v>
      </c>
    </row>
    <row r="4839" spans="1:2" x14ac:dyDescent="0.25">
      <c r="A4839" s="157">
        <v>29411</v>
      </c>
      <c r="B4839" s="158">
        <v>10.210000000000001</v>
      </c>
    </row>
    <row r="4840" spans="1:2" x14ac:dyDescent="0.25">
      <c r="A4840" s="157">
        <v>29412</v>
      </c>
      <c r="B4840" s="158">
        <v>10.29</v>
      </c>
    </row>
    <row r="4841" spans="1:2" x14ac:dyDescent="0.25">
      <c r="A4841" s="157">
        <v>29413</v>
      </c>
      <c r="B4841" s="158">
        <v>10.38</v>
      </c>
    </row>
    <row r="4842" spans="1:2" x14ac:dyDescent="0.25">
      <c r="A4842" s="157">
        <v>29416</v>
      </c>
      <c r="B4842" s="158">
        <v>10.44</v>
      </c>
    </row>
    <row r="4843" spans="1:2" x14ac:dyDescent="0.25">
      <c r="A4843" s="157">
        <v>29417</v>
      </c>
      <c r="B4843" s="158">
        <v>10.29</v>
      </c>
    </row>
    <row r="4844" spans="1:2" x14ac:dyDescent="0.25">
      <c r="A4844" s="157">
        <v>29418</v>
      </c>
      <c r="B4844" s="158">
        <v>10.16</v>
      </c>
    </row>
    <row r="4845" spans="1:2" x14ac:dyDescent="0.25">
      <c r="A4845" s="157">
        <v>29419</v>
      </c>
      <c r="B4845" s="158">
        <v>10.28</v>
      </c>
    </row>
    <row r="4846" spans="1:2" x14ac:dyDescent="0.25">
      <c r="A4846" s="157">
        <v>29420</v>
      </c>
      <c r="B4846" s="158">
        <v>10.29</v>
      </c>
    </row>
    <row r="4847" spans="1:2" x14ac:dyDescent="0.25">
      <c r="A4847" s="157">
        <v>29423</v>
      </c>
      <c r="B4847" s="158">
        <v>10.210000000000001</v>
      </c>
    </row>
    <row r="4848" spans="1:2" x14ac:dyDescent="0.25">
      <c r="A4848" s="157">
        <v>29424</v>
      </c>
      <c r="B4848" s="158">
        <v>10.27</v>
      </c>
    </row>
    <row r="4849" spans="1:2" x14ac:dyDescent="0.25">
      <c r="A4849" s="157">
        <v>29425</v>
      </c>
      <c r="B4849" s="158">
        <v>10.25</v>
      </c>
    </row>
    <row r="4850" spans="1:2" x14ac:dyDescent="0.25">
      <c r="A4850" s="157">
        <v>29426</v>
      </c>
      <c r="B4850" s="158">
        <v>10.34</v>
      </c>
    </row>
    <row r="4851" spans="1:2" x14ac:dyDescent="0.25">
      <c r="A4851" s="157">
        <v>29427</v>
      </c>
      <c r="B4851" s="158">
        <v>10.39</v>
      </c>
    </row>
    <row r="4852" spans="1:2" x14ac:dyDescent="0.25">
      <c r="A4852" s="157">
        <v>29430</v>
      </c>
      <c r="B4852" s="158">
        <v>10.5</v>
      </c>
    </row>
    <row r="4853" spans="1:2" x14ac:dyDescent="0.25">
      <c r="A4853" s="157">
        <v>29431</v>
      </c>
      <c r="B4853" s="158">
        <v>10.49</v>
      </c>
    </row>
    <row r="4854" spans="1:2" x14ac:dyDescent="0.25">
      <c r="A4854" s="157">
        <v>29432</v>
      </c>
      <c r="B4854" s="158">
        <v>10.59</v>
      </c>
    </row>
    <row r="4855" spans="1:2" x14ac:dyDescent="0.25">
      <c r="A4855" s="157">
        <v>29433</v>
      </c>
      <c r="B4855" s="158">
        <v>10.8</v>
      </c>
    </row>
    <row r="4856" spans="1:2" x14ac:dyDescent="0.25">
      <c r="A4856" s="157">
        <v>29434</v>
      </c>
      <c r="B4856" s="158">
        <v>10.8</v>
      </c>
    </row>
    <row r="4857" spans="1:2" x14ac:dyDescent="0.25">
      <c r="A4857" s="157">
        <v>29437</v>
      </c>
      <c r="B4857" s="158">
        <v>10.71</v>
      </c>
    </row>
    <row r="4858" spans="1:2" x14ac:dyDescent="0.25">
      <c r="A4858" s="157">
        <v>29438</v>
      </c>
      <c r="B4858" s="158">
        <v>10.71</v>
      </c>
    </row>
    <row r="4859" spans="1:2" x14ac:dyDescent="0.25">
      <c r="A4859" s="157">
        <v>29439</v>
      </c>
      <c r="B4859" s="158">
        <v>10.8</v>
      </c>
    </row>
    <row r="4860" spans="1:2" x14ac:dyDescent="0.25">
      <c r="A4860" s="157">
        <v>29440</v>
      </c>
      <c r="B4860" s="158">
        <v>10.75</v>
      </c>
    </row>
    <row r="4861" spans="1:2" x14ac:dyDescent="0.25">
      <c r="A4861" s="157">
        <v>29441</v>
      </c>
      <c r="B4861" s="158">
        <v>10.92</v>
      </c>
    </row>
    <row r="4862" spans="1:2" x14ac:dyDescent="0.25">
      <c r="A4862" s="157">
        <v>29444</v>
      </c>
      <c r="B4862" s="158">
        <v>11.1</v>
      </c>
    </row>
    <row r="4863" spans="1:2" x14ac:dyDescent="0.25">
      <c r="A4863" s="157">
        <v>29445</v>
      </c>
      <c r="B4863" s="158">
        <v>11.04</v>
      </c>
    </row>
    <row r="4864" spans="1:2" x14ac:dyDescent="0.25">
      <c r="A4864" s="157">
        <v>29446</v>
      </c>
      <c r="B4864" s="158">
        <v>10.95</v>
      </c>
    </row>
    <row r="4865" spans="1:2" x14ac:dyDescent="0.25">
      <c r="A4865" s="157">
        <v>29447</v>
      </c>
      <c r="B4865" s="158">
        <v>10.91</v>
      </c>
    </row>
    <row r="4866" spans="1:2" x14ac:dyDescent="0.25">
      <c r="A4866" s="157">
        <v>29448</v>
      </c>
      <c r="B4866" s="158">
        <v>10.87</v>
      </c>
    </row>
    <row r="4867" spans="1:2" x14ac:dyDescent="0.25">
      <c r="A4867" s="157">
        <v>29451</v>
      </c>
      <c r="B4867" s="158">
        <v>11.06</v>
      </c>
    </row>
    <row r="4868" spans="1:2" x14ac:dyDescent="0.25">
      <c r="A4868" s="157">
        <v>29452</v>
      </c>
      <c r="B4868" s="158">
        <v>11.2</v>
      </c>
    </row>
    <row r="4869" spans="1:2" x14ac:dyDescent="0.25">
      <c r="A4869" s="157">
        <v>29453</v>
      </c>
      <c r="B4869" s="158">
        <v>11.21</v>
      </c>
    </row>
    <row r="4870" spans="1:2" x14ac:dyDescent="0.25">
      <c r="A4870" s="157">
        <v>29454</v>
      </c>
      <c r="B4870" s="158">
        <v>11.22</v>
      </c>
    </row>
    <row r="4871" spans="1:2" x14ac:dyDescent="0.25">
      <c r="A4871" s="157">
        <v>29455</v>
      </c>
      <c r="B4871" s="158">
        <v>11.08</v>
      </c>
    </row>
    <row r="4872" spans="1:2" x14ac:dyDescent="0.25">
      <c r="A4872" s="157">
        <v>29458</v>
      </c>
      <c r="B4872" s="158">
        <v>11.28</v>
      </c>
    </row>
    <row r="4873" spans="1:2" x14ac:dyDescent="0.25">
      <c r="A4873" s="157">
        <v>29459</v>
      </c>
      <c r="B4873" s="158">
        <v>11.3</v>
      </c>
    </row>
    <row r="4874" spans="1:2" x14ac:dyDescent="0.25">
      <c r="A4874" s="157">
        <v>29460</v>
      </c>
      <c r="B4874" s="158">
        <v>11.46</v>
      </c>
    </row>
    <row r="4875" spans="1:2" x14ac:dyDescent="0.25">
      <c r="A4875" s="157">
        <v>29461</v>
      </c>
      <c r="B4875" s="158">
        <v>11.61</v>
      </c>
    </row>
    <row r="4876" spans="1:2" x14ac:dyDescent="0.25">
      <c r="A4876" s="157">
        <v>29462</v>
      </c>
      <c r="B4876" s="158">
        <v>11.42</v>
      </c>
    </row>
    <row r="4877" spans="1:2" x14ac:dyDescent="0.25">
      <c r="A4877" s="157">
        <v>29465</v>
      </c>
      <c r="B4877" s="158" t="e">
        <f>NA()</f>
        <v>#N/A</v>
      </c>
    </row>
    <row r="4878" spans="1:2" x14ac:dyDescent="0.25">
      <c r="A4878" s="157">
        <v>29466</v>
      </c>
      <c r="B4878" s="158">
        <v>11.23</v>
      </c>
    </row>
    <row r="4879" spans="1:2" x14ac:dyDescent="0.25">
      <c r="A4879" s="157">
        <v>29467</v>
      </c>
      <c r="B4879" s="158">
        <v>11.05</v>
      </c>
    </row>
    <row r="4880" spans="1:2" x14ac:dyDescent="0.25">
      <c r="A4880" s="157">
        <v>29468</v>
      </c>
      <c r="B4880" s="158">
        <v>11.11</v>
      </c>
    </row>
    <row r="4881" spans="1:2" x14ac:dyDescent="0.25">
      <c r="A4881" s="157">
        <v>29469</v>
      </c>
      <c r="B4881" s="158">
        <v>11.16</v>
      </c>
    </row>
    <row r="4882" spans="1:2" x14ac:dyDescent="0.25">
      <c r="A4882" s="157">
        <v>29472</v>
      </c>
      <c r="B4882" s="158">
        <v>11.27</v>
      </c>
    </row>
    <row r="4883" spans="1:2" x14ac:dyDescent="0.25">
      <c r="A4883" s="157">
        <v>29473</v>
      </c>
      <c r="B4883" s="158">
        <v>11.2</v>
      </c>
    </row>
    <row r="4884" spans="1:2" x14ac:dyDescent="0.25">
      <c r="A4884" s="157">
        <v>29474</v>
      </c>
      <c r="B4884" s="158">
        <v>11.16</v>
      </c>
    </row>
    <row r="4885" spans="1:2" x14ac:dyDescent="0.25">
      <c r="A4885" s="157">
        <v>29475</v>
      </c>
      <c r="B4885" s="158">
        <v>11.27</v>
      </c>
    </row>
    <row r="4886" spans="1:2" x14ac:dyDescent="0.25">
      <c r="A4886" s="157">
        <v>29476</v>
      </c>
      <c r="B4886" s="158">
        <v>11.3</v>
      </c>
    </row>
    <row r="4887" spans="1:2" x14ac:dyDescent="0.25">
      <c r="A4887" s="157">
        <v>29479</v>
      </c>
      <c r="B4887" s="158">
        <v>11.54</v>
      </c>
    </row>
    <row r="4888" spans="1:2" x14ac:dyDescent="0.25">
      <c r="A4888" s="157">
        <v>29480</v>
      </c>
      <c r="B4888" s="158">
        <v>11.48</v>
      </c>
    </row>
    <row r="4889" spans="1:2" x14ac:dyDescent="0.25">
      <c r="A4889" s="157">
        <v>29481</v>
      </c>
      <c r="B4889" s="158">
        <v>11.54</v>
      </c>
    </row>
    <row r="4890" spans="1:2" x14ac:dyDescent="0.25">
      <c r="A4890" s="157">
        <v>29482</v>
      </c>
      <c r="B4890" s="158">
        <v>11.49</v>
      </c>
    </row>
    <row r="4891" spans="1:2" x14ac:dyDescent="0.25">
      <c r="A4891" s="157">
        <v>29483</v>
      </c>
      <c r="B4891" s="158">
        <v>11.35</v>
      </c>
    </row>
    <row r="4892" spans="1:2" x14ac:dyDescent="0.25">
      <c r="A4892" s="157">
        <v>29486</v>
      </c>
      <c r="B4892" s="158">
        <v>11.72</v>
      </c>
    </row>
    <row r="4893" spans="1:2" x14ac:dyDescent="0.25">
      <c r="A4893" s="157">
        <v>29487</v>
      </c>
      <c r="B4893" s="158">
        <v>11.66</v>
      </c>
    </row>
    <row r="4894" spans="1:2" x14ac:dyDescent="0.25">
      <c r="A4894" s="157">
        <v>29488</v>
      </c>
      <c r="B4894" s="158">
        <v>11.65</v>
      </c>
    </row>
    <row r="4895" spans="1:2" x14ac:dyDescent="0.25">
      <c r="A4895" s="157">
        <v>29489</v>
      </c>
      <c r="B4895" s="158">
        <v>11.79</v>
      </c>
    </row>
    <row r="4896" spans="1:2" x14ac:dyDescent="0.25">
      <c r="A4896" s="157">
        <v>29490</v>
      </c>
      <c r="B4896" s="158">
        <v>11.94</v>
      </c>
    </row>
    <row r="4897" spans="1:2" x14ac:dyDescent="0.25">
      <c r="A4897" s="157">
        <v>29493</v>
      </c>
      <c r="B4897" s="158">
        <v>12.08</v>
      </c>
    </row>
    <row r="4898" spans="1:2" x14ac:dyDescent="0.25">
      <c r="A4898" s="157">
        <v>29494</v>
      </c>
      <c r="B4898" s="158">
        <v>11.84</v>
      </c>
    </row>
    <row r="4899" spans="1:2" x14ac:dyDescent="0.25">
      <c r="A4899" s="157">
        <v>29495</v>
      </c>
      <c r="B4899" s="158">
        <v>11.83</v>
      </c>
    </row>
    <row r="4900" spans="1:2" x14ac:dyDescent="0.25">
      <c r="A4900" s="157">
        <v>29496</v>
      </c>
      <c r="B4900" s="158">
        <v>11.83</v>
      </c>
    </row>
    <row r="4901" spans="1:2" x14ac:dyDescent="0.25">
      <c r="A4901" s="157">
        <v>29497</v>
      </c>
      <c r="B4901" s="158">
        <v>11.47</v>
      </c>
    </row>
    <row r="4902" spans="1:2" x14ac:dyDescent="0.25">
      <c r="A4902" s="157">
        <v>29500</v>
      </c>
      <c r="B4902" s="158">
        <v>11.42</v>
      </c>
    </row>
    <row r="4903" spans="1:2" x14ac:dyDescent="0.25">
      <c r="A4903" s="157">
        <v>29501</v>
      </c>
      <c r="B4903" s="158">
        <v>11.47</v>
      </c>
    </row>
    <row r="4904" spans="1:2" x14ac:dyDescent="0.25">
      <c r="A4904" s="157">
        <v>29502</v>
      </c>
      <c r="B4904" s="158">
        <v>11.58</v>
      </c>
    </row>
    <row r="4905" spans="1:2" x14ac:dyDescent="0.25">
      <c r="A4905" s="157">
        <v>29503</v>
      </c>
      <c r="B4905" s="158">
        <v>11.41</v>
      </c>
    </row>
    <row r="4906" spans="1:2" x14ac:dyDescent="0.25">
      <c r="A4906" s="157">
        <v>29504</v>
      </c>
      <c r="B4906" s="158">
        <v>11.41</v>
      </c>
    </row>
    <row r="4907" spans="1:2" x14ac:dyDescent="0.25">
      <c r="A4907" s="157">
        <v>29507</v>
      </c>
      <c r="B4907" s="158" t="e">
        <f>NA()</f>
        <v>#N/A</v>
      </c>
    </row>
    <row r="4908" spans="1:2" x14ac:dyDescent="0.25">
      <c r="A4908" s="157">
        <v>29508</v>
      </c>
      <c r="B4908" s="158">
        <v>11.31</v>
      </c>
    </row>
    <row r="4909" spans="1:2" x14ac:dyDescent="0.25">
      <c r="A4909" s="157">
        <v>29509</v>
      </c>
      <c r="B4909" s="158">
        <v>11.26</v>
      </c>
    </row>
    <row r="4910" spans="1:2" x14ac:dyDescent="0.25">
      <c r="A4910" s="157">
        <v>29510</v>
      </c>
      <c r="B4910" s="158">
        <v>11.42</v>
      </c>
    </row>
    <row r="4911" spans="1:2" x14ac:dyDescent="0.25">
      <c r="A4911" s="157">
        <v>29511</v>
      </c>
      <c r="B4911" s="158">
        <v>11.59</v>
      </c>
    </row>
    <row r="4912" spans="1:2" x14ac:dyDescent="0.25">
      <c r="A4912" s="157">
        <v>29514</v>
      </c>
      <c r="B4912" s="158">
        <v>11.61</v>
      </c>
    </row>
    <row r="4913" spans="1:2" x14ac:dyDescent="0.25">
      <c r="A4913" s="157">
        <v>29515</v>
      </c>
      <c r="B4913" s="158">
        <v>11.7</v>
      </c>
    </row>
    <row r="4914" spans="1:2" x14ac:dyDescent="0.25">
      <c r="A4914" s="157">
        <v>29516</v>
      </c>
      <c r="B4914" s="158">
        <v>11.91</v>
      </c>
    </row>
    <row r="4915" spans="1:2" x14ac:dyDescent="0.25">
      <c r="A4915" s="157">
        <v>29517</v>
      </c>
      <c r="B4915" s="158">
        <v>11.87</v>
      </c>
    </row>
    <row r="4916" spans="1:2" x14ac:dyDescent="0.25">
      <c r="A4916" s="157">
        <v>29518</v>
      </c>
      <c r="B4916" s="158">
        <v>11.8</v>
      </c>
    </row>
    <row r="4917" spans="1:2" x14ac:dyDescent="0.25">
      <c r="A4917" s="157">
        <v>29521</v>
      </c>
      <c r="B4917" s="158">
        <v>12.15</v>
      </c>
    </row>
    <row r="4918" spans="1:2" x14ac:dyDescent="0.25">
      <c r="A4918" s="157">
        <v>29522</v>
      </c>
      <c r="B4918" s="158">
        <v>12.3</v>
      </c>
    </row>
    <row r="4919" spans="1:2" x14ac:dyDescent="0.25">
      <c r="A4919" s="157">
        <v>29523</v>
      </c>
      <c r="B4919" s="158">
        <v>12.38</v>
      </c>
    </row>
    <row r="4920" spans="1:2" x14ac:dyDescent="0.25">
      <c r="A4920" s="157">
        <v>29524</v>
      </c>
      <c r="B4920" s="158">
        <v>12.43</v>
      </c>
    </row>
    <row r="4921" spans="1:2" x14ac:dyDescent="0.25">
      <c r="A4921" s="157">
        <v>29525</v>
      </c>
      <c r="B4921" s="158">
        <v>12.38</v>
      </c>
    </row>
    <row r="4922" spans="1:2" x14ac:dyDescent="0.25">
      <c r="A4922" s="157">
        <v>29528</v>
      </c>
      <c r="B4922" s="158">
        <v>12.37</v>
      </c>
    </row>
    <row r="4923" spans="1:2" x14ac:dyDescent="0.25">
      <c r="A4923" s="157">
        <v>29529</v>
      </c>
      <c r="B4923" s="158" t="e">
        <f>NA()</f>
        <v>#N/A</v>
      </c>
    </row>
    <row r="4924" spans="1:2" x14ac:dyDescent="0.25">
      <c r="A4924" s="157">
        <v>29530</v>
      </c>
      <c r="B4924" s="158">
        <v>12.51</v>
      </c>
    </row>
    <row r="4925" spans="1:2" x14ac:dyDescent="0.25">
      <c r="A4925" s="157">
        <v>29531</v>
      </c>
      <c r="B4925" s="158">
        <v>12.74</v>
      </c>
    </row>
    <row r="4926" spans="1:2" x14ac:dyDescent="0.25">
      <c r="A4926" s="157">
        <v>29532</v>
      </c>
      <c r="B4926" s="158">
        <v>12.63</v>
      </c>
    </row>
    <row r="4927" spans="1:2" x14ac:dyDescent="0.25">
      <c r="A4927" s="157">
        <v>29535</v>
      </c>
      <c r="B4927" s="158">
        <v>12.75</v>
      </c>
    </row>
    <row r="4928" spans="1:2" x14ac:dyDescent="0.25">
      <c r="A4928" s="157">
        <v>29536</v>
      </c>
      <c r="B4928" s="158" t="e">
        <f>NA()</f>
        <v>#N/A</v>
      </c>
    </row>
    <row r="4929" spans="1:2" x14ac:dyDescent="0.25">
      <c r="A4929" s="157">
        <v>29537</v>
      </c>
      <c r="B4929" s="158">
        <v>12.3</v>
      </c>
    </row>
    <row r="4930" spans="1:2" x14ac:dyDescent="0.25">
      <c r="A4930" s="157">
        <v>29538</v>
      </c>
      <c r="B4930" s="158">
        <v>12.27</v>
      </c>
    </row>
    <row r="4931" spans="1:2" x14ac:dyDescent="0.25">
      <c r="A4931" s="157">
        <v>29539</v>
      </c>
      <c r="B4931" s="158">
        <v>12.49</v>
      </c>
    </row>
    <row r="4932" spans="1:2" x14ac:dyDescent="0.25">
      <c r="A4932" s="157">
        <v>29542</v>
      </c>
      <c r="B4932" s="158">
        <v>12.65</v>
      </c>
    </row>
    <row r="4933" spans="1:2" x14ac:dyDescent="0.25">
      <c r="A4933" s="157">
        <v>29543</v>
      </c>
      <c r="B4933" s="158">
        <v>12.32</v>
      </c>
    </row>
    <row r="4934" spans="1:2" x14ac:dyDescent="0.25">
      <c r="A4934" s="157">
        <v>29544</v>
      </c>
      <c r="B4934" s="158">
        <v>12.22</v>
      </c>
    </row>
    <row r="4935" spans="1:2" x14ac:dyDescent="0.25">
      <c r="A4935" s="157">
        <v>29545</v>
      </c>
      <c r="B4935" s="158">
        <v>12.28</v>
      </c>
    </row>
    <row r="4936" spans="1:2" x14ac:dyDescent="0.25">
      <c r="A4936" s="157">
        <v>29546</v>
      </c>
      <c r="B4936" s="158">
        <v>12.45</v>
      </c>
    </row>
    <row r="4937" spans="1:2" x14ac:dyDescent="0.25">
      <c r="A4937" s="157">
        <v>29549</v>
      </c>
      <c r="B4937" s="158">
        <v>12.39</v>
      </c>
    </row>
    <row r="4938" spans="1:2" x14ac:dyDescent="0.25">
      <c r="A4938" s="157">
        <v>29550</v>
      </c>
      <c r="B4938" s="158">
        <v>12.37</v>
      </c>
    </row>
    <row r="4939" spans="1:2" x14ac:dyDescent="0.25">
      <c r="A4939" s="157">
        <v>29551</v>
      </c>
      <c r="B4939" s="158">
        <v>12.33</v>
      </c>
    </row>
    <row r="4940" spans="1:2" x14ac:dyDescent="0.25">
      <c r="A4940" s="157">
        <v>29552</v>
      </c>
      <c r="B4940" s="158" t="e">
        <f>NA()</f>
        <v>#N/A</v>
      </c>
    </row>
    <row r="4941" spans="1:2" x14ac:dyDescent="0.25">
      <c r="A4941" s="157">
        <v>29553</v>
      </c>
      <c r="B4941" s="158">
        <v>12.38</v>
      </c>
    </row>
    <row r="4942" spans="1:2" x14ac:dyDescent="0.25">
      <c r="A4942" s="157">
        <v>29556</v>
      </c>
      <c r="B4942" s="158">
        <v>12.55</v>
      </c>
    </row>
    <row r="4943" spans="1:2" x14ac:dyDescent="0.25">
      <c r="A4943" s="157">
        <v>29557</v>
      </c>
      <c r="B4943" s="158">
        <v>12.54</v>
      </c>
    </row>
    <row r="4944" spans="1:2" x14ac:dyDescent="0.25">
      <c r="A4944" s="157">
        <v>29558</v>
      </c>
      <c r="B4944" s="158">
        <v>12.45</v>
      </c>
    </row>
    <row r="4945" spans="1:2" x14ac:dyDescent="0.25">
      <c r="A4945" s="157">
        <v>29559</v>
      </c>
      <c r="B4945" s="158">
        <v>12.47</v>
      </c>
    </row>
    <row r="4946" spans="1:2" x14ac:dyDescent="0.25">
      <c r="A4946" s="157">
        <v>29560</v>
      </c>
      <c r="B4946" s="158">
        <v>12.39</v>
      </c>
    </row>
    <row r="4947" spans="1:2" x14ac:dyDescent="0.25">
      <c r="A4947" s="157">
        <v>29563</v>
      </c>
      <c r="B4947" s="158">
        <v>12.43</v>
      </c>
    </row>
    <row r="4948" spans="1:2" x14ac:dyDescent="0.25">
      <c r="A4948" s="157">
        <v>29564</v>
      </c>
      <c r="B4948" s="158">
        <v>12.75</v>
      </c>
    </row>
    <row r="4949" spans="1:2" x14ac:dyDescent="0.25">
      <c r="A4949" s="157">
        <v>29565</v>
      </c>
      <c r="B4949" s="158">
        <v>12.85</v>
      </c>
    </row>
    <row r="4950" spans="1:2" x14ac:dyDescent="0.25">
      <c r="A4950" s="157">
        <v>29566</v>
      </c>
      <c r="B4950" s="158">
        <v>13.26</v>
      </c>
    </row>
    <row r="4951" spans="1:2" x14ac:dyDescent="0.25">
      <c r="A4951" s="157">
        <v>29567</v>
      </c>
      <c r="B4951" s="158">
        <v>12.99</v>
      </c>
    </row>
    <row r="4952" spans="1:2" x14ac:dyDescent="0.25">
      <c r="A4952" s="157">
        <v>29570</v>
      </c>
      <c r="B4952" s="158">
        <v>13</v>
      </c>
    </row>
    <row r="4953" spans="1:2" x14ac:dyDescent="0.25">
      <c r="A4953" s="157">
        <v>29571</v>
      </c>
      <c r="B4953" s="158">
        <v>13.13</v>
      </c>
    </row>
    <row r="4954" spans="1:2" x14ac:dyDescent="0.25">
      <c r="A4954" s="157">
        <v>29572</v>
      </c>
      <c r="B4954" s="158">
        <v>12.87</v>
      </c>
    </row>
    <row r="4955" spans="1:2" x14ac:dyDescent="0.25">
      <c r="A4955" s="157">
        <v>29573</v>
      </c>
      <c r="B4955" s="158">
        <v>12.72</v>
      </c>
    </row>
    <row r="4956" spans="1:2" x14ac:dyDescent="0.25">
      <c r="A4956" s="157">
        <v>29574</v>
      </c>
      <c r="B4956" s="158">
        <v>12.31</v>
      </c>
    </row>
    <row r="4957" spans="1:2" x14ac:dyDescent="0.25">
      <c r="A4957" s="157">
        <v>29577</v>
      </c>
      <c r="B4957" s="158">
        <v>11.86</v>
      </c>
    </row>
    <row r="4958" spans="1:2" x14ac:dyDescent="0.25">
      <c r="A4958" s="157">
        <v>29578</v>
      </c>
      <c r="B4958" s="158">
        <v>12.04</v>
      </c>
    </row>
    <row r="4959" spans="1:2" x14ac:dyDescent="0.25">
      <c r="A4959" s="157">
        <v>29579</v>
      </c>
      <c r="B4959" s="158">
        <v>12.08</v>
      </c>
    </row>
    <row r="4960" spans="1:2" x14ac:dyDescent="0.25">
      <c r="A4960" s="157">
        <v>29580</v>
      </c>
      <c r="B4960" s="158" t="e">
        <f>NA()</f>
        <v>#N/A</v>
      </c>
    </row>
    <row r="4961" spans="1:2" x14ac:dyDescent="0.25">
      <c r="A4961" s="157">
        <v>29581</v>
      </c>
      <c r="B4961" s="158">
        <v>11.97</v>
      </c>
    </row>
    <row r="4962" spans="1:2" x14ac:dyDescent="0.25">
      <c r="A4962" s="157">
        <v>29584</v>
      </c>
      <c r="B4962" s="158">
        <v>11.93</v>
      </c>
    </row>
    <row r="4963" spans="1:2" x14ac:dyDescent="0.25">
      <c r="A4963" s="157">
        <v>29585</v>
      </c>
      <c r="B4963" s="158">
        <v>12.07</v>
      </c>
    </row>
    <row r="4964" spans="1:2" x14ac:dyDescent="0.25">
      <c r="A4964" s="157">
        <v>29586</v>
      </c>
      <c r="B4964" s="158">
        <v>12.09</v>
      </c>
    </row>
    <row r="4965" spans="1:2" x14ac:dyDescent="0.25">
      <c r="A4965" s="157">
        <v>29587</v>
      </c>
      <c r="B4965" s="158" t="e">
        <f>NA()</f>
        <v>#N/A</v>
      </c>
    </row>
    <row r="4966" spans="1:2" x14ac:dyDescent="0.25">
      <c r="A4966" s="157">
        <v>29588</v>
      </c>
      <c r="B4966" s="158">
        <v>12.11</v>
      </c>
    </row>
    <row r="4967" spans="1:2" x14ac:dyDescent="0.25">
      <c r="A4967" s="157">
        <v>29591</v>
      </c>
      <c r="B4967" s="158">
        <v>11.77</v>
      </c>
    </row>
    <row r="4968" spans="1:2" x14ac:dyDescent="0.25">
      <c r="A4968" s="157">
        <v>29592</v>
      </c>
      <c r="B4968" s="158">
        <v>11.82</v>
      </c>
    </row>
    <row r="4969" spans="1:2" x14ac:dyDescent="0.25">
      <c r="A4969" s="157">
        <v>29593</v>
      </c>
      <c r="B4969" s="158">
        <v>12.02</v>
      </c>
    </row>
    <row r="4970" spans="1:2" x14ac:dyDescent="0.25">
      <c r="A4970" s="157">
        <v>29594</v>
      </c>
      <c r="B4970" s="158">
        <v>12.03</v>
      </c>
    </row>
    <row r="4971" spans="1:2" x14ac:dyDescent="0.25">
      <c r="A4971" s="157">
        <v>29595</v>
      </c>
      <c r="B4971" s="158">
        <v>12.26</v>
      </c>
    </row>
    <row r="4972" spans="1:2" x14ac:dyDescent="0.25">
      <c r="A4972" s="157">
        <v>29598</v>
      </c>
      <c r="B4972" s="158">
        <v>12.23</v>
      </c>
    </row>
    <row r="4973" spans="1:2" x14ac:dyDescent="0.25">
      <c r="A4973" s="157">
        <v>29599</v>
      </c>
      <c r="B4973" s="158">
        <v>12.22</v>
      </c>
    </row>
    <row r="4974" spans="1:2" x14ac:dyDescent="0.25">
      <c r="A4974" s="157">
        <v>29600</v>
      </c>
      <c r="B4974" s="158">
        <v>12.24</v>
      </c>
    </row>
    <row r="4975" spans="1:2" x14ac:dyDescent="0.25">
      <c r="A4975" s="157">
        <v>29601</v>
      </c>
      <c r="B4975" s="158">
        <v>12.4</v>
      </c>
    </row>
    <row r="4976" spans="1:2" x14ac:dyDescent="0.25">
      <c r="A4976" s="157">
        <v>29602</v>
      </c>
      <c r="B4976" s="158">
        <v>12.28</v>
      </c>
    </row>
    <row r="4977" spans="1:2" x14ac:dyDescent="0.25">
      <c r="A4977" s="157">
        <v>29605</v>
      </c>
      <c r="B4977" s="158">
        <v>12.39</v>
      </c>
    </row>
    <row r="4978" spans="1:2" x14ac:dyDescent="0.25">
      <c r="A4978" s="157">
        <v>29606</v>
      </c>
      <c r="B4978" s="158">
        <v>12.27</v>
      </c>
    </row>
    <row r="4979" spans="1:2" x14ac:dyDescent="0.25">
      <c r="A4979" s="157">
        <v>29607</v>
      </c>
      <c r="B4979" s="158">
        <v>12.51</v>
      </c>
    </row>
    <row r="4980" spans="1:2" x14ac:dyDescent="0.25">
      <c r="A4980" s="157">
        <v>29608</v>
      </c>
      <c r="B4980" s="158">
        <v>12.65</v>
      </c>
    </row>
    <row r="4981" spans="1:2" x14ac:dyDescent="0.25">
      <c r="A4981" s="157">
        <v>29609</v>
      </c>
      <c r="B4981" s="158">
        <v>12.57</v>
      </c>
    </row>
    <row r="4982" spans="1:2" x14ac:dyDescent="0.25">
      <c r="A4982" s="157">
        <v>29612</v>
      </c>
      <c r="B4982" s="158">
        <v>12.44</v>
      </c>
    </row>
    <row r="4983" spans="1:2" x14ac:dyDescent="0.25">
      <c r="A4983" s="157">
        <v>29613</v>
      </c>
      <c r="B4983" s="158">
        <v>12.46</v>
      </c>
    </row>
    <row r="4984" spans="1:2" x14ac:dyDescent="0.25">
      <c r="A4984" s="157">
        <v>29614</v>
      </c>
      <c r="B4984" s="158">
        <v>12.47</v>
      </c>
    </row>
    <row r="4985" spans="1:2" x14ac:dyDescent="0.25">
      <c r="A4985" s="157">
        <v>29615</v>
      </c>
      <c r="B4985" s="158">
        <v>12.56</v>
      </c>
    </row>
    <row r="4986" spans="1:2" x14ac:dyDescent="0.25">
      <c r="A4986" s="157">
        <v>29616</v>
      </c>
      <c r="B4986" s="158">
        <v>12.46</v>
      </c>
    </row>
    <row r="4987" spans="1:2" x14ac:dyDescent="0.25">
      <c r="A4987" s="157">
        <v>29619</v>
      </c>
      <c r="B4987" s="158">
        <v>12.55</v>
      </c>
    </row>
    <row r="4988" spans="1:2" x14ac:dyDescent="0.25">
      <c r="A4988" s="157">
        <v>29620</v>
      </c>
      <c r="B4988" s="158">
        <v>12.76</v>
      </c>
    </row>
    <row r="4989" spans="1:2" x14ac:dyDescent="0.25">
      <c r="A4989" s="157">
        <v>29621</v>
      </c>
      <c r="B4989" s="158">
        <v>12.68</v>
      </c>
    </row>
    <row r="4990" spans="1:2" x14ac:dyDescent="0.25">
      <c r="A4990" s="157">
        <v>29622</v>
      </c>
      <c r="B4990" s="158">
        <v>12.75</v>
      </c>
    </row>
    <row r="4991" spans="1:2" x14ac:dyDescent="0.25">
      <c r="A4991" s="157">
        <v>29623</v>
      </c>
      <c r="B4991" s="158">
        <v>12.86</v>
      </c>
    </row>
    <row r="4992" spans="1:2" x14ac:dyDescent="0.25">
      <c r="A4992" s="157">
        <v>29626</v>
      </c>
      <c r="B4992" s="158">
        <v>12.95</v>
      </c>
    </row>
    <row r="4993" spans="1:2" x14ac:dyDescent="0.25">
      <c r="A4993" s="157">
        <v>29627</v>
      </c>
      <c r="B4993" s="158">
        <v>13.1</v>
      </c>
    </row>
    <row r="4994" spans="1:2" x14ac:dyDescent="0.25">
      <c r="A4994" s="157">
        <v>29628</v>
      </c>
      <c r="B4994" s="158">
        <v>13.16</v>
      </c>
    </row>
    <row r="4995" spans="1:2" x14ac:dyDescent="0.25">
      <c r="A4995" s="157">
        <v>29629</v>
      </c>
      <c r="B4995" s="158" t="e">
        <f>NA()</f>
        <v>#N/A</v>
      </c>
    </row>
    <row r="4996" spans="1:2" x14ac:dyDescent="0.25">
      <c r="A4996" s="157">
        <v>29630</v>
      </c>
      <c r="B4996" s="158">
        <v>13.4</v>
      </c>
    </row>
    <row r="4997" spans="1:2" x14ac:dyDescent="0.25">
      <c r="A4997" s="157">
        <v>29633</v>
      </c>
      <c r="B4997" s="158" t="e">
        <f>NA()</f>
        <v>#N/A</v>
      </c>
    </row>
    <row r="4998" spans="1:2" x14ac:dyDescent="0.25">
      <c r="A4998" s="157">
        <v>29634</v>
      </c>
      <c r="B4998" s="158">
        <v>13.14</v>
      </c>
    </row>
    <row r="4999" spans="1:2" x14ac:dyDescent="0.25">
      <c r="A4999" s="157">
        <v>29635</v>
      </c>
      <c r="B4999" s="158">
        <v>13.08</v>
      </c>
    </row>
    <row r="5000" spans="1:2" x14ac:dyDescent="0.25">
      <c r="A5000" s="157">
        <v>29636</v>
      </c>
      <c r="B5000" s="158">
        <v>12.91</v>
      </c>
    </row>
    <row r="5001" spans="1:2" x14ac:dyDescent="0.25">
      <c r="A5001" s="157">
        <v>29637</v>
      </c>
      <c r="B5001" s="158">
        <v>12.74</v>
      </c>
    </row>
    <row r="5002" spans="1:2" x14ac:dyDescent="0.25">
      <c r="A5002" s="157">
        <v>29640</v>
      </c>
      <c r="B5002" s="158">
        <v>13.01</v>
      </c>
    </row>
    <row r="5003" spans="1:2" x14ac:dyDescent="0.25">
      <c r="A5003" s="157">
        <v>29641</v>
      </c>
      <c r="B5003" s="158">
        <v>13.01</v>
      </c>
    </row>
    <row r="5004" spans="1:2" x14ac:dyDescent="0.25">
      <c r="A5004" s="157">
        <v>29642</v>
      </c>
      <c r="B5004" s="158">
        <v>13.07</v>
      </c>
    </row>
    <row r="5005" spans="1:2" x14ac:dyDescent="0.25">
      <c r="A5005" s="157">
        <v>29643</v>
      </c>
      <c r="B5005" s="158">
        <v>13.23</v>
      </c>
    </row>
    <row r="5006" spans="1:2" x14ac:dyDescent="0.25">
      <c r="A5006" s="157">
        <v>29644</v>
      </c>
      <c r="B5006" s="158">
        <v>13.18</v>
      </c>
    </row>
    <row r="5007" spans="1:2" x14ac:dyDescent="0.25">
      <c r="A5007" s="157">
        <v>29647</v>
      </c>
      <c r="B5007" s="158">
        <v>13.37</v>
      </c>
    </row>
    <row r="5008" spans="1:2" x14ac:dyDescent="0.25">
      <c r="A5008" s="157">
        <v>29648</v>
      </c>
      <c r="B5008" s="158">
        <v>13.21</v>
      </c>
    </row>
    <row r="5009" spans="1:2" x14ac:dyDescent="0.25">
      <c r="A5009" s="157">
        <v>29649</v>
      </c>
      <c r="B5009" s="158">
        <v>13.25</v>
      </c>
    </row>
    <row r="5010" spans="1:2" x14ac:dyDescent="0.25">
      <c r="A5010" s="157">
        <v>29650</v>
      </c>
      <c r="B5010" s="158">
        <v>13.22</v>
      </c>
    </row>
    <row r="5011" spans="1:2" x14ac:dyDescent="0.25">
      <c r="A5011" s="157">
        <v>29651</v>
      </c>
      <c r="B5011" s="158">
        <v>12.98</v>
      </c>
    </row>
    <row r="5012" spans="1:2" x14ac:dyDescent="0.25">
      <c r="A5012" s="157">
        <v>29654</v>
      </c>
      <c r="B5012" s="158">
        <v>12.89</v>
      </c>
    </row>
    <row r="5013" spans="1:2" x14ac:dyDescent="0.25">
      <c r="A5013" s="157">
        <v>29655</v>
      </c>
      <c r="B5013" s="158">
        <v>12.94</v>
      </c>
    </row>
    <row r="5014" spans="1:2" x14ac:dyDescent="0.25">
      <c r="A5014" s="157">
        <v>29656</v>
      </c>
      <c r="B5014" s="158">
        <v>12.95</v>
      </c>
    </row>
    <row r="5015" spans="1:2" x14ac:dyDescent="0.25">
      <c r="A5015" s="157">
        <v>29657</v>
      </c>
      <c r="B5015" s="158">
        <v>12.86</v>
      </c>
    </row>
    <row r="5016" spans="1:2" x14ac:dyDescent="0.25">
      <c r="A5016" s="157">
        <v>29658</v>
      </c>
      <c r="B5016" s="158">
        <v>12.69</v>
      </c>
    </row>
    <row r="5017" spans="1:2" x14ac:dyDescent="0.25">
      <c r="A5017" s="157">
        <v>29661</v>
      </c>
      <c r="B5017" s="158">
        <v>12.61</v>
      </c>
    </row>
    <row r="5018" spans="1:2" x14ac:dyDescent="0.25">
      <c r="A5018" s="157">
        <v>29662</v>
      </c>
      <c r="B5018" s="158">
        <v>12.55</v>
      </c>
    </row>
    <row r="5019" spans="1:2" x14ac:dyDescent="0.25">
      <c r="A5019" s="157">
        <v>29663</v>
      </c>
      <c r="B5019" s="158">
        <v>12.42</v>
      </c>
    </row>
    <row r="5020" spans="1:2" x14ac:dyDescent="0.25">
      <c r="A5020" s="157">
        <v>29664</v>
      </c>
      <c r="B5020" s="158">
        <v>12.51</v>
      </c>
    </row>
    <row r="5021" spans="1:2" x14ac:dyDescent="0.25">
      <c r="A5021" s="157">
        <v>29665</v>
      </c>
      <c r="B5021" s="158">
        <v>12.61</v>
      </c>
    </row>
    <row r="5022" spans="1:2" x14ac:dyDescent="0.25">
      <c r="A5022" s="157">
        <v>29668</v>
      </c>
      <c r="B5022" s="158">
        <v>12.96</v>
      </c>
    </row>
    <row r="5023" spans="1:2" x14ac:dyDescent="0.25">
      <c r="A5023" s="157">
        <v>29669</v>
      </c>
      <c r="B5023" s="158">
        <v>13.08</v>
      </c>
    </row>
    <row r="5024" spans="1:2" x14ac:dyDescent="0.25">
      <c r="A5024" s="157">
        <v>29670</v>
      </c>
      <c r="B5024" s="158">
        <v>13.05</v>
      </c>
    </row>
    <row r="5025" spans="1:2" x14ac:dyDescent="0.25">
      <c r="A5025" s="157">
        <v>29671</v>
      </c>
      <c r="B5025" s="158">
        <v>13.23</v>
      </c>
    </row>
    <row r="5026" spans="1:2" x14ac:dyDescent="0.25">
      <c r="A5026" s="157">
        <v>29672</v>
      </c>
      <c r="B5026" s="158">
        <v>13.21</v>
      </c>
    </row>
    <row r="5027" spans="1:2" x14ac:dyDescent="0.25">
      <c r="A5027" s="157">
        <v>29675</v>
      </c>
      <c r="B5027" s="158">
        <v>13.08</v>
      </c>
    </row>
    <row r="5028" spans="1:2" x14ac:dyDescent="0.25">
      <c r="A5028" s="157">
        <v>29676</v>
      </c>
      <c r="B5028" s="158">
        <v>12.95</v>
      </c>
    </row>
    <row r="5029" spans="1:2" x14ac:dyDescent="0.25">
      <c r="A5029" s="157">
        <v>29677</v>
      </c>
      <c r="B5029" s="158">
        <v>12.94</v>
      </c>
    </row>
    <row r="5030" spans="1:2" x14ac:dyDescent="0.25">
      <c r="A5030" s="157">
        <v>29678</v>
      </c>
      <c r="B5030" s="158">
        <v>13.06</v>
      </c>
    </row>
    <row r="5031" spans="1:2" x14ac:dyDescent="0.25">
      <c r="A5031" s="157">
        <v>29679</v>
      </c>
      <c r="B5031" s="158">
        <v>13.22</v>
      </c>
    </row>
    <row r="5032" spans="1:2" x14ac:dyDescent="0.25">
      <c r="A5032" s="157">
        <v>29682</v>
      </c>
      <c r="B5032" s="158">
        <v>13.53</v>
      </c>
    </row>
    <row r="5033" spans="1:2" x14ac:dyDescent="0.25">
      <c r="A5033" s="157">
        <v>29683</v>
      </c>
      <c r="B5033" s="158">
        <v>13.27</v>
      </c>
    </row>
    <row r="5034" spans="1:2" x14ac:dyDescent="0.25">
      <c r="A5034" s="157">
        <v>29684</v>
      </c>
      <c r="B5034" s="158">
        <v>13.38</v>
      </c>
    </row>
    <row r="5035" spans="1:2" x14ac:dyDescent="0.25">
      <c r="A5035" s="157">
        <v>29685</v>
      </c>
      <c r="B5035" s="158">
        <v>13.28</v>
      </c>
    </row>
    <row r="5036" spans="1:2" x14ac:dyDescent="0.25">
      <c r="A5036" s="157">
        <v>29686</v>
      </c>
      <c r="B5036" s="158">
        <v>13.44</v>
      </c>
    </row>
    <row r="5037" spans="1:2" x14ac:dyDescent="0.25">
      <c r="A5037" s="157">
        <v>29689</v>
      </c>
      <c r="B5037" s="158">
        <v>13.52</v>
      </c>
    </row>
    <row r="5038" spans="1:2" x14ac:dyDescent="0.25">
      <c r="A5038" s="157">
        <v>29690</v>
      </c>
      <c r="B5038" s="158">
        <v>13.39</v>
      </c>
    </row>
    <row r="5039" spans="1:2" x14ac:dyDescent="0.25">
      <c r="A5039" s="157">
        <v>29691</v>
      </c>
      <c r="B5039" s="158">
        <v>13.57</v>
      </c>
    </row>
    <row r="5040" spans="1:2" x14ac:dyDescent="0.25">
      <c r="A5040" s="157">
        <v>29692</v>
      </c>
      <c r="B5040" s="158">
        <v>13.58</v>
      </c>
    </row>
    <row r="5041" spans="1:2" x14ac:dyDescent="0.25">
      <c r="A5041" s="157">
        <v>29693</v>
      </c>
      <c r="B5041" s="158" t="e">
        <f>NA()</f>
        <v>#N/A</v>
      </c>
    </row>
    <row r="5042" spans="1:2" x14ac:dyDescent="0.25">
      <c r="A5042" s="157">
        <v>29696</v>
      </c>
      <c r="B5042" s="158">
        <v>13.45</v>
      </c>
    </row>
    <row r="5043" spans="1:2" x14ac:dyDescent="0.25">
      <c r="A5043" s="157">
        <v>29697</v>
      </c>
      <c r="B5043" s="158">
        <v>13.44</v>
      </c>
    </row>
    <row r="5044" spans="1:2" x14ac:dyDescent="0.25">
      <c r="A5044" s="157">
        <v>29698</v>
      </c>
      <c r="B5044" s="158">
        <v>13.51</v>
      </c>
    </row>
    <row r="5045" spans="1:2" x14ac:dyDescent="0.25">
      <c r="A5045" s="157">
        <v>29699</v>
      </c>
      <c r="B5045" s="158">
        <v>13.54</v>
      </c>
    </row>
    <row r="5046" spans="1:2" x14ac:dyDescent="0.25">
      <c r="A5046" s="157">
        <v>29700</v>
      </c>
      <c r="B5046" s="158">
        <v>13.61</v>
      </c>
    </row>
    <row r="5047" spans="1:2" x14ac:dyDescent="0.25">
      <c r="A5047" s="157">
        <v>29703</v>
      </c>
      <c r="B5047" s="158">
        <v>13.64</v>
      </c>
    </row>
    <row r="5048" spans="1:2" x14ac:dyDescent="0.25">
      <c r="A5048" s="157">
        <v>29704</v>
      </c>
      <c r="B5048" s="158">
        <v>13.64</v>
      </c>
    </row>
    <row r="5049" spans="1:2" x14ac:dyDescent="0.25">
      <c r="A5049" s="157">
        <v>29705</v>
      </c>
      <c r="B5049" s="158">
        <v>13.77</v>
      </c>
    </row>
    <row r="5050" spans="1:2" x14ac:dyDescent="0.25">
      <c r="A5050" s="157">
        <v>29706</v>
      </c>
      <c r="B5050" s="158">
        <v>13.87</v>
      </c>
    </row>
    <row r="5051" spans="1:2" x14ac:dyDescent="0.25">
      <c r="A5051" s="157">
        <v>29707</v>
      </c>
      <c r="B5051" s="158">
        <v>13.84</v>
      </c>
    </row>
    <row r="5052" spans="1:2" x14ac:dyDescent="0.25">
      <c r="A5052" s="157">
        <v>29710</v>
      </c>
      <c r="B5052" s="158">
        <v>14.19</v>
      </c>
    </row>
    <row r="5053" spans="1:2" x14ac:dyDescent="0.25">
      <c r="A5053" s="157">
        <v>29711</v>
      </c>
      <c r="B5053" s="158">
        <v>14.38</v>
      </c>
    </row>
    <row r="5054" spans="1:2" x14ac:dyDescent="0.25">
      <c r="A5054" s="157">
        <v>29712</v>
      </c>
      <c r="B5054" s="158">
        <v>14.2</v>
      </c>
    </row>
    <row r="5055" spans="1:2" x14ac:dyDescent="0.25">
      <c r="A5055" s="157">
        <v>29713</v>
      </c>
      <c r="B5055" s="158">
        <v>14.03</v>
      </c>
    </row>
    <row r="5056" spans="1:2" x14ac:dyDescent="0.25">
      <c r="A5056" s="157">
        <v>29714</v>
      </c>
      <c r="B5056" s="158">
        <v>13.96</v>
      </c>
    </row>
    <row r="5057" spans="1:2" x14ac:dyDescent="0.25">
      <c r="A5057" s="157">
        <v>29717</v>
      </c>
      <c r="B5057" s="158">
        <v>14.07</v>
      </c>
    </row>
    <row r="5058" spans="1:2" x14ac:dyDescent="0.25">
      <c r="A5058" s="157">
        <v>29718</v>
      </c>
      <c r="B5058" s="158">
        <v>14.13</v>
      </c>
    </row>
    <row r="5059" spans="1:2" x14ac:dyDescent="0.25">
      <c r="A5059" s="157">
        <v>29719</v>
      </c>
      <c r="B5059" s="158">
        <v>14.17</v>
      </c>
    </row>
    <row r="5060" spans="1:2" x14ac:dyDescent="0.25">
      <c r="A5060" s="157">
        <v>29720</v>
      </c>
      <c r="B5060" s="158">
        <v>13.89</v>
      </c>
    </row>
    <row r="5061" spans="1:2" x14ac:dyDescent="0.25">
      <c r="A5061" s="157">
        <v>29721</v>
      </c>
      <c r="B5061" s="158">
        <v>13.79</v>
      </c>
    </row>
    <row r="5062" spans="1:2" x14ac:dyDescent="0.25">
      <c r="A5062" s="157">
        <v>29724</v>
      </c>
      <c r="B5062" s="158">
        <v>13.5</v>
      </c>
    </row>
    <row r="5063" spans="1:2" x14ac:dyDescent="0.25">
      <c r="A5063" s="157">
        <v>29725</v>
      </c>
      <c r="B5063" s="158">
        <v>13.66</v>
      </c>
    </row>
    <row r="5064" spans="1:2" x14ac:dyDescent="0.25">
      <c r="A5064" s="157">
        <v>29726</v>
      </c>
      <c r="B5064" s="158">
        <v>13.69</v>
      </c>
    </row>
    <row r="5065" spans="1:2" x14ac:dyDescent="0.25">
      <c r="A5065" s="157">
        <v>29727</v>
      </c>
      <c r="B5065" s="158">
        <v>13.72</v>
      </c>
    </row>
    <row r="5066" spans="1:2" x14ac:dyDescent="0.25">
      <c r="A5066" s="157">
        <v>29728</v>
      </c>
      <c r="B5066" s="158">
        <v>13.62</v>
      </c>
    </row>
    <row r="5067" spans="1:2" x14ac:dyDescent="0.25">
      <c r="A5067" s="157">
        <v>29731</v>
      </c>
      <c r="B5067" s="158" t="e">
        <f>NA()</f>
        <v>#N/A</v>
      </c>
    </row>
    <row r="5068" spans="1:2" x14ac:dyDescent="0.25">
      <c r="A5068" s="157">
        <v>29732</v>
      </c>
      <c r="B5068" s="158">
        <v>13.41</v>
      </c>
    </row>
    <row r="5069" spans="1:2" x14ac:dyDescent="0.25">
      <c r="A5069" s="157">
        <v>29733</v>
      </c>
      <c r="B5069" s="158">
        <v>13.5</v>
      </c>
    </row>
    <row r="5070" spans="1:2" x14ac:dyDescent="0.25">
      <c r="A5070" s="157">
        <v>29734</v>
      </c>
      <c r="B5070" s="158">
        <v>13.35</v>
      </c>
    </row>
    <row r="5071" spans="1:2" x14ac:dyDescent="0.25">
      <c r="A5071" s="157">
        <v>29735</v>
      </c>
      <c r="B5071" s="158">
        <v>13.31</v>
      </c>
    </row>
    <row r="5072" spans="1:2" x14ac:dyDescent="0.25">
      <c r="A5072" s="157">
        <v>29738</v>
      </c>
      <c r="B5072" s="158">
        <v>13.22</v>
      </c>
    </row>
    <row r="5073" spans="1:2" x14ac:dyDescent="0.25">
      <c r="A5073" s="157">
        <v>29739</v>
      </c>
      <c r="B5073" s="158">
        <v>13.32</v>
      </c>
    </row>
    <row r="5074" spans="1:2" x14ac:dyDescent="0.25">
      <c r="A5074" s="157">
        <v>29740</v>
      </c>
      <c r="B5074" s="158">
        <v>13.3</v>
      </c>
    </row>
    <row r="5075" spans="1:2" x14ac:dyDescent="0.25">
      <c r="A5075" s="157">
        <v>29741</v>
      </c>
      <c r="B5075" s="158">
        <v>13.28</v>
      </c>
    </row>
    <row r="5076" spans="1:2" x14ac:dyDescent="0.25">
      <c r="A5076" s="157">
        <v>29742</v>
      </c>
      <c r="B5076" s="158">
        <v>13.27</v>
      </c>
    </row>
    <row r="5077" spans="1:2" x14ac:dyDescent="0.25">
      <c r="A5077" s="157">
        <v>29745</v>
      </c>
      <c r="B5077" s="158">
        <v>13.08</v>
      </c>
    </row>
    <row r="5078" spans="1:2" x14ac:dyDescent="0.25">
      <c r="A5078" s="157">
        <v>29746</v>
      </c>
      <c r="B5078" s="158">
        <v>13.11</v>
      </c>
    </row>
    <row r="5079" spans="1:2" x14ac:dyDescent="0.25">
      <c r="A5079" s="157">
        <v>29747</v>
      </c>
      <c r="B5079" s="158">
        <v>13.03</v>
      </c>
    </row>
    <row r="5080" spans="1:2" x14ac:dyDescent="0.25">
      <c r="A5080" s="157">
        <v>29748</v>
      </c>
      <c r="B5080" s="158">
        <v>13.05</v>
      </c>
    </row>
    <row r="5081" spans="1:2" x14ac:dyDescent="0.25">
      <c r="A5081" s="157">
        <v>29749</v>
      </c>
      <c r="B5081" s="158">
        <v>13.05</v>
      </c>
    </row>
    <row r="5082" spans="1:2" x14ac:dyDescent="0.25">
      <c r="A5082" s="157">
        <v>29752</v>
      </c>
      <c r="B5082" s="158">
        <v>12.84</v>
      </c>
    </row>
    <row r="5083" spans="1:2" x14ac:dyDescent="0.25">
      <c r="A5083" s="157">
        <v>29753</v>
      </c>
      <c r="B5083" s="158">
        <v>12.85</v>
      </c>
    </row>
    <row r="5084" spans="1:2" x14ac:dyDescent="0.25">
      <c r="A5084" s="157">
        <v>29754</v>
      </c>
      <c r="B5084" s="158">
        <v>12.96</v>
      </c>
    </row>
    <row r="5085" spans="1:2" x14ac:dyDescent="0.25">
      <c r="A5085" s="157">
        <v>29755</v>
      </c>
      <c r="B5085" s="158">
        <v>13.23</v>
      </c>
    </row>
    <row r="5086" spans="1:2" x14ac:dyDescent="0.25">
      <c r="A5086" s="157">
        <v>29756</v>
      </c>
      <c r="B5086" s="158">
        <v>13.15</v>
      </c>
    </row>
    <row r="5087" spans="1:2" x14ac:dyDescent="0.25">
      <c r="A5087" s="157">
        <v>29759</v>
      </c>
      <c r="B5087" s="158">
        <v>13.13</v>
      </c>
    </row>
    <row r="5088" spans="1:2" x14ac:dyDescent="0.25">
      <c r="A5088" s="157">
        <v>29760</v>
      </c>
      <c r="B5088" s="158">
        <v>13.22</v>
      </c>
    </row>
    <row r="5089" spans="1:2" x14ac:dyDescent="0.25">
      <c r="A5089" s="157">
        <v>29761</v>
      </c>
      <c r="B5089" s="158">
        <v>13.38</v>
      </c>
    </row>
    <row r="5090" spans="1:2" x14ac:dyDescent="0.25">
      <c r="A5090" s="157">
        <v>29762</v>
      </c>
      <c r="B5090" s="158">
        <v>13.41</v>
      </c>
    </row>
    <row r="5091" spans="1:2" x14ac:dyDescent="0.25">
      <c r="A5091" s="157">
        <v>29763</v>
      </c>
      <c r="B5091" s="158">
        <v>13.44</v>
      </c>
    </row>
    <row r="5092" spans="1:2" x14ac:dyDescent="0.25">
      <c r="A5092" s="157">
        <v>29766</v>
      </c>
      <c r="B5092" s="158">
        <v>13.41</v>
      </c>
    </row>
    <row r="5093" spans="1:2" x14ac:dyDescent="0.25">
      <c r="A5093" s="157">
        <v>29767</v>
      </c>
      <c r="B5093" s="158">
        <v>13.59</v>
      </c>
    </row>
    <row r="5094" spans="1:2" x14ac:dyDescent="0.25">
      <c r="A5094" s="157">
        <v>29768</v>
      </c>
      <c r="B5094" s="158">
        <v>13.78</v>
      </c>
    </row>
    <row r="5095" spans="1:2" x14ac:dyDescent="0.25">
      <c r="A5095" s="157">
        <v>29769</v>
      </c>
      <c r="B5095" s="158">
        <v>13.66</v>
      </c>
    </row>
    <row r="5096" spans="1:2" x14ac:dyDescent="0.25">
      <c r="A5096" s="157">
        <v>29770</v>
      </c>
      <c r="B5096" s="158" t="e">
        <f>NA()</f>
        <v>#N/A</v>
      </c>
    </row>
    <row r="5097" spans="1:2" x14ac:dyDescent="0.25">
      <c r="A5097" s="157">
        <v>29773</v>
      </c>
      <c r="B5097" s="158">
        <v>13.48</v>
      </c>
    </row>
    <row r="5098" spans="1:2" x14ac:dyDescent="0.25">
      <c r="A5098" s="157">
        <v>29774</v>
      </c>
      <c r="B5098" s="158">
        <v>13.71</v>
      </c>
    </row>
    <row r="5099" spans="1:2" x14ac:dyDescent="0.25">
      <c r="A5099" s="157">
        <v>29775</v>
      </c>
      <c r="B5099" s="158">
        <v>13.75</v>
      </c>
    </row>
    <row r="5100" spans="1:2" x14ac:dyDescent="0.25">
      <c r="A5100" s="157">
        <v>29776</v>
      </c>
      <c r="B5100" s="158">
        <v>13.77</v>
      </c>
    </row>
    <row r="5101" spans="1:2" x14ac:dyDescent="0.25">
      <c r="A5101" s="157">
        <v>29777</v>
      </c>
      <c r="B5101" s="158">
        <v>13.57</v>
      </c>
    </row>
    <row r="5102" spans="1:2" x14ac:dyDescent="0.25">
      <c r="A5102" s="157">
        <v>29780</v>
      </c>
      <c r="B5102" s="158">
        <v>13.65</v>
      </c>
    </row>
    <row r="5103" spans="1:2" x14ac:dyDescent="0.25">
      <c r="A5103" s="157">
        <v>29781</v>
      </c>
      <c r="B5103" s="158">
        <v>13.81</v>
      </c>
    </row>
    <row r="5104" spans="1:2" x14ac:dyDescent="0.25">
      <c r="A5104" s="157">
        <v>29782</v>
      </c>
      <c r="B5104" s="158">
        <v>13.68</v>
      </c>
    </row>
    <row r="5105" spans="1:2" x14ac:dyDescent="0.25">
      <c r="A5105" s="157">
        <v>29783</v>
      </c>
      <c r="B5105" s="158">
        <v>13.77</v>
      </c>
    </row>
    <row r="5106" spans="1:2" x14ac:dyDescent="0.25">
      <c r="A5106" s="157">
        <v>29784</v>
      </c>
      <c r="B5106" s="158">
        <v>13.73</v>
      </c>
    </row>
    <row r="5107" spans="1:2" x14ac:dyDescent="0.25">
      <c r="A5107" s="157">
        <v>29787</v>
      </c>
      <c r="B5107" s="158">
        <v>14.21</v>
      </c>
    </row>
    <row r="5108" spans="1:2" x14ac:dyDescent="0.25">
      <c r="A5108" s="157">
        <v>29788</v>
      </c>
      <c r="B5108" s="158">
        <v>14.21</v>
      </c>
    </row>
    <row r="5109" spans="1:2" x14ac:dyDescent="0.25">
      <c r="A5109" s="157">
        <v>29789</v>
      </c>
      <c r="B5109" s="158">
        <v>14.24</v>
      </c>
    </row>
    <row r="5110" spans="1:2" x14ac:dyDescent="0.25">
      <c r="A5110" s="157">
        <v>29790</v>
      </c>
      <c r="B5110" s="158">
        <v>14.19</v>
      </c>
    </row>
    <row r="5111" spans="1:2" x14ac:dyDescent="0.25">
      <c r="A5111" s="157">
        <v>29791</v>
      </c>
      <c r="B5111" s="158">
        <v>13.97</v>
      </c>
    </row>
    <row r="5112" spans="1:2" x14ac:dyDescent="0.25">
      <c r="A5112" s="157">
        <v>29794</v>
      </c>
      <c r="B5112" s="158">
        <v>14.07</v>
      </c>
    </row>
    <row r="5113" spans="1:2" x14ac:dyDescent="0.25">
      <c r="A5113" s="157">
        <v>29795</v>
      </c>
      <c r="B5113" s="158">
        <v>14.17</v>
      </c>
    </row>
    <row r="5114" spans="1:2" x14ac:dyDescent="0.25">
      <c r="A5114" s="157">
        <v>29796</v>
      </c>
      <c r="B5114" s="158">
        <v>14.3</v>
      </c>
    </row>
    <row r="5115" spans="1:2" x14ac:dyDescent="0.25">
      <c r="A5115" s="157">
        <v>29797</v>
      </c>
      <c r="B5115" s="158">
        <v>14.31</v>
      </c>
    </row>
    <row r="5116" spans="1:2" x14ac:dyDescent="0.25">
      <c r="A5116" s="157">
        <v>29798</v>
      </c>
      <c r="B5116" s="158">
        <v>14.31</v>
      </c>
    </row>
    <row r="5117" spans="1:2" x14ac:dyDescent="0.25">
      <c r="A5117" s="157">
        <v>29801</v>
      </c>
      <c r="B5117" s="158">
        <v>14.62</v>
      </c>
    </row>
    <row r="5118" spans="1:2" x14ac:dyDescent="0.25">
      <c r="A5118" s="157">
        <v>29802</v>
      </c>
      <c r="B5118" s="158">
        <v>14.54</v>
      </c>
    </row>
    <row r="5119" spans="1:2" x14ac:dyDescent="0.25">
      <c r="A5119" s="157">
        <v>29803</v>
      </c>
      <c r="B5119" s="158">
        <v>14.52</v>
      </c>
    </row>
    <row r="5120" spans="1:2" x14ac:dyDescent="0.25">
      <c r="A5120" s="157">
        <v>29804</v>
      </c>
      <c r="B5120" s="158">
        <v>14.44</v>
      </c>
    </row>
    <row r="5121" spans="1:2" x14ac:dyDescent="0.25">
      <c r="A5121" s="157">
        <v>29805</v>
      </c>
      <c r="B5121" s="158">
        <v>14.43</v>
      </c>
    </row>
    <row r="5122" spans="1:2" x14ac:dyDescent="0.25">
      <c r="A5122" s="157">
        <v>29808</v>
      </c>
      <c r="B5122" s="158">
        <v>14.19</v>
      </c>
    </row>
    <row r="5123" spans="1:2" x14ac:dyDescent="0.25">
      <c r="A5123" s="157">
        <v>29809</v>
      </c>
      <c r="B5123" s="158">
        <v>13.98</v>
      </c>
    </row>
    <row r="5124" spans="1:2" x14ac:dyDescent="0.25">
      <c r="A5124" s="157">
        <v>29810</v>
      </c>
      <c r="B5124" s="158">
        <v>14.12</v>
      </c>
    </row>
    <row r="5125" spans="1:2" x14ac:dyDescent="0.25">
      <c r="A5125" s="157">
        <v>29811</v>
      </c>
      <c r="B5125" s="158">
        <v>14.14</v>
      </c>
    </row>
    <row r="5126" spans="1:2" x14ac:dyDescent="0.25">
      <c r="A5126" s="157">
        <v>29812</v>
      </c>
      <c r="B5126" s="158">
        <v>14.27</v>
      </c>
    </row>
    <row r="5127" spans="1:2" x14ac:dyDescent="0.25">
      <c r="A5127" s="157">
        <v>29815</v>
      </c>
      <c r="B5127" s="158">
        <v>14.22</v>
      </c>
    </row>
    <row r="5128" spans="1:2" x14ac:dyDescent="0.25">
      <c r="A5128" s="157">
        <v>29816</v>
      </c>
      <c r="B5128" s="158">
        <v>14.31</v>
      </c>
    </row>
    <row r="5129" spans="1:2" x14ac:dyDescent="0.25">
      <c r="A5129" s="157">
        <v>29817</v>
      </c>
      <c r="B5129" s="158">
        <v>14.27</v>
      </c>
    </row>
    <row r="5130" spans="1:2" x14ac:dyDescent="0.25">
      <c r="A5130" s="157">
        <v>29818</v>
      </c>
      <c r="B5130" s="158">
        <v>14.43</v>
      </c>
    </row>
    <row r="5131" spans="1:2" x14ac:dyDescent="0.25">
      <c r="A5131" s="157">
        <v>29819</v>
      </c>
      <c r="B5131" s="158">
        <v>14.46</v>
      </c>
    </row>
    <row r="5132" spans="1:2" x14ac:dyDescent="0.25">
      <c r="A5132" s="157">
        <v>29822</v>
      </c>
      <c r="B5132" s="158">
        <v>14.95</v>
      </c>
    </row>
    <row r="5133" spans="1:2" x14ac:dyDescent="0.25">
      <c r="A5133" s="157">
        <v>29823</v>
      </c>
      <c r="B5133" s="158">
        <v>15.06</v>
      </c>
    </row>
    <row r="5134" spans="1:2" x14ac:dyDescent="0.25">
      <c r="A5134" s="157">
        <v>29824</v>
      </c>
      <c r="B5134" s="158">
        <v>15</v>
      </c>
    </row>
    <row r="5135" spans="1:2" x14ac:dyDescent="0.25">
      <c r="A5135" s="157">
        <v>29825</v>
      </c>
      <c r="B5135" s="158">
        <v>15.05</v>
      </c>
    </row>
    <row r="5136" spans="1:2" x14ac:dyDescent="0.25">
      <c r="A5136" s="157">
        <v>29826</v>
      </c>
      <c r="B5136" s="158">
        <v>14.87</v>
      </c>
    </row>
    <row r="5137" spans="1:2" x14ac:dyDescent="0.25">
      <c r="A5137" s="157">
        <v>29829</v>
      </c>
      <c r="B5137" s="158">
        <v>15.15</v>
      </c>
    </row>
    <row r="5138" spans="1:2" x14ac:dyDescent="0.25">
      <c r="A5138" s="157">
        <v>29830</v>
      </c>
      <c r="B5138" s="158">
        <v>15.09</v>
      </c>
    </row>
    <row r="5139" spans="1:2" x14ac:dyDescent="0.25">
      <c r="A5139" s="157">
        <v>29831</v>
      </c>
      <c r="B5139" s="158">
        <v>15.11</v>
      </c>
    </row>
    <row r="5140" spans="1:2" x14ac:dyDescent="0.25">
      <c r="A5140" s="157">
        <v>29832</v>
      </c>
      <c r="B5140" s="158">
        <v>15.21</v>
      </c>
    </row>
    <row r="5141" spans="1:2" x14ac:dyDescent="0.25">
      <c r="A5141" s="157">
        <v>29833</v>
      </c>
      <c r="B5141" s="158">
        <v>15.24</v>
      </c>
    </row>
    <row r="5142" spans="1:2" x14ac:dyDescent="0.25">
      <c r="A5142" s="157">
        <v>29836</v>
      </c>
      <c r="B5142" s="158" t="e">
        <f>NA()</f>
        <v>#N/A</v>
      </c>
    </row>
    <row r="5143" spans="1:2" x14ac:dyDescent="0.25">
      <c r="A5143" s="157">
        <v>29837</v>
      </c>
      <c r="B5143" s="158">
        <v>15.36</v>
      </c>
    </row>
    <row r="5144" spans="1:2" x14ac:dyDescent="0.25">
      <c r="A5144" s="157">
        <v>29838</v>
      </c>
      <c r="B5144" s="158">
        <v>15.23</v>
      </c>
    </row>
    <row r="5145" spans="1:2" x14ac:dyDescent="0.25">
      <c r="A5145" s="157">
        <v>29839</v>
      </c>
      <c r="B5145" s="158">
        <v>15.03</v>
      </c>
    </row>
    <row r="5146" spans="1:2" x14ac:dyDescent="0.25">
      <c r="A5146" s="157">
        <v>29840</v>
      </c>
      <c r="B5146" s="158">
        <v>14.86</v>
      </c>
    </row>
    <row r="5147" spans="1:2" x14ac:dyDescent="0.25">
      <c r="A5147" s="157">
        <v>29843</v>
      </c>
      <c r="B5147" s="158">
        <v>14.92</v>
      </c>
    </row>
    <row r="5148" spans="1:2" x14ac:dyDescent="0.25">
      <c r="A5148" s="157">
        <v>29844</v>
      </c>
      <c r="B5148" s="158">
        <v>14.8</v>
      </c>
    </row>
    <row r="5149" spans="1:2" x14ac:dyDescent="0.25">
      <c r="A5149" s="157">
        <v>29845</v>
      </c>
      <c r="B5149" s="158">
        <v>14.82</v>
      </c>
    </row>
    <row r="5150" spans="1:2" x14ac:dyDescent="0.25">
      <c r="A5150" s="157">
        <v>29846</v>
      </c>
      <c r="B5150" s="158">
        <v>14.68</v>
      </c>
    </row>
    <row r="5151" spans="1:2" x14ac:dyDescent="0.25">
      <c r="A5151" s="157">
        <v>29847</v>
      </c>
      <c r="B5151" s="158">
        <v>14.57</v>
      </c>
    </row>
    <row r="5152" spans="1:2" x14ac:dyDescent="0.25">
      <c r="A5152" s="157">
        <v>29850</v>
      </c>
      <c r="B5152" s="158">
        <v>14.45</v>
      </c>
    </row>
    <row r="5153" spans="1:2" x14ac:dyDescent="0.25">
      <c r="A5153" s="157">
        <v>29851</v>
      </c>
      <c r="B5153" s="158">
        <v>14.68</v>
      </c>
    </row>
    <row r="5154" spans="1:2" x14ac:dyDescent="0.25">
      <c r="A5154" s="157">
        <v>29852</v>
      </c>
      <c r="B5154" s="158">
        <v>14.93</v>
      </c>
    </row>
    <row r="5155" spans="1:2" x14ac:dyDescent="0.25">
      <c r="A5155" s="157">
        <v>29853</v>
      </c>
      <c r="B5155" s="158">
        <v>15.05</v>
      </c>
    </row>
    <row r="5156" spans="1:2" x14ac:dyDescent="0.25">
      <c r="A5156" s="157">
        <v>29854</v>
      </c>
      <c r="B5156" s="158">
        <v>15.53</v>
      </c>
    </row>
    <row r="5157" spans="1:2" x14ac:dyDescent="0.25">
      <c r="A5157" s="157">
        <v>29857</v>
      </c>
      <c r="B5157" s="158">
        <v>15.45</v>
      </c>
    </row>
    <row r="5158" spans="1:2" x14ac:dyDescent="0.25">
      <c r="A5158" s="157">
        <v>29858</v>
      </c>
      <c r="B5158" s="158">
        <v>15.63</v>
      </c>
    </row>
    <row r="5159" spans="1:2" x14ac:dyDescent="0.25">
      <c r="A5159" s="157">
        <v>29859</v>
      </c>
      <c r="B5159" s="158">
        <v>15.78</v>
      </c>
    </row>
    <row r="5160" spans="1:2" x14ac:dyDescent="0.25">
      <c r="A5160" s="157">
        <v>29860</v>
      </c>
      <c r="B5160" s="158">
        <v>15.62</v>
      </c>
    </row>
    <row r="5161" spans="1:2" x14ac:dyDescent="0.25">
      <c r="A5161" s="157">
        <v>29861</v>
      </c>
      <c r="B5161" s="158">
        <v>15.28</v>
      </c>
    </row>
    <row r="5162" spans="1:2" x14ac:dyDescent="0.25">
      <c r="A5162" s="157">
        <v>29864</v>
      </c>
      <c r="B5162" s="158">
        <v>15.09</v>
      </c>
    </row>
    <row r="5163" spans="1:2" x14ac:dyDescent="0.25">
      <c r="A5163" s="157">
        <v>29865</v>
      </c>
      <c r="B5163" s="158">
        <v>15.1</v>
      </c>
    </row>
    <row r="5164" spans="1:2" x14ac:dyDescent="0.25">
      <c r="A5164" s="157">
        <v>29866</v>
      </c>
      <c r="B5164" s="158">
        <v>15.03</v>
      </c>
    </row>
    <row r="5165" spans="1:2" x14ac:dyDescent="0.25">
      <c r="A5165" s="157">
        <v>29867</v>
      </c>
      <c r="B5165" s="158">
        <v>14.95</v>
      </c>
    </row>
    <row r="5166" spans="1:2" x14ac:dyDescent="0.25">
      <c r="A5166" s="157">
        <v>29868</v>
      </c>
      <c r="B5166" s="158">
        <v>14.72</v>
      </c>
    </row>
    <row r="5167" spans="1:2" x14ac:dyDescent="0.25">
      <c r="A5167" s="157">
        <v>29871</v>
      </c>
      <c r="B5167" s="158" t="e">
        <f>NA()</f>
        <v>#N/A</v>
      </c>
    </row>
    <row r="5168" spans="1:2" x14ac:dyDescent="0.25">
      <c r="A5168" s="157">
        <v>29872</v>
      </c>
      <c r="B5168" s="158">
        <v>14.9</v>
      </c>
    </row>
    <row r="5169" spans="1:2" x14ac:dyDescent="0.25">
      <c r="A5169" s="157">
        <v>29873</v>
      </c>
      <c r="B5169" s="158">
        <v>14.95</v>
      </c>
    </row>
    <row r="5170" spans="1:2" x14ac:dyDescent="0.25">
      <c r="A5170" s="157">
        <v>29874</v>
      </c>
      <c r="B5170" s="158">
        <v>14.86</v>
      </c>
    </row>
    <row r="5171" spans="1:2" x14ac:dyDescent="0.25">
      <c r="A5171" s="157">
        <v>29875</v>
      </c>
      <c r="B5171" s="158">
        <v>14.98</v>
      </c>
    </row>
    <row r="5172" spans="1:2" x14ac:dyDescent="0.25">
      <c r="A5172" s="157">
        <v>29878</v>
      </c>
      <c r="B5172" s="158">
        <v>14.94</v>
      </c>
    </row>
    <row r="5173" spans="1:2" x14ac:dyDescent="0.25">
      <c r="A5173" s="157">
        <v>29879</v>
      </c>
      <c r="B5173" s="158">
        <v>15.05</v>
      </c>
    </row>
    <row r="5174" spans="1:2" x14ac:dyDescent="0.25">
      <c r="A5174" s="157">
        <v>29880</v>
      </c>
      <c r="B5174" s="158">
        <v>15.32</v>
      </c>
    </row>
    <row r="5175" spans="1:2" x14ac:dyDescent="0.25">
      <c r="A5175" s="157">
        <v>29881</v>
      </c>
      <c r="B5175" s="158">
        <v>15.33</v>
      </c>
    </row>
    <row r="5176" spans="1:2" x14ac:dyDescent="0.25">
      <c r="A5176" s="157">
        <v>29882</v>
      </c>
      <c r="B5176" s="158">
        <v>15.26</v>
      </c>
    </row>
    <row r="5177" spans="1:2" x14ac:dyDescent="0.25">
      <c r="A5177" s="157">
        <v>29885</v>
      </c>
      <c r="B5177" s="158">
        <v>15.59</v>
      </c>
    </row>
    <row r="5178" spans="1:2" x14ac:dyDescent="0.25">
      <c r="A5178" s="157">
        <v>29886</v>
      </c>
      <c r="B5178" s="158">
        <v>15.47</v>
      </c>
    </row>
    <row r="5179" spans="1:2" x14ac:dyDescent="0.25">
      <c r="A5179" s="157">
        <v>29887</v>
      </c>
      <c r="B5179" s="158">
        <v>15.42</v>
      </c>
    </row>
    <row r="5180" spans="1:2" x14ac:dyDescent="0.25">
      <c r="A5180" s="157">
        <v>29888</v>
      </c>
      <c r="B5180" s="158">
        <v>15.13</v>
      </c>
    </row>
    <row r="5181" spans="1:2" x14ac:dyDescent="0.25">
      <c r="A5181" s="157">
        <v>29889</v>
      </c>
      <c r="B5181" s="158">
        <v>14.75</v>
      </c>
    </row>
    <row r="5182" spans="1:2" x14ac:dyDescent="0.25">
      <c r="A5182" s="157">
        <v>29892</v>
      </c>
      <c r="B5182" s="158">
        <v>14.74</v>
      </c>
    </row>
    <row r="5183" spans="1:2" x14ac:dyDescent="0.25">
      <c r="A5183" s="157">
        <v>29893</v>
      </c>
      <c r="B5183" s="158" t="e">
        <f>NA()</f>
        <v>#N/A</v>
      </c>
    </row>
    <row r="5184" spans="1:2" x14ac:dyDescent="0.25">
      <c r="A5184" s="157">
        <v>29894</v>
      </c>
      <c r="B5184" s="158">
        <v>14.34</v>
      </c>
    </row>
    <row r="5185" spans="1:2" x14ac:dyDescent="0.25">
      <c r="A5185" s="157">
        <v>29895</v>
      </c>
      <c r="B5185" s="158">
        <v>14.39</v>
      </c>
    </row>
    <row r="5186" spans="1:2" x14ac:dyDescent="0.25">
      <c r="A5186" s="157">
        <v>29896</v>
      </c>
      <c r="B5186" s="158">
        <v>14.18</v>
      </c>
    </row>
    <row r="5187" spans="1:2" x14ac:dyDescent="0.25">
      <c r="A5187" s="157">
        <v>29899</v>
      </c>
      <c r="B5187" s="158">
        <v>13.78</v>
      </c>
    </row>
    <row r="5188" spans="1:2" x14ac:dyDescent="0.25">
      <c r="A5188" s="157">
        <v>29900</v>
      </c>
      <c r="B5188" s="158">
        <v>13.72</v>
      </c>
    </row>
    <row r="5189" spans="1:2" x14ac:dyDescent="0.25">
      <c r="A5189" s="157">
        <v>29901</v>
      </c>
      <c r="B5189" s="158" t="e">
        <f>NA()</f>
        <v>#N/A</v>
      </c>
    </row>
    <row r="5190" spans="1:2" x14ac:dyDescent="0.25">
      <c r="A5190" s="157">
        <v>29902</v>
      </c>
      <c r="B5190" s="158">
        <v>13.49</v>
      </c>
    </row>
    <row r="5191" spans="1:2" x14ac:dyDescent="0.25">
      <c r="A5191" s="157">
        <v>29903</v>
      </c>
      <c r="B5191" s="158">
        <v>13.45</v>
      </c>
    </row>
    <row r="5192" spans="1:2" x14ac:dyDescent="0.25">
      <c r="A5192" s="157">
        <v>29906</v>
      </c>
      <c r="B5192" s="158">
        <v>13.31</v>
      </c>
    </row>
    <row r="5193" spans="1:2" x14ac:dyDescent="0.25">
      <c r="A5193" s="157">
        <v>29907</v>
      </c>
      <c r="B5193" s="158">
        <v>13.45</v>
      </c>
    </row>
    <row r="5194" spans="1:2" x14ac:dyDescent="0.25">
      <c r="A5194" s="157">
        <v>29908</v>
      </c>
      <c r="B5194" s="158">
        <v>13.24</v>
      </c>
    </row>
    <row r="5195" spans="1:2" x14ac:dyDescent="0.25">
      <c r="A5195" s="157">
        <v>29909</v>
      </c>
      <c r="B5195" s="158">
        <v>13.2</v>
      </c>
    </row>
    <row r="5196" spans="1:2" x14ac:dyDescent="0.25">
      <c r="A5196" s="157">
        <v>29910</v>
      </c>
      <c r="B5196" s="158">
        <v>13.23</v>
      </c>
    </row>
    <row r="5197" spans="1:2" x14ac:dyDescent="0.25">
      <c r="A5197" s="157">
        <v>29913</v>
      </c>
      <c r="B5197" s="158">
        <v>13.44</v>
      </c>
    </row>
    <row r="5198" spans="1:2" x14ac:dyDescent="0.25">
      <c r="A5198" s="157">
        <v>29914</v>
      </c>
      <c r="B5198" s="158">
        <v>13.14</v>
      </c>
    </row>
    <row r="5199" spans="1:2" x14ac:dyDescent="0.25">
      <c r="A5199" s="157">
        <v>29915</v>
      </c>
      <c r="B5199" s="158">
        <v>12.98</v>
      </c>
    </row>
    <row r="5200" spans="1:2" x14ac:dyDescent="0.25">
      <c r="A5200" s="157">
        <v>29916</v>
      </c>
      <c r="B5200" s="158" t="e">
        <f>NA()</f>
        <v>#N/A</v>
      </c>
    </row>
    <row r="5201" spans="1:2" x14ac:dyDescent="0.25">
      <c r="A5201" s="157">
        <v>29917</v>
      </c>
      <c r="B5201" s="158">
        <v>12.92</v>
      </c>
    </row>
    <row r="5202" spans="1:2" x14ac:dyDescent="0.25">
      <c r="A5202" s="157">
        <v>29920</v>
      </c>
      <c r="B5202" s="158">
        <v>13.13</v>
      </c>
    </row>
    <row r="5203" spans="1:2" x14ac:dyDescent="0.25">
      <c r="A5203" s="157">
        <v>29921</v>
      </c>
      <c r="B5203" s="158">
        <v>13.37</v>
      </c>
    </row>
    <row r="5204" spans="1:2" x14ac:dyDescent="0.25">
      <c r="A5204" s="157">
        <v>29922</v>
      </c>
      <c r="B5204" s="158">
        <v>13.49</v>
      </c>
    </row>
    <row r="5205" spans="1:2" x14ac:dyDescent="0.25">
      <c r="A5205" s="157">
        <v>29923</v>
      </c>
      <c r="B5205" s="158">
        <v>13.45</v>
      </c>
    </row>
    <row r="5206" spans="1:2" x14ac:dyDescent="0.25">
      <c r="A5206" s="157">
        <v>29924</v>
      </c>
      <c r="B5206" s="158">
        <v>13.15</v>
      </c>
    </row>
    <row r="5207" spans="1:2" x14ac:dyDescent="0.25">
      <c r="A5207" s="157">
        <v>29927</v>
      </c>
      <c r="B5207" s="158">
        <v>13.5</v>
      </c>
    </row>
    <row r="5208" spans="1:2" x14ac:dyDescent="0.25">
      <c r="A5208" s="157">
        <v>29928</v>
      </c>
      <c r="B5208" s="158">
        <v>13.5</v>
      </c>
    </row>
    <row r="5209" spans="1:2" x14ac:dyDescent="0.25">
      <c r="A5209" s="157">
        <v>29929</v>
      </c>
      <c r="B5209" s="158">
        <v>13.64</v>
      </c>
    </row>
    <row r="5210" spans="1:2" x14ac:dyDescent="0.25">
      <c r="A5210" s="157">
        <v>29930</v>
      </c>
      <c r="B5210" s="158">
        <v>13.8</v>
      </c>
    </row>
    <row r="5211" spans="1:2" x14ac:dyDescent="0.25">
      <c r="A5211" s="157">
        <v>29931</v>
      </c>
      <c r="B5211" s="158">
        <v>13.84</v>
      </c>
    </row>
    <row r="5212" spans="1:2" x14ac:dyDescent="0.25">
      <c r="A5212" s="157">
        <v>29934</v>
      </c>
      <c r="B5212" s="158">
        <v>13.62</v>
      </c>
    </row>
    <row r="5213" spans="1:2" x14ac:dyDescent="0.25">
      <c r="A5213" s="157">
        <v>29935</v>
      </c>
      <c r="B5213" s="158">
        <v>13.55</v>
      </c>
    </row>
    <row r="5214" spans="1:2" x14ac:dyDescent="0.25">
      <c r="A5214" s="157">
        <v>29936</v>
      </c>
      <c r="B5214" s="158">
        <v>13.53</v>
      </c>
    </row>
    <row r="5215" spans="1:2" x14ac:dyDescent="0.25">
      <c r="A5215" s="157">
        <v>29937</v>
      </c>
      <c r="B5215" s="158">
        <v>13.71</v>
      </c>
    </row>
    <row r="5216" spans="1:2" x14ac:dyDescent="0.25">
      <c r="A5216" s="157">
        <v>29938</v>
      </c>
      <c r="B5216" s="158">
        <v>13.51</v>
      </c>
    </row>
    <row r="5217" spans="1:2" x14ac:dyDescent="0.25">
      <c r="A5217" s="157">
        <v>29941</v>
      </c>
      <c r="B5217" s="158">
        <v>13.83</v>
      </c>
    </row>
    <row r="5218" spans="1:2" x14ac:dyDescent="0.25">
      <c r="A5218" s="157">
        <v>29942</v>
      </c>
      <c r="B5218" s="158">
        <v>14.02</v>
      </c>
    </row>
    <row r="5219" spans="1:2" x14ac:dyDescent="0.25">
      <c r="A5219" s="157">
        <v>29943</v>
      </c>
      <c r="B5219" s="158">
        <v>14.14</v>
      </c>
    </row>
    <row r="5220" spans="1:2" x14ac:dyDescent="0.25">
      <c r="A5220" s="157">
        <v>29944</v>
      </c>
      <c r="B5220" s="158">
        <v>14.01</v>
      </c>
    </row>
    <row r="5221" spans="1:2" x14ac:dyDescent="0.25">
      <c r="A5221" s="157">
        <v>29945</v>
      </c>
      <c r="B5221" s="158" t="e">
        <f>NA()</f>
        <v>#N/A</v>
      </c>
    </row>
    <row r="5222" spans="1:2" x14ac:dyDescent="0.25">
      <c r="A5222" s="157">
        <v>29948</v>
      </c>
      <c r="B5222" s="158">
        <v>14.01</v>
      </c>
    </row>
    <row r="5223" spans="1:2" x14ac:dyDescent="0.25">
      <c r="A5223" s="157">
        <v>29949</v>
      </c>
      <c r="B5223" s="158">
        <v>14.12</v>
      </c>
    </row>
    <row r="5224" spans="1:2" x14ac:dyDescent="0.25">
      <c r="A5224" s="157">
        <v>29950</v>
      </c>
      <c r="B5224" s="158">
        <v>14.26</v>
      </c>
    </row>
    <row r="5225" spans="1:2" x14ac:dyDescent="0.25">
      <c r="A5225" s="157">
        <v>29951</v>
      </c>
      <c r="B5225" s="158">
        <v>14.04</v>
      </c>
    </row>
    <row r="5226" spans="1:2" x14ac:dyDescent="0.25">
      <c r="A5226" s="157">
        <v>29952</v>
      </c>
      <c r="B5226" s="158" t="e">
        <f>NA()</f>
        <v>#N/A</v>
      </c>
    </row>
    <row r="5227" spans="1:2" x14ac:dyDescent="0.25">
      <c r="A5227" s="157">
        <v>29955</v>
      </c>
      <c r="B5227" s="158">
        <v>14.24</v>
      </c>
    </row>
    <row r="5228" spans="1:2" x14ac:dyDescent="0.25">
      <c r="A5228" s="157">
        <v>29956</v>
      </c>
      <c r="B5228" s="158">
        <v>14.52</v>
      </c>
    </row>
    <row r="5229" spans="1:2" x14ac:dyDescent="0.25">
      <c r="A5229" s="157">
        <v>29957</v>
      </c>
      <c r="B5229" s="158">
        <v>14.67</v>
      </c>
    </row>
    <row r="5230" spans="1:2" x14ac:dyDescent="0.25">
      <c r="A5230" s="157">
        <v>29958</v>
      </c>
      <c r="B5230" s="158">
        <v>14.71</v>
      </c>
    </row>
    <row r="5231" spans="1:2" x14ac:dyDescent="0.25">
      <c r="A5231" s="157">
        <v>29959</v>
      </c>
      <c r="B5231" s="158">
        <v>14.52</v>
      </c>
    </row>
    <row r="5232" spans="1:2" x14ac:dyDescent="0.25">
      <c r="A5232" s="157">
        <v>29962</v>
      </c>
      <c r="B5232" s="158">
        <v>14.8</v>
      </c>
    </row>
    <row r="5233" spans="1:2" x14ac:dyDescent="0.25">
      <c r="A5233" s="157">
        <v>29963</v>
      </c>
      <c r="B5233" s="158">
        <v>14.64</v>
      </c>
    </row>
    <row r="5234" spans="1:2" x14ac:dyDescent="0.25">
      <c r="A5234" s="157">
        <v>29964</v>
      </c>
      <c r="B5234" s="158">
        <v>14.85</v>
      </c>
    </row>
    <row r="5235" spans="1:2" x14ac:dyDescent="0.25">
      <c r="A5235" s="157">
        <v>29965</v>
      </c>
      <c r="B5235" s="158">
        <v>14.65</v>
      </c>
    </row>
    <row r="5236" spans="1:2" x14ac:dyDescent="0.25">
      <c r="A5236" s="157">
        <v>29966</v>
      </c>
      <c r="B5236" s="158">
        <v>14.76</v>
      </c>
    </row>
    <row r="5237" spans="1:2" x14ac:dyDescent="0.25">
      <c r="A5237" s="157">
        <v>29969</v>
      </c>
      <c r="B5237" s="158">
        <v>14.6</v>
      </c>
    </row>
    <row r="5238" spans="1:2" x14ac:dyDescent="0.25">
      <c r="A5238" s="157">
        <v>29970</v>
      </c>
      <c r="B5238" s="158">
        <v>14.74</v>
      </c>
    </row>
    <row r="5239" spans="1:2" x14ac:dyDescent="0.25">
      <c r="A5239" s="157">
        <v>29971</v>
      </c>
      <c r="B5239" s="158">
        <v>14.68</v>
      </c>
    </row>
    <row r="5240" spans="1:2" x14ac:dyDescent="0.25">
      <c r="A5240" s="157">
        <v>29972</v>
      </c>
      <c r="B5240" s="158">
        <v>14.54</v>
      </c>
    </row>
    <row r="5241" spans="1:2" x14ac:dyDescent="0.25">
      <c r="A5241" s="157">
        <v>29973</v>
      </c>
      <c r="B5241" s="158">
        <v>14.55</v>
      </c>
    </row>
    <row r="5242" spans="1:2" x14ac:dyDescent="0.25">
      <c r="A5242" s="157">
        <v>29976</v>
      </c>
      <c r="B5242" s="158">
        <v>14.51</v>
      </c>
    </row>
    <row r="5243" spans="1:2" x14ac:dyDescent="0.25">
      <c r="A5243" s="157">
        <v>29977</v>
      </c>
      <c r="B5243" s="158">
        <v>14.44</v>
      </c>
    </row>
    <row r="5244" spans="1:2" x14ac:dyDescent="0.25">
      <c r="A5244" s="157">
        <v>29978</v>
      </c>
      <c r="B5244" s="158">
        <v>14.45</v>
      </c>
    </row>
    <row r="5245" spans="1:2" x14ac:dyDescent="0.25">
      <c r="A5245" s="157">
        <v>29979</v>
      </c>
      <c r="B5245" s="158">
        <v>14.25</v>
      </c>
    </row>
    <row r="5246" spans="1:2" x14ac:dyDescent="0.25">
      <c r="A5246" s="157">
        <v>29980</v>
      </c>
      <c r="B5246" s="158">
        <v>14.21</v>
      </c>
    </row>
    <row r="5247" spans="1:2" x14ac:dyDescent="0.25">
      <c r="A5247" s="157">
        <v>29983</v>
      </c>
      <c r="B5247" s="158">
        <v>14.61</v>
      </c>
    </row>
    <row r="5248" spans="1:2" x14ac:dyDescent="0.25">
      <c r="A5248" s="157">
        <v>29984</v>
      </c>
      <c r="B5248" s="158">
        <v>14.53</v>
      </c>
    </row>
    <row r="5249" spans="1:2" x14ac:dyDescent="0.25">
      <c r="A5249" s="157">
        <v>29985</v>
      </c>
      <c r="B5249" s="158">
        <v>14.67</v>
      </c>
    </row>
    <row r="5250" spans="1:2" x14ac:dyDescent="0.25">
      <c r="A5250" s="157">
        <v>29986</v>
      </c>
      <c r="B5250" s="158">
        <v>14.81</v>
      </c>
    </row>
    <row r="5251" spans="1:2" x14ac:dyDescent="0.25">
      <c r="A5251" s="157">
        <v>29987</v>
      </c>
      <c r="B5251" s="158">
        <v>14.71</v>
      </c>
    </row>
    <row r="5252" spans="1:2" x14ac:dyDescent="0.25">
      <c r="A5252" s="157">
        <v>29990</v>
      </c>
      <c r="B5252" s="158">
        <v>15</v>
      </c>
    </row>
    <row r="5253" spans="1:2" x14ac:dyDescent="0.25">
      <c r="A5253" s="157">
        <v>29991</v>
      </c>
      <c r="B5253" s="158">
        <v>15.06</v>
      </c>
    </row>
    <row r="5254" spans="1:2" x14ac:dyDescent="0.25">
      <c r="A5254" s="157">
        <v>29992</v>
      </c>
      <c r="B5254" s="158">
        <v>14.95</v>
      </c>
    </row>
    <row r="5255" spans="1:2" x14ac:dyDescent="0.25">
      <c r="A5255" s="157">
        <v>29993</v>
      </c>
      <c r="B5255" s="158">
        <v>14.8</v>
      </c>
    </row>
    <row r="5256" spans="1:2" x14ac:dyDescent="0.25">
      <c r="A5256" s="157">
        <v>29994</v>
      </c>
      <c r="B5256" s="158" t="e">
        <f>NA()</f>
        <v>#N/A</v>
      </c>
    </row>
    <row r="5257" spans="1:2" x14ac:dyDescent="0.25">
      <c r="A5257" s="157">
        <v>29997</v>
      </c>
      <c r="B5257" s="158" t="e">
        <f>NA()</f>
        <v>#N/A</v>
      </c>
    </row>
    <row r="5258" spans="1:2" x14ac:dyDescent="0.25">
      <c r="A5258" s="157">
        <v>29998</v>
      </c>
      <c r="B5258" s="158">
        <v>14.6</v>
      </c>
    </row>
    <row r="5259" spans="1:2" x14ac:dyDescent="0.25">
      <c r="A5259" s="157">
        <v>29999</v>
      </c>
      <c r="B5259" s="158">
        <v>14.55</v>
      </c>
    </row>
    <row r="5260" spans="1:2" x14ac:dyDescent="0.25">
      <c r="A5260" s="157">
        <v>30000</v>
      </c>
      <c r="B5260" s="158">
        <v>14.32</v>
      </c>
    </row>
    <row r="5261" spans="1:2" x14ac:dyDescent="0.25">
      <c r="A5261" s="157">
        <v>30001</v>
      </c>
      <c r="B5261" s="158">
        <v>14.29</v>
      </c>
    </row>
    <row r="5262" spans="1:2" x14ac:dyDescent="0.25">
      <c r="A5262" s="157">
        <v>30004</v>
      </c>
      <c r="B5262" s="158">
        <v>13.89</v>
      </c>
    </row>
    <row r="5263" spans="1:2" x14ac:dyDescent="0.25">
      <c r="A5263" s="157">
        <v>30005</v>
      </c>
      <c r="B5263" s="158">
        <v>13.99</v>
      </c>
    </row>
    <row r="5264" spans="1:2" x14ac:dyDescent="0.25">
      <c r="A5264" s="157">
        <v>30006</v>
      </c>
      <c r="B5264" s="158">
        <v>13.86</v>
      </c>
    </row>
    <row r="5265" spans="1:2" x14ac:dyDescent="0.25">
      <c r="A5265" s="157">
        <v>30007</v>
      </c>
      <c r="B5265" s="158">
        <v>13.96</v>
      </c>
    </row>
    <row r="5266" spans="1:2" x14ac:dyDescent="0.25">
      <c r="A5266" s="157">
        <v>30008</v>
      </c>
      <c r="B5266" s="158">
        <v>14.09</v>
      </c>
    </row>
    <row r="5267" spans="1:2" x14ac:dyDescent="0.25">
      <c r="A5267" s="157">
        <v>30011</v>
      </c>
      <c r="B5267" s="158">
        <v>13.87</v>
      </c>
    </row>
    <row r="5268" spans="1:2" x14ac:dyDescent="0.25">
      <c r="A5268" s="157">
        <v>30012</v>
      </c>
      <c r="B5268" s="158">
        <v>13.69</v>
      </c>
    </row>
    <row r="5269" spans="1:2" x14ac:dyDescent="0.25">
      <c r="A5269" s="157">
        <v>30013</v>
      </c>
      <c r="B5269" s="158">
        <v>13.62</v>
      </c>
    </row>
    <row r="5270" spans="1:2" x14ac:dyDescent="0.25">
      <c r="A5270" s="157">
        <v>30014</v>
      </c>
      <c r="B5270" s="158">
        <v>13.55</v>
      </c>
    </row>
    <row r="5271" spans="1:2" x14ac:dyDescent="0.25">
      <c r="A5271" s="157">
        <v>30015</v>
      </c>
      <c r="B5271" s="158">
        <v>13.56</v>
      </c>
    </row>
    <row r="5272" spans="1:2" x14ac:dyDescent="0.25">
      <c r="A5272" s="157">
        <v>30018</v>
      </c>
      <c r="B5272" s="158">
        <v>13.69</v>
      </c>
    </row>
    <row r="5273" spans="1:2" x14ac:dyDescent="0.25">
      <c r="A5273" s="157">
        <v>30019</v>
      </c>
      <c r="B5273" s="158">
        <v>13.69</v>
      </c>
    </row>
    <row r="5274" spans="1:2" x14ac:dyDescent="0.25">
      <c r="A5274" s="157">
        <v>30020</v>
      </c>
      <c r="B5274" s="158">
        <v>13.71</v>
      </c>
    </row>
    <row r="5275" spans="1:2" x14ac:dyDescent="0.25">
      <c r="A5275" s="157">
        <v>30021</v>
      </c>
      <c r="B5275" s="158">
        <v>13.86</v>
      </c>
    </row>
    <row r="5276" spans="1:2" x14ac:dyDescent="0.25">
      <c r="A5276" s="157">
        <v>30022</v>
      </c>
      <c r="B5276" s="158">
        <v>13.88</v>
      </c>
    </row>
    <row r="5277" spans="1:2" x14ac:dyDescent="0.25">
      <c r="A5277" s="157">
        <v>30025</v>
      </c>
      <c r="B5277" s="158">
        <v>13.79</v>
      </c>
    </row>
    <row r="5278" spans="1:2" x14ac:dyDescent="0.25">
      <c r="A5278" s="157">
        <v>30026</v>
      </c>
      <c r="B5278" s="158">
        <v>13.77</v>
      </c>
    </row>
    <row r="5279" spans="1:2" x14ac:dyDescent="0.25">
      <c r="A5279" s="157">
        <v>30027</v>
      </c>
      <c r="B5279" s="158">
        <v>13.72</v>
      </c>
    </row>
    <row r="5280" spans="1:2" x14ac:dyDescent="0.25">
      <c r="A5280" s="157">
        <v>30028</v>
      </c>
      <c r="B5280" s="158">
        <v>13.72</v>
      </c>
    </row>
    <row r="5281" spans="1:2" x14ac:dyDescent="0.25">
      <c r="A5281" s="157">
        <v>30029</v>
      </c>
      <c r="B5281" s="158">
        <v>13.79</v>
      </c>
    </row>
    <row r="5282" spans="1:2" x14ac:dyDescent="0.25">
      <c r="A5282" s="157">
        <v>30032</v>
      </c>
      <c r="B5282" s="158">
        <v>13.59</v>
      </c>
    </row>
    <row r="5283" spans="1:2" x14ac:dyDescent="0.25">
      <c r="A5283" s="157">
        <v>30033</v>
      </c>
      <c r="B5283" s="158">
        <v>13.53</v>
      </c>
    </row>
    <row r="5284" spans="1:2" x14ac:dyDescent="0.25">
      <c r="A5284" s="157">
        <v>30034</v>
      </c>
      <c r="B5284" s="158">
        <v>13.72</v>
      </c>
    </row>
    <row r="5285" spans="1:2" x14ac:dyDescent="0.25">
      <c r="A5285" s="157">
        <v>30035</v>
      </c>
      <c r="B5285" s="158">
        <v>13.73</v>
      </c>
    </row>
    <row r="5286" spans="1:2" x14ac:dyDescent="0.25">
      <c r="A5286" s="157">
        <v>30036</v>
      </c>
      <c r="B5286" s="158">
        <v>13.88</v>
      </c>
    </row>
    <row r="5287" spans="1:2" x14ac:dyDescent="0.25">
      <c r="A5287" s="157">
        <v>30039</v>
      </c>
      <c r="B5287" s="158">
        <v>14.02</v>
      </c>
    </row>
    <row r="5288" spans="1:2" x14ac:dyDescent="0.25">
      <c r="A5288" s="157">
        <v>30040</v>
      </c>
      <c r="B5288" s="158">
        <v>14.05</v>
      </c>
    </row>
    <row r="5289" spans="1:2" x14ac:dyDescent="0.25">
      <c r="A5289" s="157">
        <v>30041</v>
      </c>
      <c r="B5289" s="158">
        <v>13.89</v>
      </c>
    </row>
    <row r="5290" spans="1:2" x14ac:dyDescent="0.25">
      <c r="A5290" s="157">
        <v>30042</v>
      </c>
      <c r="B5290" s="158">
        <v>13.82</v>
      </c>
    </row>
    <row r="5291" spans="1:2" x14ac:dyDescent="0.25">
      <c r="A5291" s="157">
        <v>30043</v>
      </c>
      <c r="B5291" s="158">
        <v>13.84</v>
      </c>
    </row>
    <row r="5292" spans="1:2" x14ac:dyDescent="0.25">
      <c r="A5292" s="157">
        <v>30046</v>
      </c>
      <c r="B5292" s="158">
        <v>13.93</v>
      </c>
    </row>
    <row r="5293" spans="1:2" x14ac:dyDescent="0.25">
      <c r="A5293" s="157">
        <v>30047</v>
      </c>
      <c r="B5293" s="158">
        <v>13.94</v>
      </c>
    </row>
    <row r="5294" spans="1:2" x14ac:dyDescent="0.25">
      <c r="A5294" s="157">
        <v>30048</v>
      </c>
      <c r="B5294" s="158">
        <v>13.93</v>
      </c>
    </row>
    <row r="5295" spans="1:2" x14ac:dyDescent="0.25">
      <c r="A5295" s="157">
        <v>30049</v>
      </c>
      <c r="B5295" s="158">
        <v>13.7</v>
      </c>
    </row>
    <row r="5296" spans="1:2" x14ac:dyDescent="0.25">
      <c r="A5296" s="157">
        <v>30050</v>
      </c>
      <c r="B5296" s="158" t="e">
        <f>NA()</f>
        <v>#N/A</v>
      </c>
    </row>
    <row r="5297" spans="1:2" x14ac:dyDescent="0.25">
      <c r="A5297" s="157">
        <v>30053</v>
      </c>
      <c r="B5297" s="158">
        <v>13.55</v>
      </c>
    </row>
    <row r="5298" spans="1:2" x14ac:dyDescent="0.25">
      <c r="A5298" s="157">
        <v>30054</v>
      </c>
      <c r="B5298" s="158">
        <v>13.5</v>
      </c>
    </row>
    <row r="5299" spans="1:2" x14ac:dyDescent="0.25">
      <c r="A5299" s="157">
        <v>30055</v>
      </c>
      <c r="B5299" s="158">
        <v>13.62</v>
      </c>
    </row>
    <row r="5300" spans="1:2" x14ac:dyDescent="0.25">
      <c r="A5300" s="157">
        <v>30056</v>
      </c>
      <c r="B5300" s="158">
        <v>13.51</v>
      </c>
    </row>
    <row r="5301" spans="1:2" x14ac:dyDescent="0.25">
      <c r="A5301" s="157">
        <v>30057</v>
      </c>
      <c r="B5301" s="158">
        <v>13.36</v>
      </c>
    </row>
    <row r="5302" spans="1:2" x14ac:dyDescent="0.25">
      <c r="A5302" s="157">
        <v>30060</v>
      </c>
      <c r="B5302" s="158">
        <v>13.31</v>
      </c>
    </row>
    <row r="5303" spans="1:2" x14ac:dyDescent="0.25">
      <c r="A5303" s="157">
        <v>30061</v>
      </c>
      <c r="B5303" s="158">
        <v>13.41</v>
      </c>
    </row>
    <row r="5304" spans="1:2" x14ac:dyDescent="0.25">
      <c r="A5304" s="157">
        <v>30062</v>
      </c>
      <c r="B5304" s="158">
        <v>13.44</v>
      </c>
    </row>
    <row r="5305" spans="1:2" x14ac:dyDescent="0.25">
      <c r="A5305" s="157">
        <v>30063</v>
      </c>
      <c r="B5305" s="158">
        <v>13.43</v>
      </c>
    </row>
    <row r="5306" spans="1:2" x14ac:dyDescent="0.25">
      <c r="A5306" s="157">
        <v>30064</v>
      </c>
      <c r="B5306" s="158">
        <v>13.37</v>
      </c>
    </row>
    <row r="5307" spans="1:2" x14ac:dyDescent="0.25">
      <c r="A5307" s="157">
        <v>30067</v>
      </c>
      <c r="B5307" s="158">
        <v>13.34</v>
      </c>
    </row>
    <row r="5308" spans="1:2" x14ac:dyDescent="0.25">
      <c r="A5308" s="157">
        <v>30068</v>
      </c>
      <c r="B5308" s="158">
        <v>13.37</v>
      </c>
    </row>
    <row r="5309" spans="1:2" x14ac:dyDescent="0.25">
      <c r="A5309" s="157">
        <v>30069</v>
      </c>
      <c r="B5309" s="158">
        <v>13.47</v>
      </c>
    </row>
    <row r="5310" spans="1:2" x14ac:dyDescent="0.25">
      <c r="A5310" s="157">
        <v>30070</v>
      </c>
      <c r="B5310" s="158">
        <v>13.58</v>
      </c>
    </row>
    <row r="5311" spans="1:2" x14ac:dyDescent="0.25">
      <c r="A5311" s="157">
        <v>30071</v>
      </c>
      <c r="B5311" s="158">
        <v>13.57</v>
      </c>
    </row>
    <row r="5312" spans="1:2" x14ac:dyDescent="0.25">
      <c r="A5312" s="157">
        <v>30074</v>
      </c>
      <c r="B5312" s="158">
        <v>13.64</v>
      </c>
    </row>
    <row r="5313" spans="1:2" x14ac:dyDescent="0.25">
      <c r="A5313" s="157">
        <v>30075</v>
      </c>
      <c r="B5313" s="158">
        <v>13.55</v>
      </c>
    </row>
    <row r="5314" spans="1:2" x14ac:dyDescent="0.25">
      <c r="A5314" s="157">
        <v>30076</v>
      </c>
      <c r="B5314" s="158">
        <v>13.54</v>
      </c>
    </row>
    <row r="5315" spans="1:2" x14ac:dyDescent="0.25">
      <c r="A5315" s="157">
        <v>30077</v>
      </c>
      <c r="B5315" s="158">
        <v>13.33</v>
      </c>
    </row>
    <row r="5316" spans="1:2" x14ac:dyDescent="0.25">
      <c r="A5316" s="157">
        <v>30078</v>
      </c>
      <c r="B5316" s="158">
        <v>13.26</v>
      </c>
    </row>
    <row r="5317" spans="1:2" x14ac:dyDescent="0.25">
      <c r="A5317" s="157">
        <v>30081</v>
      </c>
      <c r="B5317" s="158">
        <v>13.34</v>
      </c>
    </row>
    <row r="5318" spans="1:2" x14ac:dyDescent="0.25">
      <c r="A5318" s="157">
        <v>30082</v>
      </c>
      <c r="B5318" s="158">
        <v>13.31</v>
      </c>
    </row>
    <row r="5319" spans="1:2" x14ac:dyDescent="0.25">
      <c r="A5319" s="157">
        <v>30083</v>
      </c>
      <c r="B5319" s="158">
        <v>13.43</v>
      </c>
    </row>
    <row r="5320" spans="1:2" x14ac:dyDescent="0.25">
      <c r="A5320" s="157">
        <v>30084</v>
      </c>
      <c r="B5320" s="158">
        <v>13.44</v>
      </c>
    </row>
    <row r="5321" spans="1:2" x14ac:dyDescent="0.25">
      <c r="A5321" s="157">
        <v>30085</v>
      </c>
      <c r="B5321" s="158">
        <v>13.34</v>
      </c>
    </row>
    <row r="5322" spans="1:2" x14ac:dyDescent="0.25">
      <c r="A5322" s="157">
        <v>30088</v>
      </c>
      <c r="B5322" s="158">
        <v>13.52</v>
      </c>
    </row>
    <row r="5323" spans="1:2" x14ac:dyDescent="0.25">
      <c r="A5323" s="157">
        <v>30089</v>
      </c>
      <c r="B5323" s="158">
        <v>13.49</v>
      </c>
    </row>
    <row r="5324" spans="1:2" x14ac:dyDescent="0.25">
      <c r="A5324" s="157">
        <v>30090</v>
      </c>
      <c r="B5324" s="158">
        <v>13.53</v>
      </c>
    </row>
    <row r="5325" spans="1:2" x14ac:dyDescent="0.25">
      <c r="A5325" s="157">
        <v>30091</v>
      </c>
      <c r="B5325" s="158">
        <v>13.43</v>
      </c>
    </row>
    <row r="5326" spans="1:2" x14ac:dyDescent="0.25">
      <c r="A5326" s="157">
        <v>30092</v>
      </c>
      <c r="B5326" s="158">
        <v>13.41</v>
      </c>
    </row>
    <row r="5327" spans="1:2" x14ac:dyDescent="0.25">
      <c r="A5327" s="157">
        <v>30095</v>
      </c>
      <c r="B5327" s="158">
        <v>13.44</v>
      </c>
    </row>
    <row r="5328" spans="1:2" x14ac:dyDescent="0.25">
      <c r="A5328" s="157">
        <v>30096</v>
      </c>
      <c r="B5328" s="158">
        <v>13.45</v>
      </c>
    </row>
    <row r="5329" spans="1:2" x14ac:dyDescent="0.25">
      <c r="A5329" s="157">
        <v>30097</v>
      </c>
      <c r="B5329" s="158">
        <v>13.52</v>
      </c>
    </row>
    <row r="5330" spans="1:2" x14ac:dyDescent="0.25">
      <c r="A5330" s="157">
        <v>30098</v>
      </c>
      <c r="B5330" s="158">
        <v>13.6</v>
      </c>
    </row>
    <row r="5331" spans="1:2" x14ac:dyDescent="0.25">
      <c r="A5331" s="157">
        <v>30099</v>
      </c>
      <c r="B5331" s="158">
        <v>13.63</v>
      </c>
    </row>
    <row r="5332" spans="1:2" x14ac:dyDescent="0.25">
      <c r="A5332" s="157">
        <v>30102</v>
      </c>
      <c r="B5332" s="158" t="e">
        <f>NA()</f>
        <v>#N/A</v>
      </c>
    </row>
    <row r="5333" spans="1:2" x14ac:dyDescent="0.25">
      <c r="A5333" s="157">
        <v>30103</v>
      </c>
      <c r="B5333" s="158">
        <v>13.9</v>
      </c>
    </row>
    <row r="5334" spans="1:2" x14ac:dyDescent="0.25">
      <c r="A5334" s="157">
        <v>30104</v>
      </c>
      <c r="B5334" s="158">
        <v>13.88</v>
      </c>
    </row>
    <row r="5335" spans="1:2" x14ac:dyDescent="0.25">
      <c r="A5335" s="157">
        <v>30105</v>
      </c>
      <c r="B5335" s="158">
        <v>13.89</v>
      </c>
    </row>
    <row r="5336" spans="1:2" x14ac:dyDescent="0.25">
      <c r="A5336" s="157">
        <v>30106</v>
      </c>
      <c r="B5336" s="158">
        <v>14.01</v>
      </c>
    </row>
    <row r="5337" spans="1:2" x14ac:dyDescent="0.25">
      <c r="A5337" s="157">
        <v>30109</v>
      </c>
      <c r="B5337" s="158">
        <v>13.91</v>
      </c>
    </row>
    <row r="5338" spans="1:2" x14ac:dyDescent="0.25">
      <c r="A5338" s="157">
        <v>30110</v>
      </c>
      <c r="B5338" s="158">
        <v>13.96</v>
      </c>
    </row>
    <row r="5339" spans="1:2" x14ac:dyDescent="0.25">
      <c r="A5339" s="157">
        <v>30111</v>
      </c>
      <c r="B5339" s="158">
        <v>13.94</v>
      </c>
    </row>
    <row r="5340" spans="1:2" x14ac:dyDescent="0.25">
      <c r="A5340" s="157">
        <v>30112</v>
      </c>
      <c r="B5340" s="158">
        <v>13.97</v>
      </c>
    </row>
    <row r="5341" spans="1:2" x14ac:dyDescent="0.25">
      <c r="A5341" s="157">
        <v>30113</v>
      </c>
      <c r="B5341" s="158">
        <v>13.86</v>
      </c>
    </row>
    <row r="5342" spans="1:2" x14ac:dyDescent="0.25">
      <c r="A5342" s="157">
        <v>30116</v>
      </c>
      <c r="B5342" s="158">
        <v>14.17</v>
      </c>
    </row>
    <row r="5343" spans="1:2" x14ac:dyDescent="0.25">
      <c r="A5343" s="157">
        <v>30117</v>
      </c>
      <c r="B5343" s="158">
        <v>14.15</v>
      </c>
    </row>
    <row r="5344" spans="1:2" x14ac:dyDescent="0.25">
      <c r="A5344" s="157">
        <v>30118</v>
      </c>
      <c r="B5344" s="158">
        <v>14.18</v>
      </c>
    </row>
    <row r="5345" spans="1:2" x14ac:dyDescent="0.25">
      <c r="A5345" s="157">
        <v>30119</v>
      </c>
      <c r="B5345" s="158">
        <v>14.36</v>
      </c>
    </row>
    <row r="5346" spans="1:2" x14ac:dyDescent="0.25">
      <c r="A5346" s="157">
        <v>30120</v>
      </c>
      <c r="B5346" s="158">
        <v>14.46</v>
      </c>
    </row>
    <row r="5347" spans="1:2" x14ac:dyDescent="0.25">
      <c r="A5347" s="157">
        <v>30123</v>
      </c>
      <c r="B5347" s="158">
        <v>14.43</v>
      </c>
    </row>
    <row r="5348" spans="1:2" x14ac:dyDescent="0.25">
      <c r="A5348" s="157">
        <v>30124</v>
      </c>
      <c r="B5348" s="158">
        <v>14.47</v>
      </c>
    </row>
    <row r="5349" spans="1:2" x14ac:dyDescent="0.25">
      <c r="A5349" s="157">
        <v>30125</v>
      </c>
      <c r="B5349" s="158">
        <v>14.52</v>
      </c>
    </row>
    <row r="5350" spans="1:2" x14ac:dyDescent="0.25">
      <c r="A5350" s="157">
        <v>30126</v>
      </c>
      <c r="B5350" s="158">
        <v>14.51</v>
      </c>
    </row>
    <row r="5351" spans="1:2" x14ac:dyDescent="0.25">
      <c r="A5351" s="157">
        <v>30127</v>
      </c>
      <c r="B5351" s="158">
        <v>14.49</v>
      </c>
    </row>
    <row r="5352" spans="1:2" x14ac:dyDescent="0.25">
      <c r="A5352" s="157">
        <v>30130</v>
      </c>
      <c r="B5352" s="158">
        <v>14.45</v>
      </c>
    </row>
    <row r="5353" spans="1:2" x14ac:dyDescent="0.25">
      <c r="A5353" s="157">
        <v>30131</v>
      </c>
      <c r="B5353" s="158">
        <v>14.36</v>
      </c>
    </row>
    <row r="5354" spans="1:2" x14ac:dyDescent="0.25">
      <c r="A5354" s="157">
        <v>30132</v>
      </c>
      <c r="B5354" s="158">
        <v>14.18</v>
      </c>
    </row>
    <row r="5355" spans="1:2" x14ac:dyDescent="0.25">
      <c r="A5355" s="157">
        <v>30133</v>
      </c>
      <c r="B5355" s="158">
        <v>14.15</v>
      </c>
    </row>
    <row r="5356" spans="1:2" x14ac:dyDescent="0.25">
      <c r="A5356" s="157">
        <v>30134</v>
      </c>
      <c r="B5356" s="158">
        <v>14.26</v>
      </c>
    </row>
    <row r="5357" spans="1:2" x14ac:dyDescent="0.25">
      <c r="A5357" s="157">
        <v>30137</v>
      </c>
      <c r="B5357" s="158" t="e">
        <f>NA()</f>
        <v>#N/A</v>
      </c>
    </row>
    <row r="5358" spans="1:2" x14ac:dyDescent="0.25">
      <c r="A5358" s="157">
        <v>30138</v>
      </c>
      <c r="B5358" s="158">
        <v>14.26</v>
      </c>
    </row>
    <row r="5359" spans="1:2" x14ac:dyDescent="0.25">
      <c r="A5359" s="157">
        <v>30139</v>
      </c>
      <c r="B5359" s="158">
        <v>14.28</v>
      </c>
    </row>
    <row r="5360" spans="1:2" x14ac:dyDescent="0.25">
      <c r="A5360" s="157">
        <v>30140</v>
      </c>
      <c r="B5360" s="158">
        <v>13.92</v>
      </c>
    </row>
    <row r="5361" spans="1:2" x14ac:dyDescent="0.25">
      <c r="A5361" s="157">
        <v>30141</v>
      </c>
      <c r="B5361" s="158">
        <v>13.78</v>
      </c>
    </row>
    <row r="5362" spans="1:2" x14ac:dyDescent="0.25">
      <c r="A5362" s="157">
        <v>30144</v>
      </c>
      <c r="B5362" s="158">
        <v>13.64</v>
      </c>
    </row>
    <row r="5363" spans="1:2" x14ac:dyDescent="0.25">
      <c r="A5363" s="157">
        <v>30145</v>
      </c>
      <c r="B5363" s="158">
        <v>13.79</v>
      </c>
    </row>
    <row r="5364" spans="1:2" x14ac:dyDescent="0.25">
      <c r="A5364" s="157">
        <v>30146</v>
      </c>
      <c r="B5364" s="158">
        <v>13.9</v>
      </c>
    </row>
    <row r="5365" spans="1:2" x14ac:dyDescent="0.25">
      <c r="A5365" s="157">
        <v>30147</v>
      </c>
      <c r="B5365" s="158">
        <v>13.76</v>
      </c>
    </row>
    <row r="5366" spans="1:2" x14ac:dyDescent="0.25">
      <c r="A5366" s="157">
        <v>30148</v>
      </c>
      <c r="B5366" s="158">
        <v>13.54</v>
      </c>
    </row>
    <row r="5367" spans="1:2" x14ac:dyDescent="0.25">
      <c r="A5367" s="157">
        <v>30151</v>
      </c>
      <c r="B5367" s="158">
        <v>13.53</v>
      </c>
    </row>
    <row r="5368" spans="1:2" x14ac:dyDescent="0.25">
      <c r="A5368" s="157">
        <v>30152</v>
      </c>
      <c r="B5368" s="158">
        <v>13.43</v>
      </c>
    </row>
    <row r="5369" spans="1:2" x14ac:dyDescent="0.25">
      <c r="A5369" s="157">
        <v>30153</v>
      </c>
      <c r="B5369" s="158">
        <v>13.46</v>
      </c>
    </row>
    <row r="5370" spans="1:2" x14ac:dyDescent="0.25">
      <c r="A5370" s="157">
        <v>30154</v>
      </c>
      <c r="B5370" s="158">
        <v>13.38</v>
      </c>
    </row>
    <row r="5371" spans="1:2" x14ac:dyDescent="0.25">
      <c r="A5371" s="157">
        <v>30155</v>
      </c>
      <c r="B5371" s="158">
        <v>13.41</v>
      </c>
    </row>
    <row r="5372" spans="1:2" x14ac:dyDescent="0.25">
      <c r="A5372" s="157">
        <v>30158</v>
      </c>
      <c r="B5372" s="158">
        <v>13.67</v>
      </c>
    </row>
    <row r="5373" spans="1:2" x14ac:dyDescent="0.25">
      <c r="A5373" s="157">
        <v>30159</v>
      </c>
      <c r="B5373" s="158">
        <v>13.64</v>
      </c>
    </row>
    <row r="5374" spans="1:2" x14ac:dyDescent="0.25">
      <c r="A5374" s="157">
        <v>30160</v>
      </c>
      <c r="B5374" s="158">
        <v>13.79</v>
      </c>
    </row>
    <row r="5375" spans="1:2" x14ac:dyDescent="0.25">
      <c r="A5375" s="157">
        <v>30161</v>
      </c>
      <c r="B5375" s="158">
        <v>13.72</v>
      </c>
    </row>
    <row r="5376" spans="1:2" x14ac:dyDescent="0.25">
      <c r="A5376" s="157">
        <v>30162</v>
      </c>
      <c r="B5376" s="158">
        <v>13.63</v>
      </c>
    </row>
    <row r="5377" spans="1:2" x14ac:dyDescent="0.25">
      <c r="A5377" s="157">
        <v>30165</v>
      </c>
      <c r="B5377" s="158">
        <v>13.37</v>
      </c>
    </row>
    <row r="5378" spans="1:2" x14ac:dyDescent="0.25">
      <c r="A5378" s="157">
        <v>30166</v>
      </c>
      <c r="B5378" s="158">
        <v>13.45</v>
      </c>
    </row>
    <row r="5379" spans="1:2" x14ac:dyDescent="0.25">
      <c r="A5379" s="157">
        <v>30167</v>
      </c>
      <c r="B5379" s="158">
        <v>13.47</v>
      </c>
    </row>
    <row r="5380" spans="1:2" x14ac:dyDescent="0.25">
      <c r="A5380" s="157">
        <v>30168</v>
      </c>
      <c r="B5380" s="158">
        <v>13.5</v>
      </c>
    </row>
    <row r="5381" spans="1:2" x14ac:dyDescent="0.25">
      <c r="A5381" s="157">
        <v>30169</v>
      </c>
      <c r="B5381" s="158">
        <v>13.62</v>
      </c>
    </row>
    <row r="5382" spans="1:2" x14ac:dyDescent="0.25">
      <c r="A5382" s="157">
        <v>30172</v>
      </c>
      <c r="B5382" s="158">
        <v>13.52</v>
      </c>
    </row>
    <row r="5383" spans="1:2" x14ac:dyDescent="0.25">
      <c r="A5383" s="157">
        <v>30173</v>
      </c>
      <c r="B5383" s="158">
        <v>13.45</v>
      </c>
    </row>
    <row r="5384" spans="1:2" x14ac:dyDescent="0.25">
      <c r="A5384" s="157">
        <v>30174</v>
      </c>
      <c r="B5384" s="158">
        <v>13.46</v>
      </c>
    </row>
    <row r="5385" spans="1:2" x14ac:dyDescent="0.25">
      <c r="A5385" s="157">
        <v>30175</v>
      </c>
      <c r="B5385" s="158">
        <v>13.35</v>
      </c>
    </row>
    <row r="5386" spans="1:2" x14ac:dyDescent="0.25">
      <c r="A5386" s="157">
        <v>30176</v>
      </c>
      <c r="B5386" s="158">
        <v>13.12</v>
      </c>
    </row>
    <row r="5387" spans="1:2" x14ac:dyDescent="0.25">
      <c r="A5387" s="157">
        <v>30179</v>
      </c>
      <c r="B5387" s="158">
        <v>12.95</v>
      </c>
    </row>
    <row r="5388" spans="1:2" x14ac:dyDescent="0.25">
      <c r="A5388" s="157">
        <v>30180</v>
      </c>
      <c r="B5388" s="158">
        <v>12.52</v>
      </c>
    </row>
    <row r="5389" spans="1:2" x14ac:dyDescent="0.25">
      <c r="A5389" s="157">
        <v>30181</v>
      </c>
      <c r="B5389" s="158">
        <v>12.4</v>
      </c>
    </row>
    <row r="5390" spans="1:2" x14ac:dyDescent="0.25">
      <c r="A5390" s="157">
        <v>30182</v>
      </c>
      <c r="B5390" s="158">
        <v>12.41</v>
      </c>
    </row>
    <row r="5391" spans="1:2" x14ac:dyDescent="0.25">
      <c r="A5391" s="157">
        <v>30183</v>
      </c>
      <c r="B5391" s="158">
        <v>12.21</v>
      </c>
    </row>
    <row r="5392" spans="1:2" x14ac:dyDescent="0.25">
      <c r="A5392" s="157">
        <v>30186</v>
      </c>
      <c r="B5392" s="158">
        <v>12.39</v>
      </c>
    </row>
    <row r="5393" spans="1:2" x14ac:dyDescent="0.25">
      <c r="A5393" s="157">
        <v>30187</v>
      </c>
      <c r="B5393" s="158">
        <v>12.27</v>
      </c>
    </row>
    <row r="5394" spans="1:2" x14ac:dyDescent="0.25">
      <c r="A5394" s="157">
        <v>30188</v>
      </c>
      <c r="B5394" s="158">
        <v>12.31</v>
      </c>
    </row>
    <row r="5395" spans="1:2" x14ac:dyDescent="0.25">
      <c r="A5395" s="157">
        <v>30189</v>
      </c>
      <c r="B5395" s="158">
        <v>12.4</v>
      </c>
    </row>
    <row r="5396" spans="1:2" x14ac:dyDescent="0.25">
      <c r="A5396" s="157">
        <v>30190</v>
      </c>
      <c r="B5396" s="158">
        <v>12.65</v>
      </c>
    </row>
    <row r="5397" spans="1:2" x14ac:dyDescent="0.25">
      <c r="A5397" s="157">
        <v>30193</v>
      </c>
      <c r="B5397" s="158">
        <v>12.65</v>
      </c>
    </row>
    <row r="5398" spans="1:2" x14ac:dyDescent="0.25">
      <c r="A5398" s="157">
        <v>30194</v>
      </c>
      <c r="B5398" s="158">
        <v>12.59</v>
      </c>
    </row>
    <row r="5399" spans="1:2" x14ac:dyDescent="0.25">
      <c r="A5399" s="157">
        <v>30195</v>
      </c>
      <c r="B5399" s="158">
        <v>12.52</v>
      </c>
    </row>
    <row r="5400" spans="1:2" x14ac:dyDescent="0.25">
      <c r="A5400" s="157">
        <v>30196</v>
      </c>
      <c r="B5400" s="158">
        <v>12.41</v>
      </c>
    </row>
    <row r="5401" spans="1:2" x14ac:dyDescent="0.25">
      <c r="A5401" s="157">
        <v>30197</v>
      </c>
      <c r="B5401" s="158">
        <v>12.23</v>
      </c>
    </row>
    <row r="5402" spans="1:2" x14ac:dyDescent="0.25">
      <c r="A5402" s="157">
        <v>30200</v>
      </c>
      <c r="B5402" s="158" t="e">
        <f>NA()</f>
        <v>#N/A</v>
      </c>
    </row>
    <row r="5403" spans="1:2" x14ac:dyDescent="0.25">
      <c r="A5403" s="157">
        <v>30201</v>
      </c>
      <c r="B5403" s="158">
        <v>12.29</v>
      </c>
    </row>
    <row r="5404" spans="1:2" x14ac:dyDescent="0.25">
      <c r="A5404" s="157">
        <v>30202</v>
      </c>
      <c r="B5404" s="158">
        <v>12.31</v>
      </c>
    </row>
    <row r="5405" spans="1:2" x14ac:dyDescent="0.25">
      <c r="A5405" s="157">
        <v>30203</v>
      </c>
      <c r="B5405" s="158">
        <v>12.35</v>
      </c>
    </row>
    <row r="5406" spans="1:2" x14ac:dyDescent="0.25">
      <c r="A5406" s="157">
        <v>30204</v>
      </c>
      <c r="B5406" s="158">
        <v>12.6</v>
      </c>
    </row>
    <row r="5407" spans="1:2" x14ac:dyDescent="0.25">
      <c r="A5407" s="157">
        <v>30207</v>
      </c>
      <c r="B5407" s="158">
        <v>12.47</v>
      </c>
    </row>
    <row r="5408" spans="1:2" x14ac:dyDescent="0.25">
      <c r="A5408" s="157">
        <v>30208</v>
      </c>
      <c r="B5408" s="158">
        <v>12.4</v>
      </c>
    </row>
    <row r="5409" spans="1:2" x14ac:dyDescent="0.25">
      <c r="A5409" s="157">
        <v>30209</v>
      </c>
      <c r="B5409" s="158">
        <v>12.44</v>
      </c>
    </row>
    <row r="5410" spans="1:2" x14ac:dyDescent="0.25">
      <c r="A5410" s="157">
        <v>30210</v>
      </c>
      <c r="B5410" s="158">
        <v>12.44</v>
      </c>
    </row>
    <row r="5411" spans="1:2" x14ac:dyDescent="0.25">
      <c r="A5411" s="157">
        <v>30211</v>
      </c>
      <c r="B5411" s="158">
        <v>12.37</v>
      </c>
    </row>
    <row r="5412" spans="1:2" x14ac:dyDescent="0.25">
      <c r="A5412" s="157">
        <v>30214</v>
      </c>
      <c r="B5412" s="158">
        <v>12.29</v>
      </c>
    </row>
    <row r="5413" spans="1:2" x14ac:dyDescent="0.25">
      <c r="A5413" s="157">
        <v>30215</v>
      </c>
      <c r="B5413" s="158">
        <v>12.02</v>
      </c>
    </row>
    <row r="5414" spans="1:2" x14ac:dyDescent="0.25">
      <c r="A5414" s="157">
        <v>30216</v>
      </c>
      <c r="B5414" s="158">
        <v>11.92</v>
      </c>
    </row>
    <row r="5415" spans="1:2" x14ac:dyDescent="0.25">
      <c r="A5415" s="157">
        <v>30217</v>
      </c>
      <c r="B5415" s="158">
        <v>11.71</v>
      </c>
    </row>
    <row r="5416" spans="1:2" x14ac:dyDescent="0.25">
      <c r="A5416" s="157">
        <v>30218</v>
      </c>
      <c r="B5416" s="158">
        <v>11.82</v>
      </c>
    </row>
    <row r="5417" spans="1:2" x14ac:dyDescent="0.25">
      <c r="A5417" s="157">
        <v>30221</v>
      </c>
      <c r="B5417" s="158">
        <v>11.77</v>
      </c>
    </row>
    <row r="5418" spans="1:2" x14ac:dyDescent="0.25">
      <c r="A5418" s="157">
        <v>30222</v>
      </c>
      <c r="B5418" s="158">
        <v>11.67</v>
      </c>
    </row>
    <row r="5419" spans="1:2" x14ac:dyDescent="0.25">
      <c r="A5419" s="157">
        <v>30223</v>
      </c>
      <c r="B5419" s="158">
        <v>11.67</v>
      </c>
    </row>
    <row r="5420" spans="1:2" x14ac:dyDescent="0.25">
      <c r="A5420" s="157">
        <v>30224</v>
      </c>
      <c r="B5420" s="158">
        <v>11.65</v>
      </c>
    </row>
    <row r="5421" spans="1:2" x14ac:dyDescent="0.25">
      <c r="A5421" s="157">
        <v>30225</v>
      </c>
      <c r="B5421" s="158">
        <v>11.47</v>
      </c>
    </row>
    <row r="5422" spans="1:2" x14ac:dyDescent="0.25">
      <c r="A5422" s="157">
        <v>30228</v>
      </c>
      <c r="B5422" s="158">
        <v>11.67</v>
      </c>
    </row>
    <row r="5423" spans="1:2" x14ac:dyDescent="0.25">
      <c r="A5423" s="157">
        <v>30229</v>
      </c>
      <c r="B5423" s="158">
        <v>11.64</v>
      </c>
    </row>
    <row r="5424" spans="1:2" x14ac:dyDescent="0.25">
      <c r="A5424" s="157">
        <v>30230</v>
      </c>
      <c r="B5424" s="158">
        <v>11.48</v>
      </c>
    </row>
    <row r="5425" spans="1:2" x14ac:dyDescent="0.25">
      <c r="A5425" s="157">
        <v>30231</v>
      </c>
      <c r="B5425" s="158">
        <v>11</v>
      </c>
    </row>
    <row r="5426" spans="1:2" x14ac:dyDescent="0.25">
      <c r="A5426" s="157">
        <v>30232</v>
      </c>
      <c r="B5426" s="158">
        <v>10.96</v>
      </c>
    </row>
    <row r="5427" spans="1:2" x14ac:dyDescent="0.25">
      <c r="A5427" s="157">
        <v>30235</v>
      </c>
      <c r="B5427" s="158" t="e">
        <f>NA()</f>
        <v>#N/A</v>
      </c>
    </row>
    <row r="5428" spans="1:2" x14ac:dyDescent="0.25">
      <c r="A5428" s="157">
        <v>30236</v>
      </c>
      <c r="B5428" s="158">
        <v>10.59</v>
      </c>
    </row>
    <row r="5429" spans="1:2" x14ac:dyDescent="0.25">
      <c r="A5429" s="157">
        <v>30237</v>
      </c>
      <c r="B5429" s="158">
        <v>10.47</v>
      </c>
    </row>
    <row r="5430" spans="1:2" x14ac:dyDescent="0.25">
      <c r="A5430" s="157">
        <v>30238</v>
      </c>
      <c r="B5430" s="158">
        <v>10.62</v>
      </c>
    </row>
    <row r="5431" spans="1:2" x14ac:dyDescent="0.25">
      <c r="A5431" s="157">
        <v>30239</v>
      </c>
      <c r="B5431" s="158">
        <v>10.79</v>
      </c>
    </row>
    <row r="5432" spans="1:2" x14ac:dyDescent="0.25">
      <c r="A5432" s="157">
        <v>30242</v>
      </c>
      <c r="B5432" s="158">
        <v>10.67</v>
      </c>
    </row>
    <row r="5433" spans="1:2" x14ac:dyDescent="0.25">
      <c r="A5433" s="157">
        <v>30243</v>
      </c>
      <c r="B5433" s="158">
        <v>10.66</v>
      </c>
    </row>
    <row r="5434" spans="1:2" x14ac:dyDescent="0.25">
      <c r="A5434" s="157">
        <v>30244</v>
      </c>
      <c r="B5434" s="158">
        <v>10.8</v>
      </c>
    </row>
    <row r="5435" spans="1:2" x14ac:dyDescent="0.25">
      <c r="A5435" s="157">
        <v>30245</v>
      </c>
      <c r="B5435" s="158">
        <v>10.79</v>
      </c>
    </row>
    <row r="5436" spans="1:2" x14ac:dyDescent="0.25">
      <c r="A5436" s="157">
        <v>30246</v>
      </c>
      <c r="B5436" s="158">
        <v>10.92</v>
      </c>
    </row>
    <row r="5437" spans="1:2" x14ac:dyDescent="0.25">
      <c r="A5437" s="157">
        <v>30249</v>
      </c>
      <c r="B5437" s="158">
        <v>11.14</v>
      </c>
    </row>
    <row r="5438" spans="1:2" x14ac:dyDescent="0.25">
      <c r="A5438" s="157">
        <v>30250</v>
      </c>
      <c r="B5438" s="158">
        <v>11.02</v>
      </c>
    </row>
    <row r="5439" spans="1:2" x14ac:dyDescent="0.25">
      <c r="A5439" s="157">
        <v>30251</v>
      </c>
      <c r="B5439" s="158">
        <v>11.01</v>
      </c>
    </row>
    <row r="5440" spans="1:2" x14ac:dyDescent="0.25">
      <c r="A5440" s="157">
        <v>30252</v>
      </c>
      <c r="B5440" s="158">
        <v>10.9</v>
      </c>
    </row>
    <row r="5441" spans="1:2" x14ac:dyDescent="0.25">
      <c r="A5441" s="157">
        <v>30253</v>
      </c>
      <c r="B5441" s="158">
        <v>10.79</v>
      </c>
    </row>
    <row r="5442" spans="1:2" x14ac:dyDescent="0.25">
      <c r="A5442" s="157">
        <v>30256</v>
      </c>
      <c r="B5442" s="158">
        <v>10.6</v>
      </c>
    </row>
    <row r="5443" spans="1:2" x14ac:dyDescent="0.25">
      <c r="A5443" s="157">
        <v>30257</v>
      </c>
      <c r="B5443" s="158" t="e">
        <f>NA()</f>
        <v>#N/A</v>
      </c>
    </row>
    <row r="5444" spans="1:2" x14ac:dyDescent="0.25">
      <c r="A5444" s="157">
        <v>30258</v>
      </c>
      <c r="B5444" s="158">
        <v>10.53</v>
      </c>
    </row>
    <row r="5445" spans="1:2" x14ac:dyDescent="0.25">
      <c r="A5445" s="157">
        <v>30259</v>
      </c>
      <c r="B5445" s="158">
        <v>10.48</v>
      </c>
    </row>
    <row r="5446" spans="1:2" x14ac:dyDescent="0.25">
      <c r="A5446" s="157">
        <v>30260</v>
      </c>
      <c r="B5446" s="158">
        <v>10.58</v>
      </c>
    </row>
    <row r="5447" spans="1:2" x14ac:dyDescent="0.25">
      <c r="A5447" s="157">
        <v>30263</v>
      </c>
      <c r="B5447" s="158">
        <v>10.67</v>
      </c>
    </row>
    <row r="5448" spans="1:2" x14ac:dyDescent="0.25">
      <c r="A5448" s="157">
        <v>30264</v>
      </c>
      <c r="B5448" s="158">
        <v>10.5</v>
      </c>
    </row>
    <row r="5449" spans="1:2" x14ac:dyDescent="0.25">
      <c r="A5449" s="157">
        <v>30265</v>
      </c>
      <c r="B5449" s="158">
        <v>10.48</v>
      </c>
    </row>
    <row r="5450" spans="1:2" x14ac:dyDescent="0.25">
      <c r="A5450" s="157">
        <v>30266</v>
      </c>
      <c r="B5450" s="158" t="e">
        <f>NA()</f>
        <v>#N/A</v>
      </c>
    </row>
    <row r="5451" spans="1:2" x14ac:dyDescent="0.25">
      <c r="A5451" s="157">
        <v>30267</v>
      </c>
      <c r="B5451" s="158">
        <v>10.57</v>
      </c>
    </row>
    <row r="5452" spans="1:2" x14ac:dyDescent="0.25">
      <c r="A5452" s="157">
        <v>30270</v>
      </c>
      <c r="B5452" s="158">
        <v>10.65</v>
      </c>
    </row>
    <row r="5453" spans="1:2" x14ac:dyDescent="0.25">
      <c r="A5453" s="157">
        <v>30271</v>
      </c>
      <c r="B5453" s="158">
        <v>10.67</v>
      </c>
    </row>
    <row r="5454" spans="1:2" x14ac:dyDescent="0.25">
      <c r="A5454" s="157">
        <v>30272</v>
      </c>
      <c r="B5454" s="158">
        <v>10.6</v>
      </c>
    </row>
    <row r="5455" spans="1:2" x14ac:dyDescent="0.25">
      <c r="A5455" s="157">
        <v>30273</v>
      </c>
      <c r="B5455" s="158">
        <v>10.46</v>
      </c>
    </row>
    <row r="5456" spans="1:2" x14ac:dyDescent="0.25">
      <c r="A5456" s="157">
        <v>30274</v>
      </c>
      <c r="B5456" s="158">
        <v>10.42</v>
      </c>
    </row>
    <row r="5457" spans="1:2" x14ac:dyDescent="0.25">
      <c r="A5457" s="157">
        <v>30277</v>
      </c>
      <c r="B5457" s="158">
        <v>10.43</v>
      </c>
    </row>
    <row r="5458" spans="1:2" x14ac:dyDescent="0.25">
      <c r="A5458" s="157">
        <v>30278</v>
      </c>
      <c r="B5458" s="158">
        <v>10.53</v>
      </c>
    </row>
    <row r="5459" spans="1:2" x14ac:dyDescent="0.25">
      <c r="A5459" s="157">
        <v>30279</v>
      </c>
      <c r="B5459" s="158">
        <v>10.59</v>
      </c>
    </row>
    <row r="5460" spans="1:2" x14ac:dyDescent="0.25">
      <c r="A5460" s="157">
        <v>30280</v>
      </c>
      <c r="B5460" s="158" t="e">
        <f>NA()</f>
        <v>#N/A</v>
      </c>
    </row>
    <row r="5461" spans="1:2" x14ac:dyDescent="0.25">
      <c r="A5461" s="157">
        <v>30281</v>
      </c>
      <c r="B5461" s="158">
        <v>10.51</v>
      </c>
    </row>
    <row r="5462" spans="1:2" x14ac:dyDescent="0.25">
      <c r="A5462" s="157">
        <v>30284</v>
      </c>
      <c r="B5462" s="158">
        <v>10.77</v>
      </c>
    </row>
    <row r="5463" spans="1:2" x14ac:dyDescent="0.25">
      <c r="A5463" s="157">
        <v>30285</v>
      </c>
      <c r="B5463" s="158">
        <v>10.79</v>
      </c>
    </row>
    <row r="5464" spans="1:2" x14ac:dyDescent="0.25">
      <c r="A5464" s="157">
        <v>30286</v>
      </c>
      <c r="B5464" s="158">
        <v>10.73</v>
      </c>
    </row>
    <row r="5465" spans="1:2" x14ac:dyDescent="0.25">
      <c r="A5465" s="157">
        <v>30287</v>
      </c>
      <c r="B5465" s="158">
        <v>10.68</v>
      </c>
    </row>
    <row r="5466" spans="1:2" x14ac:dyDescent="0.25">
      <c r="A5466" s="157">
        <v>30288</v>
      </c>
      <c r="B5466" s="158">
        <v>10.46</v>
      </c>
    </row>
    <row r="5467" spans="1:2" x14ac:dyDescent="0.25">
      <c r="A5467" s="157">
        <v>30291</v>
      </c>
      <c r="B5467" s="158">
        <v>10.45</v>
      </c>
    </row>
    <row r="5468" spans="1:2" x14ac:dyDescent="0.25">
      <c r="A5468" s="157">
        <v>30292</v>
      </c>
      <c r="B5468" s="158">
        <v>10.48</v>
      </c>
    </row>
    <row r="5469" spans="1:2" x14ac:dyDescent="0.25">
      <c r="A5469" s="157">
        <v>30293</v>
      </c>
      <c r="B5469" s="158">
        <v>10.62</v>
      </c>
    </row>
    <row r="5470" spans="1:2" x14ac:dyDescent="0.25">
      <c r="A5470" s="157">
        <v>30294</v>
      </c>
      <c r="B5470" s="158">
        <v>10.59</v>
      </c>
    </row>
    <row r="5471" spans="1:2" x14ac:dyDescent="0.25">
      <c r="A5471" s="157">
        <v>30295</v>
      </c>
      <c r="B5471" s="158">
        <v>10.65</v>
      </c>
    </row>
    <row r="5472" spans="1:2" x14ac:dyDescent="0.25">
      <c r="A5472" s="157">
        <v>30298</v>
      </c>
      <c r="B5472" s="158">
        <v>10.61</v>
      </c>
    </row>
    <row r="5473" spans="1:2" x14ac:dyDescent="0.25">
      <c r="A5473" s="157">
        <v>30299</v>
      </c>
      <c r="B5473" s="158">
        <v>10.46</v>
      </c>
    </row>
    <row r="5474" spans="1:2" x14ac:dyDescent="0.25">
      <c r="A5474" s="157">
        <v>30300</v>
      </c>
      <c r="B5474" s="158">
        <v>10.49</v>
      </c>
    </row>
    <row r="5475" spans="1:2" x14ac:dyDescent="0.25">
      <c r="A5475" s="157">
        <v>30301</v>
      </c>
      <c r="B5475" s="158">
        <v>10.59</v>
      </c>
    </row>
    <row r="5476" spans="1:2" x14ac:dyDescent="0.25">
      <c r="A5476" s="157">
        <v>30302</v>
      </c>
      <c r="B5476" s="158">
        <v>10.64</v>
      </c>
    </row>
    <row r="5477" spans="1:2" x14ac:dyDescent="0.25">
      <c r="A5477" s="157">
        <v>30305</v>
      </c>
      <c r="B5477" s="158">
        <v>10.7</v>
      </c>
    </row>
    <row r="5478" spans="1:2" x14ac:dyDescent="0.25">
      <c r="A5478" s="157">
        <v>30306</v>
      </c>
      <c r="B5478" s="158">
        <v>10.69</v>
      </c>
    </row>
    <row r="5479" spans="1:2" x14ac:dyDescent="0.25">
      <c r="A5479" s="157">
        <v>30307</v>
      </c>
      <c r="B5479" s="158">
        <v>10.74</v>
      </c>
    </row>
    <row r="5480" spans="1:2" x14ac:dyDescent="0.25">
      <c r="A5480" s="157">
        <v>30308</v>
      </c>
      <c r="B5480" s="158">
        <v>10.7</v>
      </c>
    </row>
    <row r="5481" spans="1:2" x14ac:dyDescent="0.25">
      <c r="A5481" s="157">
        <v>30309</v>
      </c>
      <c r="B5481" s="158" t="e">
        <f>NA()</f>
        <v>#N/A</v>
      </c>
    </row>
    <row r="5482" spans="1:2" x14ac:dyDescent="0.25">
      <c r="A5482" s="157">
        <v>30312</v>
      </c>
      <c r="B5482" s="158">
        <v>10.66</v>
      </c>
    </row>
    <row r="5483" spans="1:2" x14ac:dyDescent="0.25">
      <c r="A5483" s="157">
        <v>30313</v>
      </c>
      <c r="B5483" s="158">
        <v>10.66</v>
      </c>
    </row>
    <row r="5484" spans="1:2" x14ac:dyDescent="0.25">
      <c r="A5484" s="157">
        <v>30314</v>
      </c>
      <c r="B5484" s="158">
        <v>10.69</v>
      </c>
    </row>
    <row r="5485" spans="1:2" x14ac:dyDescent="0.25">
      <c r="A5485" s="157">
        <v>30315</v>
      </c>
      <c r="B5485" s="158">
        <v>10.67</v>
      </c>
    </row>
    <row r="5486" spans="1:2" x14ac:dyDescent="0.25">
      <c r="A5486" s="157">
        <v>30316</v>
      </c>
      <c r="B5486" s="158">
        <v>10.62</v>
      </c>
    </row>
    <row r="5487" spans="1:2" x14ac:dyDescent="0.25">
      <c r="A5487" s="157">
        <v>30319</v>
      </c>
      <c r="B5487" s="158">
        <v>10.55</v>
      </c>
    </row>
    <row r="5488" spans="1:2" x14ac:dyDescent="0.25">
      <c r="A5488" s="157">
        <v>30320</v>
      </c>
      <c r="B5488" s="158">
        <v>10.62</v>
      </c>
    </row>
    <row r="5489" spans="1:2" x14ac:dyDescent="0.25">
      <c r="A5489" s="157">
        <v>30321</v>
      </c>
      <c r="B5489" s="158">
        <v>10.64</v>
      </c>
    </row>
    <row r="5490" spans="1:2" x14ac:dyDescent="0.25">
      <c r="A5490" s="157">
        <v>30322</v>
      </c>
      <c r="B5490" s="158">
        <v>10.68</v>
      </c>
    </row>
    <row r="5491" spans="1:2" x14ac:dyDescent="0.25">
      <c r="A5491" s="157">
        <v>30323</v>
      </c>
      <c r="B5491" s="158">
        <v>10.67</v>
      </c>
    </row>
    <row r="5492" spans="1:2" x14ac:dyDescent="0.25">
      <c r="A5492" s="157">
        <v>30326</v>
      </c>
      <c r="B5492" s="158">
        <v>10.7</v>
      </c>
    </row>
    <row r="5493" spans="1:2" x14ac:dyDescent="0.25">
      <c r="A5493" s="157">
        <v>30327</v>
      </c>
      <c r="B5493" s="158">
        <v>10.67</v>
      </c>
    </row>
    <row r="5494" spans="1:2" x14ac:dyDescent="0.25">
      <c r="A5494" s="157">
        <v>30328</v>
      </c>
      <c r="B5494" s="158">
        <v>10.64</v>
      </c>
    </row>
    <row r="5495" spans="1:2" x14ac:dyDescent="0.25">
      <c r="A5495" s="157">
        <v>30329</v>
      </c>
      <c r="B5495" s="158">
        <v>10.62</v>
      </c>
    </row>
    <row r="5496" spans="1:2" x14ac:dyDescent="0.25">
      <c r="A5496" s="157">
        <v>30330</v>
      </c>
      <c r="B5496" s="158">
        <v>10.64</v>
      </c>
    </row>
    <row r="5497" spans="1:2" x14ac:dyDescent="0.25">
      <c r="A5497" s="157">
        <v>30333</v>
      </c>
      <c r="B5497" s="158">
        <v>10.63</v>
      </c>
    </row>
    <row r="5498" spans="1:2" x14ac:dyDescent="0.25">
      <c r="A5498" s="157">
        <v>30334</v>
      </c>
      <c r="B5498" s="158">
        <v>10.69</v>
      </c>
    </row>
    <row r="5499" spans="1:2" x14ac:dyDescent="0.25">
      <c r="A5499" s="157">
        <v>30335</v>
      </c>
      <c r="B5499" s="158">
        <v>10.79</v>
      </c>
    </row>
    <row r="5500" spans="1:2" x14ac:dyDescent="0.25">
      <c r="A5500" s="157">
        <v>30336</v>
      </c>
      <c r="B5500" s="158">
        <v>10.77</v>
      </c>
    </row>
    <row r="5501" spans="1:2" x14ac:dyDescent="0.25">
      <c r="A5501" s="157">
        <v>30337</v>
      </c>
      <c r="B5501" s="158">
        <v>10.92</v>
      </c>
    </row>
    <row r="5502" spans="1:2" x14ac:dyDescent="0.25">
      <c r="A5502" s="157">
        <v>30340</v>
      </c>
      <c r="B5502" s="158">
        <v>11</v>
      </c>
    </row>
    <row r="5503" spans="1:2" x14ac:dyDescent="0.25">
      <c r="A5503" s="157">
        <v>30341</v>
      </c>
      <c r="B5503" s="158">
        <v>10.95</v>
      </c>
    </row>
    <row r="5504" spans="1:2" x14ac:dyDescent="0.25">
      <c r="A5504" s="157">
        <v>30342</v>
      </c>
      <c r="B5504" s="158">
        <v>11.05</v>
      </c>
    </row>
    <row r="5505" spans="1:2" x14ac:dyDescent="0.25">
      <c r="A5505" s="157">
        <v>30343</v>
      </c>
      <c r="B5505" s="158">
        <v>11.01</v>
      </c>
    </row>
    <row r="5506" spans="1:2" x14ac:dyDescent="0.25">
      <c r="A5506" s="157">
        <v>30344</v>
      </c>
      <c r="B5506" s="158">
        <v>11.03</v>
      </c>
    </row>
    <row r="5507" spans="1:2" x14ac:dyDescent="0.25">
      <c r="A5507" s="157">
        <v>30347</v>
      </c>
      <c r="B5507" s="158">
        <v>11.14</v>
      </c>
    </row>
    <row r="5508" spans="1:2" x14ac:dyDescent="0.25">
      <c r="A5508" s="157">
        <v>30348</v>
      </c>
      <c r="B5508" s="158">
        <v>11.12</v>
      </c>
    </row>
    <row r="5509" spans="1:2" x14ac:dyDescent="0.25">
      <c r="A5509" s="157">
        <v>30349</v>
      </c>
      <c r="B5509" s="158">
        <v>11.11</v>
      </c>
    </row>
    <row r="5510" spans="1:2" x14ac:dyDescent="0.25">
      <c r="A5510" s="157">
        <v>30350</v>
      </c>
      <c r="B5510" s="158">
        <v>11.18</v>
      </c>
    </row>
    <row r="5511" spans="1:2" x14ac:dyDescent="0.25">
      <c r="A5511" s="157">
        <v>30351</v>
      </c>
      <c r="B5511" s="158">
        <v>11.27</v>
      </c>
    </row>
    <row r="5512" spans="1:2" x14ac:dyDescent="0.25">
      <c r="A5512" s="157">
        <v>30354</v>
      </c>
      <c r="B5512" s="158">
        <v>11.24</v>
      </c>
    </row>
    <row r="5513" spans="1:2" x14ac:dyDescent="0.25">
      <c r="A5513" s="157">
        <v>30355</v>
      </c>
      <c r="B5513" s="158">
        <v>11.27</v>
      </c>
    </row>
    <row r="5514" spans="1:2" x14ac:dyDescent="0.25">
      <c r="A5514" s="157">
        <v>30356</v>
      </c>
      <c r="B5514" s="158">
        <v>11.31</v>
      </c>
    </row>
    <row r="5515" spans="1:2" x14ac:dyDescent="0.25">
      <c r="A5515" s="157">
        <v>30357</v>
      </c>
      <c r="B5515" s="158">
        <v>11.13</v>
      </c>
    </row>
    <row r="5516" spans="1:2" x14ac:dyDescent="0.25">
      <c r="A5516" s="157">
        <v>30358</v>
      </c>
      <c r="B5516" s="158">
        <v>11.12</v>
      </c>
    </row>
    <row r="5517" spans="1:2" x14ac:dyDescent="0.25">
      <c r="A5517" s="157">
        <v>30361</v>
      </c>
      <c r="B5517" s="158">
        <v>11.11</v>
      </c>
    </row>
    <row r="5518" spans="1:2" x14ac:dyDescent="0.25">
      <c r="A5518" s="157">
        <v>30362</v>
      </c>
      <c r="B5518" s="158">
        <v>11.16</v>
      </c>
    </row>
    <row r="5519" spans="1:2" x14ac:dyDescent="0.25">
      <c r="A5519" s="157">
        <v>30363</v>
      </c>
      <c r="B5519" s="158">
        <v>11.1</v>
      </c>
    </row>
    <row r="5520" spans="1:2" x14ac:dyDescent="0.25">
      <c r="A5520" s="157">
        <v>30364</v>
      </c>
      <c r="B5520" s="158">
        <v>11.03</v>
      </c>
    </row>
    <row r="5521" spans="1:2" x14ac:dyDescent="0.25">
      <c r="A5521" s="157">
        <v>30365</v>
      </c>
      <c r="B5521" s="158">
        <v>10.9</v>
      </c>
    </row>
    <row r="5522" spans="1:2" x14ac:dyDescent="0.25">
      <c r="A5522" s="157">
        <v>30368</v>
      </c>
      <c r="B5522" s="158" t="e">
        <f>NA()</f>
        <v>#N/A</v>
      </c>
    </row>
    <row r="5523" spans="1:2" x14ac:dyDescent="0.25">
      <c r="A5523" s="157">
        <v>30369</v>
      </c>
      <c r="B5523" s="158">
        <v>10.74</v>
      </c>
    </row>
    <row r="5524" spans="1:2" x14ac:dyDescent="0.25">
      <c r="A5524" s="157">
        <v>30370</v>
      </c>
      <c r="B5524" s="158">
        <v>10.75</v>
      </c>
    </row>
    <row r="5525" spans="1:2" x14ac:dyDescent="0.25">
      <c r="A5525" s="157">
        <v>30371</v>
      </c>
      <c r="B5525" s="158">
        <v>10.74</v>
      </c>
    </row>
    <row r="5526" spans="1:2" x14ac:dyDescent="0.25">
      <c r="A5526" s="157">
        <v>30372</v>
      </c>
      <c r="B5526" s="158">
        <v>10.61</v>
      </c>
    </row>
    <row r="5527" spans="1:2" x14ac:dyDescent="0.25">
      <c r="A5527" s="157">
        <v>30375</v>
      </c>
      <c r="B5527" s="158">
        <v>10.62</v>
      </c>
    </row>
    <row r="5528" spans="1:2" x14ac:dyDescent="0.25">
      <c r="A5528" s="157">
        <v>30376</v>
      </c>
      <c r="B5528" s="158">
        <v>10.57</v>
      </c>
    </row>
    <row r="5529" spans="1:2" x14ac:dyDescent="0.25">
      <c r="A5529" s="157">
        <v>30377</v>
      </c>
      <c r="B5529" s="158">
        <v>10.61</v>
      </c>
    </row>
    <row r="5530" spans="1:2" x14ac:dyDescent="0.25">
      <c r="A5530" s="157">
        <v>30378</v>
      </c>
      <c r="B5530" s="158">
        <v>10.59</v>
      </c>
    </row>
    <row r="5531" spans="1:2" x14ac:dyDescent="0.25">
      <c r="A5531" s="157">
        <v>30379</v>
      </c>
      <c r="B5531" s="158">
        <v>10.62</v>
      </c>
    </row>
    <row r="5532" spans="1:2" x14ac:dyDescent="0.25">
      <c r="A5532" s="157">
        <v>30382</v>
      </c>
      <c r="B5532" s="158">
        <v>10.75</v>
      </c>
    </row>
    <row r="5533" spans="1:2" x14ac:dyDescent="0.25">
      <c r="A5533" s="157">
        <v>30383</v>
      </c>
      <c r="B5533" s="158">
        <v>10.83</v>
      </c>
    </row>
    <row r="5534" spans="1:2" x14ac:dyDescent="0.25">
      <c r="A5534" s="157">
        <v>30384</v>
      </c>
      <c r="B5534" s="158">
        <v>10.82</v>
      </c>
    </row>
    <row r="5535" spans="1:2" x14ac:dyDescent="0.25">
      <c r="A5535" s="157">
        <v>30385</v>
      </c>
      <c r="B5535" s="158">
        <v>10.85</v>
      </c>
    </row>
    <row r="5536" spans="1:2" x14ac:dyDescent="0.25">
      <c r="A5536" s="157">
        <v>30386</v>
      </c>
      <c r="B5536" s="158">
        <v>10.93</v>
      </c>
    </row>
    <row r="5537" spans="1:2" x14ac:dyDescent="0.25">
      <c r="A5537" s="157">
        <v>30389</v>
      </c>
      <c r="B5537" s="158">
        <v>10.84</v>
      </c>
    </row>
    <row r="5538" spans="1:2" x14ac:dyDescent="0.25">
      <c r="A5538" s="157">
        <v>30390</v>
      </c>
      <c r="B5538" s="158">
        <v>10.82</v>
      </c>
    </row>
    <row r="5539" spans="1:2" x14ac:dyDescent="0.25">
      <c r="A5539" s="157">
        <v>30391</v>
      </c>
      <c r="B5539" s="158">
        <v>10.84</v>
      </c>
    </row>
    <row r="5540" spans="1:2" x14ac:dyDescent="0.25">
      <c r="A5540" s="157">
        <v>30392</v>
      </c>
      <c r="B5540" s="158">
        <v>10.87</v>
      </c>
    </row>
    <row r="5541" spans="1:2" x14ac:dyDescent="0.25">
      <c r="A5541" s="157">
        <v>30393</v>
      </c>
      <c r="B5541" s="158">
        <v>10.88</v>
      </c>
    </row>
    <row r="5542" spans="1:2" x14ac:dyDescent="0.25">
      <c r="A5542" s="157">
        <v>30396</v>
      </c>
      <c r="B5542" s="158">
        <v>10.87</v>
      </c>
    </row>
    <row r="5543" spans="1:2" x14ac:dyDescent="0.25">
      <c r="A5543" s="157">
        <v>30397</v>
      </c>
      <c r="B5543" s="158">
        <v>10.87</v>
      </c>
    </row>
    <row r="5544" spans="1:2" x14ac:dyDescent="0.25">
      <c r="A5544" s="157">
        <v>30398</v>
      </c>
      <c r="B5544" s="158">
        <v>10.82</v>
      </c>
    </row>
    <row r="5545" spans="1:2" x14ac:dyDescent="0.25">
      <c r="A5545" s="157">
        <v>30399</v>
      </c>
      <c r="B5545" s="158">
        <v>10.81</v>
      </c>
    </row>
    <row r="5546" spans="1:2" x14ac:dyDescent="0.25">
      <c r="A5546" s="157">
        <v>30400</v>
      </c>
      <c r="B5546" s="158">
        <v>10.85</v>
      </c>
    </row>
    <row r="5547" spans="1:2" x14ac:dyDescent="0.25">
      <c r="A5547" s="157">
        <v>30403</v>
      </c>
      <c r="B5547" s="158">
        <v>10.87</v>
      </c>
    </row>
    <row r="5548" spans="1:2" x14ac:dyDescent="0.25">
      <c r="A5548" s="157">
        <v>30404</v>
      </c>
      <c r="B5548" s="158">
        <v>10.82</v>
      </c>
    </row>
    <row r="5549" spans="1:2" x14ac:dyDescent="0.25">
      <c r="A5549" s="157">
        <v>30405</v>
      </c>
      <c r="B5549" s="158">
        <v>10.81</v>
      </c>
    </row>
    <row r="5550" spans="1:2" x14ac:dyDescent="0.25">
      <c r="A5550" s="157">
        <v>30406</v>
      </c>
      <c r="B5550" s="158">
        <v>10.84</v>
      </c>
    </row>
    <row r="5551" spans="1:2" x14ac:dyDescent="0.25">
      <c r="A5551" s="157">
        <v>30407</v>
      </c>
      <c r="B5551" s="158" t="e">
        <f>NA()</f>
        <v>#N/A</v>
      </c>
    </row>
    <row r="5552" spans="1:2" x14ac:dyDescent="0.25">
      <c r="A5552" s="157">
        <v>30410</v>
      </c>
      <c r="B5552" s="158">
        <v>10.82</v>
      </c>
    </row>
    <row r="5553" spans="1:2" x14ac:dyDescent="0.25">
      <c r="A5553" s="157">
        <v>30411</v>
      </c>
      <c r="B5553" s="158">
        <v>10.74</v>
      </c>
    </row>
    <row r="5554" spans="1:2" x14ac:dyDescent="0.25">
      <c r="A5554" s="157">
        <v>30412</v>
      </c>
      <c r="B5554" s="158">
        <v>10.71</v>
      </c>
    </row>
    <row r="5555" spans="1:2" x14ac:dyDescent="0.25">
      <c r="A5555" s="157">
        <v>30413</v>
      </c>
      <c r="B5555" s="158">
        <v>10.71</v>
      </c>
    </row>
    <row r="5556" spans="1:2" x14ac:dyDescent="0.25">
      <c r="A5556" s="157">
        <v>30414</v>
      </c>
      <c r="B5556" s="158">
        <v>10.72</v>
      </c>
    </row>
    <row r="5557" spans="1:2" x14ac:dyDescent="0.25">
      <c r="A5557" s="157">
        <v>30417</v>
      </c>
      <c r="B5557" s="158">
        <v>10.62</v>
      </c>
    </row>
    <row r="5558" spans="1:2" x14ac:dyDescent="0.25">
      <c r="A5558" s="157">
        <v>30418</v>
      </c>
      <c r="B5558" s="158">
        <v>10.63</v>
      </c>
    </row>
    <row r="5559" spans="1:2" x14ac:dyDescent="0.25">
      <c r="A5559" s="157">
        <v>30419</v>
      </c>
      <c r="B5559" s="158">
        <v>10.62</v>
      </c>
    </row>
    <row r="5560" spans="1:2" x14ac:dyDescent="0.25">
      <c r="A5560" s="157">
        <v>30420</v>
      </c>
      <c r="B5560" s="158">
        <v>10.54</v>
      </c>
    </row>
    <row r="5561" spans="1:2" x14ac:dyDescent="0.25">
      <c r="A5561" s="157">
        <v>30421</v>
      </c>
      <c r="B5561" s="158">
        <v>10.55</v>
      </c>
    </row>
    <row r="5562" spans="1:2" x14ac:dyDescent="0.25">
      <c r="A5562" s="157">
        <v>30424</v>
      </c>
      <c r="B5562" s="158">
        <v>10.52</v>
      </c>
    </row>
    <row r="5563" spans="1:2" x14ac:dyDescent="0.25">
      <c r="A5563" s="157">
        <v>30425</v>
      </c>
      <c r="B5563" s="158">
        <v>10.61</v>
      </c>
    </row>
    <row r="5564" spans="1:2" x14ac:dyDescent="0.25">
      <c r="A5564" s="157">
        <v>30426</v>
      </c>
      <c r="B5564" s="158">
        <v>10.62</v>
      </c>
    </row>
    <row r="5565" spans="1:2" x14ac:dyDescent="0.25">
      <c r="A5565" s="157">
        <v>30427</v>
      </c>
      <c r="B5565" s="158">
        <v>10.68</v>
      </c>
    </row>
    <row r="5566" spans="1:2" x14ac:dyDescent="0.25">
      <c r="A5566" s="157">
        <v>30428</v>
      </c>
      <c r="B5566" s="158">
        <v>10.65</v>
      </c>
    </row>
    <row r="5567" spans="1:2" x14ac:dyDescent="0.25">
      <c r="A5567" s="157">
        <v>30431</v>
      </c>
      <c r="B5567" s="158">
        <v>10.64</v>
      </c>
    </row>
    <row r="5568" spans="1:2" x14ac:dyDescent="0.25">
      <c r="A5568" s="157">
        <v>30432</v>
      </c>
      <c r="B5568" s="158">
        <v>10.61</v>
      </c>
    </row>
    <row r="5569" spans="1:2" x14ac:dyDescent="0.25">
      <c r="A5569" s="157">
        <v>30433</v>
      </c>
      <c r="B5569" s="158">
        <v>10.56</v>
      </c>
    </row>
    <row r="5570" spans="1:2" x14ac:dyDescent="0.25">
      <c r="A5570" s="157">
        <v>30434</v>
      </c>
      <c r="B5570" s="158">
        <v>10.54</v>
      </c>
    </row>
    <row r="5571" spans="1:2" x14ac:dyDescent="0.25">
      <c r="A5571" s="157">
        <v>30435</v>
      </c>
      <c r="B5571" s="158">
        <v>10.52</v>
      </c>
    </row>
    <row r="5572" spans="1:2" x14ac:dyDescent="0.25">
      <c r="A5572" s="157">
        <v>30438</v>
      </c>
      <c r="B5572" s="158">
        <v>10.51</v>
      </c>
    </row>
    <row r="5573" spans="1:2" x14ac:dyDescent="0.25">
      <c r="A5573" s="157">
        <v>30439</v>
      </c>
      <c r="B5573" s="158">
        <v>10.5</v>
      </c>
    </row>
    <row r="5574" spans="1:2" x14ac:dyDescent="0.25">
      <c r="A5574" s="157">
        <v>30440</v>
      </c>
      <c r="B5574" s="158">
        <v>10.39</v>
      </c>
    </row>
    <row r="5575" spans="1:2" x14ac:dyDescent="0.25">
      <c r="A5575" s="157">
        <v>30441</v>
      </c>
      <c r="B5575" s="158">
        <v>10.42</v>
      </c>
    </row>
    <row r="5576" spans="1:2" x14ac:dyDescent="0.25">
      <c r="A5576" s="157">
        <v>30442</v>
      </c>
      <c r="B5576" s="158">
        <v>10.41</v>
      </c>
    </row>
    <row r="5577" spans="1:2" x14ac:dyDescent="0.25">
      <c r="A5577" s="157">
        <v>30445</v>
      </c>
      <c r="B5577" s="158">
        <v>10.49</v>
      </c>
    </row>
    <row r="5578" spans="1:2" x14ac:dyDescent="0.25">
      <c r="A5578" s="157">
        <v>30446</v>
      </c>
      <c r="B5578" s="158">
        <v>10.42</v>
      </c>
    </row>
    <row r="5579" spans="1:2" x14ac:dyDescent="0.25">
      <c r="A5579" s="157">
        <v>30447</v>
      </c>
      <c r="B5579" s="158">
        <v>10.45</v>
      </c>
    </row>
    <row r="5580" spans="1:2" x14ac:dyDescent="0.25">
      <c r="A5580" s="157">
        <v>30448</v>
      </c>
      <c r="B5580" s="158">
        <v>10.53</v>
      </c>
    </row>
    <row r="5581" spans="1:2" x14ac:dyDescent="0.25">
      <c r="A5581" s="157">
        <v>30449</v>
      </c>
      <c r="B5581" s="158">
        <v>10.5</v>
      </c>
    </row>
    <row r="5582" spans="1:2" x14ac:dyDescent="0.25">
      <c r="A5582" s="157">
        <v>30452</v>
      </c>
      <c r="B5582" s="158">
        <v>10.7</v>
      </c>
    </row>
    <row r="5583" spans="1:2" x14ac:dyDescent="0.25">
      <c r="A5583" s="157">
        <v>30453</v>
      </c>
      <c r="B5583" s="158">
        <v>10.71</v>
      </c>
    </row>
    <row r="5584" spans="1:2" x14ac:dyDescent="0.25">
      <c r="A5584" s="157">
        <v>30454</v>
      </c>
      <c r="B5584" s="158">
        <v>10.76</v>
      </c>
    </row>
    <row r="5585" spans="1:2" x14ac:dyDescent="0.25">
      <c r="A5585" s="157">
        <v>30455</v>
      </c>
      <c r="B5585" s="158">
        <v>10.83</v>
      </c>
    </row>
    <row r="5586" spans="1:2" x14ac:dyDescent="0.25">
      <c r="A5586" s="157">
        <v>30456</v>
      </c>
      <c r="B5586" s="158">
        <v>10.9</v>
      </c>
    </row>
    <row r="5587" spans="1:2" x14ac:dyDescent="0.25">
      <c r="A5587" s="157">
        <v>30459</v>
      </c>
      <c r="B5587" s="158">
        <v>10.88</v>
      </c>
    </row>
    <row r="5588" spans="1:2" x14ac:dyDescent="0.25">
      <c r="A5588" s="157">
        <v>30460</v>
      </c>
      <c r="B5588" s="158">
        <v>10.86</v>
      </c>
    </row>
    <row r="5589" spans="1:2" x14ac:dyDescent="0.25">
      <c r="A5589" s="157">
        <v>30461</v>
      </c>
      <c r="B5589" s="158">
        <v>10.88</v>
      </c>
    </row>
    <row r="5590" spans="1:2" x14ac:dyDescent="0.25">
      <c r="A5590" s="157">
        <v>30462</v>
      </c>
      <c r="B5590" s="158">
        <v>10.93</v>
      </c>
    </row>
    <row r="5591" spans="1:2" x14ac:dyDescent="0.25">
      <c r="A5591" s="157">
        <v>30463</v>
      </c>
      <c r="B5591" s="158">
        <v>10.94</v>
      </c>
    </row>
    <row r="5592" spans="1:2" x14ac:dyDescent="0.25">
      <c r="A5592" s="157">
        <v>30466</v>
      </c>
      <c r="B5592" s="158" t="e">
        <f>NA()</f>
        <v>#N/A</v>
      </c>
    </row>
    <row r="5593" spans="1:2" x14ac:dyDescent="0.25">
      <c r="A5593" s="157">
        <v>30467</v>
      </c>
      <c r="B5593" s="158">
        <v>11.12</v>
      </c>
    </row>
    <row r="5594" spans="1:2" x14ac:dyDescent="0.25">
      <c r="A5594" s="157">
        <v>30468</v>
      </c>
      <c r="B5594" s="158">
        <v>11.06</v>
      </c>
    </row>
    <row r="5595" spans="1:2" x14ac:dyDescent="0.25">
      <c r="A5595" s="157">
        <v>30469</v>
      </c>
      <c r="B5595" s="158">
        <v>11.1</v>
      </c>
    </row>
    <row r="5596" spans="1:2" x14ac:dyDescent="0.25">
      <c r="A5596" s="157">
        <v>30470</v>
      </c>
      <c r="B5596" s="158">
        <v>11.09</v>
      </c>
    </row>
    <row r="5597" spans="1:2" x14ac:dyDescent="0.25">
      <c r="A5597" s="157">
        <v>30473</v>
      </c>
      <c r="B5597" s="158">
        <v>11.06</v>
      </c>
    </row>
    <row r="5598" spans="1:2" x14ac:dyDescent="0.25">
      <c r="A5598" s="157">
        <v>30474</v>
      </c>
      <c r="B5598" s="158">
        <v>11.14</v>
      </c>
    </row>
    <row r="5599" spans="1:2" x14ac:dyDescent="0.25">
      <c r="A5599" s="157">
        <v>30475</v>
      </c>
      <c r="B5599" s="158">
        <v>11.2</v>
      </c>
    </row>
    <row r="5600" spans="1:2" x14ac:dyDescent="0.25">
      <c r="A5600" s="157">
        <v>30476</v>
      </c>
      <c r="B5600" s="158">
        <v>11.13</v>
      </c>
    </row>
    <row r="5601" spans="1:2" x14ac:dyDescent="0.25">
      <c r="A5601" s="157">
        <v>30477</v>
      </c>
      <c r="B5601" s="158">
        <v>11.14</v>
      </c>
    </row>
    <row r="5602" spans="1:2" x14ac:dyDescent="0.25">
      <c r="A5602" s="157">
        <v>30480</v>
      </c>
      <c r="B5602" s="158">
        <v>11.01</v>
      </c>
    </row>
    <row r="5603" spans="1:2" x14ac:dyDescent="0.25">
      <c r="A5603" s="157">
        <v>30481</v>
      </c>
      <c r="B5603" s="158">
        <v>11.04</v>
      </c>
    </row>
    <row r="5604" spans="1:2" x14ac:dyDescent="0.25">
      <c r="A5604" s="157">
        <v>30482</v>
      </c>
      <c r="B5604" s="158">
        <v>10.99</v>
      </c>
    </row>
    <row r="5605" spans="1:2" x14ac:dyDescent="0.25">
      <c r="A5605" s="157">
        <v>30483</v>
      </c>
      <c r="B5605" s="158">
        <v>10.91</v>
      </c>
    </row>
    <row r="5606" spans="1:2" x14ac:dyDescent="0.25">
      <c r="A5606" s="157">
        <v>30484</v>
      </c>
      <c r="B5606" s="158">
        <v>10.94</v>
      </c>
    </row>
    <row r="5607" spans="1:2" x14ac:dyDescent="0.25">
      <c r="A5607" s="157">
        <v>30487</v>
      </c>
      <c r="B5607" s="158">
        <v>11.05</v>
      </c>
    </row>
    <row r="5608" spans="1:2" x14ac:dyDescent="0.25">
      <c r="A5608" s="157">
        <v>30488</v>
      </c>
      <c r="B5608" s="158">
        <v>11.06</v>
      </c>
    </row>
    <row r="5609" spans="1:2" x14ac:dyDescent="0.25">
      <c r="A5609" s="157">
        <v>30489</v>
      </c>
      <c r="B5609" s="158">
        <v>11.09</v>
      </c>
    </row>
    <row r="5610" spans="1:2" x14ac:dyDescent="0.25">
      <c r="A5610" s="157">
        <v>30490</v>
      </c>
      <c r="B5610" s="158">
        <v>11.14</v>
      </c>
    </row>
    <row r="5611" spans="1:2" x14ac:dyDescent="0.25">
      <c r="A5611" s="157">
        <v>30491</v>
      </c>
      <c r="B5611" s="158">
        <v>11.28</v>
      </c>
    </row>
    <row r="5612" spans="1:2" x14ac:dyDescent="0.25">
      <c r="A5612" s="157">
        <v>30494</v>
      </c>
      <c r="B5612" s="158">
        <v>11.37</v>
      </c>
    </row>
    <row r="5613" spans="1:2" x14ac:dyDescent="0.25">
      <c r="A5613" s="157">
        <v>30495</v>
      </c>
      <c r="B5613" s="158">
        <v>11.3</v>
      </c>
    </row>
    <row r="5614" spans="1:2" x14ac:dyDescent="0.25">
      <c r="A5614" s="157">
        <v>30496</v>
      </c>
      <c r="B5614" s="158">
        <v>11.25</v>
      </c>
    </row>
    <row r="5615" spans="1:2" x14ac:dyDescent="0.25">
      <c r="A5615" s="157">
        <v>30497</v>
      </c>
      <c r="B5615" s="158">
        <v>11.2</v>
      </c>
    </row>
    <row r="5616" spans="1:2" x14ac:dyDescent="0.25">
      <c r="A5616" s="157">
        <v>30498</v>
      </c>
      <c r="B5616" s="158">
        <v>11.17</v>
      </c>
    </row>
    <row r="5617" spans="1:2" x14ac:dyDescent="0.25">
      <c r="A5617" s="157">
        <v>30501</v>
      </c>
      <c r="B5617" s="158" t="e">
        <f>NA()</f>
        <v>#N/A</v>
      </c>
    </row>
    <row r="5618" spans="1:2" x14ac:dyDescent="0.25">
      <c r="A5618" s="157">
        <v>30502</v>
      </c>
      <c r="B5618" s="158">
        <v>11.45</v>
      </c>
    </row>
    <row r="5619" spans="1:2" x14ac:dyDescent="0.25">
      <c r="A5619" s="157">
        <v>30503</v>
      </c>
      <c r="B5619" s="158">
        <v>11.43</v>
      </c>
    </row>
    <row r="5620" spans="1:2" x14ac:dyDescent="0.25">
      <c r="A5620" s="157">
        <v>30504</v>
      </c>
      <c r="B5620" s="158">
        <v>11.51</v>
      </c>
    </row>
    <row r="5621" spans="1:2" x14ac:dyDescent="0.25">
      <c r="A5621" s="157">
        <v>30505</v>
      </c>
      <c r="B5621" s="158">
        <v>11.57</v>
      </c>
    </row>
    <row r="5622" spans="1:2" x14ac:dyDescent="0.25">
      <c r="A5622" s="157">
        <v>30508</v>
      </c>
      <c r="B5622" s="158">
        <v>11.49</v>
      </c>
    </row>
    <row r="5623" spans="1:2" x14ac:dyDescent="0.25">
      <c r="A5623" s="157">
        <v>30509</v>
      </c>
      <c r="B5623" s="158">
        <v>11.63</v>
      </c>
    </row>
    <row r="5624" spans="1:2" x14ac:dyDescent="0.25">
      <c r="A5624" s="157">
        <v>30510</v>
      </c>
      <c r="B5624" s="158">
        <v>11.62</v>
      </c>
    </row>
    <row r="5625" spans="1:2" x14ac:dyDescent="0.25">
      <c r="A5625" s="157">
        <v>30511</v>
      </c>
      <c r="B5625" s="158">
        <v>11.58</v>
      </c>
    </row>
    <row r="5626" spans="1:2" x14ac:dyDescent="0.25">
      <c r="A5626" s="157">
        <v>30512</v>
      </c>
      <c r="B5626" s="158">
        <v>11.66</v>
      </c>
    </row>
    <row r="5627" spans="1:2" x14ac:dyDescent="0.25">
      <c r="A5627" s="157">
        <v>30515</v>
      </c>
      <c r="B5627" s="158">
        <v>11.56</v>
      </c>
    </row>
    <row r="5628" spans="1:2" x14ac:dyDescent="0.25">
      <c r="A5628" s="157">
        <v>30516</v>
      </c>
      <c r="B5628" s="158">
        <v>11.52</v>
      </c>
    </row>
    <row r="5629" spans="1:2" x14ac:dyDescent="0.25">
      <c r="A5629" s="157">
        <v>30517</v>
      </c>
      <c r="B5629" s="158">
        <v>11.47</v>
      </c>
    </row>
    <row r="5630" spans="1:2" x14ac:dyDescent="0.25">
      <c r="A5630" s="157">
        <v>30518</v>
      </c>
      <c r="B5630" s="158">
        <v>11.51</v>
      </c>
    </row>
    <row r="5631" spans="1:2" x14ac:dyDescent="0.25">
      <c r="A5631" s="157">
        <v>30519</v>
      </c>
      <c r="B5631" s="158">
        <v>11.67</v>
      </c>
    </row>
    <row r="5632" spans="1:2" x14ac:dyDescent="0.25">
      <c r="A5632" s="157">
        <v>30522</v>
      </c>
      <c r="B5632" s="158">
        <v>11.61</v>
      </c>
    </row>
    <row r="5633" spans="1:2" x14ac:dyDescent="0.25">
      <c r="A5633" s="157">
        <v>30523</v>
      </c>
      <c r="B5633" s="158">
        <v>11.7</v>
      </c>
    </row>
    <row r="5634" spans="1:2" x14ac:dyDescent="0.25">
      <c r="A5634" s="157">
        <v>30524</v>
      </c>
      <c r="B5634" s="158">
        <v>11.72</v>
      </c>
    </row>
    <row r="5635" spans="1:2" x14ac:dyDescent="0.25">
      <c r="A5635" s="157">
        <v>30525</v>
      </c>
      <c r="B5635" s="158">
        <v>11.87</v>
      </c>
    </row>
    <row r="5636" spans="1:2" x14ac:dyDescent="0.25">
      <c r="A5636" s="157">
        <v>30526</v>
      </c>
      <c r="B5636" s="158">
        <v>12.01</v>
      </c>
    </row>
    <row r="5637" spans="1:2" x14ac:dyDescent="0.25">
      <c r="A5637" s="157">
        <v>30529</v>
      </c>
      <c r="B5637" s="158">
        <v>12.05</v>
      </c>
    </row>
    <row r="5638" spans="1:2" x14ac:dyDescent="0.25">
      <c r="A5638" s="157">
        <v>30530</v>
      </c>
      <c r="B5638" s="158">
        <v>12.02</v>
      </c>
    </row>
    <row r="5639" spans="1:2" x14ac:dyDescent="0.25">
      <c r="A5639" s="157">
        <v>30531</v>
      </c>
      <c r="B5639" s="158">
        <v>12.02</v>
      </c>
    </row>
    <row r="5640" spans="1:2" x14ac:dyDescent="0.25">
      <c r="A5640" s="157">
        <v>30532</v>
      </c>
      <c r="B5640" s="158">
        <v>12.24</v>
      </c>
    </row>
    <row r="5641" spans="1:2" x14ac:dyDescent="0.25">
      <c r="A5641" s="157">
        <v>30533</v>
      </c>
      <c r="B5641" s="158">
        <v>12.18</v>
      </c>
    </row>
    <row r="5642" spans="1:2" x14ac:dyDescent="0.25">
      <c r="A5642" s="157">
        <v>30536</v>
      </c>
      <c r="B5642" s="158">
        <v>12.27</v>
      </c>
    </row>
    <row r="5643" spans="1:2" x14ac:dyDescent="0.25">
      <c r="A5643" s="157">
        <v>30537</v>
      </c>
      <c r="B5643" s="158">
        <v>12.21</v>
      </c>
    </row>
    <row r="5644" spans="1:2" x14ac:dyDescent="0.25">
      <c r="A5644" s="157">
        <v>30538</v>
      </c>
      <c r="B5644" s="158">
        <v>12.27</v>
      </c>
    </row>
    <row r="5645" spans="1:2" x14ac:dyDescent="0.25">
      <c r="A5645" s="157">
        <v>30539</v>
      </c>
      <c r="B5645" s="158">
        <v>12.15</v>
      </c>
    </row>
    <row r="5646" spans="1:2" x14ac:dyDescent="0.25">
      <c r="A5646" s="157">
        <v>30540</v>
      </c>
      <c r="B5646" s="158">
        <v>12.01</v>
      </c>
    </row>
    <row r="5647" spans="1:2" x14ac:dyDescent="0.25">
      <c r="A5647" s="157">
        <v>30543</v>
      </c>
      <c r="B5647" s="158">
        <v>11.83</v>
      </c>
    </row>
    <row r="5648" spans="1:2" x14ac:dyDescent="0.25">
      <c r="A5648" s="157">
        <v>30544</v>
      </c>
      <c r="B5648" s="158">
        <v>11.81</v>
      </c>
    </row>
    <row r="5649" spans="1:2" x14ac:dyDescent="0.25">
      <c r="A5649" s="157">
        <v>30545</v>
      </c>
      <c r="B5649" s="158">
        <v>11.73</v>
      </c>
    </row>
    <row r="5650" spans="1:2" x14ac:dyDescent="0.25">
      <c r="A5650" s="157">
        <v>30546</v>
      </c>
      <c r="B5650" s="158">
        <v>11.81</v>
      </c>
    </row>
    <row r="5651" spans="1:2" x14ac:dyDescent="0.25">
      <c r="A5651" s="157">
        <v>30547</v>
      </c>
      <c r="B5651" s="158">
        <v>11.86</v>
      </c>
    </row>
    <row r="5652" spans="1:2" x14ac:dyDescent="0.25">
      <c r="A5652" s="157">
        <v>30550</v>
      </c>
      <c r="B5652" s="158">
        <v>11.65</v>
      </c>
    </row>
    <row r="5653" spans="1:2" x14ac:dyDescent="0.25">
      <c r="A5653" s="157">
        <v>30551</v>
      </c>
      <c r="B5653" s="158">
        <v>11.71</v>
      </c>
    </row>
    <row r="5654" spans="1:2" x14ac:dyDescent="0.25">
      <c r="A5654" s="157">
        <v>30552</v>
      </c>
      <c r="B5654" s="158">
        <v>11.68</v>
      </c>
    </row>
    <row r="5655" spans="1:2" x14ac:dyDescent="0.25">
      <c r="A5655" s="157">
        <v>30553</v>
      </c>
      <c r="B5655" s="158">
        <v>11.73</v>
      </c>
    </row>
    <row r="5656" spans="1:2" x14ac:dyDescent="0.25">
      <c r="A5656" s="157">
        <v>30554</v>
      </c>
      <c r="B5656" s="158">
        <v>11.78</v>
      </c>
    </row>
    <row r="5657" spans="1:2" x14ac:dyDescent="0.25">
      <c r="A5657" s="157">
        <v>30557</v>
      </c>
      <c r="B5657" s="158">
        <v>11.99</v>
      </c>
    </row>
    <row r="5658" spans="1:2" x14ac:dyDescent="0.25">
      <c r="A5658" s="157">
        <v>30558</v>
      </c>
      <c r="B5658" s="158">
        <v>12.04</v>
      </c>
    </row>
    <row r="5659" spans="1:2" x14ac:dyDescent="0.25">
      <c r="A5659" s="157">
        <v>30559</v>
      </c>
      <c r="B5659" s="158">
        <v>12.15</v>
      </c>
    </row>
    <row r="5660" spans="1:2" x14ac:dyDescent="0.25">
      <c r="A5660" s="157">
        <v>30560</v>
      </c>
      <c r="B5660" s="158">
        <v>12.12</v>
      </c>
    </row>
    <row r="5661" spans="1:2" x14ac:dyDescent="0.25">
      <c r="A5661" s="157">
        <v>30561</v>
      </c>
      <c r="B5661" s="158">
        <v>12.15</v>
      </c>
    </row>
    <row r="5662" spans="1:2" x14ac:dyDescent="0.25">
      <c r="A5662" s="157">
        <v>30564</v>
      </c>
      <c r="B5662" s="158" t="e">
        <f>NA()</f>
        <v>#N/A</v>
      </c>
    </row>
    <row r="5663" spans="1:2" x14ac:dyDescent="0.25">
      <c r="A5663" s="157">
        <v>30565</v>
      </c>
      <c r="B5663" s="158">
        <v>12</v>
      </c>
    </row>
    <row r="5664" spans="1:2" x14ac:dyDescent="0.25">
      <c r="A5664" s="157">
        <v>30566</v>
      </c>
      <c r="B5664" s="158">
        <v>11.87</v>
      </c>
    </row>
    <row r="5665" spans="1:2" x14ac:dyDescent="0.25">
      <c r="A5665" s="157">
        <v>30567</v>
      </c>
      <c r="B5665" s="158">
        <v>11.92</v>
      </c>
    </row>
    <row r="5666" spans="1:2" x14ac:dyDescent="0.25">
      <c r="A5666" s="157">
        <v>30568</v>
      </c>
      <c r="B5666" s="158">
        <v>11.88</v>
      </c>
    </row>
    <row r="5667" spans="1:2" x14ac:dyDescent="0.25">
      <c r="A5667" s="157">
        <v>30571</v>
      </c>
      <c r="B5667" s="158">
        <v>11.73</v>
      </c>
    </row>
    <row r="5668" spans="1:2" x14ac:dyDescent="0.25">
      <c r="A5668" s="157">
        <v>30572</v>
      </c>
      <c r="B5668" s="158">
        <v>11.79</v>
      </c>
    </row>
    <row r="5669" spans="1:2" x14ac:dyDescent="0.25">
      <c r="A5669" s="157">
        <v>30573</v>
      </c>
      <c r="B5669" s="158">
        <v>11.93</v>
      </c>
    </row>
    <row r="5670" spans="1:2" x14ac:dyDescent="0.25">
      <c r="A5670" s="157">
        <v>30574</v>
      </c>
      <c r="B5670" s="158">
        <v>11.98</v>
      </c>
    </row>
    <row r="5671" spans="1:2" x14ac:dyDescent="0.25">
      <c r="A5671" s="157">
        <v>30575</v>
      </c>
      <c r="B5671" s="158">
        <v>11.84</v>
      </c>
    </row>
    <row r="5672" spans="1:2" x14ac:dyDescent="0.25">
      <c r="A5672" s="157">
        <v>30578</v>
      </c>
      <c r="B5672" s="158">
        <v>11.83</v>
      </c>
    </row>
    <row r="5673" spans="1:2" x14ac:dyDescent="0.25">
      <c r="A5673" s="157">
        <v>30579</v>
      </c>
      <c r="B5673" s="158">
        <v>11.76</v>
      </c>
    </row>
    <row r="5674" spans="1:2" x14ac:dyDescent="0.25">
      <c r="A5674" s="157">
        <v>30580</v>
      </c>
      <c r="B5674" s="158">
        <v>11.8</v>
      </c>
    </row>
    <row r="5675" spans="1:2" x14ac:dyDescent="0.25">
      <c r="A5675" s="157">
        <v>30581</v>
      </c>
      <c r="B5675" s="158">
        <v>11.82</v>
      </c>
    </row>
    <row r="5676" spans="1:2" x14ac:dyDescent="0.25">
      <c r="A5676" s="157">
        <v>30582</v>
      </c>
      <c r="B5676" s="158">
        <v>11.68</v>
      </c>
    </row>
    <row r="5677" spans="1:2" x14ac:dyDescent="0.25">
      <c r="A5677" s="157">
        <v>30585</v>
      </c>
      <c r="B5677" s="158">
        <v>11.6</v>
      </c>
    </row>
    <row r="5678" spans="1:2" x14ac:dyDescent="0.25">
      <c r="A5678" s="157">
        <v>30586</v>
      </c>
      <c r="B5678" s="158">
        <v>11.64</v>
      </c>
    </row>
    <row r="5679" spans="1:2" x14ac:dyDescent="0.25">
      <c r="A5679" s="157">
        <v>30587</v>
      </c>
      <c r="B5679" s="158">
        <v>11.67</v>
      </c>
    </row>
    <row r="5680" spans="1:2" x14ac:dyDescent="0.25">
      <c r="A5680" s="157">
        <v>30588</v>
      </c>
      <c r="B5680" s="158">
        <v>11.67</v>
      </c>
    </row>
    <row r="5681" spans="1:2" x14ac:dyDescent="0.25">
      <c r="A5681" s="157">
        <v>30589</v>
      </c>
      <c r="B5681" s="158">
        <v>11.64</v>
      </c>
    </row>
    <row r="5682" spans="1:2" x14ac:dyDescent="0.25">
      <c r="A5682" s="157">
        <v>30592</v>
      </c>
      <c r="B5682" s="158">
        <v>11.67</v>
      </c>
    </row>
    <row r="5683" spans="1:2" x14ac:dyDescent="0.25">
      <c r="A5683" s="157">
        <v>30593</v>
      </c>
      <c r="B5683" s="158">
        <v>11.67</v>
      </c>
    </row>
    <row r="5684" spans="1:2" x14ac:dyDescent="0.25">
      <c r="A5684" s="157">
        <v>30594</v>
      </c>
      <c r="B5684" s="158">
        <v>11.56</v>
      </c>
    </row>
    <row r="5685" spans="1:2" x14ac:dyDescent="0.25">
      <c r="A5685" s="157">
        <v>30595</v>
      </c>
      <c r="B5685" s="158">
        <v>11.55</v>
      </c>
    </row>
    <row r="5686" spans="1:2" x14ac:dyDescent="0.25">
      <c r="A5686" s="157">
        <v>30596</v>
      </c>
      <c r="B5686" s="158">
        <v>11.56</v>
      </c>
    </row>
    <row r="5687" spans="1:2" x14ac:dyDescent="0.25">
      <c r="A5687" s="157">
        <v>30599</v>
      </c>
      <c r="B5687" s="158" t="e">
        <f>NA()</f>
        <v>#N/A</v>
      </c>
    </row>
    <row r="5688" spans="1:2" x14ac:dyDescent="0.25">
      <c r="A5688" s="157">
        <v>30600</v>
      </c>
      <c r="B5688" s="158">
        <v>11.82</v>
      </c>
    </row>
    <row r="5689" spans="1:2" x14ac:dyDescent="0.25">
      <c r="A5689" s="157">
        <v>30601</v>
      </c>
      <c r="B5689" s="158">
        <v>11.84</v>
      </c>
    </row>
    <row r="5690" spans="1:2" x14ac:dyDescent="0.25">
      <c r="A5690" s="157">
        <v>30602</v>
      </c>
      <c r="B5690" s="158">
        <v>11.9</v>
      </c>
    </row>
    <row r="5691" spans="1:2" x14ac:dyDescent="0.25">
      <c r="A5691" s="157">
        <v>30603</v>
      </c>
      <c r="B5691" s="158">
        <v>11.82</v>
      </c>
    </row>
    <row r="5692" spans="1:2" x14ac:dyDescent="0.25">
      <c r="A5692" s="157">
        <v>30606</v>
      </c>
      <c r="B5692" s="158">
        <v>11.71</v>
      </c>
    </row>
    <row r="5693" spans="1:2" x14ac:dyDescent="0.25">
      <c r="A5693" s="157">
        <v>30607</v>
      </c>
      <c r="B5693" s="158">
        <v>11.75</v>
      </c>
    </row>
    <row r="5694" spans="1:2" x14ac:dyDescent="0.25">
      <c r="A5694" s="157">
        <v>30608</v>
      </c>
      <c r="B5694" s="158">
        <v>11.72</v>
      </c>
    </row>
    <row r="5695" spans="1:2" x14ac:dyDescent="0.25">
      <c r="A5695" s="157">
        <v>30609</v>
      </c>
      <c r="B5695" s="158">
        <v>11.72</v>
      </c>
    </row>
    <row r="5696" spans="1:2" x14ac:dyDescent="0.25">
      <c r="A5696" s="157">
        <v>30610</v>
      </c>
      <c r="B5696" s="158">
        <v>11.67</v>
      </c>
    </row>
    <row r="5697" spans="1:2" x14ac:dyDescent="0.25">
      <c r="A5697" s="157">
        <v>30613</v>
      </c>
      <c r="B5697" s="158">
        <v>11.9</v>
      </c>
    </row>
    <row r="5698" spans="1:2" x14ac:dyDescent="0.25">
      <c r="A5698" s="157">
        <v>30614</v>
      </c>
      <c r="B5698" s="158">
        <v>11.92</v>
      </c>
    </row>
    <row r="5699" spans="1:2" x14ac:dyDescent="0.25">
      <c r="A5699" s="157">
        <v>30615</v>
      </c>
      <c r="B5699" s="158">
        <v>11.91</v>
      </c>
    </row>
    <row r="5700" spans="1:2" x14ac:dyDescent="0.25">
      <c r="A5700" s="157">
        <v>30616</v>
      </c>
      <c r="B5700" s="158">
        <v>11.9</v>
      </c>
    </row>
    <row r="5701" spans="1:2" x14ac:dyDescent="0.25">
      <c r="A5701" s="157">
        <v>30617</v>
      </c>
      <c r="B5701" s="158">
        <v>11.89</v>
      </c>
    </row>
    <row r="5702" spans="1:2" x14ac:dyDescent="0.25">
      <c r="A5702" s="157">
        <v>30620</v>
      </c>
      <c r="B5702" s="158">
        <v>11.93</v>
      </c>
    </row>
    <row r="5703" spans="1:2" x14ac:dyDescent="0.25">
      <c r="A5703" s="157">
        <v>30621</v>
      </c>
      <c r="B5703" s="158">
        <v>11.92</v>
      </c>
    </row>
    <row r="5704" spans="1:2" x14ac:dyDescent="0.25">
      <c r="A5704" s="157">
        <v>30622</v>
      </c>
      <c r="B5704" s="158">
        <v>11.95</v>
      </c>
    </row>
    <row r="5705" spans="1:2" x14ac:dyDescent="0.25">
      <c r="A5705" s="157">
        <v>30623</v>
      </c>
      <c r="B5705" s="158">
        <v>12.01</v>
      </c>
    </row>
    <row r="5706" spans="1:2" x14ac:dyDescent="0.25">
      <c r="A5706" s="157">
        <v>30624</v>
      </c>
      <c r="B5706" s="158">
        <v>12.07</v>
      </c>
    </row>
    <row r="5707" spans="1:2" x14ac:dyDescent="0.25">
      <c r="A5707" s="157">
        <v>30627</v>
      </c>
      <c r="B5707" s="158">
        <v>12.06</v>
      </c>
    </row>
    <row r="5708" spans="1:2" x14ac:dyDescent="0.25">
      <c r="A5708" s="157">
        <v>30628</v>
      </c>
      <c r="B5708" s="158" t="e">
        <f>NA()</f>
        <v>#N/A</v>
      </c>
    </row>
    <row r="5709" spans="1:2" x14ac:dyDescent="0.25">
      <c r="A5709" s="157">
        <v>30629</v>
      </c>
      <c r="B5709" s="158">
        <v>12.04</v>
      </c>
    </row>
    <row r="5710" spans="1:2" x14ac:dyDescent="0.25">
      <c r="A5710" s="157">
        <v>30630</v>
      </c>
      <c r="B5710" s="158">
        <v>11.93</v>
      </c>
    </row>
    <row r="5711" spans="1:2" x14ac:dyDescent="0.25">
      <c r="A5711" s="157">
        <v>30631</v>
      </c>
      <c r="B5711" s="158" t="e">
        <f>NA()</f>
        <v>#N/A</v>
      </c>
    </row>
    <row r="5712" spans="1:2" x14ac:dyDescent="0.25">
      <c r="A5712" s="157">
        <v>30634</v>
      </c>
      <c r="B5712" s="158">
        <v>11.89</v>
      </c>
    </row>
    <row r="5713" spans="1:2" x14ac:dyDescent="0.25">
      <c r="A5713" s="157">
        <v>30635</v>
      </c>
      <c r="B5713" s="158">
        <v>11.91</v>
      </c>
    </row>
    <row r="5714" spans="1:2" x14ac:dyDescent="0.25">
      <c r="A5714" s="157">
        <v>30636</v>
      </c>
      <c r="B5714" s="158">
        <v>11.93</v>
      </c>
    </row>
    <row r="5715" spans="1:2" x14ac:dyDescent="0.25">
      <c r="A5715" s="157">
        <v>30637</v>
      </c>
      <c r="B5715" s="158">
        <v>11.96</v>
      </c>
    </row>
    <row r="5716" spans="1:2" x14ac:dyDescent="0.25">
      <c r="A5716" s="157">
        <v>30638</v>
      </c>
      <c r="B5716" s="158">
        <v>11.97</v>
      </c>
    </row>
    <row r="5717" spans="1:2" x14ac:dyDescent="0.25">
      <c r="A5717" s="157">
        <v>30641</v>
      </c>
      <c r="B5717" s="158">
        <v>11.89</v>
      </c>
    </row>
    <row r="5718" spans="1:2" x14ac:dyDescent="0.25">
      <c r="A5718" s="157">
        <v>30642</v>
      </c>
      <c r="B5718" s="158">
        <v>11.82</v>
      </c>
    </row>
    <row r="5719" spans="1:2" x14ac:dyDescent="0.25">
      <c r="A5719" s="157">
        <v>30643</v>
      </c>
      <c r="B5719" s="158">
        <v>11.81</v>
      </c>
    </row>
    <row r="5720" spans="1:2" x14ac:dyDescent="0.25">
      <c r="A5720" s="157">
        <v>30644</v>
      </c>
      <c r="B5720" s="158" t="e">
        <f>NA()</f>
        <v>#N/A</v>
      </c>
    </row>
    <row r="5721" spans="1:2" x14ac:dyDescent="0.25">
      <c r="A5721" s="157">
        <v>30645</v>
      </c>
      <c r="B5721" s="158">
        <v>11.78</v>
      </c>
    </row>
    <row r="5722" spans="1:2" x14ac:dyDescent="0.25">
      <c r="A5722" s="157">
        <v>30648</v>
      </c>
      <c r="B5722" s="158">
        <v>11.85</v>
      </c>
    </row>
    <row r="5723" spans="1:2" x14ac:dyDescent="0.25">
      <c r="A5723" s="157">
        <v>30649</v>
      </c>
      <c r="B5723" s="158">
        <v>11.8</v>
      </c>
    </row>
    <row r="5724" spans="1:2" x14ac:dyDescent="0.25">
      <c r="A5724" s="157">
        <v>30650</v>
      </c>
      <c r="B5724" s="158">
        <v>11.83</v>
      </c>
    </row>
    <row r="5725" spans="1:2" x14ac:dyDescent="0.25">
      <c r="A5725" s="157">
        <v>30651</v>
      </c>
      <c r="B5725" s="158">
        <v>11.83</v>
      </c>
    </row>
    <row r="5726" spans="1:2" x14ac:dyDescent="0.25">
      <c r="A5726" s="157">
        <v>30652</v>
      </c>
      <c r="B5726" s="158">
        <v>11.94</v>
      </c>
    </row>
    <row r="5727" spans="1:2" x14ac:dyDescent="0.25">
      <c r="A5727" s="157">
        <v>30655</v>
      </c>
      <c r="B5727" s="158">
        <v>11.97</v>
      </c>
    </row>
    <row r="5728" spans="1:2" x14ac:dyDescent="0.25">
      <c r="A5728" s="157">
        <v>30656</v>
      </c>
      <c r="B5728" s="158">
        <v>11.98</v>
      </c>
    </row>
    <row r="5729" spans="1:2" x14ac:dyDescent="0.25">
      <c r="A5729" s="157">
        <v>30657</v>
      </c>
      <c r="B5729" s="158">
        <v>11.99</v>
      </c>
    </row>
    <row r="5730" spans="1:2" x14ac:dyDescent="0.25">
      <c r="A5730" s="157">
        <v>30658</v>
      </c>
      <c r="B5730" s="158">
        <v>12.1</v>
      </c>
    </row>
    <row r="5731" spans="1:2" x14ac:dyDescent="0.25">
      <c r="A5731" s="157">
        <v>30659</v>
      </c>
      <c r="B5731" s="158">
        <v>12.11</v>
      </c>
    </row>
    <row r="5732" spans="1:2" x14ac:dyDescent="0.25">
      <c r="A5732" s="157">
        <v>30662</v>
      </c>
      <c r="B5732" s="158">
        <v>12.1</v>
      </c>
    </row>
    <row r="5733" spans="1:2" x14ac:dyDescent="0.25">
      <c r="A5733" s="157">
        <v>30663</v>
      </c>
      <c r="B5733" s="158">
        <v>12.15</v>
      </c>
    </row>
    <row r="5734" spans="1:2" x14ac:dyDescent="0.25">
      <c r="A5734" s="157">
        <v>30664</v>
      </c>
      <c r="B5734" s="158">
        <v>12.17</v>
      </c>
    </row>
    <row r="5735" spans="1:2" x14ac:dyDescent="0.25">
      <c r="A5735" s="157">
        <v>30665</v>
      </c>
      <c r="B5735" s="158">
        <v>12.09</v>
      </c>
    </row>
    <row r="5736" spans="1:2" x14ac:dyDescent="0.25">
      <c r="A5736" s="157">
        <v>30666</v>
      </c>
      <c r="B5736" s="158">
        <v>12.03</v>
      </c>
    </row>
    <row r="5737" spans="1:2" x14ac:dyDescent="0.25">
      <c r="A5737" s="157">
        <v>30669</v>
      </c>
      <c r="B5737" s="158">
        <v>12.05</v>
      </c>
    </row>
    <row r="5738" spans="1:2" x14ac:dyDescent="0.25">
      <c r="A5738" s="157">
        <v>30670</v>
      </c>
      <c r="B5738" s="158">
        <v>12.05</v>
      </c>
    </row>
    <row r="5739" spans="1:2" x14ac:dyDescent="0.25">
      <c r="A5739" s="157">
        <v>30671</v>
      </c>
      <c r="B5739" s="158">
        <v>12.05</v>
      </c>
    </row>
    <row r="5740" spans="1:2" x14ac:dyDescent="0.25">
      <c r="A5740" s="157">
        <v>30672</v>
      </c>
      <c r="B5740" s="158">
        <v>11.98</v>
      </c>
    </row>
    <row r="5741" spans="1:2" x14ac:dyDescent="0.25">
      <c r="A5741" s="157">
        <v>30673</v>
      </c>
      <c r="B5741" s="158">
        <v>12</v>
      </c>
    </row>
    <row r="5742" spans="1:2" x14ac:dyDescent="0.25">
      <c r="A5742" s="157">
        <v>30676</v>
      </c>
      <c r="B5742" s="158" t="e">
        <f>NA()</f>
        <v>#N/A</v>
      </c>
    </row>
    <row r="5743" spans="1:2" x14ac:dyDescent="0.25">
      <c r="A5743" s="157">
        <v>30677</v>
      </c>
      <c r="B5743" s="158">
        <v>11.93</v>
      </c>
    </row>
    <row r="5744" spans="1:2" x14ac:dyDescent="0.25">
      <c r="A5744" s="157">
        <v>30678</v>
      </c>
      <c r="B5744" s="158">
        <v>11.99</v>
      </c>
    </row>
    <row r="5745" spans="1:2" x14ac:dyDescent="0.25">
      <c r="A5745" s="157">
        <v>30679</v>
      </c>
      <c r="B5745" s="158">
        <v>11.96</v>
      </c>
    </row>
    <row r="5746" spans="1:2" x14ac:dyDescent="0.25">
      <c r="A5746" s="157">
        <v>30680</v>
      </c>
      <c r="B5746" s="158">
        <v>11.98</v>
      </c>
    </row>
    <row r="5747" spans="1:2" x14ac:dyDescent="0.25">
      <c r="A5747" s="157">
        <v>30683</v>
      </c>
      <c r="B5747" s="158" t="e">
        <f>NA()</f>
        <v>#N/A</v>
      </c>
    </row>
    <row r="5748" spans="1:2" x14ac:dyDescent="0.25">
      <c r="A5748" s="157">
        <v>30684</v>
      </c>
      <c r="B5748" s="158">
        <v>12.05</v>
      </c>
    </row>
    <row r="5749" spans="1:2" x14ac:dyDescent="0.25">
      <c r="A5749" s="157">
        <v>30685</v>
      </c>
      <c r="B5749" s="158">
        <v>11.94</v>
      </c>
    </row>
    <row r="5750" spans="1:2" x14ac:dyDescent="0.25">
      <c r="A5750" s="157">
        <v>30686</v>
      </c>
      <c r="B5750" s="158">
        <v>11.95</v>
      </c>
    </row>
    <row r="5751" spans="1:2" x14ac:dyDescent="0.25">
      <c r="A5751" s="157">
        <v>30687</v>
      </c>
      <c r="B5751" s="158">
        <v>11.92</v>
      </c>
    </row>
    <row r="5752" spans="1:2" x14ac:dyDescent="0.25">
      <c r="A5752" s="157">
        <v>30690</v>
      </c>
      <c r="B5752" s="158">
        <v>11.93</v>
      </c>
    </row>
    <row r="5753" spans="1:2" x14ac:dyDescent="0.25">
      <c r="A5753" s="157">
        <v>30691</v>
      </c>
      <c r="B5753" s="158">
        <v>11.85</v>
      </c>
    </row>
    <row r="5754" spans="1:2" x14ac:dyDescent="0.25">
      <c r="A5754" s="157">
        <v>30692</v>
      </c>
      <c r="B5754" s="158">
        <v>11.89</v>
      </c>
    </row>
    <row r="5755" spans="1:2" x14ac:dyDescent="0.25">
      <c r="A5755" s="157">
        <v>30693</v>
      </c>
      <c r="B5755" s="158">
        <v>11.88</v>
      </c>
    </row>
    <row r="5756" spans="1:2" x14ac:dyDescent="0.25">
      <c r="A5756" s="157">
        <v>30694</v>
      </c>
      <c r="B5756" s="158">
        <v>11.73</v>
      </c>
    </row>
    <row r="5757" spans="1:2" x14ac:dyDescent="0.25">
      <c r="A5757" s="157">
        <v>30697</v>
      </c>
      <c r="B5757" s="158">
        <v>11.7</v>
      </c>
    </row>
    <row r="5758" spans="1:2" x14ac:dyDescent="0.25">
      <c r="A5758" s="157">
        <v>30698</v>
      </c>
      <c r="B5758" s="158">
        <v>11.72</v>
      </c>
    </row>
    <row r="5759" spans="1:2" x14ac:dyDescent="0.25">
      <c r="A5759" s="157">
        <v>30699</v>
      </c>
      <c r="B5759" s="158">
        <v>11.75</v>
      </c>
    </row>
    <row r="5760" spans="1:2" x14ac:dyDescent="0.25">
      <c r="A5760" s="157">
        <v>30700</v>
      </c>
      <c r="B5760" s="158">
        <v>11.75</v>
      </c>
    </row>
    <row r="5761" spans="1:2" x14ac:dyDescent="0.25">
      <c r="A5761" s="157">
        <v>30701</v>
      </c>
      <c r="B5761" s="158">
        <v>11.76</v>
      </c>
    </row>
    <row r="5762" spans="1:2" x14ac:dyDescent="0.25">
      <c r="A5762" s="157">
        <v>30704</v>
      </c>
      <c r="B5762" s="158">
        <v>11.75</v>
      </c>
    </row>
    <row r="5763" spans="1:2" x14ac:dyDescent="0.25">
      <c r="A5763" s="157">
        <v>30705</v>
      </c>
      <c r="B5763" s="158">
        <v>11.75</v>
      </c>
    </row>
    <row r="5764" spans="1:2" x14ac:dyDescent="0.25">
      <c r="A5764" s="157">
        <v>30706</v>
      </c>
      <c r="B5764" s="158">
        <v>11.76</v>
      </c>
    </row>
    <row r="5765" spans="1:2" x14ac:dyDescent="0.25">
      <c r="A5765" s="157">
        <v>30707</v>
      </c>
      <c r="B5765" s="158">
        <v>11.76</v>
      </c>
    </row>
    <row r="5766" spans="1:2" x14ac:dyDescent="0.25">
      <c r="A5766" s="157">
        <v>30708</v>
      </c>
      <c r="B5766" s="158">
        <v>11.77</v>
      </c>
    </row>
    <row r="5767" spans="1:2" x14ac:dyDescent="0.25">
      <c r="A5767" s="157">
        <v>30711</v>
      </c>
      <c r="B5767" s="158">
        <v>11.81</v>
      </c>
    </row>
    <row r="5768" spans="1:2" x14ac:dyDescent="0.25">
      <c r="A5768" s="157">
        <v>30712</v>
      </c>
      <c r="B5768" s="158">
        <v>11.82</v>
      </c>
    </row>
    <row r="5769" spans="1:2" x14ac:dyDescent="0.25">
      <c r="A5769" s="157">
        <v>30713</v>
      </c>
      <c r="B5769" s="158">
        <v>11.8</v>
      </c>
    </row>
    <row r="5770" spans="1:2" x14ac:dyDescent="0.25">
      <c r="A5770" s="157">
        <v>30714</v>
      </c>
      <c r="B5770" s="158">
        <v>11.75</v>
      </c>
    </row>
    <row r="5771" spans="1:2" x14ac:dyDescent="0.25">
      <c r="A5771" s="157">
        <v>30715</v>
      </c>
      <c r="B5771" s="158">
        <v>11.78</v>
      </c>
    </row>
    <row r="5772" spans="1:2" x14ac:dyDescent="0.25">
      <c r="A5772" s="157">
        <v>30718</v>
      </c>
      <c r="B5772" s="158">
        <v>11.87</v>
      </c>
    </row>
    <row r="5773" spans="1:2" x14ac:dyDescent="0.25">
      <c r="A5773" s="157">
        <v>30719</v>
      </c>
      <c r="B5773" s="158">
        <v>11.87</v>
      </c>
    </row>
    <row r="5774" spans="1:2" x14ac:dyDescent="0.25">
      <c r="A5774" s="157">
        <v>30720</v>
      </c>
      <c r="B5774" s="158">
        <v>11.88</v>
      </c>
    </row>
    <row r="5775" spans="1:2" x14ac:dyDescent="0.25">
      <c r="A5775" s="157">
        <v>30721</v>
      </c>
      <c r="B5775" s="158">
        <v>11.9</v>
      </c>
    </row>
    <row r="5776" spans="1:2" x14ac:dyDescent="0.25">
      <c r="A5776" s="157">
        <v>30722</v>
      </c>
      <c r="B5776" s="158">
        <v>12</v>
      </c>
    </row>
    <row r="5777" spans="1:2" x14ac:dyDescent="0.25">
      <c r="A5777" s="157">
        <v>30725</v>
      </c>
      <c r="B5777" s="158" t="e">
        <f>NA()</f>
        <v>#N/A</v>
      </c>
    </row>
    <row r="5778" spans="1:2" x14ac:dyDescent="0.25">
      <c r="A5778" s="157">
        <v>30726</v>
      </c>
      <c r="B5778" s="158">
        <v>12.02</v>
      </c>
    </row>
    <row r="5779" spans="1:2" x14ac:dyDescent="0.25">
      <c r="A5779" s="157">
        <v>30727</v>
      </c>
      <c r="B5779" s="158">
        <v>11.99</v>
      </c>
    </row>
    <row r="5780" spans="1:2" x14ac:dyDescent="0.25">
      <c r="A5780" s="157">
        <v>30728</v>
      </c>
      <c r="B5780" s="158">
        <v>11.99</v>
      </c>
    </row>
    <row r="5781" spans="1:2" x14ac:dyDescent="0.25">
      <c r="A5781" s="157">
        <v>30729</v>
      </c>
      <c r="B5781" s="158">
        <v>12.06</v>
      </c>
    </row>
    <row r="5782" spans="1:2" x14ac:dyDescent="0.25">
      <c r="A5782" s="157">
        <v>30732</v>
      </c>
      <c r="B5782" s="158" t="e">
        <f>NA()</f>
        <v>#N/A</v>
      </c>
    </row>
    <row r="5783" spans="1:2" x14ac:dyDescent="0.25">
      <c r="A5783" s="157">
        <v>30733</v>
      </c>
      <c r="B5783" s="158">
        <v>12.06</v>
      </c>
    </row>
    <row r="5784" spans="1:2" x14ac:dyDescent="0.25">
      <c r="A5784" s="157">
        <v>30734</v>
      </c>
      <c r="B5784" s="158">
        <v>12.09</v>
      </c>
    </row>
    <row r="5785" spans="1:2" x14ac:dyDescent="0.25">
      <c r="A5785" s="157">
        <v>30735</v>
      </c>
      <c r="B5785" s="158">
        <v>12.21</v>
      </c>
    </row>
    <row r="5786" spans="1:2" x14ac:dyDescent="0.25">
      <c r="A5786" s="157">
        <v>30736</v>
      </c>
      <c r="B5786" s="158">
        <v>12.13</v>
      </c>
    </row>
    <row r="5787" spans="1:2" x14ac:dyDescent="0.25">
      <c r="A5787" s="157">
        <v>30739</v>
      </c>
      <c r="B5787" s="158">
        <v>12.21</v>
      </c>
    </row>
    <row r="5788" spans="1:2" x14ac:dyDescent="0.25">
      <c r="A5788" s="157">
        <v>30740</v>
      </c>
      <c r="B5788" s="158">
        <v>12.25</v>
      </c>
    </row>
    <row r="5789" spans="1:2" x14ac:dyDescent="0.25">
      <c r="A5789" s="157">
        <v>30741</v>
      </c>
      <c r="B5789" s="158">
        <v>12.21</v>
      </c>
    </row>
    <row r="5790" spans="1:2" x14ac:dyDescent="0.25">
      <c r="A5790" s="157">
        <v>30742</v>
      </c>
      <c r="B5790" s="158">
        <v>12.22</v>
      </c>
    </row>
    <row r="5791" spans="1:2" x14ac:dyDescent="0.25">
      <c r="A5791" s="157">
        <v>30743</v>
      </c>
      <c r="B5791" s="158">
        <v>12.14</v>
      </c>
    </row>
    <row r="5792" spans="1:2" x14ac:dyDescent="0.25">
      <c r="A5792" s="157">
        <v>30746</v>
      </c>
      <c r="B5792" s="158">
        <v>12.23</v>
      </c>
    </row>
    <row r="5793" spans="1:2" x14ac:dyDescent="0.25">
      <c r="A5793" s="157">
        <v>30747</v>
      </c>
      <c r="B5793" s="158">
        <v>12.27</v>
      </c>
    </row>
    <row r="5794" spans="1:2" x14ac:dyDescent="0.25">
      <c r="A5794" s="157">
        <v>30748</v>
      </c>
      <c r="B5794" s="158">
        <v>12.39</v>
      </c>
    </row>
    <row r="5795" spans="1:2" x14ac:dyDescent="0.25">
      <c r="A5795" s="157">
        <v>30749</v>
      </c>
      <c r="B5795" s="158">
        <v>12.41</v>
      </c>
    </row>
    <row r="5796" spans="1:2" x14ac:dyDescent="0.25">
      <c r="A5796" s="157">
        <v>30750</v>
      </c>
      <c r="B5796" s="158">
        <v>12.43</v>
      </c>
    </row>
    <row r="5797" spans="1:2" x14ac:dyDescent="0.25">
      <c r="A5797" s="157">
        <v>30753</v>
      </c>
      <c r="B5797" s="158">
        <v>12.4</v>
      </c>
    </row>
    <row r="5798" spans="1:2" x14ac:dyDescent="0.25">
      <c r="A5798" s="157">
        <v>30754</v>
      </c>
      <c r="B5798" s="158">
        <v>12.44</v>
      </c>
    </row>
    <row r="5799" spans="1:2" x14ac:dyDescent="0.25">
      <c r="A5799" s="157">
        <v>30755</v>
      </c>
      <c r="B5799" s="158">
        <v>12.48</v>
      </c>
    </row>
    <row r="5800" spans="1:2" x14ac:dyDescent="0.25">
      <c r="A5800" s="157">
        <v>30756</v>
      </c>
      <c r="B5800" s="158">
        <v>12.47</v>
      </c>
    </row>
    <row r="5801" spans="1:2" x14ac:dyDescent="0.25">
      <c r="A5801" s="157">
        <v>30757</v>
      </c>
      <c r="B5801" s="158">
        <v>12.5</v>
      </c>
    </row>
    <row r="5802" spans="1:2" x14ac:dyDescent="0.25">
      <c r="A5802" s="157">
        <v>30760</v>
      </c>
      <c r="B5802" s="158">
        <v>12.62</v>
      </c>
    </row>
    <row r="5803" spans="1:2" x14ac:dyDescent="0.25">
      <c r="A5803" s="157">
        <v>30761</v>
      </c>
      <c r="B5803" s="158">
        <v>12.6</v>
      </c>
    </row>
    <row r="5804" spans="1:2" x14ac:dyDescent="0.25">
      <c r="A5804" s="157">
        <v>30762</v>
      </c>
      <c r="B5804" s="158">
        <v>12.59</v>
      </c>
    </row>
    <row r="5805" spans="1:2" x14ac:dyDescent="0.25">
      <c r="A5805" s="157">
        <v>30763</v>
      </c>
      <c r="B5805" s="158">
        <v>12.6</v>
      </c>
    </row>
    <row r="5806" spans="1:2" x14ac:dyDescent="0.25">
      <c r="A5806" s="157">
        <v>30764</v>
      </c>
      <c r="B5806" s="158">
        <v>12.59</v>
      </c>
    </row>
    <row r="5807" spans="1:2" x14ac:dyDescent="0.25">
      <c r="A5807" s="157">
        <v>30767</v>
      </c>
      <c r="B5807" s="158">
        <v>12.54</v>
      </c>
    </row>
    <row r="5808" spans="1:2" x14ac:dyDescent="0.25">
      <c r="A5808" s="157">
        <v>30768</v>
      </c>
      <c r="B5808" s="158">
        <v>12.56</v>
      </c>
    </row>
    <row r="5809" spans="1:2" x14ac:dyDescent="0.25">
      <c r="A5809" s="157">
        <v>30769</v>
      </c>
      <c r="B5809" s="158">
        <v>12.5</v>
      </c>
    </row>
    <row r="5810" spans="1:2" x14ac:dyDescent="0.25">
      <c r="A5810" s="157">
        <v>30770</v>
      </c>
      <c r="B5810" s="158">
        <v>12.43</v>
      </c>
    </row>
    <row r="5811" spans="1:2" x14ac:dyDescent="0.25">
      <c r="A5811" s="157">
        <v>30771</v>
      </c>
      <c r="B5811" s="158">
        <v>12.51</v>
      </c>
    </row>
    <row r="5812" spans="1:2" x14ac:dyDescent="0.25">
      <c r="A5812" s="157">
        <v>30774</v>
      </c>
      <c r="B5812" s="158">
        <v>12.5</v>
      </c>
    </row>
    <row r="5813" spans="1:2" x14ac:dyDescent="0.25">
      <c r="A5813" s="157">
        <v>30775</v>
      </c>
      <c r="B5813" s="158">
        <v>12.55</v>
      </c>
    </row>
    <row r="5814" spans="1:2" x14ac:dyDescent="0.25">
      <c r="A5814" s="157">
        <v>30776</v>
      </c>
      <c r="B5814" s="158">
        <v>12.58</v>
      </c>
    </row>
    <row r="5815" spans="1:2" x14ac:dyDescent="0.25">
      <c r="A5815" s="157">
        <v>30777</v>
      </c>
      <c r="B5815" s="158">
        <v>12.59</v>
      </c>
    </row>
    <row r="5816" spans="1:2" x14ac:dyDescent="0.25">
      <c r="A5816" s="157">
        <v>30778</v>
      </c>
      <c r="B5816" s="158">
        <v>12.47</v>
      </c>
    </row>
    <row r="5817" spans="1:2" x14ac:dyDescent="0.25">
      <c r="A5817" s="157">
        <v>30781</v>
      </c>
      <c r="B5817" s="158">
        <v>12.47</v>
      </c>
    </row>
    <row r="5818" spans="1:2" x14ac:dyDescent="0.25">
      <c r="A5818" s="157">
        <v>30782</v>
      </c>
      <c r="B5818" s="158">
        <v>12.54</v>
      </c>
    </row>
    <row r="5819" spans="1:2" x14ac:dyDescent="0.25">
      <c r="A5819" s="157">
        <v>30783</v>
      </c>
      <c r="B5819" s="158">
        <v>12.53</v>
      </c>
    </row>
    <row r="5820" spans="1:2" x14ac:dyDescent="0.25">
      <c r="A5820" s="157">
        <v>30784</v>
      </c>
      <c r="B5820" s="158">
        <v>12.45</v>
      </c>
    </row>
    <row r="5821" spans="1:2" x14ac:dyDescent="0.25">
      <c r="A5821" s="157">
        <v>30785</v>
      </c>
      <c r="B5821" s="158">
        <v>12.61</v>
      </c>
    </row>
    <row r="5822" spans="1:2" x14ac:dyDescent="0.25">
      <c r="A5822" s="157">
        <v>30788</v>
      </c>
      <c r="B5822" s="158">
        <v>12.68</v>
      </c>
    </row>
    <row r="5823" spans="1:2" x14ac:dyDescent="0.25">
      <c r="A5823" s="157">
        <v>30789</v>
      </c>
      <c r="B5823" s="158">
        <v>12.64</v>
      </c>
    </row>
    <row r="5824" spans="1:2" x14ac:dyDescent="0.25">
      <c r="A5824" s="157">
        <v>30790</v>
      </c>
      <c r="B5824" s="158">
        <v>12.76</v>
      </c>
    </row>
    <row r="5825" spans="1:2" x14ac:dyDescent="0.25">
      <c r="A5825" s="157">
        <v>30791</v>
      </c>
      <c r="B5825" s="158">
        <v>12.82</v>
      </c>
    </row>
    <row r="5826" spans="1:2" x14ac:dyDescent="0.25">
      <c r="A5826" s="157">
        <v>30792</v>
      </c>
      <c r="B5826" s="158" t="e">
        <f>NA()</f>
        <v>#N/A</v>
      </c>
    </row>
    <row r="5827" spans="1:2" x14ac:dyDescent="0.25">
      <c r="A5827" s="157">
        <v>30795</v>
      </c>
      <c r="B5827" s="158">
        <v>12.83</v>
      </c>
    </row>
    <row r="5828" spans="1:2" x14ac:dyDescent="0.25">
      <c r="A5828" s="157">
        <v>30796</v>
      </c>
      <c r="B5828" s="158">
        <v>12.78</v>
      </c>
    </row>
    <row r="5829" spans="1:2" x14ac:dyDescent="0.25">
      <c r="A5829" s="157">
        <v>30797</v>
      </c>
      <c r="B5829" s="158">
        <v>12.74</v>
      </c>
    </row>
    <row r="5830" spans="1:2" x14ac:dyDescent="0.25">
      <c r="A5830" s="157">
        <v>30798</v>
      </c>
      <c r="B5830" s="158">
        <v>12.72</v>
      </c>
    </row>
    <row r="5831" spans="1:2" x14ac:dyDescent="0.25">
      <c r="A5831" s="157">
        <v>30799</v>
      </c>
      <c r="B5831" s="158">
        <v>12.84</v>
      </c>
    </row>
    <row r="5832" spans="1:2" x14ac:dyDescent="0.25">
      <c r="A5832" s="157">
        <v>30802</v>
      </c>
      <c r="B5832" s="158">
        <v>12.88</v>
      </c>
    </row>
    <row r="5833" spans="1:2" x14ac:dyDescent="0.25">
      <c r="A5833" s="157">
        <v>30803</v>
      </c>
      <c r="B5833" s="158">
        <v>12.88</v>
      </c>
    </row>
    <row r="5834" spans="1:2" x14ac:dyDescent="0.25">
      <c r="A5834" s="157">
        <v>30804</v>
      </c>
      <c r="B5834" s="158">
        <v>12.92</v>
      </c>
    </row>
    <row r="5835" spans="1:2" x14ac:dyDescent="0.25">
      <c r="A5835" s="157">
        <v>30805</v>
      </c>
      <c r="B5835" s="158">
        <v>12.94</v>
      </c>
    </row>
    <row r="5836" spans="1:2" x14ac:dyDescent="0.25">
      <c r="A5836" s="157">
        <v>30806</v>
      </c>
      <c r="B5836" s="158">
        <v>13.1</v>
      </c>
    </row>
    <row r="5837" spans="1:2" x14ac:dyDescent="0.25">
      <c r="A5837" s="157">
        <v>30809</v>
      </c>
      <c r="B5837" s="158">
        <v>13.19</v>
      </c>
    </row>
    <row r="5838" spans="1:2" x14ac:dyDescent="0.25">
      <c r="A5838" s="157">
        <v>30810</v>
      </c>
      <c r="B5838" s="158">
        <v>13.14</v>
      </c>
    </row>
    <row r="5839" spans="1:2" x14ac:dyDescent="0.25">
      <c r="A5839" s="157">
        <v>30811</v>
      </c>
      <c r="B5839" s="158">
        <v>13.24</v>
      </c>
    </row>
    <row r="5840" spans="1:2" x14ac:dyDescent="0.25">
      <c r="A5840" s="157">
        <v>30812</v>
      </c>
      <c r="B5840" s="158">
        <v>13.31</v>
      </c>
    </row>
    <row r="5841" spans="1:2" x14ac:dyDescent="0.25">
      <c r="A5841" s="157">
        <v>30813</v>
      </c>
      <c r="B5841" s="158">
        <v>13.51</v>
      </c>
    </row>
    <row r="5842" spans="1:2" x14ac:dyDescent="0.25">
      <c r="A5842" s="157">
        <v>30816</v>
      </c>
      <c r="B5842" s="158">
        <v>13.67</v>
      </c>
    </row>
    <row r="5843" spans="1:2" x14ac:dyDescent="0.25">
      <c r="A5843" s="157">
        <v>30817</v>
      </c>
      <c r="B5843" s="158">
        <v>13.52</v>
      </c>
    </row>
    <row r="5844" spans="1:2" x14ac:dyDescent="0.25">
      <c r="A5844" s="157">
        <v>30818</v>
      </c>
      <c r="B5844" s="158">
        <v>13.43</v>
      </c>
    </row>
    <row r="5845" spans="1:2" x14ac:dyDescent="0.25">
      <c r="A5845" s="157">
        <v>30819</v>
      </c>
      <c r="B5845" s="158">
        <v>13.54</v>
      </c>
    </row>
    <row r="5846" spans="1:2" x14ac:dyDescent="0.25">
      <c r="A5846" s="157">
        <v>30820</v>
      </c>
      <c r="B5846" s="158">
        <v>13.45</v>
      </c>
    </row>
    <row r="5847" spans="1:2" x14ac:dyDescent="0.25">
      <c r="A5847" s="157">
        <v>30823</v>
      </c>
      <c r="B5847" s="158">
        <v>13.45</v>
      </c>
    </row>
    <row r="5848" spans="1:2" x14ac:dyDescent="0.25">
      <c r="A5848" s="157">
        <v>30824</v>
      </c>
      <c r="B5848" s="158">
        <v>13.51</v>
      </c>
    </row>
    <row r="5849" spans="1:2" x14ac:dyDescent="0.25">
      <c r="A5849" s="157">
        <v>30825</v>
      </c>
      <c r="B5849" s="158">
        <v>13.54</v>
      </c>
    </row>
    <row r="5850" spans="1:2" x14ac:dyDescent="0.25">
      <c r="A5850" s="157">
        <v>30826</v>
      </c>
      <c r="B5850" s="158">
        <v>13.72</v>
      </c>
    </row>
    <row r="5851" spans="1:2" x14ac:dyDescent="0.25">
      <c r="A5851" s="157">
        <v>30827</v>
      </c>
      <c r="B5851" s="158">
        <v>13.77</v>
      </c>
    </row>
    <row r="5852" spans="1:2" x14ac:dyDescent="0.25">
      <c r="A5852" s="157">
        <v>30830</v>
      </c>
      <c r="B5852" s="158" t="e">
        <f>NA()</f>
        <v>#N/A</v>
      </c>
    </row>
    <row r="5853" spans="1:2" x14ac:dyDescent="0.25">
      <c r="A5853" s="157">
        <v>30831</v>
      </c>
      <c r="B5853" s="158">
        <v>13.83</v>
      </c>
    </row>
    <row r="5854" spans="1:2" x14ac:dyDescent="0.25">
      <c r="A5854" s="157">
        <v>30832</v>
      </c>
      <c r="B5854" s="158">
        <v>13.92</v>
      </c>
    </row>
    <row r="5855" spans="1:2" x14ac:dyDescent="0.25">
      <c r="A5855" s="157">
        <v>30833</v>
      </c>
      <c r="B5855" s="158">
        <v>13.83</v>
      </c>
    </row>
    <row r="5856" spans="1:2" x14ac:dyDescent="0.25">
      <c r="A5856" s="157">
        <v>30834</v>
      </c>
      <c r="B5856" s="158">
        <v>13.57</v>
      </c>
    </row>
    <row r="5857" spans="1:2" x14ac:dyDescent="0.25">
      <c r="A5857" s="157">
        <v>30837</v>
      </c>
      <c r="B5857" s="158">
        <v>13.39</v>
      </c>
    </row>
    <row r="5858" spans="1:2" x14ac:dyDescent="0.25">
      <c r="A5858" s="157">
        <v>30838</v>
      </c>
      <c r="B5858" s="158">
        <v>13.38</v>
      </c>
    </row>
    <row r="5859" spans="1:2" x14ac:dyDescent="0.25">
      <c r="A5859" s="157">
        <v>30839</v>
      </c>
      <c r="B5859" s="158">
        <v>13.54</v>
      </c>
    </row>
    <row r="5860" spans="1:2" x14ac:dyDescent="0.25">
      <c r="A5860" s="157">
        <v>30840</v>
      </c>
      <c r="B5860" s="158">
        <v>13.55</v>
      </c>
    </row>
    <row r="5861" spans="1:2" x14ac:dyDescent="0.25">
      <c r="A5861" s="157">
        <v>30841</v>
      </c>
      <c r="B5861" s="158">
        <v>13.5</v>
      </c>
    </row>
    <row r="5862" spans="1:2" x14ac:dyDescent="0.25">
      <c r="A5862" s="157">
        <v>30844</v>
      </c>
      <c r="B5862" s="158">
        <v>13.6</v>
      </c>
    </row>
    <row r="5863" spans="1:2" x14ac:dyDescent="0.25">
      <c r="A5863" s="157">
        <v>30845</v>
      </c>
      <c r="B5863" s="158">
        <v>13.53</v>
      </c>
    </row>
    <row r="5864" spans="1:2" x14ac:dyDescent="0.25">
      <c r="A5864" s="157">
        <v>30846</v>
      </c>
      <c r="B5864" s="158">
        <v>13.46</v>
      </c>
    </row>
    <row r="5865" spans="1:2" x14ac:dyDescent="0.25">
      <c r="A5865" s="157">
        <v>30847</v>
      </c>
      <c r="B5865" s="158">
        <v>13.41</v>
      </c>
    </row>
    <row r="5866" spans="1:2" x14ac:dyDescent="0.25">
      <c r="A5866" s="157">
        <v>30848</v>
      </c>
      <c r="B5866" s="158">
        <v>13.23</v>
      </c>
    </row>
    <row r="5867" spans="1:2" x14ac:dyDescent="0.25">
      <c r="A5867" s="157">
        <v>30851</v>
      </c>
      <c r="B5867" s="158">
        <v>13.27</v>
      </c>
    </row>
    <row r="5868" spans="1:2" x14ac:dyDescent="0.25">
      <c r="A5868" s="157">
        <v>30852</v>
      </c>
      <c r="B5868" s="158">
        <v>13.35</v>
      </c>
    </row>
    <row r="5869" spans="1:2" x14ac:dyDescent="0.25">
      <c r="A5869" s="157">
        <v>30853</v>
      </c>
      <c r="B5869" s="158">
        <v>13.6</v>
      </c>
    </row>
    <row r="5870" spans="1:2" x14ac:dyDescent="0.25">
      <c r="A5870" s="157">
        <v>30854</v>
      </c>
      <c r="B5870" s="158">
        <v>13.65</v>
      </c>
    </row>
    <row r="5871" spans="1:2" x14ac:dyDescent="0.25">
      <c r="A5871" s="157">
        <v>30855</v>
      </c>
      <c r="B5871" s="158">
        <v>13.67</v>
      </c>
    </row>
    <row r="5872" spans="1:2" x14ac:dyDescent="0.25">
      <c r="A5872" s="157">
        <v>30858</v>
      </c>
      <c r="B5872" s="158">
        <v>13.67</v>
      </c>
    </row>
    <row r="5873" spans="1:2" x14ac:dyDescent="0.25">
      <c r="A5873" s="157">
        <v>30859</v>
      </c>
      <c r="B5873" s="158">
        <v>13.72</v>
      </c>
    </row>
    <row r="5874" spans="1:2" x14ac:dyDescent="0.25">
      <c r="A5874" s="157">
        <v>30860</v>
      </c>
      <c r="B5874" s="158">
        <v>13.69</v>
      </c>
    </row>
    <row r="5875" spans="1:2" x14ac:dyDescent="0.25">
      <c r="A5875" s="157">
        <v>30861</v>
      </c>
      <c r="B5875" s="158">
        <v>13.72</v>
      </c>
    </row>
    <row r="5876" spans="1:2" x14ac:dyDescent="0.25">
      <c r="A5876" s="157">
        <v>30862</v>
      </c>
      <c r="B5876" s="158">
        <v>13.77</v>
      </c>
    </row>
    <row r="5877" spans="1:2" x14ac:dyDescent="0.25">
      <c r="A5877" s="157">
        <v>30865</v>
      </c>
      <c r="B5877" s="158">
        <v>13.8</v>
      </c>
    </row>
    <row r="5878" spans="1:2" x14ac:dyDescent="0.25">
      <c r="A5878" s="157">
        <v>30866</v>
      </c>
      <c r="B5878" s="158">
        <v>13.7</v>
      </c>
    </row>
    <row r="5879" spans="1:2" x14ac:dyDescent="0.25">
      <c r="A5879" s="157">
        <v>30867</v>
      </c>
      <c r="B5879" s="158" t="e">
        <f>NA()</f>
        <v>#N/A</v>
      </c>
    </row>
    <row r="5880" spans="1:2" x14ac:dyDescent="0.25">
      <c r="A5880" s="157">
        <v>30868</v>
      </c>
      <c r="B5880" s="158">
        <v>13.76</v>
      </c>
    </row>
    <row r="5881" spans="1:2" x14ac:dyDescent="0.25">
      <c r="A5881" s="157">
        <v>30869</v>
      </c>
      <c r="B5881" s="158">
        <v>13.77</v>
      </c>
    </row>
    <row r="5882" spans="1:2" x14ac:dyDescent="0.25">
      <c r="A5882" s="157">
        <v>30872</v>
      </c>
      <c r="B5882" s="158">
        <v>13.47</v>
      </c>
    </row>
    <row r="5883" spans="1:2" x14ac:dyDescent="0.25">
      <c r="A5883" s="157">
        <v>30873</v>
      </c>
      <c r="B5883" s="158">
        <v>13.47</v>
      </c>
    </row>
    <row r="5884" spans="1:2" x14ac:dyDescent="0.25">
      <c r="A5884" s="157">
        <v>30874</v>
      </c>
      <c r="B5884" s="158">
        <v>13.51</v>
      </c>
    </row>
    <row r="5885" spans="1:2" x14ac:dyDescent="0.25">
      <c r="A5885" s="157">
        <v>30875</v>
      </c>
      <c r="B5885" s="158">
        <v>13.39</v>
      </c>
    </row>
    <row r="5886" spans="1:2" x14ac:dyDescent="0.25">
      <c r="A5886" s="157">
        <v>30876</v>
      </c>
      <c r="B5886" s="158">
        <v>13.31</v>
      </c>
    </row>
    <row r="5887" spans="1:2" x14ac:dyDescent="0.25">
      <c r="A5887" s="157">
        <v>30879</v>
      </c>
      <c r="B5887" s="158">
        <v>13.3</v>
      </c>
    </row>
    <row r="5888" spans="1:2" x14ac:dyDescent="0.25">
      <c r="A5888" s="157">
        <v>30880</v>
      </c>
      <c r="B5888" s="158">
        <v>13.35</v>
      </c>
    </row>
    <row r="5889" spans="1:2" x14ac:dyDescent="0.25">
      <c r="A5889" s="157">
        <v>30881</v>
      </c>
      <c r="B5889" s="158">
        <v>13.29</v>
      </c>
    </row>
    <row r="5890" spans="1:2" x14ac:dyDescent="0.25">
      <c r="A5890" s="157">
        <v>30882</v>
      </c>
      <c r="B5890" s="158">
        <v>13.23</v>
      </c>
    </row>
    <row r="5891" spans="1:2" x14ac:dyDescent="0.25">
      <c r="A5891" s="157">
        <v>30883</v>
      </c>
      <c r="B5891" s="158">
        <v>13.36</v>
      </c>
    </row>
    <row r="5892" spans="1:2" x14ac:dyDescent="0.25">
      <c r="A5892" s="157">
        <v>30886</v>
      </c>
      <c r="B5892" s="158">
        <v>13.35</v>
      </c>
    </row>
    <row r="5893" spans="1:2" x14ac:dyDescent="0.25">
      <c r="A5893" s="157">
        <v>30887</v>
      </c>
      <c r="B5893" s="158">
        <v>13.32</v>
      </c>
    </row>
    <row r="5894" spans="1:2" x14ac:dyDescent="0.25">
      <c r="A5894" s="157">
        <v>30888</v>
      </c>
      <c r="B5894" s="158">
        <v>13.08</v>
      </c>
    </row>
    <row r="5895" spans="1:2" x14ac:dyDescent="0.25">
      <c r="A5895" s="157">
        <v>30889</v>
      </c>
      <c r="B5895" s="158">
        <v>12.99</v>
      </c>
    </row>
    <row r="5896" spans="1:2" x14ac:dyDescent="0.25">
      <c r="A5896" s="157">
        <v>30890</v>
      </c>
      <c r="B5896" s="158">
        <v>12.99</v>
      </c>
    </row>
    <row r="5897" spans="1:2" x14ac:dyDescent="0.25">
      <c r="A5897" s="157">
        <v>30893</v>
      </c>
      <c r="B5897" s="158">
        <v>13.08</v>
      </c>
    </row>
    <row r="5898" spans="1:2" x14ac:dyDescent="0.25">
      <c r="A5898" s="157">
        <v>30894</v>
      </c>
      <c r="B5898" s="158">
        <v>12.94</v>
      </c>
    </row>
    <row r="5899" spans="1:2" x14ac:dyDescent="0.25">
      <c r="A5899" s="157">
        <v>30895</v>
      </c>
      <c r="B5899" s="158">
        <v>12.85</v>
      </c>
    </row>
    <row r="5900" spans="1:2" x14ac:dyDescent="0.25">
      <c r="A5900" s="157">
        <v>30896</v>
      </c>
      <c r="B5900" s="158">
        <v>12.78</v>
      </c>
    </row>
    <row r="5901" spans="1:2" x14ac:dyDescent="0.25">
      <c r="A5901" s="157">
        <v>30897</v>
      </c>
      <c r="B5901" s="158">
        <v>12.68</v>
      </c>
    </row>
    <row r="5902" spans="1:2" x14ac:dyDescent="0.25">
      <c r="A5902" s="157">
        <v>30900</v>
      </c>
      <c r="B5902" s="158">
        <v>12.78</v>
      </c>
    </row>
    <row r="5903" spans="1:2" x14ac:dyDescent="0.25">
      <c r="A5903" s="157">
        <v>30901</v>
      </c>
      <c r="B5903" s="158">
        <v>12.75</v>
      </c>
    </row>
    <row r="5904" spans="1:2" x14ac:dyDescent="0.25">
      <c r="A5904" s="157">
        <v>30902</v>
      </c>
      <c r="B5904" s="158">
        <v>12.73</v>
      </c>
    </row>
    <row r="5905" spans="1:2" x14ac:dyDescent="0.25">
      <c r="A5905" s="157">
        <v>30903</v>
      </c>
      <c r="B5905" s="158">
        <v>12.67</v>
      </c>
    </row>
    <row r="5906" spans="1:2" x14ac:dyDescent="0.25">
      <c r="A5906" s="157">
        <v>30904</v>
      </c>
      <c r="B5906" s="158">
        <v>12.69</v>
      </c>
    </row>
    <row r="5907" spans="1:2" x14ac:dyDescent="0.25">
      <c r="A5907" s="157">
        <v>30907</v>
      </c>
      <c r="B5907" s="158">
        <v>12.78</v>
      </c>
    </row>
    <row r="5908" spans="1:2" x14ac:dyDescent="0.25">
      <c r="A5908" s="157">
        <v>30908</v>
      </c>
      <c r="B5908" s="158">
        <v>12.74</v>
      </c>
    </row>
    <row r="5909" spans="1:2" x14ac:dyDescent="0.25">
      <c r="A5909" s="157">
        <v>30909</v>
      </c>
      <c r="B5909" s="158">
        <v>12.81</v>
      </c>
    </row>
    <row r="5910" spans="1:2" x14ac:dyDescent="0.25">
      <c r="A5910" s="157">
        <v>30910</v>
      </c>
      <c r="B5910" s="158">
        <v>12.73</v>
      </c>
    </row>
    <row r="5911" spans="1:2" x14ac:dyDescent="0.25">
      <c r="A5911" s="157">
        <v>30911</v>
      </c>
      <c r="B5911" s="158">
        <v>12.68</v>
      </c>
    </row>
    <row r="5912" spans="1:2" x14ac:dyDescent="0.25">
      <c r="A5912" s="157">
        <v>30914</v>
      </c>
      <c r="B5912" s="158">
        <v>12.61</v>
      </c>
    </row>
    <row r="5913" spans="1:2" x14ac:dyDescent="0.25">
      <c r="A5913" s="157">
        <v>30915</v>
      </c>
      <c r="B5913" s="158">
        <v>12.57</v>
      </c>
    </row>
    <row r="5914" spans="1:2" x14ac:dyDescent="0.25">
      <c r="A5914" s="157">
        <v>30916</v>
      </c>
      <c r="B5914" s="158">
        <v>12.61</v>
      </c>
    </row>
    <row r="5915" spans="1:2" x14ac:dyDescent="0.25">
      <c r="A5915" s="157">
        <v>30917</v>
      </c>
      <c r="B5915" s="158">
        <v>12.63</v>
      </c>
    </row>
    <row r="5916" spans="1:2" x14ac:dyDescent="0.25">
      <c r="A5916" s="157">
        <v>30918</v>
      </c>
      <c r="B5916" s="158">
        <v>12.6</v>
      </c>
    </row>
    <row r="5917" spans="1:2" x14ac:dyDescent="0.25">
      <c r="A5917" s="157">
        <v>30921</v>
      </c>
      <c r="B5917" s="158">
        <v>12.78</v>
      </c>
    </row>
    <row r="5918" spans="1:2" x14ac:dyDescent="0.25">
      <c r="A5918" s="157">
        <v>30922</v>
      </c>
      <c r="B5918" s="158">
        <v>12.75</v>
      </c>
    </row>
    <row r="5919" spans="1:2" x14ac:dyDescent="0.25">
      <c r="A5919" s="157">
        <v>30923</v>
      </c>
      <c r="B5919" s="158">
        <v>12.77</v>
      </c>
    </row>
    <row r="5920" spans="1:2" x14ac:dyDescent="0.25">
      <c r="A5920" s="157">
        <v>30924</v>
      </c>
      <c r="B5920" s="158">
        <v>12.74</v>
      </c>
    </row>
    <row r="5921" spans="1:2" x14ac:dyDescent="0.25">
      <c r="A5921" s="157">
        <v>30925</v>
      </c>
      <c r="B5921" s="158">
        <v>12.7</v>
      </c>
    </row>
    <row r="5922" spans="1:2" x14ac:dyDescent="0.25">
      <c r="A5922" s="157">
        <v>30928</v>
      </c>
      <c r="B5922" s="158" t="e">
        <f>NA()</f>
        <v>#N/A</v>
      </c>
    </row>
    <row r="5923" spans="1:2" x14ac:dyDescent="0.25">
      <c r="A5923" s="157">
        <v>30929</v>
      </c>
      <c r="B5923" s="158">
        <v>12.74</v>
      </c>
    </row>
    <row r="5924" spans="1:2" x14ac:dyDescent="0.25">
      <c r="A5924" s="157">
        <v>30930</v>
      </c>
      <c r="B5924" s="158">
        <v>12.77</v>
      </c>
    </row>
    <row r="5925" spans="1:2" x14ac:dyDescent="0.25">
      <c r="A5925" s="157">
        <v>30931</v>
      </c>
      <c r="B5925" s="158">
        <v>12.66</v>
      </c>
    </row>
    <row r="5926" spans="1:2" x14ac:dyDescent="0.25">
      <c r="A5926" s="157">
        <v>30932</v>
      </c>
      <c r="B5926" s="158">
        <v>12.62</v>
      </c>
    </row>
    <row r="5927" spans="1:2" x14ac:dyDescent="0.25">
      <c r="A5927" s="157">
        <v>30935</v>
      </c>
      <c r="B5927" s="158">
        <v>12.55</v>
      </c>
    </row>
    <row r="5928" spans="1:2" x14ac:dyDescent="0.25">
      <c r="A5928" s="157">
        <v>30936</v>
      </c>
      <c r="B5928" s="158">
        <v>12.47</v>
      </c>
    </row>
    <row r="5929" spans="1:2" x14ac:dyDescent="0.25">
      <c r="A5929" s="157">
        <v>30937</v>
      </c>
      <c r="B5929" s="158">
        <v>12.47</v>
      </c>
    </row>
    <row r="5930" spans="1:2" x14ac:dyDescent="0.25">
      <c r="A5930" s="157">
        <v>30938</v>
      </c>
      <c r="B5930" s="158">
        <v>12.36</v>
      </c>
    </row>
    <row r="5931" spans="1:2" x14ac:dyDescent="0.25">
      <c r="A5931" s="157">
        <v>30939</v>
      </c>
      <c r="B5931" s="158">
        <v>12.33</v>
      </c>
    </row>
    <row r="5932" spans="1:2" x14ac:dyDescent="0.25">
      <c r="A5932" s="157">
        <v>30942</v>
      </c>
      <c r="B5932" s="158">
        <v>12.28</v>
      </c>
    </row>
    <row r="5933" spans="1:2" x14ac:dyDescent="0.25">
      <c r="A5933" s="157">
        <v>30943</v>
      </c>
      <c r="B5933" s="158">
        <v>12.23</v>
      </c>
    </row>
    <row r="5934" spans="1:2" x14ac:dyDescent="0.25">
      <c r="A5934" s="157">
        <v>30944</v>
      </c>
      <c r="B5934" s="158">
        <v>12.15</v>
      </c>
    </row>
    <row r="5935" spans="1:2" x14ac:dyDescent="0.25">
      <c r="A5935" s="157">
        <v>30945</v>
      </c>
      <c r="B5935" s="158">
        <v>12.16</v>
      </c>
    </row>
    <row r="5936" spans="1:2" x14ac:dyDescent="0.25">
      <c r="A5936" s="157">
        <v>30946</v>
      </c>
      <c r="B5936" s="158">
        <v>12.34</v>
      </c>
    </row>
    <row r="5937" spans="1:2" x14ac:dyDescent="0.25">
      <c r="A5937" s="157">
        <v>30949</v>
      </c>
      <c r="B5937" s="158">
        <v>12.39</v>
      </c>
    </row>
    <row r="5938" spans="1:2" x14ac:dyDescent="0.25">
      <c r="A5938" s="157">
        <v>30950</v>
      </c>
      <c r="B5938" s="158">
        <v>12.44</v>
      </c>
    </row>
    <row r="5939" spans="1:2" x14ac:dyDescent="0.25">
      <c r="A5939" s="157">
        <v>30951</v>
      </c>
      <c r="B5939" s="158">
        <v>12.38</v>
      </c>
    </row>
    <row r="5940" spans="1:2" x14ac:dyDescent="0.25">
      <c r="A5940" s="157">
        <v>30952</v>
      </c>
      <c r="B5940" s="158">
        <v>12.23</v>
      </c>
    </row>
    <row r="5941" spans="1:2" x14ac:dyDescent="0.25">
      <c r="A5941" s="157">
        <v>30953</v>
      </c>
      <c r="B5941" s="158">
        <v>12.37</v>
      </c>
    </row>
    <row r="5942" spans="1:2" x14ac:dyDescent="0.25">
      <c r="A5942" s="157">
        <v>30956</v>
      </c>
      <c r="B5942" s="158">
        <v>12.43</v>
      </c>
    </row>
    <row r="5943" spans="1:2" x14ac:dyDescent="0.25">
      <c r="A5943" s="157">
        <v>30957</v>
      </c>
      <c r="B5943" s="158">
        <v>12.43</v>
      </c>
    </row>
    <row r="5944" spans="1:2" x14ac:dyDescent="0.25">
      <c r="A5944" s="157">
        <v>30958</v>
      </c>
      <c r="B5944" s="158">
        <v>12.43</v>
      </c>
    </row>
    <row r="5945" spans="1:2" x14ac:dyDescent="0.25">
      <c r="A5945" s="157">
        <v>30959</v>
      </c>
      <c r="B5945" s="158">
        <v>12.4</v>
      </c>
    </row>
    <row r="5946" spans="1:2" x14ac:dyDescent="0.25">
      <c r="A5946" s="157">
        <v>30960</v>
      </c>
      <c r="B5946" s="158">
        <v>12.29</v>
      </c>
    </row>
    <row r="5947" spans="1:2" x14ac:dyDescent="0.25">
      <c r="A5947" s="157">
        <v>30963</v>
      </c>
      <c r="B5947" s="158" t="e">
        <f>NA()</f>
        <v>#N/A</v>
      </c>
    </row>
    <row r="5948" spans="1:2" x14ac:dyDescent="0.25">
      <c r="A5948" s="157">
        <v>30964</v>
      </c>
      <c r="B5948" s="158">
        <v>12.25</v>
      </c>
    </row>
    <row r="5949" spans="1:2" x14ac:dyDescent="0.25">
      <c r="A5949" s="157">
        <v>30965</v>
      </c>
      <c r="B5949" s="158">
        <v>12.21</v>
      </c>
    </row>
    <row r="5950" spans="1:2" x14ac:dyDescent="0.25">
      <c r="A5950" s="157">
        <v>30966</v>
      </c>
      <c r="B5950" s="158">
        <v>12.18</v>
      </c>
    </row>
    <row r="5951" spans="1:2" x14ac:dyDescent="0.25">
      <c r="A5951" s="157">
        <v>30967</v>
      </c>
      <c r="B5951" s="158">
        <v>12.12</v>
      </c>
    </row>
    <row r="5952" spans="1:2" x14ac:dyDescent="0.25">
      <c r="A5952" s="157">
        <v>30970</v>
      </c>
      <c r="B5952" s="158">
        <v>12.17</v>
      </c>
    </row>
    <row r="5953" spans="1:2" x14ac:dyDescent="0.25">
      <c r="A5953" s="157">
        <v>30971</v>
      </c>
      <c r="B5953" s="158">
        <v>12.18</v>
      </c>
    </row>
    <row r="5954" spans="1:2" x14ac:dyDescent="0.25">
      <c r="A5954" s="157">
        <v>30972</v>
      </c>
      <c r="B5954" s="158">
        <v>12.13</v>
      </c>
    </row>
    <row r="5955" spans="1:2" x14ac:dyDescent="0.25">
      <c r="A5955" s="157">
        <v>30973</v>
      </c>
      <c r="B5955" s="158">
        <v>11.93</v>
      </c>
    </row>
    <row r="5956" spans="1:2" x14ac:dyDescent="0.25">
      <c r="A5956" s="157">
        <v>30974</v>
      </c>
      <c r="B5956" s="158">
        <v>11.79</v>
      </c>
    </row>
    <row r="5957" spans="1:2" x14ac:dyDescent="0.25">
      <c r="A5957" s="157">
        <v>30977</v>
      </c>
      <c r="B5957" s="158">
        <v>11.71</v>
      </c>
    </row>
    <row r="5958" spans="1:2" x14ac:dyDescent="0.25">
      <c r="A5958" s="157">
        <v>30978</v>
      </c>
      <c r="B5958" s="158">
        <v>11.69</v>
      </c>
    </row>
    <row r="5959" spans="1:2" x14ac:dyDescent="0.25">
      <c r="A5959" s="157">
        <v>30979</v>
      </c>
      <c r="B5959" s="158">
        <v>11.69</v>
      </c>
    </row>
    <row r="5960" spans="1:2" x14ac:dyDescent="0.25">
      <c r="A5960" s="157">
        <v>30980</v>
      </c>
      <c r="B5960" s="158">
        <v>11.74</v>
      </c>
    </row>
    <row r="5961" spans="1:2" x14ac:dyDescent="0.25">
      <c r="A5961" s="157">
        <v>30981</v>
      </c>
      <c r="B5961" s="158">
        <v>11.87</v>
      </c>
    </row>
    <row r="5962" spans="1:2" x14ac:dyDescent="0.25">
      <c r="A5962" s="157">
        <v>30984</v>
      </c>
      <c r="B5962" s="158">
        <v>11.84</v>
      </c>
    </row>
    <row r="5963" spans="1:2" x14ac:dyDescent="0.25">
      <c r="A5963" s="157">
        <v>30985</v>
      </c>
      <c r="B5963" s="158">
        <v>11.67</v>
      </c>
    </row>
    <row r="5964" spans="1:2" x14ac:dyDescent="0.25">
      <c r="A5964" s="157">
        <v>30986</v>
      </c>
      <c r="B5964" s="158">
        <v>11.71</v>
      </c>
    </row>
    <row r="5965" spans="1:2" x14ac:dyDescent="0.25">
      <c r="A5965" s="157">
        <v>30987</v>
      </c>
      <c r="B5965" s="158">
        <v>11.6</v>
      </c>
    </row>
    <row r="5966" spans="1:2" x14ac:dyDescent="0.25">
      <c r="A5966" s="157">
        <v>30988</v>
      </c>
      <c r="B5966" s="158">
        <v>11.63</v>
      </c>
    </row>
    <row r="5967" spans="1:2" x14ac:dyDescent="0.25">
      <c r="A5967" s="157">
        <v>30991</v>
      </c>
      <c r="B5967" s="158">
        <v>11.58</v>
      </c>
    </row>
    <row r="5968" spans="1:2" x14ac:dyDescent="0.25">
      <c r="A5968" s="157">
        <v>30992</v>
      </c>
      <c r="B5968" s="158" t="e">
        <f>NA()</f>
        <v>#N/A</v>
      </c>
    </row>
    <row r="5969" spans="1:2" x14ac:dyDescent="0.25">
      <c r="A5969" s="157">
        <v>30993</v>
      </c>
      <c r="B5969" s="158">
        <v>11.73</v>
      </c>
    </row>
    <row r="5970" spans="1:2" x14ac:dyDescent="0.25">
      <c r="A5970" s="157">
        <v>30994</v>
      </c>
      <c r="B5970" s="158">
        <v>11.86</v>
      </c>
    </row>
    <row r="5971" spans="1:2" x14ac:dyDescent="0.25">
      <c r="A5971" s="157">
        <v>30995</v>
      </c>
      <c r="B5971" s="158">
        <v>11.76</v>
      </c>
    </row>
    <row r="5972" spans="1:2" x14ac:dyDescent="0.25">
      <c r="A5972" s="157">
        <v>30998</v>
      </c>
      <c r="B5972" s="158" t="e">
        <f>NA()</f>
        <v>#N/A</v>
      </c>
    </row>
    <row r="5973" spans="1:2" x14ac:dyDescent="0.25">
      <c r="A5973" s="157">
        <v>30999</v>
      </c>
      <c r="B5973" s="158">
        <v>11.85</v>
      </c>
    </row>
    <row r="5974" spans="1:2" x14ac:dyDescent="0.25">
      <c r="A5974" s="157">
        <v>31000</v>
      </c>
      <c r="B5974" s="158">
        <v>11.89</v>
      </c>
    </row>
    <row r="5975" spans="1:2" x14ac:dyDescent="0.25">
      <c r="A5975" s="157">
        <v>31001</v>
      </c>
      <c r="B5975" s="158">
        <v>11.82</v>
      </c>
    </row>
    <row r="5976" spans="1:2" x14ac:dyDescent="0.25">
      <c r="A5976" s="157">
        <v>31002</v>
      </c>
      <c r="B5976" s="158">
        <v>11.79</v>
      </c>
    </row>
    <row r="5977" spans="1:2" x14ac:dyDescent="0.25">
      <c r="A5977" s="157">
        <v>31005</v>
      </c>
      <c r="B5977" s="158">
        <v>11.71</v>
      </c>
    </row>
    <row r="5978" spans="1:2" x14ac:dyDescent="0.25">
      <c r="A5978" s="157">
        <v>31006</v>
      </c>
      <c r="B5978" s="158">
        <v>11.66</v>
      </c>
    </row>
    <row r="5979" spans="1:2" x14ac:dyDescent="0.25">
      <c r="A5979" s="157">
        <v>31007</v>
      </c>
      <c r="B5979" s="158">
        <v>11.54</v>
      </c>
    </row>
    <row r="5980" spans="1:2" x14ac:dyDescent="0.25">
      <c r="A5980" s="157">
        <v>31008</v>
      </c>
      <c r="B5980" s="158" t="e">
        <f>NA()</f>
        <v>#N/A</v>
      </c>
    </row>
    <row r="5981" spans="1:2" x14ac:dyDescent="0.25">
      <c r="A5981" s="157">
        <v>31009</v>
      </c>
      <c r="B5981" s="158">
        <v>11.41</v>
      </c>
    </row>
    <row r="5982" spans="1:2" x14ac:dyDescent="0.25">
      <c r="A5982" s="157">
        <v>31012</v>
      </c>
      <c r="B5982" s="158">
        <v>11.44</v>
      </c>
    </row>
    <row r="5983" spans="1:2" x14ac:dyDescent="0.25">
      <c r="A5983" s="157">
        <v>31013</v>
      </c>
      <c r="B5983" s="158">
        <v>11.43</v>
      </c>
    </row>
    <row r="5984" spans="1:2" x14ac:dyDescent="0.25">
      <c r="A5984" s="157">
        <v>31014</v>
      </c>
      <c r="B5984" s="158">
        <v>11.54</v>
      </c>
    </row>
    <row r="5985" spans="1:2" x14ac:dyDescent="0.25">
      <c r="A5985" s="157">
        <v>31015</v>
      </c>
      <c r="B5985" s="158">
        <v>11.57</v>
      </c>
    </row>
    <row r="5986" spans="1:2" x14ac:dyDescent="0.25">
      <c r="A5986" s="157">
        <v>31016</v>
      </c>
      <c r="B5986" s="158">
        <v>11.71</v>
      </c>
    </row>
    <row r="5987" spans="1:2" x14ac:dyDescent="0.25">
      <c r="A5987" s="157">
        <v>31019</v>
      </c>
      <c r="B5987" s="158">
        <v>11.69</v>
      </c>
    </row>
    <row r="5988" spans="1:2" x14ac:dyDescent="0.25">
      <c r="A5988" s="157">
        <v>31020</v>
      </c>
      <c r="B5988" s="158">
        <v>11.65</v>
      </c>
    </row>
    <row r="5989" spans="1:2" x14ac:dyDescent="0.25">
      <c r="A5989" s="157">
        <v>31021</v>
      </c>
      <c r="B5989" s="158">
        <v>11.65</v>
      </c>
    </row>
    <row r="5990" spans="1:2" x14ac:dyDescent="0.25">
      <c r="A5990" s="157">
        <v>31022</v>
      </c>
      <c r="B5990" s="158">
        <v>11.74</v>
      </c>
    </row>
    <row r="5991" spans="1:2" x14ac:dyDescent="0.25">
      <c r="A5991" s="157">
        <v>31023</v>
      </c>
      <c r="B5991" s="158">
        <v>11.83</v>
      </c>
    </row>
    <row r="5992" spans="1:2" x14ac:dyDescent="0.25">
      <c r="A5992" s="157">
        <v>31026</v>
      </c>
      <c r="B5992" s="158">
        <v>11.79</v>
      </c>
    </row>
    <row r="5993" spans="1:2" x14ac:dyDescent="0.25">
      <c r="A5993" s="157">
        <v>31027</v>
      </c>
      <c r="B5993" s="158">
        <v>11.71</v>
      </c>
    </row>
    <row r="5994" spans="1:2" x14ac:dyDescent="0.25">
      <c r="A5994" s="157">
        <v>31028</v>
      </c>
      <c r="B5994" s="158">
        <v>11.67</v>
      </c>
    </row>
    <row r="5995" spans="1:2" x14ac:dyDescent="0.25">
      <c r="A5995" s="157">
        <v>31029</v>
      </c>
      <c r="B5995" s="158">
        <v>11.79</v>
      </c>
    </row>
    <row r="5996" spans="1:2" x14ac:dyDescent="0.25">
      <c r="A5996" s="157">
        <v>31030</v>
      </c>
      <c r="B5996" s="158">
        <v>11.67</v>
      </c>
    </row>
    <row r="5997" spans="1:2" x14ac:dyDescent="0.25">
      <c r="A5997" s="157">
        <v>31033</v>
      </c>
      <c r="B5997" s="158">
        <v>11.62</v>
      </c>
    </row>
    <row r="5998" spans="1:2" x14ac:dyDescent="0.25">
      <c r="A5998" s="157">
        <v>31034</v>
      </c>
      <c r="B5998" s="158">
        <v>11.46</v>
      </c>
    </row>
    <row r="5999" spans="1:2" x14ac:dyDescent="0.25">
      <c r="A5999" s="157">
        <v>31035</v>
      </c>
      <c r="B5999" s="158">
        <v>11.49</v>
      </c>
    </row>
    <row r="6000" spans="1:2" x14ac:dyDescent="0.25">
      <c r="A6000" s="157">
        <v>31036</v>
      </c>
      <c r="B6000" s="158">
        <v>11.52</v>
      </c>
    </row>
    <row r="6001" spans="1:2" x14ac:dyDescent="0.25">
      <c r="A6001" s="157">
        <v>31037</v>
      </c>
      <c r="B6001" s="158">
        <v>11.49</v>
      </c>
    </row>
    <row r="6002" spans="1:2" x14ac:dyDescent="0.25">
      <c r="A6002" s="157">
        <v>31040</v>
      </c>
      <c r="B6002" s="158">
        <v>11.46</v>
      </c>
    </row>
    <row r="6003" spans="1:2" x14ac:dyDescent="0.25">
      <c r="A6003" s="157">
        <v>31041</v>
      </c>
      <c r="B6003" s="158" t="e">
        <f>NA()</f>
        <v>#N/A</v>
      </c>
    </row>
    <row r="6004" spans="1:2" x14ac:dyDescent="0.25">
      <c r="A6004" s="157">
        <v>31042</v>
      </c>
      <c r="B6004" s="158">
        <v>11.58</v>
      </c>
    </row>
    <row r="6005" spans="1:2" x14ac:dyDescent="0.25">
      <c r="A6005" s="157">
        <v>31043</v>
      </c>
      <c r="B6005" s="158">
        <v>11.6</v>
      </c>
    </row>
    <row r="6006" spans="1:2" x14ac:dyDescent="0.25">
      <c r="A6006" s="157">
        <v>31044</v>
      </c>
      <c r="B6006" s="158">
        <v>11.61</v>
      </c>
    </row>
    <row r="6007" spans="1:2" x14ac:dyDescent="0.25">
      <c r="A6007" s="157">
        <v>31047</v>
      </c>
      <c r="B6007" s="158">
        <v>11.7</v>
      </c>
    </row>
    <row r="6008" spans="1:2" x14ac:dyDescent="0.25">
      <c r="A6008" s="157">
        <v>31048</v>
      </c>
      <c r="B6008" s="158" t="e">
        <f>NA()</f>
        <v>#N/A</v>
      </c>
    </row>
    <row r="6009" spans="1:2" x14ac:dyDescent="0.25">
      <c r="A6009" s="157">
        <v>31049</v>
      </c>
      <c r="B6009" s="158">
        <v>11.84</v>
      </c>
    </row>
    <row r="6010" spans="1:2" x14ac:dyDescent="0.25">
      <c r="A6010" s="157">
        <v>31050</v>
      </c>
      <c r="B6010" s="158">
        <v>11.8</v>
      </c>
    </row>
    <row r="6011" spans="1:2" x14ac:dyDescent="0.25">
      <c r="A6011" s="157">
        <v>31051</v>
      </c>
      <c r="B6011" s="158">
        <v>11.87</v>
      </c>
    </row>
    <row r="6012" spans="1:2" x14ac:dyDescent="0.25">
      <c r="A6012" s="157">
        <v>31054</v>
      </c>
      <c r="B6012" s="158">
        <v>11.71</v>
      </c>
    </row>
    <row r="6013" spans="1:2" x14ac:dyDescent="0.25">
      <c r="A6013" s="157">
        <v>31055</v>
      </c>
      <c r="B6013" s="158">
        <v>11.65</v>
      </c>
    </row>
    <row r="6014" spans="1:2" x14ac:dyDescent="0.25">
      <c r="A6014" s="157">
        <v>31056</v>
      </c>
      <c r="B6014" s="158">
        <v>11.66</v>
      </c>
    </row>
    <row r="6015" spans="1:2" x14ac:dyDescent="0.25">
      <c r="A6015" s="157">
        <v>31057</v>
      </c>
      <c r="B6015" s="158">
        <v>11.68</v>
      </c>
    </row>
    <row r="6016" spans="1:2" x14ac:dyDescent="0.25">
      <c r="A6016" s="157">
        <v>31058</v>
      </c>
      <c r="B6016" s="158">
        <v>11.79</v>
      </c>
    </row>
    <row r="6017" spans="1:2" x14ac:dyDescent="0.25">
      <c r="A6017" s="157">
        <v>31061</v>
      </c>
      <c r="B6017" s="158">
        <v>11.82</v>
      </c>
    </row>
    <row r="6018" spans="1:2" x14ac:dyDescent="0.25">
      <c r="A6018" s="157">
        <v>31062</v>
      </c>
      <c r="B6018" s="158">
        <v>11.73</v>
      </c>
    </row>
    <row r="6019" spans="1:2" x14ac:dyDescent="0.25">
      <c r="A6019" s="157">
        <v>31063</v>
      </c>
      <c r="B6019" s="158">
        <v>11.74</v>
      </c>
    </row>
    <row r="6020" spans="1:2" x14ac:dyDescent="0.25">
      <c r="A6020" s="157">
        <v>31064</v>
      </c>
      <c r="B6020" s="158">
        <v>11.72</v>
      </c>
    </row>
    <row r="6021" spans="1:2" x14ac:dyDescent="0.25">
      <c r="A6021" s="157">
        <v>31065</v>
      </c>
      <c r="B6021" s="158">
        <v>11.63</v>
      </c>
    </row>
    <row r="6022" spans="1:2" x14ac:dyDescent="0.25">
      <c r="A6022" s="157">
        <v>31068</v>
      </c>
      <c r="B6022" s="158" t="e">
        <f>NA()</f>
        <v>#N/A</v>
      </c>
    </row>
    <row r="6023" spans="1:2" x14ac:dyDescent="0.25">
      <c r="A6023" s="157">
        <v>31069</v>
      </c>
      <c r="B6023" s="158">
        <v>11.48</v>
      </c>
    </row>
    <row r="6024" spans="1:2" x14ac:dyDescent="0.25">
      <c r="A6024" s="157">
        <v>31070</v>
      </c>
      <c r="B6024" s="158">
        <v>11.44</v>
      </c>
    </row>
    <row r="6025" spans="1:2" x14ac:dyDescent="0.25">
      <c r="A6025" s="157">
        <v>31071</v>
      </c>
      <c r="B6025" s="158">
        <v>11.26</v>
      </c>
    </row>
    <row r="6026" spans="1:2" x14ac:dyDescent="0.25">
      <c r="A6026" s="157">
        <v>31072</v>
      </c>
      <c r="B6026" s="158">
        <v>11.28</v>
      </c>
    </row>
    <row r="6027" spans="1:2" x14ac:dyDescent="0.25">
      <c r="A6027" s="157">
        <v>31075</v>
      </c>
      <c r="B6027" s="158">
        <v>11.28</v>
      </c>
    </row>
    <row r="6028" spans="1:2" x14ac:dyDescent="0.25">
      <c r="A6028" s="157">
        <v>31076</v>
      </c>
      <c r="B6028" s="158">
        <v>11.27</v>
      </c>
    </row>
    <row r="6029" spans="1:2" x14ac:dyDescent="0.25">
      <c r="A6029" s="157">
        <v>31077</v>
      </c>
      <c r="B6029" s="158">
        <v>11.24</v>
      </c>
    </row>
    <row r="6030" spans="1:2" x14ac:dyDescent="0.25">
      <c r="A6030" s="157">
        <v>31078</v>
      </c>
      <c r="B6030" s="158">
        <v>11.3</v>
      </c>
    </row>
    <row r="6031" spans="1:2" x14ac:dyDescent="0.25">
      <c r="A6031" s="157">
        <v>31079</v>
      </c>
      <c r="B6031" s="158">
        <v>11.44</v>
      </c>
    </row>
    <row r="6032" spans="1:2" x14ac:dyDescent="0.25">
      <c r="A6032" s="157">
        <v>31082</v>
      </c>
      <c r="B6032" s="158">
        <v>11.47</v>
      </c>
    </row>
    <row r="6033" spans="1:2" x14ac:dyDescent="0.25">
      <c r="A6033" s="157">
        <v>31083</v>
      </c>
      <c r="B6033" s="158">
        <v>11.42</v>
      </c>
    </row>
    <row r="6034" spans="1:2" x14ac:dyDescent="0.25">
      <c r="A6034" s="157">
        <v>31084</v>
      </c>
      <c r="B6034" s="158">
        <v>11.5</v>
      </c>
    </row>
    <row r="6035" spans="1:2" x14ac:dyDescent="0.25">
      <c r="A6035" s="157">
        <v>31085</v>
      </c>
      <c r="B6035" s="158">
        <v>11.57</v>
      </c>
    </row>
    <row r="6036" spans="1:2" x14ac:dyDescent="0.25">
      <c r="A6036" s="157">
        <v>31086</v>
      </c>
      <c r="B6036" s="158">
        <v>11.54</v>
      </c>
    </row>
    <row r="6037" spans="1:2" x14ac:dyDescent="0.25">
      <c r="A6037" s="157">
        <v>31089</v>
      </c>
      <c r="B6037" s="158">
        <v>11.6</v>
      </c>
    </row>
    <row r="6038" spans="1:2" x14ac:dyDescent="0.25">
      <c r="A6038" s="157">
        <v>31090</v>
      </c>
      <c r="B6038" s="158" t="e">
        <f>NA()</f>
        <v>#N/A</v>
      </c>
    </row>
    <row r="6039" spans="1:2" x14ac:dyDescent="0.25">
      <c r="A6039" s="157">
        <v>31091</v>
      </c>
      <c r="B6039" s="158">
        <v>11.58</v>
      </c>
    </row>
    <row r="6040" spans="1:2" x14ac:dyDescent="0.25">
      <c r="A6040" s="157">
        <v>31092</v>
      </c>
      <c r="B6040" s="158">
        <v>11.49</v>
      </c>
    </row>
    <row r="6041" spans="1:2" x14ac:dyDescent="0.25">
      <c r="A6041" s="157">
        <v>31093</v>
      </c>
      <c r="B6041" s="158">
        <v>11.63</v>
      </c>
    </row>
    <row r="6042" spans="1:2" x14ac:dyDescent="0.25">
      <c r="A6042" s="157">
        <v>31096</v>
      </c>
      <c r="B6042" s="158" t="e">
        <f>NA()</f>
        <v>#N/A</v>
      </c>
    </row>
    <row r="6043" spans="1:2" x14ac:dyDescent="0.25">
      <c r="A6043" s="157">
        <v>31097</v>
      </c>
      <c r="B6043" s="158">
        <v>11.61</v>
      </c>
    </row>
    <row r="6044" spans="1:2" x14ac:dyDescent="0.25">
      <c r="A6044" s="157">
        <v>31098</v>
      </c>
      <c r="B6044" s="158">
        <v>11.76</v>
      </c>
    </row>
    <row r="6045" spans="1:2" x14ac:dyDescent="0.25">
      <c r="A6045" s="157">
        <v>31099</v>
      </c>
      <c r="B6045" s="158">
        <v>11.86</v>
      </c>
    </row>
    <row r="6046" spans="1:2" x14ac:dyDescent="0.25">
      <c r="A6046" s="157">
        <v>31100</v>
      </c>
      <c r="B6046" s="158">
        <v>11.99</v>
      </c>
    </row>
    <row r="6047" spans="1:2" x14ac:dyDescent="0.25">
      <c r="A6047" s="157">
        <v>31103</v>
      </c>
      <c r="B6047" s="158">
        <v>12</v>
      </c>
    </row>
    <row r="6048" spans="1:2" x14ac:dyDescent="0.25">
      <c r="A6048" s="157">
        <v>31104</v>
      </c>
      <c r="B6048" s="158">
        <v>11.97</v>
      </c>
    </row>
    <row r="6049" spans="1:2" x14ac:dyDescent="0.25">
      <c r="A6049" s="157">
        <v>31105</v>
      </c>
      <c r="B6049" s="158">
        <v>12.11</v>
      </c>
    </row>
    <row r="6050" spans="1:2" x14ac:dyDescent="0.25">
      <c r="A6050" s="157">
        <v>31106</v>
      </c>
      <c r="B6050" s="158">
        <v>12.13</v>
      </c>
    </row>
    <row r="6051" spans="1:2" x14ac:dyDescent="0.25">
      <c r="A6051" s="157">
        <v>31107</v>
      </c>
      <c r="B6051" s="158">
        <v>12.08</v>
      </c>
    </row>
    <row r="6052" spans="1:2" x14ac:dyDescent="0.25">
      <c r="A6052" s="157">
        <v>31110</v>
      </c>
      <c r="B6052" s="158">
        <v>12.14</v>
      </c>
    </row>
    <row r="6053" spans="1:2" x14ac:dyDescent="0.25">
      <c r="A6053" s="157">
        <v>31111</v>
      </c>
      <c r="B6053" s="158">
        <v>12.05</v>
      </c>
    </row>
    <row r="6054" spans="1:2" x14ac:dyDescent="0.25">
      <c r="A6054" s="157">
        <v>31112</v>
      </c>
      <c r="B6054" s="158">
        <v>12.14</v>
      </c>
    </row>
    <row r="6055" spans="1:2" x14ac:dyDescent="0.25">
      <c r="A6055" s="157">
        <v>31113</v>
      </c>
      <c r="B6055" s="158">
        <v>12.17</v>
      </c>
    </row>
    <row r="6056" spans="1:2" x14ac:dyDescent="0.25">
      <c r="A6056" s="157">
        <v>31114</v>
      </c>
      <c r="B6056" s="158">
        <v>11.95</v>
      </c>
    </row>
    <row r="6057" spans="1:2" x14ac:dyDescent="0.25">
      <c r="A6057" s="157">
        <v>31117</v>
      </c>
      <c r="B6057" s="158">
        <v>11.98</v>
      </c>
    </row>
    <row r="6058" spans="1:2" x14ac:dyDescent="0.25">
      <c r="A6058" s="157">
        <v>31118</v>
      </c>
      <c r="B6058" s="158">
        <v>12</v>
      </c>
    </row>
    <row r="6059" spans="1:2" x14ac:dyDescent="0.25">
      <c r="A6059" s="157">
        <v>31119</v>
      </c>
      <c r="B6059" s="158">
        <v>12.09</v>
      </c>
    </row>
    <row r="6060" spans="1:2" x14ac:dyDescent="0.25">
      <c r="A6060" s="157">
        <v>31120</v>
      </c>
      <c r="B6060" s="158">
        <v>12.11</v>
      </c>
    </row>
    <row r="6061" spans="1:2" x14ac:dyDescent="0.25">
      <c r="A6061" s="157">
        <v>31121</v>
      </c>
      <c r="B6061" s="158">
        <v>12.13</v>
      </c>
    </row>
    <row r="6062" spans="1:2" x14ac:dyDescent="0.25">
      <c r="A6062" s="157">
        <v>31124</v>
      </c>
      <c r="B6062" s="158">
        <v>12.21</v>
      </c>
    </row>
    <row r="6063" spans="1:2" x14ac:dyDescent="0.25">
      <c r="A6063" s="157">
        <v>31125</v>
      </c>
      <c r="B6063" s="158">
        <v>12.19</v>
      </c>
    </row>
    <row r="6064" spans="1:2" x14ac:dyDescent="0.25">
      <c r="A6064" s="157">
        <v>31126</v>
      </c>
      <c r="B6064" s="158">
        <v>12.08</v>
      </c>
    </row>
    <row r="6065" spans="1:2" x14ac:dyDescent="0.25">
      <c r="A6065" s="157">
        <v>31127</v>
      </c>
      <c r="B6065" s="158">
        <v>12.02</v>
      </c>
    </row>
    <row r="6066" spans="1:2" x14ac:dyDescent="0.25">
      <c r="A6066" s="157">
        <v>31128</v>
      </c>
      <c r="B6066" s="158">
        <v>12.07</v>
      </c>
    </row>
    <row r="6067" spans="1:2" x14ac:dyDescent="0.25">
      <c r="A6067" s="157">
        <v>31131</v>
      </c>
      <c r="B6067" s="158">
        <v>12.03</v>
      </c>
    </row>
    <row r="6068" spans="1:2" x14ac:dyDescent="0.25">
      <c r="A6068" s="157">
        <v>31132</v>
      </c>
      <c r="B6068" s="158">
        <v>11.95</v>
      </c>
    </row>
    <row r="6069" spans="1:2" x14ac:dyDescent="0.25">
      <c r="A6069" s="157">
        <v>31133</v>
      </c>
      <c r="B6069" s="158">
        <v>11.98</v>
      </c>
    </row>
    <row r="6070" spans="1:2" x14ac:dyDescent="0.25">
      <c r="A6070" s="157">
        <v>31134</v>
      </c>
      <c r="B6070" s="158">
        <v>12.01</v>
      </c>
    </row>
    <row r="6071" spans="1:2" x14ac:dyDescent="0.25">
      <c r="A6071" s="157">
        <v>31135</v>
      </c>
      <c r="B6071" s="158">
        <v>11.89</v>
      </c>
    </row>
    <row r="6072" spans="1:2" x14ac:dyDescent="0.25">
      <c r="A6072" s="157">
        <v>31138</v>
      </c>
      <c r="B6072" s="158">
        <v>11.8</v>
      </c>
    </row>
    <row r="6073" spans="1:2" x14ac:dyDescent="0.25">
      <c r="A6073" s="157">
        <v>31139</v>
      </c>
      <c r="B6073" s="158">
        <v>11.92</v>
      </c>
    </row>
    <row r="6074" spans="1:2" x14ac:dyDescent="0.25">
      <c r="A6074" s="157">
        <v>31140</v>
      </c>
      <c r="B6074" s="158">
        <v>11.93</v>
      </c>
    </row>
    <row r="6075" spans="1:2" x14ac:dyDescent="0.25">
      <c r="A6075" s="157">
        <v>31141</v>
      </c>
      <c r="B6075" s="158">
        <v>11.95</v>
      </c>
    </row>
    <row r="6076" spans="1:2" x14ac:dyDescent="0.25">
      <c r="A6076" s="157">
        <v>31142</v>
      </c>
      <c r="B6076" s="158" t="e">
        <f>NA()</f>
        <v>#N/A</v>
      </c>
    </row>
    <row r="6077" spans="1:2" x14ac:dyDescent="0.25">
      <c r="A6077" s="157">
        <v>31145</v>
      </c>
      <c r="B6077" s="158">
        <v>11.97</v>
      </c>
    </row>
    <row r="6078" spans="1:2" x14ac:dyDescent="0.25">
      <c r="A6078" s="157">
        <v>31146</v>
      </c>
      <c r="B6078" s="158">
        <v>11.89</v>
      </c>
    </row>
    <row r="6079" spans="1:2" x14ac:dyDescent="0.25">
      <c r="A6079" s="157">
        <v>31147</v>
      </c>
      <c r="B6079" s="158">
        <v>11.78</v>
      </c>
    </row>
    <row r="6080" spans="1:2" x14ac:dyDescent="0.25">
      <c r="A6080" s="157">
        <v>31148</v>
      </c>
      <c r="B6080" s="158">
        <v>11.65</v>
      </c>
    </row>
    <row r="6081" spans="1:2" x14ac:dyDescent="0.25">
      <c r="A6081" s="157">
        <v>31149</v>
      </c>
      <c r="B6081" s="158">
        <v>11.66</v>
      </c>
    </row>
    <row r="6082" spans="1:2" x14ac:dyDescent="0.25">
      <c r="A6082" s="157">
        <v>31152</v>
      </c>
      <c r="B6082" s="158">
        <v>11.61</v>
      </c>
    </row>
    <row r="6083" spans="1:2" x14ac:dyDescent="0.25">
      <c r="A6083" s="157">
        <v>31153</v>
      </c>
      <c r="B6083" s="158">
        <v>11.52</v>
      </c>
    </row>
    <row r="6084" spans="1:2" x14ac:dyDescent="0.25">
      <c r="A6084" s="157">
        <v>31154</v>
      </c>
      <c r="B6084" s="158">
        <v>11.56</v>
      </c>
    </row>
    <row r="6085" spans="1:2" x14ac:dyDescent="0.25">
      <c r="A6085" s="157">
        <v>31155</v>
      </c>
      <c r="B6085" s="158">
        <v>11.41</v>
      </c>
    </row>
    <row r="6086" spans="1:2" x14ac:dyDescent="0.25">
      <c r="A6086" s="157">
        <v>31156</v>
      </c>
      <c r="B6086" s="158">
        <v>11.46</v>
      </c>
    </row>
    <row r="6087" spans="1:2" x14ac:dyDescent="0.25">
      <c r="A6087" s="157">
        <v>31159</v>
      </c>
      <c r="B6087" s="158">
        <v>11.45</v>
      </c>
    </row>
    <row r="6088" spans="1:2" x14ac:dyDescent="0.25">
      <c r="A6088" s="157">
        <v>31160</v>
      </c>
      <c r="B6088" s="158">
        <v>11.56</v>
      </c>
    </row>
    <row r="6089" spans="1:2" x14ac:dyDescent="0.25">
      <c r="A6089" s="157">
        <v>31161</v>
      </c>
      <c r="B6089" s="158">
        <v>11.58</v>
      </c>
    </row>
    <row r="6090" spans="1:2" x14ac:dyDescent="0.25">
      <c r="A6090" s="157">
        <v>31162</v>
      </c>
      <c r="B6090" s="158">
        <v>11.67</v>
      </c>
    </row>
    <row r="6091" spans="1:2" x14ac:dyDescent="0.25">
      <c r="A6091" s="157">
        <v>31163</v>
      </c>
      <c r="B6091" s="158">
        <v>11.65</v>
      </c>
    </row>
    <row r="6092" spans="1:2" x14ac:dyDescent="0.25">
      <c r="A6092" s="157">
        <v>31166</v>
      </c>
      <c r="B6092" s="158">
        <v>11.77</v>
      </c>
    </row>
    <row r="6093" spans="1:2" x14ac:dyDescent="0.25">
      <c r="A6093" s="157">
        <v>31167</v>
      </c>
      <c r="B6093" s="158">
        <v>11.7</v>
      </c>
    </row>
    <row r="6094" spans="1:2" x14ac:dyDescent="0.25">
      <c r="A6094" s="157">
        <v>31168</v>
      </c>
      <c r="B6094" s="158">
        <v>11.56</v>
      </c>
    </row>
    <row r="6095" spans="1:2" x14ac:dyDescent="0.25">
      <c r="A6095" s="157">
        <v>31169</v>
      </c>
      <c r="B6095" s="158">
        <v>11.55</v>
      </c>
    </row>
    <row r="6096" spans="1:2" x14ac:dyDescent="0.25">
      <c r="A6096" s="157">
        <v>31170</v>
      </c>
      <c r="B6096" s="158">
        <v>11.5</v>
      </c>
    </row>
    <row r="6097" spans="1:2" x14ac:dyDescent="0.25">
      <c r="A6097" s="157">
        <v>31173</v>
      </c>
      <c r="B6097" s="158">
        <v>11.49</v>
      </c>
    </row>
    <row r="6098" spans="1:2" x14ac:dyDescent="0.25">
      <c r="A6098" s="157">
        <v>31174</v>
      </c>
      <c r="B6098" s="158">
        <v>11.49</v>
      </c>
    </row>
    <row r="6099" spans="1:2" x14ac:dyDescent="0.25">
      <c r="A6099" s="157">
        <v>31175</v>
      </c>
      <c r="B6099" s="158">
        <v>11.59</v>
      </c>
    </row>
    <row r="6100" spans="1:2" x14ac:dyDescent="0.25">
      <c r="A6100" s="157">
        <v>31176</v>
      </c>
      <c r="B6100" s="158">
        <v>11.52</v>
      </c>
    </row>
    <row r="6101" spans="1:2" x14ac:dyDescent="0.25">
      <c r="A6101" s="157">
        <v>31177</v>
      </c>
      <c r="B6101" s="158">
        <v>11.37</v>
      </c>
    </row>
    <row r="6102" spans="1:2" x14ac:dyDescent="0.25">
      <c r="A6102" s="157">
        <v>31180</v>
      </c>
      <c r="B6102" s="158">
        <v>11.36</v>
      </c>
    </row>
    <row r="6103" spans="1:2" x14ac:dyDescent="0.25">
      <c r="A6103" s="157">
        <v>31181</v>
      </c>
      <c r="B6103" s="158">
        <v>11.23</v>
      </c>
    </row>
    <row r="6104" spans="1:2" x14ac:dyDescent="0.25">
      <c r="A6104" s="157">
        <v>31182</v>
      </c>
      <c r="B6104" s="158">
        <v>11.24</v>
      </c>
    </row>
    <row r="6105" spans="1:2" x14ac:dyDescent="0.25">
      <c r="A6105" s="157">
        <v>31183</v>
      </c>
      <c r="B6105" s="158">
        <v>11.17</v>
      </c>
    </row>
    <row r="6106" spans="1:2" x14ac:dyDescent="0.25">
      <c r="A6106" s="157">
        <v>31184</v>
      </c>
      <c r="B6106" s="158">
        <v>11.18</v>
      </c>
    </row>
    <row r="6107" spans="1:2" x14ac:dyDescent="0.25">
      <c r="A6107" s="157">
        <v>31187</v>
      </c>
      <c r="B6107" s="158">
        <v>10.91</v>
      </c>
    </row>
    <row r="6108" spans="1:2" x14ac:dyDescent="0.25">
      <c r="A6108" s="157">
        <v>31188</v>
      </c>
      <c r="B6108" s="158">
        <v>10.94</v>
      </c>
    </row>
    <row r="6109" spans="1:2" x14ac:dyDescent="0.25">
      <c r="A6109" s="157">
        <v>31189</v>
      </c>
      <c r="B6109" s="158">
        <v>10.98</v>
      </c>
    </row>
    <row r="6110" spans="1:2" x14ac:dyDescent="0.25">
      <c r="A6110" s="157">
        <v>31190</v>
      </c>
      <c r="B6110" s="158">
        <v>11.01</v>
      </c>
    </row>
    <row r="6111" spans="1:2" x14ac:dyDescent="0.25">
      <c r="A6111" s="157">
        <v>31191</v>
      </c>
      <c r="B6111" s="158">
        <v>10.96</v>
      </c>
    </row>
    <row r="6112" spans="1:2" x14ac:dyDescent="0.25">
      <c r="A6112" s="157">
        <v>31194</v>
      </c>
      <c r="B6112" s="158" t="e">
        <f>NA()</f>
        <v>#N/A</v>
      </c>
    </row>
    <row r="6113" spans="1:2" x14ac:dyDescent="0.25">
      <c r="A6113" s="157">
        <v>31195</v>
      </c>
      <c r="B6113" s="158">
        <v>10.83</v>
      </c>
    </row>
    <row r="6114" spans="1:2" x14ac:dyDescent="0.25">
      <c r="A6114" s="157">
        <v>31196</v>
      </c>
      <c r="B6114" s="158">
        <v>10.83</v>
      </c>
    </row>
    <row r="6115" spans="1:2" x14ac:dyDescent="0.25">
      <c r="A6115" s="157">
        <v>31197</v>
      </c>
      <c r="B6115" s="158">
        <v>10.78</v>
      </c>
    </row>
    <row r="6116" spans="1:2" x14ac:dyDescent="0.25">
      <c r="A6116" s="157">
        <v>31198</v>
      </c>
      <c r="B6116" s="158">
        <v>10.7</v>
      </c>
    </row>
    <row r="6117" spans="1:2" x14ac:dyDescent="0.25">
      <c r="A6117" s="157">
        <v>31201</v>
      </c>
      <c r="B6117" s="158">
        <v>10.49</v>
      </c>
    </row>
    <row r="6118" spans="1:2" x14ac:dyDescent="0.25">
      <c r="A6118" s="157">
        <v>31202</v>
      </c>
      <c r="B6118" s="158">
        <v>10.49</v>
      </c>
    </row>
    <row r="6119" spans="1:2" x14ac:dyDescent="0.25">
      <c r="A6119" s="157">
        <v>31203</v>
      </c>
      <c r="B6119" s="158">
        <v>10.35</v>
      </c>
    </row>
    <row r="6120" spans="1:2" x14ac:dyDescent="0.25">
      <c r="A6120" s="157">
        <v>31204</v>
      </c>
      <c r="B6120" s="158">
        <v>10.37</v>
      </c>
    </row>
    <row r="6121" spans="1:2" x14ac:dyDescent="0.25">
      <c r="A6121" s="157">
        <v>31205</v>
      </c>
      <c r="B6121" s="158">
        <v>10.62</v>
      </c>
    </row>
    <row r="6122" spans="1:2" x14ac:dyDescent="0.25">
      <c r="A6122" s="157">
        <v>31208</v>
      </c>
      <c r="B6122" s="158">
        <v>10.59</v>
      </c>
    </row>
    <row r="6123" spans="1:2" x14ac:dyDescent="0.25">
      <c r="A6123" s="157">
        <v>31209</v>
      </c>
      <c r="B6123" s="158">
        <v>10.5</v>
      </c>
    </row>
    <row r="6124" spans="1:2" x14ac:dyDescent="0.25">
      <c r="A6124" s="157">
        <v>31210</v>
      </c>
      <c r="B6124" s="158">
        <v>10.55</v>
      </c>
    </row>
    <row r="6125" spans="1:2" x14ac:dyDescent="0.25">
      <c r="A6125" s="157">
        <v>31211</v>
      </c>
      <c r="B6125" s="158">
        <v>10.61</v>
      </c>
    </row>
    <row r="6126" spans="1:2" x14ac:dyDescent="0.25">
      <c r="A6126" s="157">
        <v>31212</v>
      </c>
      <c r="B6126" s="158">
        <v>10.41</v>
      </c>
    </row>
    <row r="6127" spans="1:2" x14ac:dyDescent="0.25">
      <c r="A6127" s="157">
        <v>31215</v>
      </c>
      <c r="B6127" s="158">
        <v>10.38</v>
      </c>
    </row>
    <row r="6128" spans="1:2" x14ac:dyDescent="0.25">
      <c r="A6128" s="157">
        <v>31216</v>
      </c>
      <c r="B6128" s="158">
        <v>10.33</v>
      </c>
    </row>
    <row r="6129" spans="1:2" x14ac:dyDescent="0.25">
      <c r="A6129" s="157">
        <v>31217</v>
      </c>
      <c r="B6129" s="158">
        <v>10.48</v>
      </c>
    </row>
    <row r="6130" spans="1:2" x14ac:dyDescent="0.25">
      <c r="A6130" s="157">
        <v>31218</v>
      </c>
      <c r="B6130" s="158">
        <v>10.57</v>
      </c>
    </row>
    <row r="6131" spans="1:2" x14ac:dyDescent="0.25">
      <c r="A6131" s="157">
        <v>31219</v>
      </c>
      <c r="B6131" s="158">
        <v>10.73</v>
      </c>
    </row>
    <row r="6132" spans="1:2" x14ac:dyDescent="0.25">
      <c r="A6132" s="157">
        <v>31222</v>
      </c>
      <c r="B6132" s="158">
        <v>10.81</v>
      </c>
    </row>
    <row r="6133" spans="1:2" x14ac:dyDescent="0.25">
      <c r="A6133" s="157">
        <v>31223</v>
      </c>
      <c r="B6133" s="158">
        <v>10.86</v>
      </c>
    </row>
    <row r="6134" spans="1:2" x14ac:dyDescent="0.25">
      <c r="A6134" s="157">
        <v>31224</v>
      </c>
      <c r="B6134" s="158">
        <v>10.87</v>
      </c>
    </row>
    <row r="6135" spans="1:2" x14ac:dyDescent="0.25">
      <c r="A6135" s="157">
        <v>31225</v>
      </c>
      <c r="B6135" s="158">
        <v>10.7</v>
      </c>
    </row>
    <row r="6136" spans="1:2" x14ac:dyDescent="0.25">
      <c r="A6136" s="157">
        <v>31226</v>
      </c>
      <c r="B6136" s="158">
        <v>10.61</v>
      </c>
    </row>
    <row r="6137" spans="1:2" x14ac:dyDescent="0.25">
      <c r="A6137" s="157">
        <v>31229</v>
      </c>
      <c r="B6137" s="158">
        <v>10.58</v>
      </c>
    </row>
    <row r="6138" spans="1:2" x14ac:dyDescent="0.25">
      <c r="A6138" s="157">
        <v>31230</v>
      </c>
      <c r="B6138" s="158">
        <v>10.57</v>
      </c>
    </row>
    <row r="6139" spans="1:2" x14ac:dyDescent="0.25">
      <c r="A6139" s="157">
        <v>31231</v>
      </c>
      <c r="B6139" s="158">
        <v>10.59</v>
      </c>
    </row>
    <row r="6140" spans="1:2" x14ac:dyDescent="0.25">
      <c r="A6140" s="157">
        <v>31232</v>
      </c>
      <c r="B6140" s="158" t="e">
        <f>NA()</f>
        <v>#N/A</v>
      </c>
    </row>
    <row r="6141" spans="1:2" x14ac:dyDescent="0.25">
      <c r="A6141" s="157">
        <v>31233</v>
      </c>
      <c r="B6141" s="158">
        <v>10.36</v>
      </c>
    </row>
    <row r="6142" spans="1:2" x14ac:dyDescent="0.25">
      <c r="A6142" s="157">
        <v>31236</v>
      </c>
      <c r="B6142" s="158">
        <v>10.45</v>
      </c>
    </row>
    <row r="6143" spans="1:2" x14ac:dyDescent="0.25">
      <c r="A6143" s="157">
        <v>31237</v>
      </c>
      <c r="B6143" s="158">
        <v>10.47</v>
      </c>
    </row>
    <row r="6144" spans="1:2" x14ac:dyDescent="0.25">
      <c r="A6144" s="157">
        <v>31238</v>
      </c>
      <c r="B6144" s="158">
        <v>10.47</v>
      </c>
    </row>
    <row r="6145" spans="1:2" x14ac:dyDescent="0.25">
      <c r="A6145" s="157">
        <v>31239</v>
      </c>
      <c r="B6145" s="158">
        <v>10.6</v>
      </c>
    </row>
    <row r="6146" spans="1:2" x14ac:dyDescent="0.25">
      <c r="A6146" s="157">
        <v>31240</v>
      </c>
      <c r="B6146" s="158">
        <v>10.6</v>
      </c>
    </row>
    <row r="6147" spans="1:2" x14ac:dyDescent="0.25">
      <c r="A6147" s="157">
        <v>31243</v>
      </c>
      <c r="B6147" s="158">
        <v>10.6</v>
      </c>
    </row>
    <row r="6148" spans="1:2" x14ac:dyDescent="0.25">
      <c r="A6148" s="157">
        <v>31244</v>
      </c>
      <c r="B6148" s="158">
        <v>10.55</v>
      </c>
    </row>
    <row r="6149" spans="1:2" x14ac:dyDescent="0.25">
      <c r="A6149" s="157">
        <v>31245</v>
      </c>
      <c r="B6149" s="158">
        <v>10.53</v>
      </c>
    </row>
    <row r="6150" spans="1:2" x14ac:dyDescent="0.25">
      <c r="A6150" s="157">
        <v>31246</v>
      </c>
      <c r="B6150" s="158">
        <v>10.7</v>
      </c>
    </row>
    <row r="6151" spans="1:2" x14ac:dyDescent="0.25">
      <c r="A6151" s="157">
        <v>31247</v>
      </c>
      <c r="B6151" s="158">
        <v>10.73</v>
      </c>
    </row>
    <row r="6152" spans="1:2" x14ac:dyDescent="0.25">
      <c r="A6152" s="157">
        <v>31250</v>
      </c>
      <c r="B6152" s="158">
        <v>10.82</v>
      </c>
    </row>
    <row r="6153" spans="1:2" x14ac:dyDescent="0.25">
      <c r="A6153" s="157">
        <v>31251</v>
      </c>
      <c r="B6153" s="158">
        <v>10.82</v>
      </c>
    </row>
    <row r="6154" spans="1:2" x14ac:dyDescent="0.25">
      <c r="A6154" s="157">
        <v>31252</v>
      </c>
      <c r="B6154" s="158">
        <v>10.85</v>
      </c>
    </row>
    <row r="6155" spans="1:2" x14ac:dyDescent="0.25">
      <c r="A6155" s="157">
        <v>31253</v>
      </c>
      <c r="B6155" s="158">
        <v>10.88</v>
      </c>
    </row>
    <row r="6156" spans="1:2" x14ac:dyDescent="0.25">
      <c r="A6156" s="157">
        <v>31254</v>
      </c>
      <c r="B6156" s="158">
        <v>10.97</v>
      </c>
    </row>
    <row r="6157" spans="1:2" x14ac:dyDescent="0.25">
      <c r="A6157" s="157">
        <v>31257</v>
      </c>
      <c r="B6157" s="158">
        <v>11</v>
      </c>
    </row>
    <row r="6158" spans="1:2" x14ac:dyDescent="0.25">
      <c r="A6158" s="157">
        <v>31258</v>
      </c>
      <c r="B6158" s="158">
        <v>10.99</v>
      </c>
    </row>
    <row r="6159" spans="1:2" x14ac:dyDescent="0.25">
      <c r="A6159" s="157">
        <v>31259</v>
      </c>
      <c r="B6159" s="158">
        <v>10.89</v>
      </c>
    </row>
    <row r="6160" spans="1:2" x14ac:dyDescent="0.25">
      <c r="A6160" s="157">
        <v>31260</v>
      </c>
      <c r="B6160" s="158">
        <v>10.81</v>
      </c>
    </row>
    <row r="6161" spans="1:2" x14ac:dyDescent="0.25">
      <c r="A6161" s="157">
        <v>31261</v>
      </c>
      <c r="B6161" s="158">
        <v>10.95</v>
      </c>
    </row>
    <row r="6162" spans="1:2" x14ac:dyDescent="0.25">
      <c r="A6162" s="157">
        <v>31264</v>
      </c>
      <c r="B6162" s="158">
        <v>10.93</v>
      </c>
    </row>
    <row r="6163" spans="1:2" x14ac:dyDescent="0.25">
      <c r="A6163" s="157">
        <v>31265</v>
      </c>
      <c r="B6163" s="158">
        <v>10.94</v>
      </c>
    </row>
    <row r="6164" spans="1:2" x14ac:dyDescent="0.25">
      <c r="A6164" s="157">
        <v>31266</v>
      </c>
      <c r="B6164" s="158">
        <v>10.88</v>
      </c>
    </row>
    <row r="6165" spans="1:2" x14ac:dyDescent="0.25">
      <c r="A6165" s="157">
        <v>31267</v>
      </c>
      <c r="B6165" s="158">
        <v>10.8</v>
      </c>
    </row>
    <row r="6166" spans="1:2" x14ac:dyDescent="0.25">
      <c r="A6166" s="157">
        <v>31268</v>
      </c>
      <c r="B6166" s="158">
        <v>10.77</v>
      </c>
    </row>
    <row r="6167" spans="1:2" x14ac:dyDescent="0.25">
      <c r="A6167" s="157">
        <v>31271</v>
      </c>
      <c r="B6167" s="158">
        <v>10.78</v>
      </c>
    </row>
    <row r="6168" spans="1:2" x14ac:dyDescent="0.25">
      <c r="A6168" s="157">
        <v>31272</v>
      </c>
      <c r="B6168" s="158">
        <v>10.87</v>
      </c>
    </row>
    <row r="6169" spans="1:2" x14ac:dyDescent="0.25">
      <c r="A6169" s="157">
        <v>31273</v>
      </c>
      <c r="B6169" s="158">
        <v>10.78</v>
      </c>
    </row>
    <row r="6170" spans="1:2" x14ac:dyDescent="0.25">
      <c r="A6170" s="157">
        <v>31274</v>
      </c>
      <c r="B6170" s="158">
        <v>10.79</v>
      </c>
    </row>
    <row r="6171" spans="1:2" x14ac:dyDescent="0.25">
      <c r="A6171" s="157">
        <v>31275</v>
      </c>
      <c r="B6171" s="158">
        <v>10.71</v>
      </c>
    </row>
    <row r="6172" spans="1:2" x14ac:dyDescent="0.25">
      <c r="A6172" s="157">
        <v>31278</v>
      </c>
      <c r="B6172" s="158">
        <v>10.67</v>
      </c>
    </row>
    <row r="6173" spans="1:2" x14ac:dyDescent="0.25">
      <c r="A6173" s="157">
        <v>31279</v>
      </c>
      <c r="B6173" s="158">
        <v>10.64</v>
      </c>
    </row>
    <row r="6174" spans="1:2" x14ac:dyDescent="0.25">
      <c r="A6174" s="157">
        <v>31280</v>
      </c>
      <c r="B6174" s="158">
        <v>10.58</v>
      </c>
    </row>
    <row r="6175" spans="1:2" x14ac:dyDescent="0.25">
      <c r="A6175" s="157">
        <v>31281</v>
      </c>
      <c r="B6175" s="158">
        <v>10.57</v>
      </c>
    </row>
    <row r="6176" spans="1:2" x14ac:dyDescent="0.25">
      <c r="A6176" s="157">
        <v>31282</v>
      </c>
      <c r="B6176" s="158">
        <v>10.59</v>
      </c>
    </row>
    <row r="6177" spans="1:2" x14ac:dyDescent="0.25">
      <c r="A6177" s="157">
        <v>31285</v>
      </c>
      <c r="B6177" s="158">
        <v>10.62</v>
      </c>
    </row>
    <row r="6178" spans="1:2" x14ac:dyDescent="0.25">
      <c r="A6178" s="157">
        <v>31286</v>
      </c>
      <c r="B6178" s="158">
        <v>10.56</v>
      </c>
    </row>
    <row r="6179" spans="1:2" x14ac:dyDescent="0.25">
      <c r="A6179" s="157">
        <v>31287</v>
      </c>
      <c r="B6179" s="158">
        <v>10.58</v>
      </c>
    </row>
    <row r="6180" spans="1:2" x14ac:dyDescent="0.25">
      <c r="A6180" s="157">
        <v>31288</v>
      </c>
      <c r="B6180" s="158">
        <v>10.54</v>
      </c>
    </row>
    <row r="6181" spans="1:2" x14ac:dyDescent="0.25">
      <c r="A6181" s="157">
        <v>31289</v>
      </c>
      <c r="B6181" s="158">
        <v>10.67</v>
      </c>
    </row>
    <row r="6182" spans="1:2" x14ac:dyDescent="0.25">
      <c r="A6182" s="157">
        <v>31292</v>
      </c>
      <c r="B6182" s="158" t="e">
        <f>NA()</f>
        <v>#N/A</v>
      </c>
    </row>
    <row r="6183" spans="1:2" x14ac:dyDescent="0.25">
      <c r="A6183" s="157">
        <v>31293</v>
      </c>
      <c r="B6183" s="158">
        <v>10.65</v>
      </c>
    </row>
    <row r="6184" spans="1:2" x14ac:dyDescent="0.25">
      <c r="A6184" s="157">
        <v>31294</v>
      </c>
      <c r="B6184" s="158">
        <v>10.58</v>
      </c>
    </row>
    <row r="6185" spans="1:2" x14ac:dyDescent="0.25">
      <c r="A6185" s="157">
        <v>31295</v>
      </c>
      <c r="B6185" s="158">
        <v>10.68</v>
      </c>
    </row>
    <row r="6186" spans="1:2" x14ac:dyDescent="0.25">
      <c r="A6186" s="157">
        <v>31296</v>
      </c>
      <c r="B6186" s="158">
        <v>10.92</v>
      </c>
    </row>
    <row r="6187" spans="1:2" x14ac:dyDescent="0.25">
      <c r="A6187" s="157">
        <v>31299</v>
      </c>
      <c r="B6187" s="158">
        <v>10.91</v>
      </c>
    </row>
    <row r="6188" spans="1:2" x14ac:dyDescent="0.25">
      <c r="A6188" s="157">
        <v>31300</v>
      </c>
      <c r="B6188" s="158">
        <v>10.9</v>
      </c>
    </row>
    <row r="6189" spans="1:2" x14ac:dyDescent="0.25">
      <c r="A6189" s="157">
        <v>31301</v>
      </c>
      <c r="B6189" s="158">
        <v>10.92</v>
      </c>
    </row>
    <row r="6190" spans="1:2" x14ac:dyDescent="0.25">
      <c r="A6190" s="157">
        <v>31302</v>
      </c>
      <c r="B6190" s="158">
        <v>10.91</v>
      </c>
    </row>
    <row r="6191" spans="1:2" x14ac:dyDescent="0.25">
      <c r="A6191" s="157">
        <v>31303</v>
      </c>
      <c r="B6191" s="158">
        <v>10.8</v>
      </c>
    </row>
    <row r="6192" spans="1:2" x14ac:dyDescent="0.25">
      <c r="A6192" s="157">
        <v>31306</v>
      </c>
      <c r="B6192" s="158">
        <v>10.77</v>
      </c>
    </row>
    <row r="6193" spans="1:2" x14ac:dyDescent="0.25">
      <c r="A6193" s="157">
        <v>31307</v>
      </c>
      <c r="B6193" s="158">
        <v>10.83</v>
      </c>
    </row>
    <row r="6194" spans="1:2" x14ac:dyDescent="0.25">
      <c r="A6194" s="157">
        <v>31308</v>
      </c>
      <c r="B6194" s="158">
        <v>10.86</v>
      </c>
    </row>
    <row r="6195" spans="1:2" x14ac:dyDescent="0.25">
      <c r="A6195" s="157">
        <v>31309</v>
      </c>
      <c r="B6195" s="158">
        <v>10.86</v>
      </c>
    </row>
    <row r="6196" spans="1:2" x14ac:dyDescent="0.25">
      <c r="A6196" s="157">
        <v>31310</v>
      </c>
      <c r="B6196" s="158">
        <v>10.78</v>
      </c>
    </row>
    <row r="6197" spans="1:2" x14ac:dyDescent="0.25">
      <c r="A6197" s="157">
        <v>31313</v>
      </c>
      <c r="B6197" s="158">
        <v>10.83</v>
      </c>
    </row>
    <row r="6198" spans="1:2" x14ac:dyDescent="0.25">
      <c r="A6198" s="157">
        <v>31314</v>
      </c>
      <c r="B6198" s="158">
        <v>10.79</v>
      </c>
    </row>
    <row r="6199" spans="1:2" x14ac:dyDescent="0.25">
      <c r="A6199" s="157">
        <v>31315</v>
      </c>
      <c r="B6199" s="158">
        <v>10.75</v>
      </c>
    </row>
    <row r="6200" spans="1:2" x14ac:dyDescent="0.25">
      <c r="A6200" s="157">
        <v>31316</v>
      </c>
      <c r="B6200" s="158">
        <v>10.68</v>
      </c>
    </row>
    <row r="6201" spans="1:2" x14ac:dyDescent="0.25">
      <c r="A6201" s="157">
        <v>31317</v>
      </c>
      <c r="B6201" s="158" t="e">
        <f>NA()</f>
        <v>#N/A</v>
      </c>
    </row>
    <row r="6202" spans="1:2" x14ac:dyDescent="0.25">
      <c r="A6202" s="157">
        <v>31320</v>
      </c>
      <c r="B6202" s="158">
        <v>10.75</v>
      </c>
    </row>
    <row r="6203" spans="1:2" x14ac:dyDescent="0.25">
      <c r="A6203" s="157">
        <v>31321</v>
      </c>
      <c r="B6203" s="158">
        <v>10.73</v>
      </c>
    </row>
    <row r="6204" spans="1:2" x14ac:dyDescent="0.25">
      <c r="A6204" s="157">
        <v>31322</v>
      </c>
      <c r="B6204" s="158">
        <v>10.74</v>
      </c>
    </row>
    <row r="6205" spans="1:2" x14ac:dyDescent="0.25">
      <c r="A6205" s="157">
        <v>31323</v>
      </c>
      <c r="B6205" s="158">
        <v>10.74</v>
      </c>
    </row>
    <row r="6206" spans="1:2" x14ac:dyDescent="0.25">
      <c r="A6206" s="157">
        <v>31324</v>
      </c>
      <c r="B6206" s="158">
        <v>10.77</v>
      </c>
    </row>
    <row r="6207" spans="1:2" x14ac:dyDescent="0.25">
      <c r="A6207" s="157">
        <v>31327</v>
      </c>
      <c r="B6207" s="158">
        <v>10.85</v>
      </c>
    </row>
    <row r="6208" spans="1:2" x14ac:dyDescent="0.25">
      <c r="A6208" s="157">
        <v>31328</v>
      </c>
      <c r="B6208" s="158">
        <v>10.81</v>
      </c>
    </row>
    <row r="6209" spans="1:2" x14ac:dyDescent="0.25">
      <c r="A6209" s="157">
        <v>31329</v>
      </c>
      <c r="B6209" s="158">
        <v>10.81</v>
      </c>
    </row>
    <row r="6210" spans="1:2" x14ac:dyDescent="0.25">
      <c r="A6210" s="157">
        <v>31330</v>
      </c>
      <c r="B6210" s="158">
        <v>10.78</v>
      </c>
    </row>
    <row r="6211" spans="1:2" x14ac:dyDescent="0.25">
      <c r="A6211" s="157">
        <v>31331</v>
      </c>
      <c r="B6211" s="158">
        <v>10.77</v>
      </c>
    </row>
    <row r="6212" spans="1:2" x14ac:dyDescent="0.25">
      <c r="A6212" s="157">
        <v>31334</v>
      </c>
      <c r="B6212" s="158" t="e">
        <f>NA()</f>
        <v>#N/A</v>
      </c>
    </row>
    <row r="6213" spans="1:2" x14ac:dyDescent="0.25">
      <c r="A6213" s="157">
        <v>31335</v>
      </c>
      <c r="B6213" s="158">
        <v>10.72</v>
      </c>
    </row>
    <row r="6214" spans="1:2" x14ac:dyDescent="0.25">
      <c r="A6214" s="157">
        <v>31336</v>
      </c>
      <c r="B6214" s="158">
        <v>10.69</v>
      </c>
    </row>
    <row r="6215" spans="1:2" x14ac:dyDescent="0.25">
      <c r="A6215" s="157">
        <v>31337</v>
      </c>
      <c r="B6215" s="158">
        <v>10.64</v>
      </c>
    </row>
    <row r="6216" spans="1:2" x14ac:dyDescent="0.25">
      <c r="A6216" s="157">
        <v>31338</v>
      </c>
      <c r="B6216" s="158">
        <v>10.6</v>
      </c>
    </row>
    <row r="6217" spans="1:2" x14ac:dyDescent="0.25">
      <c r="A6217" s="157">
        <v>31341</v>
      </c>
      <c r="B6217" s="158">
        <v>10.6</v>
      </c>
    </row>
    <row r="6218" spans="1:2" x14ac:dyDescent="0.25">
      <c r="A6218" s="157">
        <v>31342</v>
      </c>
      <c r="B6218" s="158">
        <v>10.55</v>
      </c>
    </row>
    <row r="6219" spans="1:2" x14ac:dyDescent="0.25">
      <c r="A6219" s="157">
        <v>31343</v>
      </c>
      <c r="B6219" s="158">
        <v>10.55</v>
      </c>
    </row>
    <row r="6220" spans="1:2" x14ac:dyDescent="0.25">
      <c r="A6220" s="157">
        <v>31344</v>
      </c>
      <c r="B6220" s="158">
        <v>10.56</v>
      </c>
    </row>
    <row r="6221" spans="1:2" x14ac:dyDescent="0.25">
      <c r="A6221" s="157">
        <v>31345</v>
      </c>
      <c r="B6221" s="158">
        <v>10.63</v>
      </c>
    </row>
    <row r="6222" spans="1:2" x14ac:dyDescent="0.25">
      <c r="A6222" s="157">
        <v>31348</v>
      </c>
      <c r="B6222" s="158">
        <v>10.72</v>
      </c>
    </row>
    <row r="6223" spans="1:2" x14ac:dyDescent="0.25">
      <c r="A6223" s="157">
        <v>31349</v>
      </c>
      <c r="B6223" s="158">
        <v>10.56</v>
      </c>
    </row>
    <row r="6224" spans="1:2" x14ac:dyDescent="0.25">
      <c r="A6224" s="157">
        <v>31350</v>
      </c>
      <c r="B6224" s="158">
        <v>10.44</v>
      </c>
    </row>
    <row r="6225" spans="1:2" x14ac:dyDescent="0.25">
      <c r="A6225" s="157">
        <v>31351</v>
      </c>
      <c r="B6225" s="158">
        <v>10.45</v>
      </c>
    </row>
    <row r="6226" spans="1:2" x14ac:dyDescent="0.25">
      <c r="A6226" s="157">
        <v>31352</v>
      </c>
      <c r="B6226" s="158">
        <v>10.41</v>
      </c>
    </row>
    <row r="6227" spans="1:2" x14ac:dyDescent="0.25">
      <c r="A6227" s="157">
        <v>31355</v>
      </c>
      <c r="B6227" s="158">
        <v>10.4</v>
      </c>
    </row>
    <row r="6228" spans="1:2" x14ac:dyDescent="0.25">
      <c r="A6228" s="157">
        <v>31356</v>
      </c>
      <c r="B6228" s="158">
        <v>10.35</v>
      </c>
    </row>
    <row r="6229" spans="1:2" x14ac:dyDescent="0.25">
      <c r="A6229" s="157">
        <v>31357</v>
      </c>
      <c r="B6229" s="158">
        <v>10.36</v>
      </c>
    </row>
    <row r="6230" spans="1:2" x14ac:dyDescent="0.25">
      <c r="A6230" s="157">
        <v>31358</v>
      </c>
      <c r="B6230" s="158">
        <v>10.35</v>
      </c>
    </row>
    <row r="6231" spans="1:2" x14ac:dyDescent="0.25">
      <c r="A6231" s="157">
        <v>31359</v>
      </c>
      <c r="B6231" s="158">
        <v>10.3</v>
      </c>
    </row>
    <row r="6232" spans="1:2" x14ac:dyDescent="0.25">
      <c r="A6232" s="157">
        <v>31362</v>
      </c>
      <c r="B6232" s="158" t="e">
        <f>NA()</f>
        <v>#N/A</v>
      </c>
    </row>
    <row r="6233" spans="1:2" x14ac:dyDescent="0.25">
      <c r="A6233" s="157">
        <v>31363</v>
      </c>
      <c r="B6233" s="158">
        <v>10.199999999999999</v>
      </c>
    </row>
    <row r="6234" spans="1:2" x14ac:dyDescent="0.25">
      <c r="A6234" s="157">
        <v>31364</v>
      </c>
      <c r="B6234" s="158">
        <v>10.24</v>
      </c>
    </row>
    <row r="6235" spans="1:2" x14ac:dyDescent="0.25">
      <c r="A6235" s="157">
        <v>31365</v>
      </c>
      <c r="B6235" s="158">
        <v>10.3</v>
      </c>
    </row>
    <row r="6236" spans="1:2" x14ac:dyDescent="0.25">
      <c r="A6236" s="157">
        <v>31366</v>
      </c>
      <c r="B6236" s="158">
        <v>10.35</v>
      </c>
    </row>
    <row r="6237" spans="1:2" x14ac:dyDescent="0.25">
      <c r="A6237" s="157">
        <v>31369</v>
      </c>
      <c r="B6237" s="158">
        <v>10.18</v>
      </c>
    </row>
    <row r="6238" spans="1:2" x14ac:dyDescent="0.25">
      <c r="A6238" s="157">
        <v>31370</v>
      </c>
      <c r="B6238" s="158">
        <v>10.15</v>
      </c>
    </row>
    <row r="6239" spans="1:2" x14ac:dyDescent="0.25">
      <c r="A6239" s="157">
        <v>31371</v>
      </c>
      <c r="B6239" s="158">
        <v>10.15</v>
      </c>
    </row>
    <row r="6240" spans="1:2" x14ac:dyDescent="0.25">
      <c r="A6240" s="157">
        <v>31372</v>
      </c>
      <c r="B6240" s="158">
        <v>10.08</v>
      </c>
    </row>
    <row r="6241" spans="1:2" x14ac:dyDescent="0.25">
      <c r="A6241" s="157">
        <v>31373</v>
      </c>
      <c r="B6241" s="158">
        <v>10.16</v>
      </c>
    </row>
    <row r="6242" spans="1:2" x14ac:dyDescent="0.25">
      <c r="A6242" s="157">
        <v>31376</v>
      </c>
      <c r="B6242" s="158">
        <v>10.19</v>
      </c>
    </row>
    <row r="6243" spans="1:2" x14ac:dyDescent="0.25">
      <c r="A6243" s="157">
        <v>31377</v>
      </c>
      <c r="B6243" s="158">
        <v>10.17</v>
      </c>
    </row>
    <row r="6244" spans="1:2" x14ac:dyDescent="0.25">
      <c r="A6244" s="157">
        <v>31378</v>
      </c>
      <c r="B6244" s="158">
        <v>10.119999999999999</v>
      </c>
    </row>
    <row r="6245" spans="1:2" x14ac:dyDescent="0.25">
      <c r="A6245" s="157">
        <v>31379</v>
      </c>
      <c r="B6245" s="158" t="e">
        <f>NA()</f>
        <v>#N/A</v>
      </c>
    </row>
    <row r="6246" spans="1:2" x14ac:dyDescent="0.25">
      <c r="A6246" s="157">
        <v>31380</v>
      </c>
      <c r="B6246" s="158">
        <v>10.07</v>
      </c>
    </row>
    <row r="6247" spans="1:2" x14ac:dyDescent="0.25">
      <c r="A6247" s="157">
        <v>31383</v>
      </c>
      <c r="B6247" s="158">
        <v>10.17</v>
      </c>
    </row>
    <row r="6248" spans="1:2" x14ac:dyDescent="0.25">
      <c r="A6248" s="157">
        <v>31384</v>
      </c>
      <c r="B6248" s="158">
        <v>10.15</v>
      </c>
    </row>
    <row r="6249" spans="1:2" x14ac:dyDescent="0.25">
      <c r="A6249" s="157">
        <v>31385</v>
      </c>
      <c r="B6249" s="158">
        <v>10.1</v>
      </c>
    </row>
    <row r="6250" spans="1:2" x14ac:dyDescent="0.25">
      <c r="A6250" s="157">
        <v>31386</v>
      </c>
      <c r="B6250" s="158">
        <v>10.1</v>
      </c>
    </row>
    <row r="6251" spans="1:2" x14ac:dyDescent="0.25">
      <c r="A6251" s="157">
        <v>31387</v>
      </c>
      <c r="B6251" s="158">
        <v>10.11</v>
      </c>
    </row>
    <row r="6252" spans="1:2" x14ac:dyDescent="0.25">
      <c r="A6252" s="157">
        <v>31390</v>
      </c>
      <c r="B6252" s="158">
        <v>9.9700000000000006</v>
      </c>
    </row>
    <row r="6253" spans="1:2" x14ac:dyDescent="0.25">
      <c r="A6253" s="157">
        <v>31391</v>
      </c>
      <c r="B6253" s="158">
        <v>9.84</v>
      </c>
    </row>
    <row r="6254" spans="1:2" x14ac:dyDescent="0.25">
      <c r="A6254" s="157">
        <v>31392</v>
      </c>
      <c r="B6254" s="158">
        <v>9.7200000000000006</v>
      </c>
    </row>
    <row r="6255" spans="1:2" x14ac:dyDescent="0.25">
      <c r="A6255" s="157">
        <v>31393</v>
      </c>
      <c r="B6255" s="158">
        <v>9.7799999999999994</v>
      </c>
    </row>
    <row r="6256" spans="1:2" x14ac:dyDescent="0.25">
      <c r="A6256" s="157">
        <v>31394</v>
      </c>
      <c r="B6256" s="158">
        <v>9.7200000000000006</v>
      </c>
    </row>
    <row r="6257" spans="1:2" x14ac:dyDescent="0.25">
      <c r="A6257" s="157">
        <v>31397</v>
      </c>
      <c r="B6257" s="158">
        <v>9.64</v>
      </c>
    </row>
    <row r="6258" spans="1:2" x14ac:dyDescent="0.25">
      <c r="A6258" s="157">
        <v>31398</v>
      </c>
      <c r="B6258" s="158">
        <v>9.5399999999999991</v>
      </c>
    </row>
    <row r="6259" spans="1:2" x14ac:dyDescent="0.25">
      <c r="A6259" s="157">
        <v>31399</v>
      </c>
      <c r="B6259" s="158">
        <v>9.6</v>
      </c>
    </row>
    <row r="6260" spans="1:2" x14ac:dyDescent="0.25">
      <c r="A6260" s="157">
        <v>31400</v>
      </c>
      <c r="B6260" s="158">
        <v>9.59</v>
      </c>
    </row>
    <row r="6261" spans="1:2" x14ac:dyDescent="0.25">
      <c r="A6261" s="157">
        <v>31401</v>
      </c>
      <c r="B6261" s="158">
        <v>9.5399999999999991</v>
      </c>
    </row>
    <row r="6262" spans="1:2" x14ac:dyDescent="0.25">
      <c r="A6262" s="157">
        <v>31404</v>
      </c>
      <c r="B6262" s="158">
        <v>9.57</v>
      </c>
    </row>
    <row r="6263" spans="1:2" x14ac:dyDescent="0.25">
      <c r="A6263" s="157">
        <v>31405</v>
      </c>
      <c r="B6263" s="158">
        <v>9.5500000000000007</v>
      </c>
    </row>
    <row r="6264" spans="1:2" x14ac:dyDescent="0.25">
      <c r="A6264" s="157">
        <v>31406</v>
      </c>
      <c r="B6264" s="158" t="e">
        <f>NA()</f>
        <v>#N/A</v>
      </c>
    </row>
    <row r="6265" spans="1:2" x14ac:dyDescent="0.25">
      <c r="A6265" s="157">
        <v>31407</v>
      </c>
      <c r="B6265" s="158">
        <v>9.52</v>
      </c>
    </row>
    <row r="6266" spans="1:2" x14ac:dyDescent="0.25">
      <c r="A6266" s="157">
        <v>31408</v>
      </c>
      <c r="B6266" s="158">
        <v>9.49</v>
      </c>
    </row>
    <row r="6267" spans="1:2" x14ac:dyDescent="0.25">
      <c r="A6267" s="157">
        <v>31411</v>
      </c>
      <c r="B6267" s="158">
        <v>9.51</v>
      </c>
    </row>
    <row r="6268" spans="1:2" x14ac:dyDescent="0.25">
      <c r="A6268" s="157">
        <v>31412</v>
      </c>
      <c r="B6268" s="158">
        <v>9.5</v>
      </c>
    </row>
    <row r="6269" spans="1:2" x14ac:dyDescent="0.25">
      <c r="A6269" s="157">
        <v>31413</v>
      </c>
      <c r="B6269" s="158" t="e">
        <f>NA()</f>
        <v>#N/A</v>
      </c>
    </row>
    <row r="6270" spans="1:2" x14ac:dyDescent="0.25">
      <c r="A6270" s="157">
        <v>31414</v>
      </c>
      <c r="B6270" s="158">
        <v>9.52</v>
      </c>
    </row>
    <row r="6271" spans="1:2" x14ac:dyDescent="0.25">
      <c r="A6271" s="157">
        <v>31415</v>
      </c>
      <c r="B6271" s="158">
        <v>9.5399999999999991</v>
      </c>
    </row>
    <row r="6272" spans="1:2" x14ac:dyDescent="0.25">
      <c r="A6272" s="157">
        <v>31418</v>
      </c>
      <c r="B6272" s="158">
        <v>9.5399999999999991</v>
      </c>
    </row>
    <row r="6273" spans="1:2" x14ac:dyDescent="0.25">
      <c r="A6273" s="157">
        <v>31419</v>
      </c>
      <c r="B6273" s="158">
        <v>9.42</v>
      </c>
    </row>
    <row r="6274" spans="1:2" x14ac:dyDescent="0.25">
      <c r="A6274" s="157">
        <v>31420</v>
      </c>
      <c r="B6274" s="158">
        <v>9.51</v>
      </c>
    </row>
    <row r="6275" spans="1:2" x14ac:dyDescent="0.25">
      <c r="A6275" s="157">
        <v>31421</v>
      </c>
      <c r="B6275" s="158">
        <v>9.6199999999999992</v>
      </c>
    </row>
    <row r="6276" spans="1:2" x14ac:dyDescent="0.25">
      <c r="A6276" s="157">
        <v>31422</v>
      </c>
      <c r="B6276" s="158">
        <v>9.74</v>
      </c>
    </row>
    <row r="6277" spans="1:2" x14ac:dyDescent="0.25">
      <c r="A6277" s="157">
        <v>31425</v>
      </c>
      <c r="B6277" s="158">
        <v>9.86</v>
      </c>
    </row>
    <row r="6278" spans="1:2" x14ac:dyDescent="0.25">
      <c r="A6278" s="157">
        <v>31426</v>
      </c>
      <c r="B6278" s="158">
        <v>9.75</v>
      </c>
    </row>
    <row r="6279" spans="1:2" x14ac:dyDescent="0.25">
      <c r="A6279" s="157">
        <v>31427</v>
      </c>
      <c r="B6279" s="158">
        <v>9.64</v>
      </c>
    </row>
    <row r="6280" spans="1:2" x14ac:dyDescent="0.25">
      <c r="A6280" s="157">
        <v>31428</v>
      </c>
      <c r="B6280" s="158">
        <v>9.65</v>
      </c>
    </row>
    <row r="6281" spans="1:2" x14ac:dyDescent="0.25">
      <c r="A6281" s="157">
        <v>31429</v>
      </c>
      <c r="B6281" s="158">
        <v>9.61</v>
      </c>
    </row>
    <row r="6282" spans="1:2" x14ac:dyDescent="0.25">
      <c r="A6282" s="157">
        <v>31432</v>
      </c>
      <c r="B6282" s="158" t="e">
        <f>NA()</f>
        <v>#N/A</v>
      </c>
    </row>
    <row r="6283" spans="1:2" x14ac:dyDescent="0.25">
      <c r="A6283" s="157">
        <v>31433</v>
      </c>
      <c r="B6283" s="158">
        <v>9.61</v>
      </c>
    </row>
    <row r="6284" spans="1:2" x14ac:dyDescent="0.25">
      <c r="A6284" s="157">
        <v>31434</v>
      </c>
      <c r="B6284" s="158">
        <v>9.67</v>
      </c>
    </row>
    <row r="6285" spans="1:2" x14ac:dyDescent="0.25">
      <c r="A6285" s="157">
        <v>31435</v>
      </c>
      <c r="B6285" s="158">
        <v>9.6199999999999992</v>
      </c>
    </row>
    <row r="6286" spans="1:2" x14ac:dyDescent="0.25">
      <c r="A6286" s="157">
        <v>31436</v>
      </c>
      <c r="B6286" s="158">
        <v>9.65</v>
      </c>
    </row>
    <row r="6287" spans="1:2" x14ac:dyDescent="0.25">
      <c r="A6287" s="157">
        <v>31439</v>
      </c>
      <c r="B6287" s="158">
        <v>9.5299999999999994</v>
      </c>
    </row>
    <row r="6288" spans="1:2" x14ac:dyDescent="0.25">
      <c r="A6288" s="157">
        <v>31440</v>
      </c>
      <c r="B6288" s="158">
        <v>9.43</v>
      </c>
    </row>
    <row r="6289" spans="1:2" x14ac:dyDescent="0.25">
      <c r="A6289" s="157">
        <v>31441</v>
      </c>
      <c r="B6289" s="158">
        <v>9.4600000000000009</v>
      </c>
    </row>
    <row r="6290" spans="1:2" x14ac:dyDescent="0.25">
      <c r="A6290" s="157">
        <v>31442</v>
      </c>
      <c r="B6290" s="158">
        <v>9.48</v>
      </c>
    </row>
    <row r="6291" spans="1:2" x14ac:dyDescent="0.25">
      <c r="A6291" s="157">
        <v>31443</v>
      </c>
      <c r="B6291" s="158">
        <v>9.48</v>
      </c>
    </row>
    <row r="6292" spans="1:2" x14ac:dyDescent="0.25">
      <c r="A6292" s="157">
        <v>31446</v>
      </c>
      <c r="B6292" s="158">
        <v>9.42</v>
      </c>
    </row>
    <row r="6293" spans="1:2" x14ac:dyDescent="0.25">
      <c r="A6293" s="157">
        <v>31447</v>
      </c>
      <c r="B6293" s="158">
        <v>9.34</v>
      </c>
    </row>
    <row r="6294" spans="1:2" x14ac:dyDescent="0.25">
      <c r="A6294" s="157">
        <v>31448</v>
      </c>
      <c r="B6294" s="158">
        <v>9.4</v>
      </c>
    </row>
    <row r="6295" spans="1:2" x14ac:dyDescent="0.25">
      <c r="A6295" s="157">
        <v>31449</v>
      </c>
      <c r="B6295" s="158">
        <v>9.4600000000000009</v>
      </c>
    </row>
    <row r="6296" spans="1:2" x14ac:dyDescent="0.25">
      <c r="A6296" s="157">
        <v>31450</v>
      </c>
      <c r="B6296" s="158">
        <v>9.5399999999999991</v>
      </c>
    </row>
    <row r="6297" spans="1:2" x14ac:dyDescent="0.25">
      <c r="A6297" s="157">
        <v>31453</v>
      </c>
      <c r="B6297" s="158">
        <v>9.44</v>
      </c>
    </row>
    <row r="6298" spans="1:2" x14ac:dyDescent="0.25">
      <c r="A6298" s="157">
        <v>31454</v>
      </c>
      <c r="B6298" s="158">
        <v>9.36</v>
      </c>
    </row>
    <row r="6299" spans="1:2" x14ac:dyDescent="0.25">
      <c r="A6299" s="157">
        <v>31455</v>
      </c>
      <c r="B6299" s="158">
        <v>9.34</v>
      </c>
    </row>
    <row r="6300" spans="1:2" x14ac:dyDescent="0.25">
      <c r="A6300" s="157">
        <v>31456</v>
      </c>
      <c r="B6300" s="158">
        <v>9.2799999999999994</v>
      </c>
    </row>
    <row r="6301" spans="1:2" x14ac:dyDescent="0.25">
      <c r="A6301" s="157">
        <v>31457</v>
      </c>
      <c r="B6301" s="158">
        <v>9.07</v>
      </c>
    </row>
    <row r="6302" spans="1:2" x14ac:dyDescent="0.25">
      <c r="A6302" s="157">
        <v>31460</v>
      </c>
      <c r="B6302" s="158" t="e">
        <f>NA()</f>
        <v>#N/A</v>
      </c>
    </row>
    <row r="6303" spans="1:2" x14ac:dyDescent="0.25">
      <c r="A6303" s="157">
        <v>31461</v>
      </c>
      <c r="B6303" s="158">
        <v>9.0399999999999991</v>
      </c>
    </row>
    <row r="6304" spans="1:2" x14ac:dyDescent="0.25">
      <c r="A6304" s="157">
        <v>31462</v>
      </c>
      <c r="B6304" s="158">
        <v>9.09</v>
      </c>
    </row>
    <row r="6305" spans="1:2" x14ac:dyDescent="0.25">
      <c r="A6305" s="157">
        <v>31463</v>
      </c>
      <c r="B6305" s="158">
        <v>9.0500000000000007</v>
      </c>
    </row>
    <row r="6306" spans="1:2" x14ac:dyDescent="0.25">
      <c r="A6306" s="157">
        <v>31464</v>
      </c>
      <c r="B6306" s="158">
        <v>8.86</v>
      </c>
    </row>
    <row r="6307" spans="1:2" x14ac:dyDescent="0.25">
      <c r="A6307" s="157">
        <v>31467</v>
      </c>
      <c r="B6307" s="158">
        <v>8.7100000000000009</v>
      </c>
    </row>
    <row r="6308" spans="1:2" x14ac:dyDescent="0.25">
      <c r="A6308" s="157">
        <v>31468</v>
      </c>
      <c r="B6308" s="158">
        <v>8.7200000000000006</v>
      </c>
    </row>
    <row r="6309" spans="1:2" x14ac:dyDescent="0.25">
      <c r="A6309" s="157">
        <v>31469</v>
      </c>
      <c r="B6309" s="158">
        <v>8.6300000000000008</v>
      </c>
    </row>
    <row r="6310" spans="1:2" x14ac:dyDescent="0.25">
      <c r="A6310" s="157">
        <v>31470</v>
      </c>
      <c r="B6310" s="158">
        <v>8.3800000000000008</v>
      </c>
    </row>
    <row r="6311" spans="1:2" x14ac:dyDescent="0.25">
      <c r="A6311" s="157">
        <v>31471</v>
      </c>
      <c r="B6311" s="158">
        <v>8.34</v>
      </c>
    </row>
    <row r="6312" spans="1:2" x14ac:dyDescent="0.25">
      <c r="A6312" s="157">
        <v>31474</v>
      </c>
      <c r="B6312" s="158">
        <v>8.23</v>
      </c>
    </row>
    <row r="6313" spans="1:2" x14ac:dyDescent="0.25">
      <c r="A6313" s="157">
        <v>31475</v>
      </c>
      <c r="B6313" s="158">
        <v>8.17</v>
      </c>
    </row>
    <row r="6314" spans="1:2" x14ac:dyDescent="0.25">
      <c r="A6314" s="157">
        <v>31476</v>
      </c>
      <c r="B6314" s="158">
        <v>8.4</v>
      </c>
    </row>
    <row r="6315" spans="1:2" x14ac:dyDescent="0.25">
      <c r="A6315" s="157">
        <v>31477</v>
      </c>
      <c r="B6315" s="158">
        <v>8.4</v>
      </c>
    </row>
    <row r="6316" spans="1:2" x14ac:dyDescent="0.25">
      <c r="A6316" s="157">
        <v>31478</v>
      </c>
      <c r="B6316" s="158">
        <v>8.33</v>
      </c>
    </row>
    <row r="6317" spans="1:2" x14ac:dyDescent="0.25">
      <c r="A6317" s="157">
        <v>31481</v>
      </c>
      <c r="B6317" s="158">
        <v>8.1300000000000008</v>
      </c>
    </row>
    <row r="6318" spans="1:2" x14ac:dyDescent="0.25">
      <c r="A6318" s="157">
        <v>31482</v>
      </c>
      <c r="B6318" s="158">
        <v>8.08</v>
      </c>
    </row>
    <row r="6319" spans="1:2" x14ac:dyDescent="0.25">
      <c r="A6319" s="157">
        <v>31483</v>
      </c>
      <c r="B6319" s="158">
        <v>8.0500000000000007</v>
      </c>
    </row>
    <row r="6320" spans="1:2" x14ac:dyDescent="0.25">
      <c r="A6320" s="157">
        <v>31484</v>
      </c>
      <c r="B6320" s="158">
        <v>8.1199999999999992</v>
      </c>
    </row>
    <row r="6321" spans="1:2" x14ac:dyDescent="0.25">
      <c r="A6321" s="157">
        <v>31485</v>
      </c>
      <c r="B6321" s="158">
        <v>8.09</v>
      </c>
    </row>
    <row r="6322" spans="1:2" x14ac:dyDescent="0.25">
      <c r="A6322" s="157">
        <v>31488</v>
      </c>
      <c r="B6322" s="158">
        <v>8.15</v>
      </c>
    </row>
    <row r="6323" spans="1:2" x14ac:dyDescent="0.25">
      <c r="A6323" s="157">
        <v>31489</v>
      </c>
      <c r="B6323" s="158">
        <v>8.1999999999999993</v>
      </c>
    </row>
    <row r="6324" spans="1:2" x14ac:dyDescent="0.25">
      <c r="A6324" s="157">
        <v>31490</v>
      </c>
      <c r="B6324" s="158">
        <v>8.14</v>
      </c>
    </row>
    <row r="6325" spans="1:2" x14ac:dyDescent="0.25">
      <c r="A6325" s="157">
        <v>31491</v>
      </c>
      <c r="B6325" s="158">
        <v>8.1</v>
      </c>
    </row>
    <row r="6326" spans="1:2" x14ac:dyDescent="0.25">
      <c r="A6326" s="157">
        <v>31492</v>
      </c>
      <c r="B6326" s="158">
        <v>8.1300000000000008</v>
      </c>
    </row>
    <row r="6327" spans="1:2" x14ac:dyDescent="0.25">
      <c r="A6327" s="157">
        <v>31495</v>
      </c>
      <c r="B6327" s="158">
        <v>8.0299999999999994</v>
      </c>
    </row>
    <row r="6328" spans="1:2" x14ac:dyDescent="0.25">
      <c r="A6328" s="157">
        <v>31496</v>
      </c>
      <c r="B6328" s="158">
        <v>8.0299999999999994</v>
      </c>
    </row>
    <row r="6329" spans="1:2" x14ac:dyDescent="0.25">
      <c r="A6329" s="157">
        <v>31497</v>
      </c>
      <c r="B6329" s="158">
        <v>7.94</v>
      </c>
    </row>
    <row r="6330" spans="1:2" x14ac:dyDescent="0.25">
      <c r="A6330" s="157">
        <v>31498</v>
      </c>
      <c r="B6330" s="158">
        <v>7.7</v>
      </c>
    </row>
    <row r="6331" spans="1:2" x14ac:dyDescent="0.25">
      <c r="A6331" s="157">
        <v>31499</v>
      </c>
      <c r="B6331" s="158" t="e">
        <f>NA()</f>
        <v>#N/A</v>
      </c>
    </row>
    <row r="6332" spans="1:2" x14ac:dyDescent="0.25">
      <c r="A6332" s="157">
        <v>31502</v>
      </c>
      <c r="B6332" s="158">
        <v>7.46</v>
      </c>
    </row>
    <row r="6333" spans="1:2" x14ac:dyDescent="0.25">
      <c r="A6333" s="157">
        <v>31503</v>
      </c>
      <c r="B6333" s="158">
        <v>7.5</v>
      </c>
    </row>
    <row r="6334" spans="1:2" x14ac:dyDescent="0.25">
      <c r="A6334" s="157">
        <v>31504</v>
      </c>
      <c r="B6334" s="158">
        <v>7.49</v>
      </c>
    </row>
    <row r="6335" spans="1:2" x14ac:dyDescent="0.25">
      <c r="A6335" s="157">
        <v>31505</v>
      </c>
      <c r="B6335" s="158">
        <v>7.56</v>
      </c>
    </row>
    <row r="6336" spans="1:2" x14ac:dyDescent="0.25">
      <c r="A6336" s="157">
        <v>31506</v>
      </c>
      <c r="B6336" s="158">
        <v>7.67</v>
      </c>
    </row>
    <row r="6337" spans="1:2" x14ac:dyDescent="0.25">
      <c r="A6337" s="157">
        <v>31509</v>
      </c>
      <c r="B6337" s="158">
        <v>7.7</v>
      </c>
    </row>
    <row r="6338" spans="1:2" x14ac:dyDescent="0.25">
      <c r="A6338" s="157">
        <v>31510</v>
      </c>
      <c r="B6338" s="158">
        <v>7.5</v>
      </c>
    </row>
    <row r="6339" spans="1:2" x14ac:dyDescent="0.25">
      <c r="A6339" s="157">
        <v>31511</v>
      </c>
      <c r="B6339" s="158">
        <v>7.43</v>
      </c>
    </row>
    <row r="6340" spans="1:2" x14ac:dyDescent="0.25">
      <c r="A6340" s="157">
        <v>31512</v>
      </c>
      <c r="B6340" s="158">
        <v>7.42</v>
      </c>
    </row>
    <row r="6341" spans="1:2" x14ac:dyDescent="0.25">
      <c r="A6341" s="157">
        <v>31513</v>
      </c>
      <c r="B6341" s="158">
        <v>7.47</v>
      </c>
    </row>
    <row r="6342" spans="1:2" x14ac:dyDescent="0.25">
      <c r="A6342" s="157">
        <v>31516</v>
      </c>
      <c r="B6342" s="158">
        <v>7.39</v>
      </c>
    </row>
    <row r="6343" spans="1:2" x14ac:dyDescent="0.25">
      <c r="A6343" s="157">
        <v>31517</v>
      </c>
      <c r="B6343" s="158">
        <v>7.44</v>
      </c>
    </row>
    <row r="6344" spans="1:2" x14ac:dyDescent="0.25">
      <c r="A6344" s="157">
        <v>31518</v>
      </c>
      <c r="B6344" s="158">
        <v>7.25</v>
      </c>
    </row>
    <row r="6345" spans="1:2" x14ac:dyDescent="0.25">
      <c r="A6345" s="157">
        <v>31519</v>
      </c>
      <c r="B6345" s="158">
        <v>7.28</v>
      </c>
    </row>
    <row r="6346" spans="1:2" x14ac:dyDescent="0.25">
      <c r="A6346" s="157">
        <v>31520</v>
      </c>
      <c r="B6346" s="158">
        <v>7.31</v>
      </c>
    </row>
    <row r="6347" spans="1:2" x14ac:dyDescent="0.25">
      <c r="A6347" s="157">
        <v>31523</v>
      </c>
      <c r="B6347" s="158">
        <v>7.27</v>
      </c>
    </row>
    <row r="6348" spans="1:2" x14ac:dyDescent="0.25">
      <c r="A6348" s="157">
        <v>31524</v>
      </c>
      <c r="B6348" s="158">
        <v>7.47</v>
      </c>
    </row>
    <row r="6349" spans="1:2" x14ac:dyDescent="0.25">
      <c r="A6349" s="157">
        <v>31525</v>
      </c>
      <c r="B6349" s="158">
        <v>7.63</v>
      </c>
    </row>
    <row r="6350" spans="1:2" x14ac:dyDescent="0.25">
      <c r="A6350" s="157">
        <v>31526</v>
      </c>
      <c r="B6350" s="158">
        <v>7.72</v>
      </c>
    </row>
    <row r="6351" spans="1:2" x14ac:dyDescent="0.25">
      <c r="A6351" s="157">
        <v>31527</v>
      </c>
      <c r="B6351" s="158">
        <v>7.78</v>
      </c>
    </row>
    <row r="6352" spans="1:2" x14ac:dyDescent="0.25">
      <c r="A6352" s="157">
        <v>31530</v>
      </c>
      <c r="B6352" s="158">
        <v>7.66</v>
      </c>
    </row>
    <row r="6353" spans="1:2" x14ac:dyDescent="0.25">
      <c r="A6353" s="157">
        <v>31531</v>
      </c>
      <c r="B6353" s="158">
        <v>7.56</v>
      </c>
    </row>
    <row r="6354" spans="1:2" x14ac:dyDescent="0.25">
      <c r="A6354" s="157">
        <v>31532</v>
      </c>
      <c r="B6354" s="158">
        <v>7.55</v>
      </c>
    </row>
    <row r="6355" spans="1:2" x14ac:dyDescent="0.25">
      <c r="A6355" s="157">
        <v>31533</v>
      </c>
      <c r="B6355" s="158">
        <v>7.61</v>
      </c>
    </row>
    <row r="6356" spans="1:2" x14ac:dyDescent="0.25">
      <c r="A6356" s="157">
        <v>31534</v>
      </c>
      <c r="B6356" s="158">
        <v>7.74</v>
      </c>
    </row>
    <row r="6357" spans="1:2" x14ac:dyDescent="0.25">
      <c r="A6357" s="157">
        <v>31537</v>
      </c>
      <c r="B6357" s="158">
        <v>7.64</v>
      </c>
    </row>
    <row r="6358" spans="1:2" x14ac:dyDescent="0.25">
      <c r="A6358" s="157">
        <v>31538</v>
      </c>
      <c r="B6358" s="158">
        <v>7.64</v>
      </c>
    </row>
    <row r="6359" spans="1:2" x14ac:dyDescent="0.25">
      <c r="A6359" s="157">
        <v>31539</v>
      </c>
      <c r="B6359" s="158">
        <v>7.69</v>
      </c>
    </row>
    <row r="6360" spans="1:2" x14ac:dyDescent="0.25">
      <c r="A6360" s="157">
        <v>31540</v>
      </c>
      <c r="B6360" s="158">
        <v>7.64</v>
      </c>
    </row>
    <row r="6361" spans="1:2" x14ac:dyDescent="0.25">
      <c r="A6361" s="157">
        <v>31541</v>
      </c>
      <c r="B6361" s="158">
        <v>7.71</v>
      </c>
    </row>
    <row r="6362" spans="1:2" x14ac:dyDescent="0.25">
      <c r="A6362" s="157">
        <v>31544</v>
      </c>
      <c r="B6362" s="158">
        <v>7.85</v>
      </c>
    </row>
    <row r="6363" spans="1:2" x14ac:dyDescent="0.25">
      <c r="A6363" s="157">
        <v>31545</v>
      </c>
      <c r="B6363" s="158">
        <v>7.83</v>
      </c>
    </row>
    <row r="6364" spans="1:2" x14ac:dyDescent="0.25">
      <c r="A6364" s="157">
        <v>31546</v>
      </c>
      <c r="B6364" s="158">
        <v>7.84</v>
      </c>
    </row>
    <row r="6365" spans="1:2" x14ac:dyDescent="0.25">
      <c r="A6365" s="157">
        <v>31547</v>
      </c>
      <c r="B6365" s="158">
        <v>8</v>
      </c>
    </row>
    <row r="6366" spans="1:2" x14ac:dyDescent="0.25">
      <c r="A6366" s="157">
        <v>31548</v>
      </c>
      <c r="B6366" s="158">
        <v>8.1</v>
      </c>
    </row>
    <row r="6367" spans="1:2" x14ac:dyDescent="0.25">
      <c r="A6367" s="157">
        <v>31551</v>
      </c>
      <c r="B6367" s="158">
        <v>8.08</v>
      </c>
    </row>
    <row r="6368" spans="1:2" x14ac:dyDescent="0.25">
      <c r="A6368" s="157">
        <v>31552</v>
      </c>
      <c r="B6368" s="158">
        <v>7.98</v>
      </c>
    </row>
    <row r="6369" spans="1:2" x14ac:dyDescent="0.25">
      <c r="A6369" s="157">
        <v>31553</v>
      </c>
      <c r="B6369" s="158">
        <v>7.96</v>
      </c>
    </row>
    <row r="6370" spans="1:2" x14ac:dyDescent="0.25">
      <c r="A6370" s="157">
        <v>31554</v>
      </c>
      <c r="B6370" s="158">
        <v>7.91</v>
      </c>
    </row>
    <row r="6371" spans="1:2" x14ac:dyDescent="0.25">
      <c r="A6371" s="157">
        <v>31555</v>
      </c>
      <c r="B6371" s="158">
        <v>7.81</v>
      </c>
    </row>
    <row r="6372" spans="1:2" x14ac:dyDescent="0.25">
      <c r="A6372" s="157">
        <v>31558</v>
      </c>
      <c r="B6372" s="158" t="e">
        <f>NA()</f>
        <v>#N/A</v>
      </c>
    </row>
    <row r="6373" spans="1:2" x14ac:dyDescent="0.25">
      <c r="A6373" s="157">
        <v>31559</v>
      </c>
      <c r="B6373" s="158">
        <v>7.67</v>
      </c>
    </row>
    <row r="6374" spans="1:2" x14ac:dyDescent="0.25">
      <c r="A6374" s="157">
        <v>31560</v>
      </c>
      <c r="B6374" s="158">
        <v>7.61</v>
      </c>
    </row>
    <row r="6375" spans="1:2" x14ac:dyDescent="0.25">
      <c r="A6375" s="157">
        <v>31561</v>
      </c>
      <c r="B6375" s="158">
        <v>7.81</v>
      </c>
    </row>
    <row r="6376" spans="1:2" x14ac:dyDescent="0.25">
      <c r="A6376" s="157">
        <v>31562</v>
      </c>
      <c r="B6376" s="158">
        <v>7.9</v>
      </c>
    </row>
    <row r="6377" spans="1:2" x14ac:dyDescent="0.25">
      <c r="A6377" s="157">
        <v>31565</v>
      </c>
      <c r="B6377" s="158">
        <v>8.1199999999999992</v>
      </c>
    </row>
    <row r="6378" spans="1:2" x14ac:dyDescent="0.25">
      <c r="A6378" s="157">
        <v>31566</v>
      </c>
      <c r="B6378" s="158">
        <v>8.0299999999999994</v>
      </c>
    </row>
    <row r="6379" spans="1:2" x14ac:dyDescent="0.25">
      <c r="A6379" s="157">
        <v>31567</v>
      </c>
      <c r="B6379" s="158">
        <v>8.17</v>
      </c>
    </row>
    <row r="6380" spans="1:2" x14ac:dyDescent="0.25">
      <c r="A6380" s="157">
        <v>31568</v>
      </c>
      <c r="B6380" s="158">
        <v>8.1300000000000008</v>
      </c>
    </row>
    <row r="6381" spans="1:2" x14ac:dyDescent="0.25">
      <c r="A6381" s="157">
        <v>31569</v>
      </c>
      <c r="B6381" s="158">
        <v>7.8</v>
      </c>
    </row>
    <row r="6382" spans="1:2" x14ac:dyDescent="0.25">
      <c r="A6382" s="157">
        <v>31572</v>
      </c>
      <c r="B6382" s="158">
        <v>7.97</v>
      </c>
    </row>
    <row r="6383" spans="1:2" x14ac:dyDescent="0.25">
      <c r="A6383" s="157">
        <v>31573</v>
      </c>
      <c r="B6383" s="158">
        <v>7.92</v>
      </c>
    </row>
    <row r="6384" spans="1:2" x14ac:dyDescent="0.25">
      <c r="A6384" s="157">
        <v>31574</v>
      </c>
      <c r="B6384" s="158">
        <v>7.87</v>
      </c>
    </row>
    <row r="6385" spans="1:2" x14ac:dyDescent="0.25">
      <c r="A6385" s="157">
        <v>31575</v>
      </c>
      <c r="B6385" s="158">
        <v>7.85</v>
      </c>
    </row>
    <row r="6386" spans="1:2" x14ac:dyDescent="0.25">
      <c r="A6386" s="157">
        <v>31576</v>
      </c>
      <c r="B6386" s="158">
        <v>7.63</v>
      </c>
    </row>
    <row r="6387" spans="1:2" x14ac:dyDescent="0.25">
      <c r="A6387" s="157">
        <v>31579</v>
      </c>
      <c r="B6387" s="158">
        <v>7.53</v>
      </c>
    </row>
    <row r="6388" spans="1:2" x14ac:dyDescent="0.25">
      <c r="A6388" s="157">
        <v>31580</v>
      </c>
      <c r="B6388" s="158">
        <v>7.52</v>
      </c>
    </row>
    <row r="6389" spans="1:2" x14ac:dyDescent="0.25">
      <c r="A6389" s="157">
        <v>31581</v>
      </c>
      <c r="B6389" s="158">
        <v>7.51</v>
      </c>
    </row>
    <row r="6390" spans="1:2" x14ac:dyDescent="0.25">
      <c r="A6390" s="157">
        <v>31582</v>
      </c>
      <c r="B6390" s="158">
        <v>7.62</v>
      </c>
    </row>
    <row r="6391" spans="1:2" x14ac:dyDescent="0.25">
      <c r="A6391" s="157">
        <v>31583</v>
      </c>
      <c r="B6391" s="158">
        <v>7.54</v>
      </c>
    </row>
    <row r="6392" spans="1:2" x14ac:dyDescent="0.25">
      <c r="A6392" s="157">
        <v>31586</v>
      </c>
      <c r="B6392" s="158">
        <v>7.49</v>
      </c>
    </row>
    <row r="6393" spans="1:2" x14ac:dyDescent="0.25">
      <c r="A6393" s="157">
        <v>31587</v>
      </c>
      <c r="B6393" s="158">
        <v>7.43</v>
      </c>
    </row>
    <row r="6394" spans="1:2" x14ac:dyDescent="0.25">
      <c r="A6394" s="157">
        <v>31588</v>
      </c>
      <c r="B6394" s="158">
        <v>7.38</v>
      </c>
    </row>
    <row r="6395" spans="1:2" x14ac:dyDescent="0.25">
      <c r="A6395" s="157">
        <v>31589</v>
      </c>
      <c r="B6395" s="158">
        <v>7.39</v>
      </c>
    </row>
    <row r="6396" spans="1:2" x14ac:dyDescent="0.25">
      <c r="A6396" s="157">
        <v>31590</v>
      </c>
      <c r="B6396" s="158">
        <v>7.33</v>
      </c>
    </row>
    <row r="6397" spans="1:2" x14ac:dyDescent="0.25">
      <c r="A6397" s="157">
        <v>31593</v>
      </c>
      <c r="B6397" s="158">
        <v>7.3</v>
      </c>
    </row>
    <row r="6398" spans="1:2" x14ac:dyDescent="0.25">
      <c r="A6398" s="157">
        <v>31594</v>
      </c>
      <c r="B6398" s="158">
        <v>7.3</v>
      </c>
    </row>
    <row r="6399" spans="1:2" x14ac:dyDescent="0.25">
      <c r="A6399" s="157">
        <v>31595</v>
      </c>
      <c r="B6399" s="158">
        <v>7.3</v>
      </c>
    </row>
    <row r="6400" spans="1:2" x14ac:dyDescent="0.25">
      <c r="A6400" s="157">
        <v>31596</v>
      </c>
      <c r="B6400" s="158">
        <v>7.24</v>
      </c>
    </row>
    <row r="6401" spans="1:2" x14ac:dyDescent="0.25">
      <c r="A6401" s="157">
        <v>31597</v>
      </c>
      <c r="B6401" s="158" t="e">
        <f>NA()</f>
        <v>#N/A</v>
      </c>
    </row>
    <row r="6402" spans="1:2" x14ac:dyDescent="0.25">
      <c r="A6402" s="157">
        <v>31600</v>
      </c>
      <c r="B6402" s="158">
        <v>7.24</v>
      </c>
    </row>
    <row r="6403" spans="1:2" x14ac:dyDescent="0.25">
      <c r="A6403" s="157">
        <v>31601</v>
      </c>
      <c r="B6403" s="158">
        <v>7.34</v>
      </c>
    </row>
    <row r="6404" spans="1:2" x14ac:dyDescent="0.25">
      <c r="A6404" s="157">
        <v>31602</v>
      </c>
      <c r="B6404" s="158">
        <v>7.23</v>
      </c>
    </row>
    <row r="6405" spans="1:2" x14ac:dyDescent="0.25">
      <c r="A6405" s="157">
        <v>31603</v>
      </c>
      <c r="B6405" s="158">
        <v>7.23</v>
      </c>
    </row>
    <row r="6406" spans="1:2" x14ac:dyDescent="0.25">
      <c r="A6406" s="157">
        <v>31604</v>
      </c>
      <c r="B6406" s="158">
        <v>7.25</v>
      </c>
    </row>
    <row r="6407" spans="1:2" x14ac:dyDescent="0.25">
      <c r="A6407" s="157">
        <v>31607</v>
      </c>
      <c r="B6407" s="158">
        <v>7.19</v>
      </c>
    </row>
    <row r="6408" spans="1:2" x14ac:dyDescent="0.25">
      <c r="A6408" s="157">
        <v>31608</v>
      </c>
      <c r="B6408" s="158">
        <v>7.14</v>
      </c>
    </row>
    <row r="6409" spans="1:2" x14ac:dyDescent="0.25">
      <c r="A6409" s="157">
        <v>31609</v>
      </c>
      <c r="B6409" s="158">
        <v>7.18</v>
      </c>
    </row>
    <row r="6410" spans="1:2" x14ac:dyDescent="0.25">
      <c r="A6410" s="157">
        <v>31610</v>
      </c>
      <c r="B6410" s="158">
        <v>7.19</v>
      </c>
    </row>
    <row r="6411" spans="1:2" x14ac:dyDescent="0.25">
      <c r="A6411" s="157">
        <v>31611</v>
      </c>
      <c r="B6411" s="158">
        <v>7.18</v>
      </c>
    </row>
    <row r="6412" spans="1:2" x14ac:dyDescent="0.25">
      <c r="A6412" s="157">
        <v>31614</v>
      </c>
      <c r="B6412" s="158">
        <v>7.16</v>
      </c>
    </row>
    <row r="6413" spans="1:2" x14ac:dyDescent="0.25">
      <c r="A6413" s="157">
        <v>31615</v>
      </c>
      <c r="B6413" s="158">
        <v>7.24</v>
      </c>
    </row>
    <row r="6414" spans="1:2" x14ac:dyDescent="0.25">
      <c r="A6414" s="157">
        <v>31616</v>
      </c>
      <c r="B6414" s="158">
        <v>7.33</v>
      </c>
    </row>
    <row r="6415" spans="1:2" x14ac:dyDescent="0.25">
      <c r="A6415" s="157">
        <v>31617</v>
      </c>
      <c r="B6415" s="158">
        <v>7.39</v>
      </c>
    </row>
    <row r="6416" spans="1:2" x14ac:dyDescent="0.25">
      <c r="A6416" s="157">
        <v>31618</v>
      </c>
      <c r="B6416" s="158">
        <v>7.38</v>
      </c>
    </row>
    <row r="6417" spans="1:2" x14ac:dyDescent="0.25">
      <c r="A6417" s="157">
        <v>31621</v>
      </c>
      <c r="B6417" s="158">
        <v>7.57</v>
      </c>
    </row>
    <row r="6418" spans="1:2" x14ac:dyDescent="0.25">
      <c r="A6418" s="157">
        <v>31622</v>
      </c>
      <c r="B6418" s="158">
        <v>7.47</v>
      </c>
    </row>
    <row r="6419" spans="1:2" x14ac:dyDescent="0.25">
      <c r="A6419" s="157">
        <v>31623</v>
      </c>
      <c r="B6419" s="158">
        <v>7.48</v>
      </c>
    </row>
    <row r="6420" spans="1:2" x14ac:dyDescent="0.25">
      <c r="A6420" s="157">
        <v>31624</v>
      </c>
      <c r="B6420" s="158">
        <v>7.42</v>
      </c>
    </row>
    <row r="6421" spans="1:2" x14ac:dyDescent="0.25">
      <c r="A6421" s="157">
        <v>31625</v>
      </c>
      <c r="B6421" s="158">
        <v>7.43</v>
      </c>
    </row>
    <row r="6422" spans="1:2" x14ac:dyDescent="0.25">
      <c r="A6422" s="157">
        <v>31628</v>
      </c>
      <c r="B6422" s="158">
        <v>7.41</v>
      </c>
    </row>
    <row r="6423" spans="1:2" x14ac:dyDescent="0.25">
      <c r="A6423" s="157">
        <v>31629</v>
      </c>
      <c r="B6423" s="158">
        <v>7.49</v>
      </c>
    </row>
    <row r="6424" spans="1:2" x14ac:dyDescent="0.25">
      <c r="A6424" s="157">
        <v>31630</v>
      </c>
      <c r="B6424" s="158">
        <v>7.54</v>
      </c>
    </row>
    <row r="6425" spans="1:2" x14ac:dyDescent="0.25">
      <c r="A6425" s="157">
        <v>31631</v>
      </c>
      <c r="B6425" s="158">
        <v>7.53</v>
      </c>
    </row>
    <row r="6426" spans="1:2" x14ac:dyDescent="0.25">
      <c r="A6426" s="157">
        <v>31632</v>
      </c>
      <c r="B6426" s="158">
        <v>7.38</v>
      </c>
    </row>
    <row r="6427" spans="1:2" x14ac:dyDescent="0.25">
      <c r="A6427" s="157">
        <v>31635</v>
      </c>
      <c r="B6427" s="158">
        <v>7.32</v>
      </c>
    </row>
    <row r="6428" spans="1:2" x14ac:dyDescent="0.25">
      <c r="A6428" s="157">
        <v>31636</v>
      </c>
      <c r="B6428" s="158">
        <v>7.31</v>
      </c>
    </row>
    <row r="6429" spans="1:2" x14ac:dyDescent="0.25">
      <c r="A6429" s="157">
        <v>31637</v>
      </c>
      <c r="B6429" s="158">
        <v>7.24</v>
      </c>
    </row>
    <row r="6430" spans="1:2" x14ac:dyDescent="0.25">
      <c r="A6430" s="157">
        <v>31638</v>
      </c>
      <c r="B6430" s="158">
        <v>7.27</v>
      </c>
    </row>
    <row r="6431" spans="1:2" x14ac:dyDescent="0.25">
      <c r="A6431" s="157">
        <v>31639</v>
      </c>
      <c r="B6431" s="158">
        <v>7.25</v>
      </c>
    </row>
    <row r="6432" spans="1:2" x14ac:dyDescent="0.25">
      <c r="A6432" s="157">
        <v>31642</v>
      </c>
      <c r="B6432" s="158">
        <v>7.24</v>
      </c>
    </row>
    <row r="6433" spans="1:2" x14ac:dyDescent="0.25">
      <c r="A6433" s="157">
        <v>31643</v>
      </c>
      <c r="B6433" s="158">
        <v>7.14</v>
      </c>
    </row>
    <row r="6434" spans="1:2" x14ac:dyDescent="0.25">
      <c r="A6434" s="157">
        <v>31644</v>
      </c>
      <c r="B6434" s="158">
        <v>7.13</v>
      </c>
    </row>
    <row r="6435" spans="1:2" x14ac:dyDescent="0.25">
      <c r="A6435" s="157">
        <v>31645</v>
      </c>
      <c r="B6435" s="158">
        <v>7.17</v>
      </c>
    </row>
    <row r="6436" spans="1:2" x14ac:dyDescent="0.25">
      <c r="A6436" s="157">
        <v>31646</v>
      </c>
      <c r="B6436" s="158">
        <v>7.22</v>
      </c>
    </row>
    <row r="6437" spans="1:2" x14ac:dyDescent="0.25">
      <c r="A6437" s="157">
        <v>31649</v>
      </c>
      <c r="B6437" s="158">
        <v>7.21</v>
      </c>
    </row>
    <row r="6438" spans="1:2" x14ac:dyDescent="0.25">
      <c r="A6438" s="157">
        <v>31650</v>
      </c>
      <c r="B6438" s="158">
        <v>7.14</v>
      </c>
    </row>
    <row r="6439" spans="1:2" x14ac:dyDescent="0.25">
      <c r="A6439" s="157">
        <v>31651</v>
      </c>
      <c r="B6439" s="158">
        <v>7.21</v>
      </c>
    </row>
    <row r="6440" spans="1:2" x14ac:dyDescent="0.25">
      <c r="A6440" s="157">
        <v>31652</v>
      </c>
      <c r="B6440" s="158">
        <v>7.19</v>
      </c>
    </row>
    <row r="6441" spans="1:2" x14ac:dyDescent="0.25">
      <c r="A6441" s="157">
        <v>31653</v>
      </c>
      <c r="B6441" s="158">
        <v>7.12</v>
      </c>
    </row>
    <row r="6442" spans="1:2" x14ac:dyDescent="0.25">
      <c r="A6442" s="157">
        <v>31656</v>
      </c>
      <c r="B6442" s="158" t="e">
        <f>NA()</f>
        <v>#N/A</v>
      </c>
    </row>
    <row r="6443" spans="1:2" x14ac:dyDescent="0.25">
      <c r="A6443" s="157">
        <v>31657</v>
      </c>
      <c r="B6443" s="158">
        <v>7.17</v>
      </c>
    </row>
    <row r="6444" spans="1:2" x14ac:dyDescent="0.25">
      <c r="A6444" s="157">
        <v>31658</v>
      </c>
      <c r="B6444" s="158">
        <v>7.36</v>
      </c>
    </row>
    <row r="6445" spans="1:2" x14ac:dyDescent="0.25">
      <c r="A6445" s="157">
        <v>31659</v>
      </c>
      <c r="B6445" s="158">
        <v>7.32</v>
      </c>
    </row>
    <row r="6446" spans="1:2" x14ac:dyDescent="0.25">
      <c r="A6446" s="157">
        <v>31660</v>
      </c>
      <c r="B6446" s="158">
        <v>7.46</v>
      </c>
    </row>
    <row r="6447" spans="1:2" x14ac:dyDescent="0.25">
      <c r="A6447" s="157">
        <v>31663</v>
      </c>
      <c r="B6447" s="158">
        <v>7.51</v>
      </c>
    </row>
    <row r="6448" spans="1:2" x14ac:dyDescent="0.25">
      <c r="A6448" s="157">
        <v>31664</v>
      </c>
      <c r="B6448" s="158">
        <v>7.47</v>
      </c>
    </row>
    <row r="6449" spans="1:2" x14ac:dyDescent="0.25">
      <c r="A6449" s="157">
        <v>31665</v>
      </c>
      <c r="B6449" s="158">
        <v>7.47</v>
      </c>
    </row>
    <row r="6450" spans="1:2" x14ac:dyDescent="0.25">
      <c r="A6450" s="157">
        <v>31666</v>
      </c>
      <c r="B6450" s="158">
        <v>7.69</v>
      </c>
    </row>
    <row r="6451" spans="1:2" x14ac:dyDescent="0.25">
      <c r="A6451" s="157">
        <v>31667</v>
      </c>
      <c r="B6451" s="158">
        <v>7.7</v>
      </c>
    </row>
    <row r="6452" spans="1:2" x14ac:dyDescent="0.25">
      <c r="A6452" s="157">
        <v>31670</v>
      </c>
      <c r="B6452" s="158">
        <v>7.62</v>
      </c>
    </row>
    <row r="6453" spans="1:2" x14ac:dyDescent="0.25">
      <c r="A6453" s="157">
        <v>31671</v>
      </c>
      <c r="B6453" s="158">
        <v>7.63</v>
      </c>
    </row>
    <row r="6454" spans="1:2" x14ac:dyDescent="0.25">
      <c r="A6454" s="157">
        <v>31672</v>
      </c>
      <c r="B6454" s="158">
        <v>7.58</v>
      </c>
    </row>
    <row r="6455" spans="1:2" x14ac:dyDescent="0.25">
      <c r="A6455" s="157">
        <v>31673</v>
      </c>
      <c r="B6455" s="158">
        <v>7.7</v>
      </c>
    </row>
    <row r="6456" spans="1:2" x14ac:dyDescent="0.25">
      <c r="A6456" s="157">
        <v>31674</v>
      </c>
      <c r="B6456" s="158">
        <v>7.77</v>
      </c>
    </row>
    <row r="6457" spans="1:2" x14ac:dyDescent="0.25">
      <c r="A6457" s="157">
        <v>31677</v>
      </c>
      <c r="B6457" s="158">
        <v>7.73</v>
      </c>
    </row>
    <row r="6458" spans="1:2" x14ac:dyDescent="0.25">
      <c r="A6458" s="157">
        <v>31678</v>
      </c>
      <c r="B6458" s="158">
        <v>7.7</v>
      </c>
    </row>
    <row r="6459" spans="1:2" x14ac:dyDescent="0.25">
      <c r="A6459" s="157">
        <v>31679</v>
      </c>
      <c r="B6459" s="158">
        <v>7.59</v>
      </c>
    </row>
    <row r="6460" spans="1:2" x14ac:dyDescent="0.25">
      <c r="A6460" s="157">
        <v>31680</v>
      </c>
      <c r="B6460" s="158">
        <v>7.58</v>
      </c>
    </row>
    <row r="6461" spans="1:2" x14ac:dyDescent="0.25">
      <c r="A6461" s="157">
        <v>31681</v>
      </c>
      <c r="B6461" s="158">
        <v>7.58</v>
      </c>
    </row>
    <row r="6462" spans="1:2" x14ac:dyDescent="0.25">
      <c r="A6462" s="157">
        <v>31684</v>
      </c>
      <c r="B6462" s="158">
        <v>7.64</v>
      </c>
    </row>
    <row r="6463" spans="1:2" x14ac:dyDescent="0.25">
      <c r="A6463" s="157">
        <v>31685</v>
      </c>
      <c r="B6463" s="158">
        <v>7.55</v>
      </c>
    </row>
    <row r="6464" spans="1:2" x14ac:dyDescent="0.25">
      <c r="A6464" s="157">
        <v>31686</v>
      </c>
      <c r="B6464" s="158">
        <v>7.52</v>
      </c>
    </row>
    <row r="6465" spans="1:2" x14ac:dyDescent="0.25">
      <c r="A6465" s="157">
        <v>31687</v>
      </c>
      <c r="B6465" s="158">
        <v>7.56</v>
      </c>
    </row>
    <row r="6466" spans="1:2" x14ac:dyDescent="0.25">
      <c r="A6466" s="157">
        <v>31688</v>
      </c>
      <c r="B6466" s="158">
        <v>7.46</v>
      </c>
    </row>
    <row r="6467" spans="1:2" x14ac:dyDescent="0.25">
      <c r="A6467" s="157">
        <v>31691</v>
      </c>
      <c r="B6467" s="158">
        <v>7.45</v>
      </c>
    </row>
    <row r="6468" spans="1:2" x14ac:dyDescent="0.25">
      <c r="A6468" s="157">
        <v>31692</v>
      </c>
      <c r="B6468" s="158">
        <v>7.46</v>
      </c>
    </row>
    <row r="6469" spans="1:2" x14ac:dyDescent="0.25">
      <c r="A6469" s="157">
        <v>31693</v>
      </c>
      <c r="B6469" s="158">
        <v>7.5</v>
      </c>
    </row>
    <row r="6470" spans="1:2" x14ac:dyDescent="0.25">
      <c r="A6470" s="157">
        <v>31694</v>
      </c>
      <c r="B6470" s="158">
        <v>7.52</v>
      </c>
    </row>
    <row r="6471" spans="1:2" x14ac:dyDescent="0.25">
      <c r="A6471" s="157">
        <v>31695</v>
      </c>
      <c r="B6471" s="158">
        <v>7.56</v>
      </c>
    </row>
    <row r="6472" spans="1:2" x14ac:dyDescent="0.25">
      <c r="A6472" s="157">
        <v>31698</v>
      </c>
      <c r="B6472" s="158" t="e">
        <f>NA()</f>
        <v>#N/A</v>
      </c>
    </row>
    <row r="6473" spans="1:2" x14ac:dyDescent="0.25">
      <c r="A6473" s="157">
        <v>31699</v>
      </c>
      <c r="B6473" s="158">
        <v>7.68</v>
      </c>
    </row>
    <row r="6474" spans="1:2" x14ac:dyDescent="0.25">
      <c r="A6474" s="157">
        <v>31700</v>
      </c>
      <c r="B6474" s="158">
        <v>7.69</v>
      </c>
    </row>
    <row r="6475" spans="1:2" x14ac:dyDescent="0.25">
      <c r="A6475" s="157">
        <v>31701</v>
      </c>
      <c r="B6475" s="158">
        <v>7.71</v>
      </c>
    </row>
    <row r="6476" spans="1:2" x14ac:dyDescent="0.25">
      <c r="A6476" s="157">
        <v>31702</v>
      </c>
      <c r="B6476" s="158">
        <v>7.75</v>
      </c>
    </row>
    <row r="6477" spans="1:2" x14ac:dyDescent="0.25">
      <c r="A6477" s="157">
        <v>31705</v>
      </c>
      <c r="B6477" s="158">
        <v>7.83</v>
      </c>
    </row>
    <row r="6478" spans="1:2" x14ac:dyDescent="0.25">
      <c r="A6478" s="157">
        <v>31706</v>
      </c>
      <c r="B6478" s="158">
        <v>7.75</v>
      </c>
    </row>
    <row r="6479" spans="1:2" x14ac:dyDescent="0.25">
      <c r="A6479" s="157">
        <v>31707</v>
      </c>
      <c r="B6479" s="158">
        <v>7.67</v>
      </c>
    </row>
    <row r="6480" spans="1:2" x14ac:dyDescent="0.25">
      <c r="A6480" s="157">
        <v>31708</v>
      </c>
      <c r="B6480" s="158">
        <v>7.62</v>
      </c>
    </row>
    <row r="6481" spans="1:2" x14ac:dyDescent="0.25">
      <c r="A6481" s="157">
        <v>31709</v>
      </c>
      <c r="B6481" s="158">
        <v>7.66</v>
      </c>
    </row>
    <row r="6482" spans="1:2" x14ac:dyDescent="0.25">
      <c r="A6482" s="157">
        <v>31712</v>
      </c>
      <c r="B6482" s="158">
        <v>7.61</v>
      </c>
    </row>
    <row r="6483" spans="1:2" x14ac:dyDescent="0.25">
      <c r="A6483" s="157">
        <v>31713</v>
      </c>
      <c r="B6483" s="158">
        <v>7.66</v>
      </c>
    </row>
    <row r="6484" spans="1:2" x14ac:dyDescent="0.25">
      <c r="A6484" s="157">
        <v>31714</v>
      </c>
      <c r="B6484" s="158">
        <v>7.62</v>
      </c>
    </row>
    <row r="6485" spans="1:2" x14ac:dyDescent="0.25">
      <c r="A6485" s="157">
        <v>31715</v>
      </c>
      <c r="B6485" s="158">
        <v>7.52</v>
      </c>
    </row>
    <row r="6486" spans="1:2" x14ac:dyDescent="0.25">
      <c r="A6486" s="157">
        <v>31716</v>
      </c>
      <c r="B6486" s="158">
        <v>7.54</v>
      </c>
    </row>
    <row r="6487" spans="1:2" x14ac:dyDescent="0.25">
      <c r="A6487" s="157">
        <v>31719</v>
      </c>
      <c r="B6487" s="158">
        <v>7.49</v>
      </c>
    </row>
    <row r="6488" spans="1:2" x14ac:dyDescent="0.25">
      <c r="A6488" s="157">
        <v>31720</v>
      </c>
      <c r="B6488" s="158">
        <v>7.51</v>
      </c>
    </row>
    <row r="6489" spans="1:2" x14ac:dyDescent="0.25">
      <c r="A6489" s="157">
        <v>31721</v>
      </c>
      <c r="B6489" s="158">
        <v>7.45</v>
      </c>
    </row>
    <row r="6490" spans="1:2" x14ac:dyDescent="0.25">
      <c r="A6490" s="157">
        <v>31722</v>
      </c>
      <c r="B6490" s="158">
        <v>7.46</v>
      </c>
    </row>
    <row r="6491" spans="1:2" x14ac:dyDescent="0.25">
      <c r="A6491" s="157">
        <v>31723</v>
      </c>
      <c r="B6491" s="158">
        <v>7.54</v>
      </c>
    </row>
    <row r="6492" spans="1:2" x14ac:dyDescent="0.25">
      <c r="A6492" s="157">
        <v>31726</v>
      </c>
      <c r="B6492" s="158">
        <v>7.54</v>
      </c>
    </row>
    <row r="6493" spans="1:2" x14ac:dyDescent="0.25">
      <c r="A6493" s="157">
        <v>31727</v>
      </c>
      <c r="B6493" s="158" t="e">
        <f>NA()</f>
        <v>#N/A</v>
      </c>
    </row>
    <row r="6494" spans="1:2" x14ac:dyDescent="0.25">
      <c r="A6494" s="157">
        <v>31728</v>
      </c>
      <c r="B6494" s="158">
        <v>7.5</v>
      </c>
    </row>
    <row r="6495" spans="1:2" x14ac:dyDescent="0.25">
      <c r="A6495" s="157">
        <v>31729</v>
      </c>
      <c r="B6495" s="158">
        <v>7.49</v>
      </c>
    </row>
    <row r="6496" spans="1:2" x14ac:dyDescent="0.25">
      <c r="A6496" s="157">
        <v>31730</v>
      </c>
      <c r="B6496" s="158">
        <v>7.44</v>
      </c>
    </row>
    <row r="6497" spans="1:2" x14ac:dyDescent="0.25">
      <c r="A6497" s="157">
        <v>31733</v>
      </c>
      <c r="B6497" s="158">
        <v>7.39</v>
      </c>
    </row>
    <row r="6498" spans="1:2" x14ac:dyDescent="0.25">
      <c r="A6498" s="157">
        <v>31734</v>
      </c>
      <c r="B6498" s="158">
        <v>7.44</v>
      </c>
    </row>
    <row r="6499" spans="1:2" x14ac:dyDescent="0.25">
      <c r="A6499" s="157">
        <v>31735</v>
      </c>
      <c r="B6499" s="158">
        <v>7.36</v>
      </c>
    </row>
    <row r="6500" spans="1:2" x14ac:dyDescent="0.25">
      <c r="A6500" s="157">
        <v>31736</v>
      </c>
      <c r="B6500" s="158">
        <v>7.36</v>
      </c>
    </row>
    <row r="6501" spans="1:2" x14ac:dyDescent="0.25">
      <c r="A6501" s="157">
        <v>31737</v>
      </c>
      <c r="B6501" s="158">
        <v>7.34</v>
      </c>
    </row>
    <row r="6502" spans="1:2" x14ac:dyDescent="0.25">
      <c r="A6502" s="157">
        <v>31740</v>
      </c>
      <c r="B6502" s="158">
        <v>7.3</v>
      </c>
    </row>
    <row r="6503" spans="1:2" x14ac:dyDescent="0.25">
      <c r="A6503" s="157">
        <v>31741</v>
      </c>
      <c r="B6503" s="158">
        <v>7.33</v>
      </c>
    </row>
    <row r="6504" spans="1:2" x14ac:dyDescent="0.25">
      <c r="A6504" s="157">
        <v>31742</v>
      </c>
      <c r="B6504" s="158">
        <v>7.31</v>
      </c>
    </row>
    <row r="6505" spans="1:2" x14ac:dyDescent="0.25">
      <c r="A6505" s="157">
        <v>31743</v>
      </c>
      <c r="B6505" s="158" t="e">
        <f>NA()</f>
        <v>#N/A</v>
      </c>
    </row>
    <row r="6506" spans="1:2" x14ac:dyDescent="0.25">
      <c r="A6506" s="157">
        <v>31744</v>
      </c>
      <c r="B6506" s="158">
        <v>7.3</v>
      </c>
    </row>
    <row r="6507" spans="1:2" x14ac:dyDescent="0.25">
      <c r="A6507" s="157">
        <v>31747</v>
      </c>
      <c r="B6507" s="158">
        <v>7.33</v>
      </c>
    </row>
    <row r="6508" spans="1:2" x14ac:dyDescent="0.25">
      <c r="A6508" s="157">
        <v>31748</v>
      </c>
      <c r="B6508" s="158">
        <v>7.25</v>
      </c>
    </row>
    <row r="6509" spans="1:2" x14ac:dyDescent="0.25">
      <c r="A6509" s="157">
        <v>31749</v>
      </c>
      <c r="B6509" s="158">
        <v>7.22</v>
      </c>
    </row>
    <row r="6510" spans="1:2" x14ac:dyDescent="0.25">
      <c r="A6510" s="157">
        <v>31750</v>
      </c>
      <c r="B6510" s="158">
        <v>7.19</v>
      </c>
    </row>
    <row r="6511" spans="1:2" x14ac:dyDescent="0.25">
      <c r="A6511" s="157">
        <v>31751</v>
      </c>
      <c r="B6511" s="158">
        <v>7.29</v>
      </c>
    </row>
    <row r="6512" spans="1:2" x14ac:dyDescent="0.25">
      <c r="A6512" s="157">
        <v>31754</v>
      </c>
      <c r="B6512" s="158">
        <v>7.26</v>
      </c>
    </row>
    <row r="6513" spans="1:2" x14ac:dyDescent="0.25">
      <c r="A6513" s="157">
        <v>31755</v>
      </c>
      <c r="B6513" s="158">
        <v>7.24</v>
      </c>
    </row>
    <row r="6514" spans="1:2" x14ac:dyDescent="0.25">
      <c r="A6514" s="157">
        <v>31756</v>
      </c>
      <c r="B6514" s="158">
        <v>7.22</v>
      </c>
    </row>
    <row r="6515" spans="1:2" x14ac:dyDescent="0.25">
      <c r="A6515" s="157">
        <v>31757</v>
      </c>
      <c r="B6515" s="158">
        <v>7.29</v>
      </c>
    </row>
    <row r="6516" spans="1:2" x14ac:dyDescent="0.25">
      <c r="A6516" s="157">
        <v>31758</v>
      </c>
      <c r="B6516" s="158">
        <v>7.29</v>
      </c>
    </row>
    <row r="6517" spans="1:2" x14ac:dyDescent="0.25">
      <c r="A6517" s="157">
        <v>31761</v>
      </c>
      <c r="B6517" s="158">
        <v>7.31</v>
      </c>
    </row>
    <row r="6518" spans="1:2" x14ac:dyDescent="0.25">
      <c r="A6518" s="157">
        <v>31762</v>
      </c>
      <c r="B6518" s="158">
        <v>7.29</v>
      </c>
    </row>
    <row r="6519" spans="1:2" x14ac:dyDescent="0.25">
      <c r="A6519" s="157">
        <v>31763</v>
      </c>
      <c r="B6519" s="158">
        <v>7.29</v>
      </c>
    </row>
    <row r="6520" spans="1:2" x14ac:dyDescent="0.25">
      <c r="A6520" s="157">
        <v>31764</v>
      </c>
      <c r="B6520" s="158">
        <v>7.28</v>
      </c>
    </row>
    <row r="6521" spans="1:2" x14ac:dyDescent="0.25">
      <c r="A6521" s="157">
        <v>31765</v>
      </c>
      <c r="B6521" s="158">
        <v>7.27</v>
      </c>
    </row>
    <row r="6522" spans="1:2" x14ac:dyDescent="0.25">
      <c r="A6522" s="157">
        <v>31768</v>
      </c>
      <c r="B6522" s="158">
        <v>7.26</v>
      </c>
    </row>
    <row r="6523" spans="1:2" x14ac:dyDescent="0.25">
      <c r="A6523" s="157">
        <v>31769</v>
      </c>
      <c r="B6523" s="158">
        <v>7.24</v>
      </c>
    </row>
    <row r="6524" spans="1:2" x14ac:dyDescent="0.25">
      <c r="A6524" s="157">
        <v>31770</v>
      </c>
      <c r="B6524" s="158">
        <v>7.24</v>
      </c>
    </row>
    <row r="6525" spans="1:2" x14ac:dyDescent="0.25">
      <c r="A6525" s="157">
        <v>31771</v>
      </c>
      <c r="B6525" s="158" t="e">
        <f>NA()</f>
        <v>#N/A</v>
      </c>
    </row>
    <row r="6526" spans="1:2" x14ac:dyDescent="0.25">
      <c r="A6526" s="157">
        <v>31772</v>
      </c>
      <c r="B6526" s="158">
        <v>7.24</v>
      </c>
    </row>
    <row r="6527" spans="1:2" x14ac:dyDescent="0.25">
      <c r="A6527" s="157">
        <v>31775</v>
      </c>
      <c r="B6527" s="158">
        <v>7.32</v>
      </c>
    </row>
    <row r="6528" spans="1:2" x14ac:dyDescent="0.25">
      <c r="A6528" s="157">
        <v>31776</v>
      </c>
      <c r="B6528" s="158">
        <v>7.38</v>
      </c>
    </row>
    <row r="6529" spans="1:2" x14ac:dyDescent="0.25">
      <c r="A6529" s="157">
        <v>31777</v>
      </c>
      <c r="B6529" s="158">
        <v>7.39</v>
      </c>
    </row>
    <row r="6530" spans="1:2" x14ac:dyDescent="0.25">
      <c r="A6530" s="157">
        <v>31778</v>
      </c>
      <c r="B6530" s="158" t="e">
        <f>NA()</f>
        <v>#N/A</v>
      </c>
    </row>
    <row r="6531" spans="1:2" x14ac:dyDescent="0.25">
      <c r="A6531" s="157">
        <v>31779</v>
      </c>
      <c r="B6531" s="158" t="e">
        <f>NA()</f>
        <v>#N/A</v>
      </c>
    </row>
    <row r="6532" spans="1:2" x14ac:dyDescent="0.25">
      <c r="A6532" s="157">
        <v>31782</v>
      </c>
      <c r="B6532" s="158" t="e">
        <f>NA()</f>
        <v>#N/A</v>
      </c>
    </row>
    <row r="6533" spans="1:2" x14ac:dyDescent="0.25">
      <c r="A6533" s="157">
        <v>31783</v>
      </c>
      <c r="B6533" s="158" t="e">
        <f>NA()</f>
        <v>#N/A</v>
      </c>
    </row>
    <row r="6534" spans="1:2" x14ac:dyDescent="0.25">
      <c r="A6534" s="157">
        <v>31784</v>
      </c>
      <c r="B6534" s="158" t="e">
        <f>NA()</f>
        <v>#N/A</v>
      </c>
    </row>
    <row r="6535" spans="1:2" x14ac:dyDescent="0.25">
      <c r="A6535" s="157">
        <v>31785</v>
      </c>
      <c r="B6535" s="158" t="e">
        <f>NA()</f>
        <v>#N/A</v>
      </c>
    </row>
    <row r="6536" spans="1:2" x14ac:dyDescent="0.25">
      <c r="A6536" s="157">
        <v>31786</v>
      </c>
      <c r="B6536" s="158" t="e">
        <f>NA()</f>
        <v>#N/A</v>
      </c>
    </row>
    <row r="6537" spans="1:2" x14ac:dyDescent="0.25">
      <c r="A6537" s="157">
        <v>31789</v>
      </c>
      <c r="B6537" s="158" t="e">
        <f>NA()</f>
        <v>#N/A</v>
      </c>
    </row>
    <row r="6538" spans="1:2" x14ac:dyDescent="0.25">
      <c r="A6538" s="157">
        <v>31790</v>
      </c>
      <c r="B6538" s="158" t="e">
        <f>NA()</f>
        <v>#N/A</v>
      </c>
    </row>
    <row r="6539" spans="1:2" x14ac:dyDescent="0.25">
      <c r="A6539" s="157">
        <v>31791</v>
      </c>
      <c r="B6539" s="158" t="e">
        <f>NA()</f>
        <v>#N/A</v>
      </c>
    </row>
    <row r="6540" spans="1:2" x14ac:dyDescent="0.25">
      <c r="A6540" s="157">
        <v>31792</v>
      </c>
      <c r="B6540" s="158" t="e">
        <f>NA()</f>
        <v>#N/A</v>
      </c>
    </row>
    <row r="6541" spans="1:2" x14ac:dyDescent="0.25">
      <c r="A6541" s="157">
        <v>31793</v>
      </c>
      <c r="B6541" s="158" t="e">
        <f>NA()</f>
        <v>#N/A</v>
      </c>
    </row>
    <row r="6542" spans="1:2" x14ac:dyDescent="0.25">
      <c r="A6542" s="157">
        <v>31796</v>
      </c>
      <c r="B6542" s="158" t="e">
        <f>NA()</f>
        <v>#N/A</v>
      </c>
    </row>
    <row r="6543" spans="1:2" x14ac:dyDescent="0.25">
      <c r="A6543" s="157">
        <v>31797</v>
      </c>
      <c r="B6543" s="158" t="e">
        <f>NA()</f>
        <v>#N/A</v>
      </c>
    </row>
    <row r="6544" spans="1:2" x14ac:dyDescent="0.25">
      <c r="A6544" s="157">
        <v>31798</v>
      </c>
      <c r="B6544" s="158" t="e">
        <f>NA()</f>
        <v>#N/A</v>
      </c>
    </row>
    <row r="6545" spans="1:2" x14ac:dyDescent="0.25">
      <c r="A6545" s="157">
        <v>31799</v>
      </c>
      <c r="B6545" s="158" t="e">
        <f>NA()</f>
        <v>#N/A</v>
      </c>
    </row>
    <row r="6546" spans="1:2" x14ac:dyDescent="0.25">
      <c r="A6546" s="157">
        <v>31800</v>
      </c>
      <c r="B6546" s="158" t="e">
        <f>NA()</f>
        <v>#N/A</v>
      </c>
    </row>
    <row r="6547" spans="1:2" x14ac:dyDescent="0.25">
      <c r="A6547" s="157">
        <v>31803</v>
      </c>
      <c r="B6547" s="158" t="e">
        <f>NA()</f>
        <v>#N/A</v>
      </c>
    </row>
    <row r="6548" spans="1:2" x14ac:dyDescent="0.25">
      <c r="A6548" s="157">
        <v>31804</v>
      </c>
      <c r="B6548" s="158" t="e">
        <f>NA()</f>
        <v>#N/A</v>
      </c>
    </row>
    <row r="6549" spans="1:2" x14ac:dyDescent="0.25">
      <c r="A6549" s="157">
        <v>31805</v>
      </c>
      <c r="B6549" s="158" t="e">
        <f>NA()</f>
        <v>#N/A</v>
      </c>
    </row>
    <row r="6550" spans="1:2" x14ac:dyDescent="0.25">
      <c r="A6550" s="157">
        <v>31806</v>
      </c>
      <c r="B6550" s="158" t="e">
        <f>NA()</f>
        <v>#N/A</v>
      </c>
    </row>
    <row r="6551" spans="1:2" x14ac:dyDescent="0.25">
      <c r="A6551" s="157">
        <v>31807</v>
      </c>
      <c r="B6551" s="158" t="e">
        <f>NA()</f>
        <v>#N/A</v>
      </c>
    </row>
    <row r="6552" spans="1:2" x14ac:dyDescent="0.25">
      <c r="A6552" s="157">
        <v>31810</v>
      </c>
      <c r="B6552" s="158" t="e">
        <f>NA()</f>
        <v>#N/A</v>
      </c>
    </row>
    <row r="6553" spans="1:2" x14ac:dyDescent="0.25">
      <c r="A6553" s="157">
        <v>31811</v>
      </c>
      <c r="B6553" s="158" t="e">
        <f>NA()</f>
        <v>#N/A</v>
      </c>
    </row>
    <row r="6554" spans="1:2" x14ac:dyDescent="0.25">
      <c r="A6554" s="157">
        <v>31812</v>
      </c>
      <c r="B6554" s="158" t="e">
        <f>NA()</f>
        <v>#N/A</v>
      </c>
    </row>
    <row r="6555" spans="1:2" x14ac:dyDescent="0.25">
      <c r="A6555" s="157">
        <v>31813</v>
      </c>
      <c r="B6555" s="158" t="e">
        <f>NA()</f>
        <v>#N/A</v>
      </c>
    </row>
    <row r="6556" spans="1:2" x14ac:dyDescent="0.25">
      <c r="A6556" s="157">
        <v>31814</v>
      </c>
      <c r="B6556" s="158" t="e">
        <f>NA()</f>
        <v>#N/A</v>
      </c>
    </row>
    <row r="6557" spans="1:2" x14ac:dyDescent="0.25">
      <c r="A6557" s="157">
        <v>31817</v>
      </c>
      <c r="B6557" s="158" t="e">
        <f>NA()</f>
        <v>#N/A</v>
      </c>
    </row>
    <row r="6558" spans="1:2" x14ac:dyDescent="0.25">
      <c r="A6558" s="157">
        <v>31818</v>
      </c>
      <c r="B6558" s="158" t="e">
        <f>NA()</f>
        <v>#N/A</v>
      </c>
    </row>
    <row r="6559" spans="1:2" x14ac:dyDescent="0.25">
      <c r="A6559" s="157">
        <v>31819</v>
      </c>
      <c r="B6559" s="158" t="e">
        <f>NA()</f>
        <v>#N/A</v>
      </c>
    </row>
    <row r="6560" spans="1:2" x14ac:dyDescent="0.25">
      <c r="A6560" s="157">
        <v>31820</v>
      </c>
      <c r="B6560" s="158" t="e">
        <f>NA()</f>
        <v>#N/A</v>
      </c>
    </row>
    <row r="6561" spans="1:2" x14ac:dyDescent="0.25">
      <c r="A6561" s="157">
        <v>31821</v>
      </c>
      <c r="B6561" s="158" t="e">
        <f>NA()</f>
        <v>#N/A</v>
      </c>
    </row>
    <row r="6562" spans="1:2" x14ac:dyDescent="0.25">
      <c r="A6562" s="157">
        <v>31824</v>
      </c>
      <c r="B6562" s="158" t="e">
        <f>NA()</f>
        <v>#N/A</v>
      </c>
    </row>
    <row r="6563" spans="1:2" x14ac:dyDescent="0.25">
      <c r="A6563" s="157">
        <v>31825</v>
      </c>
      <c r="B6563" s="158" t="e">
        <f>NA()</f>
        <v>#N/A</v>
      </c>
    </row>
    <row r="6564" spans="1:2" x14ac:dyDescent="0.25">
      <c r="A6564" s="157">
        <v>31826</v>
      </c>
      <c r="B6564" s="158" t="e">
        <f>NA()</f>
        <v>#N/A</v>
      </c>
    </row>
    <row r="6565" spans="1:2" x14ac:dyDescent="0.25">
      <c r="A6565" s="157">
        <v>31827</v>
      </c>
      <c r="B6565" s="158" t="e">
        <f>NA()</f>
        <v>#N/A</v>
      </c>
    </row>
    <row r="6566" spans="1:2" x14ac:dyDescent="0.25">
      <c r="A6566" s="157">
        <v>31828</v>
      </c>
      <c r="B6566" s="158" t="e">
        <f>NA()</f>
        <v>#N/A</v>
      </c>
    </row>
    <row r="6567" spans="1:2" x14ac:dyDescent="0.25">
      <c r="A6567" s="157">
        <v>31831</v>
      </c>
      <c r="B6567" s="158" t="e">
        <f>NA()</f>
        <v>#N/A</v>
      </c>
    </row>
    <row r="6568" spans="1:2" x14ac:dyDescent="0.25">
      <c r="A6568" s="157">
        <v>31832</v>
      </c>
      <c r="B6568" s="158" t="e">
        <f>NA()</f>
        <v>#N/A</v>
      </c>
    </row>
    <row r="6569" spans="1:2" x14ac:dyDescent="0.25">
      <c r="A6569" s="157">
        <v>31833</v>
      </c>
      <c r="B6569" s="158" t="e">
        <f>NA()</f>
        <v>#N/A</v>
      </c>
    </row>
    <row r="6570" spans="1:2" x14ac:dyDescent="0.25">
      <c r="A6570" s="157">
        <v>31834</v>
      </c>
      <c r="B6570" s="158" t="e">
        <f>NA()</f>
        <v>#N/A</v>
      </c>
    </row>
    <row r="6571" spans="1:2" x14ac:dyDescent="0.25">
      <c r="A6571" s="157">
        <v>31835</v>
      </c>
      <c r="B6571" s="158" t="e">
        <f>NA()</f>
        <v>#N/A</v>
      </c>
    </row>
    <row r="6572" spans="1:2" x14ac:dyDescent="0.25">
      <c r="A6572" s="157">
        <v>31838</v>
      </c>
      <c r="B6572" s="158" t="e">
        <f>NA()</f>
        <v>#N/A</v>
      </c>
    </row>
    <row r="6573" spans="1:2" x14ac:dyDescent="0.25">
      <c r="A6573" s="157">
        <v>31839</v>
      </c>
      <c r="B6573" s="158" t="e">
        <f>NA()</f>
        <v>#N/A</v>
      </c>
    </row>
    <row r="6574" spans="1:2" x14ac:dyDescent="0.25">
      <c r="A6574" s="157">
        <v>31840</v>
      </c>
      <c r="B6574" s="158" t="e">
        <f>NA()</f>
        <v>#N/A</v>
      </c>
    </row>
    <row r="6575" spans="1:2" x14ac:dyDescent="0.25">
      <c r="A6575" s="157">
        <v>31841</v>
      </c>
      <c r="B6575" s="158" t="e">
        <f>NA()</f>
        <v>#N/A</v>
      </c>
    </row>
    <row r="6576" spans="1:2" x14ac:dyDescent="0.25">
      <c r="A6576" s="157">
        <v>31842</v>
      </c>
      <c r="B6576" s="158" t="e">
        <f>NA()</f>
        <v>#N/A</v>
      </c>
    </row>
    <row r="6577" spans="1:2" x14ac:dyDescent="0.25">
      <c r="A6577" s="157">
        <v>31845</v>
      </c>
      <c r="B6577" s="158" t="e">
        <f>NA()</f>
        <v>#N/A</v>
      </c>
    </row>
    <row r="6578" spans="1:2" x14ac:dyDescent="0.25">
      <c r="A6578" s="157">
        <v>31846</v>
      </c>
      <c r="B6578" s="158" t="e">
        <f>NA()</f>
        <v>#N/A</v>
      </c>
    </row>
    <row r="6579" spans="1:2" x14ac:dyDescent="0.25">
      <c r="A6579" s="157">
        <v>31847</v>
      </c>
      <c r="B6579" s="158" t="e">
        <f>NA()</f>
        <v>#N/A</v>
      </c>
    </row>
    <row r="6580" spans="1:2" x14ac:dyDescent="0.25">
      <c r="A6580" s="157">
        <v>31848</v>
      </c>
      <c r="B6580" s="158" t="e">
        <f>NA()</f>
        <v>#N/A</v>
      </c>
    </row>
    <row r="6581" spans="1:2" x14ac:dyDescent="0.25">
      <c r="A6581" s="157">
        <v>31849</v>
      </c>
      <c r="B6581" s="158" t="e">
        <f>NA()</f>
        <v>#N/A</v>
      </c>
    </row>
    <row r="6582" spans="1:2" x14ac:dyDescent="0.25">
      <c r="A6582" s="157">
        <v>31852</v>
      </c>
      <c r="B6582" s="158" t="e">
        <f>NA()</f>
        <v>#N/A</v>
      </c>
    </row>
    <row r="6583" spans="1:2" x14ac:dyDescent="0.25">
      <c r="A6583" s="157">
        <v>31853</v>
      </c>
      <c r="B6583" s="158" t="e">
        <f>NA()</f>
        <v>#N/A</v>
      </c>
    </row>
    <row r="6584" spans="1:2" x14ac:dyDescent="0.25">
      <c r="A6584" s="157">
        <v>31854</v>
      </c>
      <c r="B6584" s="158" t="e">
        <f>NA()</f>
        <v>#N/A</v>
      </c>
    </row>
    <row r="6585" spans="1:2" x14ac:dyDescent="0.25">
      <c r="A6585" s="157">
        <v>31855</v>
      </c>
      <c r="B6585" s="158" t="e">
        <f>NA()</f>
        <v>#N/A</v>
      </c>
    </row>
    <row r="6586" spans="1:2" x14ac:dyDescent="0.25">
      <c r="A6586" s="157">
        <v>31856</v>
      </c>
      <c r="B6586" s="158" t="e">
        <f>NA()</f>
        <v>#N/A</v>
      </c>
    </row>
    <row r="6587" spans="1:2" x14ac:dyDescent="0.25">
      <c r="A6587" s="157">
        <v>31859</v>
      </c>
      <c r="B6587" s="158" t="e">
        <f>NA()</f>
        <v>#N/A</v>
      </c>
    </row>
    <row r="6588" spans="1:2" x14ac:dyDescent="0.25">
      <c r="A6588" s="157">
        <v>31860</v>
      </c>
      <c r="B6588" s="158" t="e">
        <f>NA()</f>
        <v>#N/A</v>
      </c>
    </row>
    <row r="6589" spans="1:2" x14ac:dyDescent="0.25">
      <c r="A6589" s="157">
        <v>31861</v>
      </c>
      <c r="B6589" s="158" t="e">
        <f>NA()</f>
        <v>#N/A</v>
      </c>
    </row>
    <row r="6590" spans="1:2" x14ac:dyDescent="0.25">
      <c r="A6590" s="157">
        <v>31862</v>
      </c>
      <c r="B6590" s="158" t="e">
        <f>NA()</f>
        <v>#N/A</v>
      </c>
    </row>
    <row r="6591" spans="1:2" x14ac:dyDescent="0.25">
      <c r="A6591" s="157">
        <v>31863</v>
      </c>
      <c r="B6591" s="158" t="e">
        <f>NA()</f>
        <v>#N/A</v>
      </c>
    </row>
    <row r="6592" spans="1:2" x14ac:dyDescent="0.25">
      <c r="A6592" s="157">
        <v>31866</v>
      </c>
      <c r="B6592" s="158" t="e">
        <f>NA()</f>
        <v>#N/A</v>
      </c>
    </row>
    <row r="6593" spans="1:2" x14ac:dyDescent="0.25">
      <c r="A6593" s="157">
        <v>31867</v>
      </c>
      <c r="B6593" s="158" t="e">
        <f>NA()</f>
        <v>#N/A</v>
      </c>
    </row>
    <row r="6594" spans="1:2" x14ac:dyDescent="0.25">
      <c r="A6594" s="157">
        <v>31868</v>
      </c>
      <c r="B6594" s="158" t="e">
        <f>NA()</f>
        <v>#N/A</v>
      </c>
    </row>
    <row r="6595" spans="1:2" x14ac:dyDescent="0.25">
      <c r="A6595" s="157">
        <v>31869</v>
      </c>
      <c r="B6595" s="158" t="e">
        <f>NA()</f>
        <v>#N/A</v>
      </c>
    </row>
    <row r="6596" spans="1:2" x14ac:dyDescent="0.25">
      <c r="A6596" s="157">
        <v>31870</v>
      </c>
      <c r="B6596" s="158" t="e">
        <f>NA()</f>
        <v>#N/A</v>
      </c>
    </row>
    <row r="6597" spans="1:2" x14ac:dyDescent="0.25">
      <c r="A6597" s="157">
        <v>31873</v>
      </c>
      <c r="B6597" s="158" t="e">
        <f>NA()</f>
        <v>#N/A</v>
      </c>
    </row>
    <row r="6598" spans="1:2" x14ac:dyDescent="0.25">
      <c r="A6598" s="157">
        <v>31874</v>
      </c>
      <c r="B6598" s="158" t="e">
        <f>NA()</f>
        <v>#N/A</v>
      </c>
    </row>
    <row r="6599" spans="1:2" x14ac:dyDescent="0.25">
      <c r="A6599" s="157">
        <v>31875</v>
      </c>
      <c r="B6599" s="158" t="e">
        <f>NA()</f>
        <v>#N/A</v>
      </c>
    </row>
    <row r="6600" spans="1:2" x14ac:dyDescent="0.25">
      <c r="A6600" s="157">
        <v>31876</v>
      </c>
      <c r="B6600" s="158" t="e">
        <f>NA()</f>
        <v>#N/A</v>
      </c>
    </row>
    <row r="6601" spans="1:2" x14ac:dyDescent="0.25">
      <c r="A6601" s="157">
        <v>31877</v>
      </c>
      <c r="B6601" s="158" t="e">
        <f>NA()</f>
        <v>#N/A</v>
      </c>
    </row>
    <row r="6602" spans="1:2" x14ac:dyDescent="0.25">
      <c r="A6602" s="157">
        <v>31880</v>
      </c>
      <c r="B6602" s="158" t="e">
        <f>NA()</f>
        <v>#N/A</v>
      </c>
    </row>
    <row r="6603" spans="1:2" x14ac:dyDescent="0.25">
      <c r="A6603" s="157">
        <v>31881</v>
      </c>
      <c r="B6603" s="158" t="e">
        <f>NA()</f>
        <v>#N/A</v>
      </c>
    </row>
    <row r="6604" spans="1:2" x14ac:dyDescent="0.25">
      <c r="A6604" s="157">
        <v>31882</v>
      </c>
      <c r="B6604" s="158" t="e">
        <f>NA()</f>
        <v>#N/A</v>
      </c>
    </row>
    <row r="6605" spans="1:2" x14ac:dyDescent="0.25">
      <c r="A6605" s="157">
        <v>31883</v>
      </c>
      <c r="B6605" s="158" t="e">
        <f>NA()</f>
        <v>#N/A</v>
      </c>
    </row>
    <row r="6606" spans="1:2" x14ac:dyDescent="0.25">
      <c r="A6606" s="157">
        <v>31884</v>
      </c>
      <c r="B6606" s="158" t="e">
        <f>NA()</f>
        <v>#N/A</v>
      </c>
    </row>
    <row r="6607" spans="1:2" x14ac:dyDescent="0.25">
      <c r="A6607" s="157">
        <v>31887</v>
      </c>
      <c r="B6607" s="158" t="e">
        <f>NA()</f>
        <v>#N/A</v>
      </c>
    </row>
    <row r="6608" spans="1:2" x14ac:dyDescent="0.25">
      <c r="A6608" s="157">
        <v>31888</v>
      </c>
      <c r="B6608" s="158" t="e">
        <f>NA()</f>
        <v>#N/A</v>
      </c>
    </row>
    <row r="6609" spans="1:2" x14ac:dyDescent="0.25">
      <c r="A6609" s="157">
        <v>31889</v>
      </c>
      <c r="B6609" s="158" t="e">
        <f>NA()</f>
        <v>#N/A</v>
      </c>
    </row>
    <row r="6610" spans="1:2" x14ac:dyDescent="0.25">
      <c r="A6610" s="157">
        <v>31890</v>
      </c>
      <c r="B6610" s="158" t="e">
        <f>NA()</f>
        <v>#N/A</v>
      </c>
    </row>
    <row r="6611" spans="1:2" x14ac:dyDescent="0.25">
      <c r="A6611" s="157">
        <v>31891</v>
      </c>
      <c r="B6611" s="158" t="e">
        <f>NA()</f>
        <v>#N/A</v>
      </c>
    </row>
    <row r="6612" spans="1:2" x14ac:dyDescent="0.25">
      <c r="A6612" s="157">
        <v>31894</v>
      </c>
      <c r="B6612" s="158" t="e">
        <f>NA()</f>
        <v>#N/A</v>
      </c>
    </row>
    <row r="6613" spans="1:2" x14ac:dyDescent="0.25">
      <c r="A6613" s="157">
        <v>31895</v>
      </c>
      <c r="B6613" s="158" t="e">
        <f>NA()</f>
        <v>#N/A</v>
      </c>
    </row>
    <row r="6614" spans="1:2" x14ac:dyDescent="0.25">
      <c r="A6614" s="157">
        <v>31896</v>
      </c>
      <c r="B6614" s="158" t="e">
        <f>NA()</f>
        <v>#N/A</v>
      </c>
    </row>
    <row r="6615" spans="1:2" x14ac:dyDescent="0.25">
      <c r="A6615" s="157">
        <v>31897</v>
      </c>
      <c r="B6615" s="158" t="e">
        <f>NA()</f>
        <v>#N/A</v>
      </c>
    </row>
    <row r="6616" spans="1:2" x14ac:dyDescent="0.25">
      <c r="A6616" s="157">
        <v>31898</v>
      </c>
      <c r="B6616" s="158" t="e">
        <f>NA()</f>
        <v>#N/A</v>
      </c>
    </row>
    <row r="6617" spans="1:2" x14ac:dyDescent="0.25">
      <c r="A6617" s="157">
        <v>31901</v>
      </c>
      <c r="B6617" s="158" t="e">
        <f>NA()</f>
        <v>#N/A</v>
      </c>
    </row>
    <row r="6618" spans="1:2" x14ac:dyDescent="0.25">
      <c r="A6618" s="157">
        <v>31902</v>
      </c>
      <c r="B6618" s="158" t="e">
        <f>NA()</f>
        <v>#N/A</v>
      </c>
    </row>
    <row r="6619" spans="1:2" x14ac:dyDescent="0.25">
      <c r="A6619" s="157">
        <v>31903</v>
      </c>
      <c r="B6619" s="158" t="e">
        <f>NA()</f>
        <v>#N/A</v>
      </c>
    </row>
    <row r="6620" spans="1:2" x14ac:dyDescent="0.25">
      <c r="A6620" s="157">
        <v>31904</v>
      </c>
      <c r="B6620" s="158" t="e">
        <f>NA()</f>
        <v>#N/A</v>
      </c>
    </row>
    <row r="6621" spans="1:2" x14ac:dyDescent="0.25">
      <c r="A6621" s="157">
        <v>31905</v>
      </c>
      <c r="B6621" s="158" t="e">
        <f>NA()</f>
        <v>#N/A</v>
      </c>
    </row>
    <row r="6622" spans="1:2" x14ac:dyDescent="0.25">
      <c r="A6622" s="157">
        <v>31908</v>
      </c>
      <c r="B6622" s="158" t="e">
        <f>NA()</f>
        <v>#N/A</v>
      </c>
    </row>
    <row r="6623" spans="1:2" x14ac:dyDescent="0.25">
      <c r="A6623" s="157">
        <v>31909</v>
      </c>
      <c r="B6623" s="158" t="e">
        <f>NA()</f>
        <v>#N/A</v>
      </c>
    </row>
    <row r="6624" spans="1:2" x14ac:dyDescent="0.25">
      <c r="A6624" s="157">
        <v>31910</v>
      </c>
      <c r="B6624" s="158" t="e">
        <f>NA()</f>
        <v>#N/A</v>
      </c>
    </row>
    <row r="6625" spans="1:2" x14ac:dyDescent="0.25">
      <c r="A6625" s="157">
        <v>31911</v>
      </c>
      <c r="B6625" s="158" t="e">
        <f>NA()</f>
        <v>#N/A</v>
      </c>
    </row>
    <row r="6626" spans="1:2" x14ac:dyDescent="0.25">
      <c r="A6626" s="157">
        <v>31912</v>
      </c>
      <c r="B6626" s="158" t="e">
        <f>NA()</f>
        <v>#N/A</v>
      </c>
    </row>
    <row r="6627" spans="1:2" x14ac:dyDescent="0.25">
      <c r="A6627" s="157">
        <v>31915</v>
      </c>
      <c r="B6627" s="158" t="e">
        <f>NA()</f>
        <v>#N/A</v>
      </c>
    </row>
    <row r="6628" spans="1:2" x14ac:dyDescent="0.25">
      <c r="A6628" s="157">
        <v>31916</v>
      </c>
      <c r="B6628" s="158" t="e">
        <f>NA()</f>
        <v>#N/A</v>
      </c>
    </row>
    <row r="6629" spans="1:2" x14ac:dyDescent="0.25">
      <c r="A6629" s="157">
        <v>31917</v>
      </c>
      <c r="B6629" s="158" t="e">
        <f>NA()</f>
        <v>#N/A</v>
      </c>
    </row>
    <row r="6630" spans="1:2" x14ac:dyDescent="0.25">
      <c r="A6630" s="157">
        <v>31918</v>
      </c>
      <c r="B6630" s="158" t="e">
        <f>NA()</f>
        <v>#N/A</v>
      </c>
    </row>
    <row r="6631" spans="1:2" x14ac:dyDescent="0.25">
      <c r="A6631" s="157">
        <v>31919</v>
      </c>
      <c r="B6631" s="158" t="e">
        <f>NA()</f>
        <v>#N/A</v>
      </c>
    </row>
    <row r="6632" spans="1:2" x14ac:dyDescent="0.25">
      <c r="A6632" s="157">
        <v>31922</v>
      </c>
      <c r="B6632" s="158" t="e">
        <f>NA()</f>
        <v>#N/A</v>
      </c>
    </row>
    <row r="6633" spans="1:2" x14ac:dyDescent="0.25">
      <c r="A6633" s="157">
        <v>31923</v>
      </c>
      <c r="B6633" s="158" t="e">
        <f>NA()</f>
        <v>#N/A</v>
      </c>
    </row>
    <row r="6634" spans="1:2" x14ac:dyDescent="0.25">
      <c r="A6634" s="157">
        <v>31924</v>
      </c>
      <c r="B6634" s="158" t="e">
        <f>NA()</f>
        <v>#N/A</v>
      </c>
    </row>
    <row r="6635" spans="1:2" x14ac:dyDescent="0.25">
      <c r="A6635" s="157">
        <v>31925</v>
      </c>
      <c r="B6635" s="158" t="e">
        <f>NA()</f>
        <v>#N/A</v>
      </c>
    </row>
    <row r="6636" spans="1:2" x14ac:dyDescent="0.25">
      <c r="A6636" s="157">
        <v>31926</v>
      </c>
      <c r="B6636" s="158" t="e">
        <f>NA()</f>
        <v>#N/A</v>
      </c>
    </row>
    <row r="6637" spans="1:2" x14ac:dyDescent="0.25">
      <c r="A6637" s="157">
        <v>31929</v>
      </c>
      <c r="B6637" s="158" t="e">
        <f>NA()</f>
        <v>#N/A</v>
      </c>
    </row>
    <row r="6638" spans="1:2" x14ac:dyDescent="0.25">
      <c r="A6638" s="157">
        <v>31930</v>
      </c>
      <c r="B6638" s="158" t="e">
        <f>NA()</f>
        <v>#N/A</v>
      </c>
    </row>
    <row r="6639" spans="1:2" x14ac:dyDescent="0.25">
      <c r="A6639" s="157">
        <v>31931</v>
      </c>
      <c r="B6639" s="158" t="e">
        <f>NA()</f>
        <v>#N/A</v>
      </c>
    </row>
    <row r="6640" spans="1:2" x14ac:dyDescent="0.25">
      <c r="A6640" s="157">
        <v>31932</v>
      </c>
      <c r="B6640" s="158" t="e">
        <f>NA()</f>
        <v>#N/A</v>
      </c>
    </row>
    <row r="6641" spans="1:2" x14ac:dyDescent="0.25">
      <c r="A6641" s="157">
        <v>31933</v>
      </c>
      <c r="B6641" s="158" t="e">
        <f>NA()</f>
        <v>#N/A</v>
      </c>
    </row>
    <row r="6642" spans="1:2" x14ac:dyDescent="0.25">
      <c r="A6642" s="157">
        <v>31936</v>
      </c>
      <c r="B6642" s="158" t="e">
        <f>NA()</f>
        <v>#N/A</v>
      </c>
    </row>
    <row r="6643" spans="1:2" x14ac:dyDescent="0.25">
      <c r="A6643" s="157">
        <v>31937</v>
      </c>
      <c r="B6643" s="158" t="e">
        <f>NA()</f>
        <v>#N/A</v>
      </c>
    </row>
    <row r="6644" spans="1:2" x14ac:dyDescent="0.25">
      <c r="A6644" s="157">
        <v>31938</v>
      </c>
      <c r="B6644" s="158" t="e">
        <f>NA()</f>
        <v>#N/A</v>
      </c>
    </row>
    <row r="6645" spans="1:2" x14ac:dyDescent="0.25">
      <c r="A6645" s="157">
        <v>31939</v>
      </c>
      <c r="B6645" s="158" t="e">
        <f>NA()</f>
        <v>#N/A</v>
      </c>
    </row>
    <row r="6646" spans="1:2" x14ac:dyDescent="0.25">
      <c r="A6646" s="157">
        <v>31940</v>
      </c>
      <c r="B6646" s="158" t="e">
        <f>NA()</f>
        <v>#N/A</v>
      </c>
    </row>
    <row r="6647" spans="1:2" x14ac:dyDescent="0.25">
      <c r="A6647" s="157">
        <v>31943</v>
      </c>
      <c r="B6647" s="158" t="e">
        <f>NA()</f>
        <v>#N/A</v>
      </c>
    </row>
    <row r="6648" spans="1:2" x14ac:dyDescent="0.25">
      <c r="A6648" s="157">
        <v>31944</v>
      </c>
      <c r="B6648" s="158" t="e">
        <f>NA()</f>
        <v>#N/A</v>
      </c>
    </row>
    <row r="6649" spans="1:2" x14ac:dyDescent="0.25">
      <c r="A6649" s="157">
        <v>31945</v>
      </c>
      <c r="B6649" s="158" t="e">
        <f>NA()</f>
        <v>#N/A</v>
      </c>
    </row>
    <row r="6650" spans="1:2" x14ac:dyDescent="0.25">
      <c r="A6650" s="157">
        <v>31946</v>
      </c>
      <c r="B6650" s="158" t="e">
        <f>NA()</f>
        <v>#N/A</v>
      </c>
    </row>
    <row r="6651" spans="1:2" x14ac:dyDescent="0.25">
      <c r="A6651" s="157">
        <v>31947</v>
      </c>
      <c r="B6651" s="158" t="e">
        <f>NA()</f>
        <v>#N/A</v>
      </c>
    </row>
    <row r="6652" spans="1:2" x14ac:dyDescent="0.25">
      <c r="A6652" s="157">
        <v>31950</v>
      </c>
      <c r="B6652" s="158" t="e">
        <f>NA()</f>
        <v>#N/A</v>
      </c>
    </row>
    <row r="6653" spans="1:2" x14ac:dyDescent="0.25">
      <c r="A6653" s="157">
        <v>31951</v>
      </c>
      <c r="B6653" s="158" t="e">
        <f>NA()</f>
        <v>#N/A</v>
      </c>
    </row>
    <row r="6654" spans="1:2" x14ac:dyDescent="0.25">
      <c r="A6654" s="157">
        <v>31952</v>
      </c>
      <c r="B6654" s="158" t="e">
        <f>NA()</f>
        <v>#N/A</v>
      </c>
    </row>
    <row r="6655" spans="1:2" x14ac:dyDescent="0.25">
      <c r="A6655" s="157">
        <v>31953</v>
      </c>
      <c r="B6655" s="158" t="e">
        <f>NA()</f>
        <v>#N/A</v>
      </c>
    </row>
    <row r="6656" spans="1:2" x14ac:dyDescent="0.25">
      <c r="A6656" s="157">
        <v>31954</v>
      </c>
      <c r="B6656" s="158" t="e">
        <f>NA()</f>
        <v>#N/A</v>
      </c>
    </row>
    <row r="6657" spans="1:2" x14ac:dyDescent="0.25">
      <c r="A6657" s="157">
        <v>31957</v>
      </c>
      <c r="B6657" s="158" t="e">
        <f>NA()</f>
        <v>#N/A</v>
      </c>
    </row>
    <row r="6658" spans="1:2" x14ac:dyDescent="0.25">
      <c r="A6658" s="157">
        <v>31958</v>
      </c>
      <c r="B6658" s="158" t="e">
        <f>NA()</f>
        <v>#N/A</v>
      </c>
    </row>
    <row r="6659" spans="1:2" x14ac:dyDescent="0.25">
      <c r="A6659" s="157">
        <v>31959</v>
      </c>
      <c r="B6659" s="158" t="e">
        <f>NA()</f>
        <v>#N/A</v>
      </c>
    </row>
    <row r="6660" spans="1:2" x14ac:dyDescent="0.25">
      <c r="A6660" s="157">
        <v>31960</v>
      </c>
      <c r="B6660" s="158" t="e">
        <f>NA()</f>
        <v>#N/A</v>
      </c>
    </row>
    <row r="6661" spans="1:2" x14ac:dyDescent="0.25">
      <c r="A6661" s="157">
        <v>31961</v>
      </c>
      <c r="B6661" s="158" t="e">
        <f>NA()</f>
        <v>#N/A</v>
      </c>
    </row>
    <row r="6662" spans="1:2" x14ac:dyDescent="0.25">
      <c r="A6662" s="157">
        <v>31964</v>
      </c>
      <c r="B6662" s="158" t="e">
        <f>NA()</f>
        <v>#N/A</v>
      </c>
    </row>
    <row r="6663" spans="1:2" x14ac:dyDescent="0.25">
      <c r="A6663" s="157">
        <v>31965</v>
      </c>
      <c r="B6663" s="158" t="e">
        <f>NA()</f>
        <v>#N/A</v>
      </c>
    </row>
    <row r="6664" spans="1:2" x14ac:dyDescent="0.25">
      <c r="A6664" s="157">
        <v>31966</v>
      </c>
      <c r="B6664" s="158" t="e">
        <f>NA()</f>
        <v>#N/A</v>
      </c>
    </row>
    <row r="6665" spans="1:2" x14ac:dyDescent="0.25">
      <c r="A6665" s="157">
        <v>31967</v>
      </c>
      <c r="B6665" s="158" t="e">
        <f>NA()</f>
        <v>#N/A</v>
      </c>
    </row>
    <row r="6666" spans="1:2" x14ac:dyDescent="0.25">
      <c r="A6666" s="157">
        <v>31968</v>
      </c>
      <c r="B6666" s="158" t="e">
        <f>NA()</f>
        <v>#N/A</v>
      </c>
    </row>
    <row r="6667" spans="1:2" x14ac:dyDescent="0.25">
      <c r="A6667" s="157">
        <v>31971</v>
      </c>
      <c r="B6667" s="158" t="e">
        <f>NA()</f>
        <v>#N/A</v>
      </c>
    </row>
    <row r="6668" spans="1:2" x14ac:dyDescent="0.25">
      <c r="A6668" s="157">
        <v>31972</v>
      </c>
      <c r="B6668" s="158" t="e">
        <f>NA()</f>
        <v>#N/A</v>
      </c>
    </row>
    <row r="6669" spans="1:2" x14ac:dyDescent="0.25">
      <c r="A6669" s="157">
        <v>31973</v>
      </c>
      <c r="B6669" s="158" t="e">
        <f>NA()</f>
        <v>#N/A</v>
      </c>
    </row>
    <row r="6670" spans="1:2" x14ac:dyDescent="0.25">
      <c r="A6670" s="157">
        <v>31974</v>
      </c>
      <c r="B6670" s="158" t="e">
        <f>NA()</f>
        <v>#N/A</v>
      </c>
    </row>
    <row r="6671" spans="1:2" x14ac:dyDescent="0.25">
      <c r="A6671" s="157">
        <v>31975</v>
      </c>
      <c r="B6671" s="158" t="e">
        <f>NA()</f>
        <v>#N/A</v>
      </c>
    </row>
    <row r="6672" spans="1:2" x14ac:dyDescent="0.25">
      <c r="A6672" s="157">
        <v>31978</v>
      </c>
      <c r="B6672" s="158" t="e">
        <f>NA()</f>
        <v>#N/A</v>
      </c>
    </row>
    <row r="6673" spans="1:2" x14ac:dyDescent="0.25">
      <c r="A6673" s="157">
        <v>31979</v>
      </c>
      <c r="B6673" s="158" t="e">
        <f>NA()</f>
        <v>#N/A</v>
      </c>
    </row>
    <row r="6674" spans="1:2" x14ac:dyDescent="0.25">
      <c r="A6674" s="157">
        <v>31980</v>
      </c>
      <c r="B6674" s="158" t="e">
        <f>NA()</f>
        <v>#N/A</v>
      </c>
    </row>
    <row r="6675" spans="1:2" x14ac:dyDescent="0.25">
      <c r="A6675" s="157">
        <v>31981</v>
      </c>
      <c r="B6675" s="158" t="e">
        <f>NA()</f>
        <v>#N/A</v>
      </c>
    </row>
    <row r="6676" spans="1:2" x14ac:dyDescent="0.25">
      <c r="A6676" s="157">
        <v>31982</v>
      </c>
      <c r="B6676" s="158" t="e">
        <f>NA()</f>
        <v>#N/A</v>
      </c>
    </row>
    <row r="6677" spans="1:2" x14ac:dyDescent="0.25">
      <c r="A6677" s="157">
        <v>31985</v>
      </c>
      <c r="B6677" s="158" t="e">
        <f>NA()</f>
        <v>#N/A</v>
      </c>
    </row>
    <row r="6678" spans="1:2" x14ac:dyDescent="0.25">
      <c r="A6678" s="157">
        <v>31986</v>
      </c>
      <c r="B6678" s="158" t="e">
        <f>NA()</f>
        <v>#N/A</v>
      </c>
    </row>
    <row r="6679" spans="1:2" x14ac:dyDescent="0.25">
      <c r="A6679" s="157">
        <v>31987</v>
      </c>
      <c r="B6679" s="158" t="e">
        <f>NA()</f>
        <v>#N/A</v>
      </c>
    </row>
    <row r="6680" spans="1:2" x14ac:dyDescent="0.25">
      <c r="A6680" s="157">
        <v>31988</v>
      </c>
      <c r="B6680" s="158" t="e">
        <f>NA()</f>
        <v>#N/A</v>
      </c>
    </row>
    <row r="6681" spans="1:2" x14ac:dyDescent="0.25">
      <c r="A6681" s="157">
        <v>31989</v>
      </c>
      <c r="B6681" s="158" t="e">
        <f>NA()</f>
        <v>#N/A</v>
      </c>
    </row>
    <row r="6682" spans="1:2" x14ac:dyDescent="0.25">
      <c r="A6682" s="157">
        <v>31992</v>
      </c>
      <c r="B6682" s="158" t="e">
        <f>NA()</f>
        <v>#N/A</v>
      </c>
    </row>
    <row r="6683" spans="1:2" x14ac:dyDescent="0.25">
      <c r="A6683" s="157">
        <v>31993</v>
      </c>
      <c r="B6683" s="158" t="e">
        <f>NA()</f>
        <v>#N/A</v>
      </c>
    </row>
    <row r="6684" spans="1:2" x14ac:dyDescent="0.25">
      <c r="A6684" s="157">
        <v>31994</v>
      </c>
      <c r="B6684" s="158" t="e">
        <f>NA()</f>
        <v>#N/A</v>
      </c>
    </row>
    <row r="6685" spans="1:2" x14ac:dyDescent="0.25">
      <c r="A6685" s="157">
        <v>31995</v>
      </c>
      <c r="B6685" s="158" t="e">
        <f>NA()</f>
        <v>#N/A</v>
      </c>
    </row>
    <row r="6686" spans="1:2" x14ac:dyDescent="0.25">
      <c r="A6686" s="157">
        <v>31996</v>
      </c>
      <c r="B6686" s="158" t="e">
        <f>NA()</f>
        <v>#N/A</v>
      </c>
    </row>
    <row r="6687" spans="1:2" x14ac:dyDescent="0.25">
      <c r="A6687" s="157">
        <v>31999</v>
      </c>
      <c r="B6687" s="158" t="e">
        <f>NA()</f>
        <v>#N/A</v>
      </c>
    </row>
    <row r="6688" spans="1:2" x14ac:dyDescent="0.25">
      <c r="A6688" s="157">
        <v>32000</v>
      </c>
      <c r="B6688" s="158" t="e">
        <f>NA()</f>
        <v>#N/A</v>
      </c>
    </row>
    <row r="6689" spans="1:2" x14ac:dyDescent="0.25">
      <c r="A6689" s="157">
        <v>32001</v>
      </c>
      <c r="B6689" s="158" t="e">
        <f>NA()</f>
        <v>#N/A</v>
      </c>
    </row>
    <row r="6690" spans="1:2" x14ac:dyDescent="0.25">
      <c r="A6690" s="157">
        <v>32002</v>
      </c>
      <c r="B6690" s="158" t="e">
        <f>NA()</f>
        <v>#N/A</v>
      </c>
    </row>
    <row r="6691" spans="1:2" x14ac:dyDescent="0.25">
      <c r="A6691" s="157">
        <v>32003</v>
      </c>
      <c r="B6691" s="158" t="e">
        <f>NA()</f>
        <v>#N/A</v>
      </c>
    </row>
    <row r="6692" spans="1:2" x14ac:dyDescent="0.25">
      <c r="A6692" s="157">
        <v>32006</v>
      </c>
      <c r="B6692" s="158" t="e">
        <f>NA()</f>
        <v>#N/A</v>
      </c>
    </row>
    <row r="6693" spans="1:2" x14ac:dyDescent="0.25">
      <c r="A6693" s="157">
        <v>32007</v>
      </c>
      <c r="B6693" s="158" t="e">
        <f>NA()</f>
        <v>#N/A</v>
      </c>
    </row>
    <row r="6694" spans="1:2" x14ac:dyDescent="0.25">
      <c r="A6694" s="157">
        <v>32008</v>
      </c>
      <c r="B6694" s="158" t="e">
        <f>NA()</f>
        <v>#N/A</v>
      </c>
    </row>
    <row r="6695" spans="1:2" x14ac:dyDescent="0.25">
      <c r="A6695" s="157">
        <v>32009</v>
      </c>
      <c r="B6695" s="158" t="e">
        <f>NA()</f>
        <v>#N/A</v>
      </c>
    </row>
    <row r="6696" spans="1:2" x14ac:dyDescent="0.25">
      <c r="A6696" s="157">
        <v>32010</v>
      </c>
      <c r="B6696" s="158" t="e">
        <f>NA()</f>
        <v>#N/A</v>
      </c>
    </row>
    <row r="6697" spans="1:2" x14ac:dyDescent="0.25">
      <c r="A6697" s="157">
        <v>32013</v>
      </c>
      <c r="B6697" s="158" t="e">
        <f>NA()</f>
        <v>#N/A</v>
      </c>
    </row>
    <row r="6698" spans="1:2" x14ac:dyDescent="0.25">
      <c r="A6698" s="157">
        <v>32014</v>
      </c>
      <c r="B6698" s="158" t="e">
        <f>NA()</f>
        <v>#N/A</v>
      </c>
    </row>
    <row r="6699" spans="1:2" x14ac:dyDescent="0.25">
      <c r="A6699" s="157">
        <v>32015</v>
      </c>
      <c r="B6699" s="158" t="e">
        <f>NA()</f>
        <v>#N/A</v>
      </c>
    </row>
    <row r="6700" spans="1:2" x14ac:dyDescent="0.25">
      <c r="A6700" s="157">
        <v>32016</v>
      </c>
      <c r="B6700" s="158" t="e">
        <f>NA()</f>
        <v>#N/A</v>
      </c>
    </row>
    <row r="6701" spans="1:2" x14ac:dyDescent="0.25">
      <c r="A6701" s="157">
        <v>32017</v>
      </c>
      <c r="B6701" s="158" t="e">
        <f>NA()</f>
        <v>#N/A</v>
      </c>
    </row>
    <row r="6702" spans="1:2" x14ac:dyDescent="0.25">
      <c r="A6702" s="157">
        <v>32020</v>
      </c>
      <c r="B6702" s="158" t="e">
        <f>NA()</f>
        <v>#N/A</v>
      </c>
    </row>
    <row r="6703" spans="1:2" x14ac:dyDescent="0.25">
      <c r="A6703" s="157">
        <v>32021</v>
      </c>
      <c r="B6703" s="158" t="e">
        <f>NA()</f>
        <v>#N/A</v>
      </c>
    </row>
    <row r="6704" spans="1:2" x14ac:dyDescent="0.25">
      <c r="A6704" s="157">
        <v>32022</v>
      </c>
      <c r="B6704" s="158" t="e">
        <f>NA()</f>
        <v>#N/A</v>
      </c>
    </row>
    <row r="6705" spans="1:2" x14ac:dyDescent="0.25">
      <c r="A6705" s="157">
        <v>32023</v>
      </c>
      <c r="B6705" s="158" t="e">
        <f>NA()</f>
        <v>#N/A</v>
      </c>
    </row>
    <row r="6706" spans="1:2" x14ac:dyDescent="0.25">
      <c r="A6706" s="157">
        <v>32024</v>
      </c>
      <c r="B6706" s="158" t="e">
        <f>NA()</f>
        <v>#N/A</v>
      </c>
    </row>
    <row r="6707" spans="1:2" x14ac:dyDescent="0.25">
      <c r="A6707" s="157">
        <v>32027</v>
      </c>
      <c r="B6707" s="158" t="e">
        <f>NA()</f>
        <v>#N/A</v>
      </c>
    </row>
    <row r="6708" spans="1:2" x14ac:dyDescent="0.25">
      <c r="A6708" s="157">
        <v>32028</v>
      </c>
      <c r="B6708" s="158" t="e">
        <f>NA()</f>
        <v>#N/A</v>
      </c>
    </row>
    <row r="6709" spans="1:2" x14ac:dyDescent="0.25">
      <c r="A6709" s="157">
        <v>32029</v>
      </c>
      <c r="B6709" s="158" t="e">
        <f>NA()</f>
        <v>#N/A</v>
      </c>
    </row>
    <row r="6710" spans="1:2" x14ac:dyDescent="0.25">
      <c r="A6710" s="157">
        <v>32030</v>
      </c>
      <c r="B6710" s="158" t="e">
        <f>NA()</f>
        <v>#N/A</v>
      </c>
    </row>
    <row r="6711" spans="1:2" x14ac:dyDescent="0.25">
      <c r="A6711" s="157">
        <v>32031</v>
      </c>
      <c r="B6711" s="158" t="e">
        <f>NA()</f>
        <v>#N/A</v>
      </c>
    </row>
    <row r="6712" spans="1:2" x14ac:dyDescent="0.25">
      <c r="A6712" s="157">
        <v>32034</v>
      </c>
      <c r="B6712" s="158" t="e">
        <f>NA()</f>
        <v>#N/A</v>
      </c>
    </row>
    <row r="6713" spans="1:2" x14ac:dyDescent="0.25">
      <c r="A6713" s="157">
        <v>32035</v>
      </c>
      <c r="B6713" s="158" t="e">
        <f>NA()</f>
        <v>#N/A</v>
      </c>
    </row>
    <row r="6714" spans="1:2" x14ac:dyDescent="0.25">
      <c r="A6714" s="157">
        <v>32036</v>
      </c>
      <c r="B6714" s="158" t="e">
        <f>NA()</f>
        <v>#N/A</v>
      </c>
    </row>
    <row r="6715" spans="1:2" x14ac:dyDescent="0.25">
      <c r="A6715" s="157">
        <v>32037</v>
      </c>
      <c r="B6715" s="158" t="e">
        <f>NA()</f>
        <v>#N/A</v>
      </c>
    </row>
    <row r="6716" spans="1:2" x14ac:dyDescent="0.25">
      <c r="A6716" s="157">
        <v>32038</v>
      </c>
      <c r="B6716" s="158" t="e">
        <f>NA()</f>
        <v>#N/A</v>
      </c>
    </row>
    <row r="6717" spans="1:2" x14ac:dyDescent="0.25">
      <c r="A6717" s="157">
        <v>32041</v>
      </c>
      <c r="B6717" s="158" t="e">
        <f>NA()</f>
        <v>#N/A</v>
      </c>
    </row>
    <row r="6718" spans="1:2" x14ac:dyDescent="0.25">
      <c r="A6718" s="157">
        <v>32042</v>
      </c>
      <c r="B6718" s="158" t="e">
        <f>NA()</f>
        <v>#N/A</v>
      </c>
    </row>
    <row r="6719" spans="1:2" x14ac:dyDescent="0.25">
      <c r="A6719" s="157">
        <v>32043</v>
      </c>
      <c r="B6719" s="158" t="e">
        <f>NA()</f>
        <v>#N/A</v>
      </c>
    </row>
    <row r="6720" spans="1:2" x14ac:dyDescent="0.25">
      <c r="A6720" s="157">
        <v>32044</v>
      </c>
      <c r="B6720" s="158" t="e">
        <f>NA()</f>
        <v>#N/A</v>
      </c>
    </row>
    <row r="6721" spans="1:2" x14ac:dyDescent="0.25">
      <c r="A6721" s="157">
        <v>32045</v>
      </c>
      <c r="B6721" s="158" t="e">
        <f>NA()</f>
        <v>#N/A</v>
      </c>
    </row>
    <row r="6722" spans="1:2" x14ac:dyDescent="0.25">
      <c r="A6722" s="157">
        <v>32048</v>
      </c>
      <c r="B6722" s="158" t="e">
        <f>NA()</f>
        <v>#N/A</v>
      </c>
    </row>
    <row r="6723" spans="1:2" x14ac:dyDescent="0.25">
      <c r="A6723" s="157">
        <v>32049</v>
      </c>
      <c r="B6723" s="158" t="e">
        <f>NA()</f>
        <v>#N/A</v>
      </c>
    </row>
    <row r="6724" spans="1:2" x14ac:dyDescent="0.25">
      <c r="A6724" s="157">
        <v>32050</v>
      </c>
      <c r="B6724" s="158" t="e">
        <f>NA()</f>
        <v>#N/A</v>
      </c>
    </row>
    <row r="6725" spans="1:2" x14ac:dyDescent="0.25">
      <c r="A6725" s="157">
        <v>32051</v>
      </c>
      <c r="B6725" s="158" t="e">
        <f>NA()</f>
        <v>#N/A</v>
      </c>
    </row>
    <row r="6726" spans="1:2" x14ac:dyDescent="0.25">
      <c r="A6726" s="157">
        <v>32052</v>
      </c>
      <c r="B6726" s="158" t="e">
        <f>NA()</f>
        <v>#N/A</v>
      </c>
    </row>
    <row r="6727" spans="1:2" x14ac:dyDescent="0.25">
      <c r="A6727" s="157">
        <v>32055</v>
      </c>
      <c r="B6727" s="158" t="e">
        <f>NA()</f>
        <v>#N/A</v>
      </c>
    </row>
    <row r="6728" spans="1:2" x14ac:dyDescent="0.25">
      <c r="A6728" s="157">
        <v>32056</v>
      </c>
      <c r="B6728" s="158" t="e">
        <f>NA()</f>
        <v>#N/A</v>
      </c>
    </row>
    <row r="6729" spans="1:2" x14ac:dyDescent="0.25">
      <c r="A6729" s="157">
        <v>32057</v>
      </c>
      <c r="B6729" s="158" t="e">
        <f>NA()</f>
        <v>#N/A</v>
      </c>
    </row>
    <row r="6730" spans="1:2" x14ac:dyDescent="0.25">
      <c r="A6730" s="157">
        <v>32058</v>
      </c>
      <c r="B6730" s="158" t="e">
        <f>NA()</f>
        <v>#N/A</v>
      </c>
    </row>
    <row r="6731" spans="1:2" x14ac:dyDescent="0.25">
      <c r="A6731" s="157">
        <v>32059</v>
      </c>
      <c r="B6731" s="158" t="e">
        <f>NA()</f>
        <v>#N/A</v>
      </c>
    </row>
    <row r="6732" spans="1:2" x14ac:dyDescent="0.25">
      <c r="A6732" s="157">
        <v>32062</v>
      </c>
      <c r="B6732" s="158" t="e">
        <f>NA()</f>
        <v>#N/A</v>
      </c>
    </row>
    <row r="6733" spans="1:2" x14ac:dyDescent="0.25">
      <c r="A6733" s="157">
        <v>32063</v>
      </c>
      <c r="B6733" s="158" t="e">
        <f>NA()</f>
        <v>#N/A</v>
      </c>
    </row>
    <row r="6734" spans="1:2" x14ac:dyDescent="0.25">
      <c r="A6734" s="157">
        <v>32064</v>
      </c>
      <c r="B6734" s="158" t="e">
        <f>NA()</f>
        <v>#N/A</v>
      </c>
    </row>
    <row r="6735" spans="1:2" x14ac:dyDescent="0.25">
      <c r="A6735" s="157">
        <v>32065</v>
      </c>
      <c r="B6735" s="158" t="e">
        <f>NA()</f>
        <v>#N/A</v>
      </c>
    </row>
    <row r="6736" spans="1:2" x14ac:dyDescent="0.25">
      <c r="A6736" s="157">
        <v>32066</v>
      </c>
      <c r="B6736" s="158" t="e">
        <f>NA()</f>
        <v>#N/A</v>
      </c>
    </row>
    <row r="6737" spans="1:2" x14ac:dyDescent="0.25">
      <c r="A6737" s="157">
        <v>32069</v>
      </c>
      <c r="B6737" s="158" t="e">
        <f>NA()</f>
        <v>#N/A</v>
      </c>
    </row>
    <row r="6738" spans="1:2" x14ac:dyDescent="0.25">
      <c r="A6738" s="157">
        <v>32070</v>
      </c>
      <c r="B6738" s="158" t="e">
        <f>NA()</f>
        <v>#N/A</v>
      </c>
    </row>
    <row r="6739" spans="1:2" x14ac:dyDescent="0.25">
      <c r="A6739" s="157">
        <v>32071</v>
      </c>
      <c r="B6739" s="158" t="e">
        <f>NA()</f>
        <v>#N/A</v>
      </c>
    </row>
    <row r="6740" spans="1:2" x14ac:dyDescent="0.25">
      <c r="A6740" s="157">
        <v>32072</v>
      </c>
      <c r="B6740" s="158" t="e">
        <f>NA()</f>
        <v>#N/A</v>
      </c>
    </row>
    <row r="6741" spans="1:2" x14ac:dyDescent="0.25">
      <c r="A6741" s="157">
        <v>32073</v>
      </c>
      <c r="B6741" s="158" t="e">
        <f>NA()</f>
        <v>#N/A</v>
      </c>
    </row>
    <row r="6742" spans="1:2" x14ac:dyDescent="0.25">
      <c r="A6742" s="157">
        <v>32076</v>
      </c>
      <c r="B6742" s="158" t="e">
        <f>NA()</f>
        <v>#N/A</v>
      </c>
    </row>
    <row r="6743" spans="1:2" x14ac:dyDescent="0.25">
      <c r="A6743" s="157">
        <v>32077</v>
      </c>
      <c r="B6743" s="158" t="e">
        <f>NA()</f>
        <v>#N/A</v>
      </c>
    </row>
    <row r="6744" spans="1:2" x14ac:dyDescent="0.25">
      <c r="A6744" s="157">
        <v>32078</v>
      </c>
      <c r="B6744" s="158" t="e">
        <f>NA()</f>
        <v>#N/A</v>
      </c>
    </row>
    <row r="6745" spans="1:2" x14ac:dyDescent="0.25">
      <c r="A6745" s="157">
        <v>32079</v>
      </c>
      <c r="B6745" s="158" t="e">
        <f>NA()</f>
        <v>#N/A</v>
      </c>
    </row>
    <row r="6746" spans="1:2" x14ac:dyDescent="0.25">
      <c r="A6746" s="157">
        <v>32080</v>
      </c>
      <c r="B6746" s="158" t="e">
        <f>NA()</f>
        <v>#N/A</v>
      </c>
    </row>
    <row r="6747" spans="1:2" x14ac:dyDescent="0.25">
      <c r="A6747" s="157">
        <v>32083</v>
      </c>
      <c r="B6747" s="158" t="e">
        <f>NA()</f>
        <v>#N/A</v>
      </c>
    </row>
    <row r="6748" spans="1:2" x14ac:dyDescent="0.25">
      <c r="A6748" s="157">
        <v>32084</v>
      </c>
      <c r="B6748" s="158" t="e">
        <f>NA()</f>
        <v>#N/A</v>
      </c>
    </row>
    <row r="6749" spans="1:2" x14ac:dyDescent="0.25">
      <c r="A6749" s="157">
        <v>32085</v>
      </c>
      <c r="B6749" s="158" t="e">
        <f>NA()</f>
        <v>#N/A</v>
      </c>
    </row>
    <row r="6750" spans="1:2" x14ac:dyDescent="0.25">
      <c r="A6750" s="157">
        <v>32086</v>
      </c>
      <c r="B6750" s="158" t="e">
        <f>NA()</f>
        <v>#N/A</v>
      </c>
    </row>
    <row r="6751" spans="1:2" x14ac:dyDescent="0.25">
      <c r="A6751" s="157">
        <v>32087</v>
      </c>
      <c r="B6751" s="158" t="e">
        <f>NA()</f>
        <v>#N/A</v>
      </c>
    </row>
    <row r="6752" spans="1:2" x14ac:dyDescent="0.25">
      <c r="A6752" s="157">
        <v>32090</v>
      </c>
      <c r="B6752" s="158" t="e">
        <f>NA()</f>
        <v>#N/A</v>
      </c>
    </row>
    <row r="6753" spans="1:2" x14ac:dyDescent="0.25">
      <c r="A6753" s="157">
        <v>32091</v>
      </c>
      <c r="B6753" s="158" t="e">
        <f>NA()</f>
        <v>#N/A</v>
      </c>
    </row>
    <row r="6754" spans="1:2" x14ac:dyDescent="0.25">
      <c r="A6754" s="157">
        <v>32092</v>
      </c>
      <c r="B6754" s="158" t="e">
        <f>NA()</f>
        <v>#N/A</v>
      </c>
    </row>
    <row r="6755" spans="1:2" x14ac:dyDescent="0.25">
      <c r="A6755" s="157">
        <v>32093</v>
      </c>
      <c r="B6755" s="158" t="e">
        <f>NA()</f>
        <v>#N/A</v>
      </c>
    </row>
    <row r="6756" spans="1:2" x14ac:dyDescent="0.25">
      <c r="A6756" s="157">
        <v>32094</v>
      </c>
      <c r="B6756" s="158" t="e">
        <f>NA()</f>
        <v>#N/A</v>
      </c>
    </row>
    <row r="6757" spans="1:2" x14ac:dyDescent="0.25">
      <c r="A6757" s="157">
        <v>32097</v>
      </c>
      <c r="B6757" s="158" t="e">
        <f>NA()</f>
        <v>#N/A</v>
      </c>
    </row>
    <row r="6758" spans="1:2" x14ac:dyDescent="0.25">
      <c r="A6758" s="157">
        <v>32098</v>
      </c>
      <c r="B6758" s="158" t="e">
        <f>NA()</f>
        <v>#N/A</v>
      </c>
    </row>
    <row r="6759" spans="1:2" x14ac:dyDescent="0.25">
      <c r="A6759" s="157">
        <v>32099</v>
      </c>
      <c r="B6759" s="158" t="e">
        <f>NA()</f>
        <v>#N/A</v>
      </c>
    </row>
    <row r="6760" spans="1:2" x14ac:dyDescent="0.25">
      <c r="A6760" s="157">
        <v>32100</v>
      </c>
      <c r="B6760" s="158" t="e">
        <f>NA()</f>
        <v>#N/A</v>
      </c>
    </row>
    <row r="6761" spans="1:2" x14ac:dyDescent="0.25">
      <c r="A6761" s="157">
        <v>32101</v>
      </c>
      <c r="B6761" s="158" t="e">
        <f>NA()</f>
        <v>#N/A</v>
      </c>
    </row>
    <row r="6762" spans="1:2" x14ac:dyDescent="0.25">
      <c r="A6762" s="157">
        <v>32104</v>
      </c>
      <c r="B6762" s="158" t="e">
        <f>NA()</f>
        <v>#N/A</v>
      </c>
    </row>
    <row r="6763" spans="1:2" x14ac:dyDescent="0.25">
      <c r="A6763" s="157">
        <v>32105</v>
      </c>
      <c r="B6763" s="158" t="e">
        <f>NA()</f>
        <v>#N/A</v>
      </c>
    </row>
    <row r="6764" spans="1:2" x14ac:dyDescent="0.25">
      <c r="A6764" s="157">
        <v>32106</v>
      </c>
      <c r="B6764" s="158" t="e">
        <f>NA()</f>
        <v>#N/A</v>
      </c>
    </row>
    <row r="6765" spans="1:2" x14ac:dyDescent="0.25">
      <c r="A6765" s="157">
        <v>32107</v>
      </c>
      <c r="B6765" s="158" t="e">
        <f>NA()</f>
        <v>#N/A</v>
      </c>
    </row>
    <row r="6766" spans="1:2" x14ac:dyDescent="0.25">
      <c r="A6766" s="157">
        <v>32108</v>
      </c>
      <c r="B6766" s="158" t="e">
        <f>NA()</f>
        <v>#N/A</v>
      </c>
    </row>
    <row r="6767" spans="1:2" x14ac:dyDescent="0.25">
      <c r="A6767" s="157">
        <v>32111</v>
      </c>
      <c r="B6767" s="158" t="e">
        <f>NA()</f>
        <v>#N/A</v>
      </c>
    </row>
    <row r="6768" spans="1:2" x14ac:dyDescent="0.25">
      <c r="A6768" s="157">
        <v>32112</v>
      </c>
      <c r="B6768" s="158" t="e">
        <f>NA()</f>
        <v>#N/A</v>
      </c>
    </row>
    <row r="6769" spans="1:2" x14ac:dyDescent="0.25">
      <c r="A6769" s="157">
        <v>32113</v>
      </c>
      <c r="B6769" s="158" t="e">
        <f>NA()</f>
        <v>#N/A</v>
      </c>
    </row>
    <row r="6770" spans="1:2" x14ac:dyDescent="0.25">
      <c r="A6770" s="157">
        <v>32114</v>
      </c>
      <c r="B6770" s="158" t="e">
        <f>NA()</f>
        <v>#N/A</v>
      </c>
    </row>
    <row r="6771" spans="1:2" x14ac:dyDescent="0.25">
      <c r="A6771" s="157">
        <v>32115</v>
      </c>
      <c r="B6771" s="158" t="e">
        <f>NA()</f>
        <v>#N/A</v>
      </c>
    </row>
    <row r="6772" spans="1:2" x14ac:dyDescent="0.25">
      <c r="A6772" s="157">
        <v>32118</v>
      </c>
      <c r="B6772" s="158" t="e">
        <f>NA()</f>
        <v>#N/A</v>
      </c>
    </row>
    <row r="6773" spans="1:2" x14ac:dyDescent="0.25">
      <c r="A6773" s="157">
        <v>32119</v>
      </c>
      <c r="B6773" s="158" t="e">
        <f>NA()</f>
        <v>#N/A</v>
      </c>
    </row>
    <row r="6774" spans="1:2" x14ac:dyDescent="0.25">
      <c r="A6774" s="157">
        <v>32120</v>
      </c>
      <c r="B6774" s="158" t="e">
        <f>NA()</f>
        <v>#N/A</v>
      </c>
    </row>
    <row r="6775" spans="1:2" x14ac:dyDescent="0.25">
      <c r="A6775" s="157">
        <v>32121</v>
      </c>
      <c r="B6775" s="158" t="e">
        <f>NA()</f>
        <v>#N/A</v>
      </c>
    </row>
    <row r="6776" spans="1:2" x14ac:dyDescent="0.25">
      <c r="A6776" s="157">
        <v>32122</v>
      </c>
      <c r="B6776" s="158" t="e">
        <f>NA()</f>
        <v>#N/A</v>
      </c>
    </row>
    <row r="6777" spans="1:2" x14ac:dyDescent="0.25">
      <c r="A6777" s="157">
        <v>32125</v>
      </c>
      <c r="B6777" s="158" t="e">
        <f>NA()</f>
        <v>#N/A</v>
      </c>
    </row>
    <row r="6778" spans="1:2" x14ac:dyDescent="0.25">
      <c r="A6778" s="157">
        <v>32126</v>
      </c>
      <c r="B6778" s="158" t="e">
        <f>NA()</f>
        <v>#N/A</v>
      </c>
    </row>
    <row r="6779" spans="1:2" x14ac:dyDescent="0.25">
      <c r="A6779" s="157">
        <v>32127</v>
      </c>
      <c r="B6779" s="158" t="e">
        <f>NA()</f>
        <v>#N/A</v>
      </c>
    </row>
    <row r="6780" spans="1:2" x14ac:dyDescent="0.25">
      <c r="A6780" s="157">
        <v>32128</v>
      </c>
      <c r="B6780" s="158" t="e">
        <f>NA()</f>
        <v>#N/A</v>
      </c>
    </row>
    <row r="6781" spans="1:2" x14ac:dyDescent="0.25">
      <c r="A6781" s="157">
        <v>32129</v>
      </c>
      <c r="B6781" s="158" t="e">
        <f>NA()</f>
        <v>#N/A</v>
      </c>
    </row>
    <row r="6782" spans="1:2" x14ac:dyDescent="0.25">
      <c r="A6782" s="157">
        <v>32132</v>
      </c>
      <c r="B6782" s="158" t="e">
        <f>NA()</f>
        <v>#N/A</v>
      </c>
    </row>
    <row r="6783" spans="1:2" x14ac:dyDescent="0.25">
      <c r="A6783" s="157">
        <v>32133</v>
      </c>
      <c r="B6783" s="158" t="e">
        <f>NA()</f>
        <v>#N/A</v>
      </c>
    </row>
    <row r="6784" spans="1:2" x14ac:dyDescent="0.25">
      <c r="A6784" s="157">
        <v>32134</v>
      </c>
      <c r="B6784" s="158" t="e">
        <f>NA()</f>
        <v>#N/A</v>
      </c>
    </row>
    <row r="6785" spans="1:2" x14ac:dyDescent="0.25">
      <c r="A6785" s="157">
        <v>32135</v>
      </c>
      <c r="B6785" s="158" t="e">
        <f>NA()</f>
        <v>#N/A</v>
      </c>
    </row>
    <row r="6786" spans="1:2" x14ac:dyDescent="0.25">
      <c r="A6786" s="157">
        <v>32136</v>
      </c>
      <c r="B6786" s="158" t="e">
        <f>NA()</f>
        <v>#N/A</v>
      </c>
    </row>
    <row r="6787" spans="1:2" x14ac:dyDescent="0.25">
      <c r="A6787" s="157">
        <v>32139</v>
      </c>
      <c r="B6787" s="158" t="e">
        <f>NA()</f>
        <v>#N/A</v>
      </c>
    </row>
    <row r="6788" spans="1:2" x14ac:dyDescent="0.25">
      <c r="A6788" s="157">
        <v>32140</v>
      </c>
      <c r="B6788" s="158" t="e">
        <f>NA()</f>
        <v>#N/A</v>
      </c>
    </row>
    <row r="6789" spans="1:2" x14ac:dyDescent="0.25">
      <c r="A6789" s="157">
        <v>32141</v>
      </c>
      <c r="B6789" s="158" t="e">
        <f>NA()</f>
        <v>#N/A</v>
      </c>
    </row>
    <row r="6790" spans="1:2" x14ac:dyDescent="0.25">
      <c r="A6790" s="157">
        <v>32142</v>
      </c>
      <c r="B6790" s="158" t="e">
        <f>NA()</f>
        <v>#N/A</v>
      </c>
    </row>
    <row r="6791" spans="1:2" x14ac:dyDescent="0.25">
      <c r="A6791" s="157">
        <v>32143</v>
      </c>
      <c r="B6791" s="158" t="e">
        <f>NA()</f>
        <v>#N/A</v>
      </c>
    </row>
    <row r="6792" spans="1:2" x14ac:dyDescent="0.25">
      <c r="A6792" s="157">
        <v>32146</v>
      </c>
      <c r="B6792" s="158" t="e">
        <f>NA()</f>
        <v>#N/A</v>
      </c>
    </row>
    <row r="6793" spans="1:2" x14ac:dyDescent="0.25">
      <c r="A6793" s="157">
        <v>32147</v>
      </c>
      <c r="B6793" s="158" t="e">
        <f>NA()</f>
        <v>#N/A</v>
      </c>
    </row>
    <row r="6794" spans="1:2" x14ac:dyDescent="0.25">
      <c r="A6794" s="157">
        <v>32148</v>
      </c>
      <c r="B6794" s="158" t="e">
        <f>NA()</f>
        <v>#N/A</v>
      </c>
    </row>
    <row r="6795" spans="1:2" x14ac:dyDescent="0.25">
      <c r="A6795" s="157">
        <v>32149</v>
      </c>
      <c r="B6795" s="158" t="e">
        <f>NA()</f>
        <v>#N/A</v>
      </c>
    </row>
    <row r="6796" spans="1:2" x14ac:dyDescent="0.25">
      <c r="A6796" s="157">
        <v>32150</v>
      </c>
      <c r="B6796" s="158" t="e">
        <f>NA()</f>
        <v>#N/A</v>
      </c>
    </row>
    <row r="6797" spans="1:2" x14ac:dyDescent="0.25">
      <c r="A6797" s="157">
        <v>32153</v>
      </c>
      <c r="B6797" s="158" t="e">
        <f>NA()</f>
        <v>#N/A</v>
      </c>
    </row>
    <row r="6798" spans="1:2" x14ac:dyDescent="0.25">
      <c r="A6798" s="157">
        <v>32154</v>
      </c>
      <c r="B6798" s="158" t="e">
        <f>NA()</f>
        <v>#N/A</v>
      </c>
    </row>
    <row r="6799" spans="1:2" x14ac:dyDescent="0.25">
      <c r="A6799" s="157">
        <v>32155</v>
      </c>
      <c r="B6799" s="158" t="e">
        <f>NA()</f>
        <v>#N/A</v>
      </c>
    </row>
    <row r="6800" spans="1:2" x14ac:dyDescent="0.25">
      <c r="A6800" s="157">
        <v>32156</v>
      </c>
      <c r="B6800" s="158" t="e">
        <f>NA()</f>
        <v>#N/A</v>
      </c>
    </row>
    <row r="6801" spans="1:2" x14ac:dyDescent="0.25">
      <c r="A6801" s="157">
        <v>32157</v>
      </c>
      <c r="B6801" s="158" t="e">
        <f>NA()</f>
        <v>#N/A</v>
      </c>
    </row>
    <row r="6802" spans="1:2" x14ac:dyDescent="0.25">
      <c r="A6802" s="157">
        <v>32160</v>
      </c>
      <c r="B6802" s="158" t="e">
        <f>NA()</f>
        <v>#N/A</v>
      </c>
    </row>
    <row r="6803" spans="1:2" x14ac:dyDescent="0.25">
      <c r="A6803" s="157">
        <v>32161</v>
      </c>
      <c r="B6803" s="158" t="e">
        <f>NA()</f>
        <v>#N/A</v>
      </c>
    </row>
    <row r="6804" spans="1:2" x14ac:dyDescent="0.25">
      <c r="A6804" s="157">
        <v>32162</v>
      </c>
      <c r="B6804" s="158" t="e">
        <f>NA()</f>
        <v>#N/A</v>
      </c>
    </row>
    <row r="6805" spans="1:2" x14ac:dyDescent="0.25">
      <c r="A6805" s="157">
        <v>32163</v>
      </c>
      <c r="B6805" s="158" t="e">
        <f>NA()</f>
        <v>#N/A</v>
      </c>
    </row>
    <row r="6806" spans="1:2" x14ac:dyDescent="0.25">
      <c r="A6806" s="157">
        <v>32164</v>
      </c>
      <c r="B6806" s="158" t="e">
        <f>NA()</f>
        <v>#N/A</v>
      </c>
    </row>
    <row r="6807" spans="1:2" x14ac:dyDescent="0.25">
      <c r="A6807" s="157">
        <v>32167</v>
      </c>
      <c r="B6807" s="158" t="e">
        <f>NA()</f>
        <v>#N/A</v>
      </c>
    </row>
    <row r="6808" spans="1:2" x14ac:dyDescent="0.25">
      <c r="A6808" s="157">
        <v>32168</v>
      </c>
      <c r="B6808" s="158" t="e">
        <f>NA()</f>
        <v>#N/A</v>
      </c>
    </row>
    <row r="6809" spans="1:2" x14ac:dyDescent="0.25">
      <c r="A6809" s="157">
        <v>32169</v>
      </c>
      <c r="B6809" s="158" t="e">
        <f>NA()</f>
        <v>#N/A</v>
      </c>
    </row>
    <row r="6810" spans="1:2" x14ac:dyDescent="0.25">
      <c r="A6810" s="157">
        <v>32170</v>
      </c>
      <c r="B6810" s="158" t="e">
        <f>NA()</f>
        <v>#N/A</v>
      </c>
    </row>
    <row r="6811" spans="1:2" x14ac:dyDescent="0.25">
      <c r="A6811" s="157">
        <v>32171</v>
      </c>
      <c r="B6811" s="158" t="e">
        <f>NA()</f>
        <v>#N/A</v>
      </c>
    </row>
    <row r="6812" spans="1:2" x14ac:dyDescent="0.25">
      <c r="A6812" s="157">
        <v>32174</v>
      </c>
      <c r="B6812" s="158" t="e">
        <f>NA()</f>
        <v>#N/A</v>
      </c>
    </row>
    <row r="6813" spans="1:2" x14ac:dyDescent="0.25">
      <c r="A6813" s="157">
        <v>32175</v>
      </c>
      <c r="B6813" s="158" t="e">
        <f>NA()</f>
        <v>#N/A</v>
      </c>
    </row>
    <row r="6814" spans="1:2" x14ac:dyDescent="0.25">
      <c r="A6814" s="157">
        <v>32176</v>
      </c>
      <c r="B6814" s="158" t="e">
        <f>NA()</f>
        <v>#N/A</v>
      </c>
    </row>
    <row r="6815" spans="1:2" x14ac:dyDescent="0.25">
      <c r="A6815" s="157">
        <v>32177</v>
      </c>
      <c r="B6815" s="158" t="e">
        <f>NA()</f>
        <v>#N/A</v>
      </c>
    </row>
    <row r="6816" spans="1:2" x14ac:dyDescent="0.25">
      <c r="A6816" s="157">
        <v>32178</v>
      </c>
      <c r="B6816" s="158" t="e">
        <f>NA()</f>
        <v>#N/A</v>
      </c>
    </row>
    <row r="6817" spans="1:2" x14ac:dyDescent="0.25">
      <c r="A6817" s="157">
        <v>32181</v>
      </c>
      <c r="B6817" s="158" t="e">
        <f>NA()</f>
        <v>#N/A</v>
      </c>
    </row>
    <row r="6818" spans="1:2" x14ac:dyDescent="0.25">
      <c r="A6818" s="157">
        <v>32182</v>
      </c>
      <c r="B6818" s="158" t="e">
        <f>NA()</f>
        <v>#N/A</v>
      </c>
    </row>
    <row r="6819" spans="1:2" x14ac:dyDescent="0.25">
      <c r="A6819" s="157">
        <v>32183</v>
      </c>
      <c r="B6819" s="158" t="e">
        <f>NA()</f>
        <v>#N/A</v>
      </c>
    </row>
    <row r="6820" spans="1:2" x14ac:dyDescent="0.25">
      <c r="A6820" s="157">
        <v>32184</v>
      </c>
      <c r="B6820" s="158" t="e">
        <f>NA()</f>
        <v>#N/A</v>
      </c>
    </row>
    <row r="6821" spans="1:2" x14ac:dyDescent="0.25">
      <c r="A6821" s="157">
        <v>32185</v>
      </c>
      <c r="B6821" s="158" t="e">
        <f>NA()</f>
        <v>#N/A</v>
      </c>
    </row>
    <row r="6822" spans="1:2" x14ac:dyDescent="0.25">
      <c r="A6822" s="157">
        <v>32188</v>
      </c>
      <c r="B6822" s="158" t="e">
        <f>NA()</f>
        <v>#N/A</v>
      </c>
    </row>
    <row r="6823" spans="1:2" x14ac:dyDescent="0.25">
      <c r="A6823" s="157">
        <v>32189</v>
      </c>
      <c r="B6823" s="158" t="e">
        <f>NA()</f>
        <v>#N/A</v>
      </c>
    </row>
    <row r="6824" spans="1:2" x14ac:dyDescent="0.25">
      <c r="A6824" s="157">
        <v>32190</v>
      </c>
      <c r="B6824" s="158" t="e">
        <f>NA()</f>
        <v>#N/A</v>
      </c>
    </row>
    <row r="6825" spans="1:2" x14ac:dyDescent="0.25">
      <c r="A6825" s="157">
        <v>32191</v>
      </c>
      <c r="B6825" s="158" t="e">
        <f>NA()</f>
        <v>#N/A</v>
      </c>
    </row>
    <row r="6826" spans="1:2" x14ac:dyDescent="0.25">
      <c r="A6826" s="157">
        <v>32192</v>
      </c>
      <c r="B6826" s="158" t="e">
        <f>NA()</f>
        <v>#N/A</v>
      </c>
    </row>
    <row r="6827" spans="1:2" x14ac:dyDescent="0.25">
      <c r="A6827" s="157">
        <v>32195</v>
      </c>
      <c r="B6827" s="158" t="e">
        <f>NA()</f>
        <v>#N/A</v>
      </c>
    </row>
    <row r="6828" spans="1:2" x14ac:dyDescent="0.25">
      <c r="A6828" s="157">
        <v>32196</v>
      </c>
      <c r="B6828" s="158" t="e">
        <f>NA()</f>
        <v>#N/A</v>
      </c>
    </row>
    <row r="6829" spans="1:2" x14ac:dyDescent="0.25">
      <c r="A6829" s="157">
        <v>32197</v>
      </c>
      <c r="B6829" s="158" t="e">
        <f>NA()</f>
        <v>#N/A</v>
      </c>
    </row>
    <row r="6830" spans="1:2" x14ac:dyDescent="0.25">
      <c r="A6830" s="157">
        <v>32198</v>
      </c>
      <c r="B6830" s="158" t="e">
        <f>NA()</f>
        <v>#N/A</v>
      </c>
    </row>
    <row r="6831" spans="1:2" x14ac:dyDescent="0.25">
      <c r="A6831" s="157">
        <v>32199</v>
      </c>
      <c r="B6831" s="158" t="e">
        <f>NA()</f>
        <v>#N/A</v>
      </c>
    </row>
    <row r="6832" spans="1:2" x14ac:dyDescent="0.25">
      <c r="A6832" s="157">
        <v>32202</v>
      </c>
      <c r="B6832" s="158" t="e">
        <f>NA()</f>
        <v>#N/A</v>
      </c>
    </row>
    <row r="6833" spans="1:2" x14ac:dyDescent="0.25">
      <c r="A6833" s="157">
        <v>32203</v>
      </c>
      <c r="B6833" s="158" t="e">
        <f>NA()</f>
        <v>#N/A</v>
      </c>
    </row>
    <row r="6834" spans="1:2" x14ac:dyDescent="0.25">
      <c r="A6834" s="157">
        <v>32204</v>
      </c>
      <c r="B6834" s="158" t="e">
        <f>NA()</f>
        <v>#N/A</v>
      </c>
    </row>
    <row r="6835" spans="1:2" x14ac:dyDescent="0.25">
      <c r="A6835" s="157">
        <v>32205</v>
      </c>
      <c r="B6835" s="158" t="e">
        <f>NA()</f>
        <v>#N/A</v>
      </c>
    </row>
    <row r="6836" spans="1:2" x14ac:dyDescent="0.25">
      <c r="A6836" s="157">
        <v>32206</v>
      </c>
      <c r="B6836" s="158" t="e">
        <f>NA()</f>
        <v>#N/A</v>
      </c>
    </row>
    <row r="6837" spans="1:2" x14ac:dyDescent="0.25">
      <c r="A6837" s="157">
        <v>32209</v>
      </c>
      <c r="B6837" s="158" t="e">
        <f>NA()</f>
        <v>#N/A</v>
      </c>
    </row>
    <row r="6838" spans="1:2" x14ac:dyDescent="0.25">
      <c r="A6838" s="157">
        <v>32210</v>
      </c>
      <c r="B6838" s="158" t="e">
        <f>NA()</f>
        <v>#N/A</v>
      </c>
    </row>
    <row r="6839" spans="1:2" x14ac:dyDescent="0.25">
      <c r="A6839" s="157">
        <v>32211</v>
      </c>
      <c r="B6839" s="158" t="e">
        <f>NA()</f>
        <v>#N/A</v>
      </c>
    </row>
    <row r="6840" spans="1:2" x14ac:dyDescent="0.25">
      <c r="A6840" s="157">
        <v>32212</v>
      </c>
      <c r="B6840" s="158" t="e">
        <f>NA()</f>
        <v>#N/A</v>
      </c>
    </row>
    <row r="6841" spans="1:2" x14ac:dyDescent="0.25">
      <c r="A6841" s="157">
        <v>32213</v>
      </c>
      <c r="B6841" s="158" t="e">
        <f>NA()</f>
        <v>#N/A</v>
      </c>
    </row>
    <row r="6842" spans="1:2" x14ac:dyDescent="0.25">
      <c r="A6842" s="157">
        <v>32216</v>
      </c>
      <c r="B6842" s="158" t="e">
        <f>NA()</f>
        <v>#N/A</v>
      </c>
    </row>
    <row r="6843" spans="1:2" x14ac:dyDescent="0.25">
      <c r="A6843" s="157">
        <v>32217</v>
      </c>
      <c r="B6843" s="158" t="e">
        <f>NA()</f>
        <v>#N/A</v>
      </c>
    </row>
    <row r="6844" spans="1:2" x14ac:dyDescent="0.25">
      <c r="A6844" s="157">
        <v>32218</v>
      </c>
      <c r="B6844" s="158" t="e">
        <f>NA()</f>
        <v>#N/A</v>
      </c>
    </row>
    <row r="6845" spans="1:2" x14ac:dyDescent="0.25">
      <c r="A6845" s="157">
        <v>32219</v>
      </c>
      <c r="B6845" s="158" t="e">
        <f>NA()</f>
        <v>#N/A</v>
      </c>
    </row>
    <row r="6846" spans="1:2" x14ac:dyDescent="0.25">
      <c r="A6846" s="157">
        <v>32220</v>
      </c>
      <c r="B6846" s="158" t="e">
        <f>NA()</f>
        <v>#N/A</v>
      </c>
    </row>
    <row r="6847" spans="1:2" x14ac:dyDescent="0.25">
      <c r="A6847" s="157">
        <v>32223</v>
      </c>
      <c r="B6847" s="158" t="e">
        <f>NA()</f>
        <v>#N/A</v>
      </c>
    </row>
    <row r="6848" spans="1:2" x14ac:dyDescent="0.25">
      <c r="A6848" s="157">
        <v>32224</v>
      </c>
      <c r="B6848" s="158" t="e">
        <f>NA()</f>
        <v>#N/A</v>
      </c>
    </row>
    <row r="6849" spans="1:2" x14ac:dyDescent="0.25">
      <c r="A6849" s="157">
        <v>32225</v>
      </c>
      <c r="B6849" s="158" t="e">
        <f>NA()</f>
        <v>#N/A</v>
      </c>
    </row>
    <row r="6850" spans="1:2" x14ac:dyDescent="0.25">
      <c r="A6850" s="157">
        <v>32226</v>
      </c>
      <c r="B6850" s="158" t="e">
        <f>NA()</f>
        <v>#N/A</v>
      </c>
    </row>
    <row r="6851" spans="1:2" x14ac:dyDescent="0.25">
      <c r="A6851" s="157">
        <v>32227</v>
      </c>
      <c r="B6851" s="158" t="e">
        <f>NA()</f>
        <v>#N/A</v>
      </c>
    </row>
    <row r="6852" spans="1:2" x14ac:dyDescent="0.25">
      <c r="A6852" s="157">
        <v>32230</v>
      </c>
      <c r="B6852" s="158" t="e">
        <f>NA()</f>
        <v>#N/A</v>
      </c>
    </row>
    <row r="6853" spans="1:2" x14ac:dyDescent="0.25">
      <c r="A6853" s="157">
        <v>32231</v>
      </c>
      <c r="B6853" s="158" t="e">
        <f>NA()</f>
        <v>#N/A</v>
      </c>
    </row>
    <row r="6854" spans="1:2" x14ac:dyDescent="0.25">
      <c r="A6854" s="157">
        <v>32232</v>
      </c>
      <c r="B6854" s="158" t="e">
        <f>NA()</f>
        <v>#N/A</v>
      </c>
    </row>
    <row r="6855" spans="1:2" x14ac:dyDescent="0.25">
      <c r="A6855" s="157">
        <v>32233</v>
      </c>
      <c r="B6855" s="158" t="e">
        <f>NA()</f>
        <v>#N/A</v>
      </c>
    </row>
    <row r="6856" spans="1:2" x14ac:dyDescent="0.25">
      <c r="A6856" s="157">
        <v>32234</v>
      </c>
      <c r="B6856" s="158" t="e">
        <f>NA()</f>
        <v>#N/A</v>
      </c>
    </row>
    <row r="6857" spans="1:2" x14ac:dyDescent="0.25">
      <c r="A6857" s="157">
        <v>32237</v>
      </c>
      <c r="B6857" s="158" t="e">
        <f>NA()</f>
        <v>#N/A</v>
      </c>
    </row>
    <row r="6858" spans="1:2" x14ac:dyDescent="0.25">
      <c r="A6858" s="157">
        <v>32238</v>
      </c>
      <c r="B6858" s="158" t="e">
        <f>NA()</f>
        <v>#N/A</v>
      </c>
    </row>
    <row r="6859" spans="1:2" x14ac:dyDescent="0.25">
      <c r="A6859" s="157">
        <v>32239</v>
      </c>
      <c r="B6859" s="158" t="e">
        <f>NA()</f>
        <v>#N/A</v>
      </c>
    </row>
    <row r="6860" spans="1:2" x14ac:dyDescent="0.25">
      <c r="A6860" s="157">
        <v>32240</v>
      </c>
      <c r="B6860" s="158" t="e">
        <f>NA()</f>
        <v>#N/A</v>
      </c>
    </row>
    <row r="6861" spans="1:2" x14ac:dyDescent="0.25">
      <c r="A6861" s="157">
        <v>32241</v>
      </c>
      <c r="B6861" s="158" t="e">
        <f>NA()</f>
        <v>#N/A</v>
      </c>
    </row>
    <row r="6862" spans="1:2" x14ac:dyDescent="0.25">
      <c r="A6862" s="157">
        <v>32244</v>
      </c>
      <c r="B6862" s="158" t="e">
        <f>NA()</f>
        <v>#N/A</v>
      </c>
    </row>
    <row r="6863" spans="1:2" x14ac:dyDescent="0.25">
      <c r="A6863" s="157">
        <v>32245</v>
      </c>
      <c r="B6863" s="158" t="e">
        <f>NA()</f>
        <v>#N/A</v>
      </c>
    </row>
    <row r="6864" spans="1:2" x14ac:dyDescent="0.25">
      <c r="A6864" s="157">
        <v>32246</v>
      </c>
      <c r="B6864" s="158" t="e">
        <f>NA()</f>
        <v>#N/A</v>
      </c>
    </row>
    <row r="6865" spans="1:2" x14ac:dyDescent="0.25">
      <c r="A6865" s="157">
        <v>32247</v>
      </c>
      <c r="B6865" s="158" t="e">
        <f>NA()</f>
        <v>#N/A</v>
      </c>
    </row>
    <row r="6866" spans="1:2" x14ac:dyDescent="0.25">
      <c r="A6866" s="157">
        <v>32248</v>
      </c>
      <c r="B6866" s="158" t="e">
        <f>NA()</f>
        <v>#N/A</v>
      </c>
    </row>
    <row r="6867" spans="1:2" x14ac:dyDescent="0.25">
      <c r="A6867" s="157">
        <v>32251</v>
      </c>
      <c r="B6867" s="158" t="e">
        <f>NA()</f>
        <v>#N/A</v>
      </c>
    </row>
    <row r="6868" spans="1:2" x14ac:dyDescent="0.25">
      <c r="A6868" s="157">
        <v>32252</v>
      </c>
      <c r="B6868" s="158" t="e">
        <f>NA()</f>
        <v>#N/A</v>
      </c>
    </row>
    <row r="6869" spans="1:2" x14ac:dyDescent="0.25">
      <c r="A6869" s="157">
        <v>32253</v>
      </c>
      <c r="B6869" s="158" t="e">
        <f>NA()</f>
        <v>#N/A</v>
      </c>
    </row>
    <row r="6870" spans="1:2" x14ac:dyDescent="0.25">
      <c r="A6870" s="157">
        <v>32254</v>
      </c>
      <c r="B6870" s="158" t="e">
        <f>NA()</f>
        <v>#N/A</v>
      </c>
    </row>
    <row r="6871" spans="1:2" x14ac:dyDescent="0.25">
      <c r="A6871" s="157">
        <v>32255</v>
      </c>
      <c r="B6871" s="158" t="e">
        <f>NA()</f>
        <v>#N/A</v>
      </c>
    </row>
    <row r="6872" spans="1:2" x14ac:dyDescent="0.25">
      <c r="A6872" s="157">
        <v>32258</v>
      </c>
      <c r="B6872" s="158" t="e">
        <f>NA()</f>
        <v>#N/A</v>
      </c>
    </row>
    <row r="6873" spans="1:2" x14ac:dyDescent="0.25">
      <c r="A6873" s="157">
        <v>32259</v>
      </c>
      <c r="B6873" s="158" t="e">
        <f>NA()</f>
        <v>#N/A</v>
      </c>
    </row>
    <row r="6874" spans="1:2" x14ac:dyDescent="0.25">
      <c r="A6874" s="157">
        <v>32260</v>
      </c>
      <c r="B6874" s="158" t="e">
        <f>NA()</f>
        <v>#N/A</v>
      </c>
    </row>
    <row r="6875" spans="1:2" x14ac:dyDescent="0.25">
      <c r="A6875" s="157">
        <v>32261</v>
      </c>
      <c r="B6875" s="158" t="e">
        <f>NA()</f>
        <v>#N/A</v>
      </c>
    </row>
    <row r="6876" spans="1:2" x14ac:dyDescent="0.25">
      <c r="A6876" s="157">
        <v>32262</v>
      </c>
      <c r="B6876" s="158" t="e">
        <f>NA()</f>
        <v>#N/A</v>
      </c>
    </row>
    <row r="6877" spans="1:2" x14ac:dyDescent="0.25">
      <c r="A6877" s="157">
        <v>32265</v>
      </c>
      <c r="B6877" s="158" t="e">
        <f>NA()</f>
        <v>#N/A</v>
      </c>
    </row>
    <row r="6878" spans="1:2" x14ac:dyDescent="0.25">
      <c r="A6878" s="157">
        <v>32266</v>
      </c>
      <c r="B6878" s="158" t="e">
        <f>NA()</f>
        <v>#N/A</v>
      </c>
    </row>
    <row r="6879" spans="1:2" x14ac:dyDescent="0.25">
      <c r="A6879" s="157">
        <v>32267</v>
      </c>
      <c r="B6879" s="158" t="e">
        <f>NA()</f>
        <v>#N/A</v>
      </c>
    </row>
    <row r="6880" spans="1:2" x14ac:dyDescent="0.25">
      <c r="A6880" s="157">
        <v>32268</v>
      </c>
      <c r="B6880" s="158" t="e">
        <f>NA()</f>
        <v>#N/A</v>
      </c>
    </row>
    <row r="6881" spans="1:2" x14ac:dyDescent="0.25">
      <c r="A6881" s="157">
        <v>32269</v>
      </c>
      <c r="B6881" s="158" t="e">
        <f>NA()</f>
        <v>#N/A</v>
      </c>
    </row>
    <row r="6882" spans="1:2" x14ac:dyDescent="0.25">
      <c r="A6882" s="157">
        <v>32272</v>
      </c>
      <c r="B6882" s="158" t="e">
        <f>NA()</f>
        <v>#N/A</v>
      </c>
    </row>
    <row r="6883" spans="1:2" x14ac:dyDescent="0.25">
      <c r="A6883" s="157">
        <v>32273</v>
      </c>
      <c r="B6883" s="158" t="e">
        <f>NA()</f>
        <v>#N/A</v>
      </c>
    </row>
    <row r="6884" spans="1:2" x14ac:dyDescent="0.25">
      <c r="A6884" s="157">
        <v>32274</v>
      </c>
      <c r="B6884" s="158" t="e">
        <f>NA()</f>
        <v>#N/A</v>
      </c>
    </row>
    <row r="6885" spans="1:2" x14ac:dyDescent="0.25">
      <c r="A6885" s="157">
        <v>32275</v>
      </c>
      <c r="B6885" s="158" t="e">
        <f>NA()</f>
        <v>#N/A</v>
      </c>
    </row>
    <row r="6886" spans="1:2" x14ac:dyDescent="0.25">
      <c r="A6886" s="157">
        <v>32276</v>
      </c>
      <c r="B6886" s="158" t="e">
        <f>NA()</f>
        <v>#N/A</v>
      </c>
    </row>
    <row r="6887" spans="1:2" x14ac:dyDescent="0.25">
      <c r="A6887" s="157">
        <v>32279</v>
      </c>
      <c r="B6887" s="158" t="e">
        <f>NA()</f>
        <v>#N/A</v>
      </c>
    </row>
    <row r="6888" spans="1:2" x14ac:dyDescent="0.25">
      <c r="A6888" s="157">
        <v>32280</v>
      </c>
      <c r="B6888" s="158" t="e">
        <f>NA()</f>
        <v>#N/A</v>
      </c>
    </row>
    <row r="6889" spans="1:2" x14ac:dyDescent="0.25">
      <c r="A6889" s="157">
        <v>32281</v>
      </c>
      <c r="B6889" s="158" t="e">
        <f>NA()</f>
        <v>#N/A</v>
      </c>
    </row>
    <row r="6890" spans="1:2" x14ac:dyDescent="0.25">
      <c r="A6890" s="157">
        <v>32282</v>
      </c>
      <c r="B6890" s="158" t="e">
        <f>NA()</f>
        <v>#N/A</v>
      </c>
    </row>
    <row r="6891" spans="1:2" x14ac:dyDescent="0.25">
      <c r="A6891" s="157">
        <v>32283</v>
      </c>
      <c r="B6891" s="158" t="e">
        <f>NA()</f>
        <v>#N/A</v>
      </c>
    </row>
    <row r="6892" spans="1:2" x14ac:dyDescent="0.25">
      <c r="A6892" s="157">
        <v>32286</v>
      </c>
      <c r="B6892" s="158" t="e">
        <f>NA()</f>
        <v>#N/A</v>
      </c>
    </row>
    <row r="6893" spans="1:2" x14ac:dyDescent="0.25">
      <c r="A6893" s="157">
        <v>32287</v>
      </c>
      <c r="B6893" s="158" t="e">
        <f>NA()</f>
        <v>#N/A</v>
      </c>
    </row>
    <row r="6894" spans="1:2" x14ac:dyDescent="0.25">
      <c r="A6894" s="157">
        <v>32288</v>
      </c>
      <c r="B6894" s="158" t="e">
        <f>NA()</f>
        <v>#N/A</v>
      </c>
    </row>
    <row r="6895" spans="1:2" x14ac:dyDescent="0.25">
      <c r="A6895" s="157">
        <v>32289</v>
      </c>
      <c r="B6895" s="158" t="e">
        <f>NA()</f>
        <v>#N/A</v>
      </c>
    </row>
    <row r="6896" spans="1:2" x14ac:dyDescent="0.25">
      <c r="A6896" s="157">
        <v>32290</v>
      </c>
      <c r="B6896" s="158" t="e">
        <f>NA()</f>
        <v>#N/A</v>
      </c>
    </row>
    <row r="6897" spans="1:2" x14ac:dyDescent="0.25">
      <c r="A6897" s="157">
        <v>32293</v>
      </c>
      <c r="B6897" s="158" t="e">
        <f>NA()</f>
        <v>#N/A</v>
      </c>
    </row>
    <row r="6898" spans="1:2" x14ac:dyDescent="0.25">
      <c r="A6898" s="157">
        <v>32294</v>
      </c>
      <c r="B6898" s="158" t="e">
        <f>NA()</f>
        <v>#N/A</v>
      </c>
    </row>
    <row r="6899" spans="1:2" x14ac:dyDescent="0.25">
      <c r="A6899" s="157">
        <v>32295</v>
      </c>
      <c r="B6899" s="158" t="e">
        <f>NA()</f>
        <v>#N/A</v>
      </c>
    </row>
    <row r="6900" spans="1:2" x14ac:dyDescent="0.25">
      <c r="A6900" s="157">
        <v>32296</v>
      </c>
      <c r="B6900" s="158" t="e">
        <f>NA()</f>
        <v>#N/A</v>
      </c>
    </row>
    <row r="6901" spans="1:2" x14ac:dyDescent="0.25">
      <c r="A6901" s="157">
        <v>32297</v>
      </c>
      <c r="B6901" s="158" t="e">
        <f>NA()</f>
        <v>#N/A</v>
      </c>
    </row>
    <row r="6902" spans="1:2" x14ac:dyDescent="0.25">
      <c r="A6902" s="157">
        <v>32300</v>
      </c>
      <c r="B6902" s="158" t="e">
        <f>NA()</f>
        <v>#N/A</v>
      </c>
    </row>
    <row r="6903" spans="1:2" x14ac:dyDescent="0.25">
      <c r="A6903" s="157">
        <v>32301</v>
      </c>
      <c r="B6903" s="158" t="e">
        <f>NA()</f>
        <v>#N/A</v>
      </c>
    </row>
    <row r="6904" spans="1:2" x14ac:dyDescent="0.25">
      <c r="A6904" s="157">
        <v>32302</v>
      </c>
      <c r="B6904" s="158" t="e">
        <f>NA()</f>
        <v>#N/A</v>
      </c>
    </row>
    <row r="6905" spans="1:2" x14ac:dyDescent="0.25">
      <c r="A6905" s="157">
        <v>32303</v>
      </c>
      <c r="B6905" s="158" t="e">
        <f>NA()</f>
        <v>#N/A</v>
      </c>
    </row>
    <row r="6906" spans="1:2" x14ac:dyDescent="0.25">
      <c r="A6906" s="157">
        <v>32304</v>
      </c>
      <c r="B6906" s="158" t="e">
        <f>NA()</f>
        <v>#N/A</v>
      </c>
    </row>
    <row r="6907" spans="1:2" x14ac:dyDescent="0.25">
      <c r="A6907" s="157">
        <v>32307</v>
      </c>
      <c r="B6907" s="158" t="e">
        <f>NA()</f>
        <v>#N/A</v>
      </c>
    </row>
    <row r="6908" spans="1:2" x14ac:dyDescent="0.25">
      <c r="A6908" s="157">
        <v>32308</v>
      </c>
      <c r="B6908" s="158" t="e">
        <f>NA()</f>
        <v>#N/A</v>
      </c>
    </row>
    <row r="6909" spans="1:2" x14ac:dyDescent="0.25">
      <c r="A6909" s="157">
        <v>32309</v>
      </c>
      <c r="B6909" s="158" t="e">
        <f>NA()</f>
        <v>#N/A</v>
      </c>
    </row>
    <row r="6910" spans="1:2" x14ac:dyDescent="0.25">
      <c r="A6910" s="157">
        <v>32310</v>
      </c>
      <c r="B6910" s="158" t="e">
        <f>NA()</f>
        <v>#N/A</v>
      </c>
    </row>
    <row r="6911" spans="1:2" x14ac:dyDescent="0.25">
      <c r="A6911" s="157">
        <v>32311</v>
      </c>
      <c r="B6911" s="158" t="e">
        <f>NA()</f>
        <v>#N/A</v>
      </c>
    </row>
    <row r="6912" spans="1:2" x14ac:dyDescent="0.25">
      <c r="A6912" s="157">
        <v>32314</v>
      </c>
      <c r="B6912" s="158" t="e">
        <f>NA()</f>
        <v>#N/A</v>
      </c>
    </row>
    <row r="6913" spans="1:2" x14ac:dyDescent="0.25">
      <c r="A6913" s="157">
        <v>32315</v>
      </c>
      <c r="B6913" s="158" t="e">
        <f>NA()</f>
        <v>#N/A</v>
      </c>
    </row>
    <row r="6914" spans="1:2" x14ac:dyDescent="0.25">
      <c r="A6914" s="157">
        <v>32316</v>
      </c>
      <c r="B6914" s="158" t="e">
        <f>NA()</f>
        <v>#N/A</v>
      </c>
    </row>
    <row r="6915" spans="1:2" x14ac:dyDescent="0.25">
      <c r="A6915" s="157">
        <v>32317</v>
      </c>
      <c r="B6915" s="158" t="e">
        <f>NA()</f>
        <v>#N/A</v>
      </c>
    </row>
    <row r="6916" spans="1:2" x14ac:dyDescent="0.25">
      <c r="A6916" s="157">
        <v>32318</v>
      </c>
      <c r="B6916" s="158" t="e">
        <f>NA()</f>
        <v>#N/A</v>
      </c>
    </row>
    <row r="6917" spans="1:2" x14ac:dyDescent="0.25">
      <c r="A6917" s="157">
        <v>32321</v>
      </c>
      <c r="B6917" s="158" t="e">
        <f>NA()</f>
        <v>#N/A</v>
      </c>
    </row>
    <row r="6918" spans="1:2" x14ac:dyDescent="0.25">
      <c r="A6918" s="157">
        <v>32322</v>
      </c>
      <c r="B6918" s="158" t="e">
        <f>NA()</f>
        <v>#N/A</v>
      </c>
    </row>
    <row r="6919" spans="1:2" x14ac:dyDescent="0.25">
      <c r="A6919" s="157">
        <v>32323</v>
      </c>
      <c r="B6919" s="158" t="e">
        <f>NA()</f>
        <v>#N/A</v>
      </c>
    </row>
    <row r="6920" spans="1:2" x14ac:dyDescent="0.25">
      <c r="A6920" s="157">
        <v>32324</v>
      </c>
      <c r="B6920" s="158" t="e">
        <f>NA()</f>
        <v>#N/A</v>
      </c>
    </row>
    <row r="6921" spans="1:2" x14ac:dyDescent="0.25">
      <c r="A6921" s="157">
        <v>32325</v>
      </c>
      <c r="B6921" s="158" t="e">
        <f>NA()</f>
        <v>#N/A</v>
      </c>
    </row>
    <row r="6922" spans="1:2" x14ac:dyDescent="0.25">
      <c r="A6922" s="157">
        <v>32328</v>
      </c>
      <c r="B6922" s="158" t="e">
        <f>NA()</f>
        <v>#N/A</v>
      </c>
    </row>
    <row r="6923" spans="1:2" x14ac:dyDescent="0.25">
      <c r="A6923" s="157">
        <v>32329</v>
      </c>
      <c r="B6923" s="158" t="e">
        <f>NA()</f>
        <v>#N/A</v>
      </c>
    </row>
    <row r="6924" spans="1:2" x14ac:dyDescent="0.25">
      <c r="A6924" s="157">
        <v>32330</v>
      </c>
      <c r="B6924" s="158" t="e">
        <f>NA()</f>
        <v>#N/A</v>
      </c>
    </row>
    <row r="6925" spans="1:2" x14ac:dyDescent="0.25">
      <c r="A6925" s="157">
        <v>32331</v>
      </c>
      <c r="B6925" s="158" t="e">
        <f>NA()</f>
        <v>#N/A</v>
      </c>
    </row>
    <row r="6926" spans="1:2" x14ac:dyDescent="0.25">
      <c r="A6926" s="157">
        <v>32332</v>
      </c>
      <c r="B6926" s="158" t="e">
        <f>NA()</f>
        <v>#N/A</v>
      </c>
    </row>
    <row r="6927" spans="1:2" x14ac:dyDescent="0.25">
      <c r="A6927" s="157">
        <v>32335</v>
      </c>
      <c r="B6927" s="158" t="e">
        <f>NA()</f>
        <v>#N/A</v>
      </c>
    </row>
    <row r="6928" spans="1:2" x14ac:dyDescent="0.25">
      <c r="A6928" s="157">
        <v>32336</v>
      </c>
      <c r="B6928" s="158" t="e">
        <f>NA()</f>
        <v>#N/A</v>
      </c>
    </row>
    <row r="6929" spans="1:2" x14ac:dyDescent="0.25">
      <c r="A6929" s="157">
        <v>32337</v>
      </c>
      <c r="B6929" s="158" t="e">
        <f>NA()</f>
        <v>#N/A</v>
      </c>
    </row>
    <row r="6930" spans="1:2" x14ac:dyDescent="0.25">
      <c r="A6930" s="157">
        <v>32338</v>
      </c>
      <c r="B6930" s="158" t="e">
        <f>NA()</f>
        <v>#N/A</v>
      </c>
    </row>
    <row r="6931" spans="1:2" x14ac:dyDescent="0.25">
      <c r="A6931" s="157">
        <v>32339</v>
      </c>
      <c r="B6931" s="158" t="e">
        <f>NA()</f>
        <v>#N/A</v>
      </c>
    </row>
    <row r="6932" spans="1:2" x14ac:dyDescent="0.25">
      <c r="A6932" s="157">
        <v>32342</v>
      </c>
      <c r="B6932" s="158" t="e">
        <f>NA()</f>
        <v>#N/A</v>
      </c>
    </row>
    <row r="6933" spans="1:2" x14ac:dyDescent="0.25">
      <c r="A6933" s="157">
        <v>32343</v>
      </c>
      <c r="B6933" s="158" t="e">
        <f>NA()</f>
        <v>#N/A</v>
      </c>
    </row>
    <row r="6934" spans="1:2" x14ac:dyDescent="0.25">
      <c r="A6934" s="157">
        <v>32344</v>
      </c>
      <c r="B6934" s="158" t="e">
        <f>NA()</f>
        <v>#N/A</v>
      </c>
    </row>
    <row r="6935" spans="1:2" x14ac:dyDescent="0.25">
      <c r="A6935" s="157">
        <v>32345</v>
      </c>
      <c r="B6935" s="158" t="e">
        <f>NA()</f>
        <v>#N/A</v>
      </c>
    </row>
    <row r="6936" spans="1:2" x14ac:dyDescent="0.25">
      <c r="A6936" s="157">
        <v>32346</v>
      </c>
      <c r="B6936" s="158" t="e">
        <f>NA()</f>
        <v>#N/A</v>
      </c>
    </row>
    <row r="6937" spans="1:2" x14ac:dyDescent="0.25">
      <c r="A6937" s="157">
        <v>32349</v>
      </c>
      <c r="B6937" s="158" t="e">
        <f>NA()</f>
        <v>#N/A</v>
      </c>
    </row>
    <row r="6938" spans="1:2" x14ac:dyDescent="0.25">
      <c r="A6938" s="157">
        <v>32350</v>
      </c>
      <c r="B6938" s="158" t="e">
        <f>NA()</f>
        <v>#N/A</v>
      </c>
    </row>
    <row r="6939" spans="1:2" x14ac:dyDescent="0.25">
      <c r="A6939" s="157">
        <v>32351</v>
      </c>
      <c r="B6939" s="158" t="e">
        <f>NA()</f>
        <v>#N/A</v>
      </c>
    </row>
    <row r="6940" spans="1:2" x14ac:dyDescent="0.25">
      <c r="A6940" s="157">
        <v>32352</v>
      </c>
      <c r="B6940" s="158" t="e">
        <f>NA()</f>
        <v>#N/A</v>
      </c>
    </row>
    <row r="6941" spans="1:2" x14ac:dyDescent="0.25">
      <c r="A6941" s="157">
        <v>32353</v>
      </c>
      <c r="B6941" s="158" t="e">
        <f>NA()</f>
        <v>#N/A</v>
      </c>
    </row>
    <row r="6942" spans="1:2" x14ac:dyDescent="0.25">
      <c r="A6942" s="157">
        <v>32356</v>
      </c>
      <c r="B6942" s="158" t="e">
        <f>NA()</f>
        <v>#N/A</v>
      </c>
    </row>
    <row r="6943" spans="1:2" x14ac:dyDescent="0.25">
      <c r="A6943" s="157">
        <v>32357</v>
      </c>
      <c r="B6943" s="158" t="e">
        <f>NA()</f>
        <v>#N/A</v>
      </c>
    </row>
    <row r="6944" spans="1:2" x14ac:dyDescent="0.25">
      <c r="A6944" s="157">
        <v>32358</v>
      </c>
      <c r="B6944" s="158" t="e">
        <f>NA()</f>
        <v>#N/A</v>
      </c>
    </row>
    <row r="6945" spans="1:2" x14ac:dyDescent="0.25">
      <c r="A6945" s="157">
        <v>32359</v>
      </c>
      <c r="B6945" s="158" t="e">
        <f>NA()</f>
        <v>#N/A</v>
      </c>
    </row>
    <row r="6946" spans="1:2" x14ac:dyDescent="0.25">
      <c r="A6946" s="157">
        <v>32360</v>
      </c>
      <c r="B6946" s="158" t="e">
        <f>NA()</f>
        <v>#N/A</v>
      </c>
    </row>
    <row r="6947" spans="1:2" x14ac:dyDescent="0.25">
      <c r="A6947" s="157">
        <v>32363</v>
      </c>
      <c r="B6947" s="158" t="e">
        <f>NA()</f>
        <v>#N/A</v>
      </c>
    </row>
    <row r="6948" spans="1:2" x14ac:dyDescent="0.25">
      <c r="A6948" s="157">
        <v>32364</v>
      </c>
      <c r="B6948" s="158" t="e">
        <f>NA()</f>
        <v>#N/A</v>
      </c>
    </row>
    <row r="6949" spans="1:2" x14ac:dyDescent="0.25">
      <c r="A6949" s="157">
        <v>32365</v>
      </c>
      <c r="B6949" s="158" t="e">
        <f>NA()</f>
        <v>#N/A</v>
      </c>
    </row>
    <row r="6950" spans="1:2" x14ac:dyDescent="0.25">
      <c r="A6950" s="157">
        <v>32366</v>
      </c>
      <c r="B6950" s="158" t="e">
        <f>NA()</f>
        <v>#N/A</v>
      </c>
    </row>
    <row r="6951" spans="1:2" x14ac:dyDescent="0.25">
      <c r="A6951" s="157">
        <v>32367</v>
      </c>
      <c r="B6951" s="158" t="e">
        <f>NA()</f>
        <v>#N/A</v>
      </c>
    </row>
    <row r="6952" spans="1:2" x14ac:dyDescent="0.25">
      <c r="A6952" s="157">
        <v>32370</v>
      </c>
      <c r="B6952" s="158" t="e">
        <f>NA()</f>
        <v>#N/A</v>
      </c>
    </row>
    <row r="6953" spans="1:2" x14ac:dyDescent="0.25">
      <c r="A6953" s="157">
        <v>32371</v>
      </c>
      <c r="B6953" s="158" t="e">
        <f>NA()</f>
        <v>#N/A</v>
      </c>
    </row>
    <row r="6954" spans="1:2" x14ac:dyDescent="0.25">
      <c r="A6954" s="157">
        <v>32372</v>
      </c>
      <c r="B6954" s="158" t="e">
        <f>NA()</f>
        <v>#N/A</v>
      </c>
    </row>
    <row r="6955" spans="1:2" x14ac:dyDescent="0.25">
      <c r="A6955" s="157">
        <v>32373</v>
      </c>
      <c r="B6955" s="158" t="e">
        <f>NA()</f>
        <v>#N/A</v>
      </c>
    </row>
    <row r="6956" spans="1:2" x14ac:dyDescent="0.25">
      <c r="A6956" s="157">
        <v>32374</v>
      </c>
      <c r="B6956" s="158" t="e">
        <f>NA()</f>
        <v>#N/A</v>
      </c>
    </row>
    <row r="6957" spans="1:2" x14ac:dyDescent="0.25">
      <c r="A6957" s="157">
        <v>32377</v>
      </c>
      <c r="B6957" s="158" t="e">
        <f>NA()</f>
        <v>#N/A</v>
      </c>
    </row>
    <row r="6958" spans="1:2" x14ac:dyDescent="0.25">
      <c r="A6958" s="157">
        <v>32378</v>
      </c>
      <c r="B6958" s="158" t="e">
        <f>NA()</f>
        <v>#N/A</v>
      </c>
    </row>
    <row r="6959" spans="1:2" x14ac:dyDescent="0.25">
      <c r="A6959" s="157">
        <v>32379</v>
      </c>
      <c r="B6959" s="158" t="e">
        <f>NA()</f>
        <v>#N/A</v>
      </c>
    </row>
    <row r="6960" spans="1:2" x14ac:dyDescent="0.25">
      <c r="A6960" s="157">
        <v>32380</v>
      </c>
      <c r="B6960" s="158" t="e">
        <f>NA()</f>
        <v>#N/A</v>
      </c>
    </row>
    <row r="6961" spans="1:2" x14ac:dyDescent="0.25">
      <c r="A6961" s="157">
        <v>32381</v>
      </c>
      <c r="B6961" s="158" t="e">
        <f>NA()</f>
        <v>#N/A</v>
      </c>
    </row>
    <row r="6962" spans="1:2" x14ac:dyDescent="0.25">
      <c r="A6962" s="157">
        <v>32384</v>
      </c>
      <c r="B6962" s="158" t="e">
        <f>NA()</f>
        <v>#N/A</v>
      </c>
    </row>
    <row r="6963" spans="1:2" x14ac:dyDescent="0.25">
      <c r="A6963" s="157">
        <v>32385</v>
      </c>
      <c r="B6963" s="158" t="e">
        <f>NA()</f>
        <v>#N/A</v>
      </c>
    </row>
    <row r="6964" spans="1:2" x14ac:dyDescent="0.25">
      <c r="A6964" s="157">
        <v>32386</v>
      </c>
      <c r="B6964" s="158" t="e">
        <f>NA()</f>
        <v>#N/A</v>
      </c>
    </row>
    <row r="6965" spans="1:2" x14ac:dyDescent="0.25">
      <c r="A6965" s="157">
        <v>32387</v>
      </c>
      <c r="B6965" s="158" t="e">
        <f>NA()</f>
        <v>#N/A</v>
      </c>
    </row>
    <row r="6966" spans="1:2" x14ac:dyDescent="0.25">
      <c r="A6966" s="157">
        <v>32388</v>
      </c>
      <c r="B6966" s="158" t="e">
        <f>NA()</f>
        <v>#N/A</v>
      </c>
    </row>
    <row r="6967" spans="1:2" x14ac:dyDescent="0.25">
      <c r="A6967" s="157">
        <v>32391</v>
      </c>
      <c r="B6967" s="158" t="e">
        <f>NA()</f>
        <v>#N/A</v>
      </c>
    </row>
    <row r="6968" spans="1:2" x14ac:dyDescent="0.25">
      <c r="A6968" s="157">
        <v>32392</v>
      </c>
      <c r="B6968" s="158" t="e">
        <f>NA()</f>
        <v>#N/A</v>
      </c>
    </row>
    <row r="6969" spans="1:2" x14ac:dyDescent="0.25">
      <c r="A6969" s="157">
        <v>32393</v>
      </c>
      <c r="B6969" s="158" t="e">
        <f>NA()</f>
        <v>#N/A</v>
      </c>
    </row>
    <row r="6970" spans="1:2" x14ac:dyDescent="0.25">
      <c r="A6970" s="157">
        <v>32394</v>
      </c>
      <c r="B6970" s="158" t="e">
        <f>NA()</f>
        <v>#N/A</v>
      </c>
    </row>
    <row r="6971" spans="1:2" x14ac:dyDescent="0.25">
      <c r="A6971" s="157">
        <v>32395</v>
      </c>
      <c r="B6971" s="158" t="e">
        <f>NA()</f>
        <v>#N/A</v>
      </c>
    </row>
    <row r="6972" spans="1:2" x14ac:dyDescent="0.25">
      <c r="A6972" s="157">
        <v>32398</v>
      </c>
      <c r="B6972" s="158" t="e">
        <f>NA()</f>
        <v>#N/A</v>
      </c>
    </row>
    <row r="6973" spans="1:2" x14ac:dyDescent="0.25">
      <c r="A6973" s="157">
        <v>32399</v>
      </c>
      <c r="B6973" s="158" t="e">
        <f>NA()</f>
        <v>#N/A</v>
      </c>
    </row>
    <row r="6974" spans="1:2" x14ac:dyDescent="0.25">
      <c r="A6974" s="157">
        <v>32400</v>
      </c>
      <c r="B6974" s="158" t="e">
        <f>NA()</f>
        <v>#N/A</v>
      </c>
    </row>
    <row r="6975" spans="1:2" x14ac:dyDescent="0.25">
      <c r="A6975" s="157">
        <v>32401</v>
      </c>
      <c r="B6975" s="158" t="e">
        <f>NA()</f>
        <v>#N/A</v>
      </c>
    </row>
    <row r="6976" spans="1:2" x14ac:dyDescent="0.25">
      <c r="A6976" s="157">
        <v>32402</v>
      </c>
      <c r="B6976" s="158" t="e">
        <f>NA()</f>
        <v>#N/A</v>
      </c>
    </row>
    <row r="6977" spans="1:2" x14ac:dyDescent="0.25">
      <c r="A6977" s="157">
        <v>32405</v>
      </c>
      <c r="B6977" s="158" t="e">
        <f>NA()</f>
        <v>#N/A</v>
      </c>
    </row>
    <row r="6978" spans="1:2" x14ac:dyDescent="0.25">
      <c r="A6978" s="157">
        <v>32406</v>
      </c>
      <c r="B6978" s="158" t="e">
        <f>NA()</f>
        <v>#N/A</v>
      </c>
    </row>
    <row r="6979" spans="1:2" x14ac:dyDescent="0.25">
      <c r="A6979" s="157">
        <v>32407</v>
      </c>
      <c r="B6979" s="158" t="e">
        <f>NA()</f>
        <v>#N/A</v>
      </c>
    </row>
    <row r="6980" spans="1:2" x14ac:dyDescent="0.25">
      <c r="A6980" s="157">
        <v>32408</v>
      </c>
      <c r="B6980" s="158" t="e">
        <f>NA()</f>
        <v>#N/A</v>
      </c>
    </row>
    <row r="6981" spans="1:2" x14ac:dyDescent="0.25">
      <c r="A6981" s="157">
        <v>32409</v>
      </c>
      <c r="B6981" s="158" t="e">
        <f>NA()</f>
        <v>#N/A</v>
      </c>
    </row>
    <row r="6982" spans="1:2" x14ac:dyDescent="0.25">
      <c r="A6982" s="157">
        <v>32412</v>
      </c>
      <c r="B6982" s="158" t="e">
        <f>NA()</f>
        <v>#N/A</v>
      </c>
    </row>
    <row r="6983" spans="1:2" x14ac:dyDescent="0.25">
      <c r="A6983" s="157">
        <v>32413</v>
      </c>
      <c r="B6983" s="158" t="e">
        <f>NA()</f>
        <v>#N/A</v>
      </c>
    </row>
    <row r="6984" spans="1:2" x14ac:dyDescent="0.25">
      <c r="A6984" s="157">
        <v>32414</v>
      </c>
      <c r="B6984" s="158" t="e">
        <f>NA()</f>
        <v>#N/A</v>
      </c>
    </row>
    <row r="6985" spans="1:2" x14ac:dyDescent="0.25">
      <c r="A6985" s="157">
        <v>32415</v>
      </c>
      <c r="B6985" s="158" t="e">
        <f>NA()</f>
        <v>#N/A</v>
      </c>
    </row>
    <row r="6986" spans="1:2" x14ac:dyDescent="0.25">
      <c r="A6986" s="157">
        <v>32416</v>
      </c>
      <c r="B6986" s="158" t="e">
        <f>NA()</f>
        <v>#N/A</v>
      </c>
    </row>
    <row r="6987" spans="1:2" x14ac:dyDescent="0.25">
      <c r="A6987" s="157">
        <v>32419</v>
      </c>
      <c r="B6987" s="158" t="e">
        <f>NA()</f>
        <v>#N/A</v>
      </c>
    </row>
    <row r="6988" spans="1:2" x14ac:dyDescent="0.25">
      <c r="A6988" s="157">
        <v>32420</v>
      </c>
      <c r="B6988" s="158" t="e">
        <f>NA()</f>
        <v>#N/A</v>
      </c>
    </row>
    <row r="6989" spans="1:2" x14ac:dyDescent="0.25">
      <c r="A6989" s="157">
        <v>32421</v>
      </c>
      <c r="B6989" s="158" t="e">
        <f>NA()</f>
        <v>#N/A</v>
      </c>
    </row>
    <row r="6990" spans="1:2" x14ac:dyDescent="0.25">
      <c r="A6990" s="157">
        <v>32422</v>
      </c>
      <c r="B6990" s="158" t="e">
        <f>NA()</f>
        <v>#N/A</v>
      </c>
    </row>
    <row r="6991" spans="1:2" x14ac:dyDescent="0.25">
      <c r="A6991" s="157">
        <v>32423</v>
      </c>
      <c r="B6991" s="158" t="e">
        <f>NA()</f>
        <v>#N/A</v>
      </c>
    </row>
    <row r="6992" spans="1:2" x14ac:dyDescent="0.25">
      <c r="A6992" s="157">
        <v>32426</v>
      </c>
      <c r="B6992" s="158" t="e">
        <f>NA()</f>
        <v>#N/A</v>
      </c>
    </row>
    <row r="6993" spans="1:2" x14ac:dyDescent="0.25">
      <c r="A6993" s="157">
        <v>32427</v>
      </c>
      <c r="B6993" s="158" t="e">
        <f>NA()</f>
        <v>#N/A</v>
      </c>
    </row>
    <row r="6994" spans="1:2" x14ac:dyDescent="0.25">
      <c r="A6994" s="157">
        <v>32428</v>
      </c>
      <c r="B6994" s="158" t="e">
        <f>NA()</f>
        <v>#N/A</v>
      </c>
    </row>
    <row r="6995" spans="1:2" x14ac:dyDescent="0.25">
      <c r="A6995" s="157">
        <v>32429</v>
      </c>
      <c r="B6995" s="158" t="e">
        <f>NA()</f>
        <v>#N/A</v>
      </c>
    </row>
    <row r="6996" spans="1:2" x14ac:dyDescent="0.25">
      <c r="A6996" s="157">
        <v>32430</v>
      </c>
      <c r="B6996" s="158" t="e">
        <f>NA()</f>
        <v>#N/A</v>
      </c>
    </row>
    <row r="6997" spans="1:2" x14ac:dyDescent="0.25">
      <c r="A6997" s="157">
        <v>32433</v>
      </c>
      <c r="B6997" s="158" t="e">
        <f>NA()</f>
        <v>#N/A</v>
      </c>
    </row>
    <row r="6998" spans="1:2" x14ac:dyDescent="0.25">
      <c r="A6998" s="157">
        <v>32434</v>
      </c>
      <c r="B6998" s="158" t="e">
        <f>NA()</f>
        <v>#N/A</v>
      </c>
    </row>
    <row r="6999" spans="1:2" x14ac:dyDescent="0.25">
      <c r="A6999" s="157">
        <v>32435</v>
      </c>
      <c r="B6999" s="158" t="e">
        <f>NA()</f>
        <v>#N/A</v>
      </c>
    </row>
    <row r="7000" spans="1:2" x14ac:dyDescent="0.25">
      <c r="A7000" s="157">
        <v>32436</v>
      </c>
      <c r="B7000" s="158" t="e">
        <f>NA()</f>
        <v>#N/A</v>
      </c>
    </row>
    <row r="7001" spans="1:2" x14ac:dyDescent="0.25">
      <c r="A7001" s="157">
        <v>32437</v>
      </c>
      <c r="B7001" s="158" t="e">
        <f>NA()</f>
        <v>#N/A</v>
      </c>
    </row>
    <row r="7002" spans="1:2" x14ac:dyDescent="0.25">
      <c r="A7002" s="157">
        <v>32440</v>
      </c>
      <c r="B7002" s="158" t="e">
        <f>NA()</f>
        <v>#N/A</v>
      </c>
    </row>
    <row r="7003" spans="1:2" x14ac:dyDescent="0.25">
      <c r="A7003" s="157">
        <v>32441</v>
      </c>
      <c r="B7003" s="158" t="e">
        <f>NA()</f>
        <v>#N/A</v>
      </c>
    </row>
    <row r="7004" spans="1:2" x14ac:dyDescent="0.25">
      <c r="A7004" s="157">
        <v>32442</v>
      </c>
      <c r="B7004" s="158" t="e">
        <f>NA()</f>
        <v>#N/A</v>
      </c>
    </row>
    <row r="7005" spans="1:2" x14ac:dyDescent="0.25">
      <c r="A7005" s="157">
        <v>32443</v>
      </c>
      <c r="B7005" s="158" t="e">
        <f>NA()</f>
        <v>#N/A</v>
      </c>
    </row>
    <row r="7006" spans="1:2" x14ac:dyDescent="0.25">
      <c r="A7006" s="157">
        <v>32444</v>
      </c>
      <c r="B7006" s="158" t="e">
        <f>NA()</f>
        <v>#N/A</v>
      </c>
    </row>
    <row r="7007" spans="1:2" x14ac:dyDescent="0.25">
      <c r="A7007" s="157">
        <v>32447</v>
      </c>
      <c r="B7007" s="158" t="e">
        <f>NA()</f>
        <v>#N/A</v>
      </c>
    </row>
    <row r="7008" spans="1:2" x14ac:dyDescent="0.25">
      <c r="A7008" s="157">
        <v>32448</v>
      </c>
      <c r="B7008" s="158" t="e">
        <f>NA()</f>
        <v>#N/A</v>
      </c>
    </row>
    <row r="7009" spans="1:2" x14ac:dyDescent="0.25">
      <c r="A7009" s="157">
        <v>32449</v>
      </c>
      <c r="B7009" s="158" t="e">
        <f>NA()</f>
        <v>#N/A</v>
      </c>
    </row>
    <row r="7010" spans="1:2" x14ac:dyDescent="0.25">
      <c r="A7010" s="157">
        <v>32450</v>
      </c>
      <c r="B7010" s="158" t="e">
        <f>NA()</f>
        <v>#N/A</v>
      </c>
    </row>
    <row r="7011" spans="1:2" x14ac:dyDescent="0.25">
      <c r="A7011" s="157">
        <v>32451</v>
      </c>
      <c r="B7011" s="158" t="e">
        <f>NA()</f>
        <v>#N/A</v>
      </c>
    </row>
    <row r="7012" spans="1:2" x14ac:dyDescent="0.25">
      <c r="A7012" s="157">
        <v>32454</v>
      </c>
      <c r="B7012" s="158" t="e">
        <f>NA()</f>
        <v>#N/A</v>
      </c>
    </row>
    <row r="7013" spans="1:2" x14ac:dyDescent="0.25">
      <c r="A7013" s="157">
        <v>32455</v>
      </c>
      <c r="B7013" s="158" t="e">
        <f>NA()</f>
        <v>#N/A</v>
      </c>
    </row>
    <row r="7014" spans="1:2" x14ac:dyDescent="0.25">
      <c r="A7014" s="157">
        <v>32456</v>
      </c>
      <c r="B7014" s="158" t="e">
        <f>NA()</f>
        <v>#N/A</v>
      </c>
    </row>
    <row r="7015" spans="1:2" x14ac:dyDescent="0.25">
      <c r="A7015" s="157">
        <v>32457</v>
      </c>
      <c r="B7015" s="158" t="e">
        <f>NA()</f>
        <v>#N/A</v>
      </c>
    </row>
    <row r="7016" spans="1:2" x14ac:dyDescent="0.25">
      <c r="A7016" s="157">
        <v>32458</v>
      </c>
      <c r="B7016" s="158" t="e">
        <f>NA()</f>
        <v>#N/A</v>
      </c>
    </row>
    <row r="7017" spans="1:2" x14ac:dyDescent="0.25">
      <c r="A7017" s="157">
        <v>32461</v>
      </c>
      <c r="B7017" s="158" t="e">
        <f>NA()</f>
        <v>#N/A</v>
      </c>
    </row>
    <row r="7018" spans="1:2" x14ac:dyDescent="0.25">
      <c r="A7018" s="157">
        <v>32462</v>
      </c>
      <c r="B7018" s="158" t="e">
        <f>NA()</f>
        <v>#N/A</v>
      </c>
    </row>
    <row r="7019" spans="1:2" x14ac:dyDescent="0.25">
      <c r="A7019" s="157">
        <v>32463</v>
      </c>
      <c r="B7019" s="158" t="e">
        <f>NA()</f>
        <v>#N/A</v>
      </c>
    </row>
    <row r="7020" spans="1:2" x14ac:dyDescent="0.25">
      <c r="A7020" s="157">
        <v>32464</v>
      </c>
      <c r="B7020" s="158" t="e">
        <f>NA()</f>
        <v>#N/A</v>
      </c>
    </row>
    <row r="7021" spans="1:2" x14ac:dyDescent="0.25">
      <c r="A7021" s="157">
        <v>32465</v>
      </c>
      <c r="B7021" s="158" t="e">
        <f>NA()</f>
        <v>#N/A</v>
      </c>
    </row>
    <row r="7022" spans="1:2" x14ac:dyDescent="0.25">
      <c r="A7022" s="157">
        <v>32468</v>
      </c>
      <c r="B7022" s="158" t="e">
        <f>NA()</f>
        <v>#N/A</v>
      </c>
    </row>
    <row r="7023" spans="1:2" x14ac:dyDescent="0.25">
      <c r="A7023" s="157">
        <v>32469</v>
      </c>
      <c r="B7023" s="158" t="e">
        <f>NA()</f>
        <v>#N/A</v>
      </c>
    </row>
    <row r="7024" spans="1:2" x14ac:dyDescent="0.25">
      <c r="A7024" s="157">
        <v>32470</v>
      </c>
      <c r="B7024" s="158" t="e">
        <f>NA()</f>
        <v>#N/A</v>
      </c>
    </row>
    <row r="7025" spans="1:2" x14ac:dyDescent="0.25">
      <c r="A7025" s="157">
        <v>32471</v>
      </c>
      <c r="B7025" s="158" t="e">
        <f>NA()</f>
        <v>#N/A</v>
      </c>
    </row>
    <row r="7026" spans="1:2" x14ac:dyDescent="0.25">
      <c r="A7026" s="157">
        <v>32472</v>
      </c>
      <c r="B7026" s="158" t="e">
        <f>NA()</f>
        <v>#N/A</v>
      </c>
    </row>
    <row r="7027" spans="1:2" x14ac:dyDescent="0.25">
      <c r="A7027" s="157">
        <v>32475</v>
      </c>
      <c r="B7027" s="158" t="e">
        <f>NA()</f>
        <v>#N/A</v>
      </c>
    </row>
    <row r="7028" spans="1:2" x14ac:dyDescent="0.25">
      <c r="A7028" s="157">
        <v>32476</v>
      </c>
      <c r="B7028" s="158" t="e">
        <f>NA()</f>
        <v>#N/A</v>
      </c>
    </row>
    <row r="7029" spans="1:2" x14ac:dyDescent="0.25">
      <c r="A7029" s="157">
        <v>32477</v>
      </c>
      <c r="B7029" s="158" t="e">
        <f>NA()</f>
        <v>#N/A</v>
      </c>
    </row>
    <row r="7030" spans="1:2" x14ac:dyDescent="0.25">
      <c r="A7030" s="157">
        <v>32478</v>
      </c>
      <c r="B7030" s="158" t="e">
        <f>NA()</f>
        <v>#N/A</v>
      </c>
    </row>
    <row r="7031" spans="1:2" x14ac:dyDescent="0.25">
      <c r="A7031" s="157">
        <v>32479</v>
      </c>
      <c r="B7031" s="158" t="e">
        <f>NA()</f>
        <v>#N/A</v>
      </c>
    </row>
    <row r="7032" spans="1:2" x14ac:dyDescent="0.25">
      <c r="A7032" s="157">
        <v>32482</v>
      </c>
      <c r="B7032" s="158" t="e">
        <f>NA()</f>
        <v>#N/A</v>
      </c>
    </row>
    <row r="7033" spans="1:2" x14ac:dyDescent="0.25">
      <c r="A7033" s="157">
        <v>32483</v>
      </c>
      <c r="B7033" s="158" t="e">
        <f>NA()</f>
        <v>#N/A</v>
      </c>
    </row>
    <row r="7034" spans="1:2" x14ac:dyDescent="0.25">
      <c r="A7034" s="157">
        <v>32484</v>
      </c>
      <c r="B7034" s="158" t="e">
        <f>NA()</f>
        <v>#N/A</v>
      </c>
    </row>
    <row r="7035" spans="1:2" x14ac:dyDescent="0.25">
      <c r="A7035" s="157">
        <v>32485</v>
      </c>
      <c r="B7035" s="158" t="e">
        <f>NA()</f>
        <v>#N/A</v>
      </c>
    </row>
    <row r="7036" spans="1:2" x14ac:dyDescent="0.25">
      <c r="A7036" s="157">
        <v>32486</v>
      </c>
      <c r="B7036" s="158" t="e">
        <f>NA()</f>
        <v>#N/A</v>
      </c>
    </row>
    <row r="7037" spans="1:2" x14ac:dyDescent="0.25">
      <c r="A7037" s="157">
        <v>32489</v>
      </c>
      <c r="B7037" s="158" t="e">
        <f>NA()</f>
        <v>#N/A</v>
      </c>
    </row>
    <row r="7038" spans="1:2" x14ac:dyDescent="0.25">
      <c r="A7038" s="157">
        <v>32490</v>
      </c>
      <c r="B7038" s="158" t="e">
        <f>NA()</f>
        <v>#N/A</v>
      </c>
    </row>
    <row r="7039" spans="1:2" x14ac:dyDescent="0.25">
      <c r="A7039" s="157">
        <v>32491</v>
      </c>
      <c r="B7039" s="158" t="e">
        <f>NA()</f>
        <v>#N/A</v>
      </c>
    </row>
    <row r="7040" spans="1:2" x14ac:dyDescent="0.25">
      <c r="A7040" s="157">
        <v>32492</v>
      </c>
      <c r="B7040" s="158" t="e">
        <f>NA()</f>
        <v>#N/A</v>
      </c>
    </row>
    <row r="7041" spans="1:2" x14ac:dyDescent="0.25">
      <c r="A7041" s="157">
        <v>32493</v>
      </c>
      <c r="B7041" s="158" t="e">
        <f>NA()</f>
        <v>#N/A</v>
      </c>
    </row>
    <row r="7042" spans="1:2" x14ac:dyDescent="0.25">
      <c r="A7042" s="157">
        <v>32496</v>
      </c>
      <c r="B7042" s="158" t="e">
        <f>NA()</f>
        <v>#N/A</v>
      </c>
    </row>
    <row r="7043" spans="1:2" x14ac:dyDescent="0.25">
      <c r="A7043" s="157">
        <v>32497</v>
      </c>
      <c r="B7043" s="158" t="e">
        <f>NA()</f>
        <v>#N/A</v>
      </c>
    </row>
    <row r="7044" spans="1:2" x14ac:dyDescent="0.25">
      <c r="A7044" s="157">
        <v>32498</v>
      </c>
      <c r="B7044" s="158" t="e">
        <f>NA()</f>
        <v>#N/A</v>
      </c>
    </row>
    <row r="7045" spans="1:2" x14ac:dyDescent="0.25">
      <c r="A7045" s="157">
        <v>32499</v>
      </c>
      <c r="B7045" s="158" t="e">
        <f>NA()</f>
        <v>#N/A</v>
      </c>
    </row>
    <row r="7046" spans="1:2" x14ac:dyDescent="0.25">
      <c r="A7046" s="157">
        <v>32500</v>
      </c>
      <c r="B7046" s="158" t="e">
        <f>NA()</f>
        <v>#N/A</v>
      </c>
    </row>
    <row r="7047" spans="1:2" x14ac:dyDescent="0.25">
      <c r="A7047" s="157">
        <v>32503</v>
      </c>
      <c r="B7047" s="158" t="e">
        <f>NA()</f>
        <v>#N/A</v>
      </c>
    </row>
    <row r="7048" spans="1:2" x14ac:dyDescent="0.25">
      <c r="A7048" s="157">
        <v>32504</v>
      </c>
      <c r="B7048" s="158" t="e">
        <f>NA()</f>
        <v>#N/A</v>
      </c>
    </row>
    <row r="7049" spans="1:2" x14ac:dyDescent="0.25">
      <c r="A7049" s="157">
        <v>32505</v>
      </c>
      <c r="B7049" s="158" t="e">
        <f>NA()</f>
        <v>#N/A</v>
      </c>
    </row>
    <row r="7050" spans="1:2" x14ac:dyDescent="0.25">
      <c r="A7050" s="157">
        <v>32506</v>
      </c>
      <c r="B7050" s="158" t="e">
        <f>NA()</f>
        <v>#N/A</v>
      </c>
    </row>
    <row r="7051" spans="1:2" x14ac:dyDescent="0.25">
      <c r="A7051" s="157">
        <v>32507</v>
      </c>
      <c r="B7051" s="158" t="e">
        <f>NA()</f>
        <v>#N/A</v>
      </c>
    </row>
    <row r="7052" spans="1:2" x14ac:dyDescent="0.25">
      <c r="A7052" s="157">
        <v>32510</v>
      </c>
      <c r="B7052" s="158" t="e">
        <f>NA()</f>
        <v>#N/A</v>
      </c>
    </row>
    <row r="7053" spans="1:2" x14ac:dyDescent="0.25">
      <c r="A7053" s="157">
        <v>32511</v>
      </c>
      <c r="B7053" s="158" t="e">
        <f>NA()</f>
        <v>#N/A</v>
      </c>
    </row>
    <row r="7054" spans="1:2" x14ac:dyDescent="0.25">
      <c r="A7054" s="157">
        <v>32512</v>
      </c>
      <c r="B7054" s="158" t="e">
        <f>NA()</f>
        <v>#N/A</v>
      </c>
    </row>
    <row r="7055" spans="1:2" x14ac:dyDescent="0.25">
      <c r="A7055" s="157">
        <v>32513</v>
      </c>
      <c r="B7055" s="158" t="e">
        <f>NA()</f>
        <v>#N/A</v>
      </c>
    </row>
    <row r="7056" spans="1:2" x14ac:dyDescent="0.25">
      <c r="A7056" s="157">
        <v>32514</v>
      </c>
      <c r="B7056" s="158" t="e">
        <f>NA()</f>
        <v>#N/A</v>
      </c>
    </row>
    <row r="7057" spans="1:2" x14ac:dyDescent="0.25">
      <c r="A7057" s="157">
        <v>32517</v>
      </c>
      <c r="B7057" s="158" t="e">
        <f>NA()</f>
        <v>#N/A</v>
      </c>
    </row>
    <row r="7058" spans="1:2" x14ac:dyDescent="0.25">
      <c r="A7058" s="157">
        <v>32518</v>
      </c>
      <c r="B7058" s="158" t="e">
        <f>NA()</f>
        <v>#N/A</v>
      </c>
    </row>
    <row r="7059" spans="1:2" x14ac:dyDescent="0.25">
      <c r="A7059" s="157">
        <v>32519</v>
      </c>
      <c r="B7059" s="158" t="e">
        <f>NA()</f>
        <v>#N/A</v>
      </c>
    </row>
    <row r="7060" spans="1:2" x14ac:dyDescent="0.25">
      <c r="A7060" s="157">
        <v>32520</v>
      </c>
      <c r="B7060" s="158" t="e">
        <f>NA()</f>
        <v>#N/A</v>
      </c>
    </row>
    <row r="7061" spans="1:2" x14ac:dyDescent="0.25">
      <c r="A7061" s="157">
        <v>32521</v>
      </c>
      <c r="B7061" s="158" t="e">
        <f>NA()</f>
        <v>#N/A</v>
      </c>
    </row>
    <row r="7062" spans="1:2" x14ac:dyDescent="0.25">
      <c r="A7062" s="157">
        <v>32524</v>
      </c>
      <c r="B7062" s="158" t="e">
        <f>NA()</f>
        <v>#N/A</v>
      </c>
    </row>
    <row r="7063" spans="1:2" x14ac:dyDescent="0.25">
      <c r="A7063" s="157">
        <v>32525</v>
      </c>
      <c r="B7063" s="158" t="e">
        <f>NA()</f>
        <v>#N/A</v>
      </c>
    </row>
    <row r="7064" spans="1:2" x14ac:dyDescent="0.25">
      <c r="A7064" s="157">
        <v>32526</v>
      </c>
      <c r="B7064" s="158" t="e">
        <f>NA()</f>
        <v>#N/A</v>
      </c>
    </row>
    <row r="7065" spans="1:2" x14ac:dyDescent="0.25">
      <c r="A7065" s="157">
        <v>32527</v>
      </c>
      <c r="B7065" s="158" t="e">
        <f>NA()</f>
        <v>#N/A</v>
      </c>
    </row>
    <row r="7066" spans="1:2" x14ac:dyDescent="0.25">
      <c r="A7066" s="157">
        <v>32528</v>
      </c>
      <c r="B7066" s="158" t="e">
        <f>NA()</f>
        <v>#N/A</v>
      </c>
    </row>
    <row r="7067" spans="1:2" x14ac:dyDescent="0.25">
      <c r="A7067" s="157">
        <v>32531</v>
      </c>
      <c r="B7067" s="158" t="e">
        <f>NA()</f>
        <v>#N/A</v>
      </c>
    </row>
    <row r="7068" spans="1:2" x14ac:dyDescent="0.25">
      <c r="A7068" s="157">
        <v>32532</v>
      </c>
      <c r="B7068" s="158" t="e">
        <f>NA()</f>
        <v>#N/A</v>
      </c>
    </row>
    <row r="7069" spans="1:2" x14ac:dyDescent="0.25">
      <c r="A7069" s="157">
        <v>32533</v>
      </c>
      <c r="B7069" s="158" t="e">
        <f>NA()</f>
        <v>#N/A</v>
      </c>
    </row>
    <row r="7070" spans="1:2" x14ac:dyDescent="0.25">
      <c r="A7070" s="157">
        <v>32534</v>
      </c>
      <c r="B7070" s="158" t="e">
        <f>NA()</f>
        <v>#N/A</v>
      </c>
    </row>
    <row r="7071" spans="1:2" x14ac:dyDescent="0.25">
      <c r="A7071" s="157">
        <v>32535</v>
      </c>
      <c r="B7071" s="158" t="e">
        <f>NA()</f>
        <v>#N/A</v>
      </c>
    </row>
    <row r="7072" spans="1:2" x14ac:dyDescent="0.25">
      <c r="A7072" s="157">
        <v>32538</v>
      </c>
      <c r="B7072" s="158" t="e">
        <f>NA()</f>
        <v>#N/A</v>
      </c>
    </row>
    <row r="7073" spans="1:2" x14ac:dyDescent="0.25">
      <c r="A7073" s="157">
        <v>32539</v>
      </c>
      <c r="B7073" s="158" t="e">
        <f>NA()</f>
        <v>#N/A</v>
      </c>
    </row>
    <row r="7074" spans="1:2" x14ac:dyDescent="0.25">
      <c r="A7074" s="157">
        <v>32540</v>
      </c>
      <c r="B7074" s="158" t="e">
        <f>NA()</f>
        <v>#N/A</v>
      </c>
    </row>
    <row r="7075" spans="1:2" x14ac:dyDescent="0.25">
      <c r="A7075" s="157">
        <v>32541</v>
      </c>
      <c r="B7075" s="158" t="e">
        <f>NA()</f>
        <v>#N/A</v>
      </c>
    </row>
    <row r="7076" spans="1:2" x14ac:dyDescent="0.25">
      <c r="A7076" s="157">
        <v>32542</v>
      </c>
      <c r="B7076" s="158" t="e">
        <f>NA()</f>
        <v>#N/A</v>
      </c>
    </row>
    <row r="7077" spans="1:2" x14ac:dyDescent="0.25">
      <c r="A7077" s="157">
        <v>32545</v>
      </c>
      <c r="B7077" s="158" t="e">
        <f>NA()</f>
        <v>#N/A</v>
      </c>
    </row>
    <row r="7078" spans="1:2" x14ac:dyDescent="0.25">
      <c r="A7078" s="157">
        <v>32546</v>
      </c>
      <c r="B7078" s="158" t="e">
        <f>NA()</f>
        <v>#N/A</v>
      </c>
    </row>
    <row r="7079" spans="1:2" x14ac:dyDescent="0.25">
      <c r="A7079" s="157">
        <v>32547</v>
      </c>
      <c r="B7079" s="158" t="e">
        <f>NA()</f>
        <v>#N/A</v>
      </c>
    </row>
    <row r="7080" spans="1:2" x14ac:dyDescent="0.25">
      <c r="A7080" s="157">
        <v>32548</v>
      </c>
      <c r="B7080" s="158" t="e">
        <f>NA()</f>
        <v>#N/A</v>
      </c>
    </row>
    <row r="7081" spans="1:2" x14ac:dyDescent="0.25">
      <c r="A7081" s="157">
        <v>32549</v>
      </c>
      <c r="B7081" s="158" t="e">
        <f>NA()</f>
        <v>#N/A</v>
      </c>
    </row>
    <row r="7082" spans="1:2" x14ac:dyDescent="0.25">
      <c r="A7082" s="157">
        <v>32552</v>
      </c>
      <c r="B7082" s="158" t="e">
        <f>NA()</f>
        <v>#N/A</v>
      </c>
    </row>
    <row r="7083" spans="1:2" x14ac:dyDescent="0.25">
      <c r="A7083" s="157">
        <v>32553</v>
      </c>
      <c r="B7083" s="158" t="e">
        <f>NA()</f>
        <v>#N/A</v>
      </c>
    </row>
    <row r="7084" spans="1:2" x14ac:dyDescent="0.25">
      <c r="A7084" s="157">
        <v>32554</v>
      </c>
      <c r="B7084" s="158" t="e">
        <f>NA()</f>
        <v>#N/A</v>
      </c>
    </row>
    <row r="7085" spans="1:2" x14ac:dyDescent="0.25">
      <c r="A7085" s="157">
        <v>32555</v>
      </c>
      <c r="B7085" s="158" t="e">
        <f>NA()</f>
        <v>#N/A</v>
      </c>
    </row>
    <row r="7086" spans="1:2" x14ac:dyDescent="0.25">
      <c r="A7086" s="157">
        <v>32556</v>
      </c>
      <c r="B7086" s="158" t="e">
        <f>NA()</f>
        <v>#N/A</v>
      </c>
    </row>
    <row r="7087" spans="1:2" x14ac:dyDescent="0.25">
      <c r="A7087" s="157">
        <v>32559</v>
      </c>
      <c r="B7087" s="158" t="e">
        <f>NA()</f>
        <v>#N/A</v>
      </c>
    </row>
    <row r="7088" spans="1:2" x14ac:dyDescent="0.25">
      <c r="A7088" s="157">
        <v>32560</v>
      </c>
      <c r="B7088" s="158" t="e">
        <f>NA()</f>
        <v>#N/A</v>
      </c>
    </row>
    <row r="7089" spans="1:2" x14ac:dyDescent="0.25">
      <c r="A7089" s="157">
        <v>32561</v>
      </c>
      <c r="B7089" s="158" t="e">
        <f>NA()</f>
        <v>#N/A</v>
      </c>
    </row>
    <row r="7090" spans="1:2" x14ac:dyDescent="0.25">
      <c r="A7090" s="157">
        <v>32562</v>
      </c>
      <c r="B7090" s="158" t="e">
        <f>NA()</f>
        <v>#N/A</v>
      </c>
    </row>
    <row r="7091" spans="1:2" x14ac:dyDescent="0.25">
      <c r="A7091" s="157">
        <v>32563</v>
      </c>
      <c r="B7091" s="158" t="e">
        <f>NA()</f>
        <v>#N/A</v>
      </c>
    </row>
    <row r="7092" spans="1:2" x14ac:dyDescent="0.25">
      <c r="A7092" s="157">
        <v>32566</v>
      </c>
      <c r="B7092" s="158" t="e">
        <f>NA()</f>
        <v>#N/A</v>
      </c>
    </row>
    <row r="7093" spans="1:2" x14ac:dyDescent="0.25">
      <c r="A7093" s="157">
        <v>32567</v>
      </c>
      <c r="B7093" s="158" t="e">
        <f>NA()</f>
        <v>#N/A</v>
      </c>
    </row>
    <row r="7094" spans="1:2" x14ac:dyDescent="0.25">
      <c r="A7094" s="157">
        <v>32568</v>
      </c>
      <c r="B7094" s="158" t="e">
        <f>NA()</f>
        <v>#N/A</v>
      </c>
    </row>
    <row r="7095" spans="1:2" x14ac:dyDescent="0.25">
      <c r="A7095" s="157">
        <v>32569</v>
      </c>
      <c r="B7095" s="158" t="e">
        <f>NA()</f>
        <v>#N/A</v>
      </c>
    </row>
    <row r="7096" spans="1:2" x14ac:dyDescent="0.25">
      <c r="A7096" s="157">
        <v>32570</v>
      </c>
      <c r="B7096" s="158" t="e">
        <f>NA()</f>
        <v>#N/A</v>
      </c>
    </row>
    <row r="7097" spans="1:2" x14ac:dyDescent="0.25">
      <c r="A7097" s="157">
        <v>32573</v>
      </c>
      <c r="B7097" s="158" t="e">
        <f>NA()</f>
        <v>#N/A</v>
      </c>
    </row>
    <row r="7098" spans="1:2" x14ac:dyDescent="0.25">
      <c r="A7098" s="157">
        <v>32574</v>
      </c>
      <c r="B7098" s="158" t="e">
        <f>NA()</f>
        <v>#N/A</v>
      </c>
    </row>
    <row r="7099" spans="1:2" x14ac:dyDescent="0.25">
      <c r="A7099" s="157">
        <v>32575</v>
      </c>
      <c r="B7099" s="158" t="e">
        <f>NA()</f>
        <v>#N/A</v>
      </c>
    </row>
    <row r="7100" spans="1:2" x14ac:dyDescent="0.25">
      <c r="A7100" s="157">
        <v>32576</v>
      </c>
      <c r="B7100" s="158" t="e">
        <f>NA()</f>
        <v>#N/A</v>
      </c>
    </row>
    <row r="7101" spans="1:2" x14ac:dyDescent="0.25">
      <c r="A7101" s="157">
        <v>32577</v>
      </c>
      <c r="B7101" s="158" t="e">
        <f>NA()</f>
        <v>#N/A</v>
      </c>
    </row>
    <row r="7102" spans="1:2" x14ac:dyDescent="0.25">
      <c r="A7102" s="157">
        <v>32580</v>
      </c>
      <c r="B7102" s="158" t="e">
        <f>NA()</f>
        <v>#N/A</v>
      </c>
    </row>
    <row r="7103" spans="1:2" x14ac:dyDescent="0.25">
      <c r="A7103" s="157">
        <v>32581</v>
      </c>
      <c r="B7103" s="158" t="e">
        <f>NA()</f>
        <v>#N/A</v>
      </c>
    </row>
    <row r="7104" spans="1:2" x14ac:dyDescent="0.25">
      <c r="A7104" s="157">
        <v>32582</v>
      </c>
      <c r="B7104" s="158" t="e">
        <f>NA()</f>
        <v>#N/A</v>
      </c>
    </row>
    <row r="7105" spans="1:2" x14ac:dyDescent="0.25">
      <c r="A7105" s="157">
        <v>32583</v>
      </c>
      <c r="B7105" s="158" t="e">
        <f>NA()</f>
        <v>#N/A</v>
      </c>
    </row>
    <row r="7106" spans="1:2" x14ac:dyDescent="0.25">
      <c r="A7106" s="157">
        <v>32584</v>
      </c>
      <c r="B7106" s="158" t="e">
        <f>NA()</f>
        <v>#N/A</v>
      </c>
    </row>
    <row r="7107" spans="1:2" x14ac:dyDescent="0.25">
      <c r="A7107" s="157">
        <v>32587</v>
      </c>
      <c r="B7107" s="158" t="e">
        <f>NA()</f>
        <v>#N/A</v>
      </c>
    </row>
    <row r="7108" spans="1:2" x14ac:dyDescent="0.25">
      <c r="A7108" s="157">
        <v>32588</v>
      </c>
      <c r="B7108" s="158" t="e">
        <f>NA()</f>
        <v>#N/A</v>
      </c>
    </row>
    <row r="7109" spans="1:2" x14ac:dyDescent="0.25">
      <c r="A7109" s="157">
        <v>32589</v>
      </c>
      <c r="B7109" s="158" t="e">
        <f>NA()</f>
        <v>#N/A</v>
      </c>
    </row>
    <row r="7110" spans="1:2" x14ac:dyDescent="0.25">
      <c r="A7110" s="157">
        <v>32590</v>
      </c>
      <c r="B7110" s="158" t="e">
        <f>NA()</f>
        <v>#N/A</v>
      </c>
    </row>
    <row r="7111" spans="1:2" x14ac:dyDescent="0.25">
      <c r="A7111" s="157">
        <v>32591</v>
      </c>
      <c r="B7111" s="158" t="e">
        <f>NA()</f>
        <v>#N/A</v>
      </c>
    </row>
    <row r="7112" spans="1:2" x14ac:dyDescent="0.25">
      <c r="A7112" s="157">
        <v>32594</v>
      </c>
      <c r="B7112" s="158" t="e">
        <f>NA()</f>
        <v>#N/A</v>
      </c>
    </row>
    <row r="7113" spans="1:2" x14ac:dyDescent="0.25">
      <c r="A7113" s="157">
        <v>32595</v>
      </c>
      <c r="B7113" s="158" t="e">
        <f>NA()</f>
        <v>#N/A</v>
      </c>
    </row>
    <row r="7114" spans="1:2" x14ac:dyDescent="0.25">
      <c r="A7114" s="157">
        <v>32596</v>
      </c>
      <c r="B7114" s="158" t="e">
        <f>NA()</f>
        <v>#N/A</v>
      </c>
    </row>
    <row r="7115" spans="1:2" x14ac:dyDescent="0.25">
      <c r="A7115" s="157">
        <v>32597</v>
      </c>
      <c r="B7115" s="158" t="e">
        <f>NA()</f>
        <v>#N/A</v>
      </c>
    </row>
    <row r="7116" spans="1:2" x14ac:dyDescent="0.25">
      <c r="A7116" s="157">
        <v>32598</v>
      </c>
      <c r="B7116" s="158" t="e">
        <f>NA()</f>
        <v>#N/A</v>
      </c>
    </row>
    <row r="7117" spans="1:2" x14ac:dyDescent="0.25">
      <c r="A7117" s="157">
        <v>32601</v>
      </c>
      <c r="B7117" s="158" t="e">
        <f>NA()</f>
        <v>#N/A</v>
      </c>
    </row>
    <row r="7118" spans="1:2" x14ac:dyDescent="0.25">
      <c r="A7118" s="157">
        <v>32602</v>
      </c>
      <c r="B7118" s="158" t="e">
        <f>NA()</f>
        <v>#N/A</v>
      </c>
    </row>
    <row r="7119" spans="1:2" x14ac:dyDescent="0.25">
      <c r="A7119" s="157">
        <v>32603</v>
      </c>
      <c r="B7119" s="158" t="e">
        <f>NA()</f>
        <v>#N/A</v>
      </c>
    </row>
    <row r="7120" spans="1:2" x14ac:dyDescent="0.25">
      <c r="A7120" s="157">
        <v>32604</v>
      </c>
      <c r="B7120" s="158" t="e">
        <f>NA()</f>
        <v>#N/A</v>
      </c>
    </row>
    <row r="7121" spans="1:2" x14ac:dyDescent="0.25">
      <c r="A7121" s="157">
        <v>32605</v>
      </c>
      <c r="B7121" s="158" t="e">
        <f>NA()</f>
        <v>#N/A</v>
      </c>
    </row>
    <row r="7122" spans="1:2" x14ac:dyDescent="0.25">
      <c r="A7122" s="157">
        <v>32608</v>
      </c>
      <c r="B7122" s="158" t="e">
        <f>NA()</f>
        <v>#N/A</v>
      </c>
    </row>
    <row r="7123" spans="1:2" x14ac:dyDescent="0.25">
      <c r="A7123" s="157">
        <v>32609</v>
      </c>
      <c r="B7123" s="158" t="e">
        <f>NA()</f>
        <v>#N/A</v>
      </c>
    </row>
    <row r="7124" spans="1:2" x14ac:dyDescent="0.25">
      <c r="A7124" s="157">
        <v>32610</v>
      </c>
      <c r="B7124" s="158" t="e">
        <f>NA()</f>
        <v>#N/A</v>
      </c>
    </row>
    <row r="7125" spans="1:2" x14ac:dyDescent="0.25">
      <c r="A7125" s="157">
        <v>32611</v>
      </c>
      <c r="B7125" s="158" t="e">
        <f>NA()</f>
        <v>#N/A</v>
      </c>
    </row>
    <row r="7126" spans="1:2" x14ac:dyDescent="0.25">
      <c r="A7126" s="157">
        <v>32612</v>
      </c>
      <c r="B7126" s="158" t="e">
        <f>NA()</f>
        <v>#N/A</v>
      </c>
    </row>
    <row r="7127" spans="1:2" x14ac:dyDescent="0.25">
      <c r="A7127" s="157">
        <v>32615</v>
      </c>
      <c r="B7127" s="158" t="e">
        <f>NA()</f>
        <v>#N/A</v>
      </c>
    </row>
    <row r="7128" spans="1:2" x14ac:dyDescent="0.25">
      <c r="A7128" s="157">
        <v>32616</v>
      </c>
      <c r="B7128" s="158" t="e">
        <f>NA()</f>
        <v>#N/A</v>
      </c>
    </row>
    <row r="7129" spans="1:2" x14ac:dyDescent="0.25">
      <c r="A7129" s="157">
        <v>32617</v>
      </c>
      <c r="B7129" s="158" t="e">
        <f>NA()</f>
        <v>#N/A</v>
      </c>
    </row>
    <row r="7130" spans="1:2" x14ac:dyDescent="0.25">
      <c r="A7130" s="157">
        <v>32618</v>
      </c>
      <c r="B7130" s="158" t="e">
        <f>NA()</f>
        <v>#N/A</v>
      </c>
    </row>
    <row r="7131" spans="1:2" x14ac:dyDescent="0.25">
      <c r="A7131" s="157">
        <v>32619</v>
      </c>
      <c r="B7131" s="158" t="e">
        <f>NA()</f>
        <v>#N/A</v>
      </c>
    </row>
    <row r="7132" spans="1:2" x14ac:dyDescent="0.25">
      <c r="A7132" s="157">
        <v>32622</v>
      </c>
      <c r="B7132" s="158" t="e">
        <f>NA()</f>
        <v>#N/A</v>
      </c>
    </row>
    <row r="7133" spans="1:2" x14ac:dyDescent="0.25">
      <c r="A7133" s="157">
        <v>32623</v>
      </c>
      <c r="B7133" s="158" t="e">
        <f>NA()</f>
        <v>#N/A</v>
      </c>
    </row>
    <row r="7134" spans="1:2" x14ac:dyDescent="0.25">
      <c r="A7134" s="157">
        <v>32624</v>
      </c>
      <c r="B7134" s="158" t="e">
        <f>NA()</f>
        <v>#N/A</v>
      </c>
    </row>
    <row r="7135" spans="1:2" x14ac:dyDescent="0.25">
      <c r="A7135" s="157">
        <v>32625</v>
      </c>
      <c r="B7135" s="158" t="e">
        <f>NA()</f>
        <v>#N/A</v>
      </c>
    </row>
    <row r="7136" spans="1:2" x14ac:dyDescent="0.25">
      <c r="A7136" s="157">
        <v>32626</v>
      </c>
      <c r="B7136" s="158" t="e">
        <f>NA()</f>
        <v>#N/A</v>
      </c>
    </row>
    <row r="7137" spans="1:2" x14ac:dyDescent="0.25">
      <c r="A7137" s="157">
        <v>32629</v>
      </c>
      <c r="B7137" s="158" t="e">
        <f>NA()</f>
        <v>#N/A</v>
      </c>
    </row>
    <row r="7138" spans="1:2" x14ac:dyDescent="0.25">
      <c r="A7138" s="157">
        <v>32630</v>
      </c>
      <c r="B7138" s="158" t="e">
        <f>NA()</f>
        <v>#N/A</v>
      </c>
    </row>
    <row r="7139" spans="1:2" x14ac:dyDescent="0.25">
      <c r="A7139" s="157">
        <v>32631</v>
      </c>
      <c r="B7139" s="158" t="e">
        <f>NA()</f>
        <v>#N/A</v>
      </c>
    </row>
    <row r="7140" spans="1:2" x14ac:dyDescent="0.25">
      <c r="A7140" s="157">
        <v>32632</v>
      </c>
      <c r="B7140" s="158" t="e">
        <f>NA()</f>
        <v>#N/A</v>
      </c>
    </row>
    <row r="7141" spans="1:2" x14ac:dyDescent="0.25">
      <c r="A7141" s="157">
        <v>32633</v>
      </c>
      <c r="B7141" s="158" t="e">
        <f>NA()</f>
        <v>#N/A</v>
      </c>
    </row>
    <row r="7142" spans="1:2" x14ac:dyDescent="0.25">
      <c r="A7142" s="157">
        <v>32636</v>
      </c>
      <c r="B7142" s="158" t="e">
        <f>NA()</f>
        <v>#N/A</v>
      </c>
    </row>
    <row r="7143" spans="1:2" x14ac:dyDescent="0.25">
      <c r="A7143" s="157">
        <v>32637</v>
      </c>
      <c r="B7143" s="158" t="e">
        <f>NA()</f>
        <v>#N/A</v>
      </c>
    </row>
    <row r="7144" spans="1:2" x14ac:dyDescent="0.25">
      <c r="A7144" s="157">
        <v>32638</v>
      </c>
      <c r="B7144" s="158" t="e">
        <f>NA()</f>
        <v>#N/A</v>
      </c>
    </row>
    <row r="7145" spans="1:2" x14ac:dyDescent="0.25">
      <c r="A7145" s="157">
        <v>32639</v>
      </c>
      <c r="B7145" s="158" t="e">
        <f>NA()</f>
        <v>#N/A</v>
      </c>
    </row>
    <row r="7146" spans="1:2" x14ac:dyDescent="0.25">
      <c r="A7146" s="157">
        <v>32640</v>
      </c>
      <c r="B7146" s="158" t="e">
        <f>NA()</f>
        <v>#N/A</v>
      </c>
    </row>
    <row r="7147" spans="1:2" x14ac:dyDescent="0.25">
      <c r="A7147" s="157">
        <v>32643</v>
      </c>
      <c r="B7147" s="158" t="e">
        <f>NA()</f>
        <v>#N/A</v>
      </c>
    </row>
    <row r="7148" spans="1:2" x14ac:dyDescent="0.25">
      <c r="A7148" s="157">
        <v>32644</v>
      </c>
      <c r="B7148" s="158" t="e">
        <f>NA()</f>
        <v>#N/A</v>
      </c>
    </row>
    <row r="7149" spans="1:2" x14ac:dyDescent="0.25">
      <c r="A7149" s="157">
        <v>32645</v>
      </c>
      <c r="B7149" s="158" t="e">
        <f>NA()</f>
        <v>#N/A</v>
      </c>
    </row>
    <row r="7150" spans="1:2" x14ac:dyDescent="0.25">
      <c r="A7150" s="157">
        <v>32646</v>
      </c>
      <c r="B7150" s="158" t="e">
        <f>NA()</f>
        <v>#N/A</v>
      </c>
    </row>
    <row r="7151" spans="1:2" x14ac:dyDescent="0.25">
      <c r="A7151" s="157">
        <v>32647</v>
      </c>
      <c r="B7151" s="158" t="e">
        <f>NA()</f>
        <v>#N/A</v>
      </c>
    </row>
    <row r="7152" spans="1:2" x14ac:dyDescent="0.25">
      <c r="A7152" s="157">
        <v>32650</v>
      </c>
      <c r="B7152" s="158" t="e">
        <f>NA()</f>
        <v>#N/A</v>
      </c>
    </row>
    <row r="7153" spans="1:2" x14ac:dyDescent="0.25">
      <c r="A7153" s="157">
        <v>32651</v>
      </c>
      <c r="B7153" s="158" t="e">
        <f>NA()</f>
        <v>#N/A</v>
      </c>
    </row>
    <row r="7154" spans="1:2" x14ac:dyDescent="0.25">
      <c r="A7154" s="157">
        <v>32652</v>
      </c>
      <c r="B7154" s="158" t="e">
        <f>NA()</f>
        <v>#N/A</v>
      </c>
    </row>
    <row r="7155" spans="1:2" x14ac:dyDescent="0.25">
      <c r="A7155" s="157">
        <v>32653</v>
      </c>
      <c r="B7155" s="158" t="e">
        <f>NA()</f>
        <v>#N/A</v>
      </c>
    </row>
    <row r="7156" spans="1:2" x14ac:dyDescent="0.25">
      <c r="A7156" s="157">
        <v>32654</v>
      </c>
      <c r="B7156" s="158" t="e">
        <f>NA()</f>
        <v>#N/A</v>
      </c>
    </row>
    <row r="7157" spans="1:2" x14ac:dyDescent="0.25">
      <c r="A7157" s="157">
        <v>32657</v>
      </c>
      <c r="B7157" s="158" t="e">
        <f>NA()</f>
        <v>#N/A</v>
      </c>
    </row>
    <row r="7158" spans="1:2" x14ac:dyDescent="0.25">
      <c r="A7158" s="157">
        <v>32658</v>
      </c>
      <c r="B7158" s="158" t="e">
        <f>NA()</f>
        <v>#N/A</v>
      </c>
    </row>
    <row r="7159" spans="1:2" x14ac:dyDescent="0.25">
      <c r="A7159" s="157">
        <v>32659</v>
      </c>
      <c r="B7159" s="158" t="e">
        <f>NA()</f>
        <v>#N/A</v>
      </c>
    </row>
    <row r="7160" spans="1:2" x14ac:dyDescent="0.25">
      <c r="A7160" s="157">
        <v>32660</v>
      </c>
      <c r="B7160" s="158" t="e">
        <f>NA()</f>
        <v>#N/A</v>
      </c>
    </row>
    <row r="7161" spans="1:2" x14ac:dyDescent="0.25">
      <c r="A7161" s="157">
        <v>32661</v>
      </c>
      <c r="B7161" s="158" t="e">
        <f>NA()</f>
        <v>#N/A</v>
      </c>
    </row>
    <row r="7162" spans="1:2" x14ac:dyDescent="0.25">
      <c r="A7162" s="157">
        <v>32664</v>
      </c>
      <c r="B7162" s="158" t="e">
        <f>NA()</f>
        <v>#N/A</v>
      </c>
    </row>
    <row r="7163" spans="1:2" x14ac:dyDescent="0.25">
      <c r="A7163" s="157">
        <v>32665</v>
      </c>
      <c r="B7163" s="158" t="e">
        <f>NA()</f>
        <v>#N/A</v>
      </c>
    </row>
    <row r="7164" spans="1:2" x14ac:dyDescent="0.25">
      <c r="A7164" s="157">
        <v>32666</v>
      </c>
      <c r="B7164" s="158" t="e">
        <f>NA()</f>
        <v>#N/A</v>
      </c>
    </row>
    <row r="7165" spans="1:2" x14ac:dyDescent="0.25">
      <c r="A7165" s="157">
        <v>32667</v>
      </c>
      <c r="B7165" s="158" t="e">
        <f>NA()</f>
        <v>#N/A</v>
      </c>
    </row>
    <row r="7166" spans="1:2" x14ac:dyDescent="0.25">
      <c r="A7166" s="157">
        <v>32668</v>
      </c>
      <c r="B7166" s="158" t="e">
        <f>NA()</f>
        <v>#N/A</v>
      </c>
    </row>
    <row r="7167" spans="1:2" x14ac:dyDescent="0.25">
      <c r="A7167" s="157">
        <v>32671</v>
      </c>
      <c r="B7167" s="158" t="e">
        <f>NA()</f>
        <v>#N/A</v>
      </c>
    </row>
    <row r="7168" spans="1:2" x14ac:dyDescent="0.25">
      <c r="A7168" s="157">
        <v>32672</v>
      </c>
      <c r="B7168" s="158" t="e">
        <f>NA()</f>
        <v>#N/A</v>
      </c>
    </row>
    <row r="7169" spans="1:2" x14ac:dyDescent="0.25">
      <c r="A7169" s="157">
        <v>32673</v>
      </c>
      <c r="B7169" s="158" t="e">
        <f>NA()</f>
        <v>#N/A</v>
      </c>
    </row>
    <row r="7170" spans="1:2" x14ac:dyDescent="0.25">
      <c r="A7170" s="157">
        <v>32674</v>
      </c>
      <c r="B7170" s="158" t="e">
        <f>NA()</f>
        <v>#N/A</v>
      </c>
    </row>
    <row r="7171" spans="1:2" x14ac:dyDescent="0.25">
      <c r="A7171" s="157">
        <v>32675</v>
      </c>
      <c r="B7171" s="158" t="e">
        <f>NA()</f>
        <v>#N/A</v>
      </c>
    </row>
    <row r="7172" spans="1:2" x14ac:dyDescent="0.25">
      <c r="A7172" s="157">
        <v>32678</v>
      </c>
      <c r="B7172" s="158" t="e">
        <f>NA()</f>
        <v>#N/A</v>
      </c>
    </row>
    <row r="7173" spans="1:2" x14ac:dyDescent="0.25">
      <c r="A7173" s="157">
        <v>32679</v>
      </c>
      <c r="B7173" s="158" t="e">
        <f>NA()</f>
        <v>#N/A</v>
      </c>
    </row>
    <row r="7174" spans="1:2" x14ac:dyDescent="0.25">
      <c r="A7174" s="157">
        <v>32680</v>
      </c>
      <c r="B7174" s="158" t="e">
        <f>NA()</f>
        <v>#N/A</v>
      </c>
    </row>
    <row r="7175" spans="1:2" x14ac:dyDescent="0.25">
      <c r="A7175" s="157">
        <v>32681</v>
      </c>
      <c r="B7175" s="158" t="e">
        <f>NA()</f>
        <v>#N/A</v>
      </c>
    </row>
    <row r="7176" spans="1:2" x14ac:dyDescent="0.25">
      <c r="A7176" s="157">
        <v>32682</v>
      </c>
      <c r="B7176" s="158" t="e">
        <f>NA()</f>
        <v>#N/A</v>
      </c>
    </row>
    <row r="7177" spans="1:2" x14ac:dyDescent="0.25">
      <c r="A7177" s="157">
        <v>32685</v>
      </c>
      <c r="B7177" s="158" t="e">
        <f>NA()</f>
        <v>#N/A</v>
      </c>
    </row>
    <row r="7178" spans="1:2" x14ac:dyDescent="0.25">
      <c r="A7178" s="157">
        <v>32686</v>
      </c>
      <c r="B7178" s="158" t="e">
        <f>NA()</f>
        <v>#N/A</v>
      </c>
    </row>
    <row r="7179" spans="1:2" x14ac:dyDescent="0.25">
      <c r="A7179" s="157">
        <v>32687</v>
      </c>
      <c r="B7179" s="158" t="e">
        <f>NA()</f>
        <v>#N/A</v>
      </c>
    </row>
    <row r="7180" spans="1:2" x14ac:dyDescent="0.25">
      <c r="A7180" s="157">
        <v>32688</v>
      </c>
      <c r="B7180" s="158" t="e">
        <f>NA()</f>
        <v>#N/A</v>
      </c>
    </row>
    <row r="7181" spans="1:2" x14ac:dyDescent="0.25">
      <c r="A7181" s="157">
        <v>32689</v>
      </c>
      <c r="B7181" s="158" t="e">
        <f>NA()</f>
        <v>#N/A</v>
      </c>
    </row>
    <row r="7182" spans="1:2" x14ac:dyDescent="0.25">
      <c r="A7182" s="157">
        <v>32692</v>
      </c>
      <c r="B7182" s="158" t="e">
        <f>NA()</f>
        <v>#N/A</v>
      </c>
    </row>
    <row r="7183" spans="1:2" x14ac:dyDescent="0.25">
      <c r="A7183" s="157">
        <v>32693</v>
      </c>
      <c r="B7183" s="158" t="e">
        <f>NA()</f>
        <v>#N/A</v>
      </c>
    </row>
    <row r="7184" spans="1:2" x14ac:dyDescent="0.25">
      <c r="A7184" s="157">
        <v>32694</v>
      </c>
      <c r="B7184" s="158" t="e">
        <f>NA()</f>
        <v>#N/A</v>
      </c>
    </row>
    <row r="7185" spans="1:2" x14ac:dyDescent="0.25">
      <c r="A7185" s="157">
        <v>32695</v>
      </c>
      <c r="B7185" s="158" t="e">
        <f>NA()</f>
        <v>#N/A</v>
      </c>
    </row>
    <row r="7186" spans="1:2" x14ac:dyDescent="0.25">
      <c r="A7186" s="157">
        <v>32696</v>
      </c>
      <c r="B7186" s="158" t="e">
        <f>NA()</f>
        <v>#N/A</v>
      </c>
    </row>
    <row r="7187" spans="1:2" x14ac:dyDescent="0.25">
      <c r="A7187" s="157">
        <v>32699</v>
      </c>
      <c r="B7187" s="158" t="e">
        <f>NA()</f>
        <v>#N/A</v>
      </c>
    </row>
    <row r="7188" spans="1:2" x14ac:dyDescent="0.25">
      <c r="A7188" s="157">
        <v>32700</v>
      </c>
      <c r="B7188" s="158" t="e">
        <f>NA()</f>
        <v>#N/A</v>
      </c>
    </row>
    <row r="7189" spans="1:2" x14ac:dyDescent="0.25">
      <c r="A7189" s="157">
        <v>32701</v>
      </c>
      <c r="B7189" s="158" t="e">
        <f>NA()</f>
        <v>#N/A</v>
      </c>
    </row>
    <row r="7190" spans="1:2" x14ac:dyDescent="0.25">
      <c r="A7190" s="157">
        <v>32702</v>
      </c>
      <c r="B7190" s="158" t="e">
        <f>NA()</f>
        <v>#N/A</v>
      </c>
    </row>
    <row r="7191" spans="1:2" x14ac:dyDescent="0.25">
      <c r="A7191" s="157">
        <v>32703</v>
      </c>
      <c r="B7191" s="158" t="e">
        <f>NA()</f>
        <v>#N/A</v>
      </c>
    </row>
    <row r="7192" spans="1:2" x14ac:dyDescent="0.25">
      <c r="A7192" s="157">
        <v>32706</v>
      </c>
      <c r="B7192" s="158" t="e">
        <f>NA()</f>
        <v>#N/A</v>
      </c>
    </row>
    <row r="7193" spans="1:2" x14ac:dyDescent="0.25">
      <c r="A7193" s="157">
        <v>32707</v>
      </c>
      <c r="B7193" s="158" t="e">
        <f>NA()</f>
        <v>#N/A</v>
      </c>
    </row>
    <row r="7194" spans="1:2" x14ac:dyDescent="0.25">
      <c r="A7194" s="157">
        <v>32708</v>
      </c>
      <c r="B7194" s="158" t="e">
        <f>NA()</f>
        <v>#N/A</v>
      </c>
    </row>
    <row r="7195" spans="1:2" x14ac:dyDescent="0.25">
      <c r="A7195" s="157">
        <v>32709</v>
      </c>
      <c r="B7195" s="158" t="e">
        <f>NA()</f>
        <v>#N/A</v>
      </c>
    </row>
    <row r="7196" spans="1:2" x14ac:dyDescent="0.25">
      <c r="A7196" s="157">
        <v>32710</v>
      </c>
      <c r="B7196" s="158" t="e">
        <f>NA()</f>
        <v>#N/A</v>
      </c>
    </row>
    <row r="7197" spans="1:2" x14ac:dyDescent="0.25">
      <c r="A7197" s="157">
        <v>32713</v>
      </c>
      <c r="B7197" s="158" t="e">
        <f>NA()</f>
        <v>#N/A</v>
      </c>
    </row>
    <row r="7198" spans="1:2" x14ac:dyDescent="0.25">
      <c r="A7198" s="157">
        <v>32714</v>
      </c>
      <c r="B7198" s="158" t="e">
        <f>NA()</f>
        <v>#N/A</v>
      </c>
    </row>
    <row r="7199" spans="1:2" x14ac:dyDescent="0.25">
      <c r="A7199" s="157">
        <v>32715</v>
      </c>
      <c r="B7199" s="158" t="e">
        <f>NA()</f>
        <v>#N/A</v>
      </c>
    </row>
    <row r="7200" spans="1:2" x14ac:dyDescent="0.25">
      <c r="A7200" s="157">
        <v>32716</v>
      </c>
      <c r="B7200" s="158" t="e">
        <f>NA()</f>
        <v>#N/A</v>
      </c>
    </row>
    <row r="7201" spans="1:2" x14ac:dyDescent="0.25">
      <c r="A7201" s="157">
        <v>32717</v>
      </c>
      <c r="B7201" s="158" t="e">
        <f>NA()</f>
        <v>#N/A</v>
      </c>
    </row>
    <row r="7202" spans="1:2" x14ac:dyDescent="0.25">
      <c r="A7202" s="157">
        <v>32720</v>
      </c>
      <c r="B7202" s="158" t="e">
        <f>NA()</f>
        <v>#N/A</v>
      </c>
    </row>
    <row r="7203" spans="1:2" x14ac:dyDescent="0.25">
      <c r="A7203" s="157">
        <v>32721</v>
      </c>
      <c r="B7203" s="158" t="e">
        <f>NA()</f>
        <v>#N/A</v>
      </c>
    </row>
    <row r="7204" spans="1:2" x14ac:dyDescent="0.25">
      <c r="A7204" s="157">
        <v>32722</v>
      </c>
      <c r="B7204" s="158" t="e">
        <f>NA()</f>
        <v>#N/A</v>
      </c>
    </row>
    <row r="7205" spans="1:2" x14ac:dyDescent="0.25">
      <c r="A7205" s="157">
        <v>32723</v>
      </c>
      <c r="B7205" s="158" t="e">
        <f>NA()</f>
        <v>#N/A</v>
      </c>
    </row>
    <row r="7206" spans="1:2" x14ac:dyDescent="0.25">
      <c r="A7206" s="157">
        <v>32724</v>
      </c>
      <c r="B7206" s="158" t="e">
        <f>NA()</f>
        <v>#N/A</v>
      </c>
    </row>
    <row r="7207" spans="1:2" x14ac:dyDescent="0.25">
      <c r="A7207" s="157">
        <v>32727</v>
      </c>
      <c r="B7207" s="158" t="e">
        <f>NA()</f>
        <v>#N/A</v>
      </c>
    </row>
    <row r="7208" spans="1:2" x14ac:dyDescent="0.25">
      <c r="A7208" s="157">
        <v>32728</v>
      </c>
      <c r="B7208" s="158" t="e">
        <f>NA()</f>
        <v>#N/A</v>
      </c>
    </row>
    <row r="7209" spans="1:2" x14ac:dyDescent="0.25">
      <c r="A7209" s="157">
        <v>32729</v>
      </c>
      <c r="B7209" s="158" t="e">
        <f>NA()</f>
        <v>#N/A</v>
      </c>
    </row>
    <row r="7210" spans="1:2" x14ac:dyDescent="0.25">
      <c r="A7210" s="157">
        <v>32730</v>
      </c>
      <c r="B7210" s="158" t="e">
        <f>NA()</f>
        <v>#N/A</v>
      </c>
    </row>
    <row r="7211" spans="1:2" x14ac:dyDescent="0.25">
      <c r="A7211" s="157">
        <v>32731</v>
      </c>
      <c r="B7211" s="158" t="e">
        <f>NA()</f>
        <v>#N/A</v>
      </c>
    </row>
    <row r="7212" spans="1:2" x14ac:dyDescent="0.25">
      <c r="A7212" s="157">
        <v>32734</v>
      </c>
      <c r="B7212" s="158" t="e">
        <f>NA()</f>
        <v>#N/A</v>
      </c>
    </row>
    <row r="7213" spans="1:2" x14ac:dyDescent="0.25">
      <c r="A7213" s="157">
        <v>32735</v>
      </c>
      <c r="B7213" s="158" t="e">
        <f>NA()</f>
        <v>#N/A</v>
      </c>
    </row>
    <row r="7214" spans="1:2" x14ac:dyDescent="0.25">
      <c r="A7214" s="157">
        <v>32736</v>
      </c>
      <c r="B7214" s="158" t="e">
        <f>NA()</f>
        <v>#N/A</v>
      </c>
    </row>
    <row r="7215" spans="1:2" x14ac:dyDescent="0.25">
      <c r="A7215" s="157">
        <v>32737</v>
      </c>
      <c r="B7215" s="158" t="e">
        <f>NA()</f>
        <v>#N/A</v>
      </c>
    </row>
    <row r="7216" spans="1:2" x14ac:dyDescent="0.25">
      <c r="A7216" s="157">
        <v>32738</v>
      </c>
      <c r="B7216" s="158" t="e">
        <f>NA()</f>
        <v>#N/A</v>
      </c>
    </row>
    <row r="7217" spans="1:2" x14ac:dyDescent="0.25">
      <c r="A7217" s="157">
        <v>32741</v>
      </c>
      <c r="B7217" s="158" t="e">
        <f>NA()</f>
        <v>#N/A</v>
      </c>
    </row>
    <row r="7218" spans="1:2" x14ac:dyDescent="0.25">
      <c r="A7218" s="157">
        <v>32742</v>
      </c>
      <c r="B7218" s="158" t="e">
        <f>NA()</f>
        <v>#N/A</v>
      </c>
    </row>
    <row r="7219" spans="1:2" x14ac:dyDescent="0.25">
      <c r="A7219" s="157">
        <v>32743</v>
      </c>
      <c r="B7219" s="158" t="e">
        <f>NA()</f>
        <v>#N/A</v>
      </c>
    </row>
    <row r="7220" spans="1:2" x14ac:dyDescent="0.25">
      <c r="A7220" s="157">
        <v>32744</v>
      </c>
      <c r="B7220" s="158" t="e">
        <f>NA()</f>
        <v>#N/A</v>
      </c>
    </row>
    <row r="7221" spans="1:2" x14ac:dyDescent="0.25">
      <c r="A7221" s="157">
        <v>32745</v>
      </c>
      <c r="B7221" s="158" t="e">
        <f>NA()</f>
        <v>#N/A</v>
      </c>
    </row>
    <row r="7222" spans="1:2" x14ac:dyDescent="0.25">
      <c r="A7222" s="157">
        <v>32748</v>
      </c>
      <c r="B7222" s="158" t="e">
        <f>NA()</f>
        <v>#N/A</v>
      </c>
    </row>
    <row r="7223" spans="1:2" x14ac:dyDescent="0.25">
      <c r="A7223" s="157">
        <v>32749</v>
      </c>
      <c r="B7223" s="158" t="e">
        <f>NA()</f>
        <v>#N/A</v>
      </c>
    </row>
    <row r="7224" spans="1:2" x14ac:dyDescent="0.25">
      <c r="A7224" s="157">
        <v>32750</v>
      </c>
      <c r="B7224" s="158" t="e">
        <f>NA()</f>
        <v>#N/A</v>
      </c>
    </row>
    <row r="7225" spans="1:2" x14ac:dyDescent="0.25">
      <c r="A7225" s="157">
        <v>32751</v>
      </c>
      <c r="B7225" s="158" t="e">
        <f>NA()</f>
        <v>#N/A</v>
      </c>
    </row>
    <row r="7226" spans="1:2" x14ac:dyDescent="0.25">
      <c r="A7226" s="157">
        <v>32752</v>
      </c>
      <c r="B7226" s="158" t="e">
        <f>NA()</f>
        <v>#N/A</v>
      </c>
    </row>
    <row r="7227" spans="1:2" x14ac:dyDescent="0.25">
      <c r="A7227" s="157">
        <v>32755</v>
      </c>
      <c r="B7227" s="158" t="e">
        <f>NA()</f>
        <v>#N/A</v>
      </c>
    </row>
    <row r="7228" spans="1:2" x14ac:dyDescent="0.25">
      <c r="A7228" s="157">
        <v>32756</v>
      </c>
      <c r="B7228" s="158" t="e">
        <f>NA()</f>
        <v>#N/A</v>
      </c>
    </row>
    <row r="7229" spans="1:2" x14ac:dyDescent="0.25">
      <c r="A7229" s="157">
        <v>32757</v>
      </c>
      <c r="B7229" s="158" t="e">
        <f>NA()</f>
        <v>#N/A</v>
      </c>
    </row>
    <row r="7230" spans="1:2" x14ac:dyDescent="0.25">
      <c r="A7230" s="157">
        <v>32758</v>
      </c>
      <c r="B7230" s="158" t="e">
        <f>NA()</f>
        <v>#N/A</v>
      </c>
    </row>
    <row r="7231" spans="1:2" x14ac:dyDescent="0.25">
      <c r="A7231" s="157">
        <v>32759</v>
      </c>
      <c r="B7231" s="158" t="e">
        <f>NA()</f>
        <v>#N/A</v>
      </c>
    </row>
    <row r="7232" spans="1:2" x14ac:dyDescent="0.25">
      <c r="A7232" s="157">
        <v>32762</v>
      </c>
      <c r="B7232" s="158" t="e">
        <f>NA()</f>
        <v>#N/A</v>
      </c>
    </row>
    <row r="7233" spans="1:2" x14ac:dyDescent="0.25">
      <c r="A7233" s="157">
        <v>32763</v>
      </c>
      <c r="B7233" s="158" t="e">
        <f>NA()</f>
        <v>#N/A</v>
      </c>
    </row>
    <row r="7234" spans="1:2" x14ac:dyDescent="0.25">
      <c r="A7234" s="157">
        <v>32764</v>
      </c>
      <c r="B7234" s="158" t="e">
        <f>NA()</f>
        <v>#N/A</v>
      </c>
    </row>
    <row r="7235" spans="1:2" x14ac:dyDescent="0.25">
      <c r="A7235" s="157">
        <v>32765</v>
      </c>
      <c r="B7235" s="158" t="e">
        <f>NA()</f>
        <v>#N/A</v>
      </c>
    </row>
    <row r="7236" spans="1:2" x14ac:dyDescent="0.25">
      <c r="A7236" s="157">
        <v>32766</v>
      </c>
      <c r="B7236" s="158" t="e">
        <f>NA()</f>
        <v>#N/A</v>
      </c>
    </row>
    <row r="7237" spans="1:2" x14ac:dyDescent="0.25">
      <c r="A7237" s="157">
        <v>32769</v>
      </c>
      <c r="B7237" s="158" t="e">
        <f>NA()</f>
        <v>#N/A</v>
      </c>
    </row>
    <row r="7238" spans="1:2" x14ac:dyDescent="0.25">
      <c r="A7238" s="157">
        <v>32770</v>
      </c>
      <c r="B7238" s="158" t="e">
        <f>NA()</f>
        <v>#N/A</v>
      </c>
    </row>
    <row r="7239" spans="1:2" x14ac:dyDescent="0.25">
      <c r="A7239" s="157">
        <v>32771</v>
      </c>
      <c r="B7239" s="158" t="e">
        <f>NA()</f>
        <v>#N/A</v>
      </c>
    </row>
    <row r="7240" spans="1:2" x14ac:dyDescent="0.25">
      <c r="A7240" s="157">
        <v>32772</v>
      </c>
      <c r="B7240" s="158" t="e">
        <f>NA()</f>
        <v>#N/A</v>
      </c>
    </row>
    <row r="7241" spans="1:2" x14ac:dyDescent="0.25">
      <c r="A7241" s="157">
        <v>32773</v>
      </c>
      <c r="B7241" s="158" t="e">
        <f>NA()</f>
        <v>#N/A</v>
      </c>
    </row>
    <row r="7242" spans="1:2" x14ac:dyDescent="0.25">
      <c r="A7242" s="157">
        <v>32776</v>
      </c>
      <c r="B7242" s="158" t="e">
        <f>NA()</f>
        <v>#N/A</v>
      </c>
    </row>
    <row r="7243" spans="1:2" x14ac:dyDescent="0.25">
      <c r="A7243" s="157">
        <v>32777</v>
      </c>
      <c r="B7243" s="158" t="e">
        <f>NA()</f>
        <v>#N/A</v>
      </c>
    </row>
    <row r="7244" spans="1:2" x14ac:dyDescent="0.25">
      <c r="A7244" s="157">
        <v>32778</v>
      </c>
      <c r="B7244" s="158" t="e">
        <f>NA()</f>
        <v>#N/A</v>
      </c>
    </row>
    <row r="7245" spans="1:2" x14ac:dyDescent="0.25">
      <c r="A7245" s="157">
        <v>32779</v>
      </c>
      <c r="B7245" s="158" t="e">
        <f>NA()</f>
        <v>#N/A</v>
      </c>
    </row>
    <row r="7246" spans="1:2" x14ac:dyDescent="0.25">
      <c r="A7246" s="157">
        <v>32780</v>
      </c>
      <c r="B7246" s="158" t="e">
        <f>NA()</f>
        <v>#N/A</v>
      </c>
    </row>
    <row r="7247" spans="1:2" x14ac:dyDescent="0.25">
      <c r="A7247" s="157">
        <v>32783</v>
      </c>
      <c r="B7247" s="158" t="e">
        <f>NA()</f>
        <v>#N/A</v>
      </c>
    </row>
    <row r="7248" spans="1:2" x14ac:dyDescent="0.25">
      <c r="A7248" s="157">
        <v>32784</v>
      </c>
      <c r="B7248" s="158" t="e">
        <f>NA()</f>
        <v>#N/A</v>
      </c>
    </row>
    <row r="7249" spans="1:2" x14ac:dyDescent="0.25">
      <c r="A7249" s="157">
        <v>32785</v>
      </c>
      <c r="B7249" s="158" t="e">
        <f>NA()</f>
        <v>#N/A</v>
      </c>
    </row>
    <row r="7250" spans="1:2" x14ac:dyDescent="0.25">
      <c r="A7250" s="157">
        <v>32786</v>
      </c>
      <c r="B7250" s="158" t="e">
        <f>NA()</f>
        <v>#N/A</v>
      </c>
    </row>
    <row r="7251" spans="1:2" x14ac:dyDescent="0.25">
      <c r="A7251" s="157">
        <v>32787</v>
      </c>
      <c r="B7251" s="158" t="e">
        <f>NA()</f>
        <v>#N/A</v>
      </c>
    </row>
    <row r="7252" spans="1:2" x14ac:dyDescent="0.25">
      <c r="A7252" s="157">
        <v>32790</v>
      </c>
      <c r="B7252" s="158" t="e">
        <f>NA()</f>
        <v>#N/A</v>
      </c>
    </row>
    <row r="7253" spans="1:2" x14ac:dyDescent="0.25">
      <c r="A7253" s="157">
        <v>32791</v>
      </c>
      <c r="B7253" s="158" t="e">
        <f>NA()</f>
        <v>#N/A</v>
      </c>
    </row>
    <row r="7254" spans="1:2" x14ac:dyDescent="0.25">
      <c r="A7254" s="157">
        <v>32792</v>
      </c>
      <c r="B7254" s="158" t="e">
        <f>NA()</f>
        <v>#N/A</v>
      </c>
    </row>
    <row r="7255" spans="1:2" x14ac:dyDescent="0.25">
      <c r="A7255" s="157">
        <v>32793</v>
      </c>
      <c r="B7255" s="158" t="e">
        <f>NA()</f>
        <v>#N/A</v>
      </c>
    </row>
    <row r="7256" spans="1:2" x14ac:dyDescent="0.25">
      <c r="A7256" s="157">
        <v>32794</v>
      </c>
      <c r="B7256" s="158" t="e">
        <f>NA()</f>
        <v>#N/A</v>
      </c>
    </row>
    <row r="7257" spans="1:2" x14ac:dyDescent="0.25">
      <c r="A7257" s="157">
        <v>32797</v>
      </c>
      <c r="B7257" s="158" t="e">
        <f>NA()</f>
        <v>#N/A</v>
      </c>
    </row>
    <row r="7258" spans="1:2" x14ac:dyDescent="0.25">
      <c r="A7258" s="157">
        <v>32798</v>
      </c>
      <c r="B7258" s="158" t="e">
        <f>NA()</f>
        <v>#N/A</v>
      </c>
    </row>
    <row r="7259" spans="1:2" x14ac:dyDescent="0.25">
      <c r="A7259" s="157">
        <v>32799</v>
      </c>
      <c r="B7259" s="158" t="e">
        <f>NA()</f>
        <v>#N/A</v>
      </c>
    </row>
    <row r="7260" spans="1:2" x14ac:dyDescent="0.25">
      <c r="A7260" s="157">
        <v>32800</v>
      </c>
      <c r="B7260" s="158" t="e">
        <f>NA()</f>
        <v>#N/A</v>
      </c>
    </row>
    <row r="7261" spans="1:2" x14ac:dyDescent="0.25">
      <c r="A7261" s="157">
        <v>32801</v>
      </c>
      <c r="B7261" s="158" t="e">
        <f>NA()</f>
        <v>#N/A</v>
      </c>
    </row>
    <row r="7262" spans="1:2" x14ac:dyDescent="0.25">
      <c r="A7262" s="157">
        <v>32804</v>
      </c>
      <c r="B7262" s="158" t="e">
        <f>NA()</f>
        <v>#N/A</v>
      </c>
    </row>
    <row r="7263" spans="1:2" x14ac:dyDescent="0.25">
      <c r="A7263" s="157">
        <v>32805</v>
      </c>
      <c r="B7263" s="158" t="e">
        <f>NA()</f>
        <v>#N/A</v>
      </c>
    </row>
    <row r="7264" spans="1:2" x14ac:dyDescent="0.25">
      <c r="A7264" s="157">
        <v>32806</v>
      </c>
      <c r="B7264" s="158" t="e">
        <f>NA()</f>
        <v>#N/A</v>
      </c>
    </row>
    <row r="7265" spans="1:2" x14ac:dyDescent="0.25">
      <c r="A7265" s="157">
        <v>32807</v>
      </c>
      <c r="B7265" s="158" t="e">
        <f>NA()</f>
        <v>#N/A</v>
      </c>
    </row>
    <row r="7266" spans="1:2" x14ac:dyDescent="0.25">
      <c r="A7266" s="157">
        <v>32808</v>
      </c>
      <c r="B7266" s="158" t="e">
        <f>NA()</f>
        <v>#N/A</v>
      </c>
    </row>
    <row r="7267" spans="1:2" x14ac:dyDescent="0.25">
      <c r="A7267" s="157">
        <v>32811</v>
      </c>
      <c r="B7267" s="158" t="e">
        <f>NA()</f>
        <v>#N/A</v>
      </c>
    </row>
    <row r="7268" spans="1:2" x14ac:dyDescent="0.25">
      <c r="A7268" s="157">
        <v>32812</v>
      </c>
      <c r="B7268" s="158" t="e">
        <f>NA()</f>
        <v>#N/A</v>
      </c>
    </row>
    <row r="7269" spans="1:2" x14ac:dyDescent="0.25">
      <c r="A7269" s="157">
        <v>32813</v>
      </c>
      <c r="B7269" s="158" t="e">
        <f>NA()</f>
        <v>#N/A</v>
      </c>
    </row>
    <row r="7270" spans="1:2" x14ac:dyDescent="0.25">
      <c r="A7270" s="157">
        <v>32814</v>
      </c>
      <c r="B7270" s="158" t="e">
        <f>NA()</f>
        <v>#N/A</v>
      </c>
    </row>
    <row r="7271" spans="1:2" x14ac:dyDescent="0.25">
      <c r="A7271" s="157">
        <v>32815</v>
      </c>
      <c r="B7271" s="158" t="e">
        <f>NA()</f>
        <v>#N/A</v>
      </c>
    </row>
    <row r="7272" spans="1:2" x14ac:dyDescent="0.25">
      <c r="A7272" s="157">
        <v>32818</v>
      </c>
      <c r="B7272" s="158" t="e">
        <f>NA()</f>
        <v>#N/A</v>
      </c>
    </row>
    <row r="7273" spans="1:2" x14ac:dyDescent="0.25">
      <c r="A7273" s="157">
        <v>32819</v>
      </c>
      <c r="B7273" s="158" t="e">
        <f>NA()</f>
        <v>#N/A</v>
      </c>
    </row>
    <row r="7274" spans="1:2" x14ac:dyDescent="0.25">
      <c r="A7274" s="157">
        <v>32820</v>
      </c>
      <c r="B7274" s="158" t="e">
        <f>NA()</f>
        <v>#N/A</v>
      </c>
    </row>
    <row r="7275" spans="1:2" x14ac:dyDescent="0.25">
      <c r="A7275" s="157">
        <v>32821</v>
      </c>
      <c r="B7275" s="158" t="e">
        <f>NA()</f>
        <v>#N/A</v>
      </c>
    </row>
    <row r="7276" spans="1:2" x14ac:dyDescent="0.25">
      <c r="A7276" s="157">
        <v>32822</v>
      </c>
      <c r="B7276" s="158" t="e">
        <f>NA()</f>
        <v>#N/A</v>
      </c>
    </row>
    <row r="7277" spans="1:2" x14ac:dyDescent="0.25">
      <c r="A7277" s="157">
        <v>32825</v>
      </c>
      <c r="B7277" s="158" t="e">
        <f>NA()</f>
        <v>#N/A</v>
      </c>
    </row>
    <row r="7278" spans="1:2" x14ac:dyDescent="0.25">
      <c r="A7278" s="157">
        <v>32826</v>
      </c>
      <c r="B7278" s="158" t="e">
        <f>NA()</f>
        <v>#N/A</v>
      </c>
    </row>
    <row r="7279" spans="1:2" x14ac:dyDescent="0.25">
      <c r="A7279" s="157">
        <v>32827</v>
      </c>
      <c r="B7279" s="158" t="e">
        <f>NA()</f>
        <v>#N/A</v>
      </c>
    </row>
    <row r="7280" spans="1:2" x14ac:dyDescent="0.25">
      <c r="A7280" s="157">
        <v>32828</v>
      </c>
      <c r="B7280" s="158" t="e">
        <f>NA()</f>
        <v>#N/A</v>
      </c>
    </row>
    <row r="7281" spans="1:2" x14ac:dyDescent="0.25">
      <c r="A7281" s="157">
        <v>32829</v>
      </c>
      <c r="B7281" s="158" t="e">
        <f>NA()</f>
        <v>#N/A</v>
      </c>
    </row>
    <row r="7282" spans="1:2" x14ac:dyDescent="0.25">
      <c r="A7282" s="157">
        <v>32832</v>
      </c>
      <c r="B7282" s="158" t="e">
        <f>NA()</f>
        <v>#N/A</v>
      </c>
    </row>
    <row r="7283" spans="1:2" x14ac:dyDescent="0.25">
      <c r="A7283" s="157">
        <v>32833</v>
      </c>
      <c r="B7283" s="158" t="e">
        <f>NA()</f>
        <v>#N/A</v>
      </c>
    </row>
    <row r="7284" spans="1:2" x14ac:dyDescent="0.25">
      <c r="A7284" s="157">
        <v>32834</v>
      </c>
      <c r="B7284" s="158" t="e">
        <f>NA()</f>
        <v>#N/A</v>
      </c>
    </row>
    <row r="7285" spans="1:2" x14ac:dyDescent="0.25">
      <c r="A7285" s="157">
        <v>32835</v>
      </c>
      <c r="B7285" s="158" t="e">
        <f>NA()</f>
        <v>#N/A</v>
      </c>
    </row>
    <row r="7286" spans="1:2" x14ac:dyDescent="0.25">
      <c r="A7286" s="157">
        <v>32836</v>
      </c>
      <c r="B7286" s="158" t="e">
        <f>NA()</f>
        <v>#N/A</v>
      </c>
    </row>
    <row r="7287" spans="1:2" x14ac:dyDescent="0.25">
      <c r="A7287" s="157">
        <v>32839</v>
      </c>
      <c r="B7287" s="158" t="e">
        <f>NA()</f>
        <v>#N/A</v>
      </c>
    </row>
    <row r="7288" spans="1:2" x14ac:dyDescent="0.25">
      <c r="A7288" s="157">
        <v>32840</v>
      </c>
      <c r="B7288" s="158" t="e">
        <f>NA()</f>
        <v>#N/A</v>
      </c>
    </row>
    <row r="7289" spans="1:2" x14ac:dyDescent="0.25">
      <c r="A7289" s="157">
        <v>32841</v>
      </c>
      <c r="B7289" s="158" t="e">
        <f>NA()</f>
        <v>#N/A</v>
      </c>
    </row>
    <row r="7290" spans="1:2" x14ac:dyDescent="0.25">
      <c r="A7290" s="157">
        <v>32842</v>
      </c>
      <c r="B7290" s="158" t="e">
        <f>NA()</f>
        <v>#N/A</v>
      </c>
    </row>
    <row r="7291" spans="1:2" x14ac:dyDescent="0.25">
      <c r="A7291" s="157">
        <v>32843</v>
      </c>
      <c r="B7291" s="158" t="e">
        <f>NA()</f>
        <v>#N/A</v>
      </c>
    </row>
    <row r="7292" spans="1:2" x14ac:dyDescent="0.25">
      <c r="A7292" s="157">
        <v>32846</v>
      </c>
      <c r="B7292" s="158" t="e">
        <f>NA()</f>
        <v>#N/A</v>
      </c>
    </row>
    <row r="7293" spans="1:2" x14ac:dyDescent="0.25">
      <c r="A7293" s="157">
        <v>32847</v>
      </c>
      <c r="B7293" s="158" t="e">
        <f>NA()</f>
        <v>#N/A</v>
      </c>
    </row>
    <row r="7294" spans="1:2" x14ac:dyDescent="0.25">
      <c r="A7294" s="157">
        <v>32848</v>
      </c>
      <c r="B7294" s="158" t="e">
        <f>NA()</f>
        <v>#N/A</v>
      </c>
    </row>
    <row r="7295" spans="1:2" x14ac:dyDescent="0.25">
      <c r="A7295" s="157">
        <v>32849</v>
      </c>
      <c r="B7295" s="158" t="e">
        <f>NA()</f>
        <v>#N/A</v>
      </c>
    </row>
    <row r="7296" spans="1:2" x14ac:dyDescent="0.25">
      <c r="A7296" s="157">
        <v>32850</v>
      </c>
      <c r="B7296" s="158" t="e">
        <f>NA()</f>
        <v>#N/A</v>
      </c>
    </row>
    <row r="7297" spans="1:2" x14ac:dyDescent="0.25">
      <c r="A7297" s="157">
        <v>32853</v>
      </c>
      <c r="B7297" s="158" t="e">
        <f>NA()</f>
        <v>#N/A</v>
      </c>
    </row>
    <row r="7298" spans="1:2" x14ac:dyDescent="0.25">
      <c r="A7298" s="157">
        <v>32854</v>
      </c>
      <c r="B7298" s="158" t="e">
        <f>NA()</f>
        <v>#N/A</v>
      </c>
    </row>
    <row r="7299" spans="1:2" x14ac:dyDescent="0.25">
      <c r="A7299" s="157">
        <v>32855</v>
      </c>
      <c r="B7299" s="158" t="e">
        <f>NA()</f>
        <v>#N/A</v>
      </c>
    </row>
    <row r="7300" spans="1:2" x14ac:dyDescent="0.25">
      <c r="A7300" s="157">
        <v>32856</v>
      </c>
      <c r="B7300" s="158" t="e">
        <f>NA()</f>
        <v>#N/A</v>
      </c>
    </row>
    <row r="7301" spans="1:2" x14ac:dyDescent="0.25">
      <c r="A7301" s="157">
        <v>32857</v>
      </c>
      <c r="B7301" s="158" t="e">
        <f>NA()</f>
        <v>#N/A</v>
      </c>
    </row>
    <row r="7302" spans="1:2" x14ac:dyDescent="0.25">
      <c r="A7302" s="157">
        <v>32860</v>
      </c>
      <c r="B7302" s="158" t="e">
        <f>NA()</f>
        <v>#N/A</v>
      </c>
    </row>
    <row r="7303" spans="1:2" x14ac:dyDescent="0.25">
      <c r="A7303" s="157">
        <v>32861</v>
      </c>
      <c r="B7303" s="158" t="e">
        <f>NA()</f>
        <v>#N/A</v>
      </c>
    </row>
    <row r="7304" spans="1:2" x14ac:dyDescent="0.25">
      <c r="A7304" s="157">
        <v>32862</v>
      </c>
      <c r="B7304" s="158" t="e">
        <f>NA()</f>
        <v>#N/A</v>
      </c>
    </row>
    <row r="7305" spans="1:2" x14ac:dyDescent="0.25">
      <c r="A7305" s="157">
        <v>32863</v>
      </c>
      <c r="B7305" s="158" t="e">
        <f>NA()</f>
        <v>#N/A</v>
      </c>
    </row>
    <row r="7306" spans="1:2" x14ac:dyDescent="0.25">
      <c r="A7306" s="157">
        <v>32864</v>
      </c>
      <c r="B7306" s="158" t="e">
        <f>NA()</f>
        <v>#N/A</v>
      </c>
    </row>
    <row r="7307" spans="1:2" x14ac:dyDescent="0.25">
      <c r="A7307" s="157">
        <v>32867</v>
      </c>
      <c r="B7307" s="158" t="e">
        <f>NA()</f>
        <v>#N/A</v>
      </c>
    </row>
    <row r="7308" spans="1:2" x14ac:dyDescent="0.25">
      <c r="A7308" s="157">
        <v>32868</v>
      </c>
      <c r="B7308" s="158" t="e">
        <f>NA()</f>
        <v>#N/A</v>
      </c>
    </row>
    <row r="7309" spans="1:2" x14ac:dyDescent="0.25">
      <c r="A7309" s="157">
        <v>32869</v>
      </c>
      <c r="B7309" s="158" t="e">
        <f>NA()</f>
        <v>#N/A</v>
      </c>
    </row>
    <row r="7310" spans="1:2" x14ac:dyDescent="0.25">
      <c r="A7310" s="157">
        <v>32870</v>
      </c>
      <c r="B7310" s="158" t="e">
        <f>NA()</f>
        <v>#N/A</v>
      </c>
    </row>
    <row r="7311" spans="1:2" x14ac:dyDescent="0.25">
      <c r="A7311" s="157">
        <v>32871</v>
      </c>
      <c r="B7311" s="158" t="e">
        <f>NA()</f>
        <v>#N/A</v>
      </c>
    </row>
    <row r="7312" spans="1:2" x14ac:dyDescent="0.25">
      <c r="A7312" s="157">
        <v>32874</v>
      </c>
      <c r="B7312" s="158" t="e">
        <f>NA()</f>
        <v>#N/A</v>
      </c>
    </row>
    <row r="7313" spans="1:2" x14ac:dyDescent="0.25">
      <c r="A7313" s="157">
        <v>32875</v>
      </c>
      <c r="B7313" s="158" t="e">
        <f>NA()</f>
        <v>#N/A</v>
      </c>
    </row>
    <row r="7314" spans="1:2" x14ac:dyDescent="0.25">
      <c r="A7314" s="157">
        <v>32876</v>
      </c>
      <c r="B7314" s="158" t="e">
        <f>NA()</f>
        <v>#N/A</v>
      </c>
    </row>
    <row r="7315" spans="1:2" x14ac:dyDescent="0.25">
      <c r="A7315" s="157">
        <v>32877</v>
      </c>
      <c r="B7315" s="158" t="e">
        <f>NA()</f>
        <v>#N/A</v>
      </c>
    </row>
    <row r="7316" spans="1:2" x14ac:dyDescent="0.25">
      <c r="A7316" s="157">
        <v>32878</v>
      </c>
      <c r="B7316" s="158" t="e">
        <f>NA()</f>
        <v>#N/A</v>
      </c>
    </row>
    <row r="7317" spans="1:2" x14ac:dyDescent="0.25">
      <c r="A7317" s="157">
        <v>32881</v>
      </c>
      <c r="B7317" s="158" t="e">
        <f>NA()</f>
        <v>#N/A</v>
      </c>
    </row>
    <row r="7318" spans="1:2" x14ac:dyDescent="0.25">
      <c r="A7318" s="157">
        <v>32882</v>
      </c>
      <c r="B7318" s="158" t="e">
        <f>NA()</f>
        <v>#N/A</v>
      </c>
    </row>
    <row r="7319" spans="1:2" x14ac:dyDescent="0.25">
      <c r="A7319" s="157">
        <v>32883</v>
      </c>
      <c r="B7319" s="158" t="e">
        <f>NA()</f>
        <v>#N/A</v>
      </c>
    </row>
    <row r="7320" spans="1:2" x14ac:dyDescent="0.25">
      <c r="A7320" s="157">
        <v>32884</v>
      </c>
      <c r="B7320" s="158" t="e">
        <f>NA()</f>
        <v>#N/A</v>
      </c>
    </row>
    <row r="7321" spans="1:2" x14ac:dyDescent="0.25">
      <c r="A7321" s="157">
        <v>32885</v>
      </c>
      <c r="B7321" s="158" t="e">
        <f>NA()</f>
        <v>#N/A</v>
      </c>
    </row>
    <row r="7322" spans="1:2" x14ac:dyDescent="0.25">
      <c r="A7322" s="157">
        <v>32888</v>
      </c>
      <c r="B7322" s="158" t="e">
        <f>NA()</f>
        <v>#N/A</v>
      </c>
    </row>
    <row r="7323" spans="1:2" x14ac:dyDescent="0.25">
      <c r="A7323" s="157">
        <v>32889</v>
      </c>
      <c r="B7323" s="158" t="e">
        <f>NA()</f>
        <v>#N/A</v>
      </c>
    </row>
    <row r="7324" spans="1:2" x14ac:dyDescent="0.25">
      <c r="A7324" s="157">
        <v>32890</v>
      </c>
      <c r="B7324" s="158" t="e">
        <f>NA()</f>
        <v>#N/A</v>
      </c>
    </row>
    <row r="7325" spans="1:2" x14ac:dyDescent="0.25">
      <c r="A7325" s="157">
        <v>32891</v>
      </c>
      <c r="B7325" s="158" t="e">
        <f>NA()</f>
        <v>#N/A</v>
      </c>
    </row>
    <row r="7326" spans="1:2" x14ac:dyDescent="0.25">
      <c r="A7326" s="157">
        <v>32892</v>
      </c>
      <c r="B7326" s="158" t="e">
        <f>NA()</f>
        <v>#N/A</v>
      </c>
    </row>
    <row r="7327" spans="1:2" x14ac:dyDescent="0.25">
      <c r="A7327" s="157">
        <v>32895</v>
      </c>
      <c r="B7327" s="158" t="e">
        <f>NA()</f>
        <v>#N/A</v>
      </c>
    </row>
    <row r="7328" spans="1:2" x14ac:dyDescent="0.25">
      <c r="A7328" s="157">
        <v>32896</v>
      </c>
      <c r="B7328" s="158" t="e">
        <f>NA()</f>
        <v>#N/A</v>
      </c>
    </row>
    <row r="7329" spans="1:2" x14ac:dyDescent="0.25">
      <c r="A7329" s="157">
        <v>32897</v>
      </c>
      <c r="B7329" s="158" t="e">
        <f>NA()</f>
        <v>#N/A</v>
      </c>
    </row>
    <row r="7330" spans="1:2" x14ac:dyDescent="0.25">
      <c r="A7330" s="157">
        <v>32898</v>
      </c>
      <c r="B7330" s="158" t="e">
        <f>NA()</f>
        <v>#N/A</v>
      </c>
    </row>
    <row r="7331" spans="1:2" x14ac:dyDescent="0.25">
      <c r="A7331" s="157">
        <v>32899</v>
      </c>
      <c r="B7331" s="158" t="e">
        <f>NA()</f>
        <v>#N/A</v>
      </c>
    </row>
    <row r="7332" spans="1:2" x14ac:dyDescent="0.25">
      <c r="A7332" s="157">
        <v>32902</v>
      </c>
      <c r="B7332" s="158" t="e">
        <f>NA()</f>
        <v>#N/A</v>
      </c>
    </row>
    <row r="7333" spans="1:2" x14ac:dyDescent="0.25">
      <c r="A7333" s="157">
        <v>32903</v>
      </c>
      <c r="B7333" s="158" t="e">
        <f>NA()</f>
        <v>#N/A</v>
      </c>
    </row>
    <row r="7334" spans="1:2" x14ac:dyDescent="0.25">
      <c r="A7334" s="157">
        <v>32904</v>
      </c>
      <c r="B7334" s="158" t="e">
        <f>NA()</f>
        <v>#N/A</v>
      </c>
    </row>
    <row r="7335" spans="1:2" x14ac:dyDescent="0.25">
      <c r="A7335" s="157">
        <v>32905</v>
      </c>
      <c r="B7335" s="158" t="e">
        <f>NA()</f>
        <v>#N/A</v>
      </c>
    </row>
    <row r="7336" spans="1:2" x14ac:dyDescent="0.25">
      <c r="A7336" s="157">
        <v>32906</v>
      </c>
      <c r="B7336" s="158" t="e">
        <f>NA()</f>
        <v>#N/A</v>
      </c>
    </row>
    <row r="7337" spans="1:2" x14ac:dyDescent="0.25">
      <c r="A7337" s="157">
        <v>32909</v>
      </c>
      <c r="B7337" s="158" t="e">
        <f>NA()</f>
        <v>#N/A</v>
      </c>
    </row>
    <row r="7338" spans="1:2" x14ac:dyDescent="0.25">
      <c r="A7338" s="157">
        <v>32910</v>
      </c>
      <c r="B7338" s="158" t="e">
        <f>NA()</f>
        <v>#N/A</v>
      </c>
    </row>
    <row r="7339" spans="1:2" x14ac:dyDescent="0.25">
      <c r="A7339" s="157">
        <v>32911</v>
      </c>
      <c r="B7339" s="158" t="e">
        <f>NA()</f>
        <v>#N/A</v>
      </c>
    </row>
    <row r="7340" spans="1:2" x14ac:dyDescent="0.25">
      <c r="A7340" s="157">
        <v>32912</v>
      </c>
      <c r="B7340" s="158" t="e">
        <f>NA()</f>
        <v>#N/A</v>
      </c>
    </row>
    <row r="7341" spans="1:2" x14ac:dyDescent="0.25">
      <c r="A7341" s="157">
        <v>32913</v>
      </c>
      <c r="B7341" s="158" t="e">
        <f>NA()</f>
        <v>#N/A</v>
      </c>
    </row>
    <row r="7342" spans="1:2" x14ac:dyDescent="0.25">
      <c r="A7342" s="157">
        <v>32916</v>
      </c>
      <c r="B7342" s="158" t="e">
        <f>NA()</f>
        <v>#N/A</v>
      </c>
    </row>
    <row r="7343" spans="1:2" x14ac:dyDescent="0.25">
      <c r="A7343" s="157">
        <v>32917</v>
      </c>
      <c r="B7343" s="158" t="e">
        <f>NA()</f>
        <v>#N/A</v>
      </c>
    </row>
    <row r="7344" spans="1:2" x14ac:dyDescent="0.25">
      <c r="A7344" s="157">
        <v>32918</v>
      </c>
      <c r="B7344" s="158" t="e">
        <f>NA()</f>
        <v>#N/A</v>
      </c>
    </row>
    <row r="7345" spans="1:2" x14ac:dyDescent="0.25">
      <c r="A7345" s="157">
        <v>32919</v>
      </c>
      <c r="B7345" s="158" t="e">
        <f>NA()</f>
        <v>#N/A</v>
      </c>
    </row>
    <row r="7346" spans="1:2" x14ac:dyDescent="0.25">
      <c r="A7346" s="157">
        <v>32920</v>
      </c>
      <c r="B7346" s="158" t="e">
        <f>NA()</f>
        <v>#N/A</v>
      </c>
    </row>
    <row r="7347" spans="1:2" x14ac:dyDescent="0.25">
      <c r="A7347" s="157">
        <v>32923</v>
      </c>
      <c r="B7347" s="158" t="e">
        <f>NA()</f>
        <v>#N/A</v>
      </c>
    </row>
    <row r="7348" spans="1:2" x14ac:dyDescent="0.25">
      <c r="A7348" s="157">
        <v>32924</v>
      </c>
      <c r="B7348" s="158" t="e">
        <f>NA()</f>
        <v>#N/A</v>
      </c>
    </row>
    <row r="7349" spans="1:2" x14ac:dyDescent="0.25">
      <c r="A7349" s="157">
        <v>32925</v>
      </c>
      <c r="B7349" s="158" t="e">
        <f>NA()</f>
        <v>#N/A</v>
      </c>
    </row>
    <row r="7350" spans="1:2" x14ac:dyDescent="0.25">
      <c r="A7350" s="157">
        <v>32926</v>
      </c>
      <c r="B7350" s="158" t="e">
        <f>NA()</f>
        <v>#N/A</v>
      </c>
    </row>
    <row r="7351" spans="1:2" x14ac:dyDescent="0.25">
      <c r="A7351" s="157">
        <v>32927</v>
      </c>
      <c r="B7351" s="158" t="e">
        <f>NA()</f>
        <v>#N/A</v>
      </c>
    </row>
    <row r="7352" spans="1:2" x14ac:dyDescent="0.25">
      <c r="A7352" s="157">
        <v>32930</v>
      </c>
      <c r="B7352" s="158" t="e">
        <f>NA()</f>
        <v>#N/A</v>
      </c>
    </row>
    <row r="7353" spans="1:2" x14ac:dyDescent="0.25">
      <c r="A7353" s="157">
        <v>32931</v>
      </c>
      <c r="B7353" s="158" t="e">
        <f>NA()</f>
        <v>#N/A</v>
      </c>
    </row>
    <row r="7354" spans="1:2" x14ac:dyDescent="0.25">
      <c r="A7354" s="157">
        <v>32932</v>
      </c>
      <c r="B7354" s="158" t="e">
        <f>NA()</f>
        <v>#N/A</v>
      </c>
    </row>
    <row r="7355" spans="1:2" x14ac:dyDescent="0.25">
      <c r="A7355" s="157">
        <v>32933</v>
      </c>
      <c r="B7355" s="158" t="e">
        <f>NA()</f>
        <v>#N/A</v>
      </c>
    </row>
    <row r="7356" spans="1:2" x14ac:dyDescent="0.25">
      <c r="A7356" s="157">
        <v>32934</v>
      </c>
      <c r="B7356" s="158" t="e">
        <f>NA()</f>
        <v>#N/A</v>
      </c>
    </row>
    <row r="7357" spans="1:2" x14ac:dyDescent="0.25">
      <c r="A7357" s="157">
        <v>32937</v>
      </c>
      <c r="B7357" s="158" t="e">
        <f>NA()</f>
        <v>#N/A</v>
      </c>
    </row>
    <row r="7358" spans="1:2" x14ac:dyDescent="0.25">
      <c r="A7358" s="157">
        <v>32938</v>
      </c>
      <c r="B7358" s="158" t="e">
        <f>NA()</f>
        <v>#N/A</v>
      </c>
    </row>
    <row r="7359" spans="1:2" x14ac:dyDescent="0.25">
      <c r="A7359" s="157">
        <v>32939</v>
      </c>
      <c r="B7359" s="158" t="e">
        <f>NA()</f>
        <v>#N/A</v>
      </c>
    </row>
    <row r="7360" spans="1:2" x14ac:dyDescent="0.25">
      <c r="A7360" s="157">
        <v>32940</v>
      </c>
      <c r="B7360" s="158" t="e">
        <f>NA()</f>
        <v>#N/A</v>
      </c>
    </row>
    <row r="7361" spans="1:2" x14ac:dyDescent="0.25">
      <c r="A7361" s="157">
        <v>32941</v>
      </c>
      <c r="B7361" s="158" t="e">
        <f>NA()</f>
        <v>#N/A</v>
      </c>
    </row>
    <row r="7362" spans="1:2" x14ac:dyDescent="0.25">
      <c r="A7362" s="157">
        <v>32944</v>
      </c>
      <c r="B7362" s="158" t="e">
        <f>NA()</f>
        <v>#N/A</v>
      </c>
    </row>
    <row r="7363" spans="1:2" x14ac:dyDescent="0.25">
      <c r="A7363" s="157">
        <v>32945</v>
      </c>
      <c r="B7363" s="158" t="e">
        <f>NA()</f>
        <v>#N/A</v>
      </c>
    </row>
    <row r="7364" spans="1:2" x14ac:dyDescent="0.25">
      <c r="A7364" s="157">
        <v>32946</v>
      </c>
      <c r="B7364" s="158" t="e">
        <f>NA()</f>
        <v>#N/A</v>
      </c>
    </row>
    <row r="7365" spans="1:2" x14ac:dyDescent="0.25">
      <c r="A7365" s="157">
        <v>32947</v>
      </c>
      <c r="B7365" s="158" t="e">
        <f>NA()</f>
        <v>#N/A</v>
      </c>
    </row>
    <row r="7366" spans="1:2" x14ac:dyDescent="0.25">
      <c r="A7366" s="157">
        <v>32948</v>
      </c>
      <c r="B7366" s="158" t="e">
        <f>NA()</f>
        <v>#N/A</v>
      </c>
    </row>
    <row r="7367" spans="1:2" x14ac:dyDescent="0.25">
      <c r="A7367" s="157">
        <v>32951</v>
      </c>
      <c r="B7367" s="158" t="e">
        <f>NA()</f>
        <v>#N/A</v>
      </c>
    </row>
    <row r="7368" spans="1:2" x14ac:dyDescent="0.25">
      <c r="A7368" s="157">
        <v>32952</v>
      </c>
      <c r="B7368" s="158" t="e">
        <f>NA()</f>
        <v>#N/A</v>
      </c>
    </row>
    <row r="7369" spans="1:2" x14ac:dyDescent="0.25">
      <c r="A7369" s="157">
        <v>32953</v>
      </c>
      <c r="B7369" s="158" t="e">
        <f>NA()</f>
        <v>#N/A</v>
      </c>
    </row>
    <row r="7370" spans="1:2" x14ac:dyDescent="0.25">
      <c r="A7370" s="157">
        <v>32954</v>
      </c>
      <c r="B7370" s="158" t="e">
        <f>NA()</f>
        <v>#N/A</v>
      </c>
    </row>
    <row r="7371" spans="1:2" x14ac:dyDescent="0.25">
      <c r="A7371" s="157">
        <v>32955</v>
      </c>
      <c r="B7371" s="158" t="e">
        <f>NA()</f>
        <v>#N/A</v>
      </c>
    </row>
    <row r="7372" spans="1:2" x14ac:dyDescent="0.25">
      <c r="A7372" s="157">
        <v>32958</v>
      </c>
      <c r="B7372" s="158" t="e">
        <f>NA()</f>
        <v>#N/A</v>
      </c>
    </row>
    <row r="7373" spans="1:2" x14ac:dyDescent="0.25">
      <c r="A7373" s="157">
        <v>32959</v>
      </c>
      <c r="B7373" s="158" t="e">
        <f>NA()</f>
        <v>#N/A</v>
      </c>
    </row>
    <row r="7374" spans="1:2" x14ac:dyDescent="0.25">
      <c r="A7374" s="157">
        <v>32960</v>
      </c>
      <c r="B7374" s="158" t="e">
        <f>NA()</f>
        <v>#N/A</v>
      </c>
    </row>
    <row r="7375" spans="1:2" x14ac:dyDescent="0.25">
      <c r="A7375" s="157">
        <v>32961</v>
      </c>
      <c r="B7375" s="158" t="e">
        <f>NA()</f>
        <v>#N/A</v>
      </c>
    </row>
    <row r="7376" spans="1:2" x14ac:dyDescent="0.25">
      <c r="A7376" s="157">
        <v>32962</v>
      </c>
      <c r="B7376" s="158" t="e">
        <f>NA()</f>
        <v>#N/A</v>
      </c>
    </row>
    <row r="7377" spans="1:2" x14ac:dyDescent="0.25">
      <c r="A7377" s="157">
        <v>32965</v>
      </c>
      <c r="B7377" s="158" t="e">
        <f>NA()</f>
        <v>#N/A</v>
      </c>
    </row>
    <row r="7378" spans="1:2" x14ac:dyDescent="0.25">
      <c r="A7378" s="157">
        <v>32966</v>
      </c>
      <c r="B7378" s="158" t="e">
        <f>NA()</f>
        <v>#N/A</v>
      </c>
    </row>
    <row r="7379" spans="1:2" x14ac:dyDescent="0.25">
      <c r="A7379" s="157">
        <v>32967</v>
      </c>
      <c r="B7379" s="158" t="e">
        <f>NA()</f>
        <v>#N/A</v>
      </c>
    </row>
    <row r="7380" spans="1:2" x14ac:dyDescent="0.25">
      <c r="A7380" s="157">
        <v>32968</v>
      </c>
      <c r="B7380" s="158" t="e">
        <f>NA()</f>
        <v>#N/A</v>
      </c>
    </row>
    <row r="7381" spans="1:2" x14ac:dyDescent="0.25">
      <c r="A7381" s="157">
        <v>32969</v>
      </c>
      <c r="B7381" s="158" t="e">
        <f>NA()</f>
        <v>#N/A</v>
      </c>
    </row>
    <row r="7382" spans="1:2" x14ac:dyDescent="0.25">
      <c r="A7382" s="157">
        <v>32972</v>
      </c>
      <c r="B7382" s="158" t="e">
        <f>NA()</f>
        <v>#N/A</v>
      </c>
    </row>
    <row r="7383" spans="1:2" x14ac:dyDescent="0.25">
      <c r="A7383" s="157">
        <v>32973</v>
      </c>
      <c r="B7383" s="158" t="e">
        <f>NA()</f>
        <v>#N/A</v>
      </c>
    </row>
    <row r="7384" spans="1:2" x14ac:dyDescent="0.25">
      <c r="A7384" s="157">
        <v>32974</v>
      </c>
      <c r="B7384" s="158" t="e">
        <f>NA()</f>
        <v>#N/A</v>
      </c>
    </row>
    <row r="7385" spans="1:2" x14ac:dyDescent="0.25">
      <c r="A7385" s="157">
        <v>32975</v>
      </c>
      <c r="B7385" s="158" t="e">
        <f>NA()</f>
        <v>#N/A</v>
      </c>
    </row>
    <row r="7386" spans="1:2" x14ac:dyDescent="0.25">
      <c r="A7386" s="157">
        <v>32976</v>
      </c>
      <c r="B7386" s="158" t="e">
        <f>NA()</f>
        <v>#N/A</v>
      </c>
    </row>
    <row r="7387" spans="1:2" x14ac:dyDescent="0.25">
      <c r="A7387" s="157">
        <v>32979</v>
      </c>
      <c r="B7387" s="158" t="e">
        <f>NA()</f>
        <v>#N/A</v>
      </c>
    </row>
    <row r="7388" spans="1:2" x14ac:dyDescent="0.25">
      <c r="A7388" s="157">
        <v>32980</v>
      </c>
      <c r="B7388" s="158" t="e">
        <f>NA()</f>
        <v>#N/A</v>
      </c>
    </row>
    <row r="7389" spans="1:2" x14ac:dyDescent="0.25">
      <c r="A7389" s="157">
        <v>32981</v>
      </c>
      <c r="B7389" s="158" t="e">
        <f>NA()</f>
        <v>#N/A</v>
      </c>
    </row>
    <row r="7390" spans="1:2" x14ac:dyDescent="0.25">
      <c r="A7390" s="157">
        <v>32982</v>
      </c>
      <c r="B7390" s="158" t="e">
        <f>NA()</f>
        <v>#N/A</v>
      </c>
    </row>
    <row r="7391" spans="1:2" x14ac:dyDescent="0.25">
      <c r="A7391" s="157">
        <v>32983</v>
      </c>
      <c r="B7391" s="158" t="e">
        <f>NA()</f>
        <v>#N/A</v>
      </c>
    </row>
    <row r="7392" spans="1:2" x14ac:dyDescent="0.25">
      <c r="A7392" s="157">
        <v>32986</v>
      </c>
      <c r="B7392" s="158" t="e">
        <f>NA()</f>
        <v>#N/A</v>
      </c>
    </row>
    <row r="7393" spans="1:2" x14ac:dyDescent="0.25">
      <c r="A7393" s="157">
        <v>32987</v>
      </c>
      <c r="B7393" s="158" t="e">
        <f>NA()</f>
        <v>#N/A</v>
      </c>
    </row>
    <row r="7394" spans="1:2" x14ac:dyDescent="0.25">
      <c r="A7394" s="157">
        <v>32988</v>
      </c>
      <c r="B7394" s="158" t="e">
        <f>NA()</f>
        <v>#N/A</v>
      </c>
    </row>
    <row r="7395" spans="1:2" x14ac:dyDescent="0.25">
      <c r="A7395" s="157">
        <v>32989</v>
      </c>
      <c r="B7395" s="158" t="e">
        <f>NA()</f>
        <v>#N/A</v>
      </c>
    </row>
    <row r="7396" spans="1:2" x14ac:dyDescent="0.25">
      <c r="A7396" s="157">
        <v>32990</v>
      </c>
      <c r="B7396" s="158" t="e">
        <f>NA()</f>
        <v>#N/A</v>
      </c>
    </row>
    <row r="7397" spans="1:2" x14ac:dyDescent="0.25">
      <c r="A7397" s="157">
        <v>32993</v>
      </c>
      <c r="B7397" s="158" t="e">
        <f>NA()</f>
        <v>#N/A</v>
      </c>
    </row>
    <row r="7398" spans="1:2" x14ac:dyDescent="0.25">
      <c r="A7398" s="157">
        <v>32994</v>
      </c>
      <c r="B7398" s="158" t="e">
        <f>NA()</f>
        <v>#N/A</v>
      </c>
    </row>
    <row r="7399" spans="1:2" x14ac:dyDescent="0.25">
      <c r="A7399" s="157">
        <v>32995</v>
      </c>
      <c r="B7399" s="158" t="e">
        <f>NA()</f>
        <v>#N/A</v>
      </c>
    </row>
    <row r="7400" spans="1:2" x14ac:dyDescent="0.25">
      <c r="A7400" s="157">
        <v>32996</v>
      </c>
      <c r="B7400" s="158" t="e">
        <f>NA()</f>
        <v>#N/A</v>
      </c>
    </row>
    <row r="7401" spans="1:2" x14ac:dyDescent="0.25">
      <c r="A7401" s="157">
        <v>32997</v>
      </c>
      <c r="B7401" s="158" t="e">
        <f>NA()</f>
        <v>#N/A</v>
      </c>
    </row>
    <row r="7402" spans="1:2" x14ac:dyDescent="0.25">
      <c r="A7402" s="157">
        <v>33000</v>
      </c>
      <c r="B7402" s="158" t="e">
        <f>NA()</f>
        <v>#N/A</v>
      </c>
    </row>
    <row r="7403" spans="1:2" x14ac:dyDescent="0.25">
      <c r="A7403" s="157">
        <v>33001</v>
      </c>
      <c r="B7403" s="158" t="e">
        <f>NA()</f>
        <v>#N/A</v>
      </c>
    </row>
    <row r="7404" spans="1:2" x14ac:dyDescent="0.25">
      <c r="A7404" s="157">
        <v>33002</v>
      </c>
      <c r="B7404" s="158" t="e">
        <f>NA()</f>
        <v>#N/A</v>
      </c>
    </row>
    <row r="7405" spans="1:2" x14ac:dyDescent="0.25">
      <c r="A7405" s="157">
        <v>33003</v>
      </c>
      <c r="B7405" s="158" t="e">
        <f>NA()</f>
        <v>#N/A</v>
      </c>
    </row>
    <row r="7406" spans="1:2" x14ac:dyDescent="0.25">
      <c r="A7406" s="157">
        <v>33004</v>
      </c>
      <c r="B7406" s="158" t="e">
        <f>NA()</f>
        <v>#N/A</v>
      </c>
    </row>
    <row r="7407" spans="1:2" x14ac:dyDescent="0.25">
      <c r="A7407" s="157">
        <v>33007</v>
      </c>
      <c r="B7407" s="158" t="e">
        <f>NA()</f>
        <v>#N/A</v>
      </c>
    </row>
    <row r="7408" spans="1:2" x14ac:dyDescent="0.25">
      <c r="A7408" s="157">
        <v>33008</v>
      </c>
      <c r="B7408" s="158" t="e">
        <f>NA()</f>
        <v>#N/A</v>
      </c>
    </row>
    <row r="7409" spans="1:2" x14ac:dyDescent="0.25">
      <c r="A7409" s="157">
        <v>33009</v>
      </c>
      <c r="B7409" s="158" t="e">
        <f>NA()</f>
        <v>#N/A</v>
      </c>
    </row>
    <row r="7410" spans="1:2" x14ac:dyDescent="0.25">
      <c r="A7410" s="157">
        <v>33010</v>
      </c>
      <c r="B7410" s="158" t="e">
        <f>NA()</f>
        <v>#N/A</v>
      </c>
    </row>
    <row r="7411" spans="1:2" x14ac:dyDescent="0.25">
      <c r="A7411" s="157">
        <v>33011</v>
      </c>
      <c r="B7411" s="158" t="e">
        <f>NA()</f>
        <v>#N/A</v>
      </c>
    </row>
    <row r="7412" spans="1:2" x14ac:dyDescent="0.25">
      <c r="A7412" s="157">
        <v>33014</v>
      </c>
      <c r="B7412" s="158" t="e">
        <f>NA()</f>
        <v>#N/A</v>
      </c>
    </row>
    <row r="7413" spans="1:2" x14ac:dyDescent="0.25">
      <c r="A7413" s="157">
        <v>33015</v>
      </c>
      <c r="B7413" s="158" t="e">
        <f>NA()</f>
        <v>#N/A</v>
      </c>
    </row>
    <row r="7414" spans="1:2" x14ac:dyDescent="0.25">
      <c r="A7414" s="157">
        <v>33016</v>
      </c>
      <c r="B7414" s="158" t="e">
        <f>NA()</f>
        <v>#N/A</v>
      </c>
    </row>
    <row r="7415" spans="1:2" x14ac:dyDescent="0.25">
      <c r="A7415" s="157">
        <v>33017</v>
      </c>
      <c r="B7415" s="158" t="e">
        <f>NA()</f>
        <v>#N/A</v>
      </c>
    </row>
    <row r="7416" spans="1:2" x14ac:dyDescent="0.25">
      <c r="A7416" s="157">
        <v>33018</v>
      </c>
      <c r="B7416" s="158" t="e">
        <f>NA()</f>
        <v>#N/A</v>
      </c>
    </row>
    <row r="7417" spans="1:2" x14ac:dyDescent="0.25">
      <c r="A7417" s="157">
        <v>33021</v>
      </c>
      <c r="B7417" s="158" t="e">
        <f>NA()</f>
        <v>#N/A</v>
      </c>
    </row>
    <row r="7418" spans="1:2" x14ac:dyDescent="0.25">
      <c r="A7418" s="157">
        <v>33022</v>
      </c>
      <c r="B7418" s="158" t="e">
        <f>NA()</f>
        <v>#N/A</v>
      </c>
    </row>
    <row r="7419" spans="1:2" x14ac:dyDescent="0.25">
      <c r="A7419" s="157">
        <v>33023</v>
      </c>
      <c r="B7419" s="158" t="e">
        <f>NA()</f>
        <v>#N/A</v>
      </c>
    </row>
    <row r="7420" spans="1:2" x14ac:dyDescent="0.25">
      <c r="A7420" s="157">
        <v>33024</v>
      </c>
      <c r="B7420" s="158" t="e">
        <f>NA()</f>
        <v>#N/A</v>
      </c>
    </row>
    <row r="7421" spans="1:2" x14ac:dyDescent="0.25">
      <c r="A7421" s="157">
        <v>33025</v>
      </c>
      <c r="B7421" s="158" t="e">
        <f>NA()</f>
        <v>#N/A</v>
      </c>
    </row>
    <row r="7422" spans="1:2" x14ac:dyDescent="0.25">
      <c r="A7422" s="157">
        <v>33028</v>
      </c>
      <c r="B7422" s="158" t="e">
        <f>NA()</f>
        <v>#N/A</v>
      </c>
    </row>
    <row r="7423" spans="1:2" x14ac:dyDescent="0.25">
      <c r="A7423" s="157">
        <v>33029</v>
      </c>
      <c r="B7423" s="158" t="e">
        <f>NA()</f>
        <v>#N/A</v>
      </c>
    </row>
    <row r="7424" spans="1:2" x14ac:dyDescent="0.25">
      <c r="A7424" s="157">
        <v>33030</v>
      </c>
      <c r="B7424" s="158" t="e">
        <f>NA()</f>
        <v>#N/A</v>
      </c>
    </row>
    <row r="7425" spans="1:2" x14ac:dyDescent="0.25">
      <c r="A7425" s="157">
        <v>33031</v>
      </c>
      <c r="B7425" s="158" t="e">
        <f>NA()</f>
        <v>#N/A</v>
      </c>
    </row>
    <row r="7426" spans="1:2" x14ac:dyDescent="0.25">
      <c r="A7426" s="157">
        <v>33032</v>
      </c>
      <c r="B7426" s="158" t="e">
        <f>NA()</f>
        <v>#N/A</v>
      </c>
    </row>
    <row r="7427" spans="1:2" x14ac:dyDescent="0.25">
      <c r="A7427" s="157">
        <v>33035</v>
      </c>
      <c r="B7427" s="158" t="e">
        <f>NA()</f>
        <v>#N/A</v>
      </c>
    </row>
    <row r="7428" spans="1:2" x14ac:dyDescent="0.25">
      <c r="A7428" s="157">
        <v>33036</v>
      </c>
      <c r="B7428" s="158" t="e">
        <f>NA()</f>
        <v>#N/A</v>
      </c>
    </row>
    <row r="7429" spans="1:2" x14ac:dyDescent="0.25">
      <c r="A7429" s="157">
        <v>33037</v>
      </c>
      <c r="B7429" s="158" t="e">
        <f>NA()</f>
        <v>#N/A</v>
      </c>
    </row>
    <row r="7430" spans="1:2" x14ac:dyDescent="0.25">
      <c r="A7430" s="157">
        <v>33038</v>
      </c>
      <c r="B7430" s="158" t="e">
        <f>NA()</f>
        <v>#N/A</v>
      </c>
    </row>
    <row r="7431" spans="1:2" x14ac:dyDescent="0.25">
      <c r="A7431" s="157">
        <v>33039</v>
      </c>
      <c r="B7431" s="158" t="e">
        <f>NA()</f>
        <v>#N/A</v>
      </c>
    </row>
    <row r="7432" spans="1:2" x14ac:dyDescent="0.25">
      <c r="A7432" s="157">
        <v>33042</v>
      </c>
      <c r="B7432" s="158" t="e">
        <f>NA()</f>
        <v>#N/A</v>
      </c>
    </row>
    <row r="7433" spans="1:2" x14ac:dyDescent="0.25">
      <c r="A7433" s="157">
        <v>33043</v>
      </c>
      <c r="B7433" s="158" t="e">
        <f>NA()</f>
        <v>#N/A</v>
      </c>
    </row>
    <row r="7434" spans="1:2" x14ac:dyDescent="0.25">
      <c r="A7434" s="157">
        <v>33044</v>
      </c>
      <c r="B7434" s="158" t="e">
        <f>NA()</f>
        <v>#N/A</v>
      </c>
    </row>
    <row r="7435" spans="1:2" x14ac:dyDescent="0.25">
      <c r="A7435" s="157">
        <v>33045</v>
      </c>
      <c r="B7435" s="158" t="e">
        <f>NA()</f>
        <v>#N/A</v>
      </c>
    </row>
    <row r="7436" spans="1:2" x14ac:dyDescent="0.25">
      <c r="A7436" s="157">
        <v>33046</v>
      </c>
      <c r="B7436" s="158" t="e">
        <f>NA()</f>
        <v>#N/A</v>
      </c>
    </row>
    <row r="7437" spans="1:2" x14ac:dyDescent="0.25">
      <c r="A7437" s="157">
        <v>33049</v>
      </c>
      <c r="B7437" s="158" t="e">
        <f>NA()</f>
        <v>#N/A</v>
      </c>
    </row>
    <row r="7438" spans="1:2" x14ac:dyDescent="0.25">
      <c r="A7438" s="157">
        <v>33050</v>
      </c>
      <c r="B7438" s="158" t="e">
        <f>NA()</f>
        <v>#N/A</v>
      </c>
    </row>
    <row r="7439" spans="1:2" x14ac:dyDescent="0.25">
      <c r="A7439" s="157">
        <v>33051</v>
      </c>
      <c r="B7439" s="158" t="e">
        <f>NA()</f>
        <v>#N/A</v>
      </c>
    </row>
    <row r="7440" spans="1:2" x14ac:dyDescent="0.25">
      <c r="A7440" s="157">
        <v>33052</v>
      </c>
      <c r="B7440" s="158" t="e">
        <f>NA()</f>
        <v>#N/A</v>
      </c>
    </row>
    <row r="7441" spans="1:2" x14ac:dyDescent="0.25">
      <c r="A7441" s="157">
        <v>33053</v>
      </c>
      <c r="B7441" s="158" t="e">
        <f>NA()</f>
        <v>#N/A</v>
      </c>
    </row>
    <row r="7442" spans="1:2" x14ac:dyDescent="0.25">
      <c r="A7442" s="157">
        <v>33056</v>
      </c>
      <c r="B7442" s="158" t="e">
        <f>NA()</f>
        <v>#N/A</v>
      </c>
    </row>
    <row r="7443" spans="1:2" x14ac:dyDescent="0.25">
      <c r="A7443" s="157">
        <v>33057</v>
      </c>
      <c r="B7443" s="158" t="e">
        <f>NA()</f>
        <v>#N/A</v>
      </c>
    </row>
    <row r="7444" spans="1:2" x14ac:dyDescent="0.25">
      <c r="A7444" s="157">
        <v>33058</v>
      </c>
      <c r="B7444" s="158" t="e">
        <f>NA()</f>
        <v>#N/A</v>
      </c>
    </row>
    <row r="7445" spans="1:2" x14ac:dyDescent="0.25">
      <c r="A7445" s="157">
        <v>33059</v>
      </c>
      <c r="B7445" s="158" t="e">
        <f>NA()</f>
        <v>#N/A</v>
      </c>
    </row>
    <row r="7446" spans="1:2" x14ac:dyDescent="0.25">
      <c r="A7446" s="157">
        <v>33060</v>
      </c>
      <c r="B7446" s="158" t="e">
        <f>NA()</f>
        <v>#N/A</v>
      </c>
    </row>
    <row r="7447" spans="1:2" x14ac:dyDescent="0.25">
      <c r="A7447" s="157">
        <v>33063</v>
      </c>
      <c r="B7447" s="158" t="e">
        <f>NA()</f>
        <v>#N/A</v>
      </c>
    </row>
    <row r="7448" spans="1:2" x14ac:dyDescent="0.25">
      <c r="A7448" s="157">
        <v>33064</v>
      </c>
      <c r="B7448" s="158" t="e">
        <f>NA()</f>
        <v>#N/A</v>
      </c>
    </row>
    <row r="7449" spans="1:2" x14ac:dyDescent="0.25">
      <c r="A7449" s="157">
        <v>33065</v>
      </c>
      <c r="B7449" s="158" t="e">
        <f>NA()</f>
        <v>#N/A</v>
      </c>
    </row>
    <row r="7450" spans="1:2" x14ac:dyDescent="0.25">
      <c r="A7450" s="157">
        <v>33066</v>
      </c>
      <c r="B7450" s="158" t="e">
        <f>NA()</f>
        <v>#N/A</v>
      </c>
    </row>
    <row r="7451" spans="1:2" x14ac:dyDescent="0.25">
      <c r="A7451" s="157">
        <v>33067</v>
      </c>
      <c r="B7451" s="158" t="e">
        <f>NA()</f>
        <v>#N/A</v>
      </c>
    </row>
    <row r="7452" spans="1:2" x14ac:dyDescent="0.25">
      <c r="A7452" s="157">
        <v>33070</v>
      </c>
      <c r="B7452" s="158" t="e">
        <f>NA()</f>
        <v>#N/A</v>
      </c>
    </row>
    <row r="7453" spans="1:2" x14ac:dyDescent="0.25">
      <c r="A7453" s="157">
        <v>33071</v>
      </c>
      <c r="B7453" s="158" t="e">
        <f>NA()</f>
        <v>#N/A</v>
      </c>
    </row>
    <row r="7454" spans="1:2" x14ac:dyDescent="0.25">
      <c r="A7454" s="157">
        <v>33072</v>
      </c>
      <c r="B7454" s="158" t="e">
        <f>NA()</f>
        <v>#N/A</v>
      </c>
    </row>
    <row r="7455" spans="1:2" x14ac:dyDescent="0.25">
      <c r="A7455" s="157">
        <v>33073</v>
      </c>
      <c r="B7455" s="158" t="e">
        <f>NA()</f>
        <v>#N/A</v>
      </c>
    </row>
    <row r="7456" spans="1:2" x14ac:dyDescent="0.25">
      <c r="A7456" s="157">
        <v>33074</v>
      </c>
      <c r="B7456" s="158" t="e">
        <f>NA()</f>
        <v>#N/A</v>
      </c>
    </row>
    <row r="7457" spans="1:2" x14ac:dyDescent="0.25">
      <c r="A7457" s="157">
        <v>33077</v>
      </c>
      <c r="B7457" s="158" t="e">
        <f>NA()</f>
        <v>#N/A</v>
      </c>
    </row>
    <row r="7458" spans="1:2" x14ac:dyDescent="0.25">
      <c r="A7458" s="157">
        <v>33078</v>
      </c>
      <c r="B7458" s="158" t="e">
        <f>NA()</f>
        <v>#N/A</v>
      </c>
    </row>
    <row r="7459" spans="1:2" x14ac:dyDescent="0.25">
      <c r="A7459" s="157">
        <v>33079</v>
      </c>
      <c r="B7459" s="158" t="e">
        <f>NA()</f>
        <v>#N/A</v>
      </c>
    </row>
    <row r="7460" spans="1:2" x14ac:dyDescent="0.25">
      <c r="A7460" s="157">
        <v>33080</v>
      </c>
      <c r="B7460" s="158" t="e">
        <f>NA()</f>
        <v>#N/A</v>
      </c>
    </row>
    <row r="7461" spans="1:2" x14ac:dyDescent="0.25">
      <c r="A7461" s="157">
        <v>33081</v>
      </c>
      <c r="B7461" s="158" t="e">
        <f>NA()</f>
        <v>#N/A</v>
      </c>
    </row>
    <row r="7462" spans="1:2" x14ac:dyDescent="0.25">
      <c r="A7462" s="157">
        <v>33084</v>
      </c>
      <c r="B7462" s="158" t="e">
        <f>NA()</f>
        <v>#N/A</v>
      </c>
    </row>
    <row r="7463" spans="1:2" x14ac:dyDescent="0.25">
      <c r="A7463" s="157">
        <v>33085</v>
      </c>
      <c r="B7463" s="158" t="e">
        <f>NA()</f>
        <v>#N/A</v>
      </c>
    </row>
    <row r="7464" spans="1:2" x14ac:dyDescent="0.25">
      <c r="A7464" s="157">
        <v>33086</v>
      </c>
      <c r="B7464" s="158" t="e">
        <f>NA()</f>
        <v>#N/A</v>
      </c>
    </row>
    <row r="7465" spans="1:2" x14ac:dyDescent="0.25">
      <c r="A7465" s="157">
        <v>33087</v>
      </c>
      <c r="B7465" s="158" t="e">
        <f>NA()</f>
        <v>#N/A</v>
      </c>
    </row>
    <row r="7466" spans="1:2" x14ac:dyDescent="0.25">
      <c r="A7466" s="157">
        <v>33088</v>
      </c>
      <c r="B7466" s="158" t="e">
        <f>NA()</f>
        <v>#N/A</v>
      </c>
    </row>
    <row r="7467" spans="1:2" x14ac:dyDescent="0.25">
      <c r="A7467" s="157">
        <v>33091</v>
      </c>
      <c r="B7467" s="158" t="e">
        <f>NA()</f>
        <v>#N/A</v>
      </c>
    </row>
    <row r="7468" spans="1:2" x14ac:dyDescent="0.25">
      <c r="A7468" s="157">
        <v>33092</v>
      </c>
      <c r="B7468" s="158" t="e">
        <f>NA()</f>
        <v>#N/A</v>
      </c>
    </row>
    <row r="7469" spans="1:2" x14ac:dyDescent="0.25">
      <c r="A7469" s="157">
        <v>33093</v>
      </c>
      <c r="B7469" s="158" t="e">
        <f>NA()</f>
        <v>#N/A</v>
      </c>
    </row>
    <row r="7470" spans="1:2" x14ac:dyDescent="0.25">
      <c r="A7470" s="157">
        <v>33094</v>
      </c>
      <c r="B7470" s="158" t="e">
        <f>NA()</f>
        <v>#N/A</v>
      </c>
    </row>
    <row r="7471" spans="1:2" x14ac:dyDescent="0.25">
      <c r="A7471" s="157">
        <v>33095</v>
      </c>
      <c r="B7471" s="158" t="e">
        <f>NA()</f>
        <v>#N/A</v>
      </c>
    </row>
    <row r="7472" spans="1:2" x14ac:dyDescent="0.25">
      <c r="A7472" s="157">
        <v>33098</v>
      </c>
      <c r="B7472" s="158" t="e">
        <f>NA()</f>
        <v>#N/A</v>
      </c>
    </row>
    <row r="7473" spans="1:2" x14ac:dyDescent="0.25">
      <c r="A7473" s="157">
        <v>33099</v>
      </c>
      <c r="B7473" s="158" t="e">
        <f>NA()</f>
        <v>#N/A</v>
      </c>
    </row>
    <row r="7474" spans="1:2" x14ac:dyDescent="0.25">
      <c r="A7474" s="157">
        <v>33100</v>
      </c>
      <c r="B7474" s="158" t="e">
        <f>NA()</f>
        <v>#N/A</v>
      </c>
    </row>
    <row r="7475" spans="1:2" x14ac:dyDescent="0.25">
      <c r="A7475" s="157">
        <v>33101</v>
      </c>
      <c r="B7475" s="158" t="e">
        <f>NA()</f>
        <v>#N/A</v>
      </c>
    </row>
    <row r="7476" spans="1:2" x14ac:dyDescent="0.25">
      <c r="A7476" s="157">
        <v>33102</v>
      </c>
      <c r="B7476" s="158" t="e">
        <f>NA()</f>
        <v>#N/A</v>
      </c>
    </row>
    <row r="7477" spans="1:2" x14ac:dyDescent="0.25">
      <c r="A7477" s="157">
        <v>33105</v>
      </c>
      <c r="B7477" s="158" t="e">
        <f>NA()</f>
        <v>#N/A</v>
      </c>
    </row>
    <row r="7478" spans="1:2" x14ac:dyDescent="0.25">
      <c r="A7478" s="157">
        <v>33106</v>
      </c>
      <c r="B7478" s="158" t="e">
        <f>NA()</f>
        <v>#N/A</v>
      </c>
    </row>
    <row r="7479" spans="1:2" x14ac:dyDescent="0.25">
      <c r="A7479" s="157">
        <v>33107</v>
      </c>
      <c r="B7479" s="158" t="e">
        <f>NA()</f>
        <v>#N/A</v>
      </c>
    </row>
    <row r="7480" spans="1:2" x14ac:dyDescent="0.25">
      <c r="A7480" s="157">
        <v>33108</v>
      </c>
      <c r="B7480" s="158" t="e">
        <f>NA()</f>
        <v>#N/A</v>
      </c>
    </row>
    <row r="7481" spans="1:2" x14ac:dyDescent="0.25">
      <c r="A7481" s="157">
        <v>33109</v>
      </c>
      <c r="B7481" s="158" t="e">
        <f>NA()</f>
        <v>#N/A</v>
      </c>
    </row>
    <row r="7482" spans="1:2" x14ac:dyDescent="0.25">
      <c r="A7482" s="157">
        <v>33112</v>
      </c>
      <c r="B7482" s="158" t="e">
        <f>NA()</f>
        <v>#N/A</v>
      </c>
    </row>
    <row r="7483" spans="1:2" x14ac:dyDescent="0.25">
      <c r="A7483" s="157">
        <v>33113</v>
      </c>
      <c r="B7483" s="158" t="e">
        <f>NA()</f>
        <v>#N/A</v>
      </c>
    </row>
    <row r="7484" spans="1:2" x14ac:dyDescent="0.25">
      <c r="A7484" s="157">
        <v>33114</v>
      </c>
      <c r="B7484" s="158" t="e">
        <f>NA()</f>
        <v>#N/A</v>
      </c>
    </row>
    <row r="7485" spans="1:2" x14ac:dyDescent="0.25">
      <c r="A7485" s="157">
        <v>33115</v>
      </c>
      <c r="B7485" s="158" t="e">
        <f>NA()</f>
        <v>#N/A</v>
      </c>
    </row>
    <row r="7486" spans="1:2" x14ac:dyDescent="0.25">
      <c r="A7486" s="157">
        <v>33116</v>
      </c>
      <c r="B7486" s="158" t="e">
        <f>NA()</f>
        <v>#N/A</v>
      </c>
    </row>
    <row r="7487" spans="1:2" x14ac:dyDescent="0.25">
      <c r="A7487" s="157">
        <v>33119</v>
      </c>
      <c r="B7487" s="158" t="e">
        <f>NA()</f>
        <v>#N/A</v>
      </c>
    </row>
    <row r="7488" spans="1:2" x14ac:dyDescent="0.25">
      <c r="A7488" s="157">
        <v>33120</v>
      </c>
      <c r="B7488" s="158" t="e">
        <f>NA()</f>
        <v>#N/A</v>
      </c>
    </row>
    <row r="7489" spans="1:2" x14ac:dyDescent="0.25">
      <c r="A7489" s="157">
        <v>33121</v>
      </c>
      <c r="B7489" s="158" t="e">
        <f>NA()</f>
        <v>#N/A</v>
      </c>
    </row>
    <row r="7490" spans="1:2" x14ac:dyDescent="0.25">
      <c r="A7490" s="157">
        <v>33122</v>
      </c>
      <c r="B7490" s="158" t="e">
        <f>NA()</f>
        <v>#N/A</v>
      </c>
    </row>
    <row r="7491" spans="1:2" x14ac:dyDescent="0.25">
      <c r="A7491" s="157">
        <v>33123</v>
      </c>
      <c r="B7491" s="158" t="e">
        <f>NA()</f>
        <v>#N/A</v>
      </c>
    </row>
    <row r="7492" spans="1:2" x14ac:dyDescent="0.25">
      <c r="A7492" s="157">
        <v>33126</v>
      </c>
      <c r="B7492" s="158" t="e">
        <f>NA()</f>
        <v>#N/A</v>
      </c>
    </row>
    <row r="7493" spans="1:2" x14ac:dyDescent="0.25">
      <c r="A7493" s="157">
        <v>33127</v>
      </c>
      <c r="B7493" s="158" t="e">
        <f>NA()</f>
        <v>#N/A</v>
      </c>
    </row>
    <row r="7494" spans="1:2" x14ac:dyDescent="0.25">
      <c r="A7494" s="157">
        <v>33128</v>
      </c>
      <c r="B7494" s="158" t="e">
        <f>NA()</f>
        <v>#N/A</v>
      </c>
    </row>
    <row r="7495" spans="1:2" x14ac:dyDescent="0.25">
      <c r="A7495" s="157">
        <v>33129</v>
      </c>
      <c r="B7495" s="158" t="e">
        <f>NA()</f>
        <v>#N/A</v>
      </c>
    </row>
    <row r="7496" spans="1:2" x14ac:dyDescent="0.25">
      <c r="A7496" s="157">
        <v>33130</v>
      </c>
      <c r="B7496" s="158" t="e">
        <f>NA()</f>
        <v>#N/A</v>
      </c>
    </row>
    <row r="7497" spans="1:2" x14ac:dyDescent="0.25">
      <c r="A7497" s="157">
        <v>33133</v>
      </c>
      <c r="B7497" s="158" t="e">
        <f>NA()</f>
        <v>#N/A</v>
      </c>
    </row>
    <row r="7498" spans="1:2" x14ac:dyDescent="0.25">
      <c r="A7498" s="157">
        <v>33134</v>
      </c>
      <c r="B7498" s="158" t="e">
        <f>NA()</f>
        <v>#N/A</v>
      </c>
    </row>
    <row r="7499" spans="1:2" x14ac:dyDescent="0.25">
      <c r="A7499" s="157">
        <v>33135</v>
      </c>
      <c r="B7499" s="158" t="e">
        <f>NA()</f>
        <v>#N/A</v>
      </c>
    </row>
    <row r="7500" spans="1:2" x14ac:dyDescent="0.25">
      <c r="A7500" s="157">
        <v>33136</v>
      </c>
      <c r="B7500" s="158" t="e">
        <f>NA()</f>
        <v>#N/A</v>
      </c>
    </row>
    <row r="7501" spans="1:2" x14ac:dyDescent="0.25">
      <c r="A7501" s="157">
        <v>33137</v>
      </c>
      <c r="B7501" s="158" t="e">
        <f>NA()</f>
        <v>#N/A</v>
      </c>
    </row>
    <row r="7502" spans="1:2" x14ac:dyDescent="0.25">
      <c r="A7502" s="157">
        <v>33140</v>
      </c>
      <c r="B7502" s="158" t="e">
        <f>NA()</f>
        <v>#N/A</v>
      </c>
    </row>
    <row r="7503" spans="1:2" x14ac:dyDescent="0.25">
      <c r="A7503" s="157">
        <v>33141</v>
      </c>
      <c r="B7503" s="158" t="e">
        <f>NA()</f>
        <v>#N/A</v>
      </c>
    </row>
    <row r="7504" spans="1:2" x14ac:dyDescent="0.25">
      <c r="A7504" s="157">
        <v>33142</v>
      </c>
      <c r="B7504" s="158" t="e">
        <f>NA()</f>
        <v>#N/A</v>
      </c>
    </row>
    <row r="7505" spans="1:2" x14ac:dyDescent="0.25">
      <c r="A7505" s="157">
        <v>33143</v>
      </c>
      <c r="B7505" s="158" t="e">
        <f>NA()</f>
        <v>#N/A</v>
      </c>
    </row>
    <row r="7506" spans="1:2" x14ac:dyDescent="0.25">
      <c r="A7506" s="157">
        <v>33144</v>
      </c>
      <c r="B7506" s="158" t="e">
        <f>NA()</f>
        <v>#N/A</v>
      </c>
    </row>
    <row r="7507" spans="1:2" x14ac:dyDescent="0.25">
      <c r="A7507" s="157">
        <v>33147</v>
      </c>
      <c r="B7507" s="158" t="e">
        <f>NA()</f>
        <v>#N/A</v>
      </c>
    </row>
    <row r="7508" spans="1:2" x14ac:dyDescent="0.25">
      <c r="A7508" s="157">
        <v>33148</v>
      </c>
      <c r="B7508" s="158" t="e">
        <f>NA()</f>
        <v>#N/A</v>
      </c>
    </row>
    <row r="7509" spans="1:2" x14ac:dyDescent="0.25">
      <c r="A7509" s="157">
        <v>33149</v>
      </c>
      <c r="B7509" s="158" t="e">
        <f>NA()</f>
        <v>#N/A</v>
      </c>
    </row>
    <row r="7510" spans="1:2" x14ac:dyDescent="0.25">
      <c r="A7510" s="157">
        <v>33150</v>
      </c>
      <c r="B7510" s="158" t="e">
        <f>NA()</f>
        <v>#N/A</v>
      </c>
    </row>
    <row r="7511" spans="1:2" x14ac:dyDescent="0.25">
      <c r="A7511" s="157">
        <v>33151</v>
      </c>
      <c r="B7511" s="158" t="e">
        <f>NA()</f>
        <v>#N/A</v>
      </c>
    </row>
    <row r="7512" spans="1:2" x14ac:dyDescent="0.25">
      <c r="A7512" s="157">
        <v>33154</v>
      </c>
      <c r="B7512" s="158" t="e">
        <f>NA()</f>
        <v>#N/A</v>
      </c>
    </row>
    <row r="7513" spans="1:2" x14ac:dyDescent="0.25">
      <c r="A7513" s="157">
        <v>33155</v>
      </c>
      <c r="B7513" s="158" t="e">
        <f>NA()</f>
        <v>#N/A</v>
      </c>
    </row>
    <row r="7514" spans="1:2" x14ac:dyDescent="0.25">
      <c r="A7514" s="157">
        <v>33156</v>
      </c>
      <c r="B7514" s="158" t="e">
        <f>NA()</f>
        <v>#N/A</v>
      </c>
    </row>
    <row r="7515" spans="1:2" x14ac:dyDescent="0.25">
      <c r="A7515" s="157">
        <v>33157</v>
      </c>
      <c r="B7515" s="158" t="e">
        <f>NA()</f>
        <v>#N/A</v>
      </c>
    </row>
    <row r="7516" spans="1:2" x14ac:dyDescent="0.25">
      <c r="A7516" s="157">
        <v>33158</v>
      </c>
      <c r="B7516" s="158" t="e">
        <f>NA()</f>
        <v>#N/A</v>
      </c>
    </row>
    <row r="7517" spans="1:2" x14ac:dyDescent="0.25">
      <c r="A7517" s="157">
        <v>33161</v>
      </c>
      <c r="B7517" s="158" t="e">
        <f>NA()</f>
        <v>#N/A</v>
      </c>
    </row>
    <row r="7518" spans="1:2" x14ac:dyDescent="0.25">
      <c r="A7518" s="157">
        <v>33162</v>
      </c>
      <c r="B7518" s="158" t="e">
        <f>NA()</f>
        <v>#N/A</v>
      </c>
    </row>
    <row r="7519" spans="1:2" x14ac:dyDescent="0.25">
      <c r="A7519" s="157">
        <v>33163</v>
      </c>
      <c r="B7519" s="158" t="e">
        <f>NA()</f>
        <v>#N/A</v>
      </c>
    </row>
    <row r="7520" spans="1:2" x14ac:dyDescent="0.25">
      <c r="A7520" s="157">
        <v>33164</v>
      </c>
      <c r="B7520" s="158" t="e">
        <f>NA()</f>
        <v>#N/A</v>
      </c>
    </row>
    <row r="7521" spans="1:2" x14ac:dyDescent="0.25">
      <c r="A7521" s="157">
        <v>33165</v>
      </c>
      <c r="B7521" s="158" t="e">
        <f>NA()</f>
        <v>#N/A</v>
      </c>
    </row>
    <row r="7522" spans="1:2" x14ac:dyDescent="0.25">
      <c r="A7522" s="157">
        <v>33168</v>
      </c>
      <c r="B7522" s="158" t="e">
        <f>NA()</f>
        <v>#N/A</v>
      </c>
    </row>
    <row r="7523" spans="1:2" x14ac:dyDescent="0.25">
      <c r="A7523" s="157">
        <v>33169</v>
      </c>
      <c r="B7523" s="158" t="e">
        <f>NA()</f>
        <v>#N/A</v>
      </c>
    </row>
    <row r="7524" spans="1:2" x14ac:dyDescent="0.25">
      <c r="A7524" s="157">
        <v>33170</v>
      </c>
      <c r="B7524" s="158" t="e">
        <f>NA()</f>
        <v>#N/A</v>
      </c>
    </row>
    <row r="7525" spans="1:2" x14ac:dyDescent="0.25">
      <c r="A7525" s="157">
        <v>33171</v>
      </c>
      <c r="B7525" s="158" t="e">
        <f>NA()</f>
        <v>#N/A</v>
      </c>
    </row>
    <row r="7526" spans="1:2" x14ac:dyDescent="0.25">
      <c r="A7526" s="157">
        <v>33172</v>
      </c>
      <c r="B7526" s="158" t="e">
        <f>NA()</f>
        <v>#N/A</v>
      </c>
    </row>
    <row r="7527" spans="1:2" x14ac:dyDescent="0.25">
      <c r="A7527" s="157">
        <v>33175</v>
      </c>
      <c r="B7527" s="158" t="e">
        <f>NA()</f>
        <v>#N/A</v>
      </c>
    </row>
    <row r="7528" spans="1:2" x14ac:dyDescent="0.25">
      <c r="A7528" s="157">
        <v>33176</v>
      </c>
      <c r="B7528" s="158" t="e">
        <f>NA()</f>
        <v>#N/A</v>
      </c>
    </row>
    <row r="7529" spans="1:2" x14ac:dyDescent="0.25">
      <c r="A7529" s="157">
        <v>33177</v>
      </c>
      <c r="B7529" s="158" t="e">
        <f>NA()</f>
        <v>#N/A</v>
      </c>
    </row>
    <row r="7530" spans="1:2" x14ac:dyDescent="0.25">
      <c r="A7530" s="157">
        <v>33178</v>
      </c>
      <c r="B7530" s="158" t="e">
        <f>NA()</f>
        <v>#N/A</v>
      </c>
    </row>
    <row r="7531" spans="1:2" x14ac:dyDescent="0.25">
      <c r="A7531" s="157">
        <v>33179</v>
      </c>
      <c r="B7531" s="158" t="e">
        <f>NA()</f>
        <v>#N/A</v>
      </c>
    </row>
    <row r="7532" spans="1:2" x14ac:dyDescent="0.25">
      <c r="A7532" s="157">
        <v>33182</v>
      </c>
      <c r="B7532" s="158" t="e">
        <f>NA()</f>
        <v>#N/A</v>
      </c>
    </row>
    <row r="7533" spans="1:2" x14ac:dyDescent="0.25">
      <c r="A7533" s="157">
        <v>33183</v>
      </c>
      <c r="B7533" s="158" t="e">
        <f>NA()</f>
        <v>#N/A</v>
      </c>
    </row>
    <row r="7534" spans="1:2" x14ac:dyDescent="0.25">
      <c r="A7534" s="157">
        <v>33184</v>
      </c>
      <c r="B7534" s="158" t="e">
        <f>NA()</f>
        <v>#N/A</v>
      </c>
    </row>
    <row r="7535" spans="1:2" x14ac:dyDescent="0.25">
      <c r="A7535" s="157">
        <v>33185</v>
      </c>
      <c r="B7535" s="158" t="e">
        <f>NA()</f>
        <v>#N/A</v>
      </c>
    </row>
    <row r="7536" spans="1:2" x14ac:dyDescent="0.25">
      <c r="A7536" s="157">
        <v>33186</v>
      </c>
      <c r="B7536" s="158" t="e">
        <f>NA()</f>
        <v>#N/A</v>
      </c>
    </row>
    <row r="7537" spans="1:2" x14ac:dyDescent="0.25">
      <c r="A7537" s="157">
        <v>33189</v>
      </c>
      <c r="B7537" s="158" t="e">
        <f>NA()</f>
        <v>#N/A</v>
      </c>
    </row>
    <row r="7538" spans="1:2" x14ac:dyDescent="0.25">
      <c r="A7538" s="157">
        <v>33190</v>
      </c>
      <c r="B7538" s="158" t="e">
        <f>NA()</f>
        <v>#N/A</v>
      </c>
    </row>
    <row r="7539" spans="1:2" x14ac:dyDescent="0.25">
      <c r="A7539" s="157">
        <v>33191</v>
      </c>
      <c r="B7539" s="158" t="e">
        <f>NA()</f>
        <v>#N/A</v>
      </c>
    </row>
    <row r="7540" spans="1:2" x14ac:dyDescent="0.25">
      <c r="A7540" s="157">
        <v>33192</v>
      </c>
      <c r="B7540" s="158" t="e">
        <f>NA()</f>
        <v>#N/A</v>
      </c>
    </row>
    <row r="7541" spans="1:2" x14ac:dyDescent="0.25">
      <c r="A7541" s="157">
        <v>33193</v>
      </c>
      <c r="B7541" s="158" t="e">
        <f>NA()</f>
        <v>#N/A</v>
      </c>
    </row>
    <row r="7542" spans="1:2" x14ac:dyDescent="0.25">
      <c r="A7542" s="157">
        <v>33196</v>
      </c>
      <c r="B7542" s="158" t="e">
        <f>NA()</f>
        <v>#N/A</v>
      </c>
    </row>
    <row r="7543" spans="1:2" x14ac:dyDescent="0.25">
      <c r="A7543" s="157">
        <v>33197</v>
      </c>
      <c r="B7543" s="158" t="e">
        <f>NA()</f>
        <v>#N/A</v>
      </c>
    </row>
    <row r="7544" spans="1:2" x14ac:dyDescent="0.25">
      <c r="A7544" s="157">
        <v>33198</v>
      </c>
      <c r="B7544" s="158" t="e">
        <f>NA()</f>
        <v>#N/A</v>
      </c>
    </row>
    <row r="7545" spans="1:2" x14ac:dyDescent="0.25">
      <c r="A7545" s="157">
        <v>33199</v>
      </c>
      <c r="B7545" s="158" t="e">
        <f>NA()</f>
        <v>#N/A</v>
      </c>
    </row>
    <row r="7546" spans="1:2" x14ac:dyDescent="0.25">
      <c r="A7546" s="157">
        <v>33200</v>
      </c>
      <c r="B7546" s="158" t="e">
        <f>NA()</f>
        <v>#N/A</v>
      </c>
    </row>
    <row r="7547" spans="1:2" x14ac:dyDescent="0.25">
      <c r="A7547" s="157">
        <v>33203</v>
      </c>
      <c r="B7547" s="158" t="e">
        <f>NA()</f>
        <v>#N/A</v>
      </c>
    </row>
    <row r="7548" spans="1:2" x14ac:dyDescent="0.25">
      <c r="A7548" s="157">
        <v>33204</v>
      </c>
      <c r="B7548" s="158" t="e">
        <f>NA()</f>
        <v>#N/A</v>
      </c>
    </row>
    <row r="7549" spans="1:2" x14ac:dyDescent="0.25">
      <c r="A7549" s="157">
        <v>33205</v>
      </c>
      <c r="B7549" s="158" t="e">
        <f>NA()</f>
        <v>#N/A</v>
      </c>
    </row>
    <row r="7550" spans="1:2" x14ac:dyDescent="0.25">
      <c r="A7550" s="157">
        <v>33206</v>
      </c>
      <c r="B7550" s="158" t="e">
        <f>NA()</f>
        <v>#N/A</v>
      </c>
    </row>
    <row r="7551" spans="1:2" x14ac:dyDescent="0.25">
      <c r="A7551" s="157">
        <v>33207</v>
      </c>
      <c r="B7551" s="158" t="e">
        <f>NA()</f>
        <v>#N/A</v>
      </c>
    </row>
    <row r="7552" spans="1:2" x14ac:dyDescent="0.25">
      <c r="A7552" s="157">
        <v>33210</v>
      </c>
      <c r="B7552" s="158" t="e">
        <f>NA()</f>
        <v>#N/A</v>
      </c>
    </row>
    <row r="7553" spans="1:2" x14ac:dyDescent="0.25">
      <c r="A7553" s="157">
        <v>33211</v>
      </c>
      <c r="B7553" s="158" t="e">
        <f>NA()</f>
        <v>#N/A</v>
      </c>
    </row>
    <row r="7554" spans="1:2" x14ac:dyDescent="0.25">
      <c r="A7554" s="157">
        <v>33212</v>
      </c>
      <c r="B7554" s="158" t="e">
        <f>NA()</f>
        <v>#N/A</v>
      </c>
    </row>
    <row r="7555" spans="1:2" x14ac:dyDescent="0.25">
      <c r="A7555" s="157">
        <v>33213</v>
      </c>
      <c r="B7555" s="158" t="e">
        <f>NA()</f>
        <v>#N/A</v>
      </c>
    </row>
    <row r="7556" spans="1:2" x14ac:dyDescent="0.25">
      <c r="A7556" s="157">
        <v>33214</v>
      </c>
      <c r="B7556" s="158" t="e">
        <f>NA()</f>
        <v>#N/A</v>
      </c>
    </row>
    <row r="7557" spans="1:2" x14ac:dyDescent="0.25">
      <c r="A7557" s="157">
        <v>33217</v>
      </c>
      <c r="B7557" s="158" t="e">
        <f>NA()</f>
        <v>#N/A</v>
      </c>
    </row>
    <row r="7558" spans="1:2" x14ac:dyDescent="0.25">
      <c r="A7558" s="157">
        <v>33218</v>
      </c>
      <c r="B7558" s="158" t="e">
        <f>NA()</f>
        <v>#N/A</v>
      </c>
    </row>
    <row r="7559" spans="1:2" x14ac:dyDescent="0.25">
      <c r="A7559" s="157">
        <v>33219</v>
      </c>
      <c r="B7559" s="158" t="e">
        <f>NA()</f>
        <v>#N/A</v>
      </c>
    </row>
    <row r="7560" spans="1:2" x14ac:dyDescent="0.25">
      <c r="A7560" s="157">
        <v>33220</v>
      </c>
      <c r="B7560" s="158" t="e">
        <f>NA()</f>
        <v>#N/A</v>
      </c>
    </row>
    <row r="7561" spans="1:2" x14ac:dyDescent="0.25">
      <c r="A7561" s="157">
        <v>33221</v>
      </c>
      <c r="B7561" s="158" t="e">
        <f>NA()</f>
        <v>#N/A</v>
      </c>
    </row>
    <row r="7562" spans="1:2" x14ac:dyDescent="0.25">
      <c r="A7562" s="157">
        <v>33224</v>
      </c>
      <c r="B7562" s="158" t="e">
        <f>NA()</f>
        <v>#N/A</v>
      </c>
    </row>
    <row r="7563" spans="1:2" x14ac:dyDescent="0.25">
      <c r="A7563" s="157">
        <v>33225</v>
      </c>
      <c r="B7563" s="158" t="e">
        <f>NA()</f>
        <v>#N/A</v>
      </c>
    </row>
    <row r="7564" spans="1:2" x14ac:dyDescent="0.25">
      <c r="A7564" s="157">
        <v>33226</v>
      </c>
      <c r="B7564" s="158" t="e">
        <f>NA()</f>
        <v>#N/A</v>
      </c>
    </row>
    <row r="7565" spans="1:2" x14ac:dyDescent="0.25">
      <c r="A7565" s="157">
        <v>33227</v>
      </c>
      <c r="B7565" s="158" t="e">
        <f>NA()</f>
        <v>#N/A</v>
      </c>
    </row>
    <row r="7566" spans="1:2" x14ac:dyDescent="0.25">
      <c r="A7566" s="157">
        <v>33228</v>
      </c>
      <c r="B7566" s="158" t="e">
        <f>NA()</f>
        <v>#N/A</v>
      </c>
    </row>
    <row r="7567" spans="1:2" x14ac:dyDescent="0.25">
      <c r="A7567" s="157">
        <v>33231</v>
      </c>
      <c r="B7567" s="158" t="e">
        <f>NA()</f>
        <v>#N/A</v>
      </c>
    </row>
    <row r="7568" spans="1:2" x14ac:dyDescent="0.25">
      <c r="A7568" s="157">
        <v>33232</v>
      </c>
      <c r="B7568" s="158" t="e">
        <f>NA()</f>
        <v>#N/A</v>
      </c>
    </row>
    <row r="7569" spans="1:2" x14ac:dyDescent="0.25">
      <c r="A7569" s="157">
        <v>33233</v>
      </c>
      <c r="B7569" s="158" t="e">
        <f>NA()</f>
        <v>#N/A</v>
      </c>
    </row>
    <row r="7570" spans="1:2" x14ac:dyDescent="0.25">
      <c r="A7570" s="157">
        <v>33234</v>
      </c>
      <c r="B7570" s="158" t="e">
        <f>NA()</f>
        <v>#N/A</v>
      </c>
    </row>
    <row r="7571" spans="1:2" x14ac:dyDescent="0.25">
      <c r="A7571" s="157">
        <v>33235</v>
      </c>
      <c r="B7571" s="158" t="e">
        <f>NA()</f>
        <v>#N/A</v>
      </c>
    </row>
    <row r="7572" spans="1:2" x14ac:dyDescent="0.25">
      <c r="A7572" s="157">
        <v>33238</v>
      </c>
      <c r="B7572" s="158" t="e">
        <f>NA()</f>
        <v>#N/A</v>
      </c>
    </row>
    <row r="7573" spans="1:2" x14ac:dyDescent="0.25">
      <c r="A7573" s="157">
        <v>33239</v>
      </c>
      <c r="B7573" s="158" t="e">
        <f>NA()</f>
        <v>#N/A</v>
      </c>
    </row>
    <row r="7574" spans="1:2" x14ac:dyDescent="0.25">
      <c r="A7574" s="157">
        <v>33240</v>
      </c>
      <c r="B7574" s="158" t="e">
        <f>NA()</f>
        <v>#N/A</v>
      </c>
    </row>
    <row r="7575" spans="1:2" x14ac:dyDescent="0.25">
      <c r="A7575" s="157">
        <v>33241</v>
      </c>
      <c r="B7575" s="158" t="e">
        <f>NA()</f>
        <v>#N/A</v>
      </c>
    </row>
    <row r="7576" spans="1:2" x14ac:dyDescent="0.25">
      <c r="A7576" s="157">
        <v>33242</v>
      </c>
      <c r="B7576" s="158" t="e">
        <f>NA()</f>
        <v>#N/A</v>
      </c>
    </row>
    <row r="7577" spans="1:2" x14ac:dyDescent="0.25">
      <c r="A7577" s="157">
        <v>33245</v>
      </c>
      <c r="B7577" s="158" t="e">
        <f>NA()</f>
        <v>#N/A</v>
      </c>
    </row>
    <row r="7578" spans="1:2" x14ac:dyDescent="0.25">
      <c r="A7578" s="157">
        <v>33246</v>
      </c>
      <c r="B7578" s="158" t="e">
        <f>NA()</f>
        <v>#N/A</v>
      </c>
    </row>
    <row r="7579" spans="1:2" x14ac:dyDescent="0.25">
      <c r="A7579" s="157">
        <v>33247</v>
      </c>
      <c r="B7579" s="158" t="e">
        <f>NA()</f>
        <v>#N/A</v>
      </c>
    </row>
    <row r="7580" spans="1:2" x14ac:dyDescent="0.25">
      <c r="A7580" s="157">
        <v>33248</v>
      </c>
      <c r="B7580" s="158" t="e">
        <f>NA()</f>
        <v>#N/A</v>
      </c>
    </row>
    <row r="7581" spans="1:2" x14ac:dyDescent="0.25">
      <c r="A7581" s="157">
        <v>33249</v>
      </c>
      <c r="B7581" s="158" t="e">
        <f>NA()</f>
        <v>#N/A</v>
      </c>
    </row>
    <row r="7582" spans="1:2" x14ac:dyDescent="0.25">
      <c r="A7582" s="157">
        <v>33252</v>
      </c>
      <c r="B7582" s="158" t="e">
        <f>NA()</f>
        <v>#N/A</v>
      </c>
    </row>
    <row r="7583" spans="1:2" x14ac:dyDescent="0.25">
      <c r="A7583" s="157">
        <v>33253</v>
      </c>
      <c r="B7583" s="158" t="e">
        <f>NA()</f>
        <v>#N/A</v>
      </c>
    </row>
    <row r="7584" spans="1:2" x14ac:dyDescent="0.25">
      <c r="A7584" s="157">
        <v>33254</v>
      </c>
      <c r="B7584" s="158" t="e">
        <f>NA()</f>
        <v>#N/A</v>
      </c>
    </row>
    <row r="7585" spans="1:2" x14ac:dyDescent="0.25">
      <c r="A7585" s="157">
        <v>33255</v>
      </c>
      <c r="B7585" s="158" t="e">
        <f>NA()</f>
        <v>#N/A</v>
      </c>
    </row>
    <row r="7586" spans="1:2" x14ac:dyDescent="0.25">
      <c r="A7586" s="157">
        <v>33256</v>
      </c>
      <c r="B7586" s="158" t="e">
        <f>NA()</f>
        <v>#N/A</v>
      </c>
    </row>
    <row r="7587" spans="1:2" x14ac:dyDescent="0.25">
      <c r="A7587" s="157">
        <v>33259</v>
      </c>
      <c r="B7587" s="158" t="e">
        <f>NA()</f>
        <v>#N/A</v>
      </c>
    </row>
    <row r="7588" spans="1:2" x14ac:dyDescent="0.25">
      <c r="A7588" s="157">
        <v>33260</v>
      </c>
      <c r="B7588" s="158" t="e">
        <f>NA()</f>
        <v>#N/A</v>
      </c>
    </row>
    <row r="7589" spans="1:2" x14ac:dyDescent="0.25">
      <c r="A7589" s="157">
        <v>33261</v>
      </c>
      <c r="B7589" s="158" t="e">
        <f>NA()</f>
        <v>#N/A</v>
      </c>
    </row>
    <row r="7590" spans="1:2" x14ac:dyDescent="0.25">
      <c r="A7590" s="157">
        <v>33262</v>
      </c>
      <c r="B7590" s="158" t="e">
        <f>NA()</f>
        <v>#N/A</v>
      </c>
    </row>
    <row r="7591" spans="1:2" x14ac:dyDescent="0.25">
      <c r="A7591" s="157">
        <v>33263</v>
      </c>
      <c r="B7591" s="158" t="e">
        <f>NA()</f>
        <v>#N/A</v>
      </c>
    </row>
    <row r="7592" spans="1:2" x14ac:dyDescent="0.25">
      <c r="A7592" s="157">
        <v>33266</v>
      </c>
      <c r="B7592" s="158" t="e">
        <f>NA()</f>
        <v>#N/A</v>
      </c>
    </row>
    <row r="7593" spans="1:2" x14ac:dyDescent="0.25">
      <c r="A7593" s="157">
        <v>33267</v>
      </c>
      <c r="B7593" s="158" t="e">
        <f>NA()</f>
        <v>#N/A</v>
      </c>
    </row>
    <row r="7594" spans="1:2" x14ac:dyDescent="0.25">
      <c r="A7594" s="157">
        <v>33268</v>
      </c>
      <c r="B7594" s="158" t="e">
        <f>NA()</f>
        <v>#N/A</v>
      </c>
    </row>
    <row r="7595" spans="1:2" x14ac:dyDescent="0.25">
      <c r="A7595" s="157">
        <v>33269</v>
      </c>
      <c r="B7595" s="158" t="e">
        <f>NA()</f>
        <v>#N/A</v>
      </c>
    </row>
    <row r="7596" spans="1:2" x14ac:dyDescent="0.25">
      <c r="A7596" s="157">
        <v>33270</v>
      </c>
      <c r="B7596" s="158" t="e">
        <f>NA()</f>
        <v>#N/A</v>
      </c>
    </row>
    <row r="7597" spans="1:2" x14ac:dyDescent="0.25">
      <c r="A7597" s="157">
        <v>33273</v>
      </c>
      <c r="B7597" s="158" t="e">
        <f>NA()</f>
        <v>#N/A</v>
      </c>
    </row>
    <row r="7598" spans="1:2" x14ac:dyDescent="0.25">
      <c r="A7598" s="157">
        <v>33274</v>
      </c>
      <c r="B7598" s="158" t="e">
        <f>NA()</f>
        <v>#N/A</v>
      </c>
    </row>
    <row r="7599" spans="1:2" x14ac:dyDescent="0.25">
      <c r="A7599" s="157">
        <v>33275</v>
      </c>
      <c r="B7599" s="158" t="e">
        <f>NA()</f>
        <v>#N/A</v>
      </c>
    </row>
    <row r="7600" spans="1:2" x14ac:dyDescent="0.25">
      <c r="A7600" s="157">
        <v>33276</v>
      </c>
      <c r="B7600" s="158" t="e">
        <f>NA()</f>
        <v>#N/A</v>
      </c>
    </row>
    <row r="7601" spans="1:2" x14ac:dyDescent="0.25">
      <c r="A7601" s="157">
        <v>33277</v>
      </c>
      <c r="B7601" s="158" t="e">
        <f>NA()</f>
        <v>#N/A</v>
      </c>
    </row>
    <row r="7602" spans="1:2" x14ac:dyDescent="0.25">
      <c r="A7602" s="157">
        <v>33280</v>
      </c>
      <c r="B7602" s="158" t="e">
        <f>NA()</f>
        <v>#N/A</v>
      </c>
    </row>
    <row r="7603" spans="1:2" x14ac:dyDescent="0.25">
      <c r="A7603" s="157">
        <v>33281</v>
      </c>
      <c r="B7603" s="158" t="e">
        <f>NA()</f>
        <v>#N/A</v>
      </c>
    </row>
    <row r="7604" spans="1:2" x14ac:dyDescent="0.25">
      <c r="A7604" s="157">
        <v>33282</v>
      </c>
      <c r="B7604" s="158" t="e">
        <f>NA()</f>
        <v>#N/A</v>
      </c>
    </row>
    <row r="7605" spans="1:2" x14ac:dyDescent="0.25">
      <c r="A7605" s="157">
        <v>33283</v>
      </c>
      <c r="B7605" s="158" t="e">
        <f>NA()</f>
        <v>#N/A</v>
      </c>
    </row>
    <row r="7606" spans="1:2" x14ac:dyDescent="0.25">
      <c r="A7606" s="157">
        <v>33284</v>
      </c>
      <c r="B7606" s="158" t="e">
        <f>NA()</f>
        <v>#N/A</v>
      </c>
    </row>
    <row r="7607" spans="1:2" x14ac:dyDescent="0.25">
      <c r="A7607" s="157">
        <v>33287</v>
      </c>
      <c r="B7607" s="158" t="e">
        <f>NA()</f>
        <v>#N/A</v>
      </c>
    </row>
    <row r="7608" spans="1:2" x14ac:dyDescent="0.25">
      <c r="A7608" s="157">
        <v>33288</v>
      </c>
      <c r="B7608" s="158" t="e">
        <f>NA()</f>
        <v>#N/A</v>
      </c>
    </row>
    <row r="7609" spans="1:2" x14ac:dyDescent="0.25">
      <c r="A7609" s="157">
        <v>33289</v>
      </c>
      <c r="B7609" s="158" t="e">
        <f>NA()</f>
        <v>#N/A</v>
      </c>
    </row>
    <row r="7610" spans="1:2" x14ac:dyDescent="0.25">
      <c r="A7610" s="157">
        <v>33290</v>
      </c>
      <c r="B7610" s="158" t="e">
        <f>NA()</f>
        <v>#N/A</v>
      </c>
    </row>
    <row r="7611" spans="1:2" x14ac:dyDescent="0.25">
      <c r="A7611" s="157">
        <v>33291</v>
      </c>
      <c r="B7611" s="158" t="e">
        <f>NA()</f>
        <v>#N/A</v>
      </c>
    </row>
    <row r="7612" spans="1:2" x14ac:dyDescent="0.25">
      <c r="A7612" s="157">
        <v>33294</v>
      </c>
      <c r="B7612" s="158" t="e">
        <f>NA()</f>
        <v>#N/A</v>
      </c>
    </row>
    <row r="7613" spans="1:2" x14ac:dyDescent="0.25">
      <c r="A7613" s="157">
        <v>33295</v>
      </c>
      <c r="B7613" s="158" t="e">
        <f>NA()</f>
        <v>#N/A</v>
      </c>
    </row>
    <row r="7614" spans="1:2" x14ac:dyDescent="0.25">
      <c r="A7614" s="157">
        <v>33296</v>
      </c>
      <c r="B7614" s="158" t="e">
        <f>NA()</f>
        <v>#N/A</v>
      </c>
    </row>
    <row r="7615" spans="1:2" x14ac:dyDescent="0.25">
      <c r="A7615" s="157">
        <v>33297</v>
      </c>
      <c r="B7615" s="158" t="e">
        <f>NA()</f>
        <v>#N/A</v>
      </c>
    </row>
    <row r="7616" spans="1:2" x14ac:dyDescent="0.25">
      <c r="A7616" s="157">
        <v>33298</v>
      </c>
      <c r="B7616" s="158" t="e">
        <f>NA()</f>
        <v>#N/A</v>
      </c>
    </row>
    <row r="7617" spans="1:2" x14ac:dyDescent="0.25">
      <c r="A7617" s="157">
        <v>33301</v>
      </c>
      <c r="B7617" s="158" t="e">
        <f>NA()</f>
        <v>#N/A</v>
      </c>
    </row>
    <row r="7618" spans="1:2" x14ac:dyDescent="0.25">
      <c r="A7618" s="157">
        <v>33302</v>
      </c>
      <c r="B7618" s="158" t="e">
        <f>NA()</f>
        <v>#N/A</v>
      </c>
    </row>
    <row r="7619" spans="1:2" x14ac:dyDescent="0.25">
      <c r="A7619" s="157">
        <v>33303</v>
      </c>
      <c r="B7619" s="158" t="e">
        <f>NA()</f>
        <v>#N/A</v>
      </c>
    </row>
    <row r="7620" spans="1:2" x14ac:dyDescent="0.25">
      <c r="A7620" s="157">
        <v>33304</v>
      </c>
      <c r="B7620" s="158" t="e">
        <f>NA()</f>
        <v>#N/A</v>
      </c>
    </row>
    <row r="7621" spans="1:2" x14ac:dyDescent="0.25">
      <c r="A7621" s="157">
        <v>33305</v>
      </c>
      <c r="B7621" s="158" t="e">
        <f>NA()</f>
        <v>#N/A</v>
      </c>
    </row>
    <row r="7622" spans="1:2" x14ac:dyDescent="0.25">
      <c r="A7622" s="157">
        <v>33308</v>
      </c>
      <c r="B7622" s="158" t="e">
        <f>NA()</f>
        <v>#N/A</v>
      </c>
    </row>
    <row r="7623" spans="1:2" x14ac:dyDescent="0.25">
      <c r="A7623" s="157">
        <v>33309</v>
      </c>
      <c r="B7623" s="158" t="e">
        <f>NA()</f>
        <v>#N/A</v>
      </c>
    </row>
    <row r="7624" spans="1:2" x14ac:dyDescent="0.25">
      <c r="A7624" s="157">
        <v>33310</v>
      </c>
      <c r="B7624" s="158" t="e">
        <f>NA()</f>
        <v>#N/A</v>
      </c>
    </row>
    <row r="7625" spans="1:2" x14ac:dyDescent="0.25">
      <c r="A7625" s="157">
        <v>33311</v>
      </c>
      <c r="B7625" s="158" t="e">
        <f>NA()</f>
        <v>#N/A</v>
      </c>
    </row>
    <row r="7626" spans="1:2" x14ac:dyDescent="0.25">
      <c r="A7626" s="157">
        <v>33312</v>
      </c>
      <c r="B7626" s="158" t="e">
        <f>NA()</f>
        <v>#N/A</v>
      </c>
    </row>
    <row r="7627" spans="1:2" x14ac:dyDescent="0.25">
      <c r="A7627" s="157">
        <v>33315</v>
      </c>
      <c r="B7627" s="158" t="e">
        <f>NA()</f>
        <v>#N/A</v>
      </c>
    </row>
    <row r="7628" spans="1:2" x14ac:dyDescent="0.25">
      <c r="A7628" s="157">
        <v>33316</v>
      </c>
      <c r="B7628" s="158" t="e">
        <f>NA()</f>
        <v>#N/A</v>
      </c>
    </row>
    <row r="7629" spans="1:2" x14ac:dyDescent="0.25">
      <c r="A7629" s="157">
        <v>33317</v>
      </c>
      <c r="B7629" s="158" t="e">
        <f>NA()</f>
        <v>#N/A</v>
      </c>
    </row>
    <row r="7630" spans="1:2" x14ac:dyDescent="0.25">
      <c r="A7630" s="157">
        <v>33318</v>
      </c>
      <c r="B7630" s="158" t="e">
        <f>NA()</f>
        <v>#N/A</v>
      </c>
    </row>
    <row r="7631" spans="1:2" x14ac:dyDescent="0.25">
      <c r="A7631" s="157">
        <v>33319</v>
      </c>
      <c r="B7631" s="158" t="e">
        <f>NA()</f>
        <v>#N/A</v>
      </c>
    </row>
    <row r="7632" spans="1:2" x14ac:dyDescent="0.25">
      <c r="A7632" s="157">
        <v>33322</v>
      </c>
      <c r="B7632" s="158" t="e">
        <f>NA()</f>
        <v>#N/A</v>
      </c>
    </row>
    <row r="7633" spans="1:2" x14ac:dyDescent="0.25">
      <c r="A7633" s="157">
        <v>33323</v>
      </c>
      <c r="B7633" s="158" t="e">
        <f>NA()</f>
        <v>#N/A</v>
      </c>
    </row>
    <row r="7634" spans="1:2" x14ac:dyDescent="0.25">
      <c r="A7634" s="157">
        <v>33324</v>
      </c>
      <c r="B7634" s="158" t="e">
        <f>NA()</f>
        <v>#N/A</v>
      </c>
    </row>
    <row r="7635" spans="1:2" x14ac:dyDescent="0.25">
      <c r="A7635" s="157">
        <v>33325</v>
      </c>
      <c r="B7635" s="158" t="e">
        <f>NA()</f>
        <v>#N/A</v>
      </c>
    </row>
    <row r="7636" spans="1:2" x14ac:dyDescent="0.25">
      <c r="A7636" s="157">
        <v>33326</v>
      </c>
      <c r="B7636" s="158" t="e">
        <f>NA()</f>
        <v>#N/A</v>
      </c>
    </row>
    <row r="7637" spans="1:2" x14ac:dyDescent="0.25">
      <c r="A7637" s="157">
        <v>33329</v>
      </c>
      <c r="B7637" s="158" t="e">
        <f>NA()</f>
        <v>#N/A</v>
      </c>
    </row>
    <row r="7638" spans="1:2" x14ac:dyDescent="0.25">
      <c r="A7638" s="157">
        <v>33330</v>
      </c>
      <c r="B7638" s="158" t="e">
        <f>NA()</f>
        <v>#N/A</v>
      </c>
    </row>
    <row r="7639" spans="1:2" x14ac:dyDescent="0.25">
      <c r="A7639" s="157">
        <v>33331</v>
      </c>
      <c r="B7639" s="158" t="e">
        <f>NA()</f>
        <v>#N/A</v>
      </c>
    </row>
    <row r="7640" spans="1:2" x14ac:dyDescent="0.25">
      <c r="A7640" s="157">
        <v>33332</v>
      </c>
      <c r="B7640" s="158" t="e">
        <f>NA()</f>
        <v>#N/A</v>
      </c>
    </row>
    <row r="7641" spans="1:2" x14ac:dyDescent="0.25">
      <c r="A7641" s="157">
        <v>33333</v>
      </c>
      <c r="B7641" s="158" t="e">
        <f>NA()</f>
        <v>#N/A</v>
      </c>
    </row>
    <row r="7642" spans="1:2" x14ac:dyDescent="0.25">
      <c r="A7642" s="157">
        <v>33336</v>
      </c>
      <c r="B7642" s="158" t="e">
        <f>NA()</f>
        <v>#N/A</v>
      </c>
    </row>
    <row r="7643" spans="1:2" x14ac:dyDescent="0.25">
      <c r="A7643" s="157">
        <v>33337</v>
      </c>
      <c r="B7643" s="158" t="e">
        <f>NA()</f>
        <v>#N/A</v>
      </c>
    </row>
    <row r="7644" spans="1:2" x14ac:dyDescent="0.25">
      <c r="A7644" s="157">
        <v>33338</v>
      </c>
      <c r="B7644" s="158" t="e">
        <f>NA()</f>
        <v>#N/A</v>
      </c>
    </row>
    <row r="7645" spans="1:2" x14ac:dyDescent="0.25">
      <c r="A7645" s="157">
        <v>33339</v>
      </c>
      <c r="B7645" s="158" t="e">
        <f>NA()</f>
        <v>#N/A</v>
      </c>
    </row>
    <row r="7646" spans="1:2" x14ac:dyDescent="0.25">
      <c r="A7646" s="157">
        <v>33340</v>
      </c>
      <c r="B7646" s="158" t="e">
        <f>NA()</f>
        <v>#N/A</v>
      </c>
    </row>
    <row r="7647" spans="1:2" x14ac:dyDescent="0.25">
      <c r="A7647" s="157">
        <v>33343</v>
      </c>
      <c r="B7647" s="158" t="e">
        <f>NA()</f>
        <v>#N/A</v>
      </c>
    </row>
    <row r="7648" spans="1:2" x14ac:dyDescent="0.25">
      <c r="A7648" s="157">
        <v>33344</v>
      </c>
      <c r="B7648" s="158" t="e">
        <f>NA()</f>
        <v>#N/A</v>
      </c>
    </row>
    <row r="7649" spans="1:2" x14ac:dyDescent="0.25">
      <c r="A7649" s="157">
        <v>33345</v>
      </c>
      <c r="B7649" s="158" t="e">
        <f>NA()</f>
        <v>#N/A</v>
      </c>
    </row>
    <row r="7650" spans="1:2" x14ac:dyDescent="0.25">
      <c r="A7650" s="157">
        <v>33346</v>
      </c>
      <c r="B7650" s="158" t="e">
        <f>NA()</f>
        <v>#N/A</v>
      </c>
    </row>
    <row r="7651" spans="1:2" x14ac:dyDescent="0.25">
      <c r="A7651" s="157">
        <v>33347</v>
      </c>
      <c r="B7651" s="158" t="e">
        <f>NA()</f>
        <v>#N/A</v>
      </c>
    </row>
    <row r="7652" spans="1:2" x14ac:dyDescent="0.25">
      <c r="A7652" s="157">
        <v>33350</v>
      </c>
      <c r="B7652" s="158" t="e">
        <f>NA()</f>
        <v>#N/A</v>
      </c>
    </row>
    <row r="7653" spans="1:2" x14ac:dyDescent="0.25">
      <c r="A7653" s="157">
        <v>33351</v>
      </c>
      <c r="B7653" s="158" t="e">
        <f>NA()</f>
        <v>#N/A</v>
      </c>
    </row>
    <row r="7654" spans="1:2" x14ac:dyDescent="0.25">
      <c r="A7654" s="157">
        <v>33352</v>
      </c>
      <c r="B7654" s="158" t="e">
        <f>NA()</f>
        <v>#N/A</v>
      </c>
    </row>
    <row r="7655" spans="1:2" x14ac:dyDescent="0.25">
      <c r="A7655" s="157">
        <v>33353</v>
      </c>
      <c r="B7655" s="158" t="e">
        <f>NA()</f>
        <v>#N/A</v>
      </c>
    </row>
    <row r="7656" spans="1:2" x14ac:dyDescent="0.25">
      <c r="A7656" s="157">
        <v>33354</v>
      </c>
      <c r="B7656" s="158" t="e">
        <f>NA()</f>
        <v>#N/A</v>
      </c>
    </row>
    <row r="7657" spans="1:2" x14ac:dyDescent="0.25">
      <c r="A7657" s="157">
        <v>33357</v>
      </c>
      <c r="B7657" s="158" t="e">
        <f>NA()</f>
        <v>#N/A</v>
      </c>
    </row>
    <row r="7658" spans="1:2" x14ac:dyDescent="0.25">
      <c r="A7658" s="157">
        <v>33358</v>
      </c>
      <c r="B7658" s="158" t="e">
        <f>NA()</f>
        <v>#N/A</v>
      </c>
    </row>
    <row r="7659" spans="1:2" x14ac:dyDescent="0.25">
      <c r="A7659" s="157">
        <v>33359</v>
      </c>
      <c r="B7659" s="158" t="e">
        <f>NA()</f>
        <v>#N/A</v>
      </c>
    </row>
    <row r="7660" spans="1:2" x14ac:dyDescent="0.25">
      <c r="A7660" s="157">
        <v>33360</v>
      </c>
      <c r="B7660" s="158" t="e">
        <f>NA()</f>
        <v>#N/A</v>
      </c>
    </row>
    <row r="7661" spans="1:2" x14ac:dyDescent="0.25">
      <c r="A7661" s="157">
        <v>33361</v>
      </c>
      <c r="B7661" s="158" t="e">
        <f>NA()</f>
        <v>#N/A</v>
      </c>
    </row>
    <row r="7662" spans="1:2" x14ac:dyDescent="0.25">
      <c r="A7662" s="157">
        <v>33364</v>
      </c>
      <c r="B7662" s="158" t="e">
        <f>NA()</f>
        <v>#N/A</v>
      </c>
    </row>
    <row r="7663" spans="1:2" x14ac:dyDescent="0.25">
      <c r="A7663" s="157">
        <v>33365</v>
      </c>
      <c r="B7663" s="158" t="e">
        <f>NA()</f>
        <v>#N/A</v>
      </c>
    </row>
    <row r="7664" spans="1:2" x14ac:dyDescent="0.25">
      <c r="A7664" s="157">
        <v>33366</v>
      </c>
      <c r="B7664" s="158" t="e">
        <f>NA()</f>
        <v>#N/A</v>
      </c>
    </row>
    <row r="7665" spans="1:2" x14ac:dyDescent="0.25">
      <c r="A7665" s="157">
        <v>33367</v>
      </c>
      <c r="B7665" s="158" t="e">
        <f>NA()</f>
        <v>#N/A</v>
      </c>
    </row>
    <row r="7666" spans="1:2" x14ac:dyDescent="0.25">
      <c r="A7666" s="157">
        <v>33368</v>
      </c>
      <c r="B7666" s="158" t="e">
        <f>NA()</f>
        <v>#N/A</v>
      </c>
    </row>
    <row r="7667" spans="1:2" x14ac:dyDescent="0.25">
      <c r="A7667" s="157">
        <v>33371</v>
      </c>
      <c r="B7667" s="158" t="e">
        <f>NA()</f>
        <v>#N/A</v>
      </c>
    </row>
    <row r="7668" spans="1:2" x14ac:dyDescent="0.25">
      <c r="A7668" s="157">
        <v>33372</v>
      </c>
      <c r="B7668" s="158" t="e">
        <f>NA()</f>
        <v>#N/A</v>
      </c>
    </row>
    <row r="7669" spans="1:2" x14ac:dyDescent="0.25">
      <c r="A7669" s="157">
        <v>33373</v>
      </c>
      <c r="B7669" s="158" t="e">
        <f>NA()</f>
        <v>#N/A</v>
      </c>
    </row>
    <row r="7670" spans="1:2" x14ac:dyDescent="0.25">
      <c r="A7670" s="157">
        <v>33374</v>
      </c>
      <c r="B7670" s="158" t="e">
        <f>NA()</f>
        <v>#N/A</v>
      </c>
    </row>
    <row r="7671" spans="1:2" x14ac:dyDescent="0.25">
      <c r="A7671" s="157">
        <v>33375</v>
      </c>
      <c r="B7671" s="158" t="e">
        <f>NA()</f>
        <v>#N/A</v>
      </c>
    </row>
    <row r="7672" spans="1:2" x14ac:dyDescent="0.25">
      <c r="A7672" s="157">
        <v>33378</v>
      </c>
      <c r="B7672" s="158" t="e">
        <f>NA()</f>
        <v>#N/A</v>
      </c>
    </row>
    <row r="7673" spans="1:2" x14ac:dyDescent="0.25">
      <c r="A7673" s="157">
        <v>33379</v>
      </c>
      <c r="B7673" s="158" t="e">
        <f>NA()</f>
        <v>#N/A</v>
      </c>
    </row>
    <row r="7674" spans="1:2" x14ac:dyDescent="0.25">
      <c r="A7674" s="157">
        <v>33380</v>
      </c>
      <c r="B7674" s="158" t="e">
        <f>NA()</f>
        <v>#N/A</v>
      </c>
    </row>
    <row r="7675" spans="1:2" x14ac:dyDescent="0.25">
      <c r="A7675" s="157">
        <v>33381</v>
      </c>
      <c r="B7675" s="158" t="e">
        <f>NA()</f>
        <v>#N/A</v>
      </c>
    </row>
    <row r="7676" spans="1:2" x14ac:dyDescent="0.25">
      <c r="A7676" s="157">
        <v>33382</v>
      </c>
      <c r="B7676" s="158" t="e">
        <f>NA()</f>
        <v>#N/A</v>
      </c>
    </row>
    <row r="7677" spans="1:2" x14ac:dyDescent="0.25">
      <c r="A7677" s="157">
        <v>33385</v>
      </c>
      <c r="B7677" s="158" t="e">
        <f>NA()</f>
        <v>#N/A</v>
      </c>
    </row>
    <row r="7678" spans="1:2" x14ac:dyDescent="0.25">
      <c r="A7678" s="157">
        <v>33386</v>
      </c>
      <c r="B7678" s="158" t="e">
        <f>NA()</f>
        <v>#N/A</v>
      </c>
    </row>
    <row r="7679" spans="1:2" x14ac:dyDescent="0.25">
      <c r="A7679" s="157">
        <v>33387</v>
      </c>
      <c r="B7679" s="158" t="e">
        <f>NA()</f>
        <v>#N/A</v>
      </c>
    </row>
    <row r="7680" spans="1:2" x14ac:dyDescent="0.25">
      <c r="A7680" s="157">
        <v>33388</v>
      </c>
      <c r="B7680" s="158" t="e">
        <f>NA()</f>
        <v>#N/A</v>
      </c>
    </row>
    <row r="7681" spans="1:2" x14ac:dyDescent="0.25">
      <c r="A7681" s="157">
        <v>33389</v>
      </c>
      <c r="B7681" s="158" t="e">
        <f>NA()</f>
        <v>#N/A</v>
      </c>
    </row>
    <row r="7682" spans="1:2" x14ac:dyDescent="0.25">
      <c r="A7682" s="157">
        <v>33392</v>
      </c>
      <c r="B7682" s="158" t="e">
        <f>NA()</f>
        <v>#N/A</v>
      </c>
    </row>
    <row r="7683" spans="1:2" x14ac:dyDescent="0.25">
      <c r="A7683" s="157">
        <v>33393</v>
      </c>
      <c r="B7683" s="158" t="e">
        <f>NA()</f>
        <v>#N/A</v>
      </c>
    </row>
    <row r="7684" spans="1:2" x14ac:dyDescent="0.25">
      <c r="A7684" s="157">
        <v>33394</v>
      </c>
      <c r="B7684" s="158" t="e">
        <f>NA()</f>
        <v>#N/A</v>
      </c>
    </row>
    <row r="7685" spans="1:2" x14ac:dyDescent="0.25">
      <c r="A7685" s="157">
        <v>33395</v>
      </c>
      <c r="B7685" s="158" t="e">
        <f>NA()</f>
        <v>#N/A</v>
      </c>
    </row>
    <row r="7686" spans="1:2" x14ac:dyDescent="0.25">
      <c r="A7686" s="157">
        <v>33396</v>
      </c>
      <c r="B7686" s="158" t="e">
        <f>NA()</f>
        <v>#N/A</v>
      </c>
    </row>
    <row r="7687" spans="1:2" x14ac:dyDescent="0.25">
      <c r="A7687" s="157">
        <v>33399</v>
      </c>
      <c r="B7687" s="158" t="e">
        <f>NA()</f>
        <v>#N/A</v>
      </c>
    </row>
    <row r="7688" spans="1:2" x14ac:dyDescent="0.25">
      <c r="A7688" s="157">
        <v>33400</v>
      </c>
      <c r="B7688" s="158" t="e">
        <f>NA()</f>
        <v>#N/A</v>
      </c>
    </row>
    <row r="7689" spans="1:2" x14ac:dyDescent="0.25">
      <c r="A7689" s="157">
        <v>33401</v>
      </c>
      <c r="B7689" s="158" t="e">
        <f>NA()</f>
        <v>#N/A</v>
      </c>
    </row>
    <row r="7690" spans="1:2" x14ac:dyDescent="0.25">
      <c r="A7690" s="157">
        <v>33402</v>
      </c>
      <c r="B7690" s="158" t="e">
        <f>NA()</f>
        <v>#N/A</v>
      </c>
    </row>
    <row r="7691" spans="1:2" x14ac:dyDescent="0.25">
      <c r="A7691" s="157">
        <v>33403</v>
      </c>
      <c r="B7691" s="158" t="e">
        <f>NA()</f>
        <v>#N/A</v>
      </c>
    </row>
    <row r="7692" spans="1:2" x14ac:dyDescent="0.25">
      <c r="A7692" s="157">
        <v>33406</v>
      </c>
      <c r="B7692" s="158" t="e">
        <f>NA()</f>
        <v>#N/A</v>
      </c>
    </row>
    <row r="7693" spans="1:2" x14ac:dyDescent="0.25">
      <c r="A7693" s="157">
        <v>33407</v>
      </c>
      <c r="B7693" s="158" t="e">
        <f>NA()</f>
        <v>#N/A</v>
      </c>
    </row>
    <row r="7694" spans="1:2" x14ac:dyDescent="0.25">
      <c r="A7694" s="157">
        <v>33408</v>
      </c>
      <c r="B7694" s="158" t="e">
        <f>NA()</f>
        <v>#N/A</v>
      </c>
    </row>
    <row r="7695" spans="1:2" x14ac:dyDescent="0.25">
      <c r="A7695" s="157">
        <v>33409</v>
      </c>
      <c r="B7695" s="158" t="e">
        <f>NA()</f>
        <v>#N/A</v>
      </c>
    </row>
    <row r="7696" spans="1:2" x14ac:dyDescent="0.25">
      <c r="A7696" s="157">
        <v>33410</v>
      </c>
      <c r="B7696" s="158" t="e">
        <f>NA()</f>
        <v>#N/A</v>
      </c>
    </row>
    <row r="7697" spans="1:2" x14ac:dyDescent="0.25">
      <c r="A7697" s="157">
        <v>33413</v>
      </c>
      <c r="B7697" s="158" t="e">
        <f>NA()</f>
        <v>#N/A</v>
      </c>
    </row>
    <row r="7698" spans="1:2" x14ac:dyDescent="0.25">
      <c r="A7698" s="157">
        <v>33414</v>
      </c>
      <c r="B7698" s="158" t="e">
        <f>NA()</f>
        <v>#N/A</v>
      </c>
    </row>
    <row r="7699" spans="1:2" x14ac:dyDescent="0.25">
      <c r="A7699" s="157">
        <v>33415</v>
      </c>
      <c r="B7699" s="158" t="e">
        <f>NA()</f>
        <v>#N/A</v>
      </c>
    </row>
    <row r="7700" spans="1:2" x14ac:dyDescent="0.25">
      <c r="A7700" s="157">
        <v>33416</v>
      </c>
      <c r="B7700" s="158" t="e">
        <f>NA()</f>
        <v>#N/A</v>
      </c>
    </row>
    <row r="7701" spans="1:2" x14ac:dyDescent="0.25">
      <c r="A7701" s="157">
        <v>33417</v>
      </c>
      <c r="B7701" s="158" t="e">
        <f>NA()</f>
        <v>#N/A</v>
      </c>
    </row>
    <row r="7702" spans="1:2" x14ac:dyDescent="0.25">
      <c r="A7702" s="157">
        <v>33420</v>
      </c>
      <c r="B7702" s="158" t="e">
        <f>NA()</f>
        <v>#N/A</v>
      </c>
    </row>
    <row r="7703" spans="1:2" x14ac:dyDescent="0.25">
      <c r="A7703" s="157">
        <v>33421</v>
      </c>
      <c r="B7703" s="158" t="e">
        <f>NA()</f>
        <v>#N/A</v>
      </c>
    </row>
    <row r="7704" spans="1:2" x14ac:dyDescent="0.25">
      <c r="A7704" s="157">
        <v>33422</v>
      </c>
      <c r="B7704" s="158" t="e">
        <f>NA()</f>
        <v>#N/A</v>
      </c>
    </row>
    <row r="7705" spans="1:2" x14ac:dyDescent="0.25">
      <c r="A7705" s="157">
        <v>33423</v>
      </c>
      <c r="B7705" s="158" t="e">
        <f>NA()</f>
        <v>#N/A</v>
      </c>
    </row>
    <row r="7706" spans="1:2" x14ac:dyDescent="0.25">
      <c r="A7706" s="157">
        <v>33424</v>
      </c>
      <c r="B7706" s="158" t="e">
        <f>NA()</f>
        <v>#N/A</v>
      </c>
    </row>
    <row r="7707" spans="1:2" x14ac:dyDescent="0.25">
      <c r="A7707" s="157">
        <v>33427</v>
      </c>
      <c r="B7707" s="158" t="e">
        <f>NA()</f>
        <v>#N/A</v>
      </c>
    </row>
    <row r="7708" spans="1:2" x14ac:dyDescent="0.25">
      <c r="A7708" s="157">
        <v>33428</v>
      </c>
      <c r="B7708" s="158" t="e">
        <f>NA()</f>
        <v>#N/A</v>
      </c>
    </row>
    <row r="7709" spans="1:2" x14ac:dyDescent="0.25">
      <c r="A7709" s="157">
        <v>33429</v>
      </c>
      <c r="B7709" s="158" t="e">
        <f>NA()</f>
        <v>#N/A</v>
      </c>
    </row>
    <row r="7710" spans="1:2" x14ac:dyDescent="0.25">
      <c r="A7710" s="157">
        <v>33430</v>
      </c>
      <c r="B7710" s="158" t="e">
        <f>NA()</f>
        <v>#N/A</v>
      </c>
    </row>
    <row r="7711" spans="1:2" x14ac:dyDescent="0.25">
      <c r="A7711" s="157">
        <v>33431</v>
      </c>
      <c r="B7711" s="158" t="e">
        <f>NA()</f>
        <v>#N/A</v>
      </c>
    </row>
    <row r="7712" spans="1:2" x14ac:dyDescent="0.25">
      <c r="A7712" s="157">
        <v>33434</v>
      </c>
      <c r="B7712" s="158" t="e">
        <f>NA()</f>
        <v>#N/A</v>
      </c>
    </row>
    <row r="7713" spans="1:2" x14ac:dyDescent="0.25">
      <c r="A7713" s="157">
        <v>33435</v>
      </c>
      <c r="B7713" s="158" t="e">
        <f>NA()</f>
        <v>#N/A</v>
      </c>
    </row>
    <row r="7714" spans="1:2" x14ac:dyDescent="0.25">
      <c r="A7714" s="157">
        <v>33436</v>
      </c>
      <c r="B7714" s="158" t="e">
        <f>NA()</f>
        <v>#N/A</v>
      </c>
    </row>
    <row r="7715" spans="1:2" x14ac:dyDescent="0.25">
      <c r="A7715" s="157">
        <v>33437</v>
      </c>
      <c r="B7715" s="158" t="e">
        <f>NA()</f>
        <v>#N/A</v>
      </c>
    </row>
    <row r="7716" spans="1:2" x14ac:dyDescent="0.25">
      <c r="A7716" s="157">
        <v>33438</v>
      </c>
      <c r="B7716" s="158" t="e">
        <f>NA()</f>
        <v>#N/A</v>
      </c>
    </row>
    <row r="7717" spans="1:2" x14ac:dyDescent="0.25">
      <c r="A7717" s="157">
        <v>33441</v>
      </c>
      <c r="B7717" s="158" t="e">
        <f>NA()</f>
        <v>#N/A</v>
      </c>
    </row>
    <row r="7718" spans="1:2" x14ac:dyDescent="0.25">
      <c r="A7718" s="157">
        <v>33442</v>
      </c>
      <c r="B7718" s="158" t="e">
        <f>NA()</f>
        <v>#N/A</v>
      </c>
    </row>
    <row r="7719" spans="1:2" x14ac:dyDescent="0.25">
      <c r="A7719" s="157">
        <v>33443</v>
      </c>
      <c r="B7719" s="158" t="e">
        <f>NA()</f>
        <v>#N/A</v>
      </c>
    </row>
    <row r="7720" spans="1:2" x14ac:dyDescent="0.25">
      <c r="A7720" s="157">
        <v>33444</v>
      </c>
      <c r="B7720" s="158" t="e">
        <f>NA()</f>
        <v>#N/A</v>
      </c>
    </row>
    <row r="7721" spans="1:2" x14ac:dyDescent="0.25">
      <c r="A7721" s="157">
        <v>33445</v>
      </c>
      <c r="B7721" s="158" t="e">
        <f>NA()</f>
        <v>#N/A</v>
      </c>
    </row>
    <row r="7722" spans="1:2" x14ac:dyDescent="0.25">
      <c r="A7722" s="157">
        <v>33448</v>
      </c>
      <c r="B7722" s="158" t="e">
        <f>NA()</f>
        <v>#N/A</v>
      </c>
    </row>
    <row r="7723" spans="1:2" x14ac:dyDescent="0.25">
      <c r="A7723" s="157">
        <v>33449</v>
      </c>
      <c r="B7723" s="158" t="e">
        <f>NA()</f>
        <v>#N/A</v>
      </c>
    </row>
    <row r="7724" spans="1:2" x14ac:dyDescent="0.25">
      <c r="A7724" s="157">
        <v>33450</v>
      </c>
      <c r="B7724" s="158" t="e">
        <f>NA()</f>
        <v>#N/A</v>
      </c>
    </row>
    <row r="7725" spans="1:2" x14ac:dyDescent="0.25">
      <c r="A7725" s="157">
        <v>33451</v>
      </c>
      <c r="B7725" s="158" t="e">
        <f>NA()</f>
        <v>#N/A</v>
      </c>
    </row>
    <row r="7726" spans="1:2" x14ac:dyDescent="0.25">
      <c r="A7726" s="157">
        <v>33452</v>
      </c>
      <c r="B7726" s="158" t="e">
        <f>NA()</f>
        <v>#N/A</v>
      </c>
    </row>
    <row r="7727" spans="1:2" x14ac:dyDescent="0.25">
      <c r="A7727" s="157">
        <v>33455</v>
      </c>
      <c r="B7727" s="158" t="e">
        <f>NA()</f>
        <v>#N/A</v>
      </c>
    </row>
    <row r="7728" spans="1:2" x14ac:dyDescent="0.25">
      <c r="A7728" s="157">
        <v>33456</v>
      </c>
      <c r="B7728" s="158" t="e">
        <f>NA()</f>
        <v>#N/A</v>
      </c>
    </row>
    <row r="7729" spans="1:2" x14ac:dyDescent="0.25">
      <c r="A7729" s="157">
        <v>33457</v>
      </c>
      <c r="B7729" s="158" t="e">
        <f>NA()</f>
        <v>#N/A</v>
      </c>
    </row>
    <row r="7730" spans="1:2" x14ac:dyDescent="0.25">
      <c r="A7730" s="157">
        <v>33458</v>
      </c>
      <c r="B7730" s="158" t="e">
        <f>NA()</f>
        <v>#N/A</v>
      </c>
    </row>
    <row r="7731" spans="1:2" x14ac:dyDescent="0.25">
      <c r="A7731" s="157">
        <v>33459</v>
      </c>
      <c r="B7731" s="158" t="e">
        <f>NA()</f>
        <v>#N/A</v>
      </c>
    </row>
    <row r="7732" spans="1:2" x14ac:dyDescent="0.25">
      <c r="A7732" s="157">
        <v>33462</v>
      </c>
      <c r="B7732" s="158" t="e">
        <f>NA()</f>
        <v>#N/A</v>
      </c>
    </row>
    <row r="7733" spans="1:2" x14ac:dyDescent="0.25">
      <c r="A7733" s="157">
        <v>33463</v>
      </c>
      <c r="B7733" s="158" t="e">
        <f>NA()</f>
        <v>#N/A</v>
      </c>
    </row>
    <row r="7734" spans="1:2" x14ac:dyDescent="0.25">
      <c r="A7734" s="157">
        <v>33464</v>
      </c>
      <c r="B7734" s="158" t="e">
        <f>NA()</f>
        <v>#N/A</v>
      </c>
    </row>
    <row r="7735" spans="1:2" x14ac:dyDescent="0.25">
      <c r="A7735" s="157">
        <v>33465</v>
      </c>
      <c r="B7735" s="158" t="e">
        <f>NA()</f>
        <v>#N/A</v>
      </c>
    </row>
    <row r="7736" spans="1:2" x14ac:dyDescent="0.25">
      <c r="A7736" s="157">
        <v>33466</v>
      </c>
      <c r="B7736" s="158" t="e">
        <f>NA()</f>
        <v>#N/A</v>
      </c>
    </row>
    <row r="7737" spans="1:2" x14ac:dyDescent="0.25">
      <c r="A7737" s="157">
        <v>33469</v>
      </c>
      <c r="B7737" s="158" t="e">
        <f>NA()</f>
        <v>#N/A</v>
      </c>
    </row>
    <row r="7738" spans="1:2" x14ac:dyDescent="0.25">
      <c r="A7738" s="157">
        <v>33470</v>
      </c>
      <c r="B7738" s="158" t="e">
        <f>NA()</f>
        <v>#N/A</v>
      </c>
    </row>
    <row r="7739" spans="1:2" x14ac:dyDescent="0.25">
      <c r="A7739" s="157">
        <v>33471</v>
      </c>
      <c r="B7739" s="158" t="e">
        <f>NA()</f>
        <v>#N/A</v>
      </c>
    </row>
    <row r="7740" spans="1:2" x14ac:dyDescent="0.25">
      <c r="A7740" s="157">
        <v>33472</v>
      </c>
      <c r="B7740" s="158" t="e">
        <f>NA()</f>
        <v>#N/A</v>
      </c>
    </row>
    <row r="7741" spans="1:2" x14ac:dyDescent="0.25">
      <c r="A7741" s="157">
        <v>33473</v>
      </c>
      <c r="B7741" s="158" t="e">
        <f>NA()</f>
        <v>#N/A</v>
      </c>
    </row>
    <row r="7742" spans="1:2" x14ac:dyDescent="0.25">
      <c r="A7742" s="157">
        <v>33476</v>
      </c>
      <c r="B7742" s="158" t="e">
        <f>NA()</f>
        <v>#N/A</v>
      </c>
    </row>
    <row r="7743" spans="1:2" x14ac:dyDescent="0.25">
      <c r="A7743" s="157">
        <v>33477</v>
      </c>
      <c r="B7743" s="158" t="e">
        <f>NA()</f>
        <v>#N/A</v>
      </c>
    </row>
    <row r="7744" spans="1:2" x14ac:dyDescent="0.25">
      <c r="A7744" s="157">
        <v>33478</v>
      </c>
      <c r="B7744" s="158" t="e">
        <f>NA()</f>
        <v>#N/A</v>
      </c>
    </row>
    <row r="7745" spans="1:2" x14ac:dyDescent="0.25">
      <c r="A7745" s="157">
        <v>33479</v>
      </c>
      <c r="B7745" s="158" t="e">
        <f>NA()</f>
        <v>#N/A</v>
      </c>
    </row>
    <row r="7746" spans="1:2" x14ac:dyDescent="0.25">
      <c r="A7746" s="157">
        <v>33480</v>
      </c>
      <c r="B7746" s="158" t="e">
        <f>NA()</f>
        <v>#N/A</v>
      </c>
    </row>
    <row r="7747" spans="1:2" x14ac:dyDescent="0.25">
      <c r="A7747" s="157">
        <v>33483</v>
      </c>
      <c r="B7747" s="158" t="e">
        <f>NA()</f>
        <v>#N/A</v>
      </c>
    </row>
    <row r="7748" spans="1:2" x14ac:dyDescent="0.25">
      <c r="A7748" s="157">
        <v>33484</v>
      </c>
      <c r="B7748" s="158" t="e">
        <f>NA()</f>
        <v>#N/A</v>
      </c>
    </row>
    <row r="7749" spans="1:2" x14ac:dyDescent="0.25">
      <c r="A7749" s="157">
        <v>33485</v>
      </c>
      <c r="B7749" s="158" t="e">
        <f>NA()</f>
        <v>#N/A</v>
      </c>
    </row>
    <row r="7750" spans="1:2" x14ac:dyDescent="0.25">
      <c r="A7750" s="157">
        <v>33486</v>
      </c>
      <c r="B7750" s="158" t="e">
        <f>NA()</f>
        <v>#N/A</v>
      </c>
    </row>
    <row r="7751" spans="1:2" x14ac:dyDescent="0.25">
      <c r="A7751" s="157">
        <v>33487</v>
      </c>
      <c r="B7751" s="158" t="e">
        <f>NA()</f>
        <v>#N/A</v>
      </c>
    </row>
    <row r="7752" spans="1:2" x14ac:dyDescent="0.25">
      <c r="A7752" s="157">
        <v>33490</v>
      </c>
      <c r="B7752" s="158" t="e">
        <f>NA()</f>
        <v>#N/A</v>
      </c>
    </row>
    <row r="7753" spans="1:2" x14ac:dyDescent="0.25">
      <c r="A7753" s="157">
        <v>33491</v>
      </c>
      <c r="B7753" s="158" t="e">
        <f>NA()</f>
        <v>#N/A</v>
      </c>
    </row>
    <row r="7754" spans="1:2" x14ac:dyDescent="0.25">
      <c r="A7754" s="157">
        <v>33492</v>
      </c>
      <c r="B7754" s="158" t="e">
        <f>NA()</f>
        <v>#N/A</v>
      </c>
    </row>
    <row r="7755" spans="1:2" x14ac:dyDescent="0.25">
      <c r="A7755" s="157">
        <v>33493</v>
      </c>
      <c r="B7755" s="158" t="e">
        <f>NA()</f>
        <v>#N/A</v>
      </c>
    </row>
    <row r="7756" spans="1:2" x14ac:dyDescent="0.25">
      <c r="A7756" s="157">
        <v>33494</v>
      </c>
      <c r="B7756" s="158" t="e">
        <f>NA()</f>
        <v>#N/A</v>
      </c>
    </row>
    <row r="7757" spans="1:2" x14ac:dyDescent="0.25">
      <c r="A7757" s="157">
        <v>33497</v>
      </c>
      <c r="B7757" s="158" t="e">
        <f>NA()</f>
        <v>#N/A</v>
      </c>
    </row>
    <row r="7758" spans="1:2" x14ac:dyDescent="0.25">
      <c r="A7758" s="157">
        <v>33498</v>
      </c>
      <c r="B7758" s="158" t="e">
        <f>NA()</f>
        <v>#N/A</v>
      </c>
    </row>
    <row r="7759" spans="1:2" x14ac:dyDescent="0.25">
      <c r="A7759" s="157">
        <v>33499</v>
      </c>
      <c r="B7759" s="158" t="e">
        <f>NA()</f>
        <v>#N/A</v>
      </c>
    </row>
    <row r="7760" spans="1:2" x14ac:dyDescent="0.25">
      <c r="A7760" s="157">
        <v>33500</v>
      </c>
      <c r="B7760" s="158" t="e">
        <f>NA()</f>
        <v>#N/A</v>
      </c>
    </row>
    <row r="7761" spans="1:2" x14ac:dyDescent="0.25">
      <c r="A7761" s="157">
        <v>33501</v>
      </c>
      <c r="B7761" s="158" t="e">
        <f>NA()</f>
        <v>#N/A</v>
      </c>
    </row>
    <row r="7762" spans="1:2" x14ac:dyDescent="0.25">
      <c r="A7762" s="157">
        <v>33504</v>
      </c>
      <c r="B7762" s="158" t="e">
        <f>NA()</f>
        <v>#N/A</v>
      </c>
    </row>
    <row r="7763" spans="1:2" x14ac:dyDescent="0.25">
      <c r="A7763" s="157">
        <v>33505</v>
      </c>
      <c r="B7763" s="158" t="e">
        <f>NA()</f>
        <v>#N/A</v>
      </c>
    </row>
    <row r="7764" spans="1:2" x14ac:dyDescent="0.25">
      <c r="A7764" s="157">
        <v>33506</v>
      </c>
      <c r="B7764" s="158" t="e">
        <f>NA()</f>
        <v>#N/A</v>
      </c>
    </row>
    <row r="7765" spans="1:2" x14ac:dyDescent="0.25">
      <c r="A7765" s="157">
        <v>33507</v>
      </c>
      <c r="B7765" s="158" t="e">
        <f>NA()</f>
        <v>#N/A</v>
      </c>
    </row>
    <row r="7766" spans="1:2" x14ac:dyDescent="0.25">
      <c r="A7766" s="157">
        <v>33508</v>
      </c>
      <c r="B7766" s="158" t="e">
        <f>NA()</f>
        <v>#N/A</v>
      </c>
    </row>
    <row r="7767" spans="1:2" x14ac:dyDescent="0.25">
      <c r="A7767" s="157">
        <v>33511</v>
      </c>
      <c r="B7767" s="158" t="e">
        <f>NA()</f>
        <v>#N/A</v>
      </c>
    </row>
    <row r="7768" spans="1:2" x14ac:dyDescent="0.25">
      <c r="A7768" s="157">
        <v>33512</v>
      </c>
      <c r="B7768" s="158" t="e">
        <f>NA()</f>
        <v>#N/A</v>
      </c>
    </row>
    <row r="7769" spans="1:2" x14ac:dyDescent="0.25">
      <c r="A7769" s="157">
        <v>33513</v>
      </c>
      <c r="B7769" s="158" t="e">
        <f>NA()</f>
        <v>#N/A</v>
      </c>
    </row>
    <row r="7770" spans="1:2" x14ac:dyDescent="0.25">
      <c r="A7770" s="157">
        <v>33514</v>
      </c>
      <c r="B7770" s="158" t="e">
        <f>NA()</f>
        <v>#N/A</v>
      </c>
    </row>
    <row r="7771" spans="1:2" x14ac:dyDescent="0.25">
      <c r="A7771" s="157">
        <v>33515</v>
      </c>
      <c r="B7771" s="158" t="e">
        <f>NA()</f>
        <v>#N/A</v>
      </c>
    </row>
    <row r="7772" spans="1:2" x14ac:dyDescent="0.25">
      <c r="A7772" s="157">
        <v>33518</v>
      </c>
      <c r="B7772" s="158" t="e">
        <f>NA()</f>
        <v>#N/A</v>
      </c>
    </row>
    <row r="7773" spans="1:2" x14ac:dyDescent="0.25">
      <c r="A7773" s="157">
        <v>33519</v>
      </c>
      <c r="B7773" s="158" t="e">
        <f>NA()</f>
        <v>#N/A</v>
      </c>
    </row>
    <row r="7774" spans="1:2" x14ac:dyDescent="0.25">
      <c r="A7774" s="157">
        <v>33520</v>
      </c>
      <c r="B7774" s="158" t="e">
        <f>NA()</f>
        <v>#N/A</v>
      </c>
    </row>
    <row r="7775" spans="1:2" x14ac:dyDescent="0.25">
      <c r="A7775" s="157">
        <v>33521</v>
      </c>
      <c r="B7775" s="158" t="e">
        <f>NA()</f>
        <v>#N/A</v>
      </c>
    </row>
    <row r="7776" spans="1:2" x14ac:dyDescent="0.25">
      <c r="A7776" s="157">
        <v>33522</v>
      </c>
      <c r="B7776" s="158" t="e">
        <f>NA()</f>
        <v>#N/A</v>
      </c>
    </row>
    <row r="7777" spans="1:2" x14ac:dyDescent="0.25">
      <c r="A7777" s="157">
        <v>33525</v>
      </c>
      <c r="B7777" s="158" t="e">
        <f>NA()</f>
        <v>#N/A</v>
      </c>
    </row>
    <row r="7778" spans="1:2" x14ac:dyDescent="0.25">
      <c r="A7778" s="157">
        <v>33526</v>
      </c>
      <c r="B7778" s="158" t="e">
        <f>NA()</f>
        <v>#N/A</v>
      </c>
    </row>
    <row r="7779" spans="1:2" x14ac:dyDescent="0.25">
      <c r="A7779" s="157">
        <v>33527</v>
      </c>
      <c r="B7779" s="158" t="e">
        <f>NA()</f>
        <v>#N/A</v>
      </c>
    </row>
    <row r="7780" spans="1:2" x14ac:dyDescent="0.25">
      <c r="A7780" s="157">
        <v>33528</v>
      </c>
      <c r="B7780" s="158" t="e">
        <f>NA()</f>
        <v>#N/A</v>
      </c>
    </row>
    <row r="7781" spans="1:2" x14ac:dyDescent="0.25">
      <c r="A7781" s="157">
        <v>33529</v>
      </c>
      <c r="B7781" s="158" t="e">
        <f>NA()</f>
        <v>#N/A</v>
      </c>
    </row>
    <row r="7782" spans="1:2" x14ac:dyDescent="0.25">
      <c r="A7782" s="157">
        <v>33532</v>
      </c>
      <c r="B7782" s="158" t="e">
        <f>NA()</f>
        <v>#N/A</v>
      </c>
    </row>
    <row r="7783" spans="1:2" x14ac:dyDescent="0.25">
      <c r="A7783" s="157">
        <v>33533</v>
      </c>
      <c r="B7783" s="158" t="e">
        <f>NA()</f>
        <v>#N/A</v>
      </c>
    </row>
    <row r="7784" spans="1:2" x14ac:dyDescent="0.25">
      <c r="A7784" s="157">
        <v>33534</v>
      </c>
      <c r="B7784" s="158" t="e">
        <f>NA()</f>
        <v>#N/A</v>
      </c>
    </row>
    <row r="7785" spans="1:2" x14ac:dyDescent="0.25">
      <c r="A7785" s="157">
        <v>33535</v>
      </c>
      <c r="B7785" s="158" t="e">
        <f>NA()</f>
        <v>#N/A</v>
      </c>
    </row>
    <row r="7786" spans="1:2" x14ac:dyDescent="0.25">
      <c r="A7786" s="157">
        <v>33536</v>
      </c>
      <c r="B7786" s="158" t="e">
        <f>NA()</f>
        <v>#N/A</v>
      </c>
    </row>
    <row r="7787" spans="1:2" x14ac:dyDescent="0.25">
      <c r="A7787" s="157">
        <v>33539</v>
      </c>
      <c r="B7787" s="158" t="e">
        <f>NA()</f>
        <v>#N/A</v>
      </c>
    </row>
    <row r="7788" spans="1:2" x14ac:dyDescent="0.25">
      <c r="A7788" s="157">
        <v>33540</v>
      </c>
      <c r="B7788" s="158" t="e">
        <f>NA()</f>
        <v>#N/A</v>
      </c>
    </row>
    <row r="7789" spans="1:2" x14ac:dyDescent="0.25">
      <c r="A7789" s="157">
        <v>33541</v>
      </c>
      <c r="B7789" s="158" t="e">
        <f>NA()</f>
        <v>#N/A</v>
      </c>
    </row>
    <row r="7790" spans="1:2" x14ac:dyDescent="0.25">
      <c r="A7790" s="157">
        <v>33542</v>
      </c>
      <c r="B7790" s="158" t="e">
        <f>NA()</f>
        <v>#N/A</v>
      </c>
    </row>
    <row r="7791" spans="1:2" x14ac:dyDescent="0.25">
      <c r="A7791" s="157">
        <v>33543</v>
      </c>
      <c r="B7791" s="158" t="e">
        <f>NA()</f>
        <v>#N/A</v>
      </c>
    </row>
    <row r="7792" spans="1:2" x14ac:dyDescent="0.25">
      <c r="A7792" s="157">
        <v>33546</v>
      </c>
      <c r="B7792" s="158" t="e">
        <f>NA()</f>
        <v>#N/A</v>
      </c>
    </row>
    <row r="7793" spans="1:2" x14ac:dyDescent="0.25">
      <c r="A7793" s="157">
        <v>33547</v>
      </c>
      <c r="B7793" s="158" t="e">
        <f>NA()</f>
        <v>#N/A</v>
      </c>
    </row>
    <row r="7794" spans="1:2" x14ac:dyDescent="0.25">
      <c r="A7794" s="157">
        <v>33548</v>
      </c>
      <c r="B7794" s="158" t="e">
        <f>NA()</f>
        <v>#N/A</v>
      </c>
    </row>
    <row r="7795" spans="1:2" x14ac:dyDescent="0.25">
      <c r="A7795" s="157">
        <v>33549</v>
      </c>
      <c r="B7795" s="158" t="e">
        <f>NA()</f>
        <v>#N/A</v>
      </c>
    </row>
    <row r="7796" spans="1:2" x14ac:dyDescent="0.25">
      <c r="A7796" s="157">
        <v>33550</v>
      </c>
      <c r="B7796" s="158" t="e">
        <f>NA()</f>
        <v>#N/A</v>
      </c>
    </row>
    <row r="7797" spans="1:2" x14ac:dyDescent="0.25">
      <c r="A7797" s="157">
        <v>33553</v>
      </c>
      <c r="B7797" s="158" t="e">
        <f>NA()</f>
        <v>#N/A</v>
      </c>
    </row>
    <row r="7798" spans="1:2" x14ac:dyDescent="0.25">
      <c r="A7798" s="157">
        <v>33554</v>
      </c>
      <c r="B7798" s="158" t="e">
        <f>NA()</f>
        <v>#N/A</v>
      </c>
    </row>
    <row r="7799" spans="1:2" x14ac:dyDescent="0.25">
      <c r="A7799" s="157">
        <v>33555</v>
      </c>
      <c r="B7799" s="158" t="e">
        <f>NA()</f>
        <v>#N/A</v>
      </c>
    </row>
    <row r="7800" spans="1:2" x14ac:dyDescent="0.25">
      <c r="A7800" s="157">
        <v>33556</v>
      </c>
      <c r="B7800" s="158" t="e">
        <f>NA()</f>
        <v>#N/A</v>
      </c>
    </row>
    <row r="7801" spans="1:2" x14ac:dyDescent="0.25">
      <c r="A7801" s="157">
        <v>33557</v>
      </c>
      <c r="B7801" s="158" t="e">
        <f>NA()</f>
        <v>#N/A</v>
      </c>
    </row>
    <row r="7802" spans="1:2" x14ac:dyDescent="0.25">
      <c r="A7802" s="157">
        <v>33560</v>
      </c>
      <c r="B7802" s="158" t="e">
        <f>NA()</f>
        <v>#N/A</v>
      </c>
    </row>
    <row r="7803" spans="1:2" x14ac:dyDescent="0.25">
      <c r="A7803" s="157">
        <v>33561</v>
      </c>
      <c r="B7803" s="158" t="e">
        <f>NA()</f>
        <v>#N/A</v>
      </c>
    </row>
    <row r="7804" spans="1:2" x14ac:dyDescent="0.25">
      <c r="A7804" s="157">
        <v>33562</v>
      </c>
      <c r="B7804" s="158" t="e">
        <f>NA()</f>
        <v>#N/A</v>
      </c>
    </row>
    <row r="7805" spans="1:2" x14ac:dyDescent="0.25">
      <c r="A7805" s="157">
        <v>33563</v>
      </c>
      <c r="B7805" s="158" t="e">
        <f>NA()</f>
        <v>#N/A</v>
      </c>
    </row>
    <row r="7806" spans="1:2" x14ac:dyDescent="0.25">
      <c r="A7806" s="157">
        <v>33564</v>
      </c>
      <c r="B7806" s="158" t="e">
        <f>NA()</f>
        <v>#N/A</v>
      </c>
    </row>
    <row r="7807" spans="1:2" x14ac:dyDescent="0.25">
      <c r="A7807" s="157">
        <v>33567</v>
      </c>
      <c r="B7807" s="158" t="e">
        <f>NA()</f>
        <v>#N/A</v>
      </c>
    </row>
    <row r="7808" spans="1:2" x14ac:dyDescent="0.25">
      <c r="A7808" s="157">
        <v>33568</v>
      </c>
      <c r="B7808" s="158" t="e">
        <f>NA()</f>
        <v>#N/A</v>
      </c>
    </row>
    <row r="7809" spans="1:2" x14ac:dyDescent="0.25">
      <c r="A7809" s="157">
        <v>33569</v>
      </c>
      <c r="B7809" s="158" t="e">
        <f>NA()</f>
        <v>#N/A</v>
      </c>
    </row>
    <row r="7810" spans="1:2" x14ac:dyDescent="0.25">
      <c r="A7810" s="157">
        <v>33570</v>
      </c>
      <c r="B7810" s="158" t="e">
        <f>NA()</f>
        <v>#N/A</v>
      </c>
    </row>
    <row r="7811" spans="1:2" x14ac:dyDescent="0.25">
      <c r="A7811" s="157">
        <v>33571</v>
      </c>
      <c r="B7811" s="158" t="e">
        <f>NA()</f>
        <v>#N/A</v>
      </c>
    </row>
    <row r="7812" spans="1:2" x14ac:dyDescent="0.25">
      <c r="A7812" s="157">
        <v>33574</v>
      </c>
      <c r="B7812" s="158" t="e">
        <f>NA()</f>
        <v>#N/A</v>
      </c>
    </row>
    <row r="7813" spans="1:2" x14ac:dyDescent="0.25">
      <c r="A7813" s="157">
        <v>33575</v>
      </c>
      <c r="B7813" s="158" t="e">
        <f>NA()</f>
        <v>#N/A</v>
      </c>
    </row>
    <row r="7814" spans="1:2" x14ac:dyDescent="0.25">
      <c r="A7814" s="157">
        <v>33576</v>
      </c>
      <c r="B7814" s="158" t="e">
        <f>NA()</f>
        <v>#N/A</v>
      </c>
    </row>
    <row r="7815" spans="1:2" x14ac:dyDescent="0.25">
      <c r="A7815" s="157">
        <v>33577</v>
      </c>
      <c r="B7815" s="158" t="e">
        <f>NA()</f>
        <v>#N/A</v>
      </c>
    </row>
    <row r="7816" spans="1:2" x14ac:dyDescent="0.25">
      <c r="A7816" s="157">
        <v>33578</v>
      </c>
      <c r="B7816" s="158" t="e">
        <f>NA()</f>
        <v>#N/A</v>
      </c>
    </row>
    <row r="7817" spans="1:2" x14ac:dyDescent="0.25">
      <c r="A7817" s="157">
        <v>33581</v>
      </c>
      <c r="B7817" s="158" t="e">
        <f>NA()</f>
        <v>#N/A</v>
      </c>
    </row>
    <row r="7818" spans="1:2" x14ac:dyDescent="0.25">
      <c r="A7818" s="157">
        <v>33582</v>
      </c>
      <c r="B7818" s="158" t="e">
        <f>NA()</f>
        <v>#N/A</v>
      </c>
    </row>
    <row r="7819" spans="1:2" x14ac:dyDescent="0.25">
      <c r="A7819" s="157">
        <v>33583</v>
      </c>
      <c r="B7819" s="158" t="e">
        <f>NA()</f>
        <v>#N/A</v>
      </c>
    </row>
    <row r="7820" spans="1:2" x14ac:dyDescent="0.25">
      <c r="A7820" s="157">
        <v>33584</v>
      </c>
      <c r="B7820" s="158" t="e">
        <f>NA()</f>
        <v>#N/A</v>
      </c>
    </row>
    <row r="7821" spans="1:2" x14ac:dyDescent="0.25">
      <c r="A7821" s="157">
        <v>33585</v>
      </c>
      <c r="B7821" s="158" t="e">
        <f>NA()</f>
        <v>#N/A</v>
      </c>
    </row>
    <row r="7822" spans="1:2" x14ac:dyDescent="0.25">
      <c r="A7822" s="157">
        <v>33588</v>
      </c>
      <c r="B7822" s="158" t="e">
        <f>NA()</f>
        <v>#N/A</v>
      </c>
    </row>
    <row r="7823" spans="1:2" x14ac:dyDescent="0.25">
      <c r="A7823" s="157">
        <v>33589</v>
      </c>
      <c r="B7823" s="158" t="e">
        <f>NA()</f>
        <v>#N/A</v>
      </c>
    </row>
    <row r="7824" spans="1:2" x14ac:dyDescent="0.25">
      <c r="A7824" s="157">
        <v>33590</v>
      </c>
      <c r="B7824" s="158" t="e">
        <f>NA()</f>
        <v>#N/A</v>
      </c>
    </row>
    <row r="7825" spans="1:2" x14ac:dyDescent="0.25">
      <c r="A7825" s="157">
        <v>33591</v>
      </c>
      <c r="B7825" s="158" t="e">
        <f>NA()</f>
        <v>#N/A</v>
      </c>
    </row>
    <row r="7826" spans="1:2" x14ac:dyDescent="0.25">
      <c r="A7826" s="157">
        <v>33592</v>
      </c>
      <c r="B7826" s="158" t="e">
        <f>NA()</f>
        <v>#N/A</v>
      </c>
    </row>
    <row r="7827" spans="1:2" x14ac:dyDescent="0.25">
      <c r="A7827" s="157">
        <v>33595</v>
      </c>
      <c r="B7827" s="158" t="e">
        <f>NA()</f>
        <v>#N/A</v>
      </c>
    </row>
    <row r="7828" spans="1:2" x14ac:dyDescent="0.25">
      <c r="A7828" s="157">
        <v>33596</v>
      </c>
      <c r="B7828" s="158" t="e">
        <f>NA()</f>
        <v>#N/A</v>
      </c>
    </row>
    <row r="7829" spans="1:2" x14ac:dyDescent="0.25">
      <c r="A7829" s="157">
        <v>33597</v>
      </c>
      <c r="B7829" s="158" t="e">
        <f>NA()</f>
        <v>#N/A</v>
      </c>
    </row>
    <row r="7830" spans="1:2" x14ac:dyDescent="0.25">
      <c r="A7830" s="157">
        <v>33598</v>
      </c>
      <c r="B7830" s="158" t="e">
        <f>NA()</f>
        <v>#N/A</v>
      </c>
    </row>
    <row r="7831" spans="1:2" x14ac:dyDescent="0.25">
      <c r="A7831" s="157">
        <v>33599</v>
      </c>
      <c r="B7831" s="158" t="e">
        <f>NA()</f>
        <v>#N/A</v>
      </c>
    </row>
    <row r="7832" spans="1:2" x14ac:dyDescent="0.25">
      <c r="A7832" s="157">
        <v>33602</v>
      </c>
      <c r="B7832" s="158" t="e">
        <f>NA()</f>
        <v>#N/A</v>
      </c>
    </row>
    <row r="7833" spans="1:2" x14ac:dyDescent="0.25">
      <c r="A7833" s="157">
        <v>33603</v>
      </c>
      <c r="B7833" s="158" t="e">
        <f>NA()</f>
        <v>#N/A</v>
      </c>
    </row>
    <row r="7834" spans="1:2" x14ac:dyDescent="0.25">
      <c r="A7834" s="157">
        <v>33604</v>
      </c>
      <c r="B7834" s="158" t="e">
        <f>NA()</f>
        <v>#N/A</v>
      </c>
    </row>
    <row r="7835" spans="1:2" x14ac:dyDescent="0.25">
      <c r="A7835" s="157">
        <v>33605</v>
      </c>
      <c r="B7835" s="158" t="e">
        <f>NA()</f>
        <v>#N/A</v>
      </c>
    </row>
    <row r="7836" spans="1:2" x14ac:dyDescent="0.25">
      <c r="A7836" s="157">
        <v>33606</v>
      </c>
      <c r="B7836" s="158" t="e">
        <f>NA()</f>
        <v>#N/A</v>
      </c>
    </row>
    <row r="7837" spans="1:2" x14ac:dyDescent="0.25">
      <c r="A7837" s="157">
        <v>33609</v>
      </c>
      <c r="B7837" s="158" t="e">
        <f>NA()</f>
        <v>#N/A</v>
      </c>
    </row>
    <row r="7838" spans="1:2" x14ac:dyDescent="0.25">
      <c r="A7838" s="157">
        <v>33610</v>
      </c>
      <c r="B7838" s="158" t="e">
        <f>NA()</f>
        <v>#N/A</v>
      </c>
    </row>
    <row r="7839" spans="1:2" x14ac:dyDescent="0.25">
      <c r="A7839" s="157">
        <v>33611</v>
      </c>
      <c r="B7839" s="158" t="e">
        <f>NA()</f>
        <v>#N/A</v>
      </c>
    </row>
    <row r="7840" spans="1:2" x14ac:dyDescent="0.25">
      <c r="A7840" s="157">
        <v>33612</v>
      </c>
      <c r="B7840" s="158" t="e">
        <f>NA()</f>
        <v>#N/A</v>
      </c>
    </row>
    <row r="7841" spans="1:2" x14ac:dyDescent="0.25">
      <c r="A7841" s="157">
        <v>33613</v>
      </c>
      <c r="B7841" s="158" t="e">
        <f>NA()</f>
        <v>#N/A</v>
      </c>
    </row>
    <row r="7842" spans="1:2" x14ac:dyDescent="0.25">
      <c r="A7842" s="157">
        <v>33616</v>
      </c>
      <c r="B7842" s="158" t="e">
        <f>NA()</f>
        <v>#N/A</v>
      </c>
    </row>
    <row r="7843" spans="1:2" x14ac:dyDescent="0.25">
      <c r="A7843" s="157">
        <v>33617</v>
      </c>
      <c r="B7843" s="158" t="e">
        <f>NA()</f>
        <v>#N/A</v>
      </c>
    </row>
    <row r="7844" spans="1:2" x14ac:dyDescent="0.25">
      <c r="A7844" s="157">
        <v>33618</v>
      </c>
      <c r="B7844" s="158" t="e">
        <f>NA()</f>
        <v>#N/A</v>
      </c>
    </row>
    <row r="7845" spans="1:2" x14ac:dyDescent="0.25">
      <c r="A7845" s="157">
        <v>33619</v>
      </c>
      <c r="B7845" s="158" t="e">
        <f>NA()</f>
        <v>#N/A</v>
      </c>
    </row>
    <row r="7846" spans="1:2" x14ac:dyDescent="0.25">
      <c r="A7846" s="157">
        <v>33620</v>
      </c>
      <c r="B7846" s="158" t="e">
        <f>NA()</f>
        <v>#N/A</v>
      </c>
    </row>
    <row r="7847" spans="1:2" x14ac:dyDescent="0.25">
      <c r="A7847" s="157">
        <v>33623</v>
      </c>
      <c r="B7847" s="158" t="e">
        <f>NA()</f>
        <v>#N/A</v>
      </c>
    </row>
    <row r="7848" spans="1:2" x14ac:dyDescent="0.25">
      <c r="A7848" s="157">
        <v>33624</v>
      </c>
      <c r="B7848" s="158" t="e">
        <f>NA()</f>
        <v>#N/A</v>
      </c>
    </row>
    <row r="7849" spans="1:2" x14ac:dyDescent="0.25">
      <c r="A7849" s="157">
        <v>33625</v>
      </c>
      <c r="B7849" s="158" t="e">
        <f>NA()</f>
        <v>#N/A</v>
      </c>
    </row>
    <row r="7850" spans="1:2" x14ac:dyDescent="0.25">
      <c r="A7850" s="157">
        <v>33626</v>
      </c>
      <c r="B7850" s="158" t="e">
        <f>NA()</f>
        <v>#N/A</v>
      </c>
    </row>
    <row r="7851" spans="1:2" x14ac:dyDescent="0.25">
      <c r="A7851" s="157">
        <v>33627</v>
      </c>
      <c r="B7851" s="158" t="e">
        <f>NA()</f>
        <v>#N/A</v>
      </c>
    </row>
    <row r="7852" spans="1:2" x14ac:dyDescent="0.25">
      <c r="A7852" s="157">
        <v>33630</v>
      </c>
      <c r="B7852" s="158" t="e">
        <f>NA()</f>
        <v>#N/A</v>
      </c>
    </row>
    <row r="7853" spans="1:2" x14ac:dyDescent="0.25">
      <c r="A7853" s="157">
        <v>33631</v>
      </c>
      <c r="B7853" s="158" t="e">
        <f>NA()</f>
        <v>#N/A</v>
      </c>
    </row>
    <row r="7854" spans="1:2" x14ac:dyDescent="0.25">
      <c r="A7854" s="157">
        <v>33632</v>
      </c>
      <c r="B7854" s="158" t="e">
        <f>NA()</f>
        <v>#N/A</v>
      </c>
    </row>
    <row r="7855" spans="1:2" x14ac:dyDescent="0.25">
      <c r="A7855" s="157">
        <v>33633</v>
      </c>
      <c r="B7855" s="158" t="e">
        <f>NA()</f>
        <v>#N/A</v>
      </c>
    </row>
    <row r="7856" spans="1:2" x14ac:dyDescent="0.25">
      <c r="A7856" s="157">
        <v>33634</v>
      </c>
      <c r="B7856" s="158" t="e">
        <f>NA()</f>
        <v>#N/A</v>
      </c>
    </row>
    <row r="7857" spans="1:2" x14ac:dyDescent="0.25">
      <c r="A7857" s="157">
        <v>33637</v>
      </c>
      <c r="B7857" s="158" t="e">
        <f>NA()</f>
        <v>#N/A</v>
      </c>
    </row>
    <row r="7858" spans="1:2" x14ac:dyDescent="0.25">
      <c r="A7858" s="157">
        <v>33638</v>
      </c>
      <c r="B7858" s="158" t="e">
        <f>NA()</f>
        <v>#N/A</v>
      </c>
    </row>
    <row r="7859" spans="1:2" x14ac:dyDescent="0.25">
      <c r="A7859" s="157">
        <v>33639</v>
      </c>
      <c r="B7859" s="158" t="e">
        <f>NA()</f>
        <v>#N/A</v>
      </c>
    </row>
    <row r="7860" spans="1:2" x14ac:dyDescent="0.25">
      <c r="A7860" s="157">
        <v>33640</v>
      </c>
      <c r="B7860" s="158" t="e">
        <f>NA()</f>
        <v>#N/A</v>
      </c>
    </row>
    <row r="7861" spans="1:2" x14ac:dyDescent="0.25">
      <c r="A7861" s="157">
        <v>33641</v>
      </c>
      <c r="B7861" s="158" t="e">
        <f>NA()</f>
        <v>#N/A</v>
      </c>
    </row>
    <row r="7862" spans="1:2" x14ac:dyDescent="0.25">
      <c r="A7862" s="157">
        <v>33644</v>
      </c>
      <c r="B7862" s="158" t="e">
        <f>NA()</f>
        <v>#N/A</v>
      </c>
    </row>
    <row r="7863" spans="1:2" x14ac:dyDescent="0.25">
      <c r="A7863" s="157">
        <v>33645</v>
      </c>
      <c r="B7863" s="158" t="e">
        <f>NA()</f>
        <v>#N/A</v>
      </c>
    </row>
    <row r="7864" spans="1:2" x14ac:dyDescent="0.25">
      <c r="A7864" s="157">
        <v>33646</v>
      </c>
      <c r="B7864" s="158" t="e">
        <f>NA()</f>
        <v>#N/A</v>
      </c>
    </row>
    <row r="7865" spans="1:2" x14ac:dyDescent="0.25">
      <c r="A7865" s="157">
        <v>33647</v>
      </c>
      <c r="B7865" s="158" t="e">
        <f>NA()</f>
        <v>#N/A</v>
      </c>
    </row>
    <row r="7866" spans="1:2" x14ac:dyDescent="0.25">
      <c r="A7866" s="157">
        <v>33648</v>
      </c>
      <c r="B7866" s="158" t="e">
        <f>NA()</f>
        <v>#N/A</v>
      </c>
    </row>
    <row r="7867" spans="1:2" x14ac:dyDescent="0.25">
      <c r="A7867" s="157">
        <v>33651</v>
      </c>
      <c r="B7867" s="158" t="e">
        <f>NA()</f>
        <v>#N/A</v>
      </c>
    </row>
    <row r="7868" spans="1:2" x14ac:dyDescent="0.25">
      <c r="A7868" s="157">
        <v>33652</v>
      </c>
      <c r="B7868" s="158" t="e">
        <f>NA()</f>
        <v>#N/A</v>
      </c>
    </row>
    <row r="7869" spans="1:2" x14ac:dyDescent="0.25">
      <c r="A7869" s="157">
        <v>33653</v>
      </c>
      <c r="B7869" s="158" t="e">
        <f>NA()</f>
        <v>#N/A</v>
      </c>
    </row>
    <row r="7870" spans="1:2" x14ac:dyDescent="0.25">
      <c r="A7870" s="157">
        <v>33654</v>
      </c>
      <c r="B7870" s="158" t="e">
        <f>NA()</f>
        <v>#N/A</v>
      </c>
    </row>
    <row r="7871" spans="1:2" x14ac:dyDescent="0.25">
      <c r="A7871" s="157">
        <v>33655</v>
      </c>
      <c r="B7871" s="158" t="e">
        <f>NA()</f>
        <v>#N/A</v>
      </c>
    </row>
    <row r="7872" spans="1:2" x14ac:dyDescent="0.25">
      <c r="A7872" s="157">
        <v>33658</v>
      </c>
      <c r="B7872" s="158" t="e">
        <f>NA()</f>
        <v>#N/A</v>
      </c>
    </row>
    <row r="7873" spans="1:2" x14ac:dyDescent="0.25">
      <c r="A7873" s="157">
        <v>33659</v>
      </c>
      <c r="B7873" s="158" t="e">
        <f>NA()</f>
        <v>#N/A</v>
      </c>
    </row>
    <row r="7874" spans="1:2" x14ac:dyDescent="0.25">
      <c r="A7874" s="157">
        <v>33660</v>
      </c>
      <c r="B7874" s="158" t="e">
        <f>NA()</f>
        <v>#N/A</v>
      </c>
    </row>
    <row r="7875" spans="1:2" x14ac:dyDescent="0.25">
      <c r="A7875" s="157">
        <v>33661</v>
      </c>
      <c r="B7875" s="158" t="e">
        <f>NA()</f>
        <v>#N/A</v>
      </c>
    </row>
    <row r="7876" spans="1:2" x14ac:dyDescent="0.25">
      <c r="A7876" s="157">
        <v>33662</v>
      </c>
      <c r="B7876" s="158" t="e">
        <f>NA()</f>
        <v>#N/A</v>
      </c>
    </row>
    <row r="7877" spans="1:2" x14ac:dyDescent="0.25">
      <c r="A7877" s="157">
        <v>33665</v>
      </c>
      <c r="B7877" s="158" t="e">
        <f>NA()</f>
        <v>#N/A</v>
      </c>
    </row>
    <row r="7878" spans="1:2" x14ac:dyDescent="0.25">
      <c r="A7878" s="157">
        <v>33666</v>
      </c>
      <c r="B7878" s="158" t="e">
        <f>NA()</f>
        <v>#N/A</v>
      </c>
    </row>
    <row r="7879" spans="1:2" x14ac:dyDescent="0.25">
      <c r="A7879" s="157">
        <v>33667</v>
      </c>
      <c r="B7879" s="158" t="e">
        <f>NA()</f>
        <v>#N/A</v>
      </c>
    </row>
    <row r="7880" spans="1:2" x14ac:dyDescent="0.25">
      <c r="A7880" s="157">
        <v>33668</v>
      </c>
      <c r="B7880" s="158" t="e">
        <f>NA()</f>
        <v>#N/A</v>
      </c>
    </row>
    <row r="7881" spans="1:2" x14ac:dyDescent="0.25">
      <c r="A7881" s="157">
        <v>33669</v>
      </c>
      <c r="B7881" s="158" t="e">
        <f>NA()</f>
        <v>#N/A</v>
      </c>
    </row>
    <row r="7882" spans="1:2" x14ac:dyDescent="0.25">
      <c r="A7882" s="157">
        <v>33672</v>
      </c>
      <c r="B7882" s="158" t="e">
        <f>NA()</f>
        <v>#N/A</v>
      </c>
    </row>
    <row r="7883" spans="1:2" x14ac:dyDescent="0.25">
      <c r="A7883" s="157">
        <v>33673</v>
      </c>
      <c r="B7883" s="158" t="e">
        <f>NA()</f>
        <v>#N/A</v>
      </c>
    </row>
    <row r="7884" spans="1:2" x14ac:dyDescent="0.25">
      <c r="A7884" s="157">
        <v>33674</v>
      </c>
      <c r="B7884" s="158" t="e">
        <f>NA()</f>
        <v>#N/A</v>
      </c>
    </row>
    <row r="7885" spans="1:2" x14ac:dyDescent="0.25">
      <c r="A7885" s="157">
        <v>33675</v>
      </c>
      <c r="B7885" s="158" t="e">
        <f>NA()</f>
        <v>#N/A</v>
      </c>
    </row>
    <row r="7886" spans="1:2" x14ac:dyDescent="0.25">
      <c r="A7886" s="157">
        <v>33676</v>
      </c>
      <c r="B7886" s="158" t="e">
        <f>NA()</f>
        <v>#N/A</v>
      </c>
    </row>
    <row r="7887" spans="1:2" x14ac:dyDescent="0.25">
      <c r="A7887" s="157">
        <v>33679</v>
      </c>
      <c r="B7887" s="158" t="e">
        <f>NA()</f>
        <v>#N/A</v>
      </c>
    </row>
    <row r="7888" spans="1:2" x14ac:dyDescent="0.25">
      <c r="A7888" s="157">
        <v>33680</v>
      </c>
      <c r="B7888" s="158" t="e">
        <f>NA()</f>
        <v>#N/A</v>
      </c>
    </row>
    <row r="7889" spans="1:2" x14ac:dyDescent="0.25">
      <c r="A7889" s="157">
        <v>33681</v>
      </c>
      <c r="B7889" s="158" t="e">
        <f>NA()</f>
        <v>#N/A</v>
      </c>
    </row>
    <row r="7890" spans="1:2" x14ac:dyDescent="0.25">
      <c r="A7890" s="157">
        <v>33682</v>
      </c>
      <c r="B7890" s="158" t="e">
        <f>NA()</f>
        <v>#N/A</v>
      </c>
    </row>
    <row r="7891" spans="1:2" x14ac:dyDescent="0.25">
      <c r="A7891" s="157">
        <v>33683</v>
      </c>
      <c r="B7891" s="158" t="e">
        <f>NA()</f>
        <v>#N/A</v>
      </c>
    </row>
    <row r="7892" spans="1:2" x14ac:dyDescent="0.25">
      <c r="A7892" s="157">
        <v>33686</v>
      </c>
      <c r="B7892" s="158" t="e">
        <f>NA()</f>
        <v>#N/A</v>
      </c>
    </row>
    <row r="7893" spans="1:2" x14ac:dyDescent="0.25">
      <c r="A7893" s="157">
        <v>33687</v>
      </c>
      <c r="B7893" s="158" t="e">
        <f>NA()</f>
        <v>#N/A</v>
      </c>
    </row>
    <row r="7894" spans="1:2" x14ac:dyDescent="0.25">
      <c r="A7894" s="157">
        <v>33688</v>
      </c>
      <c r="B7894" s="158" t="e">
        <f>NA()</f>
        <v>#N/A</v>
      </c>
    </row>
    <row r="7895" spans="1:2" x14ac:dyDescent="0.25">
      <c r="A7895" s="157">
        <v>33689</v>
      </c>
      <c r="B7895" s="158" t="e">
        <f>NA()</f>
        <v>#N/A</v>
      </c>
    </row>
    <row r="7896" spans="1:2" x14ac:dyDescent="0.25">
      <c r="A7896" s="157">
        <v>33690</v>
      </c>
      <c r="B7896" s="158" t="e">
        <f>NA()</f>
        <v>#N/A</v>
      </c>
    </row>
    <row r="7897" spans="1:2" x14ac:dyDescent="0.25">
      <c r="A7897" s="157">
        <v>33693</v>
      </c>
      <c r="B7897" s="158" t="e">
        <f>NA()</f>
        <v>#N/A</v>
      </c>
    </row>
    <row r="7898" spans="1:2" x14ac:dyDescent="0.25">
      <c r="A7898" s="157">
        <v>33694</v>
      </c>
      <c r="B7898" s="158" t="e">
        <f>NA()</f>
        <v>#N/A</v>
      </c>
    </row>
    <row r="7899" spans="1:2" x14ac:dyDescent="0.25">
      <c r="A7899" s="157">
        <v>33695</v>
      </c>
      <c r="B7899" s="158" t="e">
        <f>NA()</f>
        <v>#N/A</v>
      </c>
    </row>
    <row r="7900" spans="1:2" x14ac:dyDescent="0.25">
      <c r="A7900" s="157">
        <v>33696</v>
      </c>
      <c r="B7900" s="158" t="e">
        <f>NA()</f>
        <v>#N/A</v>
      </c>
    </row>
    <row r="7901" spans="1:2" x14ac:dyDescent="0.25">
      <c r="A7901" s="157">
        <v>33697</v>
      </c>
      <c r="B7901" s="158" t="e">
        <f>NA()</f>
        <v>#N/A</v>
      </c>
    </row>
    <row r="7902" spans="1:2" x14ac:dyDescent="0.25">
      <c r="A7902" s="157">
        <v>33700</v>
      </c>
      <c r="B7902" s="158" t="e">
        <f>NA()</f>
        <v>#N/A</v>
      </c>
    </row>
    <row r="7903" spans="1:2" x14ac:dyDescent="0.25">
      <c r="A7903" s="157">
        <v>33701</v>
      </c>
      <c r="B7903" s="158" t="e">
        <f>NA()</f>
        <v>#N/A</v>
      </c>
    </row>
    <row r="7904" spans="1:2" x14ac:dyDescent="0.25">
      <c r="A7904" s="157">
        <v>33702</v>
      </c>
      <c r="B7904" s="158" t="e">
        <f>NA()</f>
        <v>#N/A</v>
      </c>
    </row>
    <row r="7905" spans="1:2" x14ac:dyDescent="0.25">
      <c r="A7905" s="157">
        <v>33703</v>
      </c>
      <c r="B7905" s="158" t="e">
        <f>NA()</f>
        <v>#N/A</v>
      </c>
    </row>
    <row r="7906" spans="1:2" x14ac:dyDescent="0.25">
      <c r="A7906" s="157">
        <v>33704</v>
      </c>
      <c r="B7906" s="158" t="e">
        <f>NA()</f>
        <v>#N/A</v>
      </c>
    </row>
    <row r="7907" spans="1:2" x14ac:dyDescent="0.25">
      <c r="A7907" s="157">
        <v>33707</v>
      </c>
      <c r="B7907" s="158" t="e">
        <f>NA()</f>
        <v>#N/A</v>
      </c>
    </row>
    <row r="7908" spans="1:2" x14ac:dyDescent="0.25">
      <c r="A7908" s="157">
        <v>33708</v>
      </c>
      <c r="B7908" s="158" t="e">
        <f>NA()</f>
        <v>#N/A</v>
      </c>
    </row>
    <row r="7909" spans="1:2" x14ac:dyDescent="0.25">
      <c r="A7909" s="157">
        <v>33709</v>
      </c>
      <c r="B7909" s="158" t="e">
        <f>NA()</f>
        <v>#N/A</v>
      </c>
    </row>
    <row r="7910" spans="1:2" x14ac:dyDescent="0.25">
      <c r="A7910" s="157">
        <v>33710</v>
      </c>
      <c r="B7910" s="158" t="e">
        <f>NA()</f>
        <v>#N/A</v>
      </c>
    </row>
    <row r="7911" spans="1:2" x14ac:dyDescent="0.25">
      <c r="A7911" s="157">
        <v>33711</v>
      </c>
      <c r="B7911" s="158" t="e">
        <f>NA()</f>
        <v>#N/A</v>
      </c>
    </row>
    <row r="7912" spans="1:2" x14ac:dyDescent="0.25">
      <c r="A7912" s="157">
        <v>33714</v>
      </c>
      <c r="B7912" s="158" t="e">
        <f>NA()</f>
        <v>#N/A</v>
      </c>
    </row>
    <row r="7913" spans="1:2" x14ac:dyDescent="0.25">
      <c r="A7913" s="157">
        <v>33715</v>
      </c>
      <c r="B7913" s="158" t="e">
        <f>NA()</f>
        <v>#N/A</v>
      </c>
    </row>
    <row r="7914" spans="1:2" x14ac:dyDescent="0.25">
      <c r="A7914" s="157">
        <v>33716</v>
      </c>
      <c r="B7914" s="158" t="e">
        <f>NA()</f>
        <v>#N/A</v>
      </c>
    </row>
    <row r="7915" spans="1:2" x14ac:dyDescent="0.25">
      <c r="A7915" s="157">
        <v>33717</v>
      </c>
      <c r="B7915" s="158" t="e">
        <f>NA()</f>
        <v>#N/A</v>
      </c>
    </row>
    <row r="7916" spans="1:2" x14ac:dyDescent="0.25">
      <c r="A7916" s="157">
        <v>33718</v>
      </c>
      <c r="B7916" s="158" t="e">
        <f>NA()</f>
        <v>#N/A</v>
      </c>
    </row>
    <row r="7917" spans="1:2" x14ac:dyDescent="0.25">
      <c r="A7917" s="157">
        <v>33721</v>
      </c>
      <c r="B7917" s="158" t="e">
        <f>NA()</f>
        <v>#N/A</v>
      </c>
    </row>
    <row r="7918" spans="1:2" x14ac:dyDescent="0.25">
      <c r="A7918" s="157">
        <v>33722</v>
      </c>
      <c r="B7918" s="158" t="e">
        <f>NA()</f>
        <v>#N/A</v>
      </c>
    </row>
    <row r="7919" spans="1:2" x14ac:dyDescent="0.25">
      <c r="A7919" s="157">
        <v>33723</v>
      </c>
      <c r="B7919" s="158" t="e">
        <f>NA()</f>
        <v>#N/A</v>
      </c>
    </row>
    <row r="7920" spans="1:2" x14ac:dyDescent="0.25">
      <c r="A7920" s="157">
        <v>33724</v>
      </c>
      <c r="B7920" s="158" t="e">
        <f>NA()</f>
        <v>#N/A</v>
      </c>
    </row>
    <row r="7921" spans="1:2" x14ac:dyDescent="0.25">
      <c r="A7921" s="157">
        <v>33725</v>
      </c>
      <c r="B7921" s="158" t="e">
        <f>NA()</f>
        <v>#N/A</v>
      </c>
    </row>
    <row r="7922" spans="1:2" x14ac:dyDescent="0.25">
      <c r="A7922" s="157">
        <v>33728</v>
      </c>
      <c r="B7922" s="158" t="e">
        <f>NA()</f>
        <v>#N/A</v>
      </c>
    </row>
    <row r="7923" spans="1:2" x14ac:dyDescent="0.25">
      <c r="A7923" s="157">
        <v>33729</v>
      </c>
      <c r="B7923" s="158" t="e">
        <f>NA()</f>
        <v>#N/A</v>
      </c>
    </row>
    <row r="7924" spans="1:2" x14ac:dyDescent="0.25">
      <c r="A7924" s="157">
        <v>33730</v>
      </c>
      <c r="B7924" s="158" t="e">
        <f>NA()</f>
        <v>#N/A</v>
      </c>
    </row>
    <row r="7925" spans="1:2" x14ac:dyDescent="0.25">
      <c r="A7925" s="157">
        <v>33731</v>
      </c>
      <c r="B7925" s="158" t="e">
        <f>NA()</f>
        <v>#N/A</v>
      </c>
    </row>
    <row r="7926" spans="1:2" x14ac:dyDescent="0.25">
      <c r="A7926" s="157">
        <v>33732</v>
      </c>
      <c r="B7926" s="158" t="e">
        <f>NA()</f>
        <v>#N/A</v>
      </c>
    </row>
    <row r="7927" spans="1:2" x14ac:dyDescent="0.25">
      <c r="A7927" s="157">
        <v>33735</v>
      </c>
      <c r="B7927" s="158" t="e">
        <f>NA()</f>
        <v>#N/A</v>
      </c>
    </row>
    <row r="7928" spans="1:2" x14ac:dyDescent="0.25">
      <c r="A7928" s="157">
        <v>33736</v>
      </c>
      <c r="B7928" s="158" t="e">
        <f>NA()</f>
        <v>#N/A</v>
      </c>
    </row>
    <row r="7929" spans="1:2" x14ac:dyDescent="0.25">
      <c r="A7929" s="157">
        <v>33737</v>
      </c>
      <c r="B7929" s="158" t="e">
        <f>NA()</f>
        <v>#N/A</v>
      </c>
    </row>
    <row r="7930" spans="1:2" x14ac:dyDescent="0.25">
      <c r="A7930" s="157">
        <v>33738</v>
      </c>
      <c r="B7930" s="158" t="e">
        <f>NA()</f>
        <v>#N/A</v>
      </c>
    </row>
    <row r="7931" spans="1:2" x14ac:dyDescent="0.25">
      <c r="A7931" s="157">
        <v>33739</v>
      </c>
      <c r="B7931" s="158" t="e">
        <f>NA()</f>
        <v>#N/A</v>
      </c>
    </row>
    <row r="7932" spans="1:2" x14ac:dyDescent="0.25">
      <c r="A7932" s="157">
        <v>33742</v>
      </c>
      <c r="B7932" s="158" t="e">
        <f>NA()</f>
        <v>#N/A</v>
      </c>
    </row>
    <row r="7933" spans="1:2" x14ac:dyDescent="0.25">
      <c r="A7933" s="157">
        <v>33743</v>
      </c>
      <c r="B7933" s="158" t="e">
        <f>NA()</f>
        <v>#N/A</v>
      </c>
    </row>
    <row r="7934" spans="1:2" x14ac:dyDescent="0.25">
      <c r="A7934" s="157">
        <v>33744</v>
      </c>
      <c r="B7934" s="158" t="e">
        <f>NA()</f>
        <v>#N/A</v>
      </c>
    </row>
    <row r="7935" spans="1:2" x14ac:dyDescent="0.25">
      <c r="A7935" s="157">
        <v>33745</v>
      </c>
      <c r="B7935" s="158" t="e">
        <f>NA()</f>
        <v>#N/A</v>
      </c>
    </row>
    <row r="7936" spans="1:2" x14ac:dyDescent="0.25">
      <c r="A7936" s="157">
        <v>33746</v>
      </c>
      <c r="B7936" s="158" t="e">
        <f>NA()</f>
        <v>#N/A</v>
      </c>
    </row>
    <row r="7937" spans="1:2" x14ac:dyDescent="0.25">
      <c r="A7937" s="157">
        <v>33749</v>
      </c>
      <c r="B7937" s="158" t="e">
        <f>NA()</f>
        <v>#N/A</v>
      </c>
    </row>
    <row r="7938" spans="1:2" x14ac:dyDescent="0.25">
      <c r="A7938" s="157">
        <v>33750</v>
      </c>
      <c r="B7938" s="158" t="e">
        <f>NA()</f>
        <v>#N/A</v>
      </c>
    </row>
    <row r="7939" spans="1:2" x14ac:dyDescent="0.25">
      <c r="A7939" s="157">
        <v>33751</v>
      </c>
      <c r="B7939" s="158" t="e">
        <f>NA()</f>
        <v>#N/A</v>
      </c>
    </row>
    <row r="7940" spans="1:2" x14ac:dyDescent="0.25">
      <c r="A7940" s="157">
        <v>33752</v>
      </c>
      <c r="B7940" s="158" t="e">
        <f>NA()</f>
        <v>#N/A</v>
      </c>
    </row>
    <row r="7941" spans="1:2" x14ac:dyDescent="0.25">
      <c r="A7941" s="157">
        <v>33753</v>
      </c>
      <c r="B7941" s="158" t="e">
        <f>NA()</f>
        <v>#N/A</v>
      </c>
    </row>
    <row r="7942" spans="1:2" x14ac:dyDescent="0.25">
      <c r="A7942" s="157">
        <v>33756</v>
      </c>
      <c r="B7942" s="158" t="e">
        <f>NA()</f>
        <v>#N/A</v>
      </c>
    </row>
    <row r="7943" spans="1:2" x14ac:dyDescent="0.25">
      <c r="A7943" s="157">
        <v>33757</v>
      </c>
      <c r="B7943" s="158" t="e">
        <f>NA()</f>
        <v>#N/A</v>
      </c>
    </row>
    <row r="7944" spans="1:2" x14ac:dyDescent="0.25">
      <c r="A7944" s="157">
        <v>33758</v>
      </c>
      <c r="B7944" s="158" t="e">
        <f>NA()</f>
        <v>#N/A</v>
      </c>
    </row>
    <row r="7945" spans="1:2" x14ac:dyDescent="0.25">
      <c r="A7945" s="157">
        <v>33759</v>
      </c>
      <c r="B7945" s="158" t="e">
        <f>NA()</f>
        <v>#N/A</v>
      </c>
    </row>
    <row r="7946" spans="1:2" x14ac:dyDescent="0.25">
      <c r="A7946" s="157">
        <v>33760</v>
      </c>
      <c r="B7946" s="158" t="e">
        <f>NA()</f>
        <v>#N/A</v>
      </c>
    </row>
    <row r="7947" spans="1:2" x14ac:dyDescent="0.25">
      <c r="A7947" s="157">
        <v>33763</v>
      </c>
      <c r="B7947" s="158" t="e">
        <f>NA()</f>
        <v>#N/A</v>
      </c>
    </row>
    <row r="7948" spans="1:2" x14ac:dyDescent="0.25">
      <c r="A7948" s="157">
        <v>33764</v>
      </c>
      <c r="B7948" s="158" t="e">
        <f>NA()</f>
        <v>#N/A</v>
      </c>
    </row>
    <row r="7949" spans="1:2" x14ac:dyDescent="0.25">
      <c r="A7949" s="157">
        <v>33765</v>
      </c>
      <c r="B7949" s="158" t="e">
        <f>NA()</f>
        <v>#N/A</v>
      </c>
    </row>
    <row r="7950" spans="1:2" x14ac:dyDescent="0.25">
      <c r="A7950" s="157">
        <v>33766</v>
      </c>
      <c r="B7950" s="158" t="e">
        <f>NA()</f>
        <v>#N/A</v>
      </c>
    </row>
    <row r="7951" spans="1:2" x14ac:dyDescent="0.25">
      <c r="A7951" s="157">
        <v>33767</v>
      </c>
      <c r="B7951" s="158" t="e">
        <f>NA()</f>
        <v>#N/A</v>
      </c>
    </row>
    <row r="7952" spans="1:2" x14ac:dyDescent="0.25">
      <c r="A7952" s="157">
        <v>33770</v>
      </c>
      <c r="B7952" s="158" t="e">
        <f>NA()</f>
        <v>#N/A</v>
      </c>
    </row>
    <row r="7953" spans="1:2" x14ac:dyDescent="0.25">
      <c r="A7953" s="157">
        <v>33771</v>
      </c>
      <c r="B7953" s="158" t="e">
        <f>NA()</f>
        <v>#N/A</v>
      </c>
    </row>
    <row r="7954" spans="1:2" x14ac:dyDescent="0.25">
      <c r="A7954" s="157">
        <v>33772</v>
      </c>
      <c r="B7954" s="158" t="e">
        <f>NA()</f>
        <v>#N/A</v>
      </c>
    </row>
    <row r="7955" spans="1:2" x14ac:dyDescent="0.25">
      <c r="A7955" s="157">
        <v>33773</v>
      </c>
      <c r="B7955" s="158" t="e">
        <f>NA()</f>
        <v>#N/A</v>
      </c>
    </row>
    <row r="7956" spans="1:2" x14ac:dyDescent="0.25">
      <c r="A7956" s="157">
        <v>33774</v>
      </c>
      <c r="B7956" s="158" t="e">
        <f>NA()</f>
        <v>#N/A</v>
      </c>
    </row>
    <row r="7957" spans="1:2" x14ac:dyDescent="0.25">
      <c r="A7957" s="157">
        <v>33777</v>
      </c>
      <c r="B7957" s="158" t="e">
        <f>NA()</f>
        <v>#N/A</v>
      </c>
    </row>
    <row r="7958" spans="1:2" x14ac:dyDescent="0.25">
      <c r="A7958" s="157">
        <v>33778</v>
      </c>
      <c r="B7958" s="158" t="e">
        <f>NA()</f>
        <v>#N/A</v>
      </c>
    </row>
    <row r="7959" spans="1:2" x14ac:dyDescent="0.25">
      <c r="A7959" s="157">
        <v>33779</v>
      </c>
      <c r="B7959" s="158" t="e">
        <f>NA()</f>
        <v>#N/A</v>
      </c>
    </row>
    <row r="7960" spans="1:2" x14ac:dyDescent="0.25">
      <c r="A7960" s="157">
        <v>33780</v>
      </c>
      <c r="B7960" s="158" t="e">
        <f>NA()</f>
        <v>#N/A</v>
      </c>
    </row>
    <row r="7961" spans="1:2" x14ac:dyDescent="0.25">
      <c r="A7961" s="157">
        <v>33781</v>
      </c>
      <c r="B7961" s="158" t="e">
        <f>NA()</f>
        <v>#N/A</v>
      </c>
    </row>
    <row r="7962" spans="1:2" x14ac:dyDescent="0.25">
      <c r="A7962" s="157">
        <v>33784</v>
      </c>
      <c r="B7962" s="158" t="e">
        <f>NA()</f>
        <v>#N/A</v>
      </c>
    </row>
    <row r="7963" spans="1:2" x14ac:dyDescent="0.25">
      <c r="A7963" s="157">
        <v>33785</v>
      </c>
      <c r="B7963" s="158" t="e">
        <f>NA()</f>
        <v>#N/A</v>
      </c>
    </row>
    <row r="7964" spans="1:2" x14ac:dyDescent="0.25">
      <c r="A7964" s="157">
        <v>33786</v>
      </c>
      <c r="B7964" s="158" t="e">
        <f>NA()</f>
        <v>#N/A</v>
      </c>
    </row>
    <row r="7965" spans="1:2" x14ac:dyDescent="0.25">
      <c r="A7965" s="157">
        <v>33787</v>
      </c>
      <c r="B7965" s="158" t="e">
        <f>NA()</f>
        <v>#N/A</v>
      </c>
    </row>
    <row r="7966" spans="1:2" x14ac:dyDescent="0.25">
      <c r="A7966" s="157">
        <v>33788</v>
      </c>
      <c r="B7966" s="158" t="e">
        <f>NA()</f>
        <v>#N/A</v>
      </c>
    </row>
    <row r="7967" spans="1:2" x14ac:dyDescent="0.25">
      <c r="A7967" s="157">
        <v>33791</v>
      </c>
      <c r="B7967" s="158" t="e">
        <f>NA()</f>
        <v>#N/A</v>
      </c>
    </row>
    <row r="7968" spans="1:2" x14ac:dyDescent="0.25">
      <c r="A7968" s="157">
        <v>33792</v>
      </c>
      <c r="B7968" s="158" t="e">
        <f>NA()</f>
        <v>#N/A</v>
      </c>
    </row>
    <row r="7969" spans="1:2" x14ac:dyDescent="0.25">
      <c r="A7969" s="157">
        <v>33793</v>
      </c>
      <c r="B7969" s="158" t="e">
        <f>NA()</f>
        <v>#N/A</v>
      </c>
    </row>
    <row r="7970" spans="1:2" x14ac:dyDescent="0.25">
      <c r="A7970" s="157">
        <v>33794</v>
      </c>
      <c r="B7970" s="158" t="e">
        <f>NA()</f>
        <v>#N/A</v>
      </c>
    </row>
    <row r="7971" spans="1:2" x14ac:dyDescent="0.25">
      <c r="A7971" s="157">
        <v>33795</v>
      </c>
      <c r="B7971" s="158" t="e">
        <f>NA()</f>
        <v>#N/A</v>
      </c>
    </row>
    <row r="7972" spans="1:2" x14ac:dyDescent="0.25">
      <c r="A7972" s="157">
        <v>33798</v>
      </c>
      <c r="B7972" s="158" t="e">
        <f>NA()</f>
        <v>#N/A</v>
      </c>
    </row>
    <row r="7973" spans="1:2" x14ac:dyDescent="0.25">
      <c r="A7973" s="157">
        <v>33799</v>
      </c>
      <c r="B7973" s="158" t="e">
        <f>NA()</f>
        <v>#N/A</v>
      </c>
    </row>
    <row r="7974" spans="1:2" x14ac:dyDescent="0.25">
      <c r="A7974" s="157">
        <v>33800</v>
      </c>
      <c r="B7974" s="158" t="e">
        <f>NA()</f>
        <v>#N/A</v>
      </c>
    </row>
    <row r="7975" spans="1:2" x14ac:dyDescent="0.25">
      <c r="A7975" s="157">
        <v>33801</v>
      </c>
      <c r="B7975" s="158" t="e">
        <f>NA()</f>
        <v>#N/A</v>
      </c>
    </row>
    <row r="7976" spans="1:2" x14ac:dyDescent="0.25">
      <c r="A7976" s="157">
        <v>33802</v>
      </c>
      <c r="B7976" s="158" t="e">
        <f>NA()</f>
        <v>#N/A</v>
      </c>
    </row>
    <row r="7977" spans="1:2" x14ac:dyDescent="0.25">
      <c r="A7977" s="157">
        <v>33805</v>
      </c>
      <c r="B7977" s="158" t="e">
        <f>NA()</f>
        <v>#N/A</v>
      </c>
    </row>
    <row r="7978" spans="1:2" x14ac:dyDescent="0.25">
      <c r="A7978" s="157">
        <v>33806</v>
      </c>
      <c r="B7978" s="158" t="e">
        <f>NA()</f>
        <v>#N/A</v>
      </c>
    </row>
    <row r="7979" spans="1:2" x14ac:dyDescent="0.25">
      <c r="A7979" s="157">
        <v>33807</v>
      </c>
      <c r="B7979" s="158" t="e">
        <f>NA()</f>
        <v>#N/A</v>
      </c>
    </row>
    <row r="7980" spans="1:2" x14ac:dyDescent="0.25">
      <c r="A7980" s="157">
        <v>33808</v>
      </c>
      <c r="B7980" s="158" t="e">
        <f>NA()</f>
        <v>#N/A</v>
      </c>
    </row>
    <row r="7981" spans="1:2" x14ac:dyDescent="0.25">
      <c r="A7981" s="157">
        <v>33809</v>
      </c>
      <c r="B7981" s="158" t="e">
        <f>NA()</f>
        <v>#N/A</v>
      </c>
    </row>
    <row r="7982" spans="1:2" x14ac:dyDescent="0.25">
      <c r="A7982" s="157">
        <v>33812</v>
      </c>
      <c r="B7982" s="158" t="e">
        <f>NA()</f>
        <v>#N/A</v>
      </c>
    </row>
    <row r="7983" spans="1:2" x14ac:dyDescent="0.25">
      <c r="A7983" s="157">
        <v>33813</v>
      </c>
      <c r="B7983" s="158" t="e">
        <f>NA()</f>
        <v>#N/A</v>
      </c>
    </row>
    <row r="7984" spans="1:2" x14ac:dyDescent="0.25">
      <c r="A7984" s="157">
        <v>33814</v>
      </c>
      <c r="B7984" s="158" t="e">
        <f>NA()</f>
        <v>#N/A</v>
      </c>
    </row>
    <row r="7985" spans="1:2" x14ac:dyDescent="0.25">
      <c r="A7985" s="157">
        <v>33815</v>
      </c>
      <c r="B7985" s="158" t="e">
        <f>NA()</f>
        <v>#N/A</v>
      </c>
    </row>
    <row r="7986" spans="1:2" x14ac:dyDescent="0.25">
      <c r="A7986" s="157">
        <v>33816</v>
      </c>
      <c r="B7986" s="158" t="e">
        <f>NA()</f>
        <v>#N/A</v>
      </c>
    </row>
    <row r="7987" spans="1:2" x14ac:dyDescent="0.25">
      <c r="A7987" s="157">
        <v>33819</v>
      </c>
      <c r="B7987" s="158" t="e">
        <f>NA()</f>
        <v>#N/A</v>
      </c>
    </row>
    <row r="7988" spans="1:2" x14ac:dyDescent="0.25">
      <c r="A7988" s="157">
        <v>33820</v>
      </c>
      <c r="B7988" s="158" t="e">
        <f>NA()</f>
        <v>#N/A</v>
      </c>
    </row>
    <row r="7989" spans="1:2" x14ac:dyDescent="0.25">
      <c r="A7989" s="157">
        <v>33821</v>
      </c>
      <c r="B7989" s="158" t="e">
        <f>NA()</f>
        <v>#N/A</v>
      </c>
    </row>
    <row r="7990" spans="1:2" x14ac:dyDescent="0.25">
      <c r="A7990" s="157">
        <v>33822</v>
      </c>
      <c r="B7990" s="158" t="e">
        <f>NA()</f>
        <v>#N/A</v>
      </c>
    </row>
    <row r="7991" spans="1:2" x14ac:dyDescent="0.25">
      <c r="A7991" s="157">
        <v>33823</v>
      </c>
      <c r="B7991" s="158" t="e">
        <f>NA()</f>
        <v>#N/A</v>
      </c>
    </row>
    <row r="7992" spans="1:2" x14ac:dyDescent="0.25">
      <c r="A7992" s="157">
        <v>33826</v>
      </c>
      <c r="B7992" s="158" t="e">
        <f>NA()</f>
        <v>#N/A</v>
      </c>
    </row>
    <row r="7993" spans="1:2" x14ac:dyDescent="0.25">
      <c r="A7993" s="157">
        <v>33827</v>
      </c>
      <c r="B7993" s="158" t="e">
        <f>NA()</f>
        <v>#N/A</v>
      </c>
    </row>
    <row r="7994" spans="1:2" x14ac:dyDescent="0.25">
      <c r="A7994" s="157">
        <v>33828</v>
      </c>
      <c r="B7994" s="158" t="e">
        <f>NA()</f>
        <v>#N/A</v>
      </c>
    </row>
    <row r="7995" spans="1:2" x14ac:dyDescent="0.25">
      <c r="A7995" s="157">
        <v>33829</v>
      </c>
      <c r="B7995" s="158" t="e">
        <f>NA()</f>
        <v>#N/A</v>
      </c>
    </row>
    <row r="7996" spans="1:2" x14ac:dyDescent="0.25">
      <c r="A7996" s="157">
        <v>33830</v>
      </c>
      <c r="B7996" s="158" t="e">
        <f>NA()</f>
        <v>#N/A</v>
      </c>
    </row>
    <row r="7997" spans="1:2" x14ac:dyDescent="0.25">
      <c r="A7997" s="157">
        <v>33833</v>
      </c>
      <c r="B7997" s="158" t="e">
        <f>NA()</f>
        <v>#N/A</v>
      </c>
    </row>
    <row r="7998" spans="1:2" x14ac:dyDescent="0.25">
      <c r="A7998" s="157">
        <v>33834</v>
      </c>
      <c r="B7998" s="158" t="e">
        <f>NA()</f>
        <v>#N/A</v>
      </c>
    </row>
    <row r="7999" spans="1:2" x14ac:dyDescent="0.25">
      <c r="A7999" s="157">
        <v>33835</v>
      </c>
      <c r="B7999" s="158" t="e">
        <f>NA()</f>
        <v>#N/A</v>
      </c>
    </row>
    <row r="8000" spans="1:2" x14ac:dyDescent="0.25">
      <c r="A8000" s="157">
        <v>33836</v>
      </c>
      <c r="B8000" s="158" t="e">
        <f>NA()</f>
        <v>#N/A</v>
      </c>
    </row>
    <row r="8001" spans="1:2" x14ac:dyDescent="0.25">
      <c r="A8001" s="157">
        <v>33837</v>
      </c>
      <c r="B8001" s="158" t="e">
        <f>NA()</f>
        <v>#N/A</v>
      </c>
    </row>
    <row r="8002" spans="1:2" x14ac:dyDescent="0.25">
      <c r="A8002" s="157">
        <v>33840</v>
      </c>
      <c r="B8002" s="158" t="e">
        <f>NA()</f>
        <v>#N/A</v>
      </c>
    </row>
    <row r="8003" spans="1:2" x14ac:dyDescent="0.25">
      <c r="A8003" s="157">
        <v>33841</v>
      </c>
      <c r="B8003" s="158" t="e">
        <f>NA()</f>
        <v>#N/A</v>
      </c>
    </row>
    <row r="8004" spans="1:2" x14ac:dyDescent="0.25">
      <c r="A8004" s="157">
        <v>33842</v>
      </c>
      <c r="B8004" s="158" t="e">
        <f>NA()</f>
        <v>#N/A</v>
      </c>
    </row>
    <row r="8005" spans="1:2" x14ac:dyDescent="0.25">
      <c r="A8005" s="157">
        <v>33843</v>
      </c>
      <c r="B8005" s="158" t="e">
        <f>NA()</f>
        <v>#N/A</v>
      </c>
    </row>
    <row r="8006" spans="1:2" x14ac:dyDescent="0.25">
      <c r="A8006" s="157">
        <v>33844</v>
      </c>
      <c r="B8006" s="158" t="e">
        <f>NA()</f>
        <v>#N/A</v>
      </c>
    </row>
    <row r="8007" spans="1:2" x14ac:dyDescent="0.25">
      <c r="A8007" s="157">
        <v>33847</v>
      </c>
      <c r="B8007" s="158" t="e">
        <f>NA()</f>
        <v>#N/A</v>
      </c>
    </row>
    <row r="8008" spans="1:2" x14ac:dyDescent="0.25">
      <c r="A8008" s="157">
        <v>33848</v>
      </c>
      <c r="B8008" s="158" t="e">
        <f>NA()</f>
        <v>#N/A</v>
      </c>
    </row>
    <row r="8009" spans="1:2" x14ac:dyDescent="0.25">
      <c r="A8009" s="157">
        <v>33849</v>
      </c>
      <c r="B8009" s="158" t="e">
        <f>NA()</f>
        <v>#N/A</v>
      </c>
    </row>
    <row r="8010" spans="1:2" x14ac:dyDescent="0.25">
      <c r="A8010" s="157">
        <v>33850</v>
      </c>
      <c r="B8010" s="158" t="e">
        <f>NA()</f>
        <v>#N/A</v>
      </c>
    </row>
    <row r="8011" spans="1:2" x14ac:dyDescent="0.25">
      <c r="A8011" s="157">
        <v>33851</v>
      </c>
      <c r="B8011" s="158" t="e">
        <f>NA()</f>
        <v>#N/A</v>
      </c>
    </row>
    <row r="8012" spans="1:2" x14ac:dyDescent="0.25">
      <c r="A8012" s="157">
        <v>33854</v>
      </c>
      <c r="B8012" s="158" t="e">
        <f>NA()</f>
        <v>#N/A</v>
      </c>
    </row>
    <row r="8013" spans="1:2" x14ac:dyDescent="0.25">
      <c r="A8013" s="157">
        <v>33855</v>
      </c>
      <c r="B8013" s="158" t="e">
        <f>NA()</f>
        <v>#N/A</v>
      </c>
    </row>
    <row r="8014" spans="1:2" x14ac:dyDescent="0.25">
      <c r="A8014" s="157">
        <v>33856</v>
      </c>
      <c r="B8014" s="158" t="e">
        <f>NA()</f>
        <v>#N/A</v>
      </c>
    </row>
    <row r="8015" spans="1:2" x14ac:dyDescent="0.25">
      <c r="A8015" s="157">
        <v>33857</v>
      </c>
      <c r="B8015" s="158" t="e">
        <f>NA()</f>
        <v>#N/A</v>
      </c>
    </row>
    <row r="8016" spans="1:2" x14ac:dyDescent="0.25">
      <c r="A8016" s="157">
        <v>33858</v>
      </c>
      <c r="B8016" s="158" t="e">
        <f>NA()</f>
        <v>#N/A</v>
      </c>
    </row>
    <row r="8017" spans="1:2" x14ac:dyDescent="0.25">
      <c r="A8017" s="157">
        <v>33861</v>
      </c>
      <c r="B8017" s="158" t="e">
        <f>NA()</f>
        <v>#N/A</v>
      </c>
    </row>
    <row r="8018" spans="1:2" x14ac:dyDescent="0.25">
      <c r="A8018" s="157">
        <v>33862</v>
      </c>
      <c r="B8018" s="158" t="e">
        <f>NA()</f>
        <v>#N/A</v>
      </c>
    </row>
    <row r="8019" spans="1:2" x14ac:dyDescent="0.25">
      <c r="A8019" s="157">
        <v>33863</v>
      </c>
      <c r="B8019" s="158" t="e">
        <f>NA()</f>
        <v>#N/A</v>
      </c>
    </row>
    <row r="8020" spans="1:2" x14ac:dyDescent="0.25">
      <c r="A8020" s="157">
        <v>33864</v>
      </c>
      <c r="B8020" s="158" t="e">
        <f>NA()</f>
        <v>#N/A</v>
      </c>
    </row>
    <row r="8021" spans="1:2" x14ac:dyDescent="0.25">
      <c r="A8021" s="157">
        <v>33865</v>
      </c>
      <c r="B8021" s="158" t="e">
        <f>NA()</f>
        <v>#N/A</v>
      </c>
    </row>
    <row r="8022" spans="1:2" x14ac:dyDescent="0.25">
      <c r="A8022" s="157">
        <v>33868</v>
      </c>
      <c r="B8022" s="158" t="e">
        <f>NA()</f>
        <v>#N/A</v>
      </c>
    </row>
    <row r="8023" spans="1:2" x14ac:dyDescent="0.25">
      <c r="A8023" s="157">
        <v>33869</v>
      </c>
      <c r="B8023" s="158" t="e">
        <f>NA()</f>
        <v>#N/A</v>
      </c>
    </row>
    <row r="8024" spans="1:2" x14ac:dyDescent="0.25">
      <c r="A8024" s="157">
        <v>33870</v>
      </c>
      <c r="B8024" s="158" t="e">
        <f>NA()</f>
        <v>#N/A</v>
      </c>
    </row>
    <row r="8025" spans="1:2" x14ac:dyDescent="0.25">
      <c r="A8025" s="157">
        <v>33871</v>
      </c>
      <c r="B8025" s="158" t="e">
        <f>NA()</f>
        <v>#N/A</v>
      </c>
    </row>
    <row r="8026" spans="1:2" x14ac:dyDescent="0.25">
      <c r="A8026" s="157">
        <v>33872</v>
      </c>
      <c r="B8026" s="158" t="e">
        <f>NA()</f>
        <v>#N/A</v>
      </c>
    </row>
    <row r="8027" spans="1:2" x14ac:dyDescent="0.25">
      <c r="A8027" s="157">
        <v>33875</v>
      </c>
      <c r="B8027" s="158" t="e">
        <f>NA()</f>
        <v>#N/A</v>
      </c>
    </row>
    <row r="8028" spans="1:2" x14ac:dyDescent="0.25">
      <c r="A8028" s="157">
        <v>33876</v>
      </c>
      <c r="B8028" s="158" t="e">
        <f>NA()</f>
        <v>#N/A</v>
      </c>
    </row>
    <row r="8029" spans="1:2" x14ac:dyDescent="0.25">
      <c r="A8029" s="157">
        <v>33877</v>
      </c>
      <c r="B8029" s="158" t="e">
        <f>NA()</f>
        <v>#N/A</v>
      </c>
    </row>
    <row r="8030" spans="1:2" x14ac:dyDescent="0.25">
      <c r="A8030" s="157">
        <v>33878</v>
      </c>
      <c r="B8030" s="158" t="e">
        <f>NA()</f>
        <v>#N/A</v>
      </c>
    </row>
    <row r="8031" spans="1:2" x14ac:dyDescent="0.25">
      <c r="A8031" s="157">
        <v>33879</v>
      </c>
      <c r="B8031" s="158" t="e">
        <f>NA()</f>
        <v>#N/A</v>
      </c>
    </row>
    <row r="8032" spans="1:2" x14ac:dyDescent="0.25">
      <c r="A8032" s="157">
        <v>33882</v>
      </c>
      <c r="B8032" s="158" t="e">
        <f>NA()</f>
        <v>#N/A</v>
      </c>
    </row>
    <row r="8033" spans="1:2" x14ac:dyDescent="0.25">
      <c r="A8033" s="157">
        <v>33883</v>
      </c>
      <c r="B8033" s="158" t="e">
        <f>NA()</f>
        <v>#N/A</v>
      </c>
    </row>
    <row r="8034" spans="1:2" x14ac:dyDescent="0.25">
      <c r="A8034" s="157">
        <v>33884</v>
      </c>
      <c r="B8034" s="158" t="e">
        <f>NA()</f>
        <v>#N/A</v>
      </c>
    </row>
    <row r="8035" spans="1:2" x14ac:dyDescent="0.25">
      <c r="A8035" s="157">
        <v>33885</v>
      </c>
      <c r="B8035" s="158" t="e">
        <f>NA()</f>
        <v>#N/A</v>
      </c>
    </row>
    <row r="8036" spans="1:2" x14ac:dyDescent="0.25">
      <c r="A8036" s="157">
        <v>33886</v>
      </c>
      <c r="B8036" s="158" t="e">
        <f>NA()</f>
        <v>#N/A</v>
      </c>
    </row>
    <row r="8037" spans="1:2" x14ac:dyDescent="0.25">
      <c r="A8037" s="157">
        <v>33889</v>
      </c>
      <c r="B8037" s="158" t="e">
        <f>NA()</f>
        <v>#N/A</v>
      </c>
    </row>
    <row r="8038" spans="1:2" x14ac:dyDescent="0.25">
      <c r="A8038" s="157">
        <v>33890</v>
      </c>
      <c r="B8038" s="158" t="e">
        <f>NA()</f>
        <v>#N/A</v>
      </c>
    </row>
    <row r="8039" spans="1:2" x14ac:dyDescent="0.25">
      <c r="A8039" s="157">
        <v>33891</v>
      </c>
      <c r="B8039" s="158" t="e">
        <f>NA()</f>
        <v>#N/A</v>
      </c>
    </row>
    <row r="8040" spans="1:2" x14ac:dyDescent="0.25">
      <c r="A8040" s="157">
        <v>33892</v>
      </c>
      <c r="B8040" s="158" t="e">
        <f>NA()</f>
        <v>#N/A</v>
      </c>
    </row>
    <row r="8041" spans="1:2" x14ac:dyDescent="0.25">
      <c r="A8041" s="157">
        <v>33893</v>
      </c>
      <c r="B8041" s="158" t="e">
        <f>NA()</f>
        <v>#N/A</v>
      </c>
    </row>
    <row r="8042" spans="1:2" x14ac:dyDescent="0.25">
      <c r="A8042" s="157">
        <v>33896</v>
      </c>
      <c r="B8042" s="158" t="e">
        <f>NA()</f>
        <v>#N/A</v>
      </c>
    </row>
    <row r="8043" spans="1:2" x14ac:dyDescent="0.25">
      <c r="A8043" s="157">
        <v>33897</v>
      </c>
      <c r="B8043" s="158" t="e">
        <f>NA()</f>
        <v>#N/A</v>
      </c>
    </row>
    <row r="8044" spans="1:2" x14ac:dyDescent="0.25">
      <c r="A8044" s="157">
        <v>33898</v>
      </c>
      <c r="B8044" s="158" t="e">
        <f>NA()</f>
        <v>#N/A</v>
      </c>
    </row>
    <row r="8045" spans="1:2" x14ac:dyDescent="0.25">
      <c r="A8045" s="157">
        <v>33899</v>
      </c>
      <c r="B8045" s="158" t="e">
        <f>NA()</f>
        <v>#N/A</v>
      </c>
    </row>
    <row r="8046" spans="1:2" x14ac:dyDescent="0.25">
      <c r="A8046" s="157">
        <v>33900</v>
      </c>
      <c r="B8046" s="158" t="e">
        <f>NA()</f>
        <v>#N/A</v>
      </c>
    </row>
    <row r="8047" spans="1:2" x14ac:dyDescent="0.25">
      <c r="A8047" s="157">
        <v>33903</v>
      </c>
      <c r="B8047" s="158" t="e">
        <f>NA()</f>
        <v>#N/A</v>
      </c>
    </row>
    <row r="8048" spans="1:2" x14ac:dyDescent="0.25">
      <c r="A8048" s="157">
        <v>33904</v>
      </c>
      <c r="B8048" s="158" t="e">
        <f>NA()</f>
        <v>#N/A</v>
      </c>
    </row>
    <row r="8049" spans="1:2" x14ac:dyDescent="0.25">
      <c r="A8049" s="157">
        <v>33905</v>
      </c>
      <c r="B8049" s="158" t="e">
        <f>NA()</f>
        <v>#N/A</v>
      </c>
    </row>
    <row r="8050" spans="1:2" x14ac:dyDescent="0.25">
      <c r="A8050" s="157">
        <v>33906</v>
      </c>
      <c r="B8050" s="158" t="e">
        <f>NA()</f>
        <v>#N/A</v>
      </c>
    </row>
    <row r="8051" spans="1:2" x14ac:dyDescent="0.25">
      <c r="A8051" s="157">
        <v>33907</v>
      </c>
      <c r="B8051" s="158" t="e">
        <f>NA()</f>
        <v>#N/A</v>
      </c>
    </row>
    <row r="8052" spans="1:2" x14ac:dyDescent="0.25">
      <c r="A8052" s="157">
        <v>33910</v>
      </c>
      <c r="B8052" s="158" t="e">
        <f>NA()</f>
        <v>#N/A</v>
      </c>
    </row>
    <row r="8053" spans="1:2" x14ac:dyDescent="0.25">
      <c r="A8053" s="157">
        <v>33911</v>
      </c>
      <c r="B8053" s="158" t="e">
        <f>NA()</f>
        <v>#N/A</v>
      </c>
    </row>
    <row r="8054" spans="1:2" x14ac:dyDescent="0.25">
      <c r="A8054" s="157">
        <v>33912</v>
      </c>
      <c r="B8054" s="158" t="e">
        <f>NA()</f>
        <v>#N/A</v>
      </c>
    </row>
    <row r="8055" spans="1:2" x14ac:dyDescent="0.25">
      <c r="A8055" s="157">
        <v>33913</v>
      </c>
      <c r="B8055" s="158" t="e">
        <f>NA()</f>
        <v>#N/A</v>
      </c>
    </row>
    <row r="8056" spans="1:2" x14ac:dyDescent="0.25">
      <c r="A8056" s="157">
        <v>33914</v>
      </c>
      <c r="B8056" s="158" t="e">
        <f>NA()</f>
        <v>#N/A</v>
      </c>
    </row>
    <row r="8057" spans="1:2" x14ac:dyDescent="0.25">
      <c r="A8057" s="157">
        <v>33917</v>
      </c>
      <c r="B8057" s="158" t="e">
        <f>NA()</f>
        <v>#N/A</v>
      </c>
    </row>
    <row r="8058" spans="1:2" x14ac:dyDescent="0.25">
      <c r="A8058" s="157">
        <v>33918</v>
      </c>
      <c r="B8058" s="158" t="e">
        <f>NA()</f>
        <v>#N/A</v>
      </c>
    </row>
    <row r="8059" spans="1:2" x14ac:dyDescent="0.25">
      <c r="A8059" s="157">
        <v>33919</v>
      </c>
      <c r="B8059" s="158" t="e">
        <f>NA()</f>
        <v>#N/A</v>
      </c>
    </row>
    <row r="8060" spans="1:2" x14ac:dyDescent="0.25">
      <c r="A8060" s="157">
        <v>33920</v>
      </c>
      <c r="B8060" s="158" t="e">
        <f>NA()</f>
        <v>#N/A</v>
      </c>
    </row>
    <row r="8061" spans="1:2" x14ac:dyDescent="0.25">
      <c r="A8061" s="157">
        <v>33921</v>
      </c>
      <c r="B8061" s="158" t="e">
        <f>NA()</f>
        <v>#N/A</v>
      </c>
    </row>
    <row r="8062" spans="1:2" x14ac:dyDescent="0.25">
      <c r="A8062" s="157">
        <v>33924</v>
      </c>
      <c r="B8062" s="158" t="e">
        <f>NA()</f>
        <v>#N/A</v>
      </c>
    </row>
    <row r="8063" spans="1:2" x14ac:dyDescent="0.25">
      <c r="A8063" s="157">
        <v>33925</v>
      </c>
      <c r="B8063" s="158" t="e">
        <f>NA()</f>
        <v>#N/A</v>
      </c>
    </row>
    <row r="8064" spans="1:2" x14ac:dyDescent="0.25">
      <c r="A8064" s="157">
        <v>33926</v>
      </c>
      <c r="B8064" s="158" t="e">
        <f>NA()</f>
        <v>#N/A</v>
      </c>
    </row>
    <row r="8065" spans="1:2" x14ac:dyDescent="0.25">
      <c r="A8065" s="157">
        <v>33927</v>
      </c>
      <c r="B8065" s="158" t="e">
        <f>NA()</f>
        <v>#N/A</v>
      </c>
    </row>
    <row r="8066" spans="1:2" x14ac:dyDescent="0.25">
      <c r="A8066" s="157">
        <v>33928</v>
      </c>
      <c r="B8066" s="158" t="e">
        <f>NA()</f>
        <v>#N/A</v>
      </c>
    </row>
    <row r="8067" spans="1:2" x14ac:dyDescent="0.25">
      <c r="A8067" s="157">
        <v>33931</v>
      </c>
      <c r="B8067" s="158" t="e">
        <f>NA()</f>
        <v>#N/A</v>
      </c>
    </row>
    <row r="8068" spans="1:2" x14ac:dyDescent="0.25">
      <c r="A8068" s="157">
        <v>33932</v>
      </c>
      <c r="B8068" s="158" t="e">
        <f>NA()</f>
        <v>#N/A</v>
      </c>
    </row>
    <row r="8069" spans="1:2" x14ac:dyDescent="0.25">
      <c r="A8069" s="157">
        <v>33933</v>
      </c>
      <c r="B8069" s="158" t="e">
        <f>NA()</f>
        <v>#N/A</v>
      </c>
    </row>
    <row r="8070" spans="1:2" x14ac:dyDescent="0.25">
      <c r="A8070" s="157">
        <v>33934</v>
      </c>
      <c r="B8070" s="158" t="e">
        <f>NA()</f>
        <v>#N/A</v>
      </c>
    </row>
    <row r="8071" spans="1:2" x14ac:dyDescent="0.25">
      <c r="A8071" s="157">
        <v>33935</v>
      </c>
      <c r="B8071" s="158" t="e">
        <f>NA()</f>
        <v>#N/A</v>
      </c>
    </row>
    <row r="8072" spans="1:2" x14ac:dyDescent="0.25">
      <c r="A8072" s="157">
        <v>33938</v>
      </c>
      <c r="B8072" s="158" t="e">
        <f>NA()</f>
        <v>#N/A</v>
      </c>
    </row>
    <row r="8073" spans="1:2" x14ac:dyDescent="0.25">
      <c r="A8073" s="157">
        <v>33939</v>
      </c>
      <c r="B8073" s="158" t="e">
        <f>NA()</f>
        <v>#N/A</v>
      </c>
    </row>
    <row r="8074" spans="1:2" x14ac:dyDescent="0.25">
      <c r="A8074" s="157">
        <v>33940</v>
      </c>
      <c r="B8074" s="158" t="e">
        <f>NA()</f>
        <v>#N/A</v>
      </c>
    </row>
    <row r="8075" spans="1:2" x14ac:dyDescent="0.25">
      <c r="A8075" s="157">
        <v>33941</v>
      </c>
      <c r="B8075" s="158" t="e">
        <f>NA()</f>
        <v>#N/A</v>
      </c>
    </row>
    <row r="8076" spans="1:2" x14ac:dyDescent="0.25">
      <c r="A8076" s="157">
        <v>33942</v>
      </c>
      <c r="B8076" s="158" t="e">
        <f>NA()</f>
        <v>#N/A</v>
      </c>
    </row>
    <row r="8077" spans="1:2" x14ac:dyDescent="0.25">
      <c r="A8077" s="157">
        <v>33945</v>
      </c>
      <c r="B8077" s="158" t="e">
        <f>NA()</f>
        <v>#N/A</v>
      </c>
    </row>
    <row r="8078" spans="1:2" x14ac:dyDescent="0.25">
      <c r="A8078" s="157">
        <v>33946</v>
      </c>
      <c r="B8078" s="158" t="e">
        <f>NA()</f>
        <v>#N/A</v>
      </c>
    </row>
    <row r="8079" spans="1:2" x14ac:dyDescent="0.25">
      <c r="A8079" s="157">
        <v>33947</v>
      </c>
      <c r="B8079" s="158" t="e">
        <f>NA()</f>
        <v>#N/A</v>
      </c>
    </row>
    <row r="8080" spans="1:2" x14ac:dyDescent="0.25">
      <c r="A8080" s="157">
        <v>33948</v>
      </c>
      <c r="B8080" s="158" t="e">
        <f>NA()</f>
        <v>#N/A</v>
      </c>
    </row>
    <row r="8081" spans="1:2" x14ac:dyDescent="0.25">
      <c r="A8081" s="157">
        <v>33949</v>
      </c>
      <c r="B8081" s="158" t="e">
        <f>NA()</f>
        <v>#N/A</v>
      </c>
    </row>
    <row r="8082" spans="1:2" x14ac:dyDescent="0.25">
      <c r="A8082" s="157">
        <v>33952</v>
      </c>
      <c r="B8082" s="158" t="e">
        <f>NA()</f>
        <v>#N/A</v>
      </c>
    </row>
    <row r="8083" spans="1:2" x14ac:dyDescent="0.25">
      <c r="A8083" s="157">
        <v>33953</v>
      </c>
      <c r="B8083" s="158" t="e">
        <f>NA()</f>
        <v>#N/A</v>
      </c>
    </row>
    <row r="8084" spans="1:2" x14ac:dyDescent="0.25">
      <c r="A8084" s="157">
        <v>33954</v>
      </c>
      <c r="B8084" s="158" t="e">
        <f>NA()</f>
        <v>#N/A</v>
      </c>
    </row>
    <row r="8085" spans="1:2" x14ac:dyDescent="0.25">
      <c r="A8085" s="157">
        <v>33955</v>
      </c>
      <c r="B8085" s="158" t="e">
        <f>NA()</f>
        <v>#N/A</v>
      </c>
    </row>
    <row r="8086" spans="1:2" x14ac:dyDescent="0.25">
      <c r="A8086" s="157">
        <v>33956</v>
      </c>
      <c r="B8086" s="158" t="e">
        <f>NA()</f>
        <v>#N/A</v>
      </c>
    </row>
    <row r="8087" spans="1:2" x14ac:dyDescent="0.25">
      <c r="A8087" s="157">
        <v>33959</v>
      </c>
      <c r="B8087" s="158" t="e">
        <f>NA()</f>
        <v>#N/A</v>
      </c>
    </row>
    <row r="8088" spans="1:2" x14ac:dyDescent="0.25">
      <c r="A8088" s="157">
        <v>33960</v>
      </c>
      <c r="B8088" s="158" t="e">
        <f>NA()</f>
        <v>#N/A</v>
      </c>
    </row>
    <row r="8089" spans="1:2" x14ac:dyDescent="0.25">
      <c r="A8089" s="157">
        <v>33961</v>
      </c>
      <c r="B8089" s="158" t="e">
        <f>NA()</f>
        <v>#N/A</v>
      </c>
    </row>
    <row r="8090" spans="1:2" x14ac:dyDescent="0.25">
      <c r="A8090" s="157">
        <v>33962</v>
      </c>
      <c r="B8090" s="158" t="e">
        <f>NA()</f>
        <v>#N/A</v>
      </c>
    </row>
    <row r="8091" spans="1:2" x14ac:dyDescent="0.25">
      <c r="A8091" s="157">
        <v>33963</v>
      </c>
      <c r="B8091" s="158" t="e">
        <f>NA()</f>
        <v>#N/A</v>
      </c>
    </row>
    <row r="8092" spans="1:2" x14ac:dyDescent="0.25">
      <c r="A8092" s="157">
        <v>33966</v>
      </c>
      <c r="B8092" s="158" t="e">
        <f>NA()</f>
        <v>#N/A</v>
      </c>
    </row>
    <row r="8093" spans="1:2" x14ac:dyDescent="0.25">
      <c r="A8093" s="157">
        <v>33967</v>
      </c>
      <c r="B8093" s="158" t="e">
        <f>NA()</f>
        <v>#N/A</v>
      </c>
    </row>
    <row r="8094" spans="1:2" x14ac:dyDescent="0.25">
      <c r="A8094" s="157">
        <v>33968</v>
      </c>
      <c r="B8094" s="158" t="e">
        <f>NA()</f>
        <v>#N/A</v>
      </c>
    </row>
    <row r="8095" spans="1:2" x14ac:dyDescent="0.25">
      <c r="A8095" s="157">
        <v>33969</v>
      </c>
      <c r="B8095" s="158" t="e">
        <f>NA()</f>
        <v>#N/A</v>
      </c>
    </row>
    <row r="8096" spans="1:2" x14ac:dyDescent="0.25">
      <c r="A8096" s="157">
        <v>33970</v>
      </c>
      <c r="B8096" s="158" t="e">
        <f>NA()</f>
        <v>#N/A</v>
      </c>
    </row>
    <row r="8097" spans="1:2" x14ac:dyDescent="0.25">
      <c r="A8097" s="157">
        <v>33973</v>
      </c>
      <c r="B8097" s="158" t="e">
        <f>NA()</f>
        <v>#N/A</v>
      </c>
    </row>
    <row r="8098" spans="1:2" x14ac:dyDescent="0.25">
      <c r="A8098" s="157">
        <v>33974</v>
      </c>
      <c r="B8098" s="158" t="e">
        <f>NA()</f>
        <v>#N/A</v>
      </c>
    </row>
    <row r="8099" spans="1:2" x14ac:dyDescent="0.25">
      <c r="A8099" s="157">
        <v>33975</v>
      </c>
      <c r="B8099" s="158" t="e">
        <f>NA()</f>
        <v>#N/A</v>
      </c>
    </row>
    <row r="8100" spans="1:2" x14ac:dyDescent="0.25">
      <c r="A8100" s="157">
        <v>33976</v>
      </c>
      <c r="B8100" s="158" t="e">
        <f>NA()</f>
        <v>#N/A</v>
      </c>
    </row>
    <row r="8101" spans="1:2" x14ac:dyDescent="0.25">
      <c r="A8101" s="157">
        <v>33977</v>
      </c>
      <c r="B8101" s="158" t="e">
        <f>NA()</f>
        <v>#N/A</v>
      </c>
    </row>
    <row r="8102" spans="1:2" x14ac:dyDescent="0.25">
      <c r="A8102" s="157">
        <v>33980</v>
      </c>
      <c r="B8102" s="158" t="e">
        <f>NA()</f>
        <v>#N/A</v>
      </c>
    </row>
    <row r="8103" spans="1:2" x14ac:dyDescent="0.25">
      <c r="A8103" s="157">
        <v>33981</v>
      </c>
      <c r="B8103" s="158" t="e">
        <f>NA()</f>
        <v>#N/A</v>
      </c>
    </row>
    <row r="8104" spans="1:2" x14ac:dyDescent="0.25">
      <c r="A8104" s="157">
        <v>33982</v>
      </c>
      <c r="B8104" s="158" t="e">
        <f>NA()</f>
        <v>#N/A</v>
      </c>
    </row>
    <row r="8105" spans="1:2" x14ac:dyDescent="0.25">
      <c r="A8105" s="157">
        <v>33983</v>
      </c>
      <c r="B8105" s="158" t="e">
        <f>NA()</f>
        <v>#N/A</v>
      </c>
    </row>
    <row r="8106" spans="1:2" x14ac:dyDescent="0.25">
      <c r="A8106" s="157">
        <v>33984</v>
      </c>
      <c r="B8106" s="158" t="e">
        <f>NA()</f>
        <v>#N/A</v>
      </c>
    </row>
    <row r="8107" spans="1:2" x14ac:dyDescent="0.25">
      <c r="A8107" s="157">
        <v>33987</v>
      </c>
      <c r="B8107" s="158" t="e">
        <f>NA()</f>
        <v>#N/A</v>
      </c>
    </row>
    <row r="8108" spans="1:2" x14ac:dyDescent="0.25">
      <c r="A8108" s="157">
        <v>33988</v>
      </c>
      <c r="B8108" s="158" t="e">
        <f>NA()</f>
        <v>#N/A</v>
      </c>
    </row>
    <row r="8109" spans="1:2" x14ac:dyDescent="0.25">
      <c r="A8109" s="157">
        <v>33989</v>
      </c>
      <c r="B8109" s="158" t="e">
        <f>NA()</f>
        <v>#N/A</v>
      </c>
    </row>
    <row r="8110" spans="1:2" x14ac:dyDescent="0.25">
      <c r="A8110" s="157">
        <v>33990</v>
      </c>
      <c r="B8110" s="158" t="e">
        <f>NA()</f>
        <v>#N/A</v>
      </c>
    </row>
    <row r="8111" spans="1:2" x14ac:dyDescent="0.25">
      <c r="A8111" s="157">
        <v>33991</v>
      </c>
      <c r="B8111" s="158" t="e">
        <f>NA()</f>
        <v>#N/A</v>
      </c>
    </row>
    <row r="8112" spans="1:2" x14ac:dyDescent="0.25">
      <c r="A8112" s="157">
        <v>33994</v>
      </c>
      <c r="B8112" s="158" t="e">
        <f>NA()</f>
        <v>#N/A</v>
      </c>
    </row>
    <row r="8113" spans="1:2" x14ac:dyDescent="0.25">
      <c r="A8113" s="157">
        <v>33995</v>
      </c>
      <c r="B8113" s="158" t="e">
        <f>NA()</f>
        <v>#N/A</v>
      </c>
    </row>
    <row r="8114" spans="1:2" x14ac:dyDescent="0.25">
      <c r="A8114" s="157">
        <v>33996</v>
      </c>
      <c r="B8114" s="158" t="e">
        <f>NA()</f>
        <v>#N/A</v>
      </c>
    </row>
    <row r="8115" spans="1:2" x14ac:dyDescent="0.25">
      <c r="A8115" s="157">
        <v>33997</v>
      </c>
      <c r="B8115" s="158" t="e">
        <f>NA()</f>
        <v>#N/A</v>
      </c>
    </row>
    <row r="8116" spans="1:2" x14ac:dyDescent="0.25">
      <c r="A8116" s="157">
        <v>33998</v>
      </c>
      <c r="B8116" s="158" t="e">
        <f>NA()</f>
        <v>#N/A</v>
      </c>
    </row>
    <row r="8117" spans="1:2" x14ac:dyDescent="0.25">
      <c r="A8117" s="157">
        <v>34001</v>
      </c>
      <c r="B8117" s="158" t="e">
        <f>NA()</f>
        <v>#N/A</v>
      </c>
    </row>
    <row r="8118" spans="1:2" x14ac:dyDescent="0.25">
      <c r="A8118" s="157">
        <v>34002</v>
      </c>
      <c r="B8118" s="158" t="e">
        <f>NA()</f>
        <v>#N/A</v>
      </c>
    </row>
    <row r="8119" spans="1:2" x14ac:dyDescent="0.25">
      <c r="A8119" s="157">
        <v>34003</v>
      </c>
      <c r="B8119" s="158" t="e">
        <f>NA()</f>
        <v>#N/A</v>
      </c>
    </row>
    <row r="8120" spans="1:2" x14ac:dyDescent="0.25">
      <c r="A8120" s="157">
        <v>34004</v>
      </c>
      <c r="B8120" s="158" t="e">
        <f>NA()</f>
        <v>#N/A</v>
      </c>
    </row>
    <row r="8121" spans="1:2" x14ac:dyDescent="0.25">
      <c r="A8121" s="157">
        <v>34005</v>
      </c>
      <c r="B8121" s="158" t="e">
        <f>NA()</f>
        <v>#N/A</v>
      </c>
    </row>
    <row r="8122" spans="1:2" x14ac:dyDescent="0.25">
      <c r="A8122" s="157">
        <v>34008</v>
      </c>
      <c r="B8122" s="158" t="e">
        <f>NA()</f>
        <v>#N/A</v>
      </c>
    </row>
    <row r="8123" spans="1:2" x14ac:dyDescent="0.25">
      <c r="A8123" s="157">
        <v>34009</v>
      </c>
      <c r="B8123" s="158" t="e">
        <f>NA()</f>
        <v>#N/A</v>
      </c>
    </row>
    <row r="8124" spans="1:2" x14ac:dyDescent="0.25">
      <c r="A8124" s="157">
        <v>34010</v>
      </c>
      <c r="B8124" s="158" t="e">
        <f>NA()</f>
        <v>#N/A</v>
      </c>
    </row>
    <row r="8125" spans="1:2" x14ac:dyDescent="0.25">
      <c r="A8125" s="157">
        <v>34011</v>
      </c>
      <c r="B8125" s="158" t="e">
        <f>NA()</f>
        <v>#N/A</v>
      </c>
    </row>
    <row r="8126" spans="1:2" x14ac:dyDescent="0.25">
      <c r="A8126" s="157">
        <v>34012</v>
      </c>
      <c r="B8126" s="158" t="e">
        <f>NA()</f>
        <v>#N/A</v>
      </c>
    </row>
    <row r="8127" spans="1:2" x14ac:dyDescent="0.25">
      <c r="A8127" s="157">
        <v>34015</v>
      </c>
      <c r="B8127" s="158" t="e">
        <f>NA()</f>
        <v>#N/A</v>
      </c>
    </row>
    <row r="8128" spans="1:2" x14ac:dyDescent="0.25">
      <c r="A8128" s="157">
        <v>34016</v>
      </c>
      <c r="B8128" s="158" t="e">
        <f>NA()</f>
        <v>#N/A</v>
      </c>
    </row>
    <row r="8129" spans="1:2" x14ac:dyDescent="0.25">
      <c r="A8129" s="157">
        <v>34017</v>
      </c>
      <c r="B8129" s="158" t="e">
        <f>NA()</f>
        <v>#N/A</v>
      </c>
    </row>
    <row r="8130" spans="1:2" x14ac:dyDescent="0.25">
      <c r="A8130" s="157">
        <v>34018</v>
      </c>
      <c r="B8130" s="158" t="e">
        <f>NA()</f>
        <v>#N/A</v>
      </c>
    </row>
    <row r="8131" spans="1:2" x14ac:dyDescent="0.25">
      <c r="A8131" s="157">
        <v>34019</v>
      </c>
      <c r="B8131" s="158" t="e">
        <f>NA()</f>
        <v>#N/A</v>
      </c>
    </row>
    <row r="8132" spans="1:2" x14ac:dyDescent="0.25">
      <c r="A8132" s="157">
        <v>34022</v>
      </c>
      <c r="B8132" s="158" t="e">
        <f>NA()</f>
        <v>#N/A</v>
      </c>
    </row>
    <row r="8133" spans="1:2" x14ac:dyDescent="0.25">
      <c r="A8133" s="157">
        <v>34023</v>
      </c>
      <c r="B8133" s="158" t="e">
        <f>NA()</f>
        <v>#N/A</v>
      </c>
    </row>
    <row r="8134" spans="1:2" x14ac:dyDescent="0.25">
      <c r="A8134" s="157">
        <v>34024</v>
      </c>
      <c r="B8134" s="158" t="e">
        <f>NA()</f>
        <v>#N/A</v>
      </c>
    </row>
    <row r="8135" spans="1:2" x14ac:dyDescent="0.25">
      <c r="A8135" s="157">
        <v>34025</v>
      </c>
      <c r="B8135" s="158" t="e">
        <f>NA()</f>
        <v>#N/A</v>
      </c>
    </row>
    <row r="8136" spans="1:2" x14ac:dyDescent="0.25">
      <c r="A8136" s="157">
        <v>34026</v>
      </c>
      <c r="B8136" s="158" t="e">
        <f>NA()</f>
        <v>#N/A</v>
      </c>
    </row>
    <row r="8137" spans="1:2" x14ac:dyDescent="0.25">
      <c r="A8137" s="157">
        <v>34029</v>
      </c>
      <c r="B8137" s="158" t="e">
        <f>NA()</f>
        <v>#N/A</v>
      </c>
    </row>
    <row r="8138" spans="1:2" x14ac:dyDescent="0.25">
      <c r="A8138" s="157">
        <v>34030</v>
      </c>
      <c r="B8138" s="158" t="e">
        <f>NA()</f>
        <v>#N/A</v>
      </c>
    </row>
    <row r="8139" spans="1:2" x14ac:dyDescent="0.25">
      <c r="A8139" s="157">
        <v>34031</v>
      </c>
      <c r="B8139" s="158" t="e">
        <f>NA()</f>
        <v>#N/A</v>
      </c>
    </row>
    <row r="8140" spans="1:2" x14ac:dyDescent="0.25">
      <c r="A8140" s="157">
        <v>34032</v>
      </c>
      <c r="B8140" s="158" t="e">
        <f>NA()</f>
        <v>#N/A</v>
      </c>
    </row>
    <row r="8141" spans="1:2" x14ac:dyDescent="0.25">
      <c r="A8141" s="157">
        <v>34033</v>
      </c>
      <c r="B8141" s="158" t="e">
        <f>NA()</f>
        <v>#N/A</v>
      </c>
    </row>
    <row r="8142" spans="1:2" x14ac:dyDescent="0.25">
      <c r="A8142" s="157">
        <v>34036</v>
      </c>
      <c r="B8142" s="158" t="e">
        <f>NA()</f>
        <v>#N/A</v>
      </c>
    </row>
    <row r="8143" spans="1:2" x14ac:dyDescent="0.25">
      <c r="A8143" s="157">
        <v>34037</v>
      </c>
      <c r="B8143" s="158" t="e">
        <f>NA()</f>
        <v>#N/A</v>
      </c>
    </row>
    <row r="8144" spans="1:2" x14ac:dyDescent="0.25">
      <c r="A8144" s="157">
        <v>34038</v>
      </c>
      <c r="B8144" s="158" t="e">
        <f>NA()</f>
        <v>#N/A</v>
      </c>
    </row>
    <row r="8145" spans="1:2" x14ac:dyDescent="0.25">
      <c r="A8145" s="157">
        <v>34039</v>
      </c>
      <c r="B8145" s="158" t="e">
        <f>NA()</f>
        <v>#N/A</v>
      </c>
    </row>
    <row r="8146" spans="1:2" x14ac:dyDescent="0.25">
      <c r="A8146" s="157">
        <v>34040</v>
      </c>
      <c r="B8146" s="158" t="e">
        <f>NA()</f>
        <v>#N/A</v>
      </c>
    </row>
    <row r="8147" spans="1:2" x14ac:dyDescent="0.25">
      <c r="A8147" s="157">
        <v>34043</v>
      </c>
      <c r="B8147" s="158" t="e">
        <f>NA()</f>
        <v>#N/A</v>
      </c>
    </row>
    <row r="8148" spans="1:2" x14ac:dyDescent="0.25">
      <c r="A8148" s="157">
        <v>34044</v>
      </c>
      <c r="B8148" s="158" t="e">
        <f>NA()</f>
        <v>#N/A</v>
      </c>
    </row>
    <row r="8149" spans="1:2" x14ac:dyDescent="0.25">
      <c r="A8149" s="157">
        <v>34045</v>
      </c>
      <c r="B8149" s="158" t="e">
        <f>NA()</f>
        <v>#N/A</v>
      </c>
    </row>
    <row r="8150" spans="1:2" x14ac:dyDescent="0.25">
      <c r="A8150" s="157">
        <v>34046</v>
      </c>
      <c r="B8150" s="158" t="e">
        <f>NA()</f>
        <v>#N/A</v>
      </c>
    </row>
    <row r="8151" spans="1:2" x14ac:dyDescent="0.25">
      <c r="A8151" s="157">
        <v>34047</v>
      </c>
      <c r="B8151" s="158" t="e">
        <f>NA()</f>
        <v>#N/A</v>
      </c>
    </row>
    <row r="8152" spans="1:2" x14ac:dyDescent="0.25">
      <c r="A8152" s="157">
        <v>34050</v>
      </c>
      <c r="B8152" s="158" t="e">
        <f>NA()</f>
        <v>#N/A</v>
      </c>
    </row>
    <row r="8153" spans="1:2" x14ac:dyDescent="0.25">
      <c r="A8153" s="157">
        <v>34051</v>
      </c>
      <c r="B8153" s="158" t="e">
        <f>NA()</f>
        <v>#N/A</v>
      </c>
    </row>
    <row r="8154" spans="1:2" x14ac:dyDescent="0.25">
      <c r="A8154" s="157">
        <v>34052</v>
      </c>
      <c r="B8154" s="158" t="e">
        <f>NA()</f>
        <v>#N/A</v>
      </c>
    </row>
    <row r="8155" spans="1:2" x14ac:dyDescent="0.25">
      <c r="A8155" s="157">
        <v>34053</v>
      </c>
      <c r="B8155" s="158" t="e">
        <f>NA()</f>
        <v>#N/A</v>
      </c>
    </row>
    <row r="8156" spans="1:2" x14ac:dyDescent="0.25">
      <c r="A8156" s="157">
        <v>34054</v>
      </c>
      <c r="B8156" s="158" t="e">
        <f>NA()</f>
        <v>#N/A</v>
      </c>
    </row>
    <row r="8157" spans="1:2" x14ac:dyDescent="0.25">
      <c r="A8157" s="157">
        <v>34057</v>
      </c>
      <c r="B8157" s="158" t="e">
        <f>NA()</f>
        <v>#N/A</v>
      </c>
    </row>
    <row r="8158" spans="1:2" x14ac:dyDescent="0.25">
      <c r="A8158" s="157">
        <v>34058</v>
      </c>
      <c r="B8158" s="158" t="e">
        <f>NA()</f>
        <v>#N/A</v>
      </c>
    </row>
    <row r="8159" spans="1:2" x14ac:dyDescent="0.25">
      <c r="A8159" s="157">
        <v>34059</v>
      </c>
      <c r="B8159" s="158" t="e">
        <f>NA()</f>
        <v>#N/A</v>
      </c>
    </row>
    <row r="8160" spans="1:2" x14ac:dyDescent="0.25">
      <c r="A8160" s="157">
        <v>34060</v>
      </c>
      <c r="B8160" s="158" t="e">
        <f>NA()</f>
        <v>#N/A</v>
      </c>
    </row>
    <row r="8161" spans="1:2" x14ac:dyDescent="0.25">
      <c r="A8161" s="157">
        <v>34061</v>
      </c>
      <c r="B8161" s="158" t="e">
        <f>NA()</f>
        <v>#N/A</v>
      </c>
    </row>
    <row r="8162" spans="1:2" x14ac:dyDescent="0.25">
      <c r="A8162" s="157">
        <v>34064</v>
      </c>
      <c r="B8162" s="158" t="e">
        <f>NA()</f>
        <v>#N/A</v>
      </c>
    </row>
    <row r="8163" spans="1:2" x14ac:dyDescent="0.25">
      <c r="A8163" s="157">
        <v>34065</v>
      </c>
      <c r="B8163" s="158" t="e">
        <f>NA()</f>
        <v>#N/A</v>
      </c>
    </row>
    <row r="8164" spans="1:2" x14ac:dyDescent="0.25">
      <c r="A8164" s="157">
        <v>34066</v>
      </c>
      <c r="B8164" s="158" t="e">
        <f>NA()</f>
        <v>#N/A</v>
      </c>
    </row>
    <row r="8165" spans="1:2" x14ac:dyDescent="0.25">
      <c r="A8165" s="157">
        <v>34067</v>
      </c>
      <c r="B8165" s="158" t="e">
        <f>NA()</f>
        <v>#N/A</v>
      </c>
    </row>
    <row r="8166" spans="1:2" x14ac:dyDescent="0.25">
      <c r="A8166" s="157">
        <v>34068</v>
      </c>
      <c r="B8166" s="158" t="e">
        <f>NA()</f>
        <v>#N/A</v>
      </c>
    </row>
    <row r="8167" spans="1:2" x14ac:dyDescent="0.25">
      <c r="A8167" s="157">
        <v>34071</v>
      </c>
      <c r="B8167" s="158" t="e">
        <f>NA()</f>
        <v>#N/A</v>
      </c>
    </row>
    <row r="8168" spans="1:2" x14ac:dyDescent="0.25">
      <c r="A8168" s="157">
        <v>34072</v>
      </c>
      <c r="B8168" s="158" t="e">
        <f>NA()</f>
        <v>#N/A</v>
      </c>
    </row>
    <row r="8169" spans="1:2" x14ac:dyDescent="0.25">
      <c r="A8169" s="157">
        <v>34073</v>
      </c>
      <c r="B8169" s="158" t="e">
        <f>NA()</f>
        <v>#N/A</v>
      </c>
    </row>
    <row r="8170" spans="1:2" x14ac:dyDescent="0.25">
      <c r="A8170" s="157">
        <v>34074</v>
      </c>
      <c r="B8170" s="158" t="e">
        <f>NA()</f>
        <v>#N/A</v>
      </c>
    </row>
    <row r="8171" spans="1:2" x14ac:dyDescent="0.25">
      <c r="A8171" s="157">
        <v>34075</v>
      </c>
      <c r="B8171" s="158" t="e">
        <f>NA()</f>
        <v>#N/A</v>
      </c>
    </row>
    <row r="8172" spans="1:2" x14ac:dyDescent="0.25">
      <c r="A8172" s="157">
        <v>34078</v>
      </c>
      <c r="B8172" s="158" t="e">
        <f>NA()</f>
        <v>#N/A</v>
      </c>
    </row>
    <row r="8173" spans="1:2" x14ac:dyDescent="0.25">
      <c r="A8173" s="157">
        <v>34079</v>
      </c>
      <c r="B8173" s="158" t="e">
        <f>NA()</f>
        <v>#N/A</v>
      </c>
    </row>
    <row r="8174" spans="1:2" x14ac:dyDescent="0.25">
      <c r="A8174" s="157">
        <v>34080</v>
      </c>
      <c r="B8174" s="158" t="e">
        <f>NA()</f>
        <v>#N/A</v>
      </c>
    </row>
    <row r="8175" spans="1:2" x14ac:dyDescent="0.25">
      <c r="A8175" s="157">
        <v>34081</v>
      </c>
      <c r="B8175" s="158" t="e">
        <f>NA()</f>
        <v>#N/A</v>
      </c>
    </row>
    <row r="8176" spans="1:2" x14ac:dyDescent="0.25">
      <c r="A8176" s="157">
        <v>34082</v>
      </c>
      <c r="B8176" s="158" t="e">
        <f>NA()</f>
        <v>#N/A</v>
      </c>
    </row>
    <row r="8177" spans="1:2" x14ac:dyDescent="0.25">
      <c r="A8177" s="157">
        <v>34085</v>
      </c>
      <c r="B8177" s="158" t="e">
        <f>NA()</f>
        <v>#N/A</v>
      </c>
    </row>
    <row r="8178" spans="1:2" x14ac:dyDescent="0.25">
      <c r="A8178" s="157">
        <v>34086</v>
      </c>
      <c r="B8178" s="158" t="e">
        <f>NA()</f>
        <v>#N/A</v>
      </c>
    </row>
    <row r="8179" spans="1:2" x14ac:dyDescent="0.25">
      <c r="A8179" s="157">
        <v>34087</v>
      </c>
      <c r="B8179" s="158" t="e">
        <f>NA()</f>
        <v>#N/A</v>
      </c>
    </row>
    <row r="8180" spans="1:2" x14ac:dyDescent="0.25">
      <c r="A8180" s="157">
        <v>34088</v>
      </c>
      <c r="B8180" s="158" t="e">
        <f>NA()</f>
        <v>#N/A</v>
      </c>
    </row>
    <row r="8181" spans="1:2" x14ac:dyDescent="0.25">
      <c r="A8181" s="157">
        <v>34089</v>
      </c>
      <c r="B8181" s="158" t="e">
        <f>NA()</f>
        <v>#N/A</v>
      </c>
    </row>
    <row r="8182" spans="1:2" x14ac:dyDescent="0.25">
      <c r="A8182" s="157">
        <v>34092</v>
      </c>
      <c r="B8182" s="158" t="e">
        <f>NA()</f>
        <v>#N/A</v>
      </c>
    </row>
    <row r="8183" spans="1:2" x14ac:dyDescent="0.25">
      <c r="A8183" s="157">
        <v>34093</v>
      </c>
      <c r="B8183" s="158" t="e">
        <f>NA()</f>
        <v>#N/A</v>
      </c>
    </row>
    <row r="8184" spans="1:2" x14ac:dyDescent="0.25">
      <c r="A8184" s="157">
        <v>34094</v>
      </c>
      <c r="B8184" s="158" t="e">
        <f>NA()</f>
        <v>#N/A</v>
      </c>
    </row>
    <row r="8185" spans="1:2" x14ac:dyDescent="0.25">
      <c r="A8185" s="157">
        <v>34095</v>
      </c>
      <c r="B8185" s="158" t="e">
        <f>NA()</f>
        <v>#N/A</v>
      </c>
    </row>
    <row r="8186" spans="1:2" x14ac:dyDescent="0.25">
      <c r="A8186" s="157">
        <v>34096</v>
      </c>
      <c r="B8186" s="158" t="e">
        <f>NA()</f>
        <v>#N/A</v>
      </c>
    </row>
    <row r="8187" spans="1:2" x14ac:dyDescent="0.25">
      <c r="A8187" s="157">
        <v>34099</v>
      </c>
      <c r="B8187" s="158" t="e">
        <f>NA()</f>
        <v>#N/A</v>
      </c>
    </row>
    <row r="8188" spans="1:2" x14ac:dyDescent="0.25">
      <c r="A8188" s="157">
        <v>34100</v>
      </c>
      <c r="B8188" s="158" t="e">
        <f>NA()</f>
        <v>#N/A</v>
      </c>
    </row>
    <row r="8189" spans="1:2" x14ac:dyDescent="0.25">
      <c r="A8189" s="157">
        <v>34101</v>
      </c>
      <c r="B8189" s="158" t="e">
        <f>NA()</f>
        <v>#N/A</v>
      </c>
    </row>
    <row r="8190" spans="1:2" x14ac:dyDescent="0.25">
      <c r="A8190" s="157">
        <v>34102</v>
      </c>
      <c r="B8190" s="158" t="e">
        <f>NA()</f>
        <v>#N/A</v>
      </c>
    </row>
    <row r="8191" spans="1:2" x14ac:dyDescent="0.25">
      <c r="A8191" s="157">
        <v>34103</v>
      </c>
      <c r="B8191" s="158" t="e">
        <f>NA()</f>
        <v>#N/A</v>
      </c>
    </row>
    <row r="8192" spans="1:2" x14ac:dyDescent="0.25">
      <c r="A8192" s="157">
        <v>34106</v>
      </c>
      <c r="B8192" s="158" t="e">
        <f>NA()</f>
        <v>#N/A</v>
      </c>
    </row>
    <row r="8193" spans="1:2" x14ac:dyDescent="0.25">
      <c r="A8193" s="157">
        <v>34107</v>
      </c>
      <c r="B8193" s="158" t="e">
        <f>NA()</f>
        <v>#N/A</v>
      </c>
    </row>
    <row r="8194" spans="1:2" x14ac:dyDescent="0.25">
      <c r="A8194" s="157">
        <v>34108</v>
      </c>
      <c r="B8194" s="158" t="e">
        <f>NA()</f>
        <v>#N/A</v>
      </c>
    </row>
    <row r="8195" spans="1:2" x14ac:dyDescent="0.25">
      <c r="A8195" s="157">
        <v>34109</v>
      </c>
      <c r="B8195" s="158" t="e">
        <f>NA()</f>
        <v>#N/A</v>
      </c>
    </row>
    <row r="8196" spans="1:2" x14ac:dyDescent="0.25">
      <c r="A8196" s="157">
        <v>34110</v>
      </c>
      <c r="B8196" s="158" t="e">
        <f>NA()</f>
        <v>#N/A</v>
      </c>
    </row>
    <row r="8197" spans="1:2" x14ac:dyDescent="0.25">
      <c r="A8197" s="157">
        <v>34113</v>
      </c>
      <c r="B8197" s="158" t="e">
        <f>NA()</f>
        <v>#N/A</v>
      </c>
    </row>
    <row r="8198" spans="1:2" x14ac:dyDescent="0.25">
      <c r="A8198" s="157">
        <v>34114</v>
      </c>
      <c r="B8198" s="158" t="e">
        <f>NA()</f>
        <v>#N/A</v>
      </c>
    </row>
    <row r="8199" spans="1:2" x14ac:dyDescent="0.25">
      <c r="A8199" s="157">
        <v>34115</v>
      </c>
      <c r="B8199" s="158" t="e">
        <f>NA()</f>
        <v>#N/A</v>
      </c>
    </row>
    <row r="8200" spans="1:2" x14ac:dyDescent="0.25">
      <c r="A8200" s="157">
        <v>34116</v>
      </c>
      <c r="B8200" s="158" t="e">
        <f>NA()</f>
        <v>#N/A</v>
      </c>
    </row>
    <row r="8201" spans="1:2" x14ac:dyDescent="0.25">
      <c r="A8201" s="157">
        <v>34117</v>
      </c>
      <c r="B8201" s="158" t="e">
        <f>NA()</f>
        <v>#N/A</v>
      </c>
    </row>
    <row r="8202" spans="1:2" x14ac:dyDescent="0.25">
      <c r="A8202" s="157">
        <v>34120</v>
      </c>
      <c r="B8202" s="158" t="e">
        <f>NA()</f>
        <v>#N/A</v>
      </c>
    </row>
    <row r="8203" spans="1:2" x14ac:dyDescent="0.25">
      <c r="A8203" s="157">
        <v>34121</v>
      </c>
      <c r="B8203" s="158" t="e">
        <f>NA()</f>
        <v>#N/A</v>
      </c>
    </row>
    <row r="8204" spans="1:2" x14ac:dyDescent="0.25">
      <c r="A8204" s="157">
        <v>34122</v>
      </c>
      <c r="B8204" s="158" t="e">
        <f>NA()</f>
        <v>#N/A</v>
      </c>
    </row>
    <row r="8205" spans="1:2" x14ac:dyDescent="0.25">
      <c r="A8205" s="157">
        <v>34123</v>
      </c>
      <c r="B8205" s="158" t="e">
        <f>NA()</f>
        <v>#N/A</v>
      </c>
    </row>
    <row r="8206" spans="1:2" x14ac:dyDescent="0.25">
      <c r="A8206" s="157">
        <v>34124</v>
      </c>
      <c r="B8206" s="158" t="e">
        <f>NA()</f>
        <v>#N/A</v>
      </c>
    </row>
    <row r="8207" spans="1:2" x14ac:dyDescent="0.25">
      <c r="A8207" s="157">
        <v>34127</v>
      </c>
      <c r="B8207" s="158" t="e">
        <f>NA()</f>
        <v>#N/A</v>
      </c>
    </row>
    <row r="8208" spans="1:2" x14ac:dyDescent="0.25">
      <c r="A8208" s="157">
        <v>34128</v>
      </c>
      <c r="B8208" s="158" t="e">
        <f>NA()</f>
        <v>#N/A</v>
      </c>
    </row>
    <row r="8209" spans="1:2" x14ac:dyDescent="0.25">
      <c r="A8209" s="157">
        <v>34129</v>
      </c>
      <c r="B8209" s="158" t="e">
        <f>NA()</f>
        <v>#N/A</v>
      </c>
    </row>
    <row r="8210" spans="1:2" x14ac:dyDescent="0.25">
      <c r="A8210" s="157">
        <v>34130</v>
      </c>
      <c r="B8210" s="158" t="e">
        <f>NA()</f>
        <v>#N/A</v>
      </c>
    </row>
    <row r="8211" spans="1:2" x14ac:dyDescent="0.25">
      <c r="A8211" s="157">
        <v>34131</v>
      </c>
      <c r="B8211" s="158" t="e">
        <f>NA()</f>
        <v>#N/A</v>
      </c>
    </row>
    <row r="8212" spans="1:2" x14ac:dyDescent="0.25">
      <c r="A8212" s="157">
        <v>34134</v>
      </c>
      <c r="B8212" s="158" t="e">
        <f>NA()</f>
        <v>#N/A</v>
      </c>
    </row>
    <row r="8213" spans="1:2" x14ac:dyDescent="0.25">
      <c r="A8213" s="157">
        <v>34135</v>
      </c>
      <c r="B8213" s="158" t="e">
        <f>NA()</f>
        <v>#N/A</v>
      </c>
    </row>
    <row r="8214" spans="1:2" x14ac:dyDescent="0.25">
      <c r="A8214" s="157">
        <v>34136</v>
      </c>
      <c r="B8214" s="158" t="e">
        <f>NA()</f>
        <v>#N/A</v>
      </c>
    </row>
    <row r="8215" spans="1:2" x14ac:dyDescent="0.25">
      <c r="A8215" s="157">
        <v>34137</v>
      </c>
      <c r="B8215" s="158" t="e">
        <f>NA()</f>
        <v>#N/A</v>
      </c>
    </row>
    <row r="8216" spans="1:2" x14ac:dyDescent="0.25">
      <c r="A8216" s="157">
        <v>34138</v>
      </c>
      <c r="B8216" s="158" t="e">
        <f>NA()</f>
        <v>#N/A</v>
      </c>
    </row>
    <row r="8217" spans="1:2" x14ac:dyDescent="0.25">
      <c r="A8217" s="157">
        <v>34141</v>
      </c>
      <c r="B8217" s="158" t="e">
        <f>NA()</f>
        <v>#N/A</v>
      </c>
    </row>
    <row r="8218" spans="1:2" x14ac:dyDescent="0.25">
      <c r="A8218" s="157">
        <v>34142</v>
      </c>
      <c r="B8218" s="158" t="e">
        <f>NA()</f>
        <v>#N/A</v>
      </c>
    </row>
    <row r="8219" spans="1:2" x14ac:dyDescent="0.25">
      <c r="A8219" s="157">
        <v>34143</v>
      </c>
      <c r="B8219" s="158" t="e">
        <f>NA()</f>
        <v>#N/A</v>
      </c>
    </row>
    <row r="8220" spans="1:2" x14ac:dyDescent="0.25">
      <c r="A8220" s="157">
        <v>34144</v>
      </c>
      <c r="B8220" s="158" t="e">
        <f>NA()</f>
        <v>#N/A</v>
      </c>
    </row>
    <row r="8221" spans="1:2" x14ac:dyDescent="0.25">
      <c r="A8221" s="157">
        <v>34145</v>
      </c>
      <c r="B8221" s="158" t="e">
        <f>NA()</f>
        <v>#N/A</v>
      </c>
    </row>
    <row r="8222" spans="1:2" x14ac:dyDescent="0.25">
      <c r="A8222" s="157">
        <v>34148</v>
      </c>
      <c r="B8222" s="158" t="e">
        <f>NA()</f>
        <v>#N/A</v>
      </c>
    </row>
    <row r="8223" spans="1:2" x14ac:dyDescent="0.25">
      <c r="A8223" s="157">
        <v>34149</v>
      </c>
      <c r="B8223" s="158" t="e">
        <f>NA()</f>
        <v>#N/A</v>
      </c>
    </row>
    <row r="8224" spans="1:2" x14ac:dyDescent="0.25">
      <c r="A8224" s="157">
        <v>34150</v>
      </c>
      <c r="B8224" s="158" t="e">
        <f>NA()</f>
        <v>#N/A</v>
      </c>
    </row>
    <row r="8225" spans="1:2" x14ac:dyDescent="0.25">
      <c r="A8225" s="157">
        <v>34151</v>
      </c>
      <c r="B8225" s="158" t="e">
        <f>NA()</f>
        <v>#N/A</v>
      </c>
    </row>
    <row r="8226" spans="1:2" x14ac:dyDescent="0.25">
      <c r="A8226" s="157">
        <v>34152</v>
      </c>
      <c r="B8226" s="158" t="e">
        <f>NA()</f>
        <v>#N/A</v>
      </c>
    </row>
    <row r="8227" spans="1:2" x14ac:dyDescent="0.25">
      <c r="A8227" s="157">
        <v>34155</v>
      </c>
      <c r="B8227" s="158" t="e">
        <f>NA()</f>
        <v>#N/A</v>
      </c>
    </row>
    <row r="8228" spans="1:2" x14ac:dyDescent="0.25">
      <c r="A8228" s="157">
        <v>34156</v>
      </c>
      <c r="B8228" s="158" t="e">
        <f>NA()</f>
        <v>#N/A</v>
      </c>
    </row>
    <row r="8229" spans="1:2" x14ac:dyDescent="0.25">
      <c r="A8229" s="157">
        <v>34157</v>
      </c>
      <c r="B8229" s="158" t="e">
        <f>NA()</f>
        <v>#N/A</v>
      </c>
    </row>
    <row r="8230" spans="1:2" x14ac:dyDescent="0.25">
      <c r="A8230" s="157">
        <v>34158</v>
      </c>
      <c r="B8230" s="158" t="e">
        <f>NA()</f>
        <v>#N/A</v>
      </c>
    </row>
    <row r="8231" spans="1:2" x14ac:dyDescent="0.25">
      <c r="A8231" s="157">
        <v>34159</v>
      </c>
      <c r="B8231" s="158" t="e">
        <f>NA()</f>
        <v>#N/A</v>
      </c>
    </row>
    <row r="8232" spans="1:2" x14ac:dyDescent="0.25">
      <c r="A8232" s="157">
        <v>34162</v>
      </c>
      <c r="B8232" s="158" t="e">
        <f>NA()</f>
        <v>#N/A</v>
      </c>
    </row>
    <row r="8233" spans="1:2" x14ac:dyDescent="0.25">
      <c r="A8233" s="157">
        <v>34163</v>
      </c>
      <c r="B8233" s="158" t="e">
        <f>NA()</f>
        <v>#N/A</v>
      </c>
    </row>
    <row r="8234" spans="1:2" x14ac:dyDescent="0.25">
      <c r="A8234" s="157">
        <v>34164</v>
      </c>
      <c r="B8234" s="158" t="e">
        <f>NA()</f>
        <v>#N/A</v>
      </c>
    </row>
    <row r="8235" spans="1:2" x14ac:dyDescent="0.25">
      <c r="A8235" s="157">
        <v>34165</v>
      </c>
      <c r="B8235" s="158" t="e">
        <f>NA()</f>
        <v>#N/A</v>
      </c>
    </row>
    <row r="8236" spans="1:2" x14ac:dyDescent="0.25">
      <c r="A8236" s="157">
        <v>34166</v>
      </c>
      <c r="B8236" s="158" t="e">
        <f>NA()</f>
        <v>#N/A</v>
      </c>
    </row>
    <row r="8237" spans="1:2" x14ac:dyDescent="0.25">
      <c r="A8237" s="157">
        <v>34169</v>
      </c>
      <c r="B8237" s="158" t="e">
        <f>NA()</f>
        <v>#N/A</v>
      </c>
    </row>
    <row r="8238" spans="1:2" x14ac:dyDescent="0.25">
      <c r="A8238" s="157">
        <v>34170</v>
      </c>
      <c r="B8238" s="158" t="e">
        <f>NA()</f>
        <v>#N/A</v>
      </c>
    </row>
    <row r="8239" spans="1:2" x14ac:dyDescent="0.25">
      <c r="A8239" s="157">
        <v>34171</v>
      </c>
      <c r="B8239" s="158" t="e">
        <f>NA()</f>
        <v>#N/A</v>
      </c>
    </row>
    <row r="8240" spans="1:2" x14ac:dyDescent="0.25">
      <c r="A8240" s="157">
        <v>34172</v>
      </c>
      <c r="B8240" s="158" t="e">
        <f>NA()</f>
        <v>#N/A</v>
      </c>
    </row>
    <row r="8241" spans="1:2" x14ac:dyDescent="0.25">
      <c r="A8241" s="157">
        <v>34173</v>
      </c>
      <c r="B8241" s="158" t="e">
        <f>NA()</f>
        <v>#N/A</v>
      </c>
    </row>
    <row r="8242" spans="1:2" x14ac:dyDescent="0.25">
      <c r="A8242" s="157">
        <v>34176</v>
      </c>
      <c r="B8242" s="158" t="e">
        <f>NA()</f>
        <v>#N/A</v>
      </c>
    </row>
    <row r="8243" spans="1:2" x14ac:dyDescent="0.25">
      <c r="A8243" s="157">
        <v>34177</v>
      </c>
      <c r="B8243" s="158" t="e">
        <f>NA()</f>
        <v>#N/A</v>
      </c>
    </row>
    <row r="8244" spans="1:2" x14ac:dyDescent="0.25">
      <c r="A8244" s="157">
        <v>34178</v>
      </c>
      <c r="B8244" s="158" t="e">
        <f>NA()</f>
        <v>#N/A</v>
      </c>
    </row>
    <row r="8245" spans="1:2" x14ac:dyDescent="0.25">
      <c r="A8245" s="157">
        <v>34179</v>
      </c>
      <c r="B8245" s="158" t="e">
        <f>NA()</f>
        <v>#N/A</v>
      </c>
    </row>
    <row r="8246" spans="1:2" x14ac:dyDescent="0.25">
      <c r="A8246" s="157">
        <v>34180</v>
      </c>
      <c r="B8246" s="158" t="e">
        <f>NA()</f>
        <v>#N/A</v>
      </c>
    </row>
    <row r="8247" spans="1:2" x14ac:dyDescent="0.25">
      <c r="A8247" s="157">
        <v>34183</v>
      </c>
      <c r="B8247" s="158" t="e">
        <f>NA()</f>
        <v>#N/A</v>
      </c>
    </row>
    <row r="8248" spans="1:2" x14ac:dyDescent="0.25">
      <c r="A8248" s="157">
        <v>34184</v>
      </c>
      <c r="B8248" s="158" t="e">
        <f>NA()</f>
        <v>#N/A</v>
      </c>
    </row>
    <row r="8249" spans="1:2" x14ac:dyDescent="0.25">
      <c r="A8249" s="157">
        <v>34185</v>
      </c>
      <c r="B8249" s="158" t="e">
        <f>NA()</f>
        <v>#N/A</v>
      </c>
    </row>
    <row r="8250" spans="1:2" x14ac:dyDescent="0.25">
      <c r="A8250" s="157">
        <v>34186</v>
      </c>
      <c r="B8250" s="158" t="e">
        <f>NA()</f>
        <v>#N/A</v>
      </c>
    </row>
    <row r="8251" spans="1:2" x14ac:dyDescent="0.25">
      <c r="A8251" s="157">
        <v>34187</v>
      </c>
      <c r="B8251" s="158" t="e">
        <f>NA()</f>
        <v>#N/A</v>
      </c>
    </row>
    <row r="8252" spans="1:2" x14ac:dyDescent="0.25">
      <c r="A8252" s="157">
        <v>34190</v>
      </c>
      <c r="B8252" s="158" t="e">
        <f>NA()</f>
        <v>#N/A</v>
      </c>
    </row>
    <row r="8253" spans="1:2" x14ac:dyDescent="0.25">
      <c r="A8253" s="157">
        <v>34191</v>
      </c>
      <c r="B8253" s="158" t="e">
        <f>NA()</f>
        <v>#N/A</v>
      </c>
    </row>
    <row r="8254" spans="1:2" x14ac:dyDescent="0.25">
      <c r="A8254" s="157">
        <v>34192</v>
      </c>
      <c r="B8254" s="158" t="e">
        <f>NA()</f>
        <v>#N/A</v>
      </c>
    </row>
    <row r="8255" spans="1:2" x14ac:dyDescent="0.25">
      <c r="A8255" s="157">
        <v>34193</v>
      </c>
      <c r="B8255" s="158" t="e">
        <f>NA()</f>
        <v>#N/A</v>
      </c>
    </row>
    <row r="8256" spans="1:2" x14ac:dyDescent="0.25">
      <c r="A8256" s="157">
        <v>34194</v>
      </c>
      <c r="B8256" s="158" t="e">
        <f>NA()</f>
        <v>#N/A</v>
      </c>
    </row>
    <row r="8257" spans="1:2" x14ac:dyDescent="0.25">
      <c r="A8257" s="157">
        <v>34197</v>
      </c>
      <c r="B8257" s="158" t="e">
        <f>NA()</f>
        <v>#N/A</v>
      </c>
    </row>
    <row r="8258" spans="1:2" x14ac:dyDescent="0.25">
      <c r="A8258" s="157">
        <v>34198</v>
      </c>
      <c r="B8258" s="158" t="e">
        <f>NA()</f>
        <v>#N/A</v>
      </c>
    </row>
    <row r="8259" spans="1:2" x14ac:dyDescent="0.25">
      <c r="A8259" s="157">
        <v>34199</v>
      </c>
      <c r="B8259" s="158" t="e">
        <f>NA()</f>
        <v>#N/A</v>
      </c>
    </row>
    <row r="8260" spans="1:2" x14ac:dyDescent="0.25">
      <c r="A8260" s="157">
        <v>34200</v>
      </c>
      <c r="B8260" s="158" t="e">
        <f>NA()</f>
        <v>#N/A</v>
      </c>
    </row>
    <row r="8261" spans="1:2" x14ac:dyDescent="0.25">
      <c r="A8261" s="157">
        <v>34201</v>
      </c>
      <c r="B8261" s="158" t="e">
        <f>NA()</f>
        <v>#N/A</v>
      </c>
    </row>
    <row r="8262" spans="1:2" x14ac:dyDescent="0.25">
      <c r="A8262" s="157">
        <v>34204</v>
      </c>
      <c r="B8262" s="158" t="e">
        <f>NA()</f>
        <v>#N/A</v>
      </c>
    </row>
    <row r="8263" spans="1:2" x14ac:dyDescent="0.25">
      <c r="A8263" s="157">
        <v>34205</v>
      </c>
      <c r="B8263" s="158" t="e">
        <f>NA()</f>
        <v>#N/A</v>
      </c>
    </row>
    <row r="8264" spans="1:2" x14ac:dyDescent="0.25">
      <c r="A8264" s="157">
        <v>34206</v>
      </c>
      <c r="B8264" s="158" t="e">
        <f>NA()</f>
        <v>#N/A</v>
      </c>
    </row>
    <row r="8265" spans="1:2" x14ac:dyDescent="0.25">
      <c r="A8265" s="157">
        <v>34207</v>
      </c>
      <c r="B8265" s="158" t="e">
        <f>NA()</f>
        <v>#N/A</v>
      </c>
    </row>
    <row r="8266" spans="1:2" x14ac:dyDescent="0.25">
      <c r="A8266" s="157">
        <v>34208</v>
      </c>
      <c r="B8266" s="158" t="e">
        <f>NA()</f>
        <v>#N/A</v>
      </c>
    </row>
    <row r="8267" spans="1:2" x14ac:dyDescent="0.25">
      <c r="A8267" s="157">
        <v>34211</v>
      </c>
      <c r="B8267" s="158" t="e">
        <f>NA()</f>
        <v>#N/A</v>
      </c>
    </row>
    <row r="8268" spans="1:2" x14ac:dyDescent="0.25">
      <c r="A8268" s="157">
        <v>34212</v>
      </c>
      <c r="B8268" s="158" t="e">
        <f>NA()</f>
        <v>#N/A</v>
      </c>
    </row>
    <row r="8269" spans="1:2" x14ac:dyDescent="0.25">
      <c r="A8269" s="157">
        <v>34213</v>
      </c>
      <c r="B8269" s="158" t="e">
        <f>NA()</f>
        <v>#N/A</v>
      </c>
    </row>
    <row r="8270" spans="1:2" x14ac:dyDescent="0.25">
      <c r="A8270" s="157">
        <v>34214</v>
      </c>
      <c r="B8270" s="158" t="e">
        <f>NA()</f>
        <v>#N/A</v>
      </c>
    </row>
    <row r="8271" spans="1:2" x14ac:dyDescent="0.25">
      <c r="A8271" s="157">
        <v>34215</v>
      </c>
      <c r="B8271" s="158" t="e">
        <f>NA()</f>
        <v>#N/A</v>
      </c>
    </row>
    <row r="8272" spans="1:2" x14ac:dyDescent="0.25">
      <c r="A8272" s="157">
        <v>34218</v>
      </c>
      <c r="B8272" s="158" t="e">
        <f>NA()</f>
        <v>#N/A</v>
      </c>
    </row>
    <row r="8273" spans="1:2" x14ac:dyDescent="0.25">
      <c r="A8273" s="157">
        <v>34219</v>
      </c>
      <c r="B8273" s="158" t="e">
        <f>NA()</f>
        <v>#N/A</v>
      </c>
    </row>
    <row r="8274" spans="1:2" x14ac:dyDescent="0.25">
      <c r="A8274" s="157">
        <v>34220</v>
      </c>
      <c r="B8274" s="158" t="e">
        <f>NA()</f>
        <v>#N/A</v>
      </c>
    </row>
    <row r="8275" spans="1:2" x14ac:dyDescent="0.25">
      <c r="A8275" s="157">
        <v>34221</v>
      </c>
      <c r="B8275" s="158" t="e">
        <f>NA()</f>
        <v>#N/A</v>
      </c>
    </row>
    <row r="8276" spans="1:2" x14ac:dyDescent="0.25">
      <c r="A8276" s="157">
        <v>34222</v>
      </c>
      <c r="B8276" s="158" t="e">
        <f>NA()</f>
        <v>#N/A</v>
      </c>
    </row>
    <row r="8277" spans="1:2" x14ac:dyDescent="0.25">
      <c r="A8277" s="157">
        <v>34225</v>
      </c>
      <c r="B8277" s="158" t="e">
        <f>NA()</f>
        <v>#N/A</v>
      </c>
    </row>
    <row r="8278" spans="1:2" x14ac:dyDescent="0.25">
      <c r="A8278" s="157">
        <v>34226</v>
      </c>
      <c r="B8278" s="158" t="e">
        <f>NA()</f>
        <v>#N/A</v>
      </c>
    </row>
    <row r="8279" spans="1:2" x14ac:dyDescent="0.25">
      <c r="A8279" s="157">
        <v>34227</v>
      </c>
      <c r="B8279" s="158" t="e">
        <f>NA()</f>
        <v>#N/A</v>
      </c>
    </row>
    <row r="8280" spans="1:2" x14ac:dyDescent="0.25">
      <c r="A8280" s="157">
        <v>34228</v>
      </c>
      <c r="B8280" s="158" t="e">
        <f>NA()</f>
        <v>#N/A</v>
      </c>
    </row>
    <row r="8281" spans="1:2" x14ac:dyDescent="0.25">
      <c r="A8281" s="157">
        <v>34229</v>
      </c>
      <c r="B8281" s="158" t="e">
        <f>NA()</f>
        <v>#N/A</v>
      </c>
    </row>
    <row r="8282" spans="1:2" x14ac:dyDescent="0.25">
      <c r="A8282" s="157">
        <v>34232</v>
      </c>
      <c r="B8282" s="158" t="e">
        <f>NA()</f>
        <v>#N/A</v>
      </c>
    </row>
    <row r="8283" spans="1:2" x14ac:dyDescent="0.25">
      <c r="A8283" s="157">
        <v>34233</v>
      </c>
      <c r="B8283" s="158" t="e">
        <f>NA()</f>
        <v>#N/A</v>
      </c>
    </row>
    <row r="8284" spans="1:2" x14ac:dyDescent="0.25">
      <c r="A8284" s="157">
        <v>34234</v>
      </c>
      <c r="B8284" s="158" t="e">
        <f>NA()</f>
        <v>#N/A</v>
      </c>
    </row>
    <row r="8285" spans="1:2" x14ac:dyDescent="0.25">
      <c r="A8285" s="157">
        <v>34235</v>
      </c>
      <c r="B8285" s="158" t="e">
        <f>NA()</f>
        <v>#N/A</v>
      </c>
    </row>
    <row r="8286" spans="1:2" x14ac:dyDescent="0.25">
      <c r="A8286" s="157">
        <v>34236</v>
      </c>
      <c r="B8286" s="158" t="e">
        <f>NA()</f>
        <v>#N/A</v>
      </c>
    </row>
    <row r="8287" spans="1:2" x14ac:dyDescent="0.25">
      <c r="A8287" s="157">
        <v>34239</v>
      </c>
      <c r="B8287" s="158" t="e">
        <f>NA()</f>
        <v>#N/A</v>
      </c>
    </row>
    <row r="8288" spans="1:2" x14ac:dyDescent="0.25">
      <c r="A8288" s="157">
        <v>34240</v>
      </c>
      <c r="B8288" s="158" t="e">
        <f>NA()</f>
        <v>#N/A</v>
      </c>
    </row>
    <row r="8289" spans="1:2" x14ac:dyDescent="0.25">
      <c r="A8289" s="157">
        <v>34241</v>
      </c>
      <c r="B8289" s="158" t="e">
        <f>NA()</f>
        <v>#N/A</v>
      </c>
    </row>
    <row r="8290" spans="1:2" x14ac:dyDescent="0.25">
      <c r="A8290" s="157">
        <v>34242</v>
      </c>
      <c r="B8290" s="158" t="e">
        <f>NA()</f>
        <v>#N/A</v>
      </c>
    </row>
    <row r="8291" spans="1:2" x14ac:dyDescent="0.25">
      <c r="A8291" s="157">
        <v>34243</v>
      </c>
      <c r="B8291" s="158">
        <v>6.12</v>
      </c>
    </row>
    <row r="8292" spans="1:2" x14ac:dyDescent="0.25">
      <c r="A8292" s="157">
        <v>34246</v>
      </c>
      <c r="B8292" s="158">
        <v>6.1</v>
      </c>
    </row>
    <row r="8293" spans="1:2" x14ac:dyDescent="0.25">
      <c r="A8293" s="157">
        <v>34247</v>
      </c>
      <c r="B8293" s="158">
        <v>6.12</v>
      </c>
    </row>
    <row r="8294" spans="1:2" x14ac:dyDescent="0.25">
      <c r="A8294" s="157">
        <v>34248</v>
      </c>
      <c r="B8294" s="158">
        <v>6.12</v>
      </c>
    </row>
    <row r="8295" spans="1:2" x14ac:dyDescent="0.25">
      <c r="A8295" s="157">
        <v>34249</v>
      </c>
      <c r="B8295" s="158">
        <v>6.11</v>
      </c>
    </row>
    <row r="8296" spans="1:2" x14ac:dyDescent="0.25">
      <c r="A8296" s="157">
        <v>34250</v>
      </c>
      <c r="B8296" s="158">
        <v>6.02</v>
      </c>
    </row>
    <row r="8297" spans="1:2" x14ac:dyDescent="0.25">
      <c r="A8297" s="157">
        <v>34253</v>
      </c>
      <c r="B8297" s="158" t="e">
        <f>NA()</f>
        <v>#N/A</v>
      </c>
    </row>
    <row r="8298" spans="1:2" x14ac:dyDescent="0.25">
      <c r="A8298" s="157">
        <v>34254</v>
      </c>
      <c r="B8298" s="158">
        <v>6.02</v>
      </c>
    </row>
    <row r="8299" spans="1:2" x14ac:dyDescent="0.25">
      <c r="A8299" s="157">
        <v>34255</v>
      </c>
      <c r="B8299" s="158">
        <v>6.03</v>
      </c>
    </row>
    <row r="8300" spans="1:2" x14ac:dyDescent="0.25">
      <c r="A8300" s="157">
        <v>34256</v>
      </c>
      <c r="B8300" s="158">
        <v>5.98</v>
      </c>
    </row>
    <row r="8301" spans="1:2" x14ac:dyDescent="0.25">
      <c r="A8301" s="157">
        <v>34257</v>
      </c>
      <c r="B8301" s="158">
        <v>5.91</v>
      </c>
    </row>
    <row r="8302" spans="1:2" x14ac:dyDescent="0.25">
      <c r="A8302" s="157">
        <v>34260</v>
      </c>
      <c r="B8302" s="158">
        <v>5.99</v>
      </c>
    </row>
    <row r="8303" spans="1:2" x14ac:dyDescent="0.25">
      <c r="A8303" s="157">
        <v>34261</v>
      </c>
      <c r="B8303" s="158">
        <v>5.98</v>
      </c>
    </row>
    <row r="8304" spans="1:2" x14ac:dyDescent="0.25">
      <c r="A8304" s="157">
        <v>34262</v>
      </c>
      <c r="B8304" s="158">
        <v>5.97</v>
      </c>
    </row>
    <row r="8305" spans="1:2" x14ac:dyDescent="0.25">
      <c r="A8305" s="157">
        <v>34263</v>
      </c>
      <c r="B8305" s="158">
        <v>6.06</v>
      </c>
    </row>
    <row r="8306" spans="1:2" x14ac:dyDescent="0.25">
      <c r="A8306" s="157">
        <v>34264</v>
      </c>
      <c r="B8306" s="158">
        <v>6.13</v>
      </c>
    </row>
    <row r="8307" spans="1:2" x14ac:dyDescent="0.25">
      <c r="A8307" s="157">
        <v>34267</v>
      </c>
      <c r="B8307" s="158">
        <v>6.17</v>
      </c>
    </row>
    <row r="8308" spans="1:2" x14ac:dyDescent="0.25">
      <c r="A8308" s="157">
        <v>34268</v>
      </c>
      <c r="B8308" s="158">
        <v>6.14</v>
      </c>
    </row>
    <row r="8309" spans="1:2" x14ac:dyDescent="0.25">
      <c r="A8309" s="157">
        <v>34269</v>
      </c>
      <c r="B8309" s="158">
        <v>6.15</v>
      </c>
    </row>
    <row r="8310" spans="1:2" x14ac:dyDescent="0.25">
      <c r="A8310" s="157">
        <v>34270</v>
      </c>
      <c r="B8310" s="158">
        <v>6.11</v>
      </c>
    </row>
    <row r="8311" spans="1:2" x14ac:dyDescent="0.25">
      <c r="A8311" s="157">
        <v>34271</v>
      </c>
      <c r="B8311" s="158">
        <v>6.12</v>
      </c>
    </row>
    <row r="8312" spans="1:2" x14ac:dyDescent="0.25">
      <c r="A8312" s="157">
        <v>34274</v>
      </c>
      <c r="B8312" s="158">
        <v>6.19</v>
      </c>
    </row>
    <row r="8313" spans="1:2" x14ac:dyDescent="0.25">
      <c r="A8313" s="157">
        <v>34275</v>
      </c>
      <c r="B8313" s="158">
        <v>6.28</v>
      </c>
    </row>
    <row r="8314" spans="1:2" x14ac:dyDescent="0.25">
      <c r="A8314" s="157">
        <v>34276</v>
      </c>
      <c r="B8314" s="158">
        <v>6.32</v>
      </c>
    </row>
    <row r="8315" spans="1:2" x14ac:dyDescent="0.25">
      <c r="A8315" s="157">
        <v>34277</v>
      </c>
      <c r="B8315" s="158">
        <v>6.34</v>
      </c>
    </row>
    <row r="8316" spans="1:2" x14ac:dyDescent="0.25">
      <c r="A8316" s="157">
        <v>34278</v>
      </c>
      <c r="B8316" s="158">
        <v>6.4</v>
      </c>
    </row>
    <row r="8317" spans="1:2" x14ac:dyDescent="0.25">
      <c r="A8317" s="157">
        <v>34281</v>
      </c>
      <c r="B8317" s="158">
        <v>6.38</v>
      </c>
    </row>
    <row r="8318" spans="1:2" x14ac:dyDescent="0.25">
      <c r="A8318" s="157">
        <v>34282</v>
      </c>
      <c r="B8318" s="158">
        <v>6.31</v>
      </c>
    </row>
    <row r="8319" spans="1:2" x14ac:dyDescent="0.25">
      <c r="A8319" s="157">
        <v>34283</v>
      </c>
      <c r="B8319" s="158">
        <v>6.38</v>
      </c>
    </row>
    <row r="8320" spans="1:2" x14ac:dyDescent="0.25">
      <c r="A8320" s="157">
        <v>34284</v>
      </c>
      <c r="B8320" s="158" t="e">
        <f>NA()</f>
        <v>#N/A</v>
      </c>
    </row>
    <row r="8321" spans="1:2" x14ac:dyDescent="0.25">
      <c r="A8321" s="157">
        <v>34285</v>
      </c>
      <c r="B8321" s="158">
        <v>6.33</v>
      </c>
    </row>
    <row r="8322" spans="1:2" x14ac:dyDescent="0.25">
      <c r="A8322" s="157">
        <v>34288</v>
      </c>
      <c r="B8322" s="158">
        <v>6.36</v>
      </c>
    </row>
    <row r="8323" spans="1:2" x14ac:dyDescent="0.25">
      <c r="A8323" s="157">
        <v>34289</v>
      </c>
      <c r="B8323" s="158">
        <v>6.35</v>
      </c>
    </row>
    <row r="8324" spans="1:2" x14ac:dyDescent="0.25">
      <c r="A8324" s="157">
        <v>34290</v>
      </c>
      <c r="B8324" s="158">
        <v>6.35</v>
      </c>
    </row>
    <row r="8325" spans="1:2" x14ac:dyDescent="0.25">
      <c r="A8325" s="157">
        <v>34291</v>
      </c>
      <c r="B8325" s="158">
        <v>6.4</v>
      </c>
    </row>
    <row r="8326" spans="1:2" x14ac:dyDescent="0.25">
      <c r="A8326" s="157">
        <v>34292</v>
      </c>
      <c r="B8326" s="158">
        <v>6.5</v>
      </c>
    </row>
    <row r="8327" spans="1:2" x14ac:dyDescent="0.25">
      <c r="A8327" s="157">
        <v>34295</v>
      </c>
      <c r="B8327" s="158">
        <v>6.53</v>
      </c>
    </row>
    <row r="8328" spans="1:2" x14ac:dyDescent="0.25">
      <c r="A8328" s="157">
        <v>34296</v>
      </c>
      <c r="B8328" s="158">
        <v>6.46</v>
      </c>
    </row>
    <row r="8329" spans="1:2" x14ac:dyDescent="0.25">
      <c r="A8329" s="157">
        <v>34297</v>
      </c>
      <c r="B8329" s="158">
        <v>6.47</v>
      </c>
    </row>
    <row r="8330" spans="1:2" x14ac:dyDescent="0.25">
      <c r="A8330" s="157">
        <v>34298</v>
      </c>
      <c r="B8330" s="158" t="e">
        <f>NA()</f>
        <v>#N/A</v>
      </c>
    </row>
    <row r="8331" spans="1:2" x14ac:dyDescent="0.25">
      <c r="A8331" s="157">
        <v>34299</v>
      </c>
      <c r="B8331" s="158">
        <v>6.43</v>
      </c>
    </row>
    <row r="8332" spans="1:2" x14ac:dyDescent="0.25">
      <c r="A8332" s="157">
        <v>34302</v>
      </c>
      <c r="B8332" s="158">
        <v>6.4</v>
      </c>
    </row>
    <row r="8333" spans="1:2" x14ac:dyDescent="0.25">
      <c r="A8333" s="157">
        <v>34303</v>
      </c>
      <c r="B8333" s="158">
        <v>6.46</v>
      </c>
    </row>
    <row r="8334" spans="1:2" x14ac:dyDescent="0.25">
      <c r="A8334" s="157">
        <v>34304</v>
      </c>
      <c r="B8334" s="158">
        <v>6.44</v>
      </c>
    </row>
    <row r="8335" spans="1:2" x14ac:dyDescent="0.25">
      <c r="A8335" s="157">
        <v>34305</v>
      </c>
      <c r="B8335" s="158">
        <v>6.42</v>
      </c>
    </row>
    <row r="8336" spans="1:2" x14ac:dyDescent="0.25">
      <c r="A8336" s="157">
        <v>34306</v>
      </c>
      <c r="B8336" s="158">
        <v>6.39</v>
      </c>
    </row>
    <row r="8337" spans="1:2" x14ac:dyDescent="0.25">
      <c r="A8337" s="157">
        <v>34309</v>
      </c>
      <c r="B8337" s="158">
        <v>6.31</v>
      </c>
    </row>
    <row r="8338" spans="1:2" x14ac:dyDescent="0.25">
      <c r="A8338" s="157">
        <v>34310</v>
      </c>
      <c r="B8338" s="158">
        <v>6.31</v>
      </c>
    </row>
    <row r="8339" spans="1:2" x14ac:dyDescent="0.25">
      <c r="A8339" s="157">
        <v>34311</v>
      </c>
      <c r="B8339" s="158">
        <v>6.31</v>
      </c>
    </row>
    <row r="8340" spans="1:2" x14ac:dyDescent="0.25">
      <c r="A8340" s="157">
        <v>34312</v>
      </c>
      <c r="B8340" s="158">
        <v>6.29</v>
      </c>
    </row>
    <row r="8341" spans="1:2" x14ac:dyDescent="0.25">
      <c r="A8341" s="157">
        <v>34313</v>
      </c>
      <c r="B8341" s="158">
        <v>6.34</v>
      </c>
    </row>
    <row r="8342" spans="1:2" x14ac:dyDescent="0.25">
      <c r="A8342" s="157">
        <v>34316</v>
      </c>
      <c r="B8342" s="158">
        <v>6.4</v>
      </c>
    </row>
    <row r="8343" spans="1:2" x14ac:dyDescent="0.25">
      <c r="A8343" s="157">
        <v>34317</v>
      </c>
      <c r="B8343" s="158">
        <v>6.46</v>
      </c>
    </row>
    <row r="8344" spans="1:2" x14ac:dyDescent="0.25">
      <c r="A8344" s="157">
        <v>34318</v>
      </c>
      <c r="B8344" s="158">
        <v>6.46</v>
      </c>
    </row>
    <row r="8345" spans="1:2" x14ac:dyDescent="0.25">
      <c r="A8345" s="157">
        <v>34319</v>
      </c>
      <c r="B8345" s="158">
        <v>6.47</v>
      </c>
    </row>
    <row r="8346" spans="1:2" x14ac:dyDescent="0.25">
      <c r="A8346" s="157">
        <v>34320</v>
      </c>
      <c r="B8346" s="158">
        <v>6.44</v>
      </c>
    </row>
    <row r="8347" spans="1:2" x14ac:dyDescent="0.25">
      <c r="A8347" s="157">
        <v>34323</v>
      </c>
      <c r="B8347" s="158">
        <v>6.45</v>
      </c>
    </row>
    <row r="8348" spans="1:2" x14ac:dyDescent="0.25">
      <c r="A8348" s="157">
        <v>34324</v>
      </c>
      <c r="B8348" s="158">
        <v>6.47</v>
      </c>
    </row>
    <row r="8349" spans="1:2" x14ac:dyDescent="0.25">
      <c r="A8349" s="157">
        <v>34325</v>
      </c>
      <c r="B8349" s="158">
        <v>6.37</v>
      </c>
    </row>
    <row r="8350" spans="1:2" x14ac:dyDescent="0.25">
      <c r="A8350" s="157">
        <v>34326</v>
      </c>
      <c r="B8350" s="158">
        <v>6.36</v>
      </c>
    </row>
    <row r="8351" spans="1:2" x14ac:dyDescent="0.25">
      <c r="A8351" s="157">
        <v>34327</v>
      </c>
      <c r="B8351" s="158" t="e">
        <f>NA()</f>
        <v>#N/A</v>
      </c>
    </row>
    <row r="8352" spans="1:2" x14ac:dyDescent="0.25">
      <c r="A8352" s="157">
        <v>34330</v>
      </c>
      <c r="B8352" s="158">
        <v>6.36</v>
      </c>
    </row>
    <row r="8353" spans="1:2" x14ac:dyDescent="0.25">
      <c r="A8353" s="157">
        <v>34331</v>
      </c>
      <c r="B8353" s="158">
        <v>6.36</v>
      </c>
    </row>
    <row r="8354" spans="1:2" x14ac:dyDescent="0.25">
      <c r="A8354" s="157">
        <v>34332</v>
      </c>
      <c r="B8354" s="158">
        <v>6.38</v>
      </c>
    </row>
    <row r="8355" spans="1:2" x14ac:dyDescent="0.25">
      <c r="A8355" s="157">
        <v>34333</v>
      </c>
      <c r="B8355" s="158">
        <v>6.47</v>
      </c>
    </row>
    <row r="8356" spans="1:2" x14ac:dyDescent="0.25">
      <c r="A8356" s="157">
        <v>34334</v>
      </c>
      <c r="B8356" s="158">
        <v>6.48</v>
      </c>
    </row>
    <row r="8357" spans="1:2" x14ac:dyDescent="0.25">
      <c r="A8357" s="157">
        <v>34337</v>
      </c>
      <c r="B8357" s="158">
        <v>6.54</v>
      </c>
    </row>
    <row r="8358" spans="1:2" x14ac:dyDescent="0.25">
      <c r="A8358" s="157">
        <v>34338</v>
      </c>
      <c r="B8358" s="158">
        <v>6.51</v>
      </c>
    </row>
    <row r="8359" spans="1:2" x14ac:dyDescent="0.25">
      <c r="A8359" s="157">
        <v>34339</v>
      </c>
      <c r="B8359" s="158">
        <v>6.54</v>
      </c>
    </row>
    <row r="8360" spans="1:2" x14ac:dyDescent="0.25">
      <c r="A8360" s="157">
        <v>34340</v>
      </c>
      <c r="B8360" s="158">
        <v>6.48</v>
      </c>
    </row>
    <row r="8361" spans="1:2" x14ac:dyDescent="0.25">
      <c r="A8361" s="157">
        <v>34341</v>
      </c>
      <c r="B8361" s="158">
        <v>6.35</v>
      </c>
    </row>
    <row r="8362" spans="1:2" x14ac:dyDescent="0.25">
      <c r="A8362" s="157">
        <v>34344</v>
      </c>
      <c r="B8362" s="158">
        <v>6.35</v>
      </c>
    </row>
    <row r="8363" spans="1:2" x14ac:dyDescent="0.25">
      <c r="A8363" s="157">
        <v>34345</v>
      </c>
      <c r="B8363" s="158">
        <v>6.34</v>
      </c>
    </row>
    <row r="8364" spans="1:2" x14ac:dyDescent="0.25">
      <c r="A8364" s="157">
        <v>34346</v>
      </c>
      <c r="B8364" s="158">
        <v>6.26</v>
      </c>
    </row>
    <row r="8365" spans="1:2" x14ac:dyDescent="0.25">
      <c r="A8365" s="157">
        <v>34347</v>
      </c>
      <c r="B8365" s="158">
        <v>6.36</v>
      </c>
    </row>
    <row r="8366" spans="1:2" x14ac:dyDescent="0.25">
      <c r="A8366" s="157">
        <v>34348</v>
      </c>
      <c r="B8366" s="158">
        <v>6.41</v>
      </c>
    </row>
    <row r="8367" spans="1:2" x14ac:dyDescent="0.25">
      <c r="A8367" s="157">
        <v>34351</v>
      </c>
      <c r="B8367" s="158" t="e">
        <f>NA()</f>
        <v>#N/A</v>
      </c>
    </row>
    <row r="8368" spans="1:2" x14ac:dyDescent="0.25">
      <c r="A8368" s="157">
        <v>34352</v>
      </c>
      <c r="B8368" s="158">
        <v>6.38</v>
      </c>
    </row>
    <row r="8369" spans="1:2" x14ac:dyDescent="0.25">
      <c r="A8369" s="157">
        <v>34353</v>
      </c>
      <c r="B8369" s="158">
        <v>6.4</v>
      </c>
    </row>
    <row r="8370" spans="1:2" x14ac:dyDescent="0.25">
      <c r="A8370" s="157">
        <v>34354</v>
      </c>
      <c r="B8370" s="158">
        <v>6.36</v>
      </c>
    </row>
    <row r="8371" spans="1:2" x14ac:dyDescent="0.25">
      <c r="A8371" s="157">
        <v>34355</v>
      </c>
      <c r="B8371" s="158">
        <v>6.36</v>
      </c>
    </row>
    <row r="8372" spans="1:2" x14ac:dyDescent="0.25">
      <c r="A8372" s="157">
        <v>34358</v>
      </c>
      <c r="B8372" s="158">
        <v>6.38</v>
      </c>
    </row>
    <row r="8373" spans="1:2" x14ac:dyDescent="0.25">
      <c r="A8373" s="157">
        <v>34359</v>
      </c>
      <c r="B8373" s="158">
        <v>6.4</v>
      </c>
    </row>
    <row r="8374" spans="1:2" x14ac:dyDescent="0.25">
      <c r="A8374" s="157">
        <v>34360</v>
      </c>
      <c r="B8374" s="158">
        <v>6.39</v>
      </c>
    </row>
    <row r="8375" spans="1:2" x14ac:dyDescent="0.25">
      <c r="A8375" s="157">
        <v>34361</v>
      </c>
      <c r="B8375" s="158">
        <v>6.33</v>
      </c>
    </row>
    <row r="8376" spans="1:2" x14ac:dyDescent="0.25">
      <c r="A8376" s="157">
        <v>34362</v>
      </c>
      <c r="B8376" s="158">
        <v>6.27</v>
      </c>
    </row>
    <row r="8377" spans="1:2" x14ac:dyDescent="0.25">
      <c r="A8377" s="157">
        <v>34365</v>
      </c>
      <c r="B8377" s="158">
        <v>6.29</v>
      </c>
    </row>
    <row r="8378" spans="1:2" x14ac:dyDescent="0.25">
      <c r="A8378" s="157">
        <v>34366</v>
      </c>
      <c r="B8378" s="158">
        <v>6.37</v>
      </c>
    </row>
    <row r="8379" spans="1:2" x14ac:dyDescent="0.25">
      <c r="A8379" s="157">
        <v>34367</v>
      </c>
      <c r="B8379" s="158">
        <v>6.36</v>
      </c>
    </row>
    <row r="8380" spans="1:2" x14ac:dyDescent="0.25">
      <c r="A8380" s="157">
        <v>34368</v>
      </c>
      <c r="B8380" s="158">
        <v>6.38</v>
      </c>
    </row>
    <row r="8381" spans="1:2" x14ac:dyDescent="0.25">
      <c r="A8381" s="157">
        <v>34369</v>
      </c>
      <c r="B8381" s="158">
        <v>6.49</v>
      </c>
    </row>
    <row r="8382" spans="1:2" x14ac:dyDescent="0.25">
      <c r="A8382" s="157">
        <v>34372</v>
      </c>
      <c r="B8382" s="158">
        <v>6.5</v>
      </c>
    </row>
    <row r="8383" spans="1:2" x14ac:dyDescent="0.25">
      <c r="A8383" s="157">
        <v>34373</v>
      </c>
      <c r="B8383" s="158">
        <v>6.55</v>
      </c>
    </row>
    <row r="8384" spans="1:2" x14ac:dyDescent="0.25">
      <c r="A8384" s="157">
        <v>34374</v>
      </c>
      <c r="B8384" s="158">
        <v>6.52</v>
      </c>
    </row>
    <row r="8385" spans="1:2" x14ac:dyDescent="0.25">
      <c r="A8385" s="157">
        <v>34375</v>
      </c>
      <c r="B8385" s="158">
        <v>6.53</v>
      </c>
    </row>
    <row r="8386" spans="1:2" x14ac:dyDescent="0.25">
      <c r="A8386" s="157">
        <v>34376</v>
      </c>
      <c r="B8386" s="158">
        <v>6.5</v>
      </c>
    </row>
    <row r="8387" spans="1:2" x14ac:dyDescent="0.25">
      <c r="A8387" s="157">
        <v>34379</v>
      </c>
      <c r="B8387" s="158">
        <v>6.53</v>
      </c>
    </row>
    <row r="8388" spans="1:2" x14ac:dyDescent="0.25">
      <c r="A8388" s="157">
        <v>34380</v>
      </c>
      <c r="B8388" s="158">
        <v>6.53</v>
      </c>
    </row>
    <row r="8389" spans="1:2" x14ac:dyDescent="0.25">
      <c r="A8389" s="157">
        <v>34381</v>
      </c>
      <c r="B8389" s="158">
        <v>6.53</v>
      </c>
    </row>
    <row r="8390" spans="1:2" x14ac:dyDescent="0.25">
      <c r="A8390" s="157">
        <v>34382</v>
      </c>
      <c r="B8390" s="158">
        <v>6.62</v>
      </c>
    </row>
    <row r="8391" spans="1:2" x14ac:dyDescent="0.25">
      <c r="A8391" s="157">
        <v>34383</v>
      </c>
      <c r="B8391" s="158">
        <v>6.7</v>
      </c>
    </row>
    <row r="8392" spans="1:2" x14ac:dyDescent="0.25">
      <c r="A8392" s="157">
        <v>34386</v>
      </c>
      <c r="B8392" s="158" t="e">
        <f>NA()</f>
        <v>#N/A</v>
      </c>
    </row>
    <row r="8393" spans="1:2" x14ac:dyDescent="0.25">
      <c r="A8393" s="157">
        <v>34387</v>
      </c>
      <c r="B8393" s="158">
        <v>6.67</v>
      </c>
    </row>
    <row r="8394" spans="1:2" x14ac:dyDescent="0.25">
      <c r="A8394" s="157">
        <v>34388</v>
      </c>
      <c r="B8394" s="158">
        <v>6.73</v>
      </c>
    </row>
    <row r="8395" spans="1:2" x14ac:dyDescent="0.25">
      <c r="A8395" s="157">
        <v>34389</v>
      </c>
      <c r="B8395" s="158">
        <v>6.82</v>
      </c>
    </row>
    <row r="8396" spans="1:2" x14ac:dyDescent="0.25">
      <c r="A8396" s="157">
        <v>34390</v>
      </c>
      <c r="B8396" s="158">
        <v>6.8</v>
      </c>
    </row>
    <row r="8397" spans="1:2" x14ac:dyDescent="0.25">
      <c r="A8397" s="157">
        <v>34393</v>
      </c>
      <c r="B8397" s="158">
        <v>6.75</v>
      </c>
    </row>
    <row r="8398" spans="1:2" x14ac:dyDescent="0.25">
      <c r="A8398" s="157">
        <v>34394</v>
      </c>
      <c r="B8398" s="158">
        <v>6.86</v>
      </c>
    </row>
    <row r="8399" spans="1:2" x14ac:dyDescent="0.25">
      <c r="A8399" s="157">
        <v>34395</v>
      </c>
      <c r="B8399" s="158">
        <v>6.87</v>
      </c>
    </row>
    <row r="8400" spans="1:2" x14ac:dyDescent="0.25">
      <c r="A8400" s="157">
        <v>34396</v>
      </c>
      <c r="B8400" s="158">
        <v>6.92</v>
      </c>
    </row>
    <row r="8401" spans="1:2" x14ac:dyDescent="0.25">
      <c r="A8401" s="157">
        <v>34397</v>
      </c>
      <c r="B8401" s="158">
        <v>6.92</v>
      </c>
    </row>
    <row r="8402" spans="1:2" x14ac:dyDescent="0.25">
      <c r="A8402" s="157">
        <v>34400</v>
      </c>
      <c r="B8402" s="158">
        <v>6.87</v>
      </c>
    </row>
    <row r="8403" spans="1:2" x14ac:dyDescent="0.25">
      <c r="A8403" s="157">
        <v>34401</v>
      </c>
      <c r="B8403" s="158">
        <v>6.92</v>
      </c>
    </row>
    <row r="8404" spans="1:2" x14ac:dyDescent="0.25">
      <c r="A8404" s="157">
        <v>34402</v>
      </c>
      <c r="B8404" s="158">
        <v>6.93</v>
      </c>
    </row>
    <row r="8405" spans="1:2" x14ac:dyDescent="0.25">
      <c r="A8405" s="157">
        <v>34403</v>
      </c>
      <c r="B8405" s="158">
        <v>7.02</v>
      </c>
    </row>
    <row r="8406" spans="1:2" x14ac:dyDescent="0.25">
      <c r="A8406" s="157">
        <v>34404</v>
      </c>
      <c r="B8406" s="158">
        <v>6.99</v>
      </c>
    </row>
    <row r="8407" spans="1:2" x14ac:dyDescent="0.25">
      <c r="A8407" s="157">
        <v>34407</v>
      </c>
      <c r="B8407" s="158">
        <v>7.01</v>
      </c>
    </row>
    <row r="8408" spans="1:2" x14ac:dyDescent="0.25">
      <c r="A8408" s="157">
        <v>34408</v>
      </c>
      <c r="B8408" s="158">
        <v>6.99</v>
      </c>
    </row>
    <row r="8409" spans="1:2" x14ac:dyDescent="0.25">
      <c r="A8409" s="157">
        <v>34409</v>
      </c>
      <c r="B8409" s="158">
        <v>6.9</v>
      </c>
    </row>
    <row r="8410" spans="1:2" x14ac:dyDescent="0.25">
      <c r="A8410" s="157">
        <v>34410</v>
      </c>
      <c r="B8410" s="158">
        <v>6.91</v>
      </c>
    </row>
    <row r="8411" spans="1:2" x14ac:dyDescent="0.25">
      <c r="A8411" s="157">
        <v>34411</v>
      </c>
      <c r="B8411" s="158">
        <v>6.99</v>
      </c>
    </row>
    <row r="8412" spans="1:2" x14ac:dyDescent="0.25">
      <c r="A8412" s="157">
        <v>34414</v>
      </c>
      <c r="B8412" s="158">
        <v>7.03</v>
      </c>
    </row>
    <row r="8413" spans="1:2" x14ac:dyDescent="0.25">
      <c r="A8413" s="157">
        <v>34415</v>
      </c>
      <c r="B8413" s="158">
        <v>6.94</v>
      </c>
    </row>
    <row r="8414" spans="1:2" x14ac:dyDescent="0.25">
      <c r="A8414" s="157">
        <v>34416</v>
      </c>
      <c r="B8414" s="158">
        <v>6.95</v>
      </c>
    </row>
    <row r="8415" spans="1:2" x14ac:dyDescent="0.25">
      <c r="A8415" s="157">
        <v>34417</v>
      </c>
      <c r="B8415" s="158">
        <v>7.09</v>
      </c>
    </row>
    <row r="8416" spans="1:2" x14ac:dyDescent="0.25">
      <c r="A8416" s="157">
        <v>34418</v>
      </c>
      <c r="B8416" s="158">
        <v>7.1</v>
      </c>
    </row>
    <row r="8417" spans="1:2" x14ac:dyDescent="0.25">
      <c r="A8417" s="157">
        <v>34421</v>
      </c>
      <c r="B8417" s="158">
        <v>7.09</v>
      </c>
    </row>
    <row r="8418" spans="1:2" x14ac:dyDescent="0.25">
      <c r="A8418" s="157">
        <v>34422</v>
      </c>
      <c r="B8418" s="158">
        <v>7.17</v>
      </c>
    </row>
    <row r="8419" spans="1:2" x14ac:dyDescent="0.25">
      <c r="A8419" s="157">
        <v>34423</v>
      </c>
      <c r="B8419" s="158">
        <v>7.23</v>
      </c>
    </row>
    <row r="8420" spans="1:2" x14ac:dyDescent="0.25">
      <c r="A8420" s="157">
        <v>34424</v>
      </c>
      <c r="B8420" s="158">
        <v>7.23</v>
      </c>
    </row>
    <row r="8421" spans="1:2" x14ac:dyDescent="0.25">
      <c r="A8421" s="157">
        <v>34425</v>
      </c>
      <c r="B8421" s="158" t="e">
        <f>NA()</f>
        <v>#N/A</v>
      </c>
    </row>
    <row r="8422" spans="1:2" x14ac:dyDescent="0.25">
      <c r="A8422" s="157">
        <v>34428</v>
      </c>
      <c r="B8422" s="158">
        <v>7.55</v>
      </c>
    </row>
    <row r="8423" spans="1:2" x14ac:dyDescent="0.25">
      <c r="A8423" s="157">
        <v>34429</v>
      </c>
      <c r="B8423" s="158">
        <v>7.41</v>
      </c>
    </row>
    <row r="8424" spans="1:2" x14ac:dyDescent="0.25">
      <c r="A8424" s="157">
        <v>34430</v>
      </c>
      <c r="B8424" s="158">
        <v>7.38</v>
      </c>
    </row>
    <row r="8425" spans="1:2" x14ac:dyDescent="0.25">
      <c r="A8425" s="157">
        <v>34431</v>
      </c>
      <c r="B8425" s="158">
        <v>7.33</v>
      </c>
    </row>
    <row r="8426" spans="1:2" x14ac:dyDescent="0.25">
      <c r="A8426" s="157">
        <v>34432</v>
      </c>
      <c r="B8426" s="158">
        <v>7.4</v>
      </c>
    </row>
    <row r="8427" spans="1:2" x14ac:dyDescent="0.25">
      <c r="A8427" s="157">
        <v>34435</v>
      </c>
      <c r="B8427" s="158">
        <v>7.37</v>
      </c>
    </row>
    <row r="8428" spans="1:2" x14ac:dyDescent="0.25">
      <c r="A8428" s="157">
        <v>34436</v>
      </c>
      <c r="B8428" s="158">
        <v>7.32</v>
      </c>
    </row>
    <row r="8429" spans="1:2" x14ac:dyDescent="0.25">
      <c r="A8429" s="157">
        <v>34437</v>
      </c>
      <c r="B8429" s="158">
        <v>7.39</v>
      </c>
    </row>
    <row r="8430" spans="1:2" x14ac:dyDescent="0.25">
      <c r="A8430" s="157">
        <v>34438</v>
      </c>
      <c r="B8430" s="158">
        <v>7.43</v>
      </c>
    </row>
    <row r="8431" spans="1:2" x14ac:dyDescent="0.25">
      <c r="A8431" s="157">
        <v>34439</v>
      </c>
      <c r="B8431" s="158">
        <v>7.42</v>
      </c>
    </row>
    <row r="8432" spans="1:2" x14ac:dyDescent="0.25">
      <c r="A8432" s="157">
        <v>34442</v>
      </c>
      <c r="B8432" s="158">
        <v>7.55</v>
      </c>
    </row>
    <row r="8433" spans="1:2" x14ac:dyDescent="0.25">
      <c r="A8433" s="157">
        <v>34443</v>
      </c>
      <c r="B8433" s="158">
        <v>7.5</v>
      </c>
    </row>
    <row r="8434" spans="1:2" x14ac:dyDescent="0.25">
      <c r="A8434" s="157">
        <v>34444</v>
      </c>
      <c r="B8434" s="158">
        <v>7.46</v>
      </c>
    </row>
    <row r="8435" spans="1:2" x14ac:dyDescent="0.25">
      <c r="A8435" s="157">
        <v>34445</v>
      </c>
      <c r="B8435" s="158">
        <v>7.33</v>
      </c>
    </row>
    <row r="8436" spans="1:2" x14ac:dyDescent="0.25">
      <c r="A8436" s="157">
        <v>34446</v>
      </c>
      <c r="B8436" s="158">
        <v>7.34</v>
      </c>
    </row>
    <row r="8437" spans="1:2" x14ac:dyDescent="0.25">
      <c r="A8437" s="157">
        <v>34449</v>
      </c>
      <c r="B8437" s="158">
        <v>7.26</v>
      </c>
    </row>
    <row r="8438" spans="1:2" x14ac:dyDescent="0.25">
      <c r="A8438" s="157">
        <v>34450</v>
      </c>
      <c r="B8438" s="158">
        <v>7.24</v>
      </c>
    </row>
    <row r="8439" spans="1:2" x14ac:dyDescent="0.25">
      <c r="A8439" s="157">
        <v>34451</v>
      </c>
      <c r="B8439" s="158" t="e">
        <f>NA()</f>
        <v>#N/A</v>
      </c>
    </row>
    <row r="8440" spans="1:2" x14ac:dyDescent="0.25">
      <c r="A8440" s="157">
        <v>34452</v>
      </c>
      <c r="B8440" s="158">
        <v>7.41</v>
      </c>
    </row>
    <row r="8441" spans="1:2" x14ac:dyDescent="0.25">
      <c r="A8441" s="157">
        <v>34453</v>
      </c>
      <c r="B8441" s="158">
        <v>7.44</v>
      </c>
    </row>
    <row r="8442" spans="1:2" x14ac:dyDescent="0.25">
      <c r="A8442" s="157">
        <v>34456</v>
      </c>
      <c r="B8442" s="158">
        <v>7.45</v>
      </c>
    </row>
    <row r="8443" spans="1:2" x14ac:dyDescent="0.25">
      <c r="A8443" s="157">
        <v>34457</v>
      </c>
      <c r="B8443" s="158">
        <v>7.48</v>
      </c>
    </row>
    <row r="8444" spans="1:2" x14ac:dyDescent="0.25">
      <c r="A8444" s="157">
        <v>34458</v>
      </c>
      <c r="B8444" s="158">
        <v>7.49</v>
      </c>
    </row>
    <row r="8445" spans="1:2" x14ac:dyDescent="0.25">
      <c r="A8445" s="157">
        <v>34459</v>
      </c>
      <c r="B8445" s="158">
        <v>7.46</v>
      </c>
    </row>
    <row r="8446" spans="1:2" x14ac:dyDescent="0.25">
      <c r="A8446" s="157">
        <v>34460</v>
      </c>
      <c r="B8446" s="158">
        <v>7.67</v>
      </c>
    </row>
    <row r="8447" spans="1:2" x14ac:dyDescent="0.25">
      <c r="A8447" s="157">
        <v>34463</v>
      </c>
      <c r="B8447" s="158">
        <v>7.76</v>
      </c>
    </row>
    <row r="8448" spans="1:2" x14ac:dyDescent="0.25">
      <c r="A8448" s="157">
        <v>34464</v>
      </c>
      <c r="B8448" s="158">
        <v>7.62</v>
      </c>
    </row>
    <row r="8449" spans="1:2" x14ac:dyDescent="0.25">
      <c r="A8449" s="157">
        <v>34465</v>
      </c>
      <c r="B8449" s="158">
        <v>7.73</v>
      </c>
    </row>
    <row r="8450" spans="1:2" x14ac:dyDescent="0.25">
      <c r="A8450" s="157">
        <v>34466</v>
      </c>
      <c r="B8450" s="158">
        <v>7.69</v>
      </c>
    </row>
    <row r="8451" spans="1:2" x14ac:dyDescent="0.25">
      <c r="A8451" s="157">
        <v>34467</v>
      </c>
      <c r="B8451" s="158">
        <v>7.63</v>
      </c>
    </row>
    <row r="8452" spans="1:2" x14ac:dyDescent="0.25">
      <c r="A8452" s="157">
        <v>34470</v>
      </c>
      <c r="B8452" s="158">
        <v>7.58</v>
      </c>
    </row>
    <row r="8453" spans="1:2" x14ac:dyDescent="0.25">
      <c r="A8453" s="157">
        <v>34471</v>
      </c>
      <c r="B8453" s="158">
        <v>7.39</v>
      </c>
    </row>
    <row r="8454" spans="1:2" x14ac:dyDescent="0.25">
      <c r="A8454" s="157">
        <v>34472</v>
      </c>
      <c r="B8454" s="158">
        <v>7.41</v>
      </c>
    </row>
    <row r="8455" spans="1:2" x14ac:dyDescent="0.25">
      <c r="A8455" s="157">
        <v>34473</v>
      </c>
      <c r="B8455" s="158">
        <v>7.37</v>
      </c>
    </row>
    <row r="8456" spans="1:2" x14ac:dyDescent="0.25">
      <c r="A8456" s="157">
        <v>34474</v>
      </c>
      <c r="B8456" s="158">
        <v>7.44</v>
      </c>
    </row>
    <row r="8457" spans="1:2" x14ac:dyDescent="0.25">
      <c r="A8457" s="157">
        <v>34477</v>
      </c>
      <c r="B8457" s="158">
        <v>7.58</v>
      </c>
    </row>
    <row r="8458" spans="1:2" x14ac:dyDescent="0.25">
      <c r="A8458" s="157">
        <v>34478</v>
      </c>
      <c r="B8458" s="158">
        <v>7.54</v>
      </c>
    </row>
    <row r="8459" spans="1:2" x14ac:dyDescent="0.25">
      <c r="A8459" s="157">
        <v>34479</v>
      </c>
      <c r="B8459" s="158">
        <v>7.51</v>
      </c>
    </row>
    <row r="8460" spans="1:2" x14ac:dyDescent="0.25">
      <c r="A8460" s="157">
        <v>34480</v>
      </c>
      <c r="B8460" s="158">
        <v>7.51</v>
      </c>
    </row>
    <row r="8461" spans="1:2" x14ac:dyDescent="0.25">
      <c r="A8461" s="157">
        <v>34481</v>
      </c>
      <c r="B8461" s="158">
        <v>7.55</v>
      </c>
    </row>
    <row r="8462" spans="1:2" x14ac:dyDescent="0.25">
      <c r="A8462" s="157">
        <v>34484</v>
      </c>
      <c r="B8462" s="158" t="e">
        <f>NA()</f>
        <v>#N/A</v>
      </c>
    </row>
    <row r="8463" spans="1:2" x14ac:dyDescent="0.25">
      <c r="A8463" s="157">
        <v>34485</v>
      </c>
      <c r="B8463" s="158">
        <v>7.58</v>
      </c>
    </row>
    <row r="8464" spans="1:2" x14ac:dyDescent="0.25">
      <c r="A8464" s="157">
        <v>34486</v>
      </c>
      <c r="B8464" s="158">
        <v>7.52</v>
      </c>
    </row>
    <row r="8465" spans="1:2" x14ac:dyDescent="0.25">
      <c r="A8465" s="157">
        <v>34487</v>
      </c>
      <c r="B8465" s="158">
        <v>7.49</v>
      </c>
    </row>
    <row r="8466" spans="1:2" x14ac:dyDescent="0.25">
      <c r="A8466" s="157">
        <v>34488</v>
      </c>
      <c r="B8466" s="158">
        <v>7.39</v>
      </c>
    </row>
    <row r="8467" spans="1:2" x14ac:dyDescent="0.25">
      <c r="A8467" s="157">
        <v>34491</v>
      </c>
      <c r="B8467" s="158">
        <v>7.34</v>
      </c>
    </row>
    <row r="8468" spans="1:2" x14ac:dyDescent="0.25">
      <c r="A8468" s="157">
        <v>34492</v>
      </c>
      <c r="B8468" s="158">
        <v>7.37</v>
      </c>
    </row>
    <row r="8469" spans="1:2" x14ac:dyDescent="0.25">
      <c r="A8469" s="157">
        <v>34493</v>
      </c>
      <c r="B8469" s="158">
        <v>7.39</v>
      </c>
    </row>
    <row r="8470" spans="1:2" x14ac:dyDescent="0.25">
      <c r="A8470" s="157">
        <v>34494</v>
      </c>
      <c r="B8470" s="158">
        <v>7.39</v>
      </c>
    </row>
    <row r="8471" spans="1:2" x14ac:dyDescent="0.25">
      <c r="A8471" s="157">
        <v>34495</v>
      </c>
      <c r="B8471" s="158">
        <v>7.44</v>
      </c>
    </row>
    <row r="8472" spans="1:2" x14ac:dyDescent="0.25">
      <c r="A8472" s="157">
        <v>34498</v>
      </c>
      <c r="B8472" s="158">
        <v>7.47</v>
      </c>
    </row>
    <row r="8473" spans="1:2" x14ac:dyDescent="0.25">
      <c r="A8473" s="157">
        <v>34499</v>
      </c>
      <c r="B8473" s="158">
        <v>7.41</v>
      </c>
    </row>
    <row r="8474" spans="1:2" x14ac:dyDescent="0.25">
      <c r="A8474" s="157">
        <v>34500</v>
      </c>
      <c r="B8474" s="158">
        <v>7.53</v>
      </c>
    </row>
    <row r="8475" spans="1:2" x14ac:dyDescent="0.25">
      <c r="A8475" s="157">
        <v>34501</v>
      </c>
      <c r="B8475" s="158">
        <v>7.49</v>
      </c>
    </row>
    <row r="8476" spans="1:2" x14ac:dyDescent="0.25">
      <c r="A8476" s="157">
        <v>34502</v>
      </c>
      <c r="B8476" s="158">
        <v>7.58</v>
      </c>
    </row>
    <row r="8477" spans="1:2" x14ac:dyDescent="0.25">
      <c r="A8477" s="157">
        <v>34505</v>
      </c>
      <c r="B8477" s="158">
        <v>7.58</v>
      </c>
    </row>
    <row r="8478" spans="1:2" x14ac:dyDescent="0.25">
      <c r="A8478" s="157">
        <v>34506</v>
      </c>
      <c r="B8478" s="158">
        <v>7.63</v>
      </c>
    </row>
    <row r="8479" spans="1:2" x14ac:dyDescent="0.25">
      <c r="A8479" s="157">
        <v>34507</v>
      </c>
      <c r="B8479" s="158">
        <v>7.52</v>
      </c>
    </row>
    <row r="8480" spans="1:2" x14ac:dyDescent="0.25">
      <c r="A8480" s="157">
        <v>34508</v>
      </c>
      <c r="B8480" s="158">
        <v>7.51</v>
      </c>
    </row>
    <row r="8481" spans="1:2" x14ac:dyDescent="0.25">
      <c r="A8481" s="157">
        <v>34509</v>
      </c>
      <c r="B8481" s="158">
        <v>7.63</v>
      </c>
    </row>
    <row r="8482" spans="1:2" x14ac:dyDescent="0.25">
      <c r="A8482" s="157">
        <v>34512</v>
      </c>
      <c r="B8482" s="158">
        <v>7.57</v>
      </c>
    </row>
    <row r="8483" spans="1:2" x14ac:dyDescent="0.25">
      <c r="A8483" s="157">
        <v>34513</v>
      </c>
      <c r="B8483" s="158">
        <v>7.65</v>
      </c>
    </row>
    <row r="8484" spans="1:2" x14ac:dyDescent="0.25">
      <c r="A8484" s="157">
        <v>34514</v>
      </c>
      <c r="B8484" s="158">
        <v>7.63</v>
      </c>
    </row>
    <row r="8485" spans="1:2" x14ac:dyDescent="0.25">
      <c r="A8485" s="157">
        <v>34515</v>
      </c>
      <c r="B8485" s="158">
        <v>7.75</v>
      </c>
    </row>
    <row r="8486" spans="1:2" x14ac:dyDescent="0.25">
      <c r="A8486" s="157">
        <v>34516</v>
      </c>
      <c r="B8486" s="158">
        <v>7.74</v>
      </c>
    </row>
    <row r="8487" spans="1:2" x14ac:dyDescent="0.25">
      <c r="A8487" s="157">
        <v>34519</v>
      </c>
      <c r="B8487" s="158" t="e">
        <f>NA()</f>
        <v>#N/A</v>
      </c>
    </row>
    <row r="8488" spans="1:2" x14ac:dyDescent="0.25">
      <c r="A8488" s="157">
        <v>34520</v>
      </c>
      <c r="B8488" s="158">
        <v>7.71</v>
      </c>
    </row>
    <row r="8489" spans="1:2" x14ac:dyDescent="0.25">
      <c r="A8489" s="157">
        <v>34521</v>
      </c>
      <c r="B8489" s="158">
        <v>7.72</v>
      </c>
    </row>
    <row r="8490" spans="1:2" x14ac:dyDescent="0.25">
      <c r="A8490" s="157">
        <v>34522</v>
      </c>
      <c r="B8490" s="158">
        <v>7.71</v>
      </c>
    </row>
    <row r="8491" spans="1:2" x14ac:dyDescent="0.25">
      <c r="A8491" s="157">
        <v>34523</v>
      </c>
      <c r="B8491" s="158">
        <v>7.81</v>
      </c>
    </row>
    <row r="8492" spans="1:2" x14ac:dyDescent="0.25">
      <c r="A8492" s="157">
        <v>34526</v>
      </c>
      <c r="B8492" s="158">
        <v>7.84</v>
      </c>
    </row>
    <row r="8493" spans="1:2" x14ac:dyDescent="0.25">
      <c r="A8493" s="157">
        <v>34527</v>
      </c>
      <c r="B8493" s="158">
        <v>7.8</v>
      </c>
    </row>
    <row r="8494" spans="1:2" x14ac:dyDescent="0.25">
      <c r="A8494" s="157">
        <v>34528</v>
      </c>
      <c r="B8494" s="158">
        <v>7.79</v>
      </c>
    </row>
    <row r="8495" spans="1:2" x14ac:dyDescent="0.25">
      <c r="A8495" s="157">
        <v>34529</v>
      </c>
      <c r="B8495" s="158">
        <v>7.63</v>
      </c>
    </row>
    <row r="8496" spans="1:2" x14ac:dyDescent="0.25">
      <c r="A8496" s="157">
        <v>34530</v>
      </c>
      <c r="B8496" s="158">
        <v>7.64</v>
      </c>
    </row>
    <row r="8497" spans="1:2" x14ac:dyDescent="0.25">
      <c r="A8497" s="157">
        <v>34533</v>
      </c>
      <c r="B8497" s="158">
        <v>7.6</v>
      </c>
    </row>
    <row r="8498" spans="1:2" x14ac:dyDescent="0.25">
      <c r="A8498" s="157">
        <v>34534</v>
      </c>
      <c r="B8498" s="158">
        <v>7.56</v>
      </c>
    </row>
    <row r="8499" spans="1:2" x14ac:dyDescent="0.25">
      <c r="A8499" s="157">
        <v>34535</v>
      </c>
      <c r="B8499" s="158">
        <v>7.64</v>
      </c>
    </row>
    <row r="8500" spans="1:2" x14ac:dyDescent="0.25">
      <c r="A8500" s="157">
        <v>34536</v>
      </c>
      <c r="B8500" s="158">
        <v>7.64</v>
      </c>
    </row>
    <row r="8501" spans="1:2" x14ac:dyDescent="0.25">
      <c r="A8501" s="157">
        <v>34537</v>
      </c>
      <c r="B8501" s="158">
        <v>7.65</v>
      </c>
    </row>
    <row r="8502" spans="1:2" x14ac:dyDescent="0.25">
      <c r="A8502" s="157">
        <v>34540</v>
      </c>
      <c r="B8502" s="158">
        <v>7.61</v>
      </c>
    </row>
    <row r="8503" spans="1:2" x14ac:dyDescent="0.25">
      <c r="A8503" s="157">
        <v>34541</v>
      </c>
      <c r="B8503" s="158">
        <v>7.63</v>
      </c>
    </row>
    <row r="8504" spans="1:2" x14ac:dyDescent="0.25">
      <c r="A8504" s="157">
        <v>34542</v>
      </c>
      <c r="B8504" s="158">
        <v>7.69</v>
      </c>
    </row>
    <row r="8505" spans="1:2" x14ac:dyDescent="0.25">
      <c r="A8505" s="157">
        <v>34543</v>
      </c>
      <c r="B8505" s="158">
        <v>7.62</v>
      </c>
    </row>
    <row r="8506" spans="1:2" x14ac:dyDescent="0.25">
      <c r="A8506" s="157">
        <v>34544</v>
      </c>
      <c r="B8506" s="158">
        <v>7.46</v>
      </c>
    </row>
    <row r="8507" spans="1:2" x14ac:dyDescent="0.25">
      <c r="A8507" s="157">
        <v>34547</v>
      </c>
      <c r="B8507" s="158">
        <v>7.47</v>
      </c>
    </row>
    <row r="8508" spans="1:2" x14ac:dyDescent="0.25">
      <c r="A8508" s="157">
        <v>34548</v>
      </c>
      <c r="B8508" s="158">
        <v>7.46</v>
      </c>
    </row>
    <row r="8509" spans="1:2" x14ac:dyDescent="0.25">
      <c r="A8509" s="157">
        <v>34549</v>
      </c>
      <c r="B8509" s="158">
        <v>7.44</v>
      </c>
    </row>
    <row r="8510" spans="1:2" x14ac:dyDescent="0.25">
      <c r="A8510" s="157">
        <v>34550</v>
      </c>
      <c r="B8510" s="158">
        <v>7.47</v>
      </c>
    </row>
    <row r="8511" spans="1:2" x14ac:dyDescent="0.25">
      <c r="A8511" s="157">
        <v>34551</v>
      </c>
      <c r="B8511" s="158">
        <v>7.62</v>
      </c>
    </row>
    <row r="8512" spans="1:2" x14ac:dyDescent="0.25">
      <c r="A8512" s="157">
        <v>34554</v>
      </c>
      <c r="B8512" s="158">
        <v>7.61</v>
      </c>
    </row>
    <row r="8513" spans="1:2" x14ac:dyDescent="0.25">
      <c r="A8513" s="157">
        <v>34555</v>
      </c>
      <c r="B8513" s="158">
        <v>7.65</v>
      </c>
    </row>
    <row r="8514" spans="1:2" x14ac:dyDescent="0.25">
      <c r="A8514" s="157">
        <v>34556</v>
      </c>
      <c r="B8514" s="158">
        <v>7.66</v>
      </c>
    </row>
    <row r="8515" spans="1:2" x14ac:dyDescent="0.25">
      <c r="A8515" s="157">
        <v>34557</v>
      </c>
      <c r="B8515" s="158">
        <v>7.72</v>
      </c>
    </row>
    <row r="8516" spans="1:2" x14ac:dyDescent="0.25">
      <c r="A8516" s="157">
        <v>34558</v>
      </c>
      <c r="B8516" s="158">
        <v>7.66</v>
      </c>
    </row>
    <row r="8517" spans="1:2" x14ac:dyDescent="0.25">
      <c r="A8517" s="157">
        <v>34561</v>
      </c>
      <c r="B8517" s="158">
        <v>7.68</v>
      </c>
    </row>
    <row r="8518" spans="1:2" x14ac:dyDescent="0.25">
      <c r="A8518" s="157">
        <v>34562</v>
      </c>
      <c r="B8518" s="158">
        <v>7.56</v>
      </c>
    </row>
    <row r="8519" spans="1:2" x14ac:dyDescent="0.25">
      <c r="A8519" s="157">
        <v>34563</v>
      </c>
      <c r="B8519" s="158">
        <v>7.55</v>
      </c>
    </row>
    <row r="8520" spans="1:2" x14ac:dyDescent="0.25">
      <c r="A8520" s="157">
        <v>34564</v>
      </c>
      <c r="B8520" s="158">
        <v>7.67</v>
      </c>
    </row>
    <row r="8521" spans="1:2" x14ac:dyDescent="0.25">
      <c r="A8521" s="157">
        <v>34565</v>
      </c>
      <c r="B8521" s="158">
        <v>7.67</v>
      </c>
    </row>
    <row r="8522" spans="1:2" x14ac:dyDescent="0.25">
      <c r="A8522" s="157">
        <v>34568</v>
      </c>
      <c r="B8522" s="158">
        <v>7.73</v>
      </c>
    </row>
    <row r="8523" spans="1:2" x14ac:dyDescent="0.25">
      <c r="A8523" s="157">
        <v>34569</v>
      </c>
      <c r="B8523" s="158">
        <v>7.71</v>
      </c>
    </row>
    <row r="8524" spans="1:2" x14ac:dyDescent="0.25">
      <c r="A8524" s="157">
        <v>34570</v>
      </c>
      <c r="B8524" s="158">
        <v>7.63</v>
      </c>
    </row>
    <row r="8525" spans="1:2" x14ac:dyDescent="0.25">
      <c r="A8525" s="157">
        <v>34571</v>
      </c>
      <c r="B8525" s="158">
        <v>7.71</v>
      </c>
    </row>
    <row r="8526" spans="1:2" x14ac:dyDescent="0.25">
      <c r="A8526" s="157">
        <v>34572</v>
      </c>
      <c r="B8526" s="158">
        <v>7.65</v>
      </c>
    </row>
    <row r="8527" spans="1:2" x14ac:dyDescent="0.25">
      <c r="A8527" s="157">
        <v>34575</v>
      </c>
      <c r="B8527" s="158">
        <v>7.66</v>
      </c>
    </row>
    <row r="8528" spans="1:2" x14ac:dyDescent="0.25">
      <c r="A8528" s="157">
        <v>34576</v>
      </c>
      <c r="B8528" s="158">
        <v>7.62</v>
      </c>
    </row>
    <row r="8529" spans="1:2" x14ac:dyDescent="0.25">
      <c r="A8529" s="157">
        <v>34577</v>
      </c>
      <c r="B8529" s="158">
        <v>7.6</v>
      </c>
    </row>
    <row r="8530" spans="1:2" x14ac:dyDescent="0.25">
      <c r="A8530" s="157">
        <v>34578</v>
      </c>
      <c r="B8530" s="158">
        <v>7.6</v>
      </c>
    </row>
    <row r="8531" spans="1:2" x14ac:dyDescent="0.25">
      <c r="A8531" s="157">
        <v>34579</v>
      </c>
      <c r="B8531" s="158">
        <v>7.64</v>
      </c>
    </row>
    <row r="8532" spans="1:2" x14ac:dyDescent="0.25">
      <c r="A8532" s="157">
        <v>34582</v>
      </c>
      <c r="B8532" s="158" t="e">
        <f>NA()</f>
        <v>#N/A</v>
      </c>
    </row>
    <row r="8533" spans="1:2" x14ac:dyDescent="0.25">
      <c r="A8533" s="157">
        <v>34583</v>
      </c>
      <c r="B8533" s="158">
        <v>7.71</v>
      </c>
    </row>
    <row r="8534" spans="1:2" x14ac:dyDescent="0.25">
      <c r="A8534" s="157">
        <v>34584</v>
      </c>
      <c r="B8534" s="158">
        <v>7.73</v>
      </c>
    </row>
    <row r="8535" spans="1:2" x14ac:dyDescent="0.25">
      <c r="A8535" s="157">
        <v>34585</v>
      </c>
      <c r="B8535" s="158">
        <v>7.73</v>
      </c>
    </row>
    <row r="8536" spans="1:2" x14ac:dyDescent="0.25">
      <c r="A8536" s="157">
        <v>34586</v>
      </c>
      <c r="B8536" s="158">
        <v>7.88</v>
      </c>
    </row>
    <row r="8537" spans="1:2" x14ac:dyDescent="0.25">
      <c r="A8537" s="157">
        <v>34589</v>
      </c>
      <c r="B8537" s="158">
        <v>7.89</v>
      </c>
    </row>
    <row r="8538" spans="1:2" x14ac:dyDescent="0.25">
      <c r="A8538" s="157">
        <v>34590</v>
      </c>
      <c r="B8538" s="158">
        <v>7.87</v>
      </c>
    </row>
    <row r="8539" spans="1:2" x14ac:dyDescent="0.25">
      <c r="A8539" s="157">
        <v>34591</v>
      </c>
      <c r="B8539" s="158">
        <v>7.83</v>
      </c>
    </row>
    <row r="8540" spans="1:2" x14ac:dyDescent="0.25">
      <c r="A8540" s="157">
        <v>34592</v>
      </c>
      <c r="B8540" s="158">
        <v>7.8</v>
      </c>
    </row>
    <row r="8541" spans="1:2" x14ac:dyDescent="0.25">
      <c r="A8541" s="157">
        <v>34593</v>
      </c>
      <c r="B8541" s="158">
        <v>7.95</v>
      </c>
    </row>
    <row r="8542" spans="1:2" x14ac:dyDescent="0.25">
      <c r="A8542" s="157">
        <v>34596</v>
      </c>
      <c r="B8542" s="158">
        <v>7.9</v>
      </c>
    </row>
    <row r="8543" spans="1:2" x14ac:dyDescent="0.25">
      <c r="A8543" s="157">
        <v>34597</v>
      </c>
      <c r="B8543" s="158">
        <v>7.93</v>
      </c>
    </row>
    <row r="8544" spans="1:2" x14ac:dyDescent="0.25">
      <c r="A8544" s="157">
        <v>34598</v>
      </c>
      <c r="B8544" s="158">
        <v>7.95</v>
      </c>
    </row>
    <row r="8545" spans="1:2" x14ac:dyDescent="0.25">
      <c r="A8545" s="157">
        <v>34599</v>
      </c>
      <c r="B8545" s="158">
        <v>7.94</v>
      </c>
    </row>
    <row r="8546" spans="1:2" x14ac:dyDescent="0.25">
      <c r="A8546" s="157">
        <v>34600</v>
      </c>
      <c r="B8546" s="158">
        <v>7.95</v>
      </c>
    </row>
    <row r="8547" spans="1:2" x14ac:dyDescent="0.25">
      <c r="A8547" s="157">
        <v>34603</v>
      </c>
      <c r="B8547" s="158">
        <v>7.95</v>
      </c>
    </row>
    <row r="8548" spans="1:2" x14ac:dyDescent="0.25">
      <c r="A8548" s="157">
        <v>34604</v>
      </c>
      <c r="B8548" s="158">
        <v>8.01</v>
      </c>
    </row>
    <row r="8549" spans="1:2" x14ac:dyDescent="0.25">
      <c r="A8549" s="157">
        <v>34605</v>
      </c>
      <c r="B8549" s="158">
        <v>7.97</v>
      </c>
    </row>
    <row r="8550" spans="1:2" x14ac:dyDescent="0.25">
      <c r="A8550" s="157">
        <v>34606</v>
      </c>
      <c r="B8550" s="158">
        <v>8.02</v>
      </c>
    </row>
    <row r="8551" spans="1:2" x14ac:dyDescent="0.25">
      <c r="A8551" s="157">
        <v>34607</v>
      </c>
      <c r="B8551" s="158">
        <v>7.98</v>
      </c>
    </row>
    <row r="8552" spans="1:2" x14ac:dyDescent="0.25">
      <c r="A8552" s="157">
        <v>34610</v>
      </c>
      <c r="B8552" s="158">
        <v>8.02</v>
      </c>
    </row>
    <row r="8553" spans="1:2" x14ac:dyDescent="0.25">
      <c r="A8553" s="157">
        <v>34611</v>
      </c>
      <c r="B8553" s="158">
        <v>8.06</v>
      </c>
    </row>
    <row r="8554" spans="1:2" x14ac:dyDescent="0.25">
      <c r="A8554" s="157">
        <v>34612</v>
      </c>
      <c r="B8554" s="158">
        <v>8.1199999999999992</v>
      </c>
    </row>
    <row r="8555" spans="1:2" x14ac:dyDescent="0.25">
      <c r="A8555" s="157">
        <v>34613</v>
      </c>
      <c r="B8555" s="158">
        <v>8.1199999999999992</v>
      </c>
    </row>
    <row r="8556" spans="1:2" x14ac:dyDescent="0.25">
      <c r="A8556" s="157">
        <v>34614</v>
      </c>
      <c r="B8556" s="158">
        <v>8.07</v>
      </c>
    </row>
    <row r="8557" spans="1:2" x14ac:dyDescent="0.25">
      <c r="A8557" s="157">
        <v>34617</v>
      </c>
      <c r="B8557" s="158" t="e">
        <f>NA()</f>
        <v>#N/A</v>
      </c>
    </row>
    <row r="8558" spans="1:2" x14ac:dyDescent="0.25">
      <c r="A8558" s="157">
        <v>34618</v>
      </c>
      <c r="B8558" s="158">
        <v>8.02</v>
      </c>
    </row>
    <row r="8559" spans="1:2" x14ac:dyDescent="0.25">
      <c r="A8559" s="157">
        <v>34619</v>
      </c>
      <c r="B8559" s="158">
        <v>8.0399999999999991</v>
      </c>
    </row>
    <row r="8560" spans="1:2" x14ac:dyDescent="0.25">
      <c r="A8560" s="157">
        <v>34620</v>
      </c>
      <c r="B8560" s="158">
        <v>7.99</v>
      </c>
    </row>
    <row r="8561" spans="1:2" x14ac:dyDescent="0.25">
      <c r="A8561" s="157">
        <v>34621</v>
      </c>
      <c r="B8561" s="158">
        <v>7.98</v>
      </c>
    </row>
    <row r="8562" spans="1:2" x14ac:dyDescent="0.25">
      <c r="A8562" s="157">
        <v>34624</v>
      </c>
      <c r="B8562" s="158">
        <v>7.97</v>
      </c>
    </row>
    <row r="8563" spans="1:2" x14ac:dyDescent="0.25">
      <c r="A8563" s="157">
        <v>34625</v>
      </c>
      <c r="B8563" s="158">
        <v>8.01</v>
      </c>
    </row>
    <row r="8564" spans="1:2" x14ac:dyDescent="0.25">
      <c r="A8564" s="157">
        <v>34626</v>
      </c>
      <c r="B8564" s="158">
        <v>8.0399999999999991</v>
      </c>
    </row>
    <row r="8565" spans="1:2" x14ac:dyDescent="0.25">
      <c r="A8565" s="157">
        <v>34627</v>
      </c>
      <c r="B8565" s="158">
        <v>8.14</v>
      </c>
    </row>
    <row r="8566" spans="1:2" x14ac:dyDescent="0.25">
      <c r="A8566" s="157">
        <v>34628</v>
      </c>
      <c r="B8566" s="158">
        <v>8.1199999999999992</v>
      </c>
    </row>
    <row r="8567" spans="1:2" x14ac:dyDescent="0.25">
      <c r="A8567" s="157">
        <v>34631</v>
      </c>
      <c r="B8567" s="158">
        <v>8.17</v>
      </c>
    </row>
    <row r="8568" spans="1:2" x14ac:dyDescent="0.25">
      <c r="A8568" s="157">
        <v>34632</v>
      </c>
      <c r="B8568" s="158">
        <v>8.18</v>
      </c>
    </row>
    <row r="8569" spans="1:2" x14ac:dyDescent="0.25">
      <c r="A8569" s="157">
        <v>34633</v>
      </c>
      <c r="B8569" s="158">
        <v>8.19</v>
      </c>
    </row>
    <row r="8570" spans="1:2" x14ac:dyDescent="0.25">
      <c r="A8570" s="157">
        <v>34634</v>
      </c>
      <c r="B8570" s="158">
        <v>8.17</v>
      </c>
    </row>
    <row r="8571" spans="1:2" x14ac:dyDescent="0.25">
      <c r="A8571" s="157">
        <v>34635</v>
      </c>
      <c r="B8571" s="158">
        <v>8.09</v>
      </c>
    </row>
    <row r="8572" spans="1:2" x14ac:dyDescent="0.25">
      <c r="A8572" s="157">
        <v>34638</v>
      </c>
      <c r="B8572" s="158">
        <v>8.09</v>
      </c>
    </row>
    <row r="8573" spans="1:2" x14ac:dyDescent="0.25">
      <c r="A8573" s="157">
        <v>34639</v>
      </c>
      <c r="B8573" s="158">
        <v>8.1999999999999993</v>
      </c>
    </row>
    <row r="8574" spans="1:2" x14ac:dyDescent="0.25">
      <c r="A8574" s="157">
        <v>34640</v>
      </c>
      <c r="B8574" s="158">
        <v>8.2200000000000006</v>
      </c>
    </row>
    <row r="8575" spans="1:2" x14ac:dyDescent="0.25">
      <c r="A8575" s="157">
        <v>34641</v>
      </c>
      <c r="B8575" s="158">
        <v>8.24</v>
      </c>
    </row>
    <row r="8576" spans="1:2" x14ac:dyDescent="0.25">
      <c r="A8576" s="157">
        <v>34642</v>
      </c>
      <c r="B8576" s="158">
        <v>8.3000000000000007</v>
      </c>
    </row>
    <row r="8577" spans="1:2" x14ac:dyDescent="0.25">
      <c r="A8577" s="157">
        <v>34645</v>
      </c>
      <c r="B8577" s="158">
        <v>8.3000000000000007</v>
      </c>
    </row>
    <row r="8578" spans="1:2" x14ac:dyDescent="0.25">
      <c r="A8578" s="157">
        <v>34646</v>
      </c>
      <c r="B8578" s="158">
        <v>8.24</v>
      </c>
    </row>
    <row r="8579" spans="1:2" x14ac:dyDescent="0.25">
      <c r="A8579" s="157">
        <v>34647</v>
      </c>
      <c r="B8579" s="158">
        <v>8.2100000000000009</v>
      </c>
    </row>
    <row r="8580" spans="1:2" x14ac:dyDescent="0.25">
      <c r="A8580" s="157">
        <v>34648</v>
      </c>
      <c r="B8580" s="158">
        <v>8.27</v>
      </c>
    </row>
    <row r="8581" spans="1:2" x14ac:dyDescent="0.25">
      <c r="A8581" s="157">
        <v>34649</v>
      </c>
      <c r="B8581" s="158" t="e">
        <f>NA()</f>
        <v>#N/A</v>
      </c>
    </row>
    <row r="8582" spans="1:2" x14ac:dyDescent="0.25">
      <c r="A8582" s="157">
        <v>34652</v>
      </c>
      <c r="B8582" s="158">
        <v>8.1999999999999993</v>
      </c>
    </row>
    <row r="8583" spans="1:2" x14ac:dyDescent="0.25">
      <c r="A8583" s="157">
        <v>34653</v>
      </c>
      <c r="B8583" s="158">
        <v>8.15</v>
      </c>
    </row>
    <row r="8584" spans="1:2" x14ac:dyDescent="0.25">
      <c r="A8584" s="157">
        <v>34654</v>
      </c>
      <c r="B8584" s="158">
        <v>8.2200000000000006</v>
      </c>
    </row>
    <row r="8585" spans="1:2" x14ac:dyDescent="0.25">
      <c r="A8585" s="157">
        <v>34655</v>
      </c>
      <c r="B8585" s="158">
        <v>8.27</v>
      </c>
    </row>
    <row r="8586" spans="1:2" x14ac:dyDescent="0.25">
      <c r="A8586" s="157">
        <v>34656</v>
      </c>
      <c r="B8586" s="158">
        <v>8.26</v>
      </c>
    </row>
    <row r="8587" spans="1:2" x14ac:dyDescent="0.25">
      <c r="A8587" s="157">
        <v>34659</v>
      </c>
      <c r="B8587" s="158">
        <v>8.26</v>
      </c>
    </row>
    <row r="8588" spans="1:2" x14ac:dyDescent="0.25">
      <c r="A8588" s="157">
        <v>34660</v>
      </c>
      <c r="B8588" s="158">
        <v>8.23</v>
      </c>
    </row>
    <row r="8589" spans="1:2" x14ac:dyDescent="0.25">
      <c r="A8589" s="157">
        <v>34661</v>
      </c>
      <c r="B8589" s="158">
        <v>8.06</v>
      </c>
    </row>
    <row r="8590" spans="1:2" x14ac:dyDescent="0.25">
      <c r="A8590" s="157">
        <v>34662</v>
      </c>
      <c r="B8590" s="158" t="e">
        <f>NA()</f>
        <v>#N/A</v>
      </c>
    </row>
    <row r="8591" spans="1:2" x14ac:dyDescent="0.25">
      <c r="A8591" s="157">
        <v>34663</v>
      </c>
      <c r="B8591" s="158">
        <v>8.0399999999999991</v>
      </c>
    </row>
    <row r="8592" spans="1:2" x14ac:dyDescent="0.25">
      <c r="A8592" s="157">
        <v>34666</v>
      </c>
      <c r="B8592" s="158">
        <v>8.1</v>
      </c>
    </row>
    <row r="8593" spans="1:2" x14ac:dyDescent="0.25">
      <c r="A8593" s="157">
        <v>34667</v>
      </c>
      <c r="B8593" s="158">
        <v>8.15</v>
      </c>
    </row>
    <row r="8594" spans="1:2" x14ac:dyDescent="0.25">
      <c r="A8594" s="157">
        <v>34668</v>
      </c>
      <c r="B8594" s="158">
        <v>8.1</v>
      </c>
    </row>
    <row r="8595" spans="1:2" x14ac:dyDescent="0.25">
      <c r="A8595" s="157">
        <v>34669</v>
      </c>
      <c r="B8595" s="158">
        <v>8.1199999999999992</v>
      </c>
    </row>
    <row r="8596" spans="1:2" x14ac:dyDescent="0.25">
      <c r="A8596" s="157">
        <v>34670</v>
      </c>
      <c r="B8596" s="158">
        <v>8.01</v>
      </c>
    </row>
    <row r="8597" spans="1:2" x14ac:dyDescent="0.25">
      <c r="A8597" s="157">
        <v>34673</v>
      </c>
      <c r="B8597" s="158">
        <v>8.0399999999999991</v>
      </c>
    </row>
    <row r="8598" spans="1:2" x14ac:dyDescent="0.25">
      <c r="A8598" s="157">
        <v>34674</v>
      </c>
      <c r="B8598" s="158">
        <v>7.93</v>
      </c>
    </row>
    <row r="8599" spans="1:2" x14ac:dyDescent="0.25">
      <c r="A8599" s="157">
        <v>34675</v>
      </c>
      <c r="B8599" s="158">
        <v>8.01</v>
      </c>
    </row>
    <row r="8600" spans="1:2" x14ac:dyDescent="0.25">
      <c r="A8600" s="157">
        <v>34676</v>
      </c>
      <c r="B8600" s="158">
        <v>7.99</v>
      </c>
    </row>
    <row r="8601" spans="1:2" x14ac:dyDescent="0.25">
      <c r="A8601" s="157">
        <v>34677</v>
      </c>
      <c r="B8601" s="158">
        <v>7.97</v>
      </c>
    </row>
    <row r="8602" spans="1:2" x14ac:dyDescent="0.25">
      <c r="A8602" s="157">
        <v>34680</v>
      </c>
      <c r="B8602" s="158">
        <v>8.0399999999999991</v>
      </c>
    </row>
    <row r="8603" spans="1:2" x14ac:dyDescent="0.25">
      <c r="A8603" s="157">
        <v>34681</v>
      </c>
      <c r="B8603" s="158">
        <v>7.97</v>
      </c>
    </row>
    <row r="8604" spans="1:2" x14ac:dyDescent="0.25">
      <c r="A8604" s="157">
        <v>34682</v>
      </c>
      <c r="B8604" s="158">
        <v>8</v>
      </c>
    </row>
    <row r="8605" spans="1:2" x14ac:dyDescent="0.25">
      <c r="A8605" s="157">
        <v>34683</v>
      </c>
      <c r="B8605" s="158">
        <v>7.99</v>
      </c>
    </row>
    <row r="8606" spans="1:2" x14ac:dyDescent="0.25">
      <c r="A8606" s="157">
        <v>34684</v>
      </c>
      <c r="B8606" s="158">
        <v>7.98</v>
      </c>
    </row>
    <row r="8607" spans="1:2" x14ac:dyDescent="0.25">
      <c r="A8607" s="157">
        <v>34687</v>
      </c>
      <c r="B8607" s="158">
        <v>7.96</v>
      </c>
    </row>
    <row r="8608" spans="1:2" x14ac:dyDescent="0.25">
      <c r="A8608" s="157">
        <v>34688</v>
      </c>
      <c r="B8608" s="158">
        <v>7.98</v>
      </c>
    </row>
    <row r="8609" spans="1:2" x14ac:dyDescent="0.25">
      <c r="A8609" s="157">
        <v>34689</v>
      </c>
      <c r="B8609" s="158">
        <v>7.96</v>
      </c>
    </row>
    <row r="8610" spans="1:2" x14ac:dyDescent="0.25">
      <c r="A8610" s="157">
        <v>34690</v>
      </c>
      <c r="B8610" s="158">
        <v>7.99</v>
      </c>
    </row>
    <row r="8611" spans="1:2" x14ac:dyDescent="0.25">
      <c r="A8611" s="157">
        <v>34691</v>
      </c>
      <c r="B8611" s="158">
        <v>7.96</v>
      </c>
    </row>
    <row r="8612" spans="1:2" x14ac:dyDescent="0.25">
      <c r="A8612" s="157">
        <v>34694</v>
      </c>
      <c r="B8612" s="158" t="e">
        <f>NA()</f>
        <v>#N/A</v>
      </c>
    </row>
    <row r="8613" spans="1:2" x14ac:dyDescent="0.25">
      <c r="A8613" s="157">
        <v>34695</v>
      </c>
      <c r="B8613" s="158">
        <v>7.87</v>
      </c>
    </row>
    <row r="8614" spans="1:2" x14ac:dyDescent="0.25">
      <c r="A8614" s="157">
        <v>34696</v>
      </c>
      <c r="B8614" s="158">
        <v>7.96</v>
      </c>
    </row>
    <row r="8615" spans="1:2" x14ac:dyDescent="0.25">
      <c r="A8615" s="157">
        <v>34697</v>
      </c>
      <c r="B8615" s="158">
        <v>7.99</v>
      </c>
    </row>
    <row r="8616" spans="1:2" x14ac:dyDescent="0.25">
      <c r="A8616" s="157">
        <v>34698</v>
      </c>
      <c r="B8616" s="158">
        <v>8.02</v>
      </c>
    </row>
    <row r="8617" spans="1:2" x14ac:dyDescent="0.25">
      <c r="A8617" s="157">
        <v>34701</v>
      </c>
      <c r="B8617" s="158" t="e">
        <f>NA()</f>
        <v>#N/A</v>
      </c>
    </row>
    <row r="8618" spans="1:2" x14ac:dyDescent="0.25">
      <c r="A8618" s="157">
        <v>34702</v>
      </c>
      <c r="B8618" s="158">
        <v>8.07</v>
      </c>
    </row>
    <row r="8619" spans="1:2" x14ac:dyDescent="0.25">
      <c r="A8619" s="157">
        <v>34703</v>
      </c>
      <c r="B8619" s="158">
        <v>7.98</v>
      </c>
    </row>
    <row r="8620" spans="1:2" x14ac:dyDescent="0.25">
      <c r="A8620" s="157">
        <v>34704</v>
      </c>
      <c r="B8620" s="158">
        <v>8.0299999999999994</v>
      </c>
    </row>
    <row r="8621" spans="1:2" x14ac:dyDescent="0.25">
      <c r="A8621" s="157">
        <v>34705</v>
      </c>
      <c r="B8621" s="158">
        <v>8</v>
      </c>
    </row>
    <row r="8622" spans="1:2" x14ac:dyDescent="0.25">
      <c r="A8622" s="157">
        <v>34708</v>
      </c>
      <c r="B8622" s="158">
        <v>8.0299999999999994</v>
      </c>
    </row>
    <row r="8623" spans="1:2" x14ac:dyDescent="0.25">
      <c r="A8623" s="157">
        <v>34709</v>
      </c>
      <c r="B8623" s="158">
        <v>8</v>
      </c>
    </row>
    <row r="8624" spans="1:2" x14ac:dyDescent="0.25">
      <c r="A8624" s="157">
        <v>34710</v>
      </c>
      <c r="B8624" s="158">
        <v>7.98</v>
      </c>
    </row>
    <row r="8625" spans="1:2" x14ac:dyDescent="0.25">
      <c r="A8625" s="157">
        <v>34711</v>
      </c>
      <c r="B8625" s="158">
        <v>8.02</v>
      </c>
    </row>
    <row r="8626" spans="1:2" x14ac:dyDescent="0.25">
      <c r="A8626" s="157">
        <v>34712</v>
      </c>
      <c r="B8626" s="158">
        <v>7.93</v>
      </c>
    </row>
    <row r="8627" spans="1:2" x14ac:dyDescent="0.25">
      <c r="A8627" s="157">
        <v>34715</v>
      </c>
      <c r="B8627" s="158" t="e">
        <f>NA()</f>
        <v>#N/A</v>
      </c>
    </row>
    <row r="8628" spans="1:2" x14ac:dyDescent="0.25">
      <c r="A8628" s="157">
        <v>34716</v>
      </c>
      <c r="B8628" s="158">
        <v>7.92</v>
      </c>
    </row>
    <row r="8629" spans="1:2" x14ac:dyDescent="0.25">
      <c r="A8629" s="157">
        <v>34717</v>
      </c>
      <c r="B8629" s="158">
        <v>7.91</v>
      </c>
    </row>
    <row r="8630" spans="1:2" x14ac:dyDescent="0.25">
      <c r="A8630" s="157">
        <v>34718</v>
      </c>
      <c r="B8630" s="158">
        <v>7.95</v>
      </c>
    </row>
    <row r="8631" spans="1:2" x14ac:dyDescent="0.25">
      <c r="A8631" s="157">
        <v>34719</v>
      </c>
      <c r="B8631" s="158">
        <v>8.02</v>
      </c>
    </row>
    <row r="8632" spans="1:2" x14ac:dyDescent="0.25">
      <c r="A8632" s="157">
        <v>34722</v>
      </c>
      <c r="B8632" s="158">
        <v>8.02</v>
      </c>
    </row>
    <row r="8633" spans="1:2" x14ac:dyDescent="0.25">
      <c r="A8633" s="157">
        <v>34723</v>
      </c>
      <c r="B8633" s="158">
        <v>8.0500000000000007</v>
      </c>
    </row>
    <row r="8634" spans="1:2" x14ac:dyDescent="0.25">
      <c r="A8634" s="157">
        <v>34724</v>
      </c>
      <c r="B8634" s="158">
        <v>7.99</v>
      </c>
    </row>
    <row r="8635" spans="1:2" x14ac:dyDescent="0.25">
      <c r="A8635" s="157">
        <v>34725</v>
      </c>
      <c r="B8635" s="158">
        <v>7.95</v>
      </c>
    </row>
    <row r="8636" spans="1:2" x14ac:dyDescent="0.25">
      <c r="A8636" s="157">
        <v>34726</v>
      </c>
      <c r="B8636" s="158">
        <v>7.83</v>
      </c>
    </row>
    <row r="8637" spans="1:2" x14ac:dyDescent="0.25">
      <c r="A8637" s="157">
        <v>34729</v>
      </c>
      <c r="B8637" s="158">
        <v>7.86</v>
      </c>
    </row>
    <row r="8638" spans="1:2" x14ac:dyDescent="0.25">
      <c r="A8638" s="157">
        <v>34730</v>
      </c>
      <c r="B8638" s="158">
        <v>7.81</v>
      </c>
    </row>
    <row r="8639" spans="1:2" x14ac:dyDescent="0.25">
      <c r="A8639" s="157">
        <v>34731</v>
      </c>
      <c r="B8639" s="158">
        <v>7.85</v>
      </c>
    </row>
    <row r="8640" spans="1:2" x14ac:dyDescent="0.25">
      <c r="A8640" s="157">
        <v>34732</v>
      </c>
      <c r="B8640" s="158">
        <v>7.85</v>
      </c>
    </row>
    <row r="8641" spans="1:2" x14ac:dyDescent="0.25">
      <c r="A8641" s="157">
        <v>34733</v>
      </c>
      <c r="B8641" s="158">
        <v>7.7</v>
      </c>
    </row>
    <row r="8642" spans="1:2" x14ac:dyDescent="0.25">
      <c r="A8642" s="157">
        <v>34736</v>
      </c>
      <c r="B8642" s="158">
        <v>7.72</v>
      </c>
    </row>
    <row r="8643" spans="1:2" x14ac:dyDescent="0.25">
      <c r="A8643" s="157">
        <v>34737</v>
      </c>
      <c r="B8643" s="158">
        <v>7.73</v>
      </c>
    </row>
    <row r="8644" spans="1:2" x14ac:dyDescent="0.25">
      <c r="A8644" s="157">
        <v>34738</v>
      </c>
      <c r="B8644" s="158">
        <v>7.74</v>
      </c>
    </row>
    <row r="8645" spans="1:2" x14ac:dyDescent="0.25">
      <c r="A8645" s="157">
        <v>34739</v>
      </c>
      <c r="B8645" s="158">
        <v>7.78</v>
      </c>
    </row>
    <row r="8646" spans="1:2" x14ac:dyDescent="0.25">
      <c r="A8646" s="157">
        <v>34740</v>
      </c>
      <c r="B8646" s="158">
        <v>7.81</v>
      </c>
    </row>
    <row r="8647" spans="1:2" x14ac:dyDescent="0.25">
      <c r="A8647" s="157">
        <v>34743</v>
      </c>
      <c r="B8647" s="158">
        <v>7.8</v>
      </c>
    </row>
    <row r="8648" spans="1:2" x14ac:dyDescent="0.25">
      <c r="A8648" s="157">
        <v>34744</v>
      </c>
      <c r="B8648" s="158">
        <v>7.75</v>
      </c>
    </row>
    <row r="8649" spans="1:2" x14ac:dyDescent="0.25">
      <c r="A8649" s="157">
        <v>34745</v>
      </c>
      <c r="B8649" s="158">
        <v>7.7</v>
      </c>
    </row>
    <row r="8650" spans="1:2" x14ac:dyDescent="0.25">
      <c r="A8650" s="157">
        <v>34746</v>
      </c>
      <c r="B8650" s="158">
        <v>7.7</v>
      </c>
    </row>
    <row r="8651" spans="1:2" x14ac:dyDescent="0.25">
      <c r="A8651" s="157">
        <v>34747</v>
      </c>
      <c r="B8651" s="158">
        <v>7.71</v>
      </c>
    </row>
    <row r="8652" spans="1:2" x14ac:dyDescent="0.25">
      <c r="A8652" s="157">
        <v>34750</v>
      </c>
      <c r="B8652" s="158" t="e">
        <f>NA()</f>
        <v>#N/A</v>
      </c>
    </row>
    <row r="8653" spans="1:2" x14ac:dyDescent="0.25">
      <c r="A8653" s="157">
        <v>34751</v>
      </c>
      <c r="B8653" s="158">
        <v>7.74</v>
      </c>
    </row>
    <row r="8654" spans="1:2" x14ac:dyDescent="0.25">
      <c r="A8654" s="157">
        <v>34752</v>
      </c>
      <c r="B8654" s="158">
        <v>7.67</v>
      </c>
    </row>
    <row r="8655" spans="1:2" x14ac:dyDescent="0.25">
      <c r="A8655" s="157">
        <v>34753</v>
      </c>
      <c r="B8655" s="158">
        <v>7.68</v>
      </c>
    </row>
    <row r="8656" spans="1:2" x14ac:dyDescent="0.25">
      <c r="A8656" s="157">
        <v>34754</v>
      </c>
      <c r="B8656" s="158">
        <v>7.66</v>
      </c>
    </row>
    <row r="8657" spans="1:2" x14ac:dyDescent="0.25">
      <c r="A8657" s="157">
        <v>34757</v>
      </c>
      <c r="B8657" s="158">
        <v>7.61</v>
      </c>
    </row>
    <row r="8658" spans="1:2" x14ac:dyDescent="0.25">
      <c r="A8658" s="157">
        <v>34758</v>
      </c>
      <c r="B8658" s="158">
        <v>7.58</v>
      </c>
    </row>
    <row r="8659" spans="1:2" x14ac:dyDescent="0.25">
      <c r="A8659" s="157">
        <v>34759</v>
      </c>
      <c r="B8659" s="158">
        <v>7.57</v>
      </c>
    </row>
    <row r="8660" spans="1:2" x14ac:dyDescent="0.25">
      <c r="A8660" s="157">
        <v>34760</v>
      </c>
      <c r="B8660" s="158">
        <v>7.62</v>
      </c>
    </row>
    <row r="8661" spans="1:2" x14ac:dyDescent="0.25">
      <c r="A8661" s="157">
        <v>34761</v>
      </c>
      <c r="B8661" s="158">
        <v>7.68</v>
      </c>
    </row>
    <row r="8662" spans="1:2" x14ac:dyDescent="0.25">
      <c r="A8662" s="157">
        <v>34764</v>
      </c>
      <c r="B8662" s="158">
        <v>7.73</v>
      </c>
    </row>
    <row r="8663" spans="1:2" x14ac:dyDescent="0.25">
      <c r="A8663" s="157">
        <v>34765</v>
      </c>
      <c r="B8663" s="158">
        <v>7.78</v>
      </c>
    </row>
    <row r="8664" spans="1:2" x14ac:dyDescent="0.25">
      <c r="A8664" s="157">
        <v>34766</v>
      </c>
      <c r="B8664" s="158">
        <v>7.69</v>
      </c>
    </row>
    <row r="8665" spans="1:2" x14ac:dyDescent="0.25">
      <c r="A8665" s="157">
        <v>34767</v>
      </c>
      <c r="B8665" s="158">
        <v>7.65</v>
      </c>
    </row>
    <row r="8666" spans="1:2" x14ac:dyDescent="0.25">
      <c r="A8666" s="157">
        <v>34768</v>
      </c>
      <c r="B8666" s="158">
        <v>7.57</v>
      </c>
    </row>
    <row r="8667" spans="1:2" x14ac:dyDescent="0.25">
      <c r="A8667" s="157">
        <v>34771</v>
      </c>
      <c r="B8667" s="158">
        <v>7.56</v>
      </c>
    </row>
    <row r="8668" spans="1:2" x14ac:dyDescent="0.25">
      <c r="A8668" s="157">
        <v>34772</v>
      </c>
      <c r="B8668" s="158">
        <v>7.45</v>
      </c>
    </row>
    <row r="8669" spans="1:2" x14ac:dyDescent="0.25">
      <c r="A8669" s="157">
        <v>34773</v>
      </c>
      <c r="B8669" s="158">
        <v>7.47</v>
      </c>
    </row>
    <row r="8670" spans="1:2" x14ac:dyDescent="0.25">
      <c r="A8670" s="157">
        <v>34774</v>
      </c>
      <c r="B8670" s="158">
        <v>7.45</v>
      </c>
    </row>
    <row r="8671" spans="1:2" x14ac:dyDescent="0.25">
      <c r="A8671" s="157">
        <v>34775</v>
      </c>
      <c r="B8671" s="158">
        <v>7.48</v>
      </c>
    </row>
    <row r="8672" spans="1:2" x14ac:dyDescent="0.25">
      <c r="A8672" s="157">
        <v>34778</v>
      </c>
      <c r="B8672" s="158">
        <v>7.52</v>
      </c>
    </row>
    <row r="8673" spans="1:2" x14ac:dyDescent="0.25">
      <c r="A8673" s="157">
        <v>34779</v>
      </c>
      <c r="B8673" s="158">
        <v>7.57</v>
      </c>
    </row>
    <row r="8674" spans="1:2" x14ac:dyDescent="0.25">
      <c r="A8674" s="157">
        <v>34780</v>
      </c>
      <c r="B8674" s="158">
        <v>7.58</v>
      </c>
    </row>
    <row r="8675" spans="1:2" x14ac:dyDescent="0.25">
      <c r="A8675" s="157">
        <v>34781</v>
      </c>
      <c r="B8675" s="158">
        <v>7.6</v>
      </c>
    </row>
    <row r="8676" spans="1:2" x14ac:dyDescent="0.25">
      <c r="A8676" s="157">
        <v>34782</v>
      </c>
      <c r="B8676" s="158">
        <v>7.5</v>
      </c>
    </row>
    <row r="8677" spans="1:2" x14ac:dyDescent="0.25">
      <c r="A8677" s="157">
        <v>34785</v>
      </c>
      <c r="B8677" s="158">
        <v>7.44</v>
      </c>
    </row>
    <row r="8678" spans="1:2" x14ac:dyDescent="0.25">
      <c r="A8678" s="157">
        <v>34786</v>
      </c>
      <c r="B8678" s="158">
        <v>7.52</v>
      </c>
    </row>
    <row r="8679" spans="1:2" x14ac:dyDescent="0.25">
      <c r="A8679" s="157">
        <v>34787</v>
      </c>
      <c r="B8679" s="158">
        <v>7.5</v>
      </c>
    </row>
    <row r="8680" spans="1:2" x14ac:dyDescent="0.25">
      <c r="A8680" s="157">
        <v>34788</v>
      </c>
      <c r="B8680" s="158">
        <v>7.54</v>
      </c>
    </row>
    <row r="8681" spans="1:2" x14ac:dyDescent="0.25">
      <c r="A8681" s="157">
        <v>34789</v>
      </c>
      <c r="B8681" s="158">
        <v>7.54</v>
      </c>
    </row>
    <row r="8682" spans="1:2" x14ac:dyDescent="0.25">
      <c r="A8682" s="157">
        <v>34792</v>
      </c>
      <c r="B8682" s="158">
        <v>7.49</v>
      </c>
    </row>
    <row r="8683" spans="1:2" x14ac:dyDescent="0.25">
      <c r="A8683" s="157">
        <v>34793</v>
      </c>
      <c r="B8683" s="158">
        <v>7.48</v>
      </c>
    </row>
    <row r="8684" spans="1:2" x14ac:dyDescent="0.25">
      <c r="A8684" s="157">
        <v>34794</v>
      </c>
      <c r="B8684" s="158">
        <v>7.48</v>
      </c>
    </row>
    <row r="8685" spans="1:2" x14ac:dyDescent="0.25">
      <c r="A8685" s="157">
        <v>34795</v>
      </c>
      <c r="B8685" s="158">
        <v>7.47</v>
      </c>
    </row>
    <row r="8686" spans="1:2" x14ac:dyDescent="0.25">
      <c r="A8686" s="157">
        <v>34796</v>
      </c>
      <c r="B8686" s="158">
        <v>7.5</v>
      </c>
    </row>
    <row r="8687" spans="1:2" x14ac:dyDescent="0.25">
      <c r="A8687" s="157">
        <v>34799</v>
      </c>
      <c r="B8687" s="158">
        <v>7.49</v>
      </c>
    </row>
    <row r="8688" spans="1:2" x14ac:dyDescent="0.25">
      <c r="A8688" s="157">
        <v>34800</v>
      </c>
      <c r="B8688" s="158">
        <v>7.47</v>
      </c>
    </row>
    <row r="8689" spans="1:2" x14ac:dyDescent="0.25">
      <c r="A8689" s="157">
        <v>34801</v>
      </c>
      <c r="B8689" s="158">
        <v>7.46</v>
      </c>
    </row>
    <row r="8690" spans="1:2" x14ac:dyDescent="0.25">
      <c r="A8690" s="157">
        <v>34802</v>
      </c>
      <c r="B8690" s="158">
        <v>7.42</v>
      </c>
    </row>
    <row r="8691" spans="1:2" x14ac:dyDescent="0.25">
      <c r="A8691" s="157">
        <v>34803</v>
      </c>
      <c r="B8691" s="158" t="e">
        <f>NA()</f>
        <v>#N/A</v>
      </c>
    </row>
    <row r="8692" spans="1:2" x14ac:dyDescent="0.25">
      <c r="A8692" s="157">
        <v>34806</v>
      </c>
      <c r="B8692" s="158">
        <v>7.48</v>
      </c>
    </row>
    <row r="8693" spans="1:2" x14ac:dyDescent="0.25">
      <c r="A8693" s="157">
        <v>34807</v>
      </c>
      <c r="B8693" s="158">
        <v>7.49</v>
      </c>
    </row>
    <row r="8694" spans="1:2" x14ac:dyDescent="0.25">
      <c r="A8694" s="157">
        <v>34808</v>
      </c>
      <c r="B8694" s="158">
        <v>7.46</v>
      </c>
    </row>
    <row r="8695" spans="1:2" x14ac:dyDescent="0.25">
      <c r="A8695" s="157">
        <v>34809</v>
      </c>
      <c r="B8695" s="158">
        <v>7.43</v>
      </c>
    </row>
    <row r="8696" spans="1:2" x14ac:dyDescent="0.25">
      <c r="A8696" s="157">
        <v>34810</v>
      </c>
      <c r="B8696" s="158">
        <v>7.42</v>
      </c>
    </row>
    <row r="8697" spans="1:2" x14ac:dyDescent="0.25">
      <c r="A8697" s="157">
        <v>34813</v>
      </c>
      <c r="B8697" s="158">
        <v>7.39</v>
      </c>
    </row>
    <row r="8698" spans="1:2" x14ac:dyDescent="0.25">
      <c r="A8698" s="157">
        <v>34814</v>
      </c>
      <c r="B8698" s="158">
        <v>7.41</v>
      </c>
    </row>
    <row r="8699" spans="1:2" x14ac:dyDescent="0.25">
      <c r="A8699" s="157">
        <v>34815</v>
      </c>
      <c r="B8699" s="158">
        <v>7.4</v>
      </c>
    </row>
    <row r="8700" spans="1:2" x14ac:dyDescent="0.25">
      <c r="A8700" s="157">
        <v>34816</v>
      </c>
      <c r="B8700" s="158">
        <v>7.42</v>
      </c>
    </row>
    <row r="8701" spans="1:2" x14ac:dyDescent="0.25">
      <c r="A8701" s="157">
        <v>34817</v>
      </c>
      <c r="B8701" s="158">
        <v>7.42</v>
      </c>
    </row>
    <row r="8702" spans="1:2" x14ac:dyDescent="0.25">
      <c r="A8702" s="157">
        <v>34820</v>
      </c>
      <c r="B8702" s="158">
        <v>7.43</v>
      </c>
    </row>
    <row r="8703" spans="1:2" x14ac:dyDescent="0.25">
      <c r="A8703" s="157">
        <v>34821</v>
      </c>
      <c r="B8703" s="158">
        <v>7.41</v>
      </c>
    </row>
    <row r="8704" spans="1:2" x14ac:dyDescent="0.25">
      <c r="A8704" s="157">
        <v>34822</v>
      </c>
      <c r="B8704" s="158">
        <v>7.32</v>
      </c>
    </row>
    <row r="8705" spans="1:2" x14ac:dyDescent="0.25">
      <c r="A8705" s="157">
        <v>34823</v>
      </c>
      <c r="B8705" s="158">
        <v>7.22</v>
      </c>
    </row>
    <row r="8706" spans="1:2" x14ac:dyDescent="0.25">
      <c r="A8706" s="157">
        <v>34824</v>
      </c>
      <c r="B8706" s="158">
        <v>7.07</v>
      </c>
    </row>
    <row r="8707" spans="1:2" x14ac:dyDescent="0.25">
      <c r="A8707" s="157">
        <v>34827</v>
      </c>
      <c r="B8707" s="158">
        <v>7.08</v>
      </c>
    </row>
    <row r="8708" spans="1:2" x14ac:dyDescent="0.25">
      <c r="A8708" s="157">
        <v>34828</v>
      </c>
      <c r="B8708" s="158">
        <v>6.99</v>
      </c>
    </row>
    <row r="8709" spans="1:2" x14ac:dyDescent="0.25">
      <c r="A8709" s="157">
        <v>34829</v>
      </c>
      <c r="B8709" s="158">
        <v>7.04</v>
      </c>
    </row>
    <row r="8710" spans="1:2" x14ac:dyDescent="0.25">
      <c r="A8710" s="157">
        <v>34830</v>
      </c>
      <c r="B8710" s="158">
        <v>7.05</v>
      </c>
    </row>
    <row r="8711" spans="1:2" x14ac:dyDescent="0.25">
      <c r="A8711" s="157">
        <v>34831</v>
      </c>
      <c r="B8711" s="158">
        <v>7.05</v>
      </c>
    </row>
    <row r="8712" spans="1:2" x14ac:dyDescent="0.25">
      <c r="A8712" s="157">
        <v>34834</v>
      </c>
      <c r="B8712" s="158">
        <v>7</v>
      </c>
    </row>
    <row r="8713" spans="1:2" x14ac:dyDescent="0.25">
      <c r="A8713" s="157">
        <v>34835</v>
      </c>
      <c r="B8713" s="158">
        <v>6.92</v>
      </c>
    </row>
    <row r="8714" spans="1:2" x14ac:dyDescent="0.25">
      <c r="A8714" s="157">
        <v>34836</v>
      </c>
      <c r="B8714" s="158">
        <v>6.91</v>
      </c>
    </row>
    <row r="8715" spans="1:2" x14ac:dyDescent="0.25">
      <c r="A8715" s="157">
        <v>34837</v>
      </c>
      <c r="B8715" s="158">
        <v>6.96</v>
      </c>
    </row>
    <row r="8716" spans="1:2" x14ac:dyDescent="0.25">
      <c r="A8716" s="157">
        <v>34838</v>
      </c>
      <c r="B8716" s="158">
        <v>6.96</v>
      </c>
    </row>
    <row r="8717" spans="1:2" x14ac:dyDescent="0.25">
      <c r="A8717" s="157">
        <v>34841</v>
      </c>
      <c r="B8717" s="158">
        <v>6.98</v>
      </c>
    </row>
    <row r="8718" spans="1:2" x14ac:dyDescent="0.25">
      <c r="A8718" s="157">
        <v>34842</v>
      </c>
      <c r="B8718" s="158">
        <v>6.93</v>
      </c>
    </row>
    <row r="8719" spans="1:2" x14ac:dyDescent="0.25">
      <c r="A8719" s="157">
        <v>34843</v>
      </c>
      <c r="B8719" s="158">
        <v>6.81</v>
      </c>
    </row>
    <row r="8720" spans="1:2" x14ac:dyDescent="0.25">
      <c r="A8720" s="157">
        <v>34844</v>
      </c>
      <c r="B8720" s="158">
        <v>6.78</v>
      </c>
    </row>
    <row r="8721" spans="1:2" x14ac:dyDescent="0.25">
      <c r="A8721" s="157">
        <v>34845</v>
      </c>
      <c r="B8721" s="158">
        <v>6.8</v>
      </c>
    </row>
    <row r="8722" spans="1:2" x14ac:dyDescent="0.25">
      <c r="A8722" s="157">
        <v>34848</v>
      </c>
      <c r="B8722" s="158" t="e">
        <f>NA()</f>
        <v>#N/A</v>
      </c>
    </row>
    <row r="8723" spans="1:2" x14ac:dyDescent="0.25">
      <c r="A8723" s="157">
        <v>34849</v>
      </c>
      <c r="B8723" s="158">
        <v>6.72</v>
      </c>
    </row>
    <row r="8724" spans="1:2" x14ac:dyDescent="0.25">
      <c r="A8724" s="157">
        <v>34850</v>
      </c>
      <c r="B8724" s="158">
        <v>6.72</v>
      </c>
    </row>
    <row r="8725" spans="1:2" x14ac:dyDescent="0.25">
      <c r="A8725" s="157">
        <v>34851</v>
      </c>
      <c r="B8725" s="158">
        <v>6.64</v>
      </c>
    </row>
    <row r="8726" spans="1:2" x14ac:dyDescent="0.25">
      <c r="A8726" s="157">
        <v>34852</v>
      </c>
      <c r="B8726" s="158">
        <v>6.55</v>
      </c>
    </row>
    <row r="8727" spans="1:2" x14ac:dyDescent="0.25">
      <c r="A8727" s="157">
        <v>34855</v>
      </c>
      <c r="B8727" s="158">
        <v>6.54</v>
      </c>
    </row>
    <row r="8728" spans="1:2" x14ac:dyDescent="0.25">
      <c r="A8728" s="157">
        <v>34856</v>
      </c>
      <c r="B8728" s="158">
        <v>6.54</v>
      </c>
    </row>
    <row r="8729" spans="1:2" x14ac:dyDescent="0.25">
      <c r="A8729" s="157">
        <v>34857</v>
      </c>
      <c r="B8729" s="158">
        <v>6.56</v>
      </c>
    </row>
    <row r="8730" spans="1:2" x14ac:dyDescent="0.25">
      <c r="A8730" s="157">
        <v>34858</v>
      </c>
      <c r="B8730" s="158">
        <v>6.59</v>
      </c>
    </row>
    <row r="8731" spans="1:2" x14ac:dyDescent="0.25">
      <c r="A8731" s="157">
        <v>34859</v>
      </c>
      <c r="B8731" s="158">
        <v>6.76</v>
      </c>
    </row>
    <row r="8732" spans="1:2" x14ac:dyDescent="0.25">
      <c r="A8732" s="157">
        <v>34862</v>
      </c>
      <c r="B8732" s="158">
        <v>6.76</v>
      </c>
    </row>
    <row r="8733" spans="1:2" x14ac:dyDescent="0.25">
      <c r="A8733" s="157">
        <v>34863</v>
      </c>
      <c r="B8733" s="158">
        <v>6.58</v>
      </c>
    </row>
    <row r="8734" spans="1:2" x14ac:dyDescent="0.25">
      <c r="A8734" s="157">
        <v>34864</v>
      </c>
      <c r="B8734" s="158">
        <v>6.59</v>
      </c>
    </row>
    <row r="8735" spans="1:2" x14ac:dyDescent="0.25">
      <c r="A8735" s="157">
        <v>34865</v>
      </c>
      <c r="B8735" s="158">
        <v>6.64</v>
      </c>
    </row>
    <row r="8736" spans="1:2" x14ac:dyDescent="0.25">
      <c r="A8736" s="157">
        <v>34866</v>
      </c>
      <c r="B8736" s="158">
        <v>6.64</v>
      </c>
    </row>
    <row r="8737" spans="1:2" x14ac:dyDescent="0.25">
      <c r="A8737" s="157">
        <v>34869</v>
      </c>
      <c r="B8737" s="158">
        <v>6.59</v>
      </c>
    </row>
    <row r="8738" spans="1:2" x14ac:dyDescent="0.25">
      <c r="A8738" s="157">
        <v>34870</v>
      </c>
      <c r="B8738" s="158">
        <v>6.58</v>
      </c>
    </row>
    <row r="8739" spans="1:2" x14ac:dyDescent="0.25">
      <c r="A8739" s="157">
        <v>34871</v>
      </c>
      <c r="B8739" s="158">
        <v>6.56</v>
      </c>
    </row>
    <row r="8740" spans="1:2" x14ac:dyDescent="0.25">
      <c r="A8740" s="157">
        <v>34872</v>
      </c>
      <c r="B8740" s="158">
        <v>6.47</v>
      </c>
    </row>
    <row r="8741" spans="1:2" x14ac:dyDescent="0.25">
      <c r="A8741" s="157">
        <v>34873</v>
      </c>
      <c r="B8741" s="158">
        <v>6.51</v>
      </c>
    </row>
    <row r="8742" spans="1:2" x14ac:dyDescent="0.25">
      <c r="A8742" s="157">
        <v>34876</v>
      </c>
      <c r="B8742" s="158">
        <v>6.55</v>
      </c>
    </row>
    <row r="8743" spans="1:2" x14ac:dyDescent="0.25">
      <c r="A8743" s="157">
        <v>34877</v>
      </c>
      <c r="B8743" s="158">
        <v>6.57</v>
      </c>
    </row>
    <row r="8744" spans="1:2" x14ac:dyDescent="0.25">
      <c r="A8744" s="157">
        <v>34878</v>
      </c>
      <c r="B8744" s="158">
        <v>6.53</v>
      </c>
    </row>
    <row r="8745" spans="1:2" x14ac:dyDescent="0.25">
      <c r="A8745" s="157">
        <v>34879</v>
      </c>
      <c r="B8745" s="158">
        <v>6.69</v>
      </c>
    </row>
    <row r="8746" spans="1:2" x14ac:dyDescent="0.25">
      <c r="A8746" s="157">
        <v>34880</v>
      </c>
      <c r="B8746" s="158">
        <v>6.64</v>
      </c>
    </row>
    <row r="8747" spans="1:2" x14ac:dyDescent="0.25">
      <c r="A8747" s="157">
        <v>34883</v>
      </c>
      <c r="B8747" s="158">
        <v>6.68</v>
      </c>
    </row>
    <row r="8748" spans="1:2" x14ac:dyDescent="0.25">
      <c r="A8748" s="157">
        <v>34884</v>
      </c>
      <c r="B8748" s="158" t="e">
        <f>NA()</f>
        <v>#N/A</v>
      </c>
    </row>
    <row r="8749" spans="1:2" x14ac:dyDescent="0.25">
      <c r="A8749" s="157">
        <v>34885</v>
      </c>
      <c r="B8749" s="158">
        <v>6.64</v>
      </c>
    </row>
    <row r="8750" spans="1:2" x14ac:dyDescent="0.25">
      <c r="A8750" s="157">
        <v>34886</v>
      </c>
      <c r="B8750" s="158">
        <v>6.53</v>
      </c>
    </row>
    <row r="8751" spans="1:2" x14ac:dyDescent="0.25">
      <c r="A8751" s="157">
        <v>34887</v>
      </c>
      <c r="B8751" s="158">
        <v>6.52</v>
      </c>
    </row>
    <row r="8752" spans="1:2" x14ac:dyDescent="0.25">
      <c r="A8752" s="157">
        <v>34890</v>
      </c>
      <c r="B8752" s="158">
        <v>6.51</v>
      </c>
    </row>
    <row r="8753" spans="1:2" x14ac:dyDescent="0.25">
      <c r="A8753" s="157">
        <v>34891</v>
      </c>
      <c r="B8753" s="158">
        <v>6.57</v>
      </c>
    </row>
    <row r="8754" spans="1:2" x14ac:dyDescent="0.25">
      <c r="A8754" s="157">
        <v>34892</v>
      </c>
      <c r="B8754" s="158">
        <v>6.55</v>
      </c>
    </row>
    <row r="8755" spans="1:2" x14ac:dyDescent="0.25">
      <c r="A8755" s="157">
        <v>34893</v>
      </c>
      <c r="B8755" s="158">
        <v>6.56</v>
      </c>
    </row>
    <row r="8756" spans="1:2" x14ac:dyDescent="0.25">
      <c r="A8756" s="157">
        <v>34894</v>
      </c>
      <c r="B8756" s="158">
        <v>6.61</v>
      </c>
    </row>
    <row r="8757" spans="1:2" x14ac:dyDescent="0.25">
      <c r="A8757" s="157">
        <v>34897</v>
      </c>
      <c r="B8757" s="158">
        <v>6.69</v>
      </c>
    </row>
    <row r="8758" spans="1:2" x14ac:dyDescent="0.25">
      <c r="A8758" s="157">
        <v>34898</v>
      </c>
      <c r="B8758" s="158">
        <v>6.74</v>
      </c>
    </row>
    <row r="8759" spans="1:2" x14ac:dyDescent="0.25">
      <c r="A8759" s="157">
        <v>34899</v>
      </c>
      <c r="B8759" s="158">
        <v>6.9</v>
      </c>
    </row>
    <row r="8760" spans="1:2" x14ac:dyDescent="0.25">
      <c r="A8760" s="157">
        <v>34900</v>
      </c>
      <c r="B8760" s="158">
        <v>6.89</v>
      </c>
    </row>
    <row r="8761" spans="1:2" x14ac:dyDescent="0.25">
      <c r="A8761" s="157">
        <v>34901</v>
      </c>
      <c r="B8761" s="158">
        <v>6.98</v>
      </c>
    </row>
    <row r="8762" spans="1:2" x14ac:dyDescent="0.25">
      <c r="A8762" s="157">
        <v>34904</v>
      </c>
      <c r="B8762" s="158">
        <v>6.91</v>
      </c>
    </row>
    <row r="8763" spans="1:2" x14ac:dyDescent="0.25">
      <c r="A8763" s="157">
        <v>34905</v>
      </c>
      <c r="B8763" s="158">
        <v>6.86</v>
      </c>
    </row>
    <row r="8764" spans="1:2" x14ac:dyDescent="0.25">
      <c r="A8764" s="157">
        <v>34906</v>
      </c>
      <c r="B8764" s="158">
        <v>6.92</v>
      </c>
    </row>
    <row r="8765" spans="1:2" x14ac:dyDescent="0.25">
      <c r="A8765" s="157">
        <v>34907</v>
      </c>
      <c r="B8765" s="158">
        <v>6.86</v>
      </c>
    </row>
    <row r="8766" spans="1:2" x14ac:dyDescent="0.25">
      <c r="A8766" s="157">
        <v>34908</v>
      </c>
      <c r="B8766" s="158">
        <v>6.93</v>
      </c>
    </row>
    <row r="8767" spans="1:2" x14ac:dyDescent="0.25">
      <c r="A8767" s="157">
        <v>34911</v>
      </c>
      <c r="B8767" s="158">
        <v>6.88</v>
      </c>
    </row>
    <row r="8768" spans="1:2" x14ac:dyDescent="0.25">
      <c r="A8768" s="157">
        <v>34912</v>
      </c>
      <c r="B8768" s="158">
        <v>6.95</v>
      </c>
    </row>
    <row r="8769" spans="1:2" x14ac:dyDescent="0.25">
      <c r="A8769" s="157">
        <v>34913</v>
      </c>
      <c r="B8769" s="158">
        <v>6.88</v>
      </c>
    </row>
    <row r="8770" spans="1:2" x14ac:dyDescent="0.25">
      <c r="A8770" s="157">
        <v>34914</v>
      </c>
      <c r="B8770" s="158">
        <v>6.95</v>
      </c>
    </row>
    <row r="8771" spans="1:2" x14ac:dyDescent="0.25">
      <c r="A8771" s="157">
        <v>34915</v>
      </c>
      <c r="B8771" s="158">
        <v>6.92</v>
      </c>
    </row>
    <row r="8772" spans="1:2" x14ac:dyDescent="0.25">
      <c r="A8772" s="157">
        <v>34918</v>
      </c>
      <c r="B8772" s="158">
        <v>6.91</v>
      </c>
    </row>
    <row r="8773" spans="1:2" x14ac:dyDescent="0.25">
      <c r="A8773" s="157">
        <v>34919</v>
      </c>
      <c r="B8773" s="158">
        <v>6.9</v>
      </c>
    </row>
    <row r="8774" spans="1:2" x14ac:dyDescent="0.25">
      <c r="A8774" s="157">
        <v>34920</v>
      </c>
      <c r="B8774" s="158">
        <v>6.93</v>
      </c>
    </row>
    <row r="8775" spans="1:2" x14ac:dyDescent="0.25">
      <c r="A8775" s="157">
        <v>34921</v>
      </c>
      <c r="B8775" s="158">
        <v>6.97</v>
      </c>
    </row>
    <row r="8776" spans="1:2" x14ac:dyDescent="0.25">
      <c r="A8776" s="157">
        <v>34922</v>
      </c>
      <c r="B8776" s="158">
        <v>7.06</v>
      </c>
    </row>
    <row r="8777" spans="1:2" x14ac:dyDescent="0.25">
      <c r="A8777" s="157">
        <v>34925</v>
      </c>
      <c r="B8777" s="158">
        <v>7.06</v>
      </c>
    </row>
    <row r="8778" spans="1:2" x14ac:dyDescent="0.25">
      <c r="A8778" s="157">
        <v>34926</v>
      </c>
      <c r="B8778" s="158">
        <v>7</v>
      </c>
    </row>
    <row r="8779" spans="1:2" x14ac:dyDescent="0.25">
      <c r="A8779" s="157">
        <v>34927</v>
      </c>
      <c r="B8779" s="158">
        <v>6.97</v>
      </c>
    </row>
    <row r="8780" spans="1:2" x14ac:dyDescent="0.25">
      <c r="A8780" s="157">
        <v>34928</v>
      </c>
      <c r="B8780" s="158">
        <v>6.99</v>
      </c>
    </row>
    <row r="8781" spans="1:2" x14ac:dyDescent="0.25">
      <c r="A8781" s="157">
        <v>34929</v>
      </c>
      <c r="B8781" s="158">
        <v>7</v>
      </c>
    </row>
    <row r="8782" spans="1:2" x14ac:dyDescent="0.25">
      <c r="A8782" s="157">
        <v>34932</v>
      </c>
      <c r="B8782" s="158">
        <v>6.95</v>
      </c>
    </row>
    <row r="8783" spans="1:2" x14ac:dyDescent="0.25">
      <c r="A8783" s="157">
        <v>34933</v>
      </c>
      <c r="B8783" s="158">
        <v>6.98</v>
      </c>
    </row>
    <row r="8784" spans="1:2" x14ac:dyDescent="0.25">
      <c r="A8784" s="157">
        <v>34934</v>
      </c>
      <c r="B8784" s="158">
        <v>7.01</v>
      </c>
    </row>
    <row r="8785" spans="1:2" x14ac:dyDescent="0.25">
      <c r="A8785" s="157">
        <v>34935</v>
      </c>
      <c r="B8785" s="158">
        <v>6.92</v>
      </c>
    </row>
    <row r="8786" spans="1:2" x14ac:dyDescent="0.25">
      <c r="A8786" s="157">
        <v>34936</v>
      </c>
      <c r="B8786" s="158">
        <v>6.8</v>
      </c>
    </row>
    <row r="8787" spans="1:2" x14ac:dyDescent="0.25">
      <c r="A8787" s="157">
        <v>34939</v>
      </c>
      <c r="B8787" s="158">
        <v>6.77</v>
      </c>
    </row>
    <row r="8788" spans="1:2" x14ac:dyDescent="0.25">
      <c r="A8788" s="157">
        <v>34940</v>
      </c>
      <c r="B8788" s="158">
        <v>6.79</v>
      </c>
    </row>
    <row r="8789" spans="1:2" x14ac:dyDescent="0.25">
      <c r="A8789" s="157">
        <v>34941</v>
      </c>
      <c r="B8789" s="158">
        <v>6.77</v>
      </c>
    </row>
    <row r="8790" spans="1:2" x14ac:dyDescent="0.25">
      <c r="A8790" s="157">
        <v>34942</v>
      </c>
      <c r="B8790" s="158">
        <v>6.72</v>
      </c>
    </row>
    <row r="8791" spans="1:2" x14ac:dyDescent="0.25">
      <c r="A8791" s="157">
        <v>34943</v>
      </c>
      <c r="B8791" s="158">
        <v>6.67</v>
      </c>
    </row>
    <row r="8792" spans="1:2" x14ac:dyDescent="0.25">
      <c r="A8792" s="157">
        <v>34946</v>
      </c>
      <c r="B8792" s="158" t="e">
        <f>NA()</f>
        <v>#N/A</v>
      </c>
    </row>
    <row r="8793" spans="1:2" x14ac:dyDescent="0.25">
      <c r="A8793" s="157">
        <v>34947</v>
      </c>
      <c r="B8793" s="158">
        <v>6.63</v>
      </c>
    </row>
    <row r="8794" spans="1:2" x14ac:dyDescent="0.25">
      <c r="A8794" s="157">
        <v>34948</v>
      </c>
      <c r="B8794" s="158">
        <v>6.63</v>
      </c>
    </row>
    <row r="8795" spans="1:2" x14ac:dyDescent="0.25">
      <c r="A8795" s="157">
        <v>34949</v>
      </c>
      <c r="B8795" s="158">
        <v>6.66</v>
      </c>
    </row>
    <row r="8796" spans="1:2" x14ac:dyDescent="0.25">
      <c r="A8796" s="157">
        <v>34950</v>
      </c>
      <c r="B8796" s="158">
        <v>6.66</v>
      </c>
    </row>
    <row r="8797" spans="1:2" x14ac:dyDescent="0.25">
      <c r="A8797" s="157">
        <v>34953</v>
      </c>
      <c r="B8797" s="158">
        <v>6.67</v>
      </c>
    </row>
    <row r="8798" spans="1:2" x14ac:dyDescent="0.25">
      <c r="A8798" s="157">
        <v>34954</v>
      </c>
      <c r="B8798" s="158">
        <v>6.6</v>
      </c>
    </row>
    <row r="8799" spans="1:2" x14ac:dyDescent="0.25">
      <c r="A8799" s="157">
        <v>34955</v>
      </c>
      <c r="B8799" s="158">
        <v>6.63</v>
      </c>
    </row>
    <row r="8800" spans="1:2" x14ac:dyDescent="0.25">
      <c r="A8800" s="157">
        <v>34956</v>
      </c>
      <c r="B8800" s="158">
        <v>6.56</v>
      </c>
    </row>
    <row r="8801" spans="1:2" x14ac:dyDescent="0.25">
      <c r="A8801" s="157">
        <v>34957</v>
      </c>
      <c r="B8801" s="158">
        <v>6.58</v>
      </c>
    </row>
    <row r="8802" spans="1:2" x14ac:dyDescent="0.25">
      <c r="A8802" s="157">
        <v>34960</v>
      </c>
      <c r="B8802" s="158">
        <v>6.64</v>
      </c>
    </row>
    <row r="8803" spans="1:2" x14ac:dyDescent="0.25">
      <c r="A8803" s="157">
        <v>34961</v>
      </c>
      <c r="B8803" s="158">
        <v>6.61</v>
      </c>
    </row>
    <row r="8804" spans="1:2" x14ac:dyDescent="0.25">
      <c r="A8804" s="157">
        <v>34962</v>
      </c>
      <c r="B8804" s="158">
        <v>6.57</v>
      </c>
    </row>
    <row r="8805" spans="1:2" x14ac:dyDescent="0.25">
      <c r="A8805" s="157">
        <v>34963</v>
      </c>
      <c r="B8805" s="158">
        <v>6.66</v>
      </c>
    </row>
    <row r="8806" spans="1:2" x14ac:dyDescent="0.25">
      <c r="A8806" s="157">
        <v>34964</v>
      </c>
      <c r="B8806" s="158">
        <v>6.7</v>
      </c>
    </row>
    <row r="8807" spans="1:2" x14ac:dyDescent="0.25">
      <c r="A8807" s="157">
        <v>34967</v>
      </c>
      <c r="B8807" s="158">
        <v>6.7</v>
      </c>
    </row>
    <row r="8808" spans="1:2" x14ac:dyDescent="0.25">
      <c r="A8808" s="157">
        <v>34968</v>
      </c>
      <c r="B8808" s="158">
        <v>6.71</v>
      </c>
    </row>
    <row r="8809" spans="1:2" x14ac:dyDescent="0.25">
      <c r="A8809" s="157">
        <v>34969</v>
      </c>
      <c r="B8809" s="158">
        <v>6.76</v>
      </c>
    </row>
    <row r="8810" spans="1:2" x14ac:dyDescent="0.25">
      <c r="A8810" s="157">
        <v>34970</v>
      </c>
      <c r="B8810" s="158">
        <v>6.71</v>
      </c>
    </row>
    <row r="8811" spans="1:2" x14ac:dyDescent="0.25">
      <c r="A8811" s="157">
        <v>34971</v>
      </c>
      <c r="B8811" s="158">
        <v>6.6</v>
      </c>
    </row>
    <row r="8812" spans="1:2" x14ac:dyDescent="0.25">
      <c r="A8812" s="157">
        <v>34974</v>
      </c>
      <c r="B8812" s="158">
        <v>6.61</v>
      </c>
    </row>
    <row r="8813" spans="1:2" x14ac:dyDescent="0.25">
      <c r="A8813" s="157">
        <v>34975</v>
      </c>
      <c r="B8813" s="158">
        <v>6.57</v>
      </c>
    </row>
    <row r="8814" spans="1:2" x14ac:dyDescent="0.25">
      <c r="A8814" s="157">
        <v>34976</v>
      </c>
      <c r="B8814" s="158">
        <v>6.54</v>
      </c>
    </row>
    <row r="8815" spans="1:2" x14ac:dyDescent="0.25">
      <c r="A8815" s="157">
        <v>34977</v>
      </c>
      <c r="B8815" s="158">
        <v>6.53</v>
      </c>
    </row>
    <row r="8816" spans="1:2" x14ac:dyDescent="0.25">
      <c r="A8816" s="157">
        <v>34978</v>
      </c>
      <c r="B8816" s="158">
        <v>6.51</v>
      </c>
    </row>
    <row r="8817" spans="1:2" x14ac:dyDescent="0.25">
      <c r="A8817" s="157">
        <v>34981</v>
      </c>
      <c r="B8817" s="158" t="e">
        <f>NA()</f>
        <v>#N/A</v>
      </c>
    </row>
    <row r="8818" spans="1:2" x14ac:dyDescent="0.25">
      <c r="A8818" s="157">
        <v>34982</v>
      </c>
      <c r="B8818" s="158">
        <v>6.51</v>
      </c>
    </row>
    <row r="8819" spans="1:2" x14ac:dyDescent="0.25">
      <c r="A8819" s="157">
        <v>34983</v>
      </c>
      <c r="B8819" s="158">
        <v>6.5</v>
      </c>
    </row>
    <row r="8820" spans="1:2" x14ac:dyDescent="0.25">
      <c r="A8820" s="157">
        <v>34984</v>
      </c>
      <c r="B8820" s="158">
        <v>6.48</v>
      </c>
    </row>
    <row r="8821" spans="1:2" x14ac:dyDescent="0.25">
      <c r="A8821" s="157">
        <v>34985</v>
      </c>
      <c r="B8821" s="158">
        <v>6.37</v>
      </c>
    </row>
    <row r="8822" spans="1:2" x14ac:dyDescent="0.25">
      <c r="A8822" s="157">
        <v>34988</v>
      </c>
      <c r="B8822" s="158">
        <v>6.38</v>
      </c>
    </row>
    <row r="8823" spans="1:2" x14ac:dyDescent="0.25">
      <c r="A8823" s="157">
        <v>34989</v>
      </c>
      <c r="B8823" s="158">
        <v>6.36</v>
      </c>
    </row>
    <row r="8824" spans="1:2" x14ac:dyDescent="0.25">
      <c r="A8824" s="157">
        <v>34990</v>
      </c>
      <c r="B8824" s="158">
        <v>6.38</v>
      </c>
    </row>
    <row r="8825" spans="1:2" x14ac:dyDescent="0.25">
      <c r="A8825" s="157">
        <v>34991</v>
      </c>
      <c r="B8825" s="158">
        <v>6.37</v>
      </c>
    </row>
    <row r="8826" spans="1:2" x14ac:dyDescent="0.25">
      <c r="A8826" s="157">
        <v>34992</v>
      </c>
      <c r="B8826" s="158">
        <v>6.42</v>
      </c>
    </row>
    <row r="8827" spans="1:2" x14ac:dyDescent="0.25">
      <c r="A8827" s="157">
        <v>34995</v>
      </c>
      <c r="B8827" s="158">
        <v>6.44</v>
      </c>
    </row>
    <row r="8828" spans="1:2" x14ac:dyDescent="0.25">
      <c r="A8828" s="157">
        <v>34996</v>
      </c>
      <c r="B8828" s="158">
        <v>6.37</v>
      </c>
    </row>
    <row r="8829" spans="1:2" x14ac:dyDescent="0.25">
      <c r="A8829" s="157">
        <v>34997</v>
      </c>
      <c r="B8829" s="158">
        <v>6.37</v>
      </c>
    </row>
    <row r="8830" spans="1:2" x14ac:dyDescent="0.25">
      <c r="A8830" s="157">
        <v>34998</v>
      </c>
      <c r="B8830" s="158">
        <v>6.44</v>
      </c>
    </row>
    <row r="8831" spans="1:2" x14ac:dyDescent="0.25">
      <c r="A8831" s="157">
        <v>34999</v>
      </c>
      <c r="B8831" s="158">
        <v>6.4</v>
      </c>
    </row>
    <row r="8832" spans="1:2" x14ac:dyDescent="0.25">
      <c r="A8832" s="157">
        <v>35002</v>
      </c>
      <c r="B8832" s="158">
        <v>6.41</v>
      </c>
    </row>
    <row r="8833" spans="1:2" x14ac:dyDescent="0.25">
      <c r="A8833" s="157">
        <v>35003</v>
      </c>
      <c r="B8833" s="158">
        <v>6.4</v>
      </c>
    </row>
    <row r="8834" spans="1:2" x14ac:dyDescent="0.25">
      <c r="A8834" s="157">
        <v>35004</v>
      </c>
      <c r="B8834" s="158">
        <v>6.36</v>
      </c>
    </row>
    <row r="8835" spans="1:2" x14ac:dyDescent="0.25">
      <c r="A8835" s="157">
        <v>35005</v>
      </c>
      <c r="B8835" s="158">
        <v>6.31</v>
      </c>
    </row>
    <row r="8836" spans="1:2" x14ac:dyDescent="0.25">
      <c r="A8836" s="157">
        <v>35006</v>
      </c>
      <c r="B8836" s="158">
        <v>6.33</v>
      </c>
    </row>
    <row r="8837" spans="1:2" x14ac:dyDescent="0.25">
      <c r="A8837" s="157">
        <v>35009</v>
      </c>
      <c r="B8837" s="158">
        <v>6.34</v>
      </c>
    </row>
    <row r="8838" spans="1:2" x14ac:dyDescent="0.25">
      <c r="A8838" s="157">
        <v>35010</v>
      </c>
      <c r="B8838" s="158">
        <v>6.37</v>
      </c>
    </row>
    <row r="8839" spans="1:2" x14ac:dyDescent="0.25">
      <c r="A8839" s="157">
        <v>35011</v>
      </c>
      <c r="B8839" s="158">
        <v>6.3</v>
      </c>
    </row>
    <row r="8840" spans="1:2" x14ac:dyDescent="0.25">
      <c r="A8840" s="157">
        <v>35012</v>
      </c>
      <c r="B8840" s="158">
        <v>6.35</v>
      </c>
    </row>
    <row r="8841" spans="1:2" x14ac:dyDescent="0.25">
      <c r="A8841" s="157">
        <v>35013</v>
      </c>
      <c r="B8841" s="158">
        <v>6.39</v>
      </c>
    </row>
    <row r="8842" spans="1:2" x14ac:dyDescent="0.25">
      <c r="A8842" s="157">
        <v>35016</v>
      </c>
      <c r="B8842" s="158">
        <v>6.34</v>
      </c>
    </row>
    <row r="8843" spans="1:2" x14ac:dyDescent="0.25">
      <c r="A8843" s="157">
        <v>35017</v>
      </c>
      <c r="B8843" s="158">
        <v>6.36</v>
      </c>
    </row>
    <row r="8844" spans="1:2" x14ac:dyDescent="0.25">
      <c r="A8844" s="157">
        <v>35018</v>
      </c>
      <c r="B8844" s="158">
        <v>6.37</v>
      </c>
    </row>
    <row r="8845" spans="1:2" x14ac:dyDescent="0.25">
      <c r="A8845" s="157">
        <v>35019</v>
      </c>
      <c r="B8845" s="158">
        <v>6.32</v>
      </c>
    </row>
    <row r="8846" spans="1:2" x14ac:dyDescent="0.25">
      <c r="A8846" s="157">
        <v>35020</v>
      </c>
      <c r="B8846" s="158">
        <v>6.33</v>
      </c>
    </row>
    <row r="8847" spans="1:2" x14ac:dyDescent="0.25">
      <c r="A8847" s="157">
        <v>35023</v>
      </c>
      <c r="B8847" s="158">
        <v>6.33</v>
      </c>
    </row>
    <row r="8848" spans="1:2" x14ac:dyDescent="0.25">
      <c r="A8848" s="157">
        <v>35024</v>
      </c>
      <c r="B8848" s="158">
        <v>6.36</v>
      </c>
    </row>
    <row r="8849" spans="1:2" x14ac:dyDescent="0.25">
      <c r="A8849" s="157">
        <v>35025</v>
      </c>
      <c r="B8849" s="158">
        <v>6.37</v>
      </c>
    </row>
    <row r="8850" spans="1:2" x14ac:dyDescent="0.25">
      <c r="A8850" s="157">
        <v>35026</v>
      </c>
      <c r="B8850" s="158" t="e">
        <f>NA()</f>
        <v>#N/A</v>
      </c>
    </row>
    <row r="8851" spans="1:2" x14ac:dyDescent="0.25">
      <c r="A8851" s="157">
        <v>35027</v>
      </c>
      <c r="B8851" s="158">
        <v>6.36</v>
      </c>
    </row>
    <row r="8852" spans="1:2" x14ac:dyDescent="0.25">
      <c r="A8852" s="157">
        <v>35030</v>
      </c>
      <c r="B8852" s="158">
        <v>6.31</v>
      </c>
    </row>
    <row r="8853" spans="1:2" x14ac:dyDescent="0.25">
      <c r="A8853" s="157">
        <v>35031</v>
      </c>
      <c r="B8853" s="158">
        <v>6.31</v>
      </c>
    </row>
    <row r="8854" spans="1:2" x14ac:dyDescent="0.25">
      <c r="A8854" s="157">
        <v>35032</v>
      </c>
      <c r="B8854" s="158">
        <v>6.29</v>
      </c>
    </row>
    <row r="8855" spans="1:2" x14ac:dyDescent="0.25">
      <c r="A8855" s="157">
        <v>35033</v>
      </c>
      <c r="B8855" s="158">
        <v>6.2</v>
      </c>
    </row>
    <row r="8856" spans="1:2" x14ac:dyDescent="0.25">
      <c r="A8856" s="157">
        <v>35034</v>
      </c>
      <c r="B8856" s="158">
        <v>6.16</v>
      </c>
    </row>
    <row r="8857" spans="1:2" x14ac:dyDescent="0.25">
      <c r="A8857" s="157">
        <v>35037</v>
      </c>
      <c r="B8857" s="158">
        <v>6.07</v>
      </c>
    </row>
    <row r="8858" spans="1:2" x14ac:dyDescent="0.25">
      <c r="A8858" s="157">
        <v>35038</v>
      </c>
      <c r="B8858" s="158">
        <v>6.09</v>
      </c>
    </row>
    <row r="8859" spans="1:2" x14ac:dyDescent="0.25">
      <c r="A8859" s="157">
        <v>35039</v>
      </c>
      <c r="B8859" s="158">
        <v>6.09</v>
      </c>
    </row>
    <row r="8860" spans="1:2" x14ac:dyDescent="0.25">
      <c r="A8860" s="157">
        <v>35040</v>
      </c>
      <c r="B8860" s="158">
        <v>6.13</v>
      </c>
    </row>
    <row r="8861" spans="1:2" x14ac:dyDescent="0.25">
      <c r="A8861" s="157">
        <v>35041</v>
      </c>
      <c r="B8861" s="158">
        <v>6.12</v>
      </c>
    </row>
    <row r="8862" spans="1:2" x14ac:dyDescent="0.25">
      <c r="A8862" s="157">
        <v>35044</v>
      </c>
      <c r="B8862" s="158">
        <v>6.11</v>
      </c>
    </row>
    <row r="8863" spans="1:2" x14ac:dyDescent="0.25">
      <c r="A8863" s="157">
        <v>35045</v>
      </c>
      <c r="B8863" s="158">
        <v>6.11</v>
      </c>
    </row>
    <row r="8864" spans="1:2" x14ac:dyDescent="0.25">
      <c r="A8864" s="157">
        <v>35046</v>
      </c>
      <c r="B8864" s="158">
        <v>6.12</v>
      </c>
    </row>
    <row r="8865" spans="1:2" x14ac:dyDescent="0.25">
      <c r="A8865" s="157">
        <v>35047</v>
      </c>
      <c r="B8865" s="158">
        <v>6.14</v>
      </c>
    </row>
    <row r="8866" spans="1:2" x14ac:dyDescent="0.25">
      <c r="A8866" s="157">
        <v>35048</v>
      </c>
      <c r="B8866" s="158">
        <v>6.15</v>
      </c>
    </row>
    <row r="8867" spans="1:2" x14ac:dyDescent="0.25">
      <c r="A8867" s="157">
        <v>35051</v>
      </c>
      <c r="B8867" s="158">
        <v>6.26</v>
      </c>
    </row>
    <row r="8868" spans="1:2" x14ac:dyDescent="0.25">
      <c r="A8868" s="157">
        <v>35052</v>
      </c>
      <c r="B8868" s="158">
        <v>6.21</v>
      </c>
    </row>
    <row r="8869" spans="1:2" x14ac:dyDescent="0.25">
      <c r="A8869" s="157">
        <v>35053</v>
      </c>
      <c r="B8869" s="158">
        <v>6.18</v>
      </c>
    </row>
    <row r="8870" spans="1:2" x14ac:dyDescent="0.25">
      <c r="A8870" s="157">
        <v>35054</v>
      </c>
      <c r="B8870" s="158">
        <v>6.19</v>
      </c>
    </row>
    <row r="8871" spans="1:2" x14ac:dyDescent="0.25">
      <c r="A8871" s="157">
        <v>35055</v>
      </c>
      <c r="B8871" s="158">
        <v>6.12</v>
      </c>
    </row>
    <row r="8872" spans="1:2" x14ac:dyDescent="0.25">
      <c r="A8872" s="157">
        <v>35058</v>
      </c>
      <c r="B8872" s="158" t="e">
        <f>NA()</f>
        <v>#N/A</v>
      </c>
    </row>
    <row r="8873" spans="1:2" x14ac:dyDescent="0.25">
      <c r="A8873" s="157">
        <v>35059</v>
      </c>
      <c r="B8873" s="158">
        <v>6.1</v>
      </c>
    </row>
    <row r="8874" spans="1:2" x14ac:dyDescent="0.25">
      <c r="A8874" s="157">
        <v>35060</v>
      </c>
      <c r="B8874" s="158">
        <v>6.07</v>
      </c>
    </row>
    <row r="8875" spans="1:2" x14ac:dyDescent="0.25">
      <c r="A8875" s="157">
        <v>35061</v>
      </c>
      <c r="B8875" s="158">
        <v>6.04</v>
      </c>
    </row>
    <row r="8876" spans="1:2" x14ac:dyDescent="0.25">
      <c r="A8876" s="157">
        <v>35062</v>
      </c>
      <c r="B8876" s="158">
        <v>6.01</v>
      </c>
    </row>
    <row r="8877" spans="1:2" x14ac:dyDescent="0.25">
      <c r="A8877" s="157">
        <v>35065</v>
      </c>
      <c r="B8877" s="158" t="e">
        <f>NA()</f>
        <v>#N/A</v>
      </c>
    </row>
    <row r="8878" spans="1:2" x14ac:dyDescent="0.25">
      <c r="A8878" s="157">
        <v>35066</v>
      </c>
      <c r="B8878" s="158">
        <v>6.03</v>
      </c>
    </row>
    <row r="8879" spans="1:2" x14ac:dyDescent="0.25">
      <c r="A8879" s="157">
        <v>35067</v>
      </c>
      <c r="B8879" s="158">
        <v>6.01</v>
      </c>
    </row>
    <row r="8880" spans="1:2" x14ac:dyDescent="0.25">
      <c r="A8880" s="157">
        <v>35068</v>
      </c>
      <c r="B8880" s="158">
        <v>6.08</v>
      </c>
    </row>
    <row r="8881" spans="1:2" x14ac:dyDescent="0.25">
      <c r="A8881" s="157">
        <v>35069</v>
      </c>
      <c r="B8881" s="158">
        <v>6.11</v>
      </c>
    </row>
    <row r="8882" spans="1:2" x14ac:dyDescent="0.25">
      <c r="A8882" s="157">
        <v>35072</v>
      </c>
      <c r="B8882" s="158">
        <v>6.1</v>
      </c>
    </row>
    <row r="8883" spans="1:2" x14ac:dyDescent="0.25">
      <c r="A8883" s="157">
        <v>35073</v>
      </c>
      <c r="B8883" s="158">
        <v>6.12</v>
      </c>
    </row>
    <row r="8884" spans="1:2" x14ac:dyDescent="0.25">
      <c r="A8884" s="157">
        <v>35074</v>
      </c>
      <c r="B8884" s="158">
        <v>6.23</v>
      </c>
    </row>
    <row r="8885" spans="1:2" x14ac:dyDescent="0.25">
      <c r="A8885" s="157">
        <v>35075</v>
      </c>
      <c r="B8885" s="158">
        <v>6.22</v>
      </c>
    </row>
    <row r="8886" spans="1:2" x14ac:dyDescent="0.25">
      <c r="A8886" s="157">
        <v>35076</v>
      </c>
      <c r="B8886" s="158">
        <v>6.22</v>
      </c>
    </row>
    <row r="8887" spans="1:2" x14ac:dyDescent="0.25">
      <c r="A8887" s="157">
        <v>35079</v>
      </c>
      <c r="B8887" s="158" t="e">
        <f>NA()</f>
        <v>#N/A</v>
      </c>
    </row>
    <row r="8888" spans="1:2" x14ac:dyDescent="0.25">
      <c r="A8888" s="157">
        <v>35080</v>
      </c>
      <c r="B8888" s="158">
        <v>6.14</v>
      </c>
    </row>
    <row r="8889" spans="1:2" x14ac:dyDescent="0.25">
      <c r="A8889" s="157">
        <v>35081</v>
      </c>
      <c r="B8889" s="158">
        <v>6.05</v>
      </c>
    </row>
    <row r="8890" spans="1:2" x14ac:dyDescent="0.25">
      <c r="A8890" s="157">
        <v>35082</v>
      </c>
      <c r="B8890" s="158">
        <v>6.03</v>
      </c>
    </row>
    <row r="8891" spans="1:2" x14ac:dyDescent="0.25">
      <c r="A8891" s="157">
        <v>35083</v>
      </c>
      <c r="B8891" s="158">
        <v>6.02</v>
      </c>
    </row>
    <row r="8892" spans="1:2" x14ac:dyDescent="0.25">
      <c r="A8892" s="157">
        <v>35086</v>
      </c>
      <c r="B8892" s="158">
        <v>6.09</v>
      </c>
    </row>
    <row r="8893" spans="1:2" x14ac:dyDescent="0.25">
      <c r="A8893" s="157">
        <v>35087</v>
      </c>
      <c r="B8893" s="158">
        <v>6.14</v>
      </c>
    </row>
    <row r="8894" spans="1:2" x14ac:dyDescent="0.25">
      <c r="A8894" s="157">
        <v>35088</v>
      </c>
      <c r="B8894" s="158">
        <v>6.08</v>
      </c>
    </row>
    <row r="8895" spans="1:2" x14ac:dyDescent="0.25">
      <c r="A8895" s="157">
        <v>35089</v>
      </c>
      <c r="B8895" s="158">
        <v>6.16</v>
      </c>
    </row>
    <row r="8896" spans="1:2" x14ac:dyDescent="0.25">
      <c r="A8896" s="157">
        <v>35090</v>
      </c>
      <c r="B8896" s="158">
        <v>6.1</v>
      </c>
    </row>
    <row r="8897" spans="1:2" x14ac:dyDescent="0.25">
      <c r="A8897" s="157">
        <v>35093</v>
      </c>
      <c r="B8897" s="158">
        <v>6.14</v>
      </c>
    </row>
    <row r="8898" spans="1:2" x14ac:dyDescent="0.25">
      <c r="A8898" s="157">
        <v>35094</v>
      </c>
      <c r="B8898" s="158">
        <v>6.08</v>
      </c>
    </row>
    <row r="8899" spans="1:2" x14ac:dyDescent="0.25">
      <c r="A8899" s="157">
        <v>35095</v>
      </c>
      <c r="B8899" s="158">
        <v>6.07</v>
      </c>
    </row>
    <row r="8900" spans="1:2" x14ac:dyDescent="0.25">
      <c r="A8900" s="157">
        <v>35096</v>
      </c>
      <c r="B8900" s="158">
        <v>6.11</v>
      </c>
    </row>
    <row r="8901" spans="1:2" x14ac:dyDescent="0.25">
      <c r="A8901" s="157">
        <v>35097</v>
      </c>
      <c r="B8901" s="158">
        <v>6.16</v>
      </c>
    </row>
    <row r="8902" spans="1:2" x14ac:dyDescent="0.25">
      <c r="A8902" s="157">
        <v>35100</v>
      </c>
      <c r="B8902" s="158">
        <v>6.17</v>
      </c>
    </row>
    <row r="8903" spans="1:2" x14ac:dyDescent="0.25">
      <c r="A8903" s="157">
        <v>35101</v>
      </c>
      <c r="B8903" s="158">
        <v>6.15</v>
      </c>
    </row>
    <row r="8904" spans="1:2" x14ac:dyDescent="0.25">
      <c r="A8904" s="157">
        <v>35102</v>
      </c>
      <c r="B8904" s="158">
        <v>6.17</v>
      </c>
    </row>
    <row r="8905" spans="1:2" x14ac:dyDescent="0.25">
      <c r="A8905" s="157">
        <v>35103</v>
      </c>
      <c r="B8905" s="158">
        <v>6.17</v>
      </c>
    </row>
    <row r="8906" spans="1:2" x14ac:dyDescent="0.25">
      <c r="A8906" s="157">
        <v>35104</v>
      </c>
      <c r="B8906" s="158">
        <v>6.17</v>
      </c>
    </row>
    <row r="8907" spans="1:2" x14ac:dyDescent="0.25">
      <c r="A8907" s="157">
        <v>35107</v>
      </c>
      <c r="B8907" s="158">
        <v>6.1</v>
      </c>
    </row>
    <row r="8908" spans="1:2" x14ac:dyDescent="0.25">
      <c r="A8908" s="157">
        <v>35108</v>
      </c>
      <c r="B8908" s="158">
        <v>6.08</v>
      </c>
    </row>
    <row r="8909" spans="1:2" x14ac:dyDescent="0.25">
      <c r="A8909" s="157">
        <v>35109</v>
      </c>
      <c r="B8909" s="158">
        <v>6.13</v>
      </c>
    </row>
    <row r="8910" spans="1:2" x14ac:dyDescent="0.25">
      <c r="A8910" s="157">
        <v>35110</v>
      </c>
      <c r="B8910" s="158">
        <v>6.22</v>
      </c>
    </row>
    <row r="8911" spans="1:2" x14ac:dyDescent="0.25">
      <c r="A8911" s="157">
        <v>35111</v>
      </c>
      <c r="B8911" s="158">
        <v>6.27</v>
      </c>
    </row>
    <row r="8912" spans="1:2" x14ac:dyDescent="0.25">
      <c r="A8912" s="157">
        <v>35114</v>
      </c>
      <c r="B8912" s="158" t="e">
        <f>NA()</f>
        <v>#N/A</v>
      </c>
    </row>
    <row r="8913" spans="1:2" x14ac:dyDescent="0.25">
      <c r="A8913" s="157">
        <v>35115</v>
      </c>
      <c r="B8913" s="158">
        <v>6.45</v>
      </c>
    </row>
    <row r="8914" spans="1:2" x14ac:dyDescent="0.25">
      <c r="A8914" s="157">
        <v>35116</v>
      </c>
      <c r="B8914" s="158">
        <v>6.47</v>
      </c>
    </row>
    <row r="8915" spans="1:2" x14ac:dyDescent="0.25">
      <c r="A8915" s="157">
        <v>35117</v>
      </c>
      <c r="B8915" s="158">
        <v>6.43</v>
      </c>
    </row>
    <row r="8916" spans="1:2" x14ac:dyDescent="0.25">
      <c r="A8916" s="157">
        <v>35118</v>
      </c>
      <c r="B8916" s="158">
        <v>6.5</v>
      </c>
    </row>
    <row r="8917" spans="1:2" x14ac:dyDescent="0.25">
      <c r="A8917" s="157">
        <v>35121</v>
      </c>
      <c r="B8917" s="158">
        <v>6.54</v>
      </c>
    </row>
    <row r="8918" spans="1:2" x14ac:dyDescent="0.25">
      <c r="A8918" s="157">
        <v>35122</v>
      </c>
      <c r="B8918" s="158">
        <v>6.56</v>
      </c>
    </row>
    <row r="8919" spans="1:2" x14ac:dyDescent="0.25">
      <c r="A8919" s="157">
        <v>35123</v>
      </c>
      <c r="B8919" s="158">
        <v>6.58</v>
      </c>
    </row>
    <row r="8920" spans="1:2" x14ac:dyDescent="0.25">
      <c r="A8920" s="157">
        <v>35124</v>
      </c>
      <c r="B8920" s="158">
        <v>6.57</v>
      </c>
    </row>
    <row r="8921" spans="1:2" x14ac:dyDescent="0.25">
      <c r="A8921" s="157">
        <v>35125</v>
      </c>
      <c r="B8921" s="158">
        <v>6.48</v>
      </c>
    </row>
    <row r="8922" spans="1:2" x14ac:dyDescent="0.25">
      <c r="A8922" s="157">
        <v>35128</v>
      </c>
      <c r="B8922" s="158">
        <v>6.43</v>
      </c>
    </row>
    <row r="8923" spans="1:2" x14ac:dyDescent="0.25">
      <c r="A8923" s="157">
        <v>35129</v>
      </c>
      <c r="B8923" s="158">
        <v>6.48</v>
      </c>
    </row>
    <row r="8924" spans="1:2" x14ac:dyDescent="0.25">
      <c r="A8924" s="157">
        <v>35130</v>
      </c>
      <c r="B8924" s="158">
        <v>6.54</v>
      </c>
    </row>
    <row r="8925" spans="1:2" x14ac:dyDescent="0.25">
      <c r="A8925" s="157">
        <v>35131</v>
      </c>
      <c r="B8925" s="158">
        <v>6.56</v>
      </c>
    </row>
    <row r="8926" spans="1:2" x14ac:dyDescent="0.25">
      <c r="A8926" s="157">
        <v>35132</v>
      </c>
      <c r="B8926" s="158">
        <v>6.84</v>
      </c>
    </row>
    <row r="8927" spans="1:2" x14ac:dyDescent="0.25">
      <c r="A8927" s="157">
        <v>35135</v>
      </c>
      <c r="B8927" s="158">
        <v>6.76</v>
      </c>
    </row>
    <row r="8928" spans="1:2" x14ac:dyDescent="0.25">
      <c r="A8928" s="157">
        <v>35136</v>
      </c>
      <c r="B8928" s="158">
        <v>6.79</v>
      </c>
    </row>
    <row r="8929" spans="1:2" x14ac:dyDescent="0.25">
      <c r="A8929" s="157">
        <v>35137</v>
      </c>
      <c r="B8929" s="158">
        <v>6.83</v>
      </c>
    </row>
    <row r="8930" spans="1:2" x14ac:dyDescent="0.25">
      <c r="A8930" s="157">
        <v>35138</v>
      </c>
      <c r="B8930" s="158">
        <v>6.83</v>
      </c>
    </row>
    <row r="8931" spans="1:2" x14ac:dyDescent="0.25">
      <c r="A8931" s="157">
        <v>35139</v>
      </c>
      <c r="B8931" s="158">
        <v>6.9</v>
      </c>
    </row>
    <row r="8932" spans="1:2" x14ac:dyDescent="0.25">
      <c r="A8932" s="157">
        <v>35142</v>
      </c>
      <c r="B8932" s="158">
        <v>6.86</v>
      </c>
    </row>
    <row r="8933" spans="1:2" x14ac:dyDescent="0.25">
      <c r="A8933" s="157">
        <v>35143</v>
      </c>
      <c r="B8933" s="158">
        <v>6.86</v>
      </c>
    </row>
    <row r="8934" spans="1:2" x14ac:dyDescent="0.25">
      <c r="A8934" s="157">
        <v>35144</v>
      </c>
      <c r="B8934" s="158">
        <v>6.81</v>
      </c>
    </row>
    <row r="8935" spans="1:2" x14ac:dyDescent="0.25">
      <c r="A8935" s="157">
        <v>35145</v>
      </c>
      <c r="B8935" s="158">
        <v>6.78</v>
      </c>
    </row>
    <row r="8936" spans="1:2" x14ac:dyDescent="0.25">
      <c r="A8936" s="157">
        <v>35146</v>
      </c>
      <c r="B8936" s="158">
        <v>6.8</v>
      </c>
    </row>
    <row r="8937" spans="1:2" x14ac:dyDescent="0.25">
      <c r="A8937" s="157">
        <v>35149</v>
      </c>
      <c r="B8937" s="158">
        <v>6.74</v>
      </c>
    </row>
    <row r="8938" spans="1:2" x14ac:dyDescent="0.25">
      <c r="A8938" s="157">
        <v>35150</v>
      </c>
      <c r="B8938" s="158">
        <v>6.73</v>
      </c>
    </row>
    <row r="8939" spans="1:2" x14ac:dyDescent="0.25">
      <c r="A8939" s="157">
        <v>35151</v>
      </c>
      <c r="B8939" s="158">
        <v>6.84</v>
      </c>
    </row>
    <row r="8940" spans="1:2" x14ac:dyDescent="0.25">
      <c r="A8940" s="157">
        <v>35152</v>
      </c>
      <c r="B8940" s="158">
        <v>6.9</v>
      </c>
    </row>
    <row r="8941" spans="1:2" x14ac:dyDescent="0.25">
      <c r="A8941" s="157">
        <v>35153</v>
      </c>
      <c r="B8941" s="158">
        <v>6.83</v>
      </c>
    </row>
    <row r="8942" spans="1:2" x14ac:dyDescent="0.25">
      <c r="A8942" s="157">
        <v>35156</v>
      </c>
      <c r="B8942" s="158">
        <v>6.82</v>
      </c>
    </row>
    <row r="8943" spans="1:2" x14ac:dyDescent="0.25">
      <c r="A8943" s="157">
        <v>35157</v>
      </c>
      <c r="B8943" s="158">
        <v>6.77</v>
      </c>
    </row>
    <row r="8944" spans="1:2" x14ac:dyDescent="0.25">
      <c r="A8944" s="157">
        <v>35158</v>
      </c>
      <c r="B8944" s="158">
        <v>6.8</v>
      </c>
    </row>
    <row r="8945" spans="1:2" x14ac:dyDescent="0.25">
      <c r="A8945" s="157">
        <v>35159</v>
      </c>
      <c r="B8945" s="158">
        <v>6.83</v>
      </c>
    </row>
    <row r="8946" spans="1:2" x14ac:dyDescent="0.25">
      <c r="A8946" s="157">
        <v>35160</v>
      </c>
      <c r="B8946" s="158">
        <v>7.01</v>
      </c>
    </row>
    <row r="8947" spans="1:2" x14ac:dyDescent="0.25">
      <c r="A8947" s="157">
        <v>35163</v>
      </c>
      <c r="B8947" s="158">
        <v>7.07</v>
      </c>
    </row>
    <row r="8948" spans="1:2" x14ac:dyDescent="0.25">
      <c r="A8948" s="157">
        <v>35164</v>
      </c>
      <c r="B8948" s="158">
        <v>7.04</v>
      </c>
    </row>
    <row r="8949" spans="1:2" x14ac:dyDescent="0.25">
      <c r="A8949" s="157">
        <v>35165</v>
      </c>
      <c r="B8949" s="158">
        <v>7.1</v>
      </c>
    </row>
    <row r="8950" spans="1:2" x14ac:dyDescent="0.25">
      <c r="A8950" s="157">
        <v>35166</v>
      </c>
      <c r="B8950" s="158">
        <v>7.15</v>
      </c>
    </row>
    <row r="8951" spans="1:2" x14ac:dyDescent="0.25">
      <c r="A8951" s="157">
        <v>35167</v>
      </c>
      <c r="B8951" s="158">
        <v>7</v>
      </c>
    </row>
    <row r="8952" spans="1:2" x14ac:dyDescent="0.25">
      <c r="A8952" s="157">
        <v>35170</v>
      </c>
      <c r="B8952" s="158">
        <v>6.98</v>
      </c>
    </row>
    <row r="8953" spans="1:2" x14ac:dyDescent="0.25">
      <c r="A8953" s="157">
        <v>35171</v>
      </c>
      <c r="B8953" s="158">
        <v>6.95</v>
      </c>
    </row>
    <row r="8954" spans="1:2" x14ac:dyDescent="0.25">
      <c r="A8954" s="157">
        <v>35172</v>
      </c>
      <c r="B8954" s="158">
        <v>6.99</v>
      </c>
    </row>
    <row r="8955" spans="1:2" x14ac:dyDescent="0.25">
      <c r="A8955" s="157">
        <v>35173</v>
      </c>
      <c r="B8955" s="158">
        <v>7.02</v>
      </c>
    </row>
    <row r="8956" spans="1:2" x14ac:dyDescent="0.25">
      <c r="A8956" s="157">
        <v>35174</v>
      </c>
      <c r="B8956" s="158">
        <v>7</v>
      </c>
    </row>
    <row r="8957" spans="1:2" x14ac:dyDescent="0.25">
      <c r="A8957" s="157">
        <v>35177</v>
      </c>
      <c r="B8957" s="158">
        <v>6.95</v>
      </c>
    </row>
    <row r="8958" spans="1:2" x14ac:dyDescent="0.25">
      <c r="A8958" s="157">
        <v>35178</v>
      </c>
      <c r="B8958" s="158">
        <v>6.97</v>
      </c>
    </row>
    <row r="8959" spans="1:2" x14ac:dyDescent="0.25">
      <c r="A8959" s="157">
        <v>35179</v>
      </c>
      <c r="B8959" s="158">
        <v>7.01</v>
      </c>
    </row>
    <row r="8960" spans="1:2" x14ac:dyDescent="0.25">
      <c r="A8960" s="157">
        <v>35180</v>
      </c>
      <c r="B8960" s="158">
        <v>7.01</v>
      </c>
    </row>
    <row r="8961" spans="1:2" x14ac:dyDescent="0.25">
      <c r="A8961" s="157">
        <v>35181</v>
      </c>
      <c r="B8961" s="158">
        <v>6.96</v>
      </c>
    </row>
    <row r="8962" spans="1:2" x14ac:dyDescent="0.25">
      <c r="A8962" s="157">
        <v>35184</v>
      </c>
      <c r="B8962" s="158">
        <v>7</v>
      </c>
    </row>
    <row r="8963" spans="1:2" x14ac:dyDescent="0.25">
      <c r="A8963" s="157">
        <v>35185</v>
      </c>
      <c r="B8963" s="158">
        <v>7.06</v>
      </c>
    </row>
    <row r="8964" spans="1:2" x14ac:dyDescent="0.25">
      <c r="A8964" s="157">
        <v>35186</v>
      </c>
      <c r="B8964" s="158">
        <v>7.08</v>
      </c>
    </row>
    <row r="8965" spans="1:2" x14ac:dyDescent="0.25">
      <c r="A8965" s="157">
        <v>35187</v>
      </c>
      <c r="B8965" s="158">
        <v>7.21</v>
      </c>
    </row>
    <row r="8966" spans="1:2" x14ac:dyDescent="0.25">
      <c r="A8966" s="157">
        <v>35188</v>
      </c>
      <c r="B8966" s="158">
        <v>7.29</v>
      </c>
    </row>
    <row r="8967" spans="1:2" x14ac:dyDescent="0.25">
      <c r="A8967" s="157">
        <v>35191</v>
      </c>
      <c r="B8967" s="158">
        <v>7.25</v>
      </c>
    </row>
    <row r="8968" spans="1:2" x14ac:dyDescent="0.25">
      <c r="A8968" s="157">
        <v>35192</v>
      </c>
      <c r="B8968" s="158">
        <v>7.27</v>
      </c>
    </row>
    <row r="8969" spans="1:2" x14ac:dyDescent="0.25">
      <c r="A8969" s="157">
        <v>35193</v>
      </c>
      <c r="B8969" s="158">
        <v>7.19</v>
      </c>
    </row>
    <row r="8970" spans="1:2" x14ac:dyDescent="0.25">
      <c r="A8970" s="157">
        <v>35194</v>
      </c>
      <c r="B8970" s="158">
        <v>7.21</v>
      </c>
    </row>
    <row r="8971" spans="1:2" x14ac:dyDescent="0.25">
      <c r="A8971" s="157">
        <v>35195</v>
      </c>
      <c r="B8971" s="158">
        <v>7.12</v>
      </c>
    </row>
    <row r="8972" spans="1:2" x14ac:dyDescent="0.25">
      <c r="A8972" s="157">
        <v>35198</v>
      </c>
      <c r="B8972" s="158">
        <v>7.09</v>
      </c>
    </row>
    <row r="8973" spans="1:2" x14ac:dyDescent="0.25">
      <c r="A8973" s="157">
        <v>35199</v>
      </c>
      <c r="B8973" s="158">
        <v>7.04</v>
      </c>
    </row>
    <row r="8974" spans="1:2" x14ac:dyDescent="0.25">
      <c r="A8974" s="157">
        <v>35200</v>
      </c>
      <c r="B8974" s="158">
        <v>7.03</v>
      </c>
    </row>
    <row r="8975" spans="1:2" x14ac:dyDescent="0.25">
      <c r="A8975" s="157">
        <v>35201</v>
      </c>
      <c r="B8975" s="158">
        <v>7.08</v>
      </c>
    </row>
    <row r="8976" spans="1:2" x14ac:dyDescent="0.25">
      <c r="A8976" s="157">
        <v>35202</v>
      </c>
      <c r="B8976" s="158">
        <v>7.03</v>
      </c>
    </row>
    <row r="8977" spans="1:2" x14ac:dyDescent="0.25">
      <c r="A8977" s="157">
        <v>35205</v>
      </c>
      <c r="B8977" s="158">
        <v>7.01</v>
      </c>
    </row>
    <row r="8978" spans="1:2" x14ac:dyDescent="0.25">
      <c r="A8978" s="157">
        <v>35206</v>
      </c>
      <c r="B8978" s="158">
        <v>7.04</v>
      </c>
    </row>
    <row r="8979" spans="1:2" x14ac:dyDescent="0.25">
      <c r="A8979" s="157">
        <v>35207</v>
      </c>
      <c r="B8979" s="158">
        <v>6.99</v>
      </c>
    </row>
    <row r="8980" spans="1:2" x14ac:dyDescent="0.25">
      <c r="A8980" s="157">
        <v>35208</v>
      </c>
      <c r="B8980" s="158">
        <v>7.05</v>
      </c>
    </row>
    <row r="8981" spans="1:2" x14ac:dyDescent="0.25">
      <c r="A8981" s="157">
        <v>35209</v>
      </c>
      <c r="B8981" s="158">
        <v>7.01</v>
      </c>
    </row>
    <row r="8982" spans="1:2" x14ac:dyDescent="0.25">
      <c r="A8982" s="157">
        <v>35212</v>
      </c>
      <c r="B8982" s="158" t="e">
        <f>NA()</f>
        <v>#N/A</v>
      </c>
    </row>
    <row r="8983" spans="1:2" x14ac:dyDescent="0.25">
      <c r="A8983" s="157">
        <v>35213</v>
      </c>
      <c r="B8983" s="158">
        <v>7.02</v>
      </c>
    </row>
    <row r="8984" spans="1:2" x14ac:dyDescent="0.25">
      <c r="A8984" s="157">
        <v>35214</v>
      </c>
      <c r="B8984" s="158">
        <v>7.1</v>
      </c>
    </row>
    <row r="8985" spans="1:2" x14ac:dyDescent="0.25">
      <c r="A8985" s="157">
        <v>35215</v>
      </c>
      <c r="B8985" s="158">
        <v>7.08</v>
      </c>
    </row>
    <row r="8986" spans="1:2" x14ac:dyDescent="0.25">
      <c r="A8986" s="157">
        <v>35216</v>
      </c>
      <c r="B8986" s="158">
        <v>7.17</v>
      </c>
    </row>
    <row r="8987" spans="1:2" x14ac:dyDescent="0.25">
      <c r="A8987" s="157">
        <v>35219</v>
      </c>
      <c r="B8987" s="158">
        <v>7.19</v>
      </c>
    </row>
    <row r="8988" spans="1:2" x14ac:dyDescent="0.25">
      <c r="A8988" s="157">
        <v>35220</v>
      </c>
      <c r="B8988" s="158">
        <v>7.18</v>
      </c>
    </row>
    <row r="8989" spans="1:2" x14ac:dyDescent="0.25">
      <c r="A8989" s="157">
        <v>35221</v>
      </c>
      <c r="B8989" s="158">
        <v>7.14</v>
      </c>
    </row>
    <row r="8990" spans="1:2" x14ac:dyDescent="0.25">
      <c r="A8990" s="157">
        <v>35222</v>
      </c>
      <c r="B8990" s="158">
        <v>7.08</v>
      </c>
    </row>
    <row r="8991" spans="1:2" x14ac:dyDescent="0.25">
      <c r="A8991" s="157">
        <v>35223</v>
      </c>
      <c r="B8991" s="158">
        <v>7.22</v>
      </c>
    </row>
    <row r="8992" spans="1:2" x14ac:dyDescent="0.25">
      <c r="A8992" s="157">
        <v>35226</v>
      </c>
      <c r="B8992" s="158">
        <v>7.28</v>
      </c>
    </row>
    <row r="8993" spans="1:2" x14ac:dyDescent="0.25">
      <c r="A8993" s="157">
        <v>35227</v>
      </c>
      <c r="B8993" s="158">
        <v>7.31</v>
      </c>
    </row>
    <row r="8994" spans="1:2" x14ac:dyDescent="0.25">
      <c r="A8994" s="157">
        <v>35228</v>
      </c>
      <c r="B8994" s="158">
        <v>7.35</v>
      </c>
    </row>
    <row r="8995" spans="1:2" x14ac:dyDescent="0.25">
      <c r="A8995" s="157">
        <v>35229</v>
      </c>
      <c r="B8995" s="158">
        <v>7.32</v>
      </c>
    </row>
    <row r="8996" spans="1:2" x14ac:dyDescent="0.25">
      <c r="A8996" s="157">
        <v>35230</v>
      </c>
      <c r="B8996" s="158">
        <v>7.26</v>
      </c>
    </row>
    <row r="8997" spans="1:2" x14ac:dyDescent="0.25">
      <c r="A8997" s="157">
        <v>35233</v>
      </c>
      <c r="B8997" s="158">
        <v>7.22</v>
      </c>
    </row>
    <row r="8998" spans="1:2" x14ac:dyDescent="0.25">
      <c r="A8998" s="157">
        <v>35234</v>
      </c>
      <c r="B8998" s="158">
        <v>7.25</v>
      </c>
    </row>
    <row r="8999" spans="1:2" x14ac:dyDescent="0.25">
      <c r="A8999" s="157">
        <v>35235</v>
      </c>
      <c r="B8999" s="158">
        <v>7.27</v>
      </c>
    </row>
    <row r="9000" spans="1:2" x14ac:dyDescent="0.25">
      <c r="A9000" s="157">
        <v>35236</v>
      </c>
      <c r="B9000" s="158">
        <v>7.27</v>
      </c>
    </row>
    <row r="9001" spans="1:2" x14ac:dyDescent="0.25">
      <c r="A9001" s="157">
        <v>35237</v>
      </c>
      <c r="B9001" s="158">
        <v>7.25</v>
      </c>
    </row>
    <row r="9002" spans="1:2" x14ac:dyDescent="0.25">
      <c r="A9002" s="157">
        <v>35240</v>
      </c>
      <c r="B9002" s="158">
        <v>7.24</v>
      </c>
    </row>
    <row r="9003" spans="1:2" x14ac:dyDescent="0.25">
      <c r="A9003" s="157">
        <v>35241</v>
      </c>
      <c r="B9003" s="158">
        <v>7.2</v>
      </c>
    </row>
    <row r="9004" spans="1:2" x14ac:dyDescent="0.25">
      <c r="A9004" s="157">
        <v>35242</v>
      </c>
      <c r="B9004" s="158">
        <v>7.19</v>
      </c>
    </row>
    <row r="9005" spans="1:2" x14ac:dyDescent="0.25">
      <c r="A9005" s="157">
        <v>35243</v>
      </c>
      <c r="B9005" s="158">
        <v>7.13</v>
      </c>
    </row>
    <row r="9006" spans="1:2" x14ac:dyDescent="0.25">
      <c r="A9006" s="157">
        <v>35244</v>
      </c>
      <c r="B9006" s="158">
        <v>7.03</v>
      </c>
    </row>
    <row r="9007" spans="1:2" x14ac:dyDescent="0.25">
      <c r="A9007" s="157">
        <v>35247</v>
      </c>
      <c r="B9007" s="158">
        <v>7.03</v>
      </c>
    </row>
    <row r="9008" spans="1:2" x14ac:dyDescent="0.25">
      <c r="A9008" s="157">
        <v>35248</v>
      </c>
      <c r="B9008" s="158">
        <v>7.06</v>
      </c>
    </row>
    <row r="9009" spans="1:2" x14ac:dyDescent="0.25">
      <c r="A9009" s="157">
        <v>35249</v>
      </c>
      <c r="B9009" s="158">
        <v>7.06</v>
      </c>
    </row>
    <row r="9010" spans="1:2" x14ac:dyDescent="0.25">
      <c r="A9010" s="157">
        <v>35250</v>
      </c>
      <c r="B9010" s="158" t="e">
        <f>NA()</f>
        <v>#N/A</v>
      </c>
    </row>
    <row r="9011" spans="1:2" x14ac:dyDescent="0.25">
      <c r="A9011" s="157">
        <v>35251</v>
      </c>
      <c r="B9011" s="158">
        <v>7.31</v>
      </c>
    </row>
    <row r="9012" spans="1:2" x14ac:dyDescent="0.25">
      <c r="A9012" s="157">
        <v>35254</v>
      </c>
      <c r="B9012" s="158">
        <v>7.32</v>
      </c>
    </row>
    <row r="9013" spans="1:2" x14ac:dyDescent="0.25">
      <c r="A9013" s="157">
        <v>35255</v>
      </c>
      <c r="B9013" s="158">
        <v>7.27</v>
      </c>
    </row>
    <row r="9014" spans="1:2" x14ac:dyDescent="0.25">
      <c r="A9014" s="157">
        <v>35256</v>
      </c>
      <c r="B9014" s="158">
        <v>7.22</v>
      </c>
    </row>
    <row r="9015" spans="1:2" x14ac:dyDescent="0.25">
      <c r="A9015" s="157">
        <v>35257</v>
      </c>
      <c r="B9015" s="158">
        <v>7.19</v>
      </c>
    </row>
    <row r="9016" spans="1:2" x14ac:dyDescent="0.25">
      <c r="A9016" s="157">
        <v>35258</v>
      </c>
      <c r="B9016" s="158">
        <v>7.15</v>
      </c>
    </row>
    <row r="9017" spans="1:2" x14ac:dyDescent="0.25">
      <c r="A9017" s="157">
        <v>35261</v>
      </c>
      <c r="B9017" s="158">
        <v>7.18</v>
      </c>
    </row>
    <row r="9018" spans="1:2" x14ac:dyDescent="0.25">
      <c r="A9018" s="157">
        <v>35262</v>
      </c>
      <c r="B9018" s="158">
        <v>7.14</v>
      </c>
    </row>
    <row r="9019" spans="1:2" x14ac:dyDescent="0.25">
      <c r="A9019" s="157">
        <v>35263</v>
      </c>
      <c r="B9019" s="158">
        <v>7.14</v>
      </c>
    </row>
    <row r="9020" spans="1:2" x14ac:dyDescent="0.25">
      <c r="A9020" s="157">
        <v>35264</v>
      </c>
      <c r="B9020" s="158">
        <v>7.02</v>
      </c>
    </row>
    <row r="9021" spans="1:2" x14ac:dyDescent="0.25">
      <c r="A9021" s="157">
        <v>35265</v>
      </c>
      <c r="B9021" s="158">
        <v>7.08</v>
      </c>
    </row>
    <row r="9022" spans="1:2" x14ac:dyDescent="0.25">
      <c r="A9022" s="157">
        <v>35268</v>
      </c>
      <c r="B9022" s="158">
        <v>7.12</v>
      </c>
    </row>
    <row r="9023" spans="1:2" x14ac:dyDescent="0.25">
      <c r="A9023" s="157">
        <v>35269</v>
      </c>
      <c r="B9023" s="158">
        <v>7.08</v>
      </c>
    </row>
    <row r="9024" spans="1:2" x14ac:dyDescent="0.25">
      <c r="A9024" s="157">
        <v>35270</v>
      </c>
      <c r="B9024" s="158">
        <v>7.15</v>
      </c>
    </row>
    <row r="9025" spans="1:2" x14ac:dyDescent="0.25">
      <c r="A9025" s="157">
        <v>35271</v>
      </c>
      <c r="B9025" s="158">
        <v>7.14</v>
      </c>
    </row>
    <row r="9026" spans="1:2" x14ac:dyDescent="0.25">
      <c r="A9026" s="157">
        <v>35272</v>
      </c>
      <c r="B9026" s="158">
        <v>7.12</v>
      </c>
    </row>
    <row r="9027" spans="1:2" x14ac:dyDescent="0.25">
      <c r="A9027" s="157">
        <v>35275</v>
      </c>
      <c r="B9027" s="158">
        <v>7.19</v>
      </c>
    </row>
    <row r="9028" spans="1:2" x14ac:dyDescent="0.25">
      <c r="A9028" s="157">
        <v>35276</v>
      </c>
      <c r="B9028" s="158">
        <v>7.14</v>
      </c>
    </row>
    <row r="9029" spans="1:2" x14ac:dyDescent="0.25">
      <c r="A9029" s="157">
        <v>35277</v>
      </c>
      <c r="B9029" s="158">
        <v>7.07</v>
      </c>
    </row>
    <row r="9030" spans="1:2" x14ac:dyDescent="0.25">
      <c r="A9030" s="157">
        <v>35278</v>
      </c>
      <c r="B9030" s="158">
        <v>6.94</v>
      </c>
    </row>
    <row r="9031" spans="1:2" x14ac:dyDescent="0.25">
      <c r="A9031" s="157">
        <v>35279</v>
      </c>
      <c r="B9031" s="158">
        <v>6.83</v>
      </c>
    </row>
    <row r="9032" spans="1:2" x14ac:dyDescent="0.25">
      <c r="A9032" s="157">
        <v>35282</v>
      </c>
      <c r="B9032" s="158">
        <v>6.84</v>
      </c>
    </row>
    <row r="9033" spans="1:2" x14ac:dyDescent="0.25">
      <c r="A9033" s="157">
        <v>35283</v>
      </c>
      <c r="B9033" s="158">
        <v>6.86</v>
      </c>
    </row>
    <row r="9034" spans="1:2" x14ac:dyDescent="0.25">
      <c r="A9034" s="157">
        <v>35284</v>
      </c>
      <c r="B9034" s="158">
        <v>6.87</v>
      </c>
    </row>
    <row r="9035" spans="1:2" x14ac:dyDescent="0.25">
      <c r="A9035" s="157">
        <v>35285</v>
      </c>
      <c r="B9035" s="158">
        <v>6.89</v>
      </c>
    </row>
    <row r="9036" spans="1:2" x14ac:dyDescent="0.25">
      <c r="A9036" s="157">
        <v>35286</v>
      </c>
      <c r="B9036" s="158">
        <v>6.83</v>
      </c>
    </row>
    <row r="9037" spans="1:2" x14ac:dyDescent="0.25">
      <c r="A9037" s="157">
        <v>35289</v>
      </c>
      <c r="B9037" s="158">
        <v>6.82</v>
      </c>
    </row>
    <row r="9038" spans="1:2" x14ac:dyDescent="0.25">
      <c r="A9038" s="157">
        <v>35290</v>
      </c>
      <c r="B9038" s="158">
        <v>6.92</v>
      </c>
    </row>
    <row r="9039" spans="1:2" x14ac:dyDescent="0.25">
      <c r="A9039" s="157">
        <v>35291</v>
      </c>
      <c r="B9039" s="158">
        <v>6.92</v>
      </c>
    </row>
    <row r="9040" spans="1:2" x14ac:dyDescent="0.25">
      <c r="A9040" s="157">
        <v>35292</v>
      </c>
      <c r="B9040" s="158">
        <v>6.95</v>
      </c>
    </row>
    <row r="9041" spans="1:2" x14ac:dyDescent="0.25">
      <c r="A9041" s="157">
        <v>35293</v>
      </c>
      <c r="B9041" s="158">
        <v>6.9</v>
      </c>
    </row>
    <row r="9042" spans="1:2" x14ac:dyDescent="0.25">
      <c r="A9042" s="157">
        <v>35296</v>
      </c>
      <c r="B9042" s="158">
        <v>6.94</v>
      </c>
    </row>
    <row r="9043" spans="1:2" x14ac:dyDescent="0.25">
      <c r="A9043" s="157">
        <v>35297</v>
      </c>
      <c r="B9043" s="158">
        <v>6.94</v>
      </c>
    </row>
    <row r="9044" spans="1:2" x14ac:dyDescent="0.25">
      <c r="A9044" s="157">
        <v>35298</v>
      </c>
      <c r="B9044" s="158">
        <v>6.97</v>
      </c>
    </row>
    <row r="9045" spans="1:2" x14ac:dyDescent="0.25">
      <c r="A9045" s="157">
        <v>35299</v>
      </c>
      <c r="B9045" s="158">
        <v>6.97</v>
      </c>
    </row>
    <row r="9046" spans="1:2" x14ac:dyDescent="0.25">
      <c r="A9046" s="157">
        <v>35300</v>
      </c>
      <c r="B9046" s="158">
        <v>7.06</v>
      </c>
    </row>
    <row r="9047" spans="1:2" x14ac:dyDescent="0.25">
      <c r="A9047" s="157">
        <v>35303</v>
      </c>
      <c r="B9047" s="158">
        <v>7.14</v>
      </c>
    </row>
    <row r="9048" spans="1:2" x14ac:dyDescent="0.25">
      <c r="A9048" s="157">
        <v>35304</v>
      </c>
      <c r="B9048" s="158">
        <v>7.12</v>
      </c>
    </row>
    <row r="9049" spans="1:2" x14ac:dyDescent="0.25">
      <c r="A9049" s="157">
        <v>35305</v>
      </c>
      <c r="B9049" s="158">
        <v>7.13</v>
      </c>
    </row>
    <row r="9050" spans="1:2" x14ac:dyDescent="0.25">
      <c r="A9050" s="157">
        <v>35306</v>
      </c>
      <c r="B9050" s="158">
        <v>7.19</v>
      </c>
    </row>
    <row r="9051" spans="1:2" x14ac:dyDescent="0.25">
      <c r="A9051" s="157">
        <v>35307</v>
      </c>
      <c r="B9051" s="158">
        <v>7.28</v>
      </c>
    </row>
    <row r="9052" spans="1:2" x14ac:dyDescent="0.25">
      <c r="A9052" s="157">
        <v>35310</v>
      </c>
      <c r="B9052" s="158" t="e">
        <f>NA()</f>
        <v>#N/A</v>
      </c>
    </row>
    <row r="9053" spans="1:2" x14ac:dyDescent="0.25">
      <c r="A9053" s="157">
        <v>35311</v>
      </c>
      <c r="B9053" s="158">
        <v>7.22</v>
      </c>
    </row>
    <row r="9054" spans="1:2" x14ac:dyDescent="0.25">
      <c r="A9054" s="157">
        <v>35312</v>
      </c>
      <c r="B9054" s="158">
        <v>7.25</v>
      </c>
    </row>
    <row r="9055" spans="1:2" x14ac:dyDescent="0.25">
      <c r="A9055" s="157">
        <v>35313</v>
      </c>
      <c r="B9055" s="158">
        <v>7.3</v>
      </c>
    </row>
    <row r="9056" spans="1:2" x14ac:dyDescent="0.25">
      <c r="A9056" s="157">
        <v>35314</v>
      </c>
      <c r="B9056" s="158">
        <v>7.27</v>
      </c>
    </row>
    <row r="9057" spans="1:2" x14ac:dyDescent="0.25">
      <c r="A9057" s="157">
        <v>35317</v>
      </c>
      <c r="B9057" s="158">
        <v>7.23</v>
      </c>
    </row>
    <row r="9058" spans="1:2" x14ac:dyDescent="0.25">
      <c r="A9058" s="157">
        <v>35318</v>
      </c>
      <c r="B9058" s="158">
        <v>7.28</v>
      </c>
    </row>
    <row r="9059" spans="1:2" x14ac:dyDescent="0.25">
      <c r="A9059" s="157">
        <v>35319</v>
      </c>
      <c r="B9059" s="158">
        <v>7.27</v>
      </c>
    </row>
    <row r="9060" spans="1:2" x14ac:dyDescent="0.25">
      <c r="A9060" s="157">
        <v>35320</v>
      </c>
      <c r="B9060" s="158">
        <v>7.23</v>
      </c>
    </row>
    <row r="9061" spans="1:2" x14ac:dyDescent="0.25">
      <c r="A9061" s="157">
        <v>35321</v>
      </c>
      <c r="B9061" s="158">
        <v>7.1</v>
      </c>
    </row>
    <row r="9062" spans="1:2" x14ac:dyDescent="0.25">
      <c r="A9062" s="157">
        <v>35324</v>
      </c>
      <c r="B9062" s="158">
        <v>7.09</v>
      </c>
    </row>
    <row r="9063" spans="1:2" x14ac:dyDescent="0.25">
      <c r="A9063" s="157">
        <v>35325</v>
      </c>
      <c r="B9063" s="158">
        <v>7.15</v>
      </c>
    </row>
    <row r="9064" spans="1:2" x14ac:dyDescent="0.25">
      <c r="A9064" s="157">
        <v>35326</v>
      </c>
      <c r="B9064" s="158">
        <v>7.16</v>
      </c>
    </row>
    <row r="9065" spans="1:2" x14ac:dyDescent="0.25">
      <c r="A9065" s="157">
        <v>35327</v>
      </c>
      <c r="B9065" s="158">
        <v>7.19</v>
      </c>
    </row>
    <row r="9066" spans="1:2" x14ac:dyDescent="0.25">
      <c r="A9066" s="157">
        <v>35328</v>
      </c>
      <c r="B9066" s="158">
        <v>7.18</v>
      </c>
    </row>
    <row r="9067" spans="1:2" x14ac:dyDescent="0.25">
      <c r="A9067" s="157">
        <v>35331</v>
      </c>
      <c r="B9067" s="158">
        <v>7.16</v>
      </c>
    </row>
    <row r="9068" spans="1:2" x14ac:dyDescent="0.25">
      <c r="A9068" s="157">
        <v>35332</v>
      </c>
      <c r="B9068" s="158">
        <v>7.12</v>
      </c>
    </row>
    <row r="9069" spans="1:2" x14ac:dyDescent="0.25">
      <c r="A9069" s="157">
        <v>35333</v>
      </c>
      <c r="B9069" s="158">
        <v>7.05</v>
      </c>
    </row>
    <row r="9070" spans="1:2" x14ac:dyDescent="0.25">
      <c r="A9070" s="157">
        <v>35334</v>
      </c>
      <c r="B9070" s="158">
        <v>7</v>
      </c>
    </row>
    <row r="9071" spans="1:2" x14ac:dyDescent="0.25">
      <c r="A9071" s="157">
        <v>35335</v>
      </c>
      <c r="B9071" s="158">
        <v>7.03</v>
      </c>
    </row>
    <row r="9072" spans="1:2" x14ac:dyDescent="0.25">
      <c r="A9072" s="157">
        <v>35338</v>
      </c>
      <c r="B9072" s="158">
        <v>7.05</v>
      </c>
    </row>
    <row r="9073" spans="1:2" x14ac:dyDescent="0.25">
      <c r="A9073" s="157">
        <v>35339</v>
      </c>
      <c r="B9073" s="158">
        <v>6.99</v>
      </c>
    </row>
    <row r="9074" spans="1:2" x14ac:dyDescent="0.25">
      <c r="A9074" s="157">
        <v>35340</v>
      </c>
      <c r="B9074" s="158">
        <v>6.95</v>
      </c>
    </row>
    <row r="9075" spans="1:2" x14ac:dyDescent="0.25">
      <c r="A9075" s="157">
        <v>35341</v>
      </c>
      <c r="B9075" s="158">
        <v>6.95</v>
      </c>
    </row>
    <row r="9076" spans="1:2" x14ac:dyDescent="0.25">
      <c r="A9076" s="157">
        <v>35342</v>
      </c>
      <c r="B9076" s="158">
        <v>6.83</v>
      </c>
    </row>
    <row r="9077" spans="1:2" x14ac:dyDescent="0.25">
      <c r="A9077" s="157">
        <v>35345</v>
      </c>
      <c r="B9077" s="158">
        <v>6.88</v>
      </c>
    </row>
    <row r="9078" spans="1:2" x14ac:dyDescent="0.25">
      <c r="A9078" s="157">
        <v>35346</v>
      </c>
      <c r="B9078" s="158">
        <v>6.89</v>
      </c>
    </row>
    <row r="9079" spans="1:2" x14ac:dyDescent="0.25">
      <c r="A9079" s="157">
        <v>35347</v>
      </c>
      <c r="B9079" s="158">
        <v>6.93</v>
      </c>
    </row>
    <row r="9080" spans="1:2" x14ac:dyDescent="0.25">
      <c r="A9080" s="157">
        <v>35348</v>
      </c>
      <c r="B9080" s="158">
        <v>6.98</v>
      </c>
    </row>
    <row r="9081" spans="1:2" x14ac:dyDescent="0.25">
      <c r="A9081" s="157">
        <v>35349</v>
      </c>
      <c r="B9081" s="158">
        <v>6.93</v>
      </c>
    </row>
    <row r="9082" spans="1:2" x14ac:dyDescent="0.25">
      <c r="A9082" s="157">
        <v>35352</v>
      </c>
      <c r="B9082" s="158" t="e">
        <f>NA()</f>
        <v>#N/A</v>
      </c>
    </row>
    <row r="9083" spans="1:2" x14ac:dyDescent="0.25">
      <c r="A9083" s="157">
        <v>35353</v>
      </c>
      <c r="B9083" s="158">
        <v>6.94</v>
      </c>
    </row>
    <row r="9084" spans="1:2" x14ac:dyDescent="0.25">
      <c r="A9084" s="157">
        <v>35354</v>
      </c>
      <c r="B9084" s="158">
        <v>6.96</v>
      </c>
    </row>
    <row r="9085" spans="1:2" x14ac:dyDescent="0.25">
      <c r="A9085" s="157">
        <v>35355</v>
      </c>
      <c r="B9085" s="158">
        <v>6.89</v>
      </c>
    </row>
    <row r="9086" spans="1:2" x14ac:dyDescent="0.25">
      <c r="A9086" s="157">
        <v>35356</v>
      </c>
      <c r="B9086" s="158">
        <v>6.88</v>
      </c>
    </row>
    <row r="9087" spans="1:2" x14ac:dyDescent="0.25">
      <c r="A9087" s="157">
        <v>35359</v>
      </c>
      <c r="B9087" s="158">
        <v>6.89</v>
      </c>
    </row>
    <row r="9088" spans="1:2" x14ac:dyDescent="0.25">
      <c r="A9088" s="157">
        <v>35360</v>
      </c>
      <c r="B9088" s="158">
        <v>6.93</v>
      </c>
    </row>
    <row r="9089" spans="1:2" x14ac:dyDescent="0.25">
      <c r="A9089" s="157">
        <v>35361</v>
      </c>
      <c r="B9089" s="158">
        <v>6.92</v>
      </c>
    </row>
    <row r="9090" spans="1:2" x14ac:dyDescent="0.25">
      <c r="A9090" s="157">
        <v>35362</v>
      </c>
      <c r="B9090" s="158">
        <v>6.94</v>
      </c>
    </row>
    <row r="9091" spans="1:2" x14ac:dyDescent="0.25">
      <c r="A9091" s="157">
        <v>35363</v>
      </c>
      <c r="B9091" s="158">
        <v>6.9</v>
      </c>
    </row>
    <row r="9092" spans="1:2" x14ac:dyDescent="0.25">
      <c r="A9092" s="157">
        <v>35366</v>
      </c>
      <c r="B9092" s="158">
        <v>6.91</v>
      </c>
    </row>
    <row r="9093" spans="1:2" x14ac:dyDescent="0.25">
      <c r="A9093" s="157">
        <v>35367</v>
      </c>
      <c r="B9093" s="158">
        <v>6.77</v>
      </c>
    </row>
    <row r="9094" spans="1:2" x14ac:dyDescent="0.25">
      <c r="A9094" s="157">
        <v>35368</v>
      </c>
      <c r="B9094" s="158">
        <v>6.77</v>
      </c>
    </row>
    <row r="9095" spans="1:2" x14ac:dyDescent="0.25">
      <c r="A9095" s="157">
        <v>35369</v>
      </c>
      <c r="B9095" s="158">
        <v>6.74</v>
      </c>
    </row>
    <row r="9096" spans="1:2" x14ac:dyDescent="0.25">
      <c r="A9096" s="157">
        <v>35370</v>
      </c>
      <c r="B9096" s="158">
        <v>6.75</v>
      </c>
    </row>
    <row r="9097" spans="1:2" x14ac:dyDescent="0.25">
      <c r="A9097" s="157">
        <v>35373</v>
      </c>
      <c r="B9097" s="158">
        <v>6.74</v>
      </c>
    </row>
    <row r="9098" spans="1:2" x14ac:dyDescent="0.25">
      <c r="A9098" s="157">
        <v>35374</v>
      </c>
      <c r="B9098" s="158">
        <v>6.66</v>
      </c>
    </row>
    <row r="9099" spans="1:2" x14ac:dyDescent="0.25">
      <c r="A9099" s="157">
        <v>35375</v>
      </c>
      <c r="B9099" s="158">
        <v>6.67</v>
      </c>
    </row>
    <row r="9100" spans="1:2" x14ac:dyDescent="0.25">
      <c r="A9100" s="157">
        <v>35376</v>
      </c>
      <c r="B9100" s="158">
        <v>6.61</v>
      </c>
    </row>
    <row r="9101" spans="1:2" x14ac:dyDescent="0.25">
      <c r="A9101" s="157">
        <v>35377</v>
      </c>
      <c r="B9101" s="158">
        <v>6.63</v>
      </c>
    </row>
    <row r="9102" spans="1:2" x14ac:dyDescent="0.25">
      <c r="A9102" s="157">
        <v>35380</v>
      </c>
      <c r="B9102" s="158" t="e">
        <f>NA()</f>
        <v>#N/A</v>
      </c>
    </row>
    <row r="9103" spans="1:2" x14ac:dyDescent="0.25">
      <c r="A9103" s="157">
        <v>35381</v>
      </c>
      <c r="B9103" s="158">
        <v>6.56</v>
      </c>
    </row>
    <row r="9104" spans="1:2" x14ac:dyDescent="0.25">
      <c r="A9104" s="157">
        <v>35382</v>
      </c>
      <c r="B9104" s="158">
        <v>6.58</v>
      </c>
    </row>
    <row r="9105" spans="1:2" x14ac:dyDescent="0.25">
      <c r="A9105" s="157">
        <v>35383</v>
      </c>
      <c r="B9105" s="158">
        <v>6.53</v>
      </c>
    </row>
    <row r="9106" spans="1:2" x14ac:dyDescent="0.25">
      <c r="A9106" s="157">
        <v>35384</v>
      </c>
      <c r="B9106" s="158">
        <v>6.55</v>
      </c>
    </row>
    <row r="9107" spans="1:2" x14ac:dyDescent="0.25">
      <c r="A9107" s="157">
        <v>35387</v>
      </c>
      <c r="B9107" s="158">
        <v>6.56</v>
      </c>
    </row>
    <row r="9108" spans="1:2" x14ac:dyDescent="0.25">
      <c r="A9108" s="157">
        <v>35388</v>
      </c>
      <c r="B9108" s="158">
        <v>6.53</v>
      </c>
    </row>
    <row r="9109" spans="1:2" x14ac:dyDescent="0.25">
      <c r="A9109" s="157">
        <v>35389</v>
      </c>
      <c r="B9109" s="158">
        <v>6.5</v>
      </c>
    </row>
    <row r="9110" spans="1:2" x14ac:dyDescent="0.25">
      <c r="A9110" s="157">
        <v>35390</v>
      </c>
      <c r="B9110" s="158">
        <v>6.52</v>
      </c>
    </row>
    <row r="9111" spans="1:2" x14ac:dyDescent="0.25">
      <c r="A9111" s="157">
        <v>35391</v>
      </c>
      <c r="B9111" s="158">
        <v>6.54</v>
      </c>
    </row>
    <row r="9112" spans="1:2" x14ac:dyDescent="0.25">
      <c r="A9112" s="157">
        <v>35394</v>
      </c>
      <c r="B9112" s="158">
        <v>6.53</v>
      </c>
    </row>
    <row r="9113" spans="1:2" x14ac:dyDescent="0.25">
      <c r="A9113" s="157">
        <v>35395</v>
      </c>
      <c r="B9113" s="158">
        <v>6.52</v>
      </c>
    </row>
    <row r="9114" spans="1:2" x14ac:dyDescent="0.25">
      <c r="A9114" s="157">
        <v>35396</v>
      </c>
      <c r="B9114" s="158">
        <v>6.53</v>
      </c>
    </row>
    <row r="9115" spans="1:2" x14ac:dyDescent="0.25">
      <c r="A9115" s="157">
        <v>35397</v>
      </c>
      <c r="B9115" s="158" t="e">
        <f>NA()</f>
        <v>#N/A</v>
      </c>
    </row>
    <row r="9116" spans="1:2" x14ac:dyDescent="0.25">
      <c r="A9116" s="157">
        <v>35398</v>
      </c>
      <c r="B9116" s="158">
        <v>6.45</v>
      </c>
    </row>
    <row r="9117" spans="1:2" x14ac:dyDescent="0.25">
      <c r="A9117" s="157">
        <v>35401</v>
      </c>
      <c r="B9117" s="158">
        <v>6.46</v>
      </c>
    </row>
    <row r="9118" spans="1:2" x14ac:dyDescent="0.25">
      <c r="A9118" s="157">
        <v>35402</v>
      </c>
      <c r="B9118" s="158">
        <v>6.44</v>
      </c>
    </row>
    <row r="9119" spans="1:2" x14ac:dyDescent="0.25">
      <c r="A9119" s="157">
        <v>35403</v>
      </c>
      <c r="B9119" s="158">
        <v>6.49</v>
      </c>
    </row>
    <row r="9120" spans="1:2" x14ac:dyDescent="0.25">
      <c r="A9120" s="157">
        <v>35404</v>
      </c>
      <c r="B9120" s="158">
        <v>6.6</v>
      </c>
    </row>
    <row r="9121" spans="1:2" x14ac:dyDescent="0.25">
      <c r="A9121" s="157">
        <v>35405</v>
      </c>
      <c r="B9121" s="158">
        <v>6.62</v>
      </c>
    </row>
    <row r="9122" spans="1:2" x14ac:dyDescent="0.25">
      <c r="A9122" s="157">
        <v>35408</v>
      </c>
      <c r="B9122" s="158">
        <v>6.58</v>
      </c>
    </row>
    <row r="9123" spans="1:2" x14ac:dyDescent="0.25">
      <c r="A9123" s="157">
        <v>35409</v>
      </c>
      <c r="B9123" s="158">
        <v>6.59</v>
      </c>
    </row>
    <row r="9124" spans="1:2" x14ac:dyDescent="0.25">
      <c r="A9124" s="157">
        <v>35410</v>
      </c>
      <c r="B9124" s="158">
        <v>6.71</v>
      </c>
    </row>
    <row r="9125" spans="1:2" x14ac:dyDescent="0.25">
      <c r="A9125" s="157">
        <v>35411</v>
      </c>
      <c r="B9125" s="158">
        <v>6.74</v>
      </c>
    </row>
    <row r="9126" spans="1:2" x14ac:dyDescent="0.25">
      <c r="A9126" s="157">
        <v>35412</v>
      </c>
      <c r="B9126" s="158">
        <v>6.68</v>
      </c>
    </row>
    <row r="9127" spans="1:2" x14ac:dyDescent="0.25">
      <c r="A9127" s="157">
        <v>35415</v>
      </c>
      <c r="B9127" s="158">
        <v>6.72</v>
      </c>
    </row>
    <row r="9128" spans="1:2" x14ac:dyDescent="0.25">
      <c r="A9128" s="157">
        <v>35416</v>
      </c>
      <c r="B9128" s="158">
        <v>6.76</v>
      </c>
    </row>
    <row r="9129" spans="1:2" x14ac:dyDescent="0.25">
      <c r="A9129" s="157">
        <v>35417</v>
      </c>
      <c r="B9129" s="158">
        <v>6.8</v>
      </c>
    </row>
    <row r="9130" spans="1:2" x14ac:dyDescent="0.25">
      <c r="A9130" s="157">
        <v>35418</v>
      </c>
      <c r="B9130" s="158">
        <v>6.69</v>
      </c>
    </row>
    <row r="9131" spans="1:2" x14ac:dyDescent="0.25">
      <c r="A9131" s="157">
        <v>35419</v>
      </c>
      <c r="B9131" s="158">
        <v>6.69</v>
      </c>
    </row>
    <row r="9132" spans="1:2" x14ac:dyDescent="0.25">
      <c r="A9132" s="157">
        <v>35422</v>
      </c>
      <c r="B9132" s="158">
        <v>6.67</v>
      </c>
    </row>
    <row r="9133" spans="1:2" x14ac:dyDescent="0.25">
      <c r="A9133" s="157">
        <v>35423</v>
      </c>
      <c r="B9133" s="158">
        <v>6.68</v>
      </c>
    </row>
    <row r="9134" spans="1:2" x14ac:dyDescent="0.25">
      <c r="A9134" s="157">
        <v>35424</v>
      </c>
      <c r="B9134" s="158" t="e">
        <f>NA()</f>
        <v>#N/A</v>
      </c>
    </row>
    <row r="9135" spans="1:2" x14ac:dyDescent="0.25">
      <c r="A9135" s="157">
        <v>35425</v>
      </c>
      <c r="B9135" s="158">
        <v>6.68</v>
      </c>
    </row>
    <row r="9136" spans="1:2" x14ac:dyDescent="0.25">
      <c r="A9136" s="157">
        <v>35426</v>
      </c>
      <c r="B9136" s="158">
        <v>6.63</v>
      </c>
    </row>
    <row r="9137" spans="1:2" x14ac:dyDescent="0.25">
      <c r="A9137" s="157">
        <v>35429</v>
      </c>
      <c r="B9137" s="158">
        <v>6.63</v>
      </c>
    </row>
    <row r="9138" spans="1:2" x14ac:dyDescent="0.25">
      <c r="A9138" s="157">
        <v>35430</v>
      </c>
      <c r="B9138" s="158">
        <v>6.73</v>
      </c>
    </row>
    <row r="9139" spans="1:2" x14ac:dyDescent="0.25">
      <c r="A9139" s="157">
        <v>35431</v>
      </c>
      <c r="B9139" s="158" t="e">
        <f>NA()</f>
        <v>#N/A</v>
      </c>
    </row>
    <row r="9140" spans="1:2" x14ac:dyDescent="0.25">
      <c r="A9140" s="157">
        <v>35432</v>
      </c>
      <c r="B9140" s="158">
        <v>6.85</v>
      </c>
    </row>
    <row r="9141" spans="1:2" x14ac:dyDescent="0.25">
      <c r="A9141" s="157">
        <v>35433</v>
      </c>
      <c r="B9141" s="158">
        <v>6.84</v>
      </c>
    </row>
    <row r="9142" spans="1:2" x14ac:dyDescent="0.25">
      <c r="A9142" s="157">
        <v>35436</v>
      </c>
      <c r="B9142" s="158">
        <v>6.86</v>
      </c>
    </row>
    <row r="9143" spans="1:2" x14ac:dyDescent="0.25">
      <c r="A9143" s="157">
        <v>35437</v>
      </c>
      <c r="B9143" s="158">
        <v>6.89</v>
      </c>
    </row>
    <row r="9144" spans="1:2" x14ac:dyDescent="0.25">
      <c r="A9144" s="157">
        <v>35438</v>
      </c>
      <c r="B9144" s="158">
        <v>6.92</v>
      </c>
    </row>
    <row r="9145" spans="1:2" x14ac:dyDescent="0.25">
      <c r="A9145" s="157">
        <v>35439</v>
      </c>
      <c r="B9145" s="158">
        <v>6.85</v>
      </c>
    </row>
    <row r="9146" spans="1:2" x14ac:dyDescent="0.25">
      <c r="A9146" s="157">
        <v>35440</v>
      </c>
      <c r="B9146" s="158">
        <v>6.94</v>
      </c>
    </row>
    <row r="9147" spans="1:2" x14ac:dyDescent="0.25">
      <c r="A9147" s="157">
        <v>35443</v>
      </c>
      <c r="B9147" s="158">
        <v>6.95</v>
      </c>
    </row>
    <row r="9148" spans="1:2" x14ac:dyDescent="0.25">
      <c r="A9148" s="157">
        <v>35444</v>
      </c>
      <c r="B9148" s="158">
        <v>6.86</v>
      </c>
    </row>
    <row r="9149" spans="1:2" x14ac:dyDescent="0.25">
      <c r="A9149" s="157">
        <v>35445</v>
      </c>
      <c r="B9149" s="158">
        <v>6.87</v>
      </c>
    </row>
    <row r="9150" spans="1:2" x14ac:dyDescent="0.25">
      <c r="A9150" s="157">
        <v>35446</v>
      </c>
      <c r="B9150" s="158">
        <v>6.91</v>
      </c>
    </row>
    <row r="9151" spans="1:2" x14ac:dyDescent="0.25">
      <c r="A9151" s="157">
        <v>35447</v>
      </c>
      <c r="B9151" s="158">
        <v>6.9</v>
      </c>
    </row>
    <row r="9152" spans="1:2" x14ac:dyDescent="0.25">
      <c r="A9152" s="157">
        <v>35450</v>
      </c>
      <c r="B9152" s="158" t="e">
        <f>NA()</f>
        <v>#N/A</v>
      </c>
    </row>
    <row r="9153" spans="1:2" x14ac:dyDescent="0.25">
      <c r="A9153" s="157">
        <v>35451</v>
      </c>
      <c r="B9153" s="158">
        <v>6.86</v>
      </c>
    </row>
    <row r="9154" spans="1:2" x14ac:dyDescent="0.25">
      <c r="A9154" s="157">
        <v>35452</v>
      </c>
      <c r="B9154" s="158">
        <v>6.9</v>
      </c>
    </row>
    <row r="9155" spans="1:2" x14ac:dyDescent="0.25">
      <c r="A9155" s="157">
        <v>35453</v>
      </c>
      <c r="B9155" s="158">
        <v>6.93</v>
      </c>
    </row>
    <row r="9156" spans="1:2" x14ac:dyDescent="0.25">
      <c r="A9156" s="157">
        <v>35454</v>
      </c>
      <c r="B9156" s="158">
        <v>6.97</v>
      </c>
    </row>
    <row r="9157" spans="1:2" x14ac:dyDescent="0.25">
      <c r="A9157" s="157">
        <v>35457</v>
      </c>
      <c r="B9157" s="158">
        <v>7.01</v>
      </c>
    </row>
    <row r="9158" spans="1:2" x14ac:dyDescent="0.25">
      <c r="A9158" s="157">
        <v>35458</v>
      </c>
      <c r="B9158" s="158">
        <v>6.98</v>
      </c>
    </row>
    <row r="9159" spans="1:2" x14ac:dyDescent="0.25">
      <c r="A9159" s="157">
        <v>35459</v>
      </c>
      <c r="B9159" s="158">
        <v>6.97</v>
      </c>
    </row>
    <row r="9160" spans="1:2" x14ac:dyDescent="0.25">
      <c r="A9160" s="157">
        <v>35460</v>
      </c>
      <c r="B9160" s="158">
        <v>6.95</v>
      </c>
    </row>
    <row r="9161" spans="1:2" x14ac:dyDescent="0.25">
      <c r="A9161" s="157">
        <v>35461</v>
      </c>
      <c r="B9161" s="158">
        <v>6.86</v>
      </c>
    </row>
    <row r="9162" spans="1:2" x14ac:dyDescent="0.25">
      <c r="A9162" s="157">
        <v>35464</v>
      </c>
      <c r="B9162" s="158">
        <v>6.81</v>
      </c>
    </row>
    <row r="9163" spans="1:2" x14ac:dyDescent="0.25">
      <c r="A9163" s="157">
        <v>35465</v>
      </c>
      <c r="B9163" s="158">
        <v>6.78</v>
      </c>
    </row>
    <row r="9164" spans="1:2" x14ac:dyDescent="0.25">
      <c r="A9164" s="157">
        <v>35466</v>
      </c>
      <c r="B9164" s="158">
        <v>6.81</v>
      </c>
    </row>
    <row r="9165" spans="1:2" x14ac:dyDescent="0.25">
      <c r="A9165" s="157">
        <v>35467</v>
      </c>
      <c r="B9165" s="158">
        <v>6.83</v>
      </c>
    </row>
    <row r="9166" spans="1:2" x14ac:dyDescent="0.25">
      <c r="A9166" s="157">
        <v>35468</v>
      </c>
      <c r="B9166" s="158">
        <v>6.78</v>
      </c>
    </row>
    <row r="9167" spans="1:2" x14ac:dyDescent="0.25">
      <c r="A9167" s="157">
        <v>35471</v>
      </c>
      <c r="B9167" s="158">
        <v>6.77</v>
      </c>
    </row>
    <row r="9168" spans="1:2" x14ac:dyDescent="0.25">
      <c r="A9168" s="157">
        <v>35472</v>
      </c>
      <c r="B9168" s="158">
        <v>6.77</v>
      </c>
    </row>
    <row r="9169" spans="1:2" x14ac:dyDescent="0.25">
      <c r="A9169" s="157">
        <v>35473</v>
      </c>
      <c r="B9169" s="158">
        <v>6.78</v>
      </c>
    </row>
    <row r="9170" spans="1:2" x14ac:dyDescent="0.25">
      <c r="A9170" s="157">
        <v>35474</v>
      </c>
      <c r="B9170" s="158">
        <v>6.69</v>
      </c>
    </row>
    <row r="9171" spans="1:2" x14ac:dyDescent="0.25">
      <c r="A9171" s="157">
        <v>35475</v>
      </c>
      <c r="B9171" s="158">
        <v>6.64</v>
      </c>
    </row>
    <row r="9172" spans="1:2" x14ac:dyDescent="0.25">
      <c r="A9172" s="157">
        <v>35478</v>
      </c>
      <c r="B9172" s="158" t="e">
        <f>NA()</f>
        <v>#N/A</v>
      </c>
    </row>
    <row r="9173" spans="1:2" x14ac:dyDescent="0.25">
      <c r="A9173" s="157">
        <v>35479</v>
      </c>
      <c r="B9173" s="158">
        <v>6.65</v>
      </c>
    </row>
    <row r="9174" spans="1:2" x14ac:dyDescent="0.25">
      <c r="A9174" s="157">
        <v>35480</v>
      </c>
      <c r="B9174" s="158">
        <v>6.67</v>
      </c>
    </row>
    <row r="9175" spans="1:2" x14ac:dyDescent="0.25">
      <c r="A9175" s="157">
        <v>35481</v>
      </c>
      <c r="B9175" s="158">
        <v>6.74</v>
      </c>
    </row>
    <row r="9176" spans="1:2" x14ac:dyDescent="0.25">
      <c r="A9176" s="157">
        <v>35482</v>
      </c>
      <c r="B9176" s="158">
        <v>6.74</v>
      </c>
    </row>
    <row r="9177" spans="1:2" x14ac:dyDescent="0.25">
      <c r="A9177" s="157">
        <v>35485</v>
      </c>
      <c r="B9177" s="158">
        <v>6.76</v>
      </c>
    </row>
    <row r="9178" spans="1:2" x14ac:dyDescent="0.25">
      <c r="A9178" s="157">
        <v>35486</v>
      </c>
      <c r="B9178" s="158">
        <v>6.76</v>
      </c>
    </row>
    <row r="9179" spans="1:2" x14ac:dyDescent="0.25">
      <c r="A9179" s="157">
        <v>35487</v>
      </c>
      <c r="B9179" s="158">
        <v>6.9</v>
      </c>
    </row>
    <row r="9180" spans="1:2" x14ac:dyDescent="0.25">
      <c r="A9180" s="157">
        <v>35488</v>
      </c>
      <c r="B9180" s="158">
        <v>6.92</v>
      </c>
    </row>
    <row r="9181" spans="1:2" x14ac:dyDescent="0.25">
      <c r="A9181" s="157">
        <v>35489</v>
      </c>
      <c r="B9181" s="158">
        <v>6.91</v>
      </c>
    </row>
    <row r="9182" spans="1:2" x14ac:dyDescent="0.25">
      <c r="A9182" s="157">
        <v>35492</v>
      </c>
      <c r="B9182" s="158">
        <v>6.94</v>
      </c>
    </row>
    <row r="9183" spans="1:2" x14ac:dyDescent="0.25">
      <c r="A9183" s="157">
        <v>35493</v>
      </c>
      <c r="B9183" s="158">
        <v>6.97</v>
      </c>
    </row>
    <row r="9184" spans="1:2" x14ac:dyDescent="0.25">
      <c r="A9184" s="157">
        <v>35494</v>
      </c>
      <c r="B9184" s="158">
        <v>6.96</v>
      </c>
    </row>
    <row r="9185" spans="1:2" x14ac:dyDescent="0.25">
      <c r="A9185" s="157">
        <v>35495</v>
      </c>
      <c r="B9185" s="158">
        <v>6.99</v>
      </c>
    </row>
    <row r="9186" spans="1:2" x14ac:dyDescent="0.25">
      <c r="A9186" s="157">
        <v>35496</v>
      </c>
      <c r="B9186" s="158">
        <v>6.93</v>
      </c>
    </row>
    <row r="9187" spans="1:2" x14ac:dyDescent="0.25">
      <c r="A9187" s="157">
        <v>35499</v>
      </c>
      <c r="B9187" s="158">
        <v>6.94</v>
      </c>
    </row>
    <row r="9188" spans="1:2" x14ac:dyDescent="0.25">
      <c r="A9188" s="157">
        <v>35500</v>
      </c>
      <c r="B9188" s="158">
        <v>6.96</v>
      </c>
    </row>
    <row r="9189" spans="1:2" x14ac:dyDescent="0.25">
      <c r="A9189" s="157">
        <v>35501</v>
      </c>
      <c r="B9189" s="158">
        <v>6.98</v>
      </c>
    </row>
    <row r="9190" spans="1:2" x14ac:dyDescent="0.25">
      <c r="A9190" s="157">
        <v>35502</v>
      </c>
      <c r="B9190" s="158">
        <v>7.09</v>
      </c>
    </row>
    <row r="9191" spans="1:2" x14ac:dyDescent="0.25">
      <c r="A9191" s="157">
        <v>35503</v>
      </c>
      <c r="B9191" s="158">
        <v>7.07</v>
      </c>
    </row>
    <row r="9192" spans="1:2" x14ac:dyDescent="0.25">
      <c r="A9192" s="157">
        <v>35506</v>
      </c>
      <c r="B9192" s="158">
        <v>7.08</v>
      </c>
    </row>
    <row r="9193" spans="1:2" x14ac:dyDescent="0.25">
      <c r="A9193" s="157">
        <v>35507</v>
      </c>
      <c r="B9193" s="158">
        <v>7.08</v>
      </c>
    </row>
    <row r="9194" spans="1:2" x14ac:dyDescent="0.25">
      <c r="A9194" s="157">
        <v>35508</v>
      </c>
      <c r="B9194" s="158">
        <v>7.1</v>
      </c>
    </row>
    <row r="9195" spans="1:2" x14ac:dyDescent="0.25">
      <c r="A9195" s="157">
        <v>35509</v>
      </c>
      <c r="B9195" s="158">
        <v>7.09</v>
      </c>
    </row>
    <row r="9196" spans="1:2" x14ac:dyDescent="0.25">
      <c r="A9196" s="157">
        <v>35510</v>
      </c>
      <c r="B9196" s="158">
        <v>7.08</v>
      </c>
    </row>
    <row r="9197" spans="1:2" x14ac:dyDescent="0.25">
      <c r="A9197" s="157">
        <v>35513</v>
      </c>
      <c r="B9197" s="158">
        <v>7.06</v>
      </c>
    </row>
    <row r="9198" spans="1:2" x14ac:dyDescent="0.25">
      <c r="A9198" s="157">
        <v>35514</v>
      </c>
      <c r="B9198" s="158">
        <v>7.07</v>
      </c>
    </row>
    <row r="9199" spans="1:2" x14ac:dyDescent="0.25">
      <c r="A9199" s="157">
        <v>35515</v>
      </c>
      <c r="B9199" s="158">
        <v>7.11</v>
      </c>
    </row>
    <row r="9200" spans="1:2" x14ac:dyDescent="0.25">
      <c r="A9200" s="157">
        <v>35516</v>
      </c>
      <c r="B9200" s="158">
        <v>7.2</v>
      </c>
    </row>
    <row r="9201" spans="1:2" x14ac:dyDescent="0.25">
      <c r="A9201" s="157">
        <v>35517</v>
      </c>
      <c r="B9201" s="158" t="e">
        <f>NA()</f>
        <v>#N/A</v>
      </c>
    </row>
    <row r="9202" spans="1:2" x14ac:dyDescent="0.25">
      <c r="A9202" s="157">
        <v>35520</v>
      </c>
      <c r="B9202" s="158">
        <v>7.22</v>
      </c>
    </row>
    <row r="9203" spans="1:2" x14ac:dyDescent="0.25">
      <c r="A9203" s="157">
        <v>35521</v>
      </c>
      <c r="B9203" s="158">
        <v>7.21</v>
      </c>
    </row>
    <row r="9204" spans="1:2" x14ac:dyDescent="0.25">
      <c r="A9204" s="157">
        <v>35522</v>
      </c>
      <c r="B9204" s="158">
        <v>7.2</v>
      </c>
    </row>
    <row r="9205" spans="1:2" x14ac:dyDescent="0.25">
      <c r="A9205" s="157">
        <v>35523</v>
      </c>
      <c r="B9205" s="158">
        <v>7.19</v>
      </c>
    </row>
    <row r="9206" spans="1:2" x14ac:dyDescent="0.25">
      <c r="A9206" s="157">
        <v>35524</v>
      </c>
      <c r="B9206" s="158">
        <v>7.25</v>
      </c>
    </row>
    <row r="9207" spans="1:2" x14ac:dyDescent="0.25">
      <c r="A9207" s="157">
        <v>35527</v>
      </c>
      <c r="B9207" s="158">
        <v>7.2</v>
      </c>
    </row>
    <row r="9208" spans="1:2" x14ac:dyDescent="0.25">
      <c r="A9208" s="157">
        <v>35528</v>
      </c>
      <c r="B9208" s="158">
        <v>7.23</v>
      </c>
    </row>
    <row r="9209" spans="1:2" x14ac:dyDescent="0.25">
      <c r="A9209" s="157">
        <v>35529</v>
      </c>
      <c r="B9209" s="158">
        <v>7.22</v>
      </c>
    </row>
    <row r="9210" spans="1:2" x14ac:dyDescent="0.25">
      <c r="A9210" s="157">
        <v>35530</v>
      </c>
      <c r="B9210" s="158">
        <v>7.22</v>
      </c>
    </row>
    <row r="9211" spans="1:2" x14ac:dyDescent="0.25">
      <c r="A9211" s="157">
        <v>35531</v>
      </c>
      <c r="B9211" s="158">
        <v>7.29</v>
      </c>
    </row>
    <row r="9212" spans="1:2" x14ac:dyDescent="0.25">
      <c r="A9212" s="157">
        <v>35534</v>
      </c>
      <c r="B9212" s="158">
        <v>7.29</v>
      </c>
    </row>
    <row r="9213" spans="1:2" x14ac:dyDescent="0.25">
      <c r="A9213" s="157">
        <v>35535</v>
      </c>
      <c r="B9213" s="158">
        <v>7.21</v>
      </c>
    </row>
    <row r="9214" spans="1:2" x14ac:dyDescent="0.25">
      <c r="A9214" s="157">
        <v>35536</v>
      </c>
      <c r="B9214" s="158">
        <v>7.22</v>
      </c>
    </row>
    <row r="9215" spans="1:2" x14ac:dyDescent="0.25">
      <c r="A9215" s="157">
        <v>35537</v>
      </c>
      <c r="B9215" s="158">
        <v>7.18</v>
      </c>
    </row>
    <row r="9216" spans="1:2" x14ac:dyDescent="0.25">
      <c r="A9216" s="157">
        <v>35538</v>
      </c>
      <c r="B9216" s="158">
        <v>7.17</v>
      </c>
    </row>
    <row r="9217" spans="1:2" x14ac:dyDescent="0.25">
      <c r="A9217" s="157">
        <v>35541</v>
      </c>
      <c r="B9217" s="158">
        <v>7.2</v>
      </c>
    </row>
    <row r="9218" spans="1:2" x14ac:dyDescent="0.25">
      <c r="A9218" s="157">
        <v>35542</v>
      </c>
      <c r="B9218" s="158">
        <v>7.16</v>
      </c>
    </row>
    <row r="9219" spans="1:2" x14ac:dyDescent="0.25">
      <c r="A9219" s="157">
        <v>35543</v>
      </c>
      <c r="B9219" s="158">
        <v>7.2</v>
      </c>
    </row>
    <row r="9220" spans="1:2" x14ac:dyDescent="0.25">
      <c r="A9220" s="157">
        <v>35544</v>
      </c>
      <c r="B9220" s="158">
        <v>7.23</v>
      </c>
    </row>
    <row r="9221" spans="1:2" x14ac:dyDescent="0.25">
      <c r="A9221" s="157">
        <v>35545</v>
      </c>
      <c r="B9221" s="158">
        <v>7.25</v>
      </c>
    </row>
    <row r="9222" spans="1:2" x14ac:dyDescent="0.25">
      <c r="A9222" s="157">
        <v>35548</v>
      </c>
      <c r="B9222" s="158">
        <v>7.23</v>
      </c>
    </row>
    <row r="9223" spans="1:2" x14ac:dyDescent="0.25">
      <c r="A9223" s="157">
        <v>35549</v>
      </c>
      <c r="B9223" s="158">
        <v>7.09</v>
      </c>
    </row>
    <row r="9224" spans="1:2" x14ac:dyDescent="0.25">
      <c r="A9224" s="157">
        <v>35550</v>
      </c>
      <c r="B9224" s="158">
        <v>7.05</v>
      </c>
    </row>
    <row r="9225" spans="1:2" x14ac:dyDescent="0.25">
      <c r="A9225" s="157">
        <v>35551</v>
      </c>
      <c r="B9225" s="158">
        <v>7.02</v>
      </c>
    </row>
    <row r="9226" spans="1:2" x14ac:dyDescent="0.25">
      <c r="A9226" s="157">
        <v>35552</v>
      </c>
      <c r="B9226" s="158">
        <v>6.99</v>
      </c>
    </row>
    <row r="9227" spans="1:2" x14ac:dyDescent="0.25">
      <c r="A9227" s="157">
        <v>35555</v>
      </c>
      <c r="B9227" s="158">
        <v>6.99</v>
      </c>
    </row>
    <row r="9228" spans="1:2" x14ac:dyDescent="0.25">
      <c r="A9228" s="157">
        <v>35556</v>
      </c>
      <c r="B9228" s="158">
        <v>6.98</v>
      </c>
    </row>
    <row r="9229" spans="1:2" x14ac:dyDescent="0.25">
      <c r="A9229" s="157">
        <v>35557</v>
      </c>
      <c r="B9229" s="158">
        <v>7.05</v>
      </c>
    </row>
    <row r="9230" spans="1:2" x14ac:dyDescent="0.25">
      <c r="A9230" s="157">
        <v>35558</v>
      </c>
      <c r="B9230" s="158">
        <v>7.01</v>
      </c>
    </row>
    <row r="9231" spans="1:2" x14ac:dyDescent="0.25">
      <c r="A9231" s="157">
        <v>35559</v>
      </c>
      <c r="B9231" s="158">
        <v>6.97</v>
      </c>
    </row>
    <row r="9232" spans="1:2" x14ac:dyDescent="0.25">
      <c r="A9232" s="157">
        <v>35562</v>
      </c>
      <c r="B9232" s="158">
        <v>6.96</v>
      </c>
    </row>
    <row r="9233" spans="1:2" x14ac:dyDescent="0.25">
      <c r="A9233" s="157">
        <v>35563</v>
      </c>
      <c r="B9233" s="158">
        <v>7.01</v>
      </c>
    </row>
    <row r="9234" spans="1:2" x14ac:dyDescent="0.25">
      <c r="A9234" s="157">
        <v>35564</v>
      </c>
      <c r="B9234" s="158">
        <v>6.98</v>
      </c>
    </row>
    <row r="9235" spans="1:2" x14ac:dyDescent="0.25">
      <c r="A9235" s="157">
        <v>35565</v>
      </c>
      <c r="B9235" s="158">
        <v>6.96</v>
      </c>
    </row>
    <row r="9236" spans="1:2" x14ac:dyDescent="0.25">
      <c r="A9236" s="157">
        <v>35566</v>
      </c>
      <c r="B9236" s="158">
        <v>7</v>
      </c>
    </row>
    <row r="9237" spans="1:2" x14ac:dyDescent="0.25">
      <c r="A9237" s="157">
        <v>35569</v>
      </c>
      <c r="B9237" s="158">
        <v>7</v>
      </c>
    </row>
    <row r="9238" spans="1:2" x14ac:dyDescent="0.25">
      <c r="A9238" s="157">
        <v>35570</v>
      </c>
      <c r="B9238" s="158">
        <v>7.01</v>
      </c>
    </row>
    <row r="9239" spans="1:2" x14ac:dyDescent="0.25">
      <c r="A9239" s="157">
        <v>35571</v>
      </c>
      <c r="B9239" s="158">
        <v>7.06</v>
      </c>
    </row>
    <row r="9240" spans="1:2" x14ac:dyDescent="0.25">
      <c r="A9240" s="157">
        <v>35572</v>
      </c>
      <c r="B9240" s="158">
        <v>7.08</v>
      </c>
    </row>
    <row r="9241" spans="1:2" x14ac:dyDescent="0.25">
      <c r="A9241" s="157">
        <v>35573</v>
      </c>
      <c r="B9241" s="158">
        <v>7.07</v>
      </c>
    </row>
    <row r="9242" spans="1:2" x14ac:dyDescent="0.25">
      <c r="A9242" s="157">
        <v>35576</v>
      </c>
      <c r="B9242" s="158" t="e">
        <f>NA()</f>
        <v>#N/A</v>
      </c>
    </row>
    <row r="9243" spans="1:2" x14ac:dyDescent="0.25">
      <c r="A9243" s="157">
        <v>35577</v>
      </c>
      <c r="B9243" s="158">
        <v>7.12</v>
      </c>
    </row>
    <row r="9244" spans="1:2" x14ac:dyDescent="0.25">
      <c r="A9244" s="157">
        <v>35578</v>
      </c>
      <c r="B9244" s="158">
        <v>7.11</v>
      </c>
    </row>
    <row r="9245" spans="1:2" x14ac:dyDescent="0.25">
      <c r="A9245" s="157">
        <v>35579</v>
      </c>
      <c r="B9245" s="158">
        <v>7.06</v>
      </c>
    </row>
    <row r="9246" spans="1:2" x14ac:dyDescent="0.25">
      <c r="A9246" s="157">
        <v>35580</v>
      </c>
      <c r="B9246" s="158">
        <v>6.99</v>
      </c>
    </row>
    <row r="9247" spans="1:2" x14ac:dyDescent="0.25">
      <c r="A9247" s="157">
        <v>35583</v>
      </c>
      <c r="B9247" s="158">
        <v>6.98</v>
      </c>
    </row>
    <row r="9248" spans="1:2" x14ac:dyDescent="0.25">
      <c r="A9248" s="157">
        <v>35584</v>
      </c>
      <c r="B9248" s="158">
        <v>6.94</v>
      </c>
    </row>
    <row r="9249" spans="1:2" x14ac:dyDescent="0.25">
      <c r="A9249" s="157">
        <v>35585</v>
      </c>
      <c r="B9249" s="158">
        <v>6.95</v>
      </c>
    </row>
    <row r="9250" spans="1:2" x14ac:dyDescent="0.25">
      <c r="A9250" s="157">
        <v>35586</v>
      </c>
      <c r="B9250" s="158">
        <v>6.95</v>
      </c>
    </row>
    <row r="9251" spans="1:2" x14ac:dyDescent="0.25">
      <c r="A9251" s="157">
        <v>35587</v>
      </c>
      <c r="B9251" s="158">
        <v>6.85</v>
      </c>
    </row>
    <row r="9252" spans="1:2" x14ac:dyDescent="0.25">
      <c r="A9252" s="157">
        <v>35590</v>
      </c>
      <c r="B9252" s="158">
        <v>6.9</v>
      </c>
    </row>
    <row r="9253" spans="1:2" x14ac:dyDescent="0.25">
      <c r="A9253" s="157">
        <v>35591</v>
      </c>
      <c r="B9253" s="158">
        <v>6.91</v>
      </c>
    </row>
    <row r="9254" spans="1:2" x14ac:dyDescent="0.25">
      <c r="A9254" s="157">
        <v>35592</v>
      </c>
      <c r="B9254" s="158">
        <v>6.9</v>
      </c>
    </row>
    <row r="9255" spans="1:2" x14ac:dyDescent="0.25">
      <c r="A9255" s="157">
        <v>35593</v>
      </c>
      <c r="B9255" s="158">
        <v>6.84</v>
      </c>
    </row>
    <row r="9256" spans="1:2" x14ac:dyDescent="0.25">
      <c r="A9256" s="157">
        <v>35594</v>
      </c>
      <c r="B9256" s="158">
        <v>6.79</v>
      </c>
    </row>
    <row r="9257" spans="1:2" x14ac:dyDescent="0.25">
      <c r="A9257" s="157">
        <v>35597</v>
      </c>
      <c r="B9257" s="158">
        <v>6.76</v>
      </c>
    </row>
    <row r="9258" spans="1:2" x14ac:dyDescent="0.25">
      <c r="A9258" s="157">
        <v>35598</v>
      </c>
      <c r="B9258" s="158">
        <v>6.78</v>
      </c>
    </row>
    <row r="9259" spans="1:2" x14ac:dyDescent="0.25">
      <c r="A9259" s="157">
        <v>35599</v>
      </c>
      <c r="B9259" s="158">
        <v>6.77</v>
      </c>
    </row>
    <row r="9260" spans="1:2" x14ac:dyDescent="0.25">
      <c r="A9260" s="157">
        <v>35600</v>
      </c>
      <c r="B9260" s="158">
        <v>6.76</v>
      </c>
    </row>
    <row r="9261" spans="1:2" x14ac:dyDescent="0.25">
      <c r="A9261" s="157">
        <v>35601</v>
      </c>
      <c r="B9261" s="158">
        <v>6.72</v>
      </c>
    </row>
    <row r="9262" spans="1:2" x14ac:dyDescent="0.25">
      <c r="A9262" s="157">
        <v>35604</v>
      </c>
      <c r="B9262" s="158">
        <v>6.76</v>
      </c>
    </row>
    <row r="9263" spans="1:2" x14ac:dyDescent="0.25">
      <c r="A9263" s="157">
        <v>35605</v>
      </c>
      <c r="B9263" s="158">
        <v>6.76</v>
      </c>
    </row>
    <row r="9264" spans="1:2" x14ac:dyDescent="0.25">
      <c r="A9264" s="157">
        <v>35606</v>
      </c>
      <c r="B9264" s="158">
        <v>6.8</v>
      </c>
    </row>
    <row r="9265" spans="1:2" x14ac:dyDescent="0.25">
      <c r="A9265" s="157">
        <v>35607</v>
      </c>
      <c r="B9265" s="158">
        <v>6.86</v>
      </c>
    </row>
    <row r="9266" spans="1:2" x14ac:dyDescent="0.25">
      <c r="A9266" s="157">
        <v>35608</v>
      </c>
      <c r="B9266" s="158">
        <v>6.82</v>
      </c>
    </row>
    <row r="9267" spans="1:2" x14ac:dyDescent="0.25">
      <c r="A9267" s="157">
        <v>35611</v>
      </c>
      <c r="B9267" s="158">
        <v>6.86</v>
      </c>
    </row>
    <row r="9268" spans="1:2" x14ac:dyDescent="0.25">
      <c r="A9268" s="157">
        <v>35612</v>
      </c>
      <c r="B9268" s="158">
        <v>6.8</v>
      </c>
    </row>
    <row r="9269" spans="1:2" x14ac:dyDescent="0.25">
      <c r="A9269" s="157">
        <v>35613</v>
      </c>
      <c r="B9269" s="158">
        <v>6.78</v>
      </c>
    </row>
    <row r="9270" spans="1:2" x14ac:dyDescent="0.25">
      <c r="A9270" s="157">
        <v>35614</v>
      </c>
      <c r="B9270" s="158">
        <v>6.67</v>
      </c>
    </row>
    <row r="9271" spans="1:2" x14ac:dyDescent="0.25">
      <c r="A9271" s="157">
        <v>35615</v>
      </c>
      <c r="B9271" s="158" t="e">
        <f>NA()</f>
        <v>#N/A</v>
      </c>
    </row>
    <row r="9272" spans="1:2" x14ac:dyDescent="0.25">
      <c r="A9272" s="157">
        <v>35618</v>
      </c>
      <c r="B9272" s="158">
        <v>6.63</v>
      </c>
    </row>
    <row r="9273" spans="1:2" x14ac:dyDescent="0.25">
      <c r="A9273" s="157">
        <v>35619</v>
      </c>
      <c r="B9273" s="158">
        <v>6.63</v>
      </c>
    </row>
    <row r="9274" spans="1:2" x14ac:dyDescent="0.25">
      <c r="A9274" s="157">
        <v>35620</v>
      </c>
      <c r="B9274" s="158">
        <v>6.6</v>
      </c>
    </row>
    <row r="9275" spans="1:2" x14ac:dyDescent="0.25">
      <c r="A9275" s="157">
        <v>35621</v>
      </c>
      <c r="B9275" s="158">
        <v>6.61</v>
      </c>
    </row>
    <row r="9276" spans="1:2" x14ac:dyDescent="0.25">
      <c r="A9276" s="157">
        <v>35622</v>
      </c>
      <c r="B9276" s="158">
        <v>6.58</v>
      </c>
    </row>
    <row r="9277" spans="1:2" x14ac:dyDescent="0.25">
      <c r="A9277" s="157">
        <v>35625</v>
      </c>
      <c r="B9277" s="158">
        <v>6.61</v>
      </c>
    </row>
    <row r="9278" spans="1:2" x14ac:dyDescent="0.25">
      <c r="A9278" s="157">
        <v>35626</v>
      </c>
      <c r="B9278" s="158">
        <v>6.6</v>
      </c>
    </row>
    <row r="9279" spans="1:2" x14ac:dyDescent="0.25">
      <c r="A9279" s="157">
        <v>35627</v>
      </c>
      <c r="B9279" s="158">
        <v>6.54</v>
      </c>
    </row>
    <row r="9280" spans="1:2" x14ac:dyDescent="0.25">
      <c r="A9280" s="157">
        <v>35628</v>
      </c>
      <c r="B9280" s="158">
        <v>6.54</v>
      </c>
    </row>
    <row r="9281" spans="1:2" x14ac:dyDescent="0.25">
      <c r="A9281" s="157">
        <v>35629</v>
      </c>
      <c r="B9281" s="158">
        <v>6.58</v>
      </c>
    </row>
    <row r="9282" spans="1:2" x14ac:dyDescent="0.25">
      <c r="A9282" s="157">
        <v>35632</v>
      </c>
      <c r="B9282" s="158">
        <v>6.61</v>
      </c>
    </row>
    <row r="9283" spans="1:2" x14ac:dyDescent="0.25">
      <c r="A9283" s="157">
        <v>35633</v>
      </c>
      <c r="B9283" s="158">
        <v>6.5</v>
      </c>
    </row>
    <row r="9284" spans="1:2" x14ac:dyDescent="0.25">
      <c r="A9284" s="157">
        <v>35634</v>
      </c>
      <c r="B9284" s="158">
        <v>6.48</v>
      </c>
    </row>
    <row r="9285" spans="1:2" x14ac:dyDescent="0.25">
      <c r="A9285" s="157">
        <v>35635</v>
      </c>
      <c r="B9285" s="158">
        <v>6.49</v>
      </c>
    </row>
    <row r="9286" spans="1:2" x14ac:dyDescent="0.25">
      <c r="A9286" s="157">
        <v>35636</v>
      </c>
      <c r="B9286" s="158">
        <v>6.51</v>
      </c>
    </row>
    <row r="9287" spans="1:2" x14ac:dyDescent="0.25">
      <c r="A9287" s="157">
        <v>35639</v>
      </c>
      <c r="B9287" s="158">
        <v>6.49</v>
      </c>
    </row>
    <row r="9288" spans="1:2" x14ac:dyDescent="0.25">
      <c r="A9288" s="157">
        <v>35640</v>
      </c>
      <c r="B9288" s="158">
        <v>6.43</v>
      </c>
    </row>
    <row r="9289" spans="1:2" x14ac:dyDescent="0.25">
      <c r="A9289" s="157">
        <v>35641</v>
      </c>
      <c r="B9289" s="158">
        <v>6.39</v>
      </c>
    </row>
    <row r="9290" spans="1:2" x14ac:dyDescent="0.25">
      <c r="A9290" s="157">
        <v>35642</v>
      </c>
      <c r="B9290" s="158">
        <v>6.35</v>
      </c>
    </row>
    <row r="9291" spans="1:2" x14ac:dyDescent="0.25">
      <c r="A9291" s="157">
        <v>35643</v>
      </c>
      <c r="B9291" s="158">
        <v>6.52</v>
      </c>
    </row>
    <row r="9292" spans="1:2" x14ac:dyDescent="0.25">
      <c r="A9292" s="157">
        <v>35646</v>
      </c>
      <c r="B9292" s="158">
        <v>6.54</v>
      </c>
    </row>
    <row r="9293" spans="1:2" x14ac:dyDescent="0.25">
      <c r="A9293" s="157">
        <v>35647</v>
      </c>
      <c r="B9293" s="158">
        <v>6.55</v>
      </c>
    </row>
    <row r="9294" spans="1:2" x14ac:dyDescent="0.25">
      <c r="A9294" s="157">
        <v>35648</v>
      </c>
      <c r="B9294" s="158">
        <v>6.53</v>
      </c>
    </row>
    <row r="9295" spans="1:2" x14ac:dyDescent="0.25">
      <c r="A9295" s="157">
        <v>35649</v>
      </c>
      <c r="B9295" s="158">
        <v>6.58</v>
      </c>
    </row>
    <row r="9296" spans="1:2" x14ac:dyDescent="0.25">
      <c r="A9296" s="157">
        <v>35650</v>
      </c>
      <c r="B9296" s="158">
        <v>6.74</v>
      </c>
    </row>
    <row r="9297" spans="1:2" x14ac:dyDescent="0.25">
      <c r="A9297" s="157">
        <v>35653</v>
      </c>
      <c r="B9297" s="158">
        <v>6.72</v>
      </c>
    </row>
    <row r="9298" spans="1:2" x14ac:dyDescent="0.25">
      <c r="A9298" s="157">
        <v>35654</v>
      </c>
      <c r="B9298" s="158">
        <v>6.75</v>
      </c>
    </row>
    <row r="9299" spans="1:2" x14ac:dyDescent="0.25">
      <c r="A9299" s="157">
        <v>35655</v>
      </c>
      <c r="B9299" s="158">
        <v>6.72</v>
      </c>
    </row>
    <row r="9300" spans="1:2" x14ac:dyDescent="0.25">
      <c r="A9300" s="157">
        <v>35656</v>
      </c>
      <c r="B9300" s="158">
        <v>6.65</v>
      </c>
    </row>
    <row r="9301" spans="1:2" x14ac:dyDescent="0.25">
      <c r="A9301" s="157">
        <v>35657</v>
      </c>
      <c r="B9301" s="158">
        <v>6.65</v>
      </c>
    </row>
    <row r="9302" spans="1:2" x14ac:dyDescent="0.25">
      <c r="A9302" s="157">
        <v>35660</v>
      </c>
      <c r="B9302" s="158">
        <v>6.6</v>
      </c>
    </row>
    <row r="9303" spans="1:2" x14ac:dyDescent="0.25">
      <c r="A9303" s="157">
        <v>35661</v>
      </c>
      <c r="B9303" s="158">
        <v>6.59</v>
      </c>
    </row>
    <row r="9304" spans="1:2" x14ac:dyDescent="0.25">
      <c r="A9304" s="157">
        <v>35662</v>
      </c>
      <c r="B9304" s="158">
        <v>6.61</v>
      </c>
    </row>
    <row r="9305" spans="1:2" x14ac:dyDescent="0.25">
      <c r="A9305" s="157">
        <v>35663</v>
      </c>
      <c r="B9305" s="158">
        <v>6.68</v>
      </c>
    </row>
    <row r="9306" spans="1:2" x14ac:dyDescent="0.25">
      <c r="A9306" s="157">
        <v>35664</v>
      </c>
      <c r="B9306" s="158">
        <v>6.75</v>
      </c>
    </row>
    <row r="9307" spans="1:2" x14ac:dyDescent="0.25">
      <c r="A9307" s="157">
        <v>35667</v>
      </c>
      <c r="B9307" s="158">
        <v>6.75</v>
      </c>
    </row>
    <row r="9308" spans="1:2" x14ac:dyDescent="0.25">
      <c r="A9308" s="157">
        <v>35668</v>
      </c>
      <c r="B9308" s="158">
        <v>6.74</v>
      </c>
    </row>
    <row r="9309" spans="1:2" x14ac:dyDescent="0.25">
      <c r="A9309" s="157">
        <v>35669</v>
      </c>
      <c r="B9309" s="158">
        <v>6.74</v>
      </c>
    </row>
    <row r="9310" spans="1:2" x14ac:dyDescent="0.25">
      <c r="A9310" s="157">
        <v>35670</v>
      </c>
      <c r="B9310" s="158">
        <v>6.64</v>
      </c>
    </row>
    <row r="9311" spans="1:2" x14ac:dyDescent="0.25">
      <c r="A9311" s="157">
        <v>35671</v>
      </c>
      <c r="B9311" s="158">
        <v>6.69</v>
      </c>
    </row>
    <row r="9312" spans="1:2" x14ac:dyDescent="0.25">
      <c r="A9312" s="157">
        <v>35674</v>
      </c>
      <c r="B9312" s="158" t="e">
        <f>NA()</f>
        <v>#N/A</v>
      </c>
    </row>
    <row r="9313" spans="1:2" x14ac:dyDescent="0.25">
      <c r="A9313" s="157">
        <v>35675</v>
      </c>
      <c r="B9313" s="158">
        <v>6.65</v>
      </c>
    </row>
    <row r="9314" spans="1:2" x14ac:dyDescent="0.25">
      <c r="A9314" s="157">
        <v>35676</v>
      </c>
      <c r="B9314" s="158">
        <v>6.67</v>
      </c>
    </row>
    <row r="9315" spans="1:2" x14ac:dyDescent="0.25">
      <c r="A9315" s="157">
        <v>35677</v>
      </c>
      <c r="B9315" s="158">
        <v>6.67</v>
      </c>
    </row>
    <row r="9316" spans="1:2" x14ac:dyDescent="0.25">
      <c r="A9316" s="157">
        <v>35678</v>
      </c>
      <c r="B9316" s="158">
        <v>6.72</v>
      </c>
    </row>
    <row r="9317" spans="1:2" x14ac:dyDescent="0.25">
      <c r="A9317" s="157">
        <v>35681</v>
      </c>
      <c r="B9317" s="158">
        <v>6.68</v>
      </c>
    </row>
    <row r="9318" spans="1:2" x14ac:dyDescent="0.25">
      <c r="A9318" s="157">
        <v>35682</v>
      </c>
      <c r="B9318" s="158">
        <v>6.7</v>
      </c>
    </row>
    <row r="9319" spans="1:2" x14ac:dyDescent="0.25">
      <c r="A9319" s="157">
        <v>35683</v>
      </c>
      <c r="B9319" s="158">
        <v>6.71</v>
      </c>
    </row>
    <row r="9320" spans="1:2" x14ac:dyDescent="0.25">
      <c r="A9320" s="157">
        <v>35684</v>
      </c>
      <c r="B9320" s="158">
        <v>6.75</v>
      </c>
    </row>
    <row r="9321" spans="1:2" x14ac:dyDescent="0.25">
      <c r="A9321" s="157">
        <v>35685</v>
      </c>
      <c r="B9321" s="158">
        <v>6.66</v>
      </c>
    </row>
    <row r="9322" spans="1:2" x14ac:dyDescent="0.25">
      <c r="A9322" s="157">
        <v>35688</v>
      </c>
      <c r="B9322" s="158">
        <v>6.65</v>
      </c>
    </row>
    <row r="9323" spans="1:2" x14ac:dyDescent="0.25">
      <c r="A9323" s="157">
        <v>35689</v>
      </c>
      <c r="B9323" s="158">
        <v>6.47</v>
      </c>
    </row>
    <row r="9324" spans="1:2" x14ac:dyDescent="0.25">
      <c r="A9324" s="157">
        <v>35690</v>
      </c>
      <c r="B9324" s="158">
        <v>6.45</v>
      </c>
    </row>
    <row r="9325" spans="1:2" x14ac:dyDescent="0.25">
      <c r="A9325" s="157">
        <v>35691</v>
      </c>
      <c r="B9325" s="158">
        <v>6.46</v>
      </c>
    </row>
    <row r="9326" spans="1:2" x14ac:dyDescent="0.25">
      <c r="A9326" s="157">
        <v>35692</v>
      </c>
      <c r="B9326" s="158">
        <v>6.44</v>
      </c>
    </row>
    <row r="9327" spans="1:2" x14ac:dyDescent="0.25">
      <c r="A9327" s="157">
        <v>35695</v>
      </c>
      <c r="B9327" s="158">
        <v>6.41</v>
      </c>
    </row>
    <row r="9328" spans="1:2" x14ac:dyDescent="0.25">
      <c r="A9328" s="157">
        <v>35696</v>
      </c>
      <c r="B9328" s="158">
        <v>6.44</v>
      </c>
    </row>
    <row r="9329" spans="1:2" x14ac:dyDescent="0.25">
      <c r="A9329" s="157">
        <v>35697</v>
      </c>
      <c r="B9329" s="158">
        <v>6.38</v>
      </c>
    </row>
    <row r="9330" spans="1:2" x14ac:dyDescent="0.25">
      <c r="A9330" s="157">
        <v>35698</v>
      </c>
      <c r="B9330" s="158">
        <v>6.47</v>
      </c>
    </row>
    <row r="9331" spans="1:2" x14ac:dyDescent="0.25">
      <c r="A9331" s="157">
        <v>35699</v>
      </c>
      <c r="B9331" s="158">
        <v>6.43</v>
      </c>
    </row>
    <row r="9332" spans="1:2" x14ac:dyDescent="0.25">
      <c r="A9332" s="157">
        <v>35702</v>
      </c>
      <c r="B9332" s="158">
        <v>6.44</v>
      </c>
    </row>
    <row r="9333" spans="1:2" x14ac:dyDescent="0.25">
      <c r="A9333" s="157">
        <v>35703</v>
      </c>
      <c r="B9333" s="158">
        <v>6.47</v>
      </c>
    </row>
    <row r="9334" spans="1:2" x14ac:dyDescent="0.25">
      <c r="A9334" s="157">
        <v>35704</v>
      </c>
      <c r="B9334" s="158">
        <v>6.38</v>
      </c>
    </row>
    <row r="9335" spans="1:2" x14ac:dyDescent="0.25">
      <c r="A9335" s="157">
        <v>35705</v>
      </c>
      <c r="B9335" s="158">
        <v>6.36</v>
      </c>
    </row>
    <row r="9336" spans="1:2" x14ac:dyDescent="0.25">
      <c r="A9336" s="157">
        <v>35706</v>
      </c>
      <c r="B9336" s="158">
        <v>6.35</v>
      </c>
    </row>
    <row r="9337" spans="1:2" x14ac:dyDescent="0.25">
      <c r="A9337" s="157">
        <v>35709</v>
      </c>
      <c r="B9337" s="158">
        <v>6.31</v>
      </c>
    </row>
    <row r="9338" spans="1:2" x14ac:dyDescent="0.25">
      <c r="A9338" s="157">
        <v>35710</v>
      </c>
      <c r="B9338" s="158">
        <v>6.29</v>
      </c>
    </row>
    <row r="9339" spans="1:2" x14ac:dyDescent="0.25">
      <c r="A9339" s="157">
        <v>35711</v>
      </c>
      <c r="B9339" s="158">
        <v>6.41</v>
      </c>
    </row>
    <row r="9340" spans="1:2" x14ac:dyDescent="0.25">
      <c r="A9340" s="157">
        <v>35712</v>
      </c>
      <c r="B9340" s="158">
        <v>6.43</v>
      </c>
    </row>
    <row r="9341" spans="1:2" x14ac:dyDescent="0.25">
      <c r="A9341" s="157">
        <v>35713</v>
      </c>
      <c r="B9341" s="158">
        <v>6.49</v>
      </c>
    </row>
    <row r="9342" spans="1:2" x14ac:dyDescent="0.25">
      <c r="A9342" s="157">
        <v>35716</v>
      </c>
      <c r="B9342" s="158" t="e">
        <f>NA()</f>
        <v>#N/A</v>
      </c>
    </row>
    <row r="9343" spans="1:2" x14ac:dyDescent="0.25">
      <c r="A9343" s="157">
        <v>35717</v>
      </c>
      <c r="B9343" s="158">
        <v>6.42</v>
      </c>
    </row>
    <row r="9344" spans="1:2" x14ac:dyDescent="0.25">
      <c r="A9344" s="157">
        <v>35718</v>
      </c>
      <c r="B9344" s="158">
        <v>6.45</v>
      </c>
    </row>
    <row r="9345" spans="1:2" x14ac:dyDescent="0.25">
      <c r="A9345" s="157">
        <v>35719</v>
      </c>
      <c r="B9345" s="158">
        <v>6.45</v>
      </c>
    </row>
    <row r="9346" spans="1:2" x14ac:dyDescent="0.25">
      <c r="A9346" s="157">
        <v>35720</v>
      </c>
      <c r="B9346" s="158">
        <v>6.51</v>
      </c>
    </row>
    <row r="9347" spans="1:2" x14ac:dyDescent="0.25">
      <c r="A9347" s="157">
        <v>35723</v>
      </c>
      <c r="B9347" s="158">
        <v>6.49</v>
      </c>
    </row>
    <row r="9348" spans="1:2" x14ac:dyDescent="0.25">
      <c r="A9348" s="157">
        <v>35724</v>
      </c>
      <c r="B9348" s="158">
        <v>6.49</v>
      </c>
    </row>
    <row r="9349" spans="1:2" x14ac:dyDescent="0.25">
      <c r="A9349" s="157">
        <v>35725</v>
      </c>
      <c r="B9349" s="158">
        <v>6.48</v>
      </c>
    </row>
    <row r="9350" spans="1:2" x14ac:dyDescent="0.25">
      <c r="A9350" s="157">
        <v>35726</v>
      </c>
      <c r="B9350" s="158">
        <v>6.39</v>
      </c>
    </row>
    <row r="9351" spans="1:2" x14ac:dyDescent="0.25">
      <c r="A9351" s="157">
        <v>35727</v>
      </c>
      <c r="B9351" s="158">
        <v>6.35</v>
      </c>
    </row>
    <row r="9352" spans="1:2" x14ac:dyDescent="0.25">
      <c r="A9352" s="157">
        <v>35730</v>
      </c>
      <c r="B9352" s="158">
        <v>6.29</v>
      </c>
    </row>
    <row r="9353" spans="1:2" x14ac:dyDescent="0.25">
      <c r="A9353" s="157">
        <v>35731</v>
      </c>
      <c r="B9353" s="158">
        <v>6.33</v>
      </c>
    </row>
    <row r="9354" spans="1:2" x14ac:dyDescent="0.25">
      <c r="A9354" s="157">
        <v>35732</v>
      </c>
      <c r="B9354" s="158">
        <v>6.28</v>
      </c>
    </row>
    <row r="9355" spans="1:2" x14ac:dyDescent="0.25">
      <c r="A9355" s="157">
        <v>35733</v>
      </c>
      <c r="B9355" s="158">
        <v>6.23</v>
      </c>
    </row>
    <row r="9356" spans="1:2" x14ac:dyDescent="0.25">
      <c r="A9356" s="157">
        <v>35734</v>
      </c>
      <c r="B9356" s="158">
        <v>6.21</v>
      </c>
    </row>
    <row r="9357" spans="1:2" x14ac:dyDescent="0.25">
      <c r="A9357" s="157">
        <v>35737</v>
      </c>
      <c r="B9357" s="158">
        <v>6.27</v>
      </c>
    </row>
    <row r="9358" spans="1:2" x14ac:dyDescent="0.25">
      <c r="A9358" s="157">
        <v>35738</v>
      </c>
      <c r="B9358" s="158">
        <v>6.3</v>
      </c>
    </row>
    <row r="9359" spans="1:2" x14ac:dyDescent="0.25">
      <c r="A9359" s="157">
        <v>35739</v>
      </c>
      <c r="B9359" s="158">
        <v>6.3</v>
      </c>
    </row>
    <row r="9360" spans="1:2" x14ac:dyDescent="0.25">
      <c r="A9360" s="157">
        <v>35740</v>
      </c>
      <c r="B9360" s="158">
        <v>6.25</v>
      </c>
    </row>
    <row r="9361" spans="1:2" x14ac:dyDescent="0.25">
      <c r="A9361" s="157">
        <v>35741</v>
      </c>
      <c r="B9361" s="158">
        <v>6.25</v>
      </c>
    </row>
    <row r="9362" spans="1:2" x14ac:dyDescent="0.25">
      <c r="A9362" s="157">
        <v>35744</v>
      </c>
      <c r="B9362" s="158">
        <v>6.25</v>
      </c>
    </row>
    <row r="9363" spans="1:2" x14ac:dyDescent="0.25">
      <c r="A9363" s="157">
        <v>35745</v>
      </c>
      <c r="B9363" s="158" t="e">
        <f>NA()</f>
        <v>#N/A</v>
      </c>
    </row>
    <row r="9364" spans="1:2" x14ac:dyDescent="0.25">
      <c r="A9364" s="157">
        <v>35746</v>
      </c>
      <c r="B9364" s="158">
        <v>6.23</v>
      </c>
    </row>
    <row r="9365" spans="1:2" x14ac:dyDescent="0.25">
      <c r="A9365" s="157">
        <v>35747</v>
      </c>
      <c r="B9365" s="158">
        <v>6.21</v>
      </c>
    </row>
    <row r="9366" spans="1:2" x14ac:dyDescent="0.25">
      <c r="A9366" s="157">
        <v>35748</v>
      </c>
      <c r="B9366" s="158">
        <v>6.19</v>
      </c>
    </row>
    <row r="9367" spans="1:2" x14ac:dyDescent="0.25">
      <c r="A9367" s="157">
        <v>35751</v>
      </c>
      <c r="B9367" s="158">
        <v>6.18</v>
      </c>
    </row>
    <row r="9368" spans="1:2" x14ac:dyDescent="0.25">
      <c r="A9368" s="157">
        <v>35752</v>
      </c>
      <c r="B9368" s="158">
        <v>6.18</v>
      </c>
    </row>
    <row r="9369" spans="1:2" x14ac:dyDescent="0.25">
      <c r="A9369" s="157">
        <v>35753</v>
      </c>
      <c r="B9369" s="158">
        <v>6.12</v>
      </c>
    </row>
    <row r="9370" spans="1:2" x14ac:dyDescent="0.25">
      <c r="A9370" s="157">
        <v>35754</v>
      </c>
      <c r="B9370" s="158">
        <v>6.14</v>
      </c>
    </row>
    <row r="9371" spans="1:2" x14ac:dyDescent="0.25">
      <c r="A9371" s="157">
        <v>35755</v>
      </c>
      <c r="B9371" s="158">
        <v>6.13</v>
      </c>
    </row>
    <row r="9372" spans="1:2" x14ac:dyDescent="0.25">
      <c r="A9372" s="157">
        <v>35758</v>
      </c>
      <c r="B9372" s="158">
        <v>6.17</v>
      </c>
    </row>
    <row r="9373" spans="1:2" x14ac:dyDescent="0.25">
      <c r="A9373" s="157">
        <v>35759</v>
      </c>
      <c r="B9373" s="158">
        <v>6.15</v>
      </c>
    </row>
    <row r="9374" spans="1:2" x14ac:dyDescent="0.25">
      <c r="A9374" s="157">
        <v>35760</v>
      </c>
      <c r="B9374" s="158">
        <v>6.14</v>
      </c>
    </row>
    <row r="9375" spans="1:2" x14ac:dyDescent="0.25">
      <c r="A9375" s="157">
        <v>35761</v>
      </c>
      <c r="B9375" s="158" t="e">
        <f>NA()</f>
        <v>#N/A</v>
      </c>
    </row>
    <row r="9376" spans="1:2" x14ac:dyDescent="0.25">
      <c r="A9376" s="157">
        <v>35762</v>
      </c>
      <c r="B9376" s="158">
        <v>6.12</v>
      </c>
    </row>
    <row r="9377" spans="1:2" x14ac:dyDescent="0.25">
      <c r="A9377" s="157">
        <v>35765</v>
      </c>
      <c r="B9377" s="158">
        <v>6.13</v>
      </c>
    </row>
    <row r="9378" spans="1:2" x14ac:dyDescent="0.25">
      <c r="A9378" s="157">
        <v>35766</v>
      </c>
      <c r="B9378" s="158">
        <v>6.11</v>
      </c>
    </row>
    <row r="9379" spans="1:2" x14ac:dyDescent="0.25">
      <c r="A9379" s="157">
        <v>35767</v>
      </c>
      <c r="B9379" s="158">
        <v>6.1</v>
      </c>
    </row>
    <row r="9380" spans="1:2" x14ac:dyDescent="0.25">
      <c r="A9380" s="157">
        <v>35768</v>
      </c>
      <c r="B9380" s="158">
        <v>6.11</v>
      </c>
    </row>
    <row r="9381" spans="1:2" x14ac:dyDescent="0.25">
      <c r="A9381" s="157">
        <v>35769</v>
      </c>
      <c r="B9381" s="158">
        <v>6.16</v>
      </c>
    </row>
    <row r="9382" spans="1:2" x14ac:dyDescent="0.25">
      <c r="A9382" s="157">
        <v>35772</v>
      </c>
      <c r="B9382" s="158">
        <v>6.21</v>
      </c>
    </row>
    <row r="9383" spans="1:2" x14ac:dyDescent="0.25">
      <c r="A9383" s="157">
        <v>35773</v>
      </c>
      <c r="B9383" s="158">
        <v>6.21</v>
      </c>
    </row>
    <row r="9384" spans="1:2" x14ac:dyDescent="0.25">
      <c r="A9384" s="157">
        <v>35774</v>
      </c>
      <c r="B9384" s="158">
        <v>6.17</v>
      </c>
    </row>
    <row r="9385" spans="1:2" x14ac:dyDescent="0.25">
      <c r="A9385" s="157">
        <v>35775</v>
      </c>
      <c r="B9385" s="158">
        <v>6.11</v>
      </c>
    </row>
    <row r="9386" spans="1:2" x14ac:dyDescent="0.25">
      <c r="A9386" s="157">
        <v>35776</v>
      </c>
      <c r="B9386" s="158">
        <v>6.03</v>
      </c>
    </row>
    <row r="9387" spans="1:2" x14ac:dyDescent="0.25">
      <c r="A9387" s="157">
        <v>35779</v>
      </c>
      <c r="B9387" s="158">
        <v>6.06</v>
      </c>
    </row>
    <row r="9388" spans="1:2" x14ac:dyDescent="0.25">
      <c r="A9388" s="157">
        <v>35780</v>
      </c>
      <c r="B9388" s="158">
        <v>6.05</v>
      </c>
    </row>
    <row r="9389" spans="1:2" x14ac:dyDescent="0.25">
      <c r="A9389" s="157">
        <v>35781</v>
      </c>
      <c r="B9389" s="158">
        <v>6.08</v>
      </c>
    </row>
    <row r="9390" spans="1:2" x14ac:dyDescent="0.25">
      <c r="A9390" s="157">
        <v>35782</v>
      </c>
      <c r="B9390" s="158">
        <v>6.03</v>
      </c>
    </row>
    <row r="9391" spans="1:2" x14ac:dyDescent="0.25">
      <c r="A9391" s="157">
        <v>35783</v>
      </c>
      <c r="B9391" s="158">
        <v>6</v>
      </c>
    </row>
    <row r="9392" spans="1:2" x14ac:dyDescent="0.25">
      <c r="A9392" s="157">
        <v>35786</v>
      </c>
      <c r="B9392" s="158">
        <v>5.97</v>
      </c>
    </row>
    <row r="9393" spans="1:2" x14ac:dyDescent="0.25">
      <c r="A9393" s="157">
        <v>35787</v>
      </c>
      <c r="B9393" s="158">
        <v>5.98</v>
      </c>
    </row>
    <row r="9394" spans="1:2" x14ac:dyDescent="0.25">
      <c r="A9394" s="157">
        <v>35788</v>
      </c>
      <c r="B9394" s="158">
        <v>6</v>
      </c>
    </row>
    <row r="9395" spans="1:2" x14ac:dyDescent="0.25">
      <c r="A9395" s="157">
        <v>35789</v>
      </c>
      <c r="B9395" s="158" t="e">
        <f>NA()</f>
        <v>#N/A</v>
      </c>
    </row>
    <row r="9396" spans="1:2" x14ac:dyDescent="0.25">
      <c r="A9396" s="157">
        <v>35790</v>
      </c>
      <c r="B9396" s="158">
        <v>5.99</v>
      </c>
    </row>
    <row r="9397" spans="1:2" x14ac:dyDescent="0.25">
      <c r="A9397" s="157">
        <v>35793</v>
      </c>
      <c r="B9397" s="158">
        <v>6.01</v>
      </c>
    </row>
    <row r="9398" spans="1:2" x14ac:dyDescent="0.25">
      <c r="A9398" s="157">
        <v>35794</v>
      </c>
      <c r="B9398" s="158">
        <v>6.06</v>
      </c>
    </row>
    <row r="9399" spans="1:2" x14ac:dyDescent="0.25">
      <c r="A9399" s="157">
        <v>35795</v>
      </c>
      <c r="B9399" s="158">
        <v>6.02</v>
      </c>
    </row>
    <row r="9400" spans="1:2" x14ac:dyDescent="0.25">
      <c r="A9400" s="157">
        <v>35796</v>
      </c>
      <c r="B9400" s="158" t="e">
        <f>NA()</f>
        <v>#N/A</v>
      </c>
    </row>
    <row r="9401" spans="1:2" x14ac:dyDescent="0.25">
      <c r="A9401" s="157">
        <v>35797</v>
      </c>
      <c r="B9401" s="158">
        <v>5.94</v>
      </c>
    </row>
    <row r="9402" spans="1:2" x14ac:dyDescent="0.25">
      <c r="A9402" s="157">
        <v>35800</v>
      </c>
      <c r="B9402" s="158">
        <v>5.82</v>
      </c>
    </row>
    <row r="9403" spans="1:2" x14ac:dyDescent="0.25">
      <c r="A9403" s="157">
        <v>35801</v>
      </c>
      <c r="B9403" s="158">
        <v>5.8</v>
      </c>
    </row>
    <row r="9404" spans="1:2" x14ac:dyDescent="0.25">
      <c r="A9404" s="157">
        <v>35802</v>
      </c>
      <c r="B9404" s="158">
        <v>5.88</v>
      </c>
    </row>
    <row r="9405" spans="1:2" x14ac:dyDescent="0.25">
      <c r="A9405" s="157">
        <v>35803</v>
      </c>
      <c r="B9405" s="158">
        <v>5.82</v>
      </c>
    </row>
    <row r="9406" spans="1:2" x14ac:dyDescent="0.25">
      <c r="A9406" s="157">
        <v>35804</v>
      </c>
      <c r="B9406" s="158">
        <v>5.77</v>
      </c>
    </row>
    <row r="9407" spans="1:2" x14ac:dyDescent="0.25">
      <c r="A9407" s="157">
        <v>35807</v>
      </c>
      <c r="B9407" s="158">
        <v>5.76</v>
      </c>
    </row>
    <row r="9408" spans="1:2" x14ac:dyDescent="0.25">
      <c r="A9408" s="157">
        <v>35808</v>
      </c>
      <c r="B9408" s="158">
        <v>5.76</v>
      </c>
    </row>
    <row r="9409" spans="1:2" x14ac:dyDescent="0.25">
      <c r="A9409" s="157">
        <v>35809</v>
      </c>
      <c r="B9409" s="158">
        <v>5.79</v>
      </c>
    </row>
    <row r="9410" spans="1:2" x14ac:dyDescent="0.25">
      <c r="A9410" s="157">
        <v>35810</v>
      </c>
      <c r="B9410" s="158">
        <v>5.81</v>
      </c>
    </row>
    <row r="9411" spans="1:2" x14ac:dyDescent="0.25">
      <c r="A9411" s="157">
        <v>35811</v>
      </c>
      <c r="B9411" s="158">
        <v>5.87</v>
      </c>
    </row>
    <row r="9412" spans="1:2" x14ac:dyDescent="0.25">
      <c r="A9412" s="157">
        <v>35814</v>
      </c>
      <c r="B9412" s="158" t="e">
        <f>NA()</f>
        <v>#N/A</v>
      </c>
    </row>
    <row r="9413" spans="1:2" x14ac:dyDescent="0.25">
      <c r="A9413" s="157">
        <v>35815</v>
      </c>
      <c r="B9413" s="158">
        <v>5.89</v>
      </c>
    </row>
    <row r="9414" spans="1:2" x14ac:dyDescent="0.25">
      <c r="A9414" s="157">
        <v>35816</v>
      </c>
      <c r="B9414" s="158">
        <v>5.87</v>
      </c>
    </row>
    <row r="9415" spans="1:2" x14ac:dyDescent="0.25">
      <c r="A9415" s="157">
        <v>35817</v>
      </c>
      <c r="B9415" s="158">
        <v>5.91</v>
      </c>
    </row>
    <row r="9416" spans="1:2" x14ac:dyDescent="0.25">
      <c r="A9416" s="157">
        <v>35818</v>
      </c>
      <c r="B9416" s="158">
        <v>6.04</v>
      </c>
    </row>
    <row r="9417" spans="1:2" x14ac:dyDescent="0.25">
      <c r="A9417" s="157">
        <v>35821</v>
      </c>
      <c r="B9417" s="158">
        <v>5.96</v>
      </c>
    </row>
    <row r="9418" spans="1:2" x14ac:dyDescent="0.25">
      <c r="A9418" s="157">
        <v>35822</v>
      </c>
      <c r="B9418" s="158">
        <v>6.02</v>
      </c>
    </row>
    <row r="9419" spans="1:2" x14ac:dyDescent="0.25">
      <c r="A9419" s="157">
        <v>35823</v>
      </c>
      <c r="B9419" s="158">
        <v>6.02</v>
      </c>
    </row>
    <row r="9420" spans="1:2" x14ac:dyDescent="0.25">
      <c r="A9420" s="157">
        <v>35824</v>
      </c>
      <c r="B9420" s="158">
        <v>5.92</v>
      </c>
    </row>
    <row r="9421" spans="1:2" x14ac:dyDescent="0.25">
      <c r="A9421" s="157">
        <v>35825</v>
      </c>
      <c r="B9421" s="158">
        <v>5.88</v>
      </c>
    </row>
    <row r="9422" spans="1:2" x14ac:dyDescent="0.25">
      <c r="A9422" s="157">
        <v>35828</v>
      </c>
      <c r="B9422" s="158">
        <v>5.93</v>
      </c>
    </row>
    <row r="9423" spans="1:2" x14ac:dyDescent="0.25">
      <c r="A9423" s="157">
        <v>35829</v>
      </c>
      <c r="B9423" s="158">
        <v>5.93</v>
      </c>
    </row>
    <row r="9424" spans="1:2" x14ac:dyDescent="0.25">
      <c r="A9424" s="157">
        <v>35830</v>
      </c>
      <c r="B9424" s="158">
        <v>5.94</v>
      </c>
    </row>
    <row r="9425" spans="1:2" x14ac:dyDescent="0.25">
      <c r="A9425" s="157">
        <v>35831</v>
      </c>
      <c r="B9425" s="158">
        <v>6</v>
      </c>
    </row>
    <row r="9426" spans="1:2" x14ac:dyDescent="0.25">
      <c r="A9426" s="157">
        <v>35832</v>
      </c>
      <c r="B9426" s="158">
        <v>5.99</v>
      </c>
    </row>
    <row r="9427" spans="1:2" x14ac:dyDescent="0.25">
      <c r="A9427" s="157">
        <v>35835</v>
      </c>
      <c r="B9427" s="158">
        <v>6.02</v>
      </c>
    </row>
    <row r="9428" spans="1:2" x14ac:dyDescent="0.25">
      <c r="A9428" s="157">
        <v>35836</v>
      </c>
      <c r="B9428" s="158">
        <v>6</v>
      </c>
    </row>
    <row r="9429" spans="1:2" x14ac:dyDescent="0.25">
      <c r="A9429" s="157">
        <v>35837</v>
      </c>
      <c r="B9429" s="158">
        <v>5.92</v>
      </c>
    </row>
    <row r="9430" spans="1:2" x14ac:dyDescent="0.25">
      <c r="A9430" s="157">
        <v>35838</v>
      </c>
      <c r="B9430" s="158">
        <v>5.94</v>
      </c>
    </row>
    <row r="9431" spans="1:2" x14ac:dyDescent="0.25">
      <c r="A9431" s="157">
        <v>35839</v>
      </c>
      <c r="B9431" s="158">
        <v>5.92</v>
      </c>
    </row>
    <row r="9432" spans="1:2" x14ac:dyDescent="0.25">
      <c r="A9432" s="157">
        <v>35842</v>
      </c>
      <c r="B9432" s="158" t="e">
        <f>NA()</f>
        <v>#N/A</v>
      </c>
    </row>
    <row r="9433" spans="1:2" x14ac:dyDescent="0.25">
      <c r="A9433" s="157">
        <v>35843</v>
      </c>
      <c r="B9433" s="158">
        <v>5.86</v>
      </c>
    </row>
    <row r="9434" spans="1:2" x14ac:dyDescent="0.25">
      <c r="A9434" s="157">
        <v>35844</v>
      </c>
      <c r="B9434" s="158">
        <v>5.9</v>
      </c>
    </row>
    <row r="9435" spans="1:2" x14ac:dyDescent="0.25">
      <c r="A9435" s="157">
        <v>35845</v>
      </c>
      <c r="B9435" s="158">
        <v>5.91</v>
      </c>
    </row>
    <row r="9436" spans="1:2" x14ac:dyDescent="0.25">
      <c r="A9436" s="157">
        <v>35846</v>
      </c>
      <c r="B9436" s="158">
        <v>5.93</v>
      </c>
    </row>
    <row r="9437" spans="1:2" x14ac:dyDescent="0.25">
      <c r="A9437" s="157">
        <v>35849</v>
      </c>
      <c r="B9437" s="158">
        <v>5.97</v>
      </c>
    </row>
    <row r="9438" spans="1:2" x14ac:dyDescent="0.25">
      <c r="A9438" s="157">
        <v>35850</v>
      </c>
      <c r="B9438" s="158">
        <v>6.04</v>
      </c>
    </row>
    <row r="9439" spans="1:2" x14ac:dyDescent="0.25">
      <c r="A9439" s="157">
        <v>35851</v>
      </c>
      <c r="B9439" s="158">
        <v>5.99</v>
      </c>
    </row>
    <row r="9440" spans="1:2" x14ac:dyDescent="0.25">
      <c r="A9440" s="157">
        <v>35852</v>
      </c>
      <c r="B9440" s="158">
        <v>6.01</v>
      </c>
    </row>
    <row r="9441" spans="1:2" x14ac:dyDescent="0.25">
      <c r="A9441" s="157">
        <v>35853</v>
      </c>
      <c r="B9441" s="158">
        <v>5.99</v>
      </c>
    </row>
    <row r="9442" spans="1:2" x14ac:dyDescent="0.25">
      <c r="A9442" s="157">
        <v>35856</v>
      </c>
      <c r="B9442" s="158">
        <v>6.09</v>
      </c>
    </row>
    <row r="9443" spans="1:2" x14ac:dyDescent="0.25">
      <c r="A9443" s="157">
        <v>35857</v>
      </c>
      <c r="B9443" s="158">
        <v>6.14</v>
      </c>
    </row>
    <row r="9444" spans="1:2" x14ac:dyDescent="0.25">
      <c r="A9444" s="157">
        <v>35858</v>
      </c>
      <c r="B9444" s="158">
        <v>6.11</v>
      </c>
    </row>
    <row r="9445" spans="1:2" x14ac:dyDescent="0.25">
      <c r="A9445" s="157">
        <v>35859</v>
      </c>
      <c r="B9445" s="158">
        <v>6.14</v>
      </c>
    </row>
    <row r="9446" spans="1:2" x14ac:dyDescent="0.25">
      <c r="A9446" s="157">
        <v>35860</v>
      </c>
      <c r="B9446" s="158">
        <v>6.09</v>
      </c>
    </row>
    <row r="9447" spans="1:2" x14ac:dyDescent="0.25">
      <c r="A9447" s="157">
        <v>35863</v>
      </c>
      <c r="B9447" s="158">
        <v>6.04</v>
      </c>
    </row>
    <row r="9448" spans="1:2" x14ac:dyDescent="0.25">
      <c r="A9448" s="157">
        <v>35864</v>
      </c>
      <c r="B9448" s="158">
        <v>6.03</v>
      </c>
    </row>
    <row r="9449" spans="1:2" x14ac:dyDescent="0.25">
      <c r="A9449" s="157">
        <v>35865</v>
      </c>
      <c r="B9449" s="158">
        <v>6</v>
      </c>
    </row>
    <row r="9450" spans="1:2" x14ac:dyDescent="0.25">
      <c r="A9450" s="157">
        <v>35866</v>
      </c>
      <c r="B9450" s="158">
        <v>5.94</v>
      </c>
    </row>
    <row r="9451" spans="1:2" x14ac:dyDescent="0.25">
      <c r="A9451" s="157">
        <v>35867</v>
      </c>
      <c r="B9451" s="158">
        <v>5.95</v>
      </c>
    </row>
    <row r="9452" spans="1:2" x14ac:dyDescent="0.25">
      <c r="A9452" s="157">
        <v>35870</v>
      </c>
      <c r="B9452" s="158">
        <v>5.92</v>
      </c>
    </row>
    <row r="9453" spans="1:2" x14ac:dyDescent="0.25">
      <c r="A9453" s="157">
        <v>35871</v>
      </c>
      <c r="B9453" s="158">
        <v>5.95</v>
      </c>
    </row>
    <row r="9454" spans="1:2" x14ac:dyDescent="0.25">
      <c r="A9454" s="157">
        <v>35872</v>
      </c>
      <c r="B9454" s="158">
        <v>5.97</v>
      </c>
    </row>
    <row r="9455" spans="1:2" x14ac:dyDescent="0.25">
      <c r="A9455" s="157">
        <v>35873</v>
      </c>
      <c r="B9455" s="158">
        <v>5.97</v>
      </c>
    </row>
    <row r="9456" spans="1:2" x14ac:dyDescent="0.25">
      <c r="A9456" s="157">
        <v>35874</v>
      </c>
      <c r="B9456" s="158">
        <v>5.95</v>
      </c>
    </row>
    <row r="9457" spans="1:2" x14ac:dyDescent="0.25">
      <c r="A9457" s="157">
        <v>35877</v>
      </c>
      <c r="B9457" s="158">
        <v>5.95</v>
      </c>
    </row>
    <row r="9458" spans="1:2" x14ac:dyDescent="0.25">
      <c r="A9458" s="157">
        <v>35878</v>
      </c>
      <c r="B9458" s="158">
        <v>5.95</v>
      </c>
    </row>
    <row r="9459" spans="1:2" x14ac:dyDescent="0.25">
      <c r="A9459" s="157">
        <v>35879</v>
      </c>
      <c r="B9459" s="158">
        <v>6</v>
      </c>
    </row>
    <row r="9460" spans="1:2" x14ac:dyDescent="0.25">
      <c r="A9460" s="157">
        <v>35880</v>
      </c>
      <c r="B9460" s="158">
        <v>6.02</v>
      </c>
    </row>
    <row r="9461" spans="1:2" x14ac:dyDescent="0.25">
      <c r="A9461" s="157">
        <v>35881</v>
      </c>
      <c r="B9461" s="158">
        <v>6.03</v>
      </c>
    </row>
    <row r="9462" spans="1:2" x14ac:dyDescent="0.25">
      <c r="A9462" s="157">
        <v>35884</v>
      </c>
      <c r="B9462" s="158">
        <v>6.06</v>
      </c>
    </row>
    <row r="9463" spans="1:2" x14ac:dyDescent="0.25">
      <c r="A9463" s="157">
        <v>35885</v>
      </c>
      <c r="B9463" s="158">
        <v>6.02</v>
      </c>
    </row>
    <row r="9464" spans="1:2" x14ac:dyDescent="0.25">
      <c r="A9464" s="157">
        <v>35886</v>
      </c>
      <c r="B9464" s="158">
        <v>5.98</v>
      </c>
    </row>
    <row r="9465" spans="1:2" x14ac:dyDescent="0.25">
      <c r="A9465" s="157">
        <v>35887</v>
      </c>
      <c r="B9465" s="158">
        <v>5.92</v>
      </c>
    </row>
    <row r="9466" spans="1:2" x14ac:dyDescent="0.25">
      <c r="A9466" s="157">
        <v>35888</v>
      </c>
      <c r="B9466" s="158">
        <v>5.85</v>
      </c>
    </row>
    <row r="9467" spans="1:2" x14ac:dyDescent="0.25">
      <c r="A9467" s="157">
        <v>35891</v>
      </c>
      <c r="B9467" s="158">
        <v>5.89</v>
      </c>
    </row>
    <row r="9468" spans="1:2" x14ac:dyDescent="0.25">
      <c r="A9468" s="157">
        <v>35892</v>
      </c>
      <c r="B9468" s="158">
        <v>5.91</v>
      </c>
    </row>
    <row r="9469" spans="1:2" x14ac:dyDescent="0.25">
      <c r="A9469" s="157">
        <v>35893</v>
      </c>
      <c r="B9469" s="158">
        <v>5.96</v>
      </c>
    </row>
    <row r="9470" spans="1:2" x14ac:dyDescent="0.25">
      <c r="A9470" s="157">
        <v>35894</v>
      </c>
      <c r="B9470" s="158">
        <v>5.95</v>
      </c>
    </row>
    <row r="9471" spans="1:2" x14ac:dyDescent="0.25">
      <c r="A9471" s="157">
        <v>35895</v>
      </c>
      <c r="B9471" s="158" t="e">
        <f>NA()</f>
        <v>#N/A</v>
      </c>
    </row>
    <row r="9472" spans="1:2" x14ac:dyDescent="0.25">
      <c r="A9472" s="157">
        <v>35898</v>
      </c>
      <c r="B9472" s="158">
        <v>6.01</v>
      </c>
    </row>
    <row r="9473" spans="1:2" x14ac:dyDescent="0.25">
      <c r="A9473" s="157">
        <v>35899</v>
      </c>
      <c r="B9473" s="158">
        <v>5.98</v>
      </c>
    </row>
    <row r="9474" spans="1:2" x14ac:dyDescent="0.25">
      <c r="A9474" s="157">
        <v>35900</v>
      </c>
      <c r="B9474" s="158">
        <v>5.96</v>
      </c>
    </row>
    <row r="9475" spans="1:2" x14ac:dyDescent="0.25">
      <c r="A9475" s="157">
        <v>35901</v>
      </c>
      <c r="B9475" s="158">
        <v>5.94</v>
      </c>
    </row>
    <row r="9476" spans="1:2" x14ac:dyDescent="0.25">
      <c r="A9476" s="157">
        <v>35902</v>
      </c>
      <c r="B9476" s="158">
        <v>5.95</v>
      </c>
    </row>
    <row r="9477" spans="1:2" x14ac:dyDescent="0.25">
      <c r="A9477" s="157">
        <v>35905</v>
      </c>
      <c r="B9477" s="158">
        <v>6</v>
      </c>
    </row>
    <row r="9478" spans="1:2" x14ac:dyDescent="0.25">
      <c r="A9478" s="157">
        <v>35906</v>
      </c>
      <c r="B9478" s="158">
        <v>6.03</v>
      </c>
    </row>
    <row r="9479" spans="1:2" x14ac:dyDescent="0.25">
      <c r="A9479" s="157">
        <v>35907</v>
      </c>
      <c r="B9479" s="158">
        <v>6.04</v>
      </c>
    </row>
    <row r="9480" spans="1:2" x14ac:dyDescent="0.25">
      <c r="A9480" s="157">
        <v>35908</v>
      </c>
      <c r="B9480" s="158">
        <v>6.05</v>
      </c>
    </row>
    <row r="9481" spans="1:2" x14ac:dyDescent="0.25">
      <c r="A9481" s="157">
        <v>35909</v>
      </c>
      <c r="B9481" s="158">
        <v>6.02</v>
      </c>
    </row>
    <row r="9482" spans="1:2" x14ac:dyDescent="0.25">
      <c r="A9482" s="157">
        <v>35912</v>
      </c>
      <c r="B9482" s="158">
        <v>6.15</v>
      </c>
    </row>
    <row r="9483" spans="1:2" x14ac:dyDescent="0.25">
      <c r="A9483" s="157">
        <v>35913</v>
      </c>
      <c r="B9483" s="158">
        <v>6.15</v>
      </c>
    </row>
    <row r="9484" spans="1:2" x14ac:dyDescent="0.25">
      <c r="A9484" s="157">
        <v>35914</v>
      </c>
      <c r="B9484" s="158">
        <v>6.15</v>
      </c>
    </row>
    <row r="9485" spans="1:2" x14ac:dyDescent="0.25">
      <c r="A9485" s="157">
        <v>35915</v>
      </c>
      <c r="B9485" s="158">
        <v>6.04</v>
      </c>
    </row>
    <row r="9486" spans="1:2" x14ac:dyDescent="0.25">
      <c r="A9486" s="157">
        <v>35916</v>
      </c>
      <c r="B9486" s="158">
        <v>6.02</v>
      </c>
    </row>
    <row r="9487" spans="1:2" x14ac:dyDescent="0.25">
      <c r="A9487" s="157">
        <v>35919</v>
      </c>
      <c r="B9487" s="158">
        <v>6.02</v>
      </c>
    </row>
    <row r="9488" spans="1:2" x14ac:dyDescent="0.25">
      <c r="A9488" s="157">
        <v>35920</v>
      </c>
      <c r="B9488" s="158">
        <v>6.05</v>
      </c>
    </row>
    <row r="9489" spans="1:2" x14ac:dyDescent="0.25">
      <c r="A9489" s="157">
        <v>35921</v>
      </c>
      <c r="B9489" s="158">
        <v>6.02</v>
      </c>
    </row>
    <row r="9490" spans="1:2" x14ac:dyDescent="0.25">
      <c r="A9490" s="157">
        <v>35922</v>
      </c>
      <c r="B9490" s="158">
        <v>6.02</v>
      </c>
    </row>
    <row r="9491" spans="1:2" x14ac:dyDescent="0.25">
      <c r="A9491" s="157">
        <v>35923</v>
      </c>
      <c r="B9491" s="158">
        <v>6.05</v>
      </c>
    </row>
    <row r="9492" spans="1:2" x14ac:dyDescent="0.25">
      <c r="A9492" s="157">
        <v>35926</v>
      </c>
      <c r="B9492" s="158">
        <v>6.12</v>
      </c>
    </row>
    <row r="9493" spans="1:2" x14ac:dyDescent="0.25">
      <c r="A9493" s="157">
        <v>35927</v>
      </c>
      <c r="B9493" s="158">
        <v>6.04</v>
      </c>
    </row>
    <row r="9494" spans="1:2" x14ac:dyDescent="0.25">
      <c r="A9494" s="157">
        <v>35928</v>
      </c>
      <c r="B9494" s="158">
        <v>6.02</v>
      </c>
    </row>
    <row r="9495" spans="1:2" x14ac:dyDescent="0.25">
      <c r="A9495" s="157">
        <v>35929</v>
      </c>
      <c r="B9495" s="158">
        <v>6.05</v>
      </c>
    </row>
    <row r="9496" spans="1:2" x14ac:dyDescent="0.25">
      <c r="A9496" s="157">
        <v>35930</v>
      </c>
      <c r="B9496" s="158">
        <v>6.05</v>
      </c>
    </row>
    <row r="9497" spans="1:2" x14ac:dyDescent="0.25">
      <c r="A9497" s="157">
        <v>35933</v>
      </c>
      <c r="B9497" s="158">
        <v>5.99</v>
      </c>
    </row>
    <row r="9498" spans="1:2" x14ac:dyDescent="0.25">
      <c r="A9498" s="157">
        <v>35934</v>
      </c>
      <c r="B9498" s="158">
        <v>6.02</v>
      </c>
    </row>
    <row r="9499" spans="1:2" x14ac:dyDescent="0.25">
      <c r="A9499" s="157">
        <v>35935</v>
      </c>
      <c r="B9499" s="158">
        <v>5.98</v>
      </c>
    </row>
    <row r="9500" spans="1:2" x14ac:dyDescent="0.25">
      <c r="A9500" s="157">
        <v>35936</v>
      </c>
      <c r="B9500" s="158">
        <v>6.01</v>
      </c>
    </row>
    <row r="9501" spans="1:2" x14ac:dyDescent="0.25">
      <c r="A9501" s="157">
        <v>35937</v>
      </c>
      <c r="B9501" s="158">
        <v>5.99</v>
      </c>
    </row>
    <row r="9502" spans="1:2" x14ac:dyDescent="0.25">
      <c r="A9502" s="157">
        <v>35940</v>
      </c>
      <c r="B9502" s="158" t="e">
        <f>NA()</f>
        <v>#N/A</v>
      </c>
    </row>
    <row r="9503" spans="1:2" x14ac:dyDescent="0.25">
      <c r="A9503" s="157">
        <v>35941</v>
      </c>
      <c r="B9503" s="158">
        <v>5.94</v>
      </c>
    </row>
    <row r="9504" spans="1:2" x14ac:dyDescent="0.25">
      <c r="A9504" s="157">
        <v>35942</v>
      </c>
      <c r="B9504" s="158">
        <v>5.93</v>
      </c>
    </row>
    <row r="9505" spans="1:2" x14ac:dyDescent="0.25">
      <c r="A9505" s="157">
        <v>35943</v>
      </c>
      <c r="B9505" s="158">
        <v>5.93</v>
      </c>
    </row>
    <row r="9506" spans="1:2" x14ac:dyDescent="0.25">
      <c r="A9506" s="157">
        <v>35944</v>
      </c>
      <c r="B9506" s="158">
        <v>5.9</v>
      </c>
    </row>
    <row r="9507" spans="1:2" x14ac:dyDescent="0.25">
      <c r="A9507" s="157">
        <v>35947</v>
      </c>
      <c r="B9507" s="158">
        <v>5.87</v>
      </c>
    </row>
    <row r="9508" spans="1:2" x14ac:dyDescent="0.25">
      <c r="A9508" s="157">
        <v>35948</v>
      </c>
      <c r="B9508" s="158">
        <v>5.89</v>
      </c>
    </row>
    <row r="9509" spans="1:2" x14ac:dyDescent="0.25">
      <c r="A9509" s="157">
        <v>35949</v>
      </c>
      <c r="B9509" s="158">
        <v>5.89</v>
      </c>
    </row>
    <row r="9510" spans="1:2" x14ac:dyDescent="0.25">
      <c r="A9510" s="157">
        <v>35950</v>
      </c>
      <c r="B9510" s="158">
        <v>5.91</v>
      </c>
    </row>
    <row r="9511" spans="1:2" x14ac:dyDescent="0.25">
      <c r="A9511" s="157">
        <v>35951</v>
      </c>
      <c r="B9511" s="158">
        <v>5.89</v>
      </c>
    </row>
    <row r="9512" spans="1:2" x14ac:dyDescent="0.25">
      <c r="A9512" s="157">
        <v>35954</v>
      </c>
      <c r="B9512" s="158">
        <v>5.89</v>
      </c>
    </row>
    <row r="9513" spans="1:2" x14ac:dyDescent="0.25">
      <c r="A9513" s="157">
        <v>35955</v>
      </c>
      <c r="B9513" s="158">
        <v>5.89</v>
      </c>
    </row>
    <row r="9514" spans="1:2" x14ac:dyDescent="0.25">
      <c r="A9514" s="157">
        <v>35956</v>
      </c>
      <c r="B9514" s="158">
        <v>5.8</v>
      </c>
    </row>
    <row r="9515" spans="1:2" x14ac:dyDescent="0.25">
      <c r="A9515" s="157">
        <v>35957</v>
      </c>
      <c r="B9515" s="158">
        <v>5.74</v>
      </c>
    </row>
    <row r="9516" spans="1:2" x14ac:dyDescent="0.25">
      <c r="A9516" s="157">
        <v>35958</v>
      </c>
      <c r="B9516" s="158">
        <v>5.75</v>
      </c>
    </row>
    <row r="9517" spans="1:2" x14ac:dyDescent="0.25">
      <c r="A9517" s="157">
        <v>35961</v>
      </c>
      <c r="B9517" s="158">
        <v>5.7</v>
      </c>
    </row>
    <row r="9518" spans="1:2" x14ac:dyDescent="0.25">
      <c r="A9518" s="157">
        <v>35962</v>
      </c>
      <c r="B9518" s="158">
        <v>5.75</v>
      </c>
    </row>
    <row r="9519" spans="1:2" x14ac:dyDescent="0.25">
      <c r="A9519" s="157">
        <v>35963</v>
      </c>
      <c r="B9519" s="158">
        <v>5.84</v>
      </c>
    </row>
    <row r="9520" spans="1:2" x14ac:dyDescent="0.25">
      <c r="A9520" s="157">
        <v>35964</v>
      </c>
      <c r="B9520" s="158">
        <v>5.8</v>
      </c>
    </row>
    <row r="9521" spans="1:2" x14ac:dyDescent="0.25">
      <c r="A9521" s="157">
        <v>35965</v>
      </c>
      <c r="B9521" s="158">
        <v>5.78</v>
      </c>
    </row>
    <row r="9522" spans="1:2" x14ac:dyDescent="0.25">
      <c r="A9522" s="157">
        <v>35968</v>
      </c>
      <c r="B9522" s="158">
        <v>5.77</v>
      </c>
    </row>
    <row r="9523" spans="1:2" x14ac:dyDescent="0.25">
      <c r="A9523" s="157">
        <v>35969</v>
      </c>
      <c r="B9523" s="158">
        <v>5.74</v>
      </c>
    </row>
    <row r="9524" spans="1:2" x14ac:dyDescent="0.25">
      <c r="A9524" s="157">
        <v>35970</v>
      </c>
      <c r="B9524" s="158">
        <v>5.76</v>
      </c>
    </row>
    <row r="9525" spans="1:2" x14ac:dyDescent="0.25">
      <c r="A9525" s="157">
        <v>35971</v>
      </c>
      <c r="B9525" s="158">
        <v>5.76</v>
      </c>
    </row>
    <row r="9526" spans="1:2" x14ac:dyDescent="0.25">
      <c r="A9526" s="157">
        <v>35972</v>
      </c>
      <c r="B9526" s="158">
        <v>5.74</v>
      </c>
    </row>
    <row r="9527" spans="1:2" x14ac:dyDescent="0.25">
      <c r="A9527" s="157">
        <v>35975</v>
      </c>
      <c r="B9527" s="158">
        <v>5.75</v>
      </c>
    </row>
    <row r="9528" spans="1:2" x14ac:dyDescent="0.25">
      <c r="A9528" s="157">
        <v>35976</v>
      </c>
      <c r="B9528" s="158">
        <v>5.73</v>
      </c>
    </row>
    <row r="9529" spans="1:2" x14ac:dyDescent="0.25">
      <c r="A9529" s="157">
        <v>35977</v>
      </c>
      <c r="B9529" s="158">
        <v>5.73</v>
      </c>
    </row>
    <row r="9530" spans="1:2" x14ac:dyDescent="0.25">
      <c r="A9530" s="157">
        <v>35978</v>
      </c>
      <c r="B9530" s="158">
        <v>5.7</v>
      </c>
    </row>
    <row r="9531" spans="1:2" x14ac:dyDescent="0.25">
      <c r="A9531" s="157">
        <v>35979</v>
      </c>
      <c r="B9531" s="158" t="e">
        <f>NA()</f>
        <v>#N/A</v>
      </c>
    </row>
    <row r="9532" spans="1:2" x14ac:dyDescent="0.25">
      <c r="A9532" s="157">
        <v>35982</v>
      </c>
      <c r="B9532" s="158">
        <v>5.68</v>
      </c>
    </row>
    <row r="9533" spans="1:2" x14ac:dyDescent="0.25">
      <c r="A9533" s="157">
        <v>35983</v>
      </c>
      <c r="B9533" s="158">
        <v>5.7</v>
      </c>
    </row>
    <row r="9534" spans="1:2" x14ac:dyDescent="0.25">
      <c r="A9534" s="157">
        <v>35984</v>
      </c>
      <c r="B9534" s="158">
        <v>5.73</v>
      </c>
    </row>
    <row r="9535" spans="1:2" x14ac:dyDescent="0.25">
      <c r="A9535" s="157">
        <v>35985</v>
      </c>
      <c r="B9535" s="158">
        <v>5.71</v>
      </c>
    </row>
    <row r="9536" spans="1:2" x14ac:dyDescent="0.25">
      <c r="A9536" s="157">
        <v>35986</v>
      </c>
      <c r="B9536" s="158">
        <v>5.73</v>
      </c>
    </row>
    <row r="9537" spans="1:2" x14ac:dyDescent="0.25">
      <c r="A9537" s="157">
        <v>35989</v>
      </c>
      <c r="B9537" s="158">
        <v>5.8</v>
      </c>
    </row>
    <row r="9538" spans="1:2" x14ac:dyDescent="0.25">
      <c r="A9538" s="157">
        <v>35990</v>
      </c>
      <c r="B9538" s="158">
        <v>5.82</v>
      </c>
    </row>
    <row r="9539" spans="1:2" x14ac:dyDescent="0.25">
      <c r="A9539" s="157">
        <v>35991</v>
      </c>
      <c r="B9539" s="158">
        <v>5.82</v>
      </c>
    </row>
    <row r="9540" spans="1:2" x14ac:dyDescent="0.25">
      <c r="A9540" s="157">
        <v>35992</v>
      </c>
      <c r="B9540" s="158">
        <v>5.83</v>
      </c>
    </row>
    <row r="9541" spans="1:2" x14ac:dyDescent="0.25">
      <c r="A9541" s="157">
        <v>35993</v>
      </c>
      <c r="B9541" s="158">
        <v>5.85</v>
      </c>
    </row>
    <row r="9542" spans="1:2" x14ac:dyDescent="0.25">
      <c r="A9542" s="157">
        <v>35996</v>
      </c>
      <c r="B9542" s="158">
        <v>5.83</v>
      </c>
    </row>
    <row r="9543" spans="1:2" x14ac:dyDescent="0.25">
      <c r="A9543" s="157">
        <v>35997</v>
      </c>
      <c r="B9543" s="158">
        <v>5.78</v>
      </c>
    </row>
    <row r="9544" spans="1:2" x14ac:dyDescent="0.25">
      <c r="A9544" s="157">
        <v>35998</v>
      </c>
      <c r="B9544" s="158">
        <v>5.79</v>
      </c>
    </row>
    <row r="9545" spans="1:2" x14ac:dyDescent="0.25">
      <c r="A9545" s="157">
        <v>35999</v>
      </c>
      <c r="B9545" s="158">
        <v>5.77</v>
      </c>
    </row>
    <row r="9546" spans="1:2" x14ac:dyDescent="0.25">
      <c r="A9546" s="157">
        <v>36000</v>
      </c>
      <c r="B9546" s="158">
        <v>5.79</v>
      </c>
    </row>
    <row r="9547" spans="1:2" x14ac:dyDescent="0.25">
      <c r="A9547" s="157">
        <v>36003</v>
      </c>
      <c r="B9547" s="158">
        <v>5.81</v>
      </c>
    </row>
    <row r="9548" spans="1:2" x14ac:dyDescent="0.25">
      <c r="A9548" s="157">
        <v>36004</v>
      </c>
      <c r="B9548" s="158">
        <v>5.84</v>
      </c>
    </row>
    <row r="9549" spans="1:2" x14ac:dyDescent="0.25">
      <c r="A9549" s="157">
        <v>36005</v>
      </c>
      <c r="B9549" s="158">
        <v>5.87</v>
      </c>
    </row>
    <row r="9550" spans="1:2" x14ac:dyDescent="0.25">
      <c r="A9550" s="157">
        <v>36006</v>
      </c>
      <c r="B9550" s="158">
        <v>5.82</v>
      </c>
    </row>
    <row r="9551" spans="1:2" x14ac:dyDescent="0.25">
      <c r="A9551" s="157">
        <v>36007</v>
      </c>
      <c r="B9551" s="158">
        <v>5.81</v>
      </c>
    </row>
    <row r="9552" spans="1:2" x14ac:dyDescent="0.25">
      <c r="A9552" s="157">
        <v>36010</v>
      </c>
      <c r="B9552" s="158">
        <v>5.75</v>
      </c>
    </row>
    <row r="9553" spans="1:2" x14ac:dyDescent="0.25">
      <c r="A9553" s="157">
        <v>36011</v>
      </c>
      <c r="B9553" s="158">
        <v>5.74</v>
      </c>
    </row>
    <row r="9554" spans="1:2" x14ac:dyDescent="0.25">
      <c r="A9554" s="157">
        <v>36012</v>
      </c>
      <c r="B9554" s="158">
        <v>5.74</v>
      </c>
    </row>
    <row r="9555" spans="1:2" x14ac:dyDescent="0.25">
      <c r="A9555" s="157">
        <v>36013</v>
      </c>
      <c r="B9555" s="158">
        <v>5.76</v>
      </c>
    </row>
    <row r="9556" spans="1:2" x14ac:dyDescent="0.25">
      <c r="A9556" s="157">
        <v>36014</v>
      </c>
      <c r="B9556" s="158">
        <v>5.72</v>
      </c>
    </row>
    <row r="9557" spans="1:2" x14ac:dyDescent="0.25">
      <c r="A9557" s="157">
        <v>36017</v>
      </c>
      <c r="B9557" s="158">
        <v>5.71</v>
      </c>
    </row>
    <row r="9558" spans="1:2" x14ac:dyDescent="0.25">
      <c r="A9558" s="157">
        <v>36018</v>
      </c>
      <c r="B9558" s="158">
        <v>5.68</v>
      </c>
    </row>
    <row r="9559" spans="1:2" x14ac:dyDescent="0.25">
      <c r="A9559" s="157">
        <v>36019</v>
      </c>
      <c r="B9559" s="158">
        <v>5.7</v>
      </c>
    </row>
    <row r="9560" spans="1:2" x14ac:dyDescent="0.25">
      <c r="A9560" s="157">
        <v>36020</v>
      </c>
      <c r="B9560" s="158">
        <v>5.73</v>
      </c>
    </row>
    <row r="9561" spans="1:2" x14ac:dyDescent="0.25">
      <c r="A9561" s="157">
        <v>36021</v>
      </c>
      <c r="B9561" s="158">
        <v>5.67</v>
      </c>
    </row>
    <row r="9562" spans="1:2" x14ac:dyDescent="0.25">
      <c r="A9562" s="157">
        <v>36024</v>
      </c>
      <c r="B9562" s="158">
        <v>5.69</v>
      </c>
    </row>
    <row r="9563" spans="1:2" x14ac:dyDescent="0.25">
      <c r="A9563" s="157">
        <v>36025</v>
      </c>
      <c r="B9563" s="158">
        <v>5.7</v>
      </c>
    </row>
    <row r="9564" spans="1:2" x14ac:dyDescent="0.25">
      <c r="A9564" s="157">
        <v>36026</v>
      </c>
      <c r="B9564" s="158">
        <v>5.71</v>
      </c>
    </row>
    <row r="9565" spans="1:2" x14ac:dyDescent="0.25">
      <c r="A9565" s="157">
        <v>36027</v>
      </c>
      <c r="B9565" s="158">
        <v>5.66</v>
      </c>
    </row>
    <row r="9566" spans="1:2" x14ac:dyDescent="0.25">
      <c r="A9566" s="157">
        <v>36028</v>
      </c>
      <c r="B9566" s="158">
        <v>5.62</v>
      </c>
    </row>
    <row r="9567" spans="1:2" x14ac:dyDescent="0.25">
      <c r="A9567" s="157">
        <v>36031</v>
      </c>
      <c r="B9567" s="158">
        <v>5.62</v>
      </c>
    </row>
    <row r="9568" spans="1:2" x14ac:dyDescent="0.25">
      <c r="A9568" s="157">
        <v>36032</v>
      </c>
      <c r="B9568" s="158">
        <v>5.59</v>
      </c>
    </row>
    <row r="9569" spans="1:2" x14ac:dyDescent="0.25">
      <c r="A9569" s="157">
        <v>36033</v>
      </c>
      <c r="B9569" s="158">
        <v>5.58</v>
      </c>
    </row>
    <row r="9570" spans="1:2" x14ac:dyDescent="0.25">
      <c r="A9570" s="157">
        <v>36034</v>
      </c>
      <c r="B9570" s="158">
        <v>5.53</v>
      </c>
    </row>
    <row r="9571" spans="1:2" x14ac:dyDescent="0.25">
      <c r="A9571" s="157">
        <v>36035</v>
      </c>
      <c r="B9571" s="158">
        <v>5.51</v>
      </c>
    </row>
    <row r="9572" spans="1:2" x14ac:dyDescent="0.25">
      <c r="A9572" s="157">
        <v>36038</v>
      </c>
      <c r="B9572" s="158">
        <v>5.45</v>
      </c>
    </row>
    <row r="9573" spans="1:2" x14ac:dyDescent="0.25">
      <c r="A9573" s="157">
        <v>36039</v>
      </c>
      <c r="B9573" s="158">
        <v>5.49</v>
      </c>
    </row>
    <row r="9574" spans="1:2" x14ac:dyDescent="0.25">
      <c r="A9574" s="157">
        <v>36040</v>
      </c>
      <c r="B9574" s="158">
        <v>5.5</v>
      </c>
    </row>
    <row r="9575" spans="1:2" x14ac:dyDescent="0.25">
      <c r="A9575" s="157">
        <v>36041</v>
      </c>
      <c r="B9575" s="158">
        <v>5.46</v>
      </c>
    </row>
    <row r="9576" spans="1:2" x14ac:dyDescent="0.25">
      <c r="A9576" s="157">
        <v>36042</v>
      </c>
      <c r="B9576" s="158">
        <v>5.44</v>
      </c>
    </row>
    <row r="9577" spans="1:2" x14ac:dyDescent="0.25">
      <c r="A9577" s="157">
        <v>36045</v>
      </c>
      <c r="B9577" s="158" t="e">
        <f>NA()</f>
        <v>#N/A</v>
      </c>
    </row>
    <row r="9578" spans="1:2" x14ac:dyDescent="0.25">
      <c r="A9578" s="157">
        <v>36046</v>
      </c>
      <c r="B9578" s="158">
        <v>5.5</v>
      </c>
    </row>
    <row r="9579" spans="1:2" x14ac:dyDescent="0.25">
      <c r="A9579" s="157">
        <v>36047</v>
      </c>
      <c r="B9579" s="158">
        <v>5.43</v>
      </c>
    </row>
    <row r="9580" spans="1:2" x14ac:dyDescent="0.25">
      <c r="A9580" s="157">
        <v>36048</v>
      </c>
      <c r="B9580" s="158">
        <v>5.33</v>
      </c>
    </row>
    <row r="9581" spans="1:2" x14ac:dyDescent="0.25">
      <c r="A9581" s="157">
        <v>36049</v>
      </c>
      <c r="B9581" s="158">
        <v>5.37</v>
      </c>
    </row>
    <row r="9582" spans="1:2" x14ac:dyDescent="0.25">
      <c r="A9582" s="157">
        <v>36052</v>
      </c>
      <c r="B9582" s="158">
        <v>5.39</v>
      </c>
    </row>
    <row r="9583" spans="1:2" x14ac:dyDescent="0.25">
      <c r="A9583" s="157">
        <v>36053</v>
      </c>
      <c r="B9583" s="158">
        <v>5.41</v>
      </c>
    </row>
    <row r="9584" spans="1:2" x14ac:dyDescent="0.25">
      <c r="A9584" s="157">
        <v>36054</v>
      </c>
      <c r="B9584" s="158">
        <v>5.38</v>
      </c>
    </row>
    <row r="9585" spans="1:2" x14ac:dyDescent="0.25">
      <c r="A9585" s="157">
        <v>36055</v>
      </c>
      <c r="B9585" s="158">
        <v>5.37</v>
      </c>
    </row>
    <row r="9586" spans="1:2" x14ac:dyDescent="0.25">
      <c r="A9586" s="157">
        <v>36056</v>
      </c>
      <c r="B9586" s="158">
        <v>5.35</v>
      </c>
    </row>
    <row r="9587" spans="1:2" x14ac:dyDescent="0.25">
      <c r="A9587" s="157">
        <v>36059</v>
      </c>
      <c r="B9587" s="158">
        <v>5.35</v>
      </c>
    </row>
    <row r="9588" spans="1:2" x14ac:dyDescent="0.25">
      <c r="A9588" s="157">
        <v>36060</v>
      </c>
      <c r="B9588" s="158">
        <v>5.36</v>
      </c>
    </row>
    <row r="9589" spans="1:2" x14ac:dyDescent="0.25">
      <c r="A9589" s="157">
        <v>36061</v>
      </c>
      <c r="B9589" s="158">
        <v>5.34</v>
      </c>
    </row>
    <row r="9590" spans="1:2" x14ac:dyDescent="0.25">
      <c r="A9590" s="157">
        <v>36062</v>
      </c>
      <c r="B9590" s="158">
        <v>5.34</v>
      </c>
    </row>
    <row r="9591" spans="1:2" x14ac:dyDescent="0.25">
      <c r="A9591" s="157">
        <v>36063</v>
      </c>
      <c r="B9591" s="158">
        <v>5.3</v>
      </c>
    </row>
    <row r="9592" spans="1:2" x14ac:dyDescent="0.25">
      <c r="A9592" s="157">
        <v>36066</v>
      </c>
      <c r="B9592" s="158">
        <v>5.33</v>
      </c>
    </row>
    <row r="9593" spans="1:2" x14ac:dyDescent="0.25">
      <c r="A9593" s="157">
        <v>36067</v>
      </c>
      <c r="B9593" s="158">
        <v>5.29</v>
      </c>
    </row>
    <row r="9594" spans="1:2" x14ac:dyDescent="0.25">
      <c r="A9594" s="157">
        <v>36068</v>
      </c>
      <c r="B9594" s="158">
        <v>5.17</v>
      </c>
    </row>
    <row r="9595" spans="1:2" x14ac:dyDescent="0.25">
      <c r="A9595" s="157">
        <v>36069</v>
      </c>
      <c r="B9595" s="158">
        <v>5.09</v>
      </c>
    </row>
    <row r="9596" spans="1:2" x14ac:dyDescent="0.25">
      <c r="A9596" s="157">
        <v>36070</v>
      </c>
      <c r="B9596" s="158">
        <v>5.05</v>
      </c>
    </row>
    <row r="9597" spans="1:2" x14ac:dyDescent="0.25">
      <c r="A9597" s="157">
        <v>36073</v>
      </c>
      <c r="B9597" s="158">
        <v>4.93</v>
      </c>
    </row>
    <row r="9598" spans="1:2" x14ac:dyDescent="0.25">
      <c r="A9598" s="157">
        <v>36074</v>
      </c>
      <c r="B9598" s="158">
        <v>5</v>
      </c>
    </row>
    <row r="9599" spans="1:2" x14ac:dyDescent="0.25">
      <c r="A9599" s="157">
        <v>36075</v>
      </c>
      <c r="B9599" s="158">
        <v>5.09</v>
      </c>
    </row>
    <row r="9600" spans="1:2" x14ac:dyDescent="0.25">
      <c r="A9600" s="157">
        <v>36076</v>
      </c>
      <c r="B9600" s="158">
        <v>5.29</v>
      </c>
    </row>
    <row r="9601" spans="1:2" x14ac:dyDescent="0.25">
      <c r="A9601" s="157">
        <v>36077</v>
      </c>
      <c r="B9601" s="158">
        <v>5.5</v>
      </c>
    </row>
    <row r="9602" spans="1:2" x14ac:dyDescent="0.25">
      <c r="A9602" s="157">
        <v>36080</v>
      </c>
      <c r="B9602" s="158" t="e">
        <f>NA()</f>
        <v>#N/A</v>
      </c>
    </row>
    <row r="9603" spans="1:2" x14ac:dyDescent="0.25">
      <c r="A9603" s="157">
        <v>36081</v>
      </c>
      <c r="B9603" s="158">
        <v>5.49</v>
      </c>
    </row>
    <row r="9604" spans="1:2" x14ac:dyDescent="0.25">
      <c r="A9604" s="157">
        <v>36082</v>
      </c>
      <c r="B9604" s="158">
        <v>5.38</v>
      </c>
    </row>
    <row r="9605" spans="1:2" x14ac:dyDescent="0.25">
      <c r="A9605" s="157">
        <v>36083</v>
      </c>
      <c r="B9605" s="158">
        <v>5.4</v>
      </c>
    </row>
    <row r="9606" spans="1:2" x14ac:dyDescent="0.25">
      <c r="A9606" s="157">
        <v>36084</v>
      </c>
      <c r="B9606" s="158">
        <v>5.3</v>
      </c>
    </row>
    <row r="9607" spans="1:2" x14ac:dyDescent="0.25">
      <c r="A9607" s="157">
        <v>36087</v>
      </c>
      <c r="B9607" s="158">
        <v>5.32</v>
      </c>
    </row>
    <row r="9608" spans="1:2" x14ac:dyDescent="0.25">
      <c r="A9608" s="157">
        <v>36088</v>
      </c>
      <c r="B9608" s="158">
        <v>5.42</v>
      </c>
    </row>
    <row r="9609" spans="1:2" x14ac:dyDescent="0.25">
      <c r="A9609" s="157">
        <v>36089</v>
      </c>
      <c r="B9609" s="158">
        <v>5.41</v>
      </c>
    </row>
    <row r="9610" spans="1:2" x14ac:dyDescent="0.25">
      <c r="A9610" s="157">
        <v>36090</v>
      </c>
      <c r="B9610" s="158">
        <v>5.46</v>
      </c>
    </row>
    <row r="9611" spans="1:2" x14ac:dyDescent="0.25">
      <c r="A9611" s="157">
        <v>36091</v>
      </c>
      <c r="B9611" s="158">
        <v>5.47</v>
      </c>
    </row>
    <row r="9612" spans="1:2" x14ac:dyDescent="0.25">
      <c r="A9612" s="157">
        <v>36094</v>
      </c>
      <c r="B9612" s="158">
        <v>5.38</v>
      </c>
    </row>
    <row r="9613" spans="1:2" x14ac:dyDescent="0.25">
      <c r="A9613" s="157">
        <v>36095</v>
      </c>
      <c r="B9613" s="158">
        <v>5.33</v>
      </c>
    </row>
    <row r="9614" spans="1:2" x14ac:dyDescent="0.25">
      <c r="A9614" s="157">
        <v>36096</v>
      </c>
      <c r="B9614" s="158">
        <v>5.34</v>
      </c>
    </row>
    <row r="9615" spans="1:2" x14ac:dyDescent="0.25">
      <c r="A9615" s="157">
        <v>36097</v>
      </c>
      <c r="B9615" s="158">
        <v>5.31</v>
      </c>
    </row>
    <row r="9616" spans="1:2" x14ac:dyDescent="0.25">
      <c r="A9616" s="157">
        <v>36098</v>
      </c>
      <c r="B9616" s="158">
        <v>5.38</v>
      </c>
    </row>
    <row r="9617" spans="1:2" x14ac:dyDescent="0.25">
      <c r="A9617" s="157">
        <v>36101</v>
      </c>
      <c r="B9617" s="158">
        <v>5.49</v>
      </c>
    </row>
    <row r="9618" spans="1:2" x14ac:dyDescent="0.25">
      <c r="A9618" s="157">
        <v>36102</v>
      </c>
      <c r="B9618" s="158">
        <v>5.46</v>
      </c>
    </row>
    <row r="9619" spans="1:2" x14ac:dyDescent="0.25">
      <c r="A9619" s="157">
        <v>36103</v>
      </c>
      <c r="B9619" s="158">
        <v>5.56</v>
      </c>
    </row>
    <row r="9620" spans="1:2" x14ac:dyDescent="0.25">
      <c r="A9620" s="157">
        <v>36104</v>
      </c>
      <c r="B9620" s="158">
        <v>5.55</v>
      </c>
    </row>
    <row r="9621" spans="1:2" x14ac:dyDescent="0.25">
      <c r="A9621" s="157">
        <v>36105</v>
      </c>
      <c r="B9621" s="158">
        <v>5.63</v>
      </c>
    </row>
    <row r="9622" spans="1:2" x14ac:dyDescent="0.25">
      <c r="A9622" s="157">
        <v>36108</v>
      </c>
      <c r="B9622" s="158">
        <v>5.51</v>
      </c>
    </row>
    <row r="9623" spans="1:2" x14ac:dyDescent="0.25">
      <c r="A9623" s="157">
        <v>36109</v>
      </c>
      <c r="B9623" s="158">
        <v>5.48</v>
      </c>
    </row>
    <row r="9624" spans="1:2" x14ac:dyDescent="0.25">
      <c r="A9624" s="157">
        <v>36110</v>
      </c>
      <c r="B9624" s="158" t="e">
        <f>NA()</f>
        <v>#N/A</v>
      </c>
    </row>
    <row r="9625" spans="1:2" x14ac:dyDescent="0.25">
      <c r="A9625" s="157">
        <v>36111</v>
      </c>
      <c r="B9625" s="158">
        <v>5.46</v>
      </c>
    </row>
    <row r="9626" spans="1:2" x14ac:dyDescent="0.25">
      <c r="A9626" s="157">
        <v>36112</v>
      </c>
      <c r="B9626" s="158">
        <v>5.46</v>
      </c>
    </row>
    <row r="9627" spans="1:2" x14ac:dyDescent="0.25">
      <c r="A9627" s="157">
        <v>36115</v>
      </c>
      <c r="B9627" s="158">
        <v>5.47</v>
      </c>
    </row>
    <row r="9628" spans="1:2" x14ac:dyDescent="0.25">
      <c r="A9628" s="157">
        <v>36116</v>
      </c>
      <c r="B9628" s="158">
        <v>5.51</v>
      </c>
    </row>
    <row r="9629" spans="1:2" x14ac:dyDescent="0.25">
      <c r="A9629" s="157">
        <v>36117</v>
      </c>
      <c r="B9629" s="158">
        <v>5.44</v>
      </c>
    </row>
    <row r="9630" spans="1:2" x14ac:dyDescent="0.25">
      <c r="A9630" s="157">
        <v>36118</v>
      </c>
      <c r="B9630" s="158">
        <v>5.45</v>
      </c>
    </row>
    <row r="9631" spans="1:2" x14ac:dyDescent="0.25">
      <c r="A9631" s="157">
        <v>36119</v>
      </c>
      <c r="B9631" s="158">
        <v>5.44</v>
      </c>
    </row>
    <row r="9632" spans="1:2" x14ac:dyDescent="0.25">
      <c r="A9632" s="157">
        <v>36122</v>
      </c>
      <c r="B9632" s="158">
        <v>5.49</v>
      </c>
    </row>
    <row r="9633" spans="1:2" x14ac:dyDescent="0.25">
      <c r="A9633" s="157">
        <v>36123</v>
      </c>
      <c r="B9633" s="158">
        <v>5.47</v>
      </c>
    </row>
    <row r="9634" spans="1:2" x14ac:dyDescent="0.25">
      <c r="A9634" s="157">
        <v>36124</v>
      </c>
      <c r="B9634" s="158">
        <v>5.45</v>
      </c>
    </row>
    <row r="9635" spans="1:2" x14ac:dyDescent="0.25">
      <c r="A9635" s="157">
        <v>36125</v>
      </c>
      <c r="B9635" s="158" t="e">
        <f>NA()</f>
        <v>#N/A</v>
      </c>
    </row>
    <row r="9636" spans="1:2" x14ac:dyDescent="0.25">
      <c r="A9636" s="157">
        <v>36126</v>
      </c>
      <c r="B9636" s="158">
        <v>5.42</v>
      </c>
    </row>
    <row r="9637" spans="1:2" x14ac:dyDescent="0.25">
      <c r="A9637" s="157">
        <v>36129</v>
      </c>
      <c r="B9637" s="158">
        <v>5.33</v>
      </c>
    </row>
    <row r="9638" spans="1:2" x14ac:dyDescent="0.25">
      <c r="A9638" s="157">
        <v>36130</v>
      </c>
      <c r="B9638" s="158">
        <v>5.32</v>
      </c>
    </row>
    <row r="9639" spans="1:2" x14ac:dyDescent="0.25">
      <c r="A9639" s="157">
        <v>36131</v>
      </c>
      <c r="B9639" s="158">
        <v>5.28</v>
      </c>
    </row>
    <row r="9640" spans="1:2" x14ac:dyDescent="0.25">
      <c r="A9640" s="157">
        <v>36132</v>
      </c>
      <c r="B9640" s="158">
        <v>5.29</v>
      </c>
    </row>
    <row r="9641" spans="1:2" x14ac:dyDescent="0.25">
      <c r="A9641" s="157">
        <v>36133</v>
      </c>
      <c r="B9641" s="158">
        <v>5.34</v>
      </c>
    </row>
    <row r="9642" spans="1:2" x14ac:dyDescent="0.25">
      <c r="A9642" s="157">
        <v>36136</v>
      </c>
      <c r="B9642" s="158">
        <v>5.36</v>
      </c>
    </row>
    <row r="9643" spans="1:2" x14ac:dyDescent="0.25">
      <c r="A9643" s="157">
        <v>36137</v>
      </c>
      <c r="B9643" s="158">
        <v>5.29</v>
      </c>
    </row>
    <row r="9644" spans="1:2" x14ac:dyDescent="0.25">
      <c r="A9644" s="157">
        <v>36138</v>
      </c>
      <c r="B9644" s="158">
        <v>5.25</v>
      </c>
    </row>
    <row r="9645" spans="1:2" x14ac:dyDescent="0.25">
      <c r="A9645" s="157">
        <v>36139</v>
      </c>
      <c r="B9645" s="158">
        <v>5.24</v>
      </c>
    </row>
    <row r="9646" spans="1:2" x14ac:dyDescent="0.25">
      <c r="A9646" s="157">
        <v>36140</v>
      </c>
      <c r="B9646" s="158">
        <v>5.31</v>
      </c>
    </row>
    <row r="9647" spans="1:2" x14ac:dyDescent="0.25">
      <c r="A9647" s="157">
        <v>36143</v>
      </c>
      <c r="B9647" s="158">
        <v>5.3</v>
      </c>
    </row>
    <row r="9648" spans="1:2" x14ac:dyDescent="0.25">
      <c r="A9648" s="157">
        <v>36144</v>
      </c>
      <c r="B9648" s="158">
        <v>5.34</v>
      </c>
    </row>
    <row r="9649" spans="1:2" x14ac:dyDescent="0.25">
      <c r="A9649" s="157">
        <v>36145</v>
      </c>
      <c r="B9649" s="158">
        <v>5.33</v>
      </c>
    </row>
    <row r="9650" spans="1:2" x14ac:dyDescent="0.25">
      <c r="A9650" s="157">
        <v>36146</v>
      </c>
      <c r="B9650" s="158">
        <v>5.32</v>
      </c>
    </row>
    <row r="9651" spans="1:2" x14ac:dyDescent="0.25">
      <c r="A9651" s="157">
        <v>36147</v>
      </c>
      <c r="B9651" s="158">
        <v>5.32</v>
      </c>
    </row>
    <row r="9652" spans="1:2" x14ac:dyDescent="0.25">
      <c r="A9652" s="157">
        <v>36150</v>
      </c>
      <c r="B9652" s="158">
        <v>5.38</v>
      </c>
    </row>
    <row r="9653" spans="1:2" x14ac:dyDescent="0.25">
      <c r="A9653" s="157">
        <v>36151</v>
      </c>
      <c r="B9653" s="158">
        <v>5.45</v>
      </c>
    </row>
    <row r="9654" spans="1:2" x14ac:dyDescent="0.25">
      <c r="A9654" s="157">
        <v>36152</v>
      </c>
      <c r="B9654" s="158">
        <v>5.51</v>
      </c>
    </row>
    <row r="9655" spans="1:2" x14ac:dyDescent="0.25">
      <c r="A9655" s="157">
        <v>36153</v>
      </c>
      <c r="B9655" s="158">
        <v>5.55</v>
      </c>
    </row>
    <row r="9656" spans="1:2" x14ac:dyDescent="0.25">
      <c r="A9656" s="157">
        <v>36154</v>
      </c>
      <c r="B9656" s="158" t="e">
        <f>NA()</f>
        <v>#N/A</v>
      </c>
    </row>
    <row r="9657" spans="1:2" x14ac:dyDescent="0.25">
      <c r="A9657" s="157">
        <v>36157</v>
      </c>
      <c r="B9657" s="158">
        <v>5.47</v>
      </c>
    </row>
    <row r="9658" spans="1:2" x14ac:dyDescent="0.25">
      <c r="A9658" s="157">
        <v>36158</v>
      </c>
      <c r="B9658" s="158">
        <v>5.41</v>
      </c>
    </row>
    <row r="9659" spans="1:2" x14ac:dyDescent="0.25">
      <c r="A9659" s="157">
        <v>36159</v>
      </c>
      <c r="B9659" s="158">
        <v>5.4</v>
      </c>
    </row>
    <row r="9660" spans="1:2" x14ac:dyDescent="0.25">
      <c r="A9660" s="157">
        <v>36160</v>
      </c>
      <c r="B9660" s="158">
        <v>5.39</v>
      </c>
    </row>
    <row r="9661" spans="1:2" x14ac:dyDescent="0.25">
      <c r="A9661" s="157">
        <v>36161</v>
      </c>
      <c r="B9661" s="158" t="e">
        <f>NA()</f>
        <v>#N/A</v>
      </c>
    </row>
    <row r="9662" spans="1:2" x14ac:dyDescent="0.25">
      <c r="A9662" s="157">
        <v>36164</v>
      </c>
      <c r="B9662" s="158">
        <v>5.42</v>
      </c>
    </row>
    <row r="9663" spans="1:2" x14ac:dyDescent="0.25">
      <c r="A9663" s="157">
        <v>36165</v>
      </c>
      <c r="B9663" s="158">
        <v>5.48</v>
      </c>
    </row>
    <row r="9664" spans="1:2" x14ac:dyDescent="0.25">
      <c r="A9664" s="157">
        <v>36166</v>
      </c>
      <c r="B9664" s="158">
        <v>5.42</v>
      </c>
    </row>
    <row r="9665" spans="1:2" x14ac:dyDescent="0.25">
      <c r="A9665" s="157">
        <v>36167</v>
      </c>
      <c r="B9665" s="158">
        <v>5.48</v>
      </c>
    </row>
    <row r="9666" spans="1:2" x14ac:dyDescent="0.25">
      <c r="A9666" s="157">
        <v>36168</v>
      </c>
      <c r="B9666" s="158">
        <v>5.57</v>
      </c>
    </row>
    <row r="9667" spans="1:2" x14ac:dyDescent="0.25">
      <c r="A9667" s="157">
        <v>36171</v>
      </c>
      <c r="B9667" s="158">
        <v>5.61</v>
      </c>
    </row>
    <row r="9668" spans="1:2" x14ac:dyDescent="0.25">
      <c r="A9668" s="157">
        <v>36172</v>
      </c>
      <c r="B9668" s="158">
        <v>5.55</v>
      </c>
    </row>
    <row r="9669" spans="1:2" x14ac:dyDescent="0.25">
      <c r="A9669" s="157">
        <v>36173</v>
      </c>
      <c r="B9669" s="158">
        <v>5.49</v>
      </c>
    </row>
    <row r="9670" spans="1:2" x14ac:dyDescent="0.25">
      <c r="A9670" s="157">
        <v>36174</v>
      </c>
      <c r="B9670" s="158">
        <v>5.39</v>
      </c>
    </row>
    <row r="9671" spans="1:2" x14ac:dyDescent="0.25">
      <c r="A9671" s="157">
        <v>36175</v>
      </c>
      <c r="B9671" s="158">
        <v>5.43</v>
      </c>
    </row>
    <row r="9672" spans="1:2" x14ac:dyDescent="0.25">
      <c r="A9672" s="157">
        <v>36178</v>
      </c>
      <c r="B9672" s="158" t="e">
        <f>NA()</f>
        <v>#N/A</v>
      </c>
    </row>
    <row r="9673" spans="1:2" x14ac:dyDescent="0.25">
      <c r="A9673" s="157">
        <v>36179</v>
      </c>
      <c r="B9673" s="158">
        <v>5.46</v>
      </c>
    </row>
    <row r="9674" spans="1:2" x14ac:dyDescent="0.25">
      <c r="A9674" s="157">
        <v>36180</v>
      </c>
      <c r="B9674" s="158">
        <v>5.48</v>
      </c>
    </row>
    <row r="9675" spans="1:2" x14ac:dyDescent="0.25">
      <c r="A9675" s="157">
        <v>36181</v>
      </c>
      <c r="B9675" s="158">
        <v>5.43</v>
      </c>
    </row>
    <row r="9676" spans="1:2" x14ac:dyDescent="0.25">
      <c r="A9676" s="157">
        <v>36182</v>
      </c>
      <c r="B9676" s="158">
        <v>5.38</v>
      </c>
    </row>
    <row r="9677" spans="1:2" x14ac:dyDescent="0.25">
      <c r="A9677" s="157">
        <v>36185</v>
      </c>
      <c r="B9677" s="158">
        <v>5.4</v>
      </c>
    </row>
    <row r="9678" spans="1:2" x14ac:dyDescent="0.25">
      <c r="A9678" s="157">
        <v>36186</v>
      </c>
      <c r="B9678" s="158">
        <v>5.41</v>
      </c>
    </row>
    <row r="9679" spans="1:2" x14ac:dyDescent="0.25">
      <c r="A9679" s="157">
        <v>36187</v>
      </c>
      <c r="B9679" s="158">
        <v>5.4</v>
      </c>
    </row>
    <row r="9680" spans="1:2" x14ac:dyDescent="0.25">
      <c r="A9680" s="157">
        <v>36188</v>
      </c>
      <c r="B9680" s="158">
        <v>5.37</v>
      </c>
    </row>
    <row r="9681" spans="1:2" x14ac:dyDescent="0.25">
      <c r="A9681" s="157">
        <v>36189</v>
      </c>
      <c r="B9681" s="158">
        <v>5.35</v>
      </c>
    </row>
    <row r="9682" spans="1:2" x14ac:dyDescent="0.25">
      <c r="A9682" s="157">
        <v>36192</v>
      </c>
      <c r="B9682" s="158">
        <v>5.45</v>
      </c>
    </row>
    <row r="9683" spans="1:2" x14ac:dyDescent="0.25">
      <c r="A9683" s="157">
        <v>36193</v>
      </c>
      <c r="B9683" s="158">
        <v>5.51</v>
      </c>
    </row>
    <row r="9684" spans="1:2" x14ac:dyDescent="0.25">
      <c r="A9684" s="157">
        <v>36194</v>
      </c>
      <c r="B9684" s="158">
        <v>5.52</v>
      </c>
    </row>
    <row r="9685" spans="1:2" x14ac:dyDescent="0.25">
      <c r="A9685" s="157">
        <v>36195</v>
      </c>
      <c r="B9685" s="158">
        <v>5.57</v>
      </c>
    </row>
    <row r="9686" spans="1:2" x14ac:dyDescent="0.25">
      <c r="A9686" s="157">
        <v>36196</v>
      </c>
      <c r="B9686" s="158">
        <v>5.61</v>
      </c>
    </row>
    <row r="9687" spans="1:2" x14ac:dyDescent="0.25">
      <c r="A9687" s="157">
        <v>36199</v>
      </c>
      <c r="B9687" s="158">
        <v>5.61</v>
      </c>
    </row>
    <row r="9688" spans="1:2" x14ac:dyDescent="0.25">
      <c r="A9688" s="157">
        <v>36200</v>
      </c>
      <c r="B9688" s="158">
        <v>5.58</v>
      </c>
    </row>
    <row r="9689" spans="1:2" x14ac:dyDescent="0.25">
      <c r="A9689" s="157">
        <v>36201</v>
      </c>
      <c r="B9689" s="158">
        <v>5.58</v>
      </c>
    </row>
    <row r="9690" spans="1:2" x14ac:dyDescent="0.25">
      <c r="A9690" s="157">
        <v>36202</v>
      </c>
      <c r="B9690" s="158">
        <v>5.58</v>
      </c>
    </row>
    <row r="9691" spans="1:2" x14ac:dyDescent="0.25">
      <c r="A9691" s="157">
        <v>36203</v>
      </c>
      <c r="B9691" s="158">
        <v>5.76</v>
      </c>
    </row>
    <row r="9692" spans="1:2" x14ac:dyDescent="0.25">
      <c r="A9692" s="157">
        <v>36206</v>
      </c>
      <c r="B9692" s="158" t="e">
        <f>NA()</f>
        <v>#N/A</v>
      </c>
    </row>
    <row r="9693" spans="1:2" x14ac:dyDescent="0.25">
      <c r="A9693" s="157">
        <v>36207</v>
      </c>
      <c r="B9693" s="158">
        <v>5.69</v>
      </c>
    </row>
    <row r="9694" spans="1:2" x14ac:dyDescent="0.25">
      <c r="A9694" s="157">
        <v>36208</v>
      </c>
      <c r="B9694" s="158">
        <v>5.65</v>
      </c>
    </row>
    <row r="9695" spans="1:2" x14ac:dyDescent="0.25">
      <c r="A9695" s="157">
        <v>36209</v>
      </c>
      <c r="B9695" s="158">
        <v>5.7</v>
      </c>
    </row>
    <row r="9696" spans="1:2" x14ac:dyDescent="0.25">
      <c r="A9696" s="157">
        <v>36210</v>
      </c>
      <c r="B9696" s="158">
        <v>5.71</v>
      </c>
    </row>
    <row r="9697" spans="1:2" x14ac:dyDescent="0.25">
      <c r="A9697" s="157">
        <v>36213</v>
      </c>
      <c r="B9697" s="158">
        <v>5.67</v>
      </c>
    </row>
    <row r="9698" spans="1:2" x14ac:dyDescent="0.25">
      <c r="A9698" s="157">
        <v>36214</v>
      </c>
      <c r="B9698" s="158">
        <v>5.74</v>
      </c>
    </row>
    <row r="9699" spans="1:2" x14ac:dyDescent="0.25">
      <c r="A9699" s="157">
        <v>36215</v>
      </c>
      <c r="B9699" s="158">
        <v>5.82</v>
      </c>
    </row>
    <row r="9700" spans="1:2" x14ac:dyDescent="0.25">
      <c r="A9700" s="157">
        <v>36216</v>
      </c>
      <c r="B9700" s="158">
        <v>5.9</v>
      </c>
    </row>
    <row r="9701" spans="1:2" x14ac:dyDescent="0.25">
      <c r="A9701" s="157">
        <v>36217</v>
      </c>
      <c r="B9701" s="158">
        <v>5.85</v>
      </c>
    </row>
    <row r="9702" spans="1:2" x14ac:dyDescent="0.25">
      <c r="A9702" s="157">
        <v>36220</v>
      </c>
      <c r="B9702" s="158">
        <v>5.94</v>
      </c>
    </row>
    <row r="9703" spans="1:2" x14ac:dyDescent="0.25">
      <c r="A9703" s="157">
        <v>36221</v>
      </c>
      <c r="B9703" s="158">
        <v>5.88</v>
      </c>
    </row>
    <row r="9704" spans="1:2" x14ac:dyDescent="0.25">
      <c r="A9704" s="157">
        <v>36222</v>
      </c>
      <c r="B9704" s="158">
        <v>5.95</v>
      </c>
    </row>
    <row r="9705" spans="1:2" x14ac:dyDescent="0.25">
      <c r="A9705" s="157">
        <v>36223</v>
      </c>
      <c r="B9705" s="158">
        <v>5.97</v>
      </c>
    </row>
    <row r="9706" spans="1:2" x14ac:dyDescent="0.25">
      <c r="A9706" s="157">
        <v>36224</v>
      </c>
      <c r="B9706" s="158">
        <v>5.91</v>
      </c>
    </row>
    <row r="9707" spans="1:2" x14ac:dyDescent="0.25">
      <c r="A9707" s="157">
        <v>36227</v>
      </c>
      <c r="B9707" s="158">
        <v>5.9</v>
      </c>
    </row>
    <row r="9708" spans="1:2" x14ac:dyDescent="0.25">
      <c r="A9708" s="157">
        <v>36228</v>
      </c>
      <c r="B9708" s="158">
        <v>5.84</v>
      </c>
    </row>
    <row r="9709" spans="1:2" x14ac:dyDescent="0.25">
      <c r="A9709" s="157">
        <v>36229</v>
      </c>
      <c r="B9709" s="158">
        <v>5.86</v>
      </c>
    </row>
    <row r="9710" spans="1:2" x14ac:dyDescent="0.25">
      <c r="A9710" s="157">
        <v>36230</v>
      </c>
      <c r="B9710" s="158">
        <v>5.87</v>
      </c>
    </row>
    <row r="9711" spans="1:2" x14ac:dyDescent="0.25">
      <c r="A9711" s="157">
        <v>36231</v>
      </c>
      <c r="B9711" s="158">
        <v>5.82</v>
      </c>
    </row>
    <row r="9712" spans="1:2" x14ac:dyDescent="0.25">
      <c r="A9712" s="157">
        <v>36234</v>
      </c>
      <c r="B9712" s="158">
        <v>5.79</v>
      </c>
    </row>
    <row r="9713" spans="1:2" x14ac:dyDescent="0.25">
      <c r="A9713" s="157">
        <v>36235</v>
      </c>
      <c r="B9713" s="158">
        <v>5.75</v>
      </c>
    </row>
    <row r="9714" spans="1:2" x14ac:dyDescent="0.25">
      <c r="A9714" s="157">
        <v>36236</v>
      </c>
      <c r="B9714" s="158">
        <v>5.78</v>
      </c>
    </row>
    <row r="9715" spans="1:2" x14ac:dyDescent="0.25">
      <c r="A9715" s="157">
        <v>36237</v>
      </c>
      <c r="B9715" s="158">
        <v>5.77</v>
      </c>
    </row>
    <row r="9716" spans="1:2" x14ac:dyDescent="0.25">
      <c r="A9716" s="157">
        <v>36238</v>
      </c>
      <c r="B9716" s="158">
        <v>5.82</v>
      </c>
    </row>
    <row r="9717" spans="1:2" x14ac:dyDescent="0.25">
      <c r="A9717" s="157">
        <v>36241</v>
      </c>
      <c r="B9717" s="158">
        <v>5.87</v>
      </c>
    </row>
    <row r="9718" spans="1:2" x14ac:dyDescent="0.25">
      <c r="A9718" s="157">
        <v>36242</v>
      </c>
      <c r="B9718" s="158">
        <v>5.87</v>
      </c>
    </row>
    <row r="9719" spans="1:2" x14ac:dyDescent="0.25">
      <c r="A9719" s="157">
        <v>36243</v>
      </c>
      <c r="B9719" s="158">
        <v>5.84</v>
      </c>
    </row>
    <row r="9720" spans="1:2" x14ac:dyDescent="0.25">
      <c r="A9720" s="157">
        <v>36244</v>
      </c>
      <c r="B9720" s="158">
        <v>5.88</v>
      </c>
    </row>
    <row r="9721" spans="1:2" x14ac:dyDescent="0.25">
      <c r="A9721" s="157">
        <v>36245</v>
      </c>
      <c r="B9721" s="158">
        <v>5.9</v>
      </c>
    </row>
    <row r="9722" spans="1:2" x14ac:dyDescent="0.25">
      <c r="A9722" s="157">
        <v>36248</v>
      </c>
      <c r="B9722" s="158">
        <v>5.94</v>
      </c>
    </row>
    <row r="9723" spans="1:2" x14ac:dyDescent="0.25">
      <c r="A9723" s="157">
        <v>36249</v>
      </c>
      <c r="B9723" s="158">
        <v>5.89</v>
      </c>
    </row>
    <row r="9724" spans="1:2" x14ac:dyDescent="0.25">
      <c r="A9724" s="157">
        <v>36250</v>
      </c>
      <c r="B9724" s="158">
        <v>5.92</v>
      </c>
    </row>
    <row r="9725" spans="1:2" x14ac:dyDescent="0.25">
      <c r="A9725" s="157">
        <v>36251</v>
      </c>
      <c r="B9725" s="158">
        <v>5.96</v>
      </c>
    </row>
    <row r="9726" spans="1:2" x14ac:dyDescent="0.25">
      <c r="A9726" s="157">
        <v>36252</v>
      </c>
      <c r="B9726" s="158">
        <v>5.88</v>
      </c>
    </row>
    <row r="9727" spans="1:2" x14ac:dyDescent="0.25">
      <c r="A9727" s="157">
        <v>36255</v>
      </c>
      <c r="B9727" s="158">
        <v>5.88</v>
      </c>
    </row>
    <row r="9728" spans="1:2" x14ac:dyDescent="0.25">
      <c r="A9728" s="157">
        <v>36256</v>
      </c>
      <c r="B9728" s="158">
        <v>5.8</v>
      </c>
    </row>
    <row r="9729" spans="1:2" x14ac:dyDescent="0.25">
      <c r="A9729" s="157">
        <v>36257</v>
      </c>
      <c r="B9729" s="158">
        <v>5.8</v>
      </c>
    </row>
    <row r="9730" spans="1:2" x14ac:dyDescent="0.25">
      <c r="A9730" s="157">
        <v>36258</v>
      </c>
      <c r="B9730" s="158">
        <v>5.71</v>
      </c>
    </row>
    <row r="9731" spans="1:2" x14ac:dyDescent="0.25">
      <c r="A9731" s="157">
        <v>36259</v>
      </c>
      <c r="B9731" s="158">
        <v>5.73</v>
      </c>
    </row>
    <row r="9732" spans="1:2" x14ac:dyDescent="0.25">
      <c r="A9732" s="157">
        <v>36262</v>
      </c>
      <c r="B9732" s="158">
        <v>5.72</v>
      </c>
    </row>
    <row r="9733" spans="1:2" x14ac:dyDescent="0.25">
      <c r="A9733" s="157">
        <v>36263</v>
      </c>
      <c r="B9733" s="158">
        <v>5.77</v>
      </c>
    </row>
    <row r="9734" spans="1:2" x14ac:dyDescent="0.25">
      <c r="A9734" s="157">
        <v>36264</v>
      </c>
      <c r="B9734" s="158">
        <v>5.77</v>
      </c>
    </row>
    <row r="9735" spans="1:2" x14ac:dyDescent="0.25">
      <c r="A9735" s="157">
        <v>36265</v>
      </c>
      <c r="B9735" s="158">
        <v>5.8</v>
      </c>
    </row>
    <row r="9736" spans="1:2" x14ac:dyDescent="0.25">
      <c r="A9736" s="157">
        <v>36266</v>
      </c>
      <c r="B9736" s="158">
        <v>5.85</v>
      </c>
    </row>
    <row r="9737" spans="1:2" x14ac:dyDescent="0.25">
      <c r="A9737" s="157">
        <v>36269</v>
      </c>
      <c r="B9737" s="158">
        <v>5.81</v>
      </c>
    </row>
    <row r="9738" spans="1:2" x14ac:dyDescent="0.25">
      <c r="A9738" s="157">
        <v>36270</v>
      </c>
      <c r="B9738" s="158">
        <v>5.79</v>
      </c>
    </row>
    <row r="9739" spans="1:2" x14ac:dyDescent="0.25">
      <c r="A9739" s="157">
        <v>36271</v>
      </c>
      <c r="B9739" s="158">
        <v>5.8</v>
      </c>
    </row>
    <row r="9740" spans="1:2" x14ac:dyDescent="0.25">
      <c r="A9740" s="157">
        <v>36272</v>
      </c>
      <c r="B9740" s="158">
        <v>5.89</v>
      </c>
    </row>
    <row r="9741" spans="1:2" x14ac:dyDescent="0.25">
      <c r="A9741" s="157">
        <v>36273</v>
      </c>
      <c r="B9741" s="158">
        <v>5.87</v>
      </c>
    </row>
    <row r="9742" spans="1:2" x14ac:dyDescent="0.25">
      <c r="A9742" s="157">
        <v>36276</v>
      </c>
      <c r="B9742" s="158">
        <v>5.84</v>
      </c>
    </row>
    <row r="9743" spans="1:2" x14ac:dyDescent="0.25">
      <c r="A9743" s="157">
        <v>36277</v>
      </c>
      <c r="B9743" s="158">
        <v>5.82</v>
      </c>
    </row>
    <row r="9744" spans="1:2" x14ac:dyDescent="0.25">
      <c r="A9744" s="157">
        <v>36278</v>
      </c>
      <c r="B9744" s="158">
        <v>5.84</v>
      </c>
    </row>
    <row r="9745" spans="1:2" x14ac:dyDescent="0.25">
      <c r="A9745" s="157">
        <v>36279</v>
      </c>
      <c r="B9745" s="158">
        <v>5.79</v>
      </c>
    </row>
    <row r="9746" spans="1:2" x14ac:dyDescent="0.25">
      <c r="A9746" s="157">
        <v>36280</v>
      </c>
      <c r="B9746" s="158">
        <v>5.94</v>
      </c>
    </row>
    <row r="9747" spans="1:2" x14ac:dyDescent="0.25">
      <c r="A9747" s="157">
        <v>36283</v>
      </c>
      <c r="B9747" s="158">
        <v>5.93</v>
      </c>
    </row>
    <row r="9748" spans="1:2" x14ac:dyDescent="0.25">
      <c r="A9748" s="157">
        <v>36284</v>
      </c>
      <c r="B9748" s="158">
        <v>6</v>
      </c>
    </row>
    <row r="9749" spans="1:2" x14ac:dyDescent="0.25">
      <c r="A9749" s="157">
        <v>36285</v>
      </c>
      <c r="B9749" s="158">
        <v>5.97</v>
      </c>
    </row>
    <row r="9750" spans="1:2" x14ac:dyDescent="0.25">
      <c r="A9750" s="157">
        <v>36286</v>
      </c>
      <c r="B9750" s="158">
        <v>6.07</v>
      </c>
    </row>
    <row r="9751" spans="1:2" x14ac:dyDescent="0.25">
      <c r="A9751" s="157">
        <v>36287</v>
      </c>
      <c r="B9751" s="158">
        <v>6.1</v>
      </c>
    </row>
    <row r="9752" spans="1:2" x14ac:dyDescent="0.25">
      <c r="A9752" s="157">
        <v>36290</v>
      </c>
      <c r="B9752" s="158">
        <v>6.07</v>
      </c>
    </row>
    <row r="9753" spans="1:2" x14ac:dyDescent="0.25">
      <c r="A9753" s="157">
        <v>36291</v>
      </c>
      <c r="B9753" s="158">
        <v>6.11</v>
      </c>
    </row>
    <row r="9754" spans="1:2" x14ac:dyDescent="0.25">
      <c r="A9754" s="157">
        <v>36292</v>
      </c>
      <c r="B9754" s="158">
        <v>6.09</v>
      </c>
    </row>
    <row r="9755" spans="1:2" x14ac:dyDescent="0.25">
      <c r="A9755" s="157">
        <v>36293</v>
      </c>
      <c r="B9755" s="158">
        <v>6</v>
      </c>
    </row>
    <row r="9756" spans="1:2" x14ac:dyDescent="0.25">
      <c r="A9756" s="157">
        <v>36294</v>
      </c>
      <c r="B9756" s="158">
        <v>6.16</v>
      </c>
    </row>
    <row r="9757" spans="1:2" x14ac:dyDescent="0.25">
      <c r="A9757" s="157">
        <v>36297</v>
      </c>
      <c r="B9757" s="158">
        <v>6.16</v>
      </c>
    </row>
    <row r="9758" spans="1:2" x14ac:dyDescent="0.25">
      <c r="A9758" s="157">
        <v>36298</v>
      </c>
      <c r="B9758" s="158">
        <v>6.15</v>
      </c>
    </row>
    <row r="9759" spans="1:2" x14ac:dyDescent="0.25">
      <c r="A9759" s="157">
        <v>36299</v>
      </c>
      <c r="B9759" s="158">
        <v>6.09</v>
      </c>
    </row>
    <row r="9760" spans="1:2" x14ac:dyDescent="0.25">
      <c r="A9760" s="157">
        <v>36300</v>
      </c>
      <c r="B9760" s="158">
        <v>6.13</v>
      </c>
    </row>
    <row r="9761" spans="1:2" x14ac:dyDescent="0.25">
      <c r="A9761" s="157">
        <v>36301</v>
      </c>
      <c r="B9761" s="158">
        <v>6.08</v>
      </c>
    </row>
    <row r="9762" spans="1:2" x14ac:dyDescent="0.25">
      <c r="A9762" s="157">
        <v>36304</v>
      </c>
      <c r="B9762" s="158">
        <v>6.08</v>
      </c>
    </row>
    <row r="9763" spans="1:2" x14ac:dyDescent="0.25">
      <c r="A9763" s="157">
        <v>36305</v>
      </c>
      <c r="B9763" s="158">
        <v>6.07</v>
      </c>
    </row>
    <row r="9764" spans="1:2" x14ac:dyDescent="0.25">
      <c r="A9764" s="157">
        <v>36306</v>
      </c>
      <c r="B9764" s="158">
        <v>6.12</v>
      </c>
    </row>
    <row r="9765" spans="1:2" x14ac:dyDescent="0.25">
      <c r="A9765" s="157">
        <v>36307</v>
      </c>
      <c r="B9765" s="158">
        <v>6.15</v>
      </c>
    </row>
    <row r="9766" spans="1:2" x14ac:dyDescent="0.25">
      <c r="A9766" s="157">
        <v>36308</v>
      </c>
      <c r="B9766" s="158">
        <v>6.15</v>
      </c>
    </row>
    <row r="9767" spans="1:2" x14ac:dyDescent="0.25">
      <c r="A9767" s="157">
        <v>36311</v>
      </c>
      <c r="B9767" s="158" t="e">
        <f>NA()</f>
        <v>#N/A</v>
      </c>
    </row>
    <row r="9768" spans="1:2" x14ac:dyDescent="0.25">
      <c r="A9768" s="157">
        <v>36312</v>
      </c>
      <c r="B9768" s="158">
        <v>6.27</v>
      </c>
    </row>
    <row r="9769" spans="1:2" x14ac:dyDescent="0.25">
      <c r="A9769" s="157">
        <v>36313</v>
      </c>
      <c r="B9769" s="158">
        <v>6.26</v>
      </c>
    </row>
    <row r="9770" spans="1:2" x14ac:dyDescent="0.25">
      <c r="A9770" s="157">
        <v>36314</v>
      </c>
      <c r="B9770" s="158">
        <v>6.25</v>
      </c>
    </row>
    <row r="9771" spans="1:2" x14ac:dyDescent="0.25">
      <c r="A9771" s="157">
        <v>36315</v>
      </c>
      <c r="B9771" s="158">
        <v>6.28</v>
      </c>
    </row>
    <row r="9772" spans="1:2" x14ac:dyDescent="0.25">
      <c r="A9772" s="157">
        <v>36318</v>
      </c>
      <c r="B9772" s="158">
        <v>6.27</v>
      </c>
    </row>
    <row r="9773" spans="1:2" x14ac:dyDescent="0.25">
      <c r="A9773" s="157">
        <v>36319</v>
      </c>
      <c r="B9773" s="158">
        <v>6.3</v>
      </c>
    </row>
    <row r="9774" spans="1:2" x14ac:dyDescent="0.25">
      <c r="A9774" s="157">
        <v>36320</v>
      </c>
      <c r="B9774" s="158">
        <v>6.32</v>
      </c>
    </row>
    <row r="9775" spans="1:2" x14ac:dyDescent="0.25">
      <c r="A9775" s="157">
        <v>36321</v>
      </c>
      <c r="B9775" s="158">
        <v>6.37</v>
      </c>
    </row>
    <row r="9776" spans="1:2" x14ac:dyDescent="0.25">
      <c r="A9776" s="157">
        <v>36322</v>
      </c>
      <c r="B9776" s="158">
        <v>6.47</v>
      </c>
    </row>
    <row r="9777" spans="1:2" x14ac:dyDescent="0.25">
      <c r="A9777" s="157">
        <v>36325</v>
      </c>
      <c r="B9777" s="158">
        <v>6.43</v>
      </c>
    </row>
    <row r="9778" spans="1:2" x14ac:dyDescent="0.25">
      <c r="A9778" s="157">
        <v>36326</v>
      </c>
      <c r="B9778" s="158">
        <v>6.43</v>
      </c>
    </row>
    <row r="9779" spans="1:2" x14ac:dyDescent="0.25">
      <c r="A9779" s="157">
        <v>36327</v>
      </c>
      <c r="B9779" s="158">
        <v>6.4</v>
      </c>
    </row>
    <row r="9780" spans="1:2" x14ac:dyDescent="0.25">
      <c r="A9780" s="157">
        <v>36328</v>
      </c>
      <c r="B9780" s="158">
        <v>6.27</v>
      </c>
    </row>
    <row r="9781" spans="1:2" x14ac:dyDescent="0.25">
      <c r="A9781" s="157">
        <v>36329</v>
      </c>
      <c r="B9781" s="158">
        <v>6.3</v>
      </c>
    </row>
    <row r="9782" spans="1:2" x14ac:dyDescent="0.25">
      <c r="A9782" s="157">
        <v>36332</v>
      </c>
      <c r="B9782" s="158">
        <v>6.36</v>
      </c>
    </row>
    <row r="9783" spans="1:2" x14ac:dyDescent="0.25">
      <c r="A9783" s="157">
        <v>36333</v>
      </c>
      <c r="B9783" s="158">
        <v>6.41</v>
      </c>
    </row>
    <row r="9784" spans="1:2" x14ac:dyDescent="0.25">
      <c r="A9784" s="157">
        <v>36334</v>
      </c>
      <c r="B9784" s="158">
        <v>6.47</v>
      </c>
    </row>
    <row r="9785" spans="1:2" x14ac:dyDescent="0.25">
      <c r="A9785" s="157">
        <v>36335</v>
      </c>
      <c r="B9785" s="158">
        <v>6.51</v>
      </c>
    </row>
    <row r="9786" spans="1:2" x14ac:dyDescent="0.25">
      <c r="A9786" s="157">
        <v>36336</v>
      </c>
      <c r="B9786" s="158">
        <v>6.49</v>
      </c>
    </row>
    <row r="9787" spans="1:2" x14ac:dyDescent="0.25">
      <c r="A9787" s="157">
        <v>36339</v>
      </c>
      <c r="B9787" s="158">
        <v>6.42</v>
      </c>
    </row>
    <row r="9788" spans="1:2" x14ac:dyDescent="0.25">
      <c r="A9788" s="157">
        <v>36340</v>
      </c>
      <c r="B9788" s="158">
        <v>6.38</v>
      </c>
    </row>
    <row r="9789" spans="1:2" x14ac:dyDescent="0.25">
      <c r="A9789" s="157">
        <v>36341</v>
      </c>
      <c r="B9789" s="158">
        <v>6.29</v>
      </c>
    </row>
    <row r="9790" spans="1:2" x14ac:dyDescent="0.25">
      <c r="A9790" s="157">
        <v>36342</v>
      </c>
      <c r="B9790" s="158">
        <v>6.32</v>
      </c>
    </row>
    <row r="9791" spans="1:2" x14ac:dyDescent="0.25">
      <c r="A9791" s="157">
        <v>36343</v>
      </c>
      <c r="B9791" s="158">
        <v>6.3</v>
      </c>
    </row>
    <row r="9792" spans="1:2" x14ac:dyDescent="0.25">
      <c r="A9792" s="157">
        <v>36346</v>
      </c>
      <c r="B9792" s="158" t="e">
        <f>NA()</f>
        <v>#N/A</v>
      </c>
    </row>
    <row r="9793" spans="1:2" x14ac:dyDescent="0.25">
      <c r="A9793" s="157">
        <v>36347</v>
      </c>
      <c r="B9793" s="158">
        <v>6.34</v>
      </c>
    </row>
    <row r="9794" spans="1:2" x14ac:dyDescent="0.25">
      <c r="A9794" s="157">
        <v>36348</v>
      </c>
      <c r="B9794" s="158">
        <v>6.36</v>
      </c>
    </row>
    <row r="9795" spans="1:2" x14ac:dyDescent="0.25">
      <c r="A9795" s="157">
        <v>36349</v>
      </c>
      <c r="B9795" s="158">
        <v>6.3</v>
      </c>
    </row>
    <row r="9796" spans="1:2" x14ac:dyDescent="0.25">
      <c r="A9796" s="157">
        <v>36350</v>
      </c>
      <c r="B9796" s="158">
        <v>6.3</v>
      </c>
    </row>
    <row r="9797" spans="1:2" x14ac:dyDescent="0.25">
      <c r="A9797" s="157">
        <v>36353</v>
      </c>
      <c r="B9797" s="158">
        <v>6.2</v>
      </c>
    </row>
    <row r="9798" spans="1:2" x14ac:dyDescent="0.25">
      <c r="A9798" s="157">
        <v>36354</v>
      </c>
      <c r="B9798" s="158">
        <v>6.19</v>
      </c>
    </row>
    <row r="9799" spans="1:2" x14ac:dyDescent="0.25">
      <c r="A9799" s="157">
        <v>36355</v>
      </c>
      <c r="B9799" s="158">
        <v>6.21</v>
      </c>
    </row>
    <row r="9800" spans="1:2" x14ac:dyDescent="0.25">
      <c r="A9800" s="157">
        <v>36356</v>
      </c>
      <c r="B9800" s="158">
        <v>6.2</v>
      </c>
    </row>
    <row r="9801" spans="1:2" x14ac:dyDescent="0.25">
      <c r="A9801" s="157">
        <v>36357</v>
      </c>
      <c r="B9801" s="158">
        <v>6.18</v>
      </c>
    </row>
    <row r="9802" spans="1:2" x14ac:dyDescent="0.25">
      <c r="A9802" s="157">
        <v>36360</v>
      </c>
      <c r="B9802" s="158">
        <v>6.19</v>
      </c>
    </row>
    <row r="9803" spans="1:2" x14ac:dyDescent="0.25">
      <c r="A9803" s="157">
        <v>36361</v>
      </c>
      <c r="B9803" s="158">
        <v>6.18</v>
      </c>
    </row>
    <row r="9804" spans="1:2" x14ac:dyDescent="0.25">
      <c r="A9804" s="157">
        <v>36362</v>
      </c>
      <c r="B9804" s="158">
        <v>6.2</v>
      </c>
    </row>
    <row r="9805" spans="1:2" x14ac:dyDescent="0.25">
      <c r="A9805" s="157">
        <v>36363</v>
      </c>
      <c r="B9805" s="158">
        <v>6.27</v>
      </c>
    </row>
    <row r="9806" spans="1:2" x14ac:dyDescent="0.25">
      <c r="A9806" s="157">
        <v>36364</v>
      </c>
      <c r="B9806" s="158">
        <v>6.32</v>
      </c>
    </row>
    <row r="9807" spans="1:2" x14ac:dyDescent="0.25">
      <c r="A9807" s="157">
        <v>36367</v>
      </c>
      <c r="B9807" s="158">
        <v>6.34</v>
      </c>
    </row>
    <row r="9808" spans="1:2" x14ac:dyDescent="0.25">
      <c r="A9808" s="157">
        <v>36368</v>
      </c>
      <c r="B9808" s="158">
        <v>6.31</v>
      </c>
    </row>
    <row r="9809" spans="1:2" x14ac:dyDescent="0.25">
      <c r="A9809" s="157">
        <v>36369</v>
      </c>
      <c r="B9809" s="158">
        <v>6.3</v>
      </c>
    </row>
    <row r="9810" spans="1:2" x14ac:dyDescent="0.25">
      <c r="A9810" s="157">
        <v>36370</v>
      </c>
      <c r="B9810" s="158">
        <v>6.37</v>
      </c>
    </row>
    <row r="9811" spans="1:2" x14ac:dyDescent="0.25">
      <c r="A9811" s="157">
        <v>36371</v>
      </c>
      <c r="B9811" s="158">
        <v>6.4</v>
      </c>
    </row>
    <row r="9812" spans="1:2" x14ac:dyDescent="0.25">
      <c r="A9812" s="157">
        <v>36374</v>
      </c>
      <c r="B9812" s="158">
        <v>6.4</v>
      </c>
    </row>
    <row r="9813" spans="1:2" x14ac:dyDescent="0.25">
      <c r="A9813" s="157">
        <v>36375</v>
      </c>
      <c r="B9813" s="158">
        <v>6.42</v>
      </c>
    </row>
    <row r="9814" spans="1:2" x14ac:dyDescent="0.25">
      <c r="A9814" s="157">
        <v>36376</v>
      </c>
      <c r="B9814" s="158">
        <v>6.41</v>
      </c>
    </row>
    <row r="9815" spans="1:2" x14ac:dyDescent="0.25">
      <c r="A9815" s="157">
        <v>36377</v>
      </c>
      <c r="B9815" s="158">
        <v>6.38</v>
      </c>
    </row>
    <row r="9816" spans="1:2" x14ac:dyDescent="0.25">
      <c r="A9816" s="157">
        <v>36378</v>
      </c>
      <c r="B9816" s="158">
        <v>6.48</v>
      </c>
    </row>
    <row r="9817" spans="1:2" x14ac:dyDescent="0.25">
      <c r="A9817" s="157">
        <v>36381</v>
      </c>
      <c r="B9817" s="158">
        <v>6.54</v>
      </c>
    </row>
    <row r="9818" spans="1:2" x14ac:dyDescent="0.25">
      <c r="A9818" s="157">
        <v>36382</v>
      </c>
      <c r="B9818" s="158">
        <v>6.55</v>
      </c>
    </row>
    <row r="9819" spans="1:2" x14ac:dyDescent="0.25">
      <c r="A9819" s="157">
        <v>36383</v>
      </c>
      <c r="B9819" s="158">
        <v>6.52</v>
      </c>
    </row>
    <row r="9820" spans="1:2" x14ac:dyDescent="0.25">
      <c r="A9820" s="157">
        <v>36384</v>
      </c>
      <c r="B9820" s="158">
        <v>6.56</v>
      </c>
    </row>
    <row r="9821" spans="1:2" x14ac:dyDescent="0.25">
      <c r="A9821" s="157">
        <v>36385</v>
      </c>
      <c r="B9821" s="158">
        <v>6.45</v>
      </c>
    </row>
    <row r="9822" spans="1:2" x14ac:dyDescent="0.25">
      <c r="A9822" s="157">
        <v>36388</v>
      </c>
      <c r="B9822" s="158">
        <v>6.48</v>
      </c>
    </row>
    <row r="9823" spans="1:2" x14ac:dyDescent="0.25">
      <c r="A9823" s="157">
        <v>36389</v>
      </c>
      <c r="B9823" s="158">
        <v>6.41</v>
      </c>
    </row>
    <row r="9824" spans="1:2" x14ac:dyDescent="0.25">
      <c r="A9824" s="157">
        <v>36390</v>
      </c>
      <c r="B9824" s="158">
        <v>6.41</v>
      </c>
    </row>
    <row r="9825" spans="1:2" x14ac:dyDescent="0.25">
      <c r="A9825" s="157">
        <v>36391</v>
      </c>
      <c r="B9825" s="158">
        <v>6.43</v>
      </c>
    </row>
    <row r="9826" spans="1:2" x14ac:dyDescent="0.25">
      <c r="A9826" s="157">
        <v>36392</v>
      </c>
      <c r="B9826" s="158">
        <v>6.41</v>
      </c>
    </row>
    <row r="9827" spans="1:2" x14ac:dyDescent="0.25">
      <c r="A9827" s="157">
        <v>36395</v>
      </c>
      <c r="B9827" s="158">
        <v>6.41</v>
      </c>
    </row>
    <row r="9828" spans="1:2" x14ac:dyDescent="0.25">
      <c r="A9828" s="157">
        <v>36396</v>
      </c>
      <c r="B9828" s="158">
        <v>6.38</v>
      </c>
    </row>
    <row r="9829" spans="1:2" x14ac:dyDescent="0.25">
      <c r="A9829" s="157">
        <v>36397</v>
      </c>
      <c r="B9829" s="158">
        <v>6.28</v>
      </c>
    </row>
    <row r="9830" spans="1:2" x14ac:dyDescent="0.25">
      <c r="A9830" s="157">
        <v>36398</v>
      </c>
      <c r="B9830" s="158">
        <v>6.29</v>
      </c>
    </row>
    <row r="9831" spans="1:2" x14ac:dyDescent="0.25">
      <c r="A9831" s="157">
        <v>36399</v>
      </c>
      <c r="B9831" s="158">
        <v>6.38</v>
      </c>
    </row>
    <row r="9832" spans="1:2" x14ac:dyDescent="0.25">
      <c r="A9832" s="157">
        <v>36402</v>
      </c>
      <c r="B9832" s="158">
        <v>6.48</v>
      </c>
    </row>
    <row r="9833" spans="1:2" x14ac:dyDescent="0.25">
      <c r="A9833" s="157">
        <v>36403</v>
      </c>
      <c r="B9833" s="158">
        <v>6.49</v>
      </c>
    </row>
    <row r="9834" spans="1:2" x14ac:dyDescent="0.25">
      <c r="A9834" s="157">
        <v>36404</v>
      </c>
      <c r="B9834" s="158">
        <v>6.5</v>
      </c>
    </row>
    <row r="9835" spans="1:2" x14ac:dyDescent="0.25">
      <c r="A9835" s="157">
        <v>36405</v>
      </c>
      <c r="B9835" s="158">
        <v>6.58</v>
      </c>
    </row>
    <row r="9836" spans="1:2" x14ac:dyDescent="0.25">
      <c r="A9836" s="157">
        <v>36406</v>
      </c>
      <c r="B9836" s="158">
        <v>6.45</v>
      </c>
    </row>
    <row r="9837" spans="1:2" x14ac:dyDescent="0.25">
      <c r="A9837" s="157">
        <v>36409</v>
      </c>
      <c r="B9837" s="158" t="e">
        <f>NA()</f>
        <v>#N/A</v>
      </c>
    </row>
    <row r="9838" spans="1:2" x14ac:dyDescent="0.25">
      <c r="A9838" s="157">
        <v>36410</v>
      </c>
      <c r="B9838" s="158">
        <v>6.52</v>
      </c>
    </row>
    <row r="9839" spans="1:2" x14ac:dyDescent="0.25">
      <c r="A9839" s="157">
        <v>36411</v>
      </c>
      <c r="B9839" s="158">
        <v>6.5</v>
      </c>
    </row>
    <row r="9840" spans="1:2" x14ac:dyDescent="0.25">
      <c r="A9840" s="157">
        <v>36412</v>
      </c>
      <c r="B9840" s="158">
        <v>6.54</v>
      </c>
    </row>
    <row r="9841" spans="1:2" x14ac:dyDescent="0.25">
      <c r="A9841" s="157">
        <v>36413</v>
      </c>
      <c r="B9841" s="158">
        <v>6.48</v>
      </c>
    </row>
    <row r="9842" spans="1:2" x14ac:dyDescent="0.25">
      <c r="A9842" s="157">
        <v>36416</v>
      </c>
      <c r="B9842" s="158">
        <v>6.51</v>
      </c>
    </row>
    <row r="9843" spans="1:2" x14ac:dyDescent="0.25">
      <c r="A9843" s="157">
        <v>36417</v>
      </c>
      <c r="B9843" s="158">
        <v>6.57</v>
      </c>
    </row>
    <row r="9844" spans="1:2" x14ac:dyDescent="0.25">
      <c r="A9844" s="157">
        <v>36418</v>
      </c>
      <c r="B9844" s="158">
        <v>6.56</v>
      </c>
    </row>
    <row r="9845" spans="1:2" x14ac:dyDescent="0.25">
      <c r="A9845" s="157">
        <v>36419</v>
      </c>
      <c r="B9845" s="158">
        <v>6.51</v>
      </c>
    </row>
    <row r="9846" spans="1:2" x14ac:dyDescent="0.25">
      <c r="A9846" s="157">
        <v>36420</v>
      </c>
      <c r="B9846" s="158">
        <v>6.47</v>
      </c>
    </row>
    <row r="9847" spans="1:2" x14ac:dyDescent="0.25">
      <c r="A9847" s="157">
        <v>36423</v>
      </c>
      <c r="B9847" s="158">
        <v>6.5</v>
      </c>
    </row>
    <row r="9848" spans="1:2" x14ac:dyDescent="0.25">
      <c r="A9848" s="157">
        <v>36424</v>
      </c>
      <c r="B9848" s="158">
        <v>6.52</v>
      </c>
    </row>
    <row r="9849" spans="1:2" x14ac:dyDescent="0.25">
      <c r="A9849" s="157">
        <v>36425</v>
      </c>
      <c r="B9849" s="158">
        <v>6.5</v>
      </c>
    </row>
    <row r="9850" spans="1:2" x14ac:dyDescent="0.25">
      <c r="A9850" s="157">
        <v>36426</v>
      </c>
      <c r="B9850" s="158">
        <v>6.44</v>
      </c>
    </row>
    <row r="9851" spans="1:2" x14ac:dyDescent="0.25">
      <c r="A9851" s="157">
        <v>36427</v>
      </c>
      <c r="B9851" s="158">
        <v>6.36</v>
      </c>
    </row>
    <row r="9852" spans="1:2" x14ac:dyDescent="0.25">
      <c r="A9852" s="157">
        <v>36430</v>
      </c>
      <c r="B9852" s="158">
        <v>6.42</v>
      </c>
    </row>
    <row r="9853" spans="1:2" x14ac:dyDescent="0.25">
      <c r="A9853" s="157">
        <v>36431</v>
      </c>
      <c r="B9853" s="158">
        <v>6.47</v>
      </c>
    </row>
    <row r="9854" spans="1:2" x14ac:dyDescent="0.25">
      <c r="A9854" s="157">
        <v>36432</v>
      </c>
      <c r="B9854" s="158">
        <v>6.55</v>
      </c>
    </row>
    <row r="9855" spans="1:2" x14ac:dyDescent="0.25">
      <c r="A9855" s="157">
        <v>36433</v>
      </c>
      <c r="B9855" s="158">
        <v>6.47</v>
      </c>
    </row>
    <row r="9856" spans="1:2" x14ac:dyDescent="0.25">
      <c r="A9856" s="157">
        <v>36434</v>
      </c>
      <c r="B9856" s="158">
        <v>6.57</v>
      </c>
    </row>
    <row r="9857" spans="1:2" x14ac:dyDescent="0.25">
      <c r="A9857" s="157">
        <v>36437</v>
      </c>
      <c r="B9857" s="158">
        <v>6.51</v>
      </c>
    </row>
    <row r="9858" spans="1:2" x14ac:dyDescent="0.25">
      <c r="A9858" s="157">
        <v>36438</v>
      </c>
      <c r="B9858" s="158">
        <v>6.59</v>
      </c>
    </row>
    <row r="9859" spans="1:2" x14ac:dyDescent="0.25">
      <c r="A9859" s="157">
        <v>36439</v>
      </c>
      <c r="B9859" s="158">
        <v>6.6</v>
      </c>
    </row>
    <row r="9860" spans="1:2" x14ac:dyDescent="0.25">
      <c r="A9860" s="157">
        <v>36440</v>
      </c>
      <c r="B9860" s="158">
        <v>6.6</v>
      </c>
    </row>
    <row r="9861" spans="1:2" x14ac:dyDescent="0.25">
      <c r="A9861" s="157">
        <v>36441</v>
      </c>
      <c r="B9861" s="158">
        <v>6.61</v>
      </c>
    </row>
    <row r="9862" spans="1:2" x14ac:dyDescent="0.25">
      <c r="A9862" s="157">
        <v>36444</v>
      </c>
      <c r="B9862" s="158" t="e">
        <f>NA()</f>
        <v>#N/A</v>
      </c>
    </row>
    <row r="9863" spans="1:2" x14ac:dyDescent="0.25">
      <c r="A9863" s="157">
        <v>36445</v>
      </c>
      <c r="B9863" s="158">
        <v>6.63</v>
      </c>
    </row>
    <row r="9864" spans="1:2" x14ac:dyDescent="0.25">
      <c r="A9864" s="157">
        <v>36446</v>
      </c>
      <c r="B9864" s="158">
        <v>6.69</v>
      </c>
    </row>
    <row r="9865" spans="1:2" x14ac:dyDescent="0.25">
      <c r="A9865" s="157">
        <v>36447</v>
      </c>
      <c r="B9865" s="158">
        <v>6.73</v>
      </c>
    </row>
    <row r="9866" spans="1:2" x14ac:dyDescent="0.25">
      <c r="A9866" s="157">
        <v>36448</v>
      </c>
      <c r="B9866" s="158">
        <v>6.66</v>
      </c>
    </row>
    <row r="9867" spans="1:2" x14ac:dyDescent="0.25">
      <c r="A9867" s="157">
        <v>36451</v>
      </c>
      <c r="B9867" s="158">
        <v>6.69</v>
      </c>
    </row>
    <row r="9868" spans="1:2" x14ac:dyDescent="0.25">
      <c r="A9868" s="157">
        <v>36452</v>
      </c>
      <c r="B9868" s="158">
        <v>6.74</v>
      </c>
    </row>
    <row r="9869" spans="1:2" x14ac:dyDescent="0.25">
      <c r="A9869" s="157">
        <v>36453</v>
      </c>
      <c r="B9869" s="158">
        <v>6.74</v>
      </c>
    </row>
    <row r="9870" spans="1:2" x14ac:dyDescent="0.25">
      <c r="A9870" s="157">
        <v>36454</v>
      </c>
      <c r="B9870" s="158">
        <v>6.76</v>
      </c>
    </row>
    <row r="9871" spans="1:2" x14ac:dyDescent="0.25">
      <c r="A9871" s="157">
        <v>36455</v>
      </c>
      <c r="B9871" s="158">
        <v>6.76</v>
      </c>
    </row>
    <row r="9872" spans="1:2" x14ac:dyDescent="0.25">
      <c r="A9872" s="157">
        <v>36458</v>
      </c>
      <c r="B9872" s="158">
        <v>6.75</v>
      </c>
    </row>
    <row r="9873" spans="1:2" x14ac:dyDescent="0.25">
      <c r="A9873" s="157">
        <v>36459</v>
      </c>
      <c r="B9873" s="158">
        <v>6.77</v>
      </c>
    </row>
    <row r="9874" spans="1:2" x14ac:dyDescent="0.25">
      <c r="A9874" s="157">
        <v>36460</v>
      </c>
      <c r="B9874" s="158">
        <v>6.71</v>
      </c>
    </row>
    <row r="9875" spans="1:2" x14ac:dyDescent="0.25">
      <c r="A9875" s="157">
        <v>36461</v>
      </c>
      <c r="B9875" s="158">
        <v>6.63</v>
      </c>
    </row>
    <row r="9876" spans="1:2" x14ac:dyDescent="0.25">
      <c r="A9876" s="157">
        <v>36462</v>
      </c>
      <c r="B9876" s="158">
        <v>6.52</v>
      </c>
    </row>
    <row r="9877" spans="1:2" x14ac:dyDescent="0.25">
      <c r="A9877" s="157">
        <v>36465</v>
      </c>
      <c r="B9877" s="158">
        <v>6.55</v>
      </c>
    </row>
    <row r="9878" spans="1:2" x14ac:dyDescent="0.25">
      <c r="A9878" s="157">
        <v>36466</v>
      </c>
      <c r="B9878" s="158">
        <v>6.51</v>
      </c>
    </row>
    <row r="9879" spans="1:2" x14ac:dyDescent="0.25">
      <c r="A9879" s="157">
        <v>36467</v>
      </c>
      <c r="B9879" s="158">
        <v>6.49</v>
      </c>
    </row>
    <row r="9880" spans="1:2" x14ac:dyDescent="0.25">
      <c r="A9880" s="157">
        <v>36468</v>
      </c>
      <c r="B9880" s="158">
        <v>6.45</v>
      </c>
    </row>
    <row r="9881" spans="1:2" x14ac:dyDescent="0.25">
      <c r="A9881" s="157">
        <v>36469</v>
      </c>
      <c r="B9881" s="158">
        <v>6.41</v>
      </c>
    </row>
    <row r="9882" spans="1:2" x14ac:dyDescent="0.25">
      <c r="A9882" s="157">
        <v>36472</v>
      </c>
      <c r="B9882" s="158">
        <v>6.42</v>
      </c>
    </row>
    <row r="9883" spans="1:2" x14ac:dyDescent="0.25">
      <c r="A9883" s="157">
        <v>36473</v>
      </c>
      <c r="B9883" s="158">
        <v>6.43</v>
      </c>
    </row>
    <row r="9884" spans="1:2" x14ac:dyDescent="0.25">
      <c r="A9884" s="157">
        <v>36474</v>
      </c>
      <c r="B9884" s="158">
        <v>6.45</v>
      </c>
    </row>
    <row r="9885" spans="1:2" x14ac:dyDescent="0.25">
      <c r="A9885" s="157">
        <v>36475</v>
      </c>
      <c r="B9885" s="158" t="e">
        <f>NA()</f>
        <v>#N/A</v>
      </c>
    </row>
    <row r="9886" spans="1:2" x14ac:dyDescent="0.25">
      <c r="A9886" s="157">
        <v>36476</v>
      </c>
      <c r="B9886" s="158">
        <v>6.37</v>
      </c>
    </row>
    <row r="9887" spans="1:2" x14ac:dyDescent="0.25">
      <c r="A9887" s="157">
        <v>36479</v>
      </c>
      <c r="B9887" s="158">
        <v>6.37</v>
      </c>
    </row>
    <row r="9888" spans="1:2" x14ac:dyDescent="0.25">
      <c r="A9888" s="157">
        <v>36480</v>
      </c>
      <c r="B9888" s="158">
        <v>6.4</v>
      </c>
    </row>
    <row r="9889" spans="1:2" x14ac:dyDescent="0.25">
      <c r="A9889" s="157">
        <v>36481</v>
      </c>
      <c r="B9889" s="158">
        <v>6.46</v>
      </c>
    </row>
    <row r="9890" spans="1:2" x14ac:dyDescent="0.25">
      <c r="A9890" s="157">
        <v>36482</v>
      </c>
      <c r="B9890" s="158">
        <v>6.49</v>
      </c>
    </row>
    <row r="9891" spans="1:2" x14ac:dyDescent="0.25">
      <c r="A9891" s="157">
        <v>36483</v>
      </c>
      <c r="B9891" s="158">
        <v>6.48</v>
      </c>
    </row>
    <row r="9892" spans="1:2" x14ac:dyDescent="0.25">
      <c r="A9892" s="157">
        <v>36486</v>
      </c>
      <c r="B9892" s="158">
        <v>6.51</v>
      </c>
    </row>
    <row r="9893" spans="1:2" x14ac:dyDescent="0.25">
      <c r="A9893" s="157">
        <v>36487</v>
      </c>
      <c r="B9893" s="158">
        <v>6.51</v>
      </c>
    </row>
    <row r="9894" spans="1:2" x14ac:dyDescent="0.25">
      <c r="A9894" s="157">
        <v>36488</v>
      </c>
      <c r="B9894" s="158">
        <v>6.53</v>
      </c>
    </row>
    <row r="9895" spans="1:2" x14ac:dyDescent="0.25">
      <c r="A9895" s="157">
        <v>36489</v>
      </c>
      <c r="B9895" s="158" t="e">
        <f>NA()</f>
        <v>#N/A</v>
      </c>
    </row>
    <row r="9896" spans="1:2" x14ac:dyDescent="0.25">
      <c r="A9896" s="157">
        <v>36490</v>
      </c>
      <c r="B9896" s="158">
        <v>6.57</v>
      </c>
    </row>
    <row r="9897" spans="1:2" x14ac:dyDescent="0.25">
      <c r="A9897" s="157">
        <v>36493</v>
      </c>
      <c r="B9897" s="158">
        <v>6.66</v>
      </c>
    </row>
    <row r="9898" spans="1:2" x14ac:dyDescent="0.25">
      <c r="A9898" s="157">
        <v>36494</v>
      </c>
      <c r="B9898" s="158">
        <v>6.62</v>
      </c>
    </row>
    <row r="9899" spans="1:2" x14ac:dyDescent="0.25">
      <c r="A9899" s="157">
        <v>36495</v>
      </c>
      <c r="B9899" s="158">
        <v>6.65</v>
      </c>
    </row>
    <row r="9900" spans="1:2" x14ac:dyDescent="0.25">
      <c r="A9900" s="157">
        <v>36496</v>
      </c>
      <c r="B9900" s="158">
        <v>6.67</v>
      </c>
    </row>
    <row r="9901" spans="1:2" x14ac:dyDescent="0.25">
      <c r="A9901" s="157">
        <v>36497</v>
      </c>
      <c r="B9901" s="158">
        <v>6.6</v>
      </c>
    </row>
    <row r="9902" spans="1:2" x14ac:dyDescent="0.25">
      <c r="A9902" s="157">
        <v>36500</v>
      </c>
      <c r="B9902" s="158">
        <v>6.58</v>
      </c>
    </row>
    <row r="9903" spans="1:2" x14ac:dyDescent="0.25">
      <c r="A9903" s="157">
        <v>36501</v>
      </c>
      <c r="B9903" s="158">
        <v>6.54</v>
      </c>
    </row>
    <row r="9904" spans="1:2" x14ac:dyDescent="0.25">
      <c r="A9904" s="157">
        <v>36502</v>
      </c>
      <c r="B9904" s="158">
        <v>6.57</v>
      </c>
    </row>
    <row r="9905" spans="1:2" x14ac:dyDescent="0.25">
      <c r="A9905" s="157">
        <v>36503</v>
      </c>
      <c r="B9905" s="158">
        <v>6.55</v>
      </c>
    </row>
    <row r="9906" spans="1:2" x14ac:dyDescent="0.25">
      <c r="A9906" s="157">
        <v>36504</v>
      </c>
      <c r="B9906" s="158">
        <v>6.48</v>
      </c>
    </row>
    <row r="9907" spans="1:2" x14ac:dyDescent="0.25">
      <c r="A9907" s="157">
        <v>36507</v>
      </c>
      <c r="B9907" s="158">
        <v>6.52</v>
      </c>
    </row>
    <row r="9908" spans="1:2" x14ac:dyDescent="0.25">
      <c r="A9908" s="157">
        <v>36508</v>
      </c>
      <c r="B9908" s="158">
        <v>6.64</v>
      </c>
    </row>
    <row r="9909" spans="1:2" x14ac:dyDescent="0.25">
      <c r="A9909" s="157">
        <v>36509</v>
      </c>
      <c r="B9909" s="158">
        <v>6.68</v>
      </c>
    </row>
    <row r="9910" spans="1:2" x14ac:dyDescent="0.25">
      <c r="A9910" s="157">
        <v>36510</v>
      </c>
      <c r="B9910" s="158">
        <v>6.75</v>
      </c>
    </row>
    <row r="9911" spans="1:2" x14ac:dyDescent="0.25">
      <c r="A9911" s="157">
        <v>36511</v>
      </c>
      <c r="B9911" s="158">
        <v>6.74</v>
      </c>
    </row>
    <row r="9912" spans="1:2" x14ac:dyDescent="0.25">
      <c r="A9912" s="157">
        <v>36514</v>
      </c>
      <c r="B9912" s="158">
        <v>6.81</v>
      </c>
    </row>
    <row r="9913" spans="1:2" x14ac:dyDescent="0.25">
      <c r="A9913" s="157">
        <v>36515</v>
      </c>
      <c r="B9913" s="158">
        <v>6.83</v>
      </c>
    </row>
    <row r="9914" spans="1:2" x14ac:dyDescent="0.25">
      <c r="A9914" s="157">
        <v>36516</v>
      </c>
      <c r="B9914" s="158">
        <v>6.82</v>
      </c>
    </row>
    <row r="9915" spans="1:2" x14ac:dyDescent="0.25">
      <c r="A9915" s="157">
        <v>36517</v>
      </c>
      <c r="B9915" s="158">
        <v>6.83</v>
      </c>
    </row>
    <row r="9916" spans="1:2" x14ac:dyDescent="0.25">
      <c r="A9916" s="157">
        <v>36518</v>
      </c>
      <c r="B9916" s="158" t="e">
        <f>NA()</f>
        <v>#N/A</v>
      </c>
    </row>
    <row r="9917" spans="1:2" x14ac:dyDescent="0.25">
      <c r="A9917" s="157">
        <v>36521</v>
      </c>
      <c r="B9917" s="158">
        <v>6.8</v>
      </c>
    </row>
    <row r="9918" spans="1:2" x14ac:dyDescent="0.25">
      <c r="A9918" s="157">
        <v>36522</v>
      </c>
      <c r="B9918" s="158">
        <v>6.82</v>
      </c>
    </row>
    <row r="9919" spans="1:2" x14ac:dyDescent="0.25">
      <c r="A9919" s="157">
        <v>36523</v>
      </c>
      <c r="B9919" s="158">
        <v>6.79</v>
      </c>
    </row>
    <row r="9920" spans="1:2" x14ac:dyDescent="0.25">
      <c r="A9920" s="157">
        <v>36524</v>
      </c>
      <c r="B9920" s="158">
        <v>6.78</v>
      </c>
    </row>
    <row r="9921" spans="1:2" x14ac:dyDescent="0.25">
      <c r="A9921" s="157">
        <v>36525</v>
      </c>
      <c r="B9921" s="158">
        <v>6.83</v>
      </c>
    </row>
    <row r="9922" spans="1:2" x14ac:dyDescent="0.25">
      <c r="A9922" s="157">
        <v>36528</v>
      </c>
      <c r="B9922" s="158">
        <v>6.94</v>
      </c>
    </row>
    <row r="9923" spans="1:2" x14ac:dyDescent="0.25">
      <c r="A9923" s="157">
        <v>36529</v>
      </c>
      <c r="B9923" s="158">
        <v>6.84</v>
      </c>
    </row>
    <row r="9924" spans="1:2" x14ac:dyDescent="0.25">
      <c r="A9924" s="157">
        <v>36530</v>
      </c>
      <c r="B9924" s="158">
        <v>6.95</v>
      </c>
    </row>
    <row r="9925" spans="1:2" x14ac:dyDescent="0.25">
      <c r="A9925" s="157">
        <v>36531</v>
      </c>
      <c r="B9925" s="158">
        <v>6.86</v>
      </c>
    </row>
    <row r="9926" spans="1:2" x14ac:dyDescent="0.25">
      <c r="A9926" s="157">
        <v>36532</v>
      </c>
      <c r="B9926" s="158">
        <v>6.82</v>
      </c>
    </row>
    <row r="9927" spans="1:2" x14ac:dyDescent="0.25">
      <c r="A9927" s="157">
        <v>36535</v>
      </c>
      <c r="B9927" s="158">
        <v>6.86</v>
      </c>
    </row>
    <row r="9928" spans="1:2" x14ac:dyDescent="0.25">
      <c r="A9928" s="157">
        <v>36536</v>
      </c>
      <c r="B9928" s="158">
        <v>6.94</v>
      </c>
    </row>
    <row r="9929" spans="1:2" x14ac:dyDescent="0.25">
      <c r="A9929" s="157">
        <v>36537</v>
      </c>
      <c r="B9929" s="158">
        <v>6.97</v>
      </c>
    </row>
    <row r="9930" spans="1:2" x14ac:dyDescent="0.25">
      <c r="A9930" s="157">
        <v>36538</v>
      </c>
      <c r="B9930" s="158">
        <v>6.88</v>
      </c>
    </row>
    <row r="9931" spans="1:2" x14ac:dyDescent="0.25">
      <c r="A9931" s="157">
        <v>36539</v>
      </c>
      <c r="B9931" s="158">
        <v>6.91</v>
      </c>
    </row>
    <row r="9932" spans="1:2" x14ac:dyDescent="0.25">
      <c r="A9932" s="157">
        <v>36542</v>
      </c>
      <c r="B9932" s="158" t="e">
        <f>NA()</f>
        <v>#N/A</v>
      </c>
    </row>
    <row r="9933" spans="1:2" x14ac:dyDescent="0.25">
      <c r="A9933" s="157">
        <v>36543</v>
      </c>
      <c r="B9933" s="158">
        <v>6.94</v>
      </c>
    </row>
    <row r="9934" spans="1:2" x14ac:dyDescent="0.25">
      <c r="A9934" s="157">
        <v>36544</v>
      </c>
      <c r="B9934" s="158">
        <v>6.91</v>
      </c>
    </row>
    <row r="9935" spans="1:2" x14ac:dyDescent="0.25">
      <c r="A9935" s="157">
        <v>36545</v>
      </c>
      <c r="B9935" s="158">
        <v>6.93</v>
      </c>
    </row>
    <row r="9936" spans="1:2" x14ac:dyDescent="0.25">
      <c r="A9936" s="157">
        <v>36546</v>
      </c>
      <c r="B9936" s="158">
        <v>6.91</v>
      </c>
    </row>
    <row r="9937" spans="1:2" x14ac:dyDescent="0.25">
      <c r="A9937" s="157">
        <v>36549</v>
      </c>
      <c r="B9937" s="158">
        <v>6.86</v>
      </c>
    </row>
    <row r="9938" spans="1:2" x14ac:dyDescent="0.25">
      <c r="A9938" s="157">
        <v>36550</v>
      </c>
      <c r="B9938" s="158">
        <v>6.84</v>
      </c>
    </row>
    <row r="9939" spans="1:2" x14ac:dyDescent="0.25">
      <c r="A9939" s="157">
        <v>36551</v>
      </c>
      <c r="B9939" s="158">
        <v>6.79</v>
      </c>
    </row>
    <row r="9940" spans="1:2" x14ac:dyDescent="0.25">
      <c r="A9940" s="157">
        <v>36552</v>
      </c>
      <c r="B9940" s="158">
        <v>6.73</v>
      </c>
    </row>
    <row r="9941" spans="1:2" x14ac:dyDescent="0.25">
      <c r="A9941" s="157">
        <v>36553</v>
      </c>
      <c r="B9941" s="158">
        <v>6.65</v>
      </c>
    </row>
    <row r="9942" spans="1:2" x14ac:dyDescent="0.25">
      <c r="A9942" s="157">
        <v>36556</v>
      </c>
      <c r="B9942" s="158">
        <v>6.72</v>
      </c>
    </row>
    <row r="9943" spans="1:2" x14ac:dyDescent="0.25">
      <c r="A9943" s="157">
        <v>36557</v>
      </c>
      <c r="B9943" s="158">
        <v>6.66</v>
      </c>
    </row>
    <row r="9944" spans="1:2" x14ac:dyDescent="0.25">
      <c r="A9944" s="157">
        <v>36558</v>
      </c>
      <c r="B9944" s="158">
        <v>6.61</v>
      </c>
    </row>
    <row r="9945" spans="1:2" x14ac:dyDescent="0.25">
      <c r="A9945" s="157">
        <v>36559</v>
      </c>
      <c r="B9945" s="158">
        <v>6.52</v>
      </c>
    </row>
    <row r="9946" spans="1:2" x14ac:dyDescent="0.25">
      <c r="A9946" s="157">
        <v>36560</v>
      </c>
      <c r="B9946" s="158">
        <v>6.54</v>
      </c>
    </row>
    <row r="9947" spans="1:2" x14ac:dyDescent="0.25">
      <c r="A9947" s="157">
        <v>36563</v>
      </c>
      <c r="B9947" s="158">
        <v>6.62</v>
      </c>
    </row>
    <row r="9948" spans="1:2" x14ac:dyDescent="0.25">
      <c r="A9948" s="157">
        <v>36564</v>
      </c>
      <c r="B9948" s="158">
        <v>6.51</v>
      </c>
    </row>
    <row r="9949" spans="1:2" x14ac:dyDescent="0.25">
      <c r="A9949" s="157">
        <v>36565</v>
      </c>
      <c r="B9949" s="158">
        <v>6.6</v>
      </c>
    </row>
    <row r="9950" spans="1:2" x14ac:dyDescent="0.25">
      <c r="A9950" s="157">
        <v>36566</v>
      </c>
      <c r="B9950" s="158">
        <v>6.67</v>
      </c>
    </row>
    <row r="9951" spans="1:2" x14ac:dyDescent="0.25">
      <c r="A9951" s="157">
        <v>36567</v>
      </c>
      <c r="B9951" s="158">
        <v>6.62</v>
      </c>
    </row>
    <row r="9952" spans="1:2" x14ac:dyDescent="0.25">
      <c r="A9952" s="157">
        <v>36570</v>
      </c>
      <c r="B9952" s="158">
        <v>6.55</v>
      </c>
    </row>
    <row r="9953" spans="1:2" x14ac:dyDescent="0.25">
      <c r="A9953" s="157">
        <v>36571</v>
      </c>
      <c r="B9953" s="158">
        <v>6.59</v>
      </c>
    </row>
    <row r="9954" spans="1:2" x14ac:dyDescent="0.25">
      <c r="A9954" s="157">
        <v>36572</v>
      </c>
      <c r="B9954" s="158">
        <v>6.6</v>
      </c>
    </row>
    <row r="9955" spans="1:2" x14ac:dyDescent="0.25">
      <c r="A9955" s="157">
        <v>36573</v>
      </c>
      <c r="B9955" s="158">
        <v>6.55</v>
      </c>
    </row>
    <row r="9956" spans="1:2" x14ac:dyDescent="0.25">
      <c r="A9956" s="157">
        <v>36574</v>
      </c>
      <c r="B9956" s="158">
        <v>6.47</v>
      </c>
    </row>
    <row r="9957" spans="1:2" x14ac:dyDescent="0.25">
      <c r="A9957" s="157">
        <v>36577</v>
      </c>
      <c r="B9957" s="158" t="e">
        <f>NA()</f>
        <v>#N/A</v>
      </c>
    </row>
    <row r="9958" spans="1:2" x14ac:dyDescent="0.25">
      <c r="A9958" s="157">
        <v>36578</v>
      </c>
      <c r="B9958" s="158">
        <v>6.39</v>
      </c>
    </row>
    <row r="9959" spans="1:2" x14ac:dyDescent="0.25">
      <c r="A9959" s="157">
        <v>36579</v>
      </c>
      <c r="B9959" s="158">
        <v>6.45</v>
      </c>
    </row>
    <row r="9960" spans="1:2" x14ac:dyDescent="0.25">
      <c r="A9960" s="157">
        <v>36580</v>
      </c>
      <c r="B9960" s="158">
        <v>6.43</v>
      </c>
    </row>
    <row r="9961" spans="1:2" x14ac:dyDescent="0.25">
      <c r="A9961" s="157">
        <v>36581</v>
      </c>
      <c r="B9961" s="158">
        <v>6.47</v>
      </c>
    </row>
    <row r="9962" spans="1:2" x14ac:dyDescent="0.25">
      <c r="A9962" s="157">
        <v>36584</v>
      </c>
      <c r="B9962" s="158">
        <v>6.47</v>
      </c>
    </row>
    <row r="9963" spans="1:2" x14ac:dyDescent="0.25">
      <c r="A9963" s="157">
        <v>36585</v>
      </c>
      <c r="B9963" s="158">
        <v>6.46</v>
      </c>
    </row>
    <row r="9964" spans="1:2" x14ac:dyDescent="0.25">
      <c r="A9964" s="157">
        <v>36586</v>
      </c>
      <c r="B9964" s="158">
        <v>6.48</v>
      </c>
    </row>
    <row r="9965" spans="1:2" x14ac:dyDescent="0.25">
      <c r="A9965" s="157">
        <v>36587</v>
      </c>
      <c r="B9965" s="158">
        <v>6.45</v>
      </c>
    </row>
    <row r="9966" spans="1:2" x14ac:dyDescent="0.25">
      <c r="A9966" s="157">
        <v>36588</v>
      </c>
      <c r="B9966" s="158">
        <v>6.41</v>
      </c>
    </row>
    <row r="9967" spans="1:2" x14ac:dyDescent="0.25">
      <c r="A9967" s="157">
        <v>36591</v>
      </c>
      <c r="B9967" s="158">
        <v>6.46</v>
      </c>
    </row>
    <row r="9968" spans="1:2" x14ac:dyDescent="0.25">
      <c r="A9968" s="157">
        <v>36592</v>
      </c>
      <c r="B9968" s="158">
        <v>6.46</v>
      </c>
    </row>
    <row r="9969" spans="1:2" x14ac:dyDescent="0.25">
      <c r="A9969" s="157">
        <v>36593</v>
      </c>
      <c r="B9969" s="158">
        <v>6.48</v>
      </c>
    </row>
    <row r="9970" spans="1:2" x14ac:dyDescent="0.25">
      <c r="A9970" s="157">
        <v>36594</v>
      </c>
      <c r="B9970" s="158">
        <v>6.47</v>
      </c>
    </row>
    <row r="9971" spans="1:2" x14ac:dyDescent="0.25">
      <c r="A9971" s="157">
        <v>36595</v>
      </c>
      <c r="B9971" s="158">
        <v>6.52</v>
      </c>
    </row>
    <row r="9972" spans="1:2" x14ac:dyDescent="0.25">
      <c r="A9972" s="157">
        <v>36598</v>
      </c>
      <c r="B9972" s="158">
        <v>6.5</v>
      </c>
    </row>
    <row r="9973" spans="1:2" x14ac:dyDescent="0.25">
      <c r="A9973" s="157">
        <v>36599</v>
      </c>
      <c r="B9973" s="158">
        <v>6.43</v>
      </c>
    </row>
    <row r="9974" spans="1:2" x14ac:dyDescent="0.25">
      <c r="A9974" s="157">
        <v>36600</v>
      </c>
      <c r="B9974" s="158">
        <v>6.39</v>
      </c>
    </row>
    <row r="9975" spans="1:2" x14ac:dyDescent="0.25">
      <c r="A9975" s="157">
        <v>36601</v>
      </c>
      <c r="B9975" s="158">
        <v>6.37</v>
      </c>
    </row>
    <row r="9976" spans="1:2" x14ac:dyDescent="0.25">
      <c r="A9976" s="157">
        <v>36602</v>
      </c>
      <c r="B9976" s="158">
        <v>6.33</v>
      </c>
    </row>
    <row r="9977" spans="1:2" x14ac:dyDescent="0.25">
      <c r="A9977" s="157">
        <v>36605</v>
      </c>
      <c r="B9977" s="158">
        <v>6.31</v>
      </c>
    </row>
    <row r="9978" spans="1:2" x14ac:dyDescent="0.25">
      <c r="A9978" s="157">
        <v>36606</v>
      </c>
      <c r="B9978" s="158">
        <v>6.28</v>
      </c>
    </row>
    <row r="9979" spans="1:2" x14ac:dyDescent="0.25">
      <c r="A9979" s="157">
        <v>36607</v>
      </c>
      <c r="B9979" s="158">
        <v>6.3</v>
      </c>
    </row>
    <row r="9980" spans="1:2" x14ac:dyDescent="0.25">
      <c r="A9980" s="157">
        <v>36608</v>
      </c>
      <c r="B9980" s="158">
        <v>6.25</v>
      </c>
    </row>
    <row r="9981" spans="1:2" x14ac:dyDescent="0.25">
      <c r="A9981" s="157">
        <v>36609</v>
      </c>
      <c r="B9981" s="158">
        <v>6.36</v>
      </c>
    </row>
    <row r="9982" spans="1:2" x14ac:dyDescent="0.25">
      <c r="A9982" s="157">
        <v>36612</v>
      </c>
      <c r="B9982" s="158">
        <v>6.35</v>
      </c>
    </row>
    <row r="9983" spans="1:2" x14ac:dyDescent="0.25">
      <c r="A9983" s="157">
        <v>36613</v>
      </c>
      <c r="B9983" s="158">
        <v>6.34</v>
      </c>
    </row>
    <row r="9984" spans="1:2" x14ac:dyDescent="0.25">
      <c r="A9984" s="157">
        <v>36614</v>
      </c>
      <c r="B9984" s="158">
        <v>6.35</v>
      </c>
    </row>
    <row r="9985" spans="1:2" x14ac:dyDescent="0.25">
      <c r="A9985" s="157">
        <v>36615</v>
      </c>
      <c r="B9985" s="158">
        <v>6.26</v>
      </c>
    </row>
    <row r="9986" spans="1:2" x14ac:dyDescent="0.25">
      <c r="A9986" s="157">
        <v>36616</v>
      </c>
      <c r="B9986" s="158">
        <v>6.2</v>
      </c>
    </row>
    <row r="9987" spans="1:2" x14ac:dyDescent="0.25">
      <c r="A9987" s="157">
        <v>36619</v>
      </c>
      <c r="B9987" s="158">
        <v>6.19</v>
      </c>
    </row>
    <row r="9988" spans="1:2" x14ac:dyDescent="0.25">
      <c r="A9988" s="157">
        <v>36620</v>
      </c>
      <c r="B9988" s="158">
        <v>6.12</v>
      </c>
    </row>
    <row r="9989" spans="1:2" x14ac:dyDescent="0.25">
      <c r="A9989" s="157">
        <v>36621</v>
      </c>
      <c r="B9989" s="158">
        <v>6.14</v>
      </c>
    </row>
    <row r="9990" spans="1:2" x14ac:dyDescent="0.25">
      <c r="A9990" s="157">
        <v>36622</v>
      </c>
      <c r="B9990" s="158">
        <v>6.12</v>
      </c>
    </row>
    <row r="9991" spans="1:2" x14ac:dyDescent="0.25">
      <c r="A9991" s="157">
        <v>36623</v>
      </c>
      <c r="B9991" s="158">
        <v>6.04</v>
      </c>
    </row>
    <row r="9992" spans="1:2" x14ac:dyDescent="0.25">
      <c r="A9992" s="157">
        <v>36626</v>
      </c>
      <c r="B9992" s="158">
        <v>6.04</v>
      </c>
    </row>
    <row r="9993" spans="1:2" x14ac:dyDescent="0.25">
      <c r="A9993" s="157">
        <v>36627</v>
      </c>
      <c r="B9993" s="158">
        <v>6.13</v>
      </c>
    </row>
    <row r="9994" spans="1:2" x14ac:dyDescent="0.25">
      <c r="A9994" s="157">
        <v>36628</v>
      </c>
      <c r="B9994" s="158">
        <v>6.19</v>
      </c>
    </row>
    <row r="9995" spans="1:2" x14ac:dyDescent="0.25">
      <c r="A9995" s="157">
        <v>36629</v>
      </c>
      <c r="B9995" s="158">
        <v>6.16</v>
      </c>
    </row>
    <row r="9996" spans="1:2" x14ac:dyDescent="0.25">
      <c r="A9996" s="157">
        <v>36630</v>
      </c>
      <c r="B9996" s="158">
        <v>6.12</v>
      </c>
    </row>
    <row r="9997" spans="1:2" x14ac:dyDescent="0.25">
      <c r="A9997" s="157">
        <v>36633</v>
      </c>
      <c r="B9997" s="158">
        <v>6.26</v>
      </c>
    </row>
    <row r="9998" spans="1:2" x14ac:dyDescent="0.25">
      <c r="A9998" s="157">
        <v>36634</v>
      </c>
      <c r="B9998" s="158">
        <v>6.26</v>
      </c>
    </row>
    <row r="9999" spans="1:2" x14ac:dyDescent="0.25">
      <c r="A9999" s="157">
        <v>36635</v>
      </c>
      <c r="B9999" s="158">
        <v>6.18</v>
      </c>
    </row>
    <row r="10000" spans="1:2" x14ac:dyDescent="0.25">
      <c r="A10000" s="157">
        <v>36636</v>
      </c>
      <c r="B10000" s="158">
        <v>6.16</v>
      </c>
    </row>
    <row r="10001" spans="1:2" x14ac:dyDescent="0.25">
      <c r="A10001" s="157">
        <v>36637</v>
      </c>
      <c r="B10001" s="158" t="e">
        <f>NA()</f>
        <v>#N/A</v>
      </c>
    </row>
    <row r="10002" spans="1:2" x14ac:dyDescent="0.25">
      <c r="A10002" s="157">
        <v>36640</v>
      </c>
      <c r="B10002" s="158">
        <v>6.2</v>
      </c>
    </row>
    <row r="10003" spans="1:2" x14ac:dyDescent="0.25">
      <c r="A10003" s="157">
        <v>36641</v>
      </c>
      <c r="B10003" s="158">
        <v>6.27</v>
      </c>
    </row>
    <row r="10004" spans="1:2" x14ac:dyDescent="0.25">
      <c r="A10004" s="157">
        <v>36642</v>
      </c>
      <c r="B10004" s="158">
        <v>6.28</v>
      </c>
    </row>
    <row r="10005" spans="1:2" x14ac:dyDescent="0.25">
      <c r="A10005" s="157">
        <v>36643</v>
      </c>
      <c r="B10005" s="158">
        <v>6.34</v>
      </c>
    </row>
    <row r="10006" spans="1:2" x14ac:dyDescent="0.25">
      <c r="A10006" s="157">
        <v>36644</v>
      </c>
      <c r="B10006" s="158">
        <v>6.31</v>
      </c>
    </row>
    <row r="10007" spans="1:2" x14ac:dyDescent="0.25">
      <c r="A10007" s="157">
        <v>36647</v>
      </c>
      <c r="B10007" s="158">
        <v>6.33</v>
      </c>
    </row>
    <row r="10008" spans="1:2" x14ac:dyDescent="0.25">
      <c r="A10008" s="157">
        <v>36648</v>
      </c>
      <c r="B10008" s="158">
        <v>6.39</v>
      </c>
    </row>
    <row r="10009" spans="1:2" x14ac:dyDescent="0.25">
      <c r="A10009" s="157">
        <v>36649</v>
      </c>
      <c r="B10009" s="158">
        <v>6.49</v>
      </c>
    </row>
    <row r="10010" spans="1:2" x14ac:dyDescent="0.25">
      <c r="A10010" s="157">
        <v>36650</v>
      </c>
      <c r="B10010" s="158">
        <v>6.59</v>
      </c>
    </row>
    <row r="10011" spans="1:2" x14ac:dyDescent="0.25">
      <c r="A10011" s="157">
        <v>36651</v>
      </c>
      <c r="B10011" s="158">
        <v>6.61</v>
      </c>
    </row>
    <row r="10012" spans="1:2" x14ac:dyDescent="0.25">
      <c r="A10012" s="157">
        <v>36654</v>
      </c>
      <c r="B10012" s="158">
        <v>6.69</v>
      </c>
    </row>
    <row r="10013" spans="1:2" x14ac:dyDescent="0.25">
      <c r="A10013" s="157">
        <v>36655</v>
      </c>
      <c r="B10013" s="158">
        <v>6.64</v>
      </c>
    </row>
    <row r="10014" spans="1:2" x14ac:dyDescent="0.25">
      <c r="A10014" s="157">
        <v>36656</v>
      </c>
      <c r="B10014" s="158">
        <v>6.56</v>
      </c>
    </row>
    <row r="10015" spans="1:2" x14ac:dyDescent="0.25">
      <c r="A10015" s="157">
        <v>36657</v>
      </c>
      <c r="B10015" s="158">
        <v>6.54</v>
      </c>
    </row>
    <row r="10016" spans="1:2" x14ac:dyDescent="0.25">
      <c r="A10016" s="157">
        <v>36658</v>
      </c>
      <c r="B10016" s="158">
        <v>6.62</v>
      </c>
    </row>
    <row r="10017" spans="1:2" x14ac:dyDescent="0.25">
      <c r="A10017" s="157">
        <v>36661</v>
      </c>
      <c r="B10017" s="158">
        <v>6.56</v>
      </c>
    </row>
    <row r="10018" spans="1:2" x14ac:dyDescent="0.25">
      <c r="A10018" s="157">
        <v>36662</v>
      </c>
      <c r="B10018" s="158">
        <v>6.52</v>
      </c>
    </row>
    <row r="10019" spans="1:2" x14ac:dyDescent="0.25">
      <c r="A10019" s="157">
        <v>36663</v>
      </c>
      <c r="B10019" s="158">
        <v>6.58</v>
      </c>
    </row>
    <row r="10020" spans="1:2" x14ac:dyDescent="0.25">
      <c r="A10020" s="157">
        <v>36664</v>
      </c>
      <c r="B10020" s="158">
        <v>6.66</v>
      </c>
    </row>
    <row r="10021" spans="1:2" x14ac:dyDescent="0.25">
      <c r="A10021" s="157">
        <v>36665</v>
      </c>
      <c r="B10021" s="158">
        <v>6.64</v>
      </c>
    </row>
    <row r="10022" spans="1:2" x14ac:dyDescent="0.25">
      <c r="A10022" s="157">
        <v>36668</v>
      </c>
      <c r="B10022" s="158">
        <v>6.58</v>
      </c>
    </row>
    <row r="10023" spans="1:2" x14ac:dyDescent="0.25">
      <c r="A10023" s="157">
        <v>36669</v>
      </c>
      <c r="B10023" s="158">
        <v>6.58</v>
      </c>
    </row>
    <row r="10024" spans="1:2" x14ac:dyDescent="0.25">
      <c r="A10024" s="157">
        <v>36670</v>
      </c>
      <c r="B10024" s="158">
        <v>6.61</v>
      </c>
    </row>
    <row r="10025" spans="1:2" x14ac:dyDescent="0.25">
      <c r="A10025" s="157">
        <v>36671</v>
      </c>
      <c r="B10025" s="158">
        <v>6.5</v>
      </c>
    </row>
    <row r="10026" spans="1:2" x14ac:dyDescent="0.25">
      <c r="A10026" s="157">
        <v>36672</v>
      </c>
      <c r="B10026" s="158">
        <v>6.45</v>
      </c>
    </row>
    <row r="10027" spans="1:2" x14ac:dyDescent="0.25">
      <c r="A10027" s="157">
        <v>36675</v>
      </c>
      <c r="B10027" s="158" t="e">
        <f>NA()</f>
        <v>#N/A</v>
      </c>
    </row>
    <row r="10028" spans="1:2" x14ac:dyDescent="0.25">
      <c r="A10028" s="157">
        <v>36676</v>
      </c>
      <c r="B10028" s="158">
        <v>6.5</v>
      </c>
    </row>
    <row r="10029" spans="1:2" x14ac:dyDescent="0.25">
      <c r="A10029" s="157">
        <v>36677</v>
      </c>
      <c r="B10029" s="158">
        <v>6.42</v>
      </c>
    </row>
    <row r="10030" spans="1:2" x14ac:dyDescent="0.25">
      <c r="A10030" s="157">
        <v>36678</v>
      </c>
      <c r="B10030" s="158">
        <v>6.33</v>
      </c>
    </row>
    <row r="10031" spans="1:2" x14ac:dyDescent="0.25">
      <c r="A10031" s="157">
        <v>36679</v>
      </c>
      <c r="B10031" s="158">
        <v>6.31</v>
      </c>
    </row>
    <row r="10032" spans="1:2" x14ac:dyDescent="0.25">
      <c r="A10032" s="157">
        <v>36682</v>
      </c>
      <c r="B10032" s="158">
        <v>6.28</v>
      </c>
    </row>
    <row r="10033" spans="1:2" x14ac:dyDescent="0.25">
      <c r="A10033" s="157">
        <v>36683</v>
      </c>
      <c r="B10033" s="158">
        <v>6.28</v>
      </c>
    </row>
    <row r="10034" spans="1:2" x14ac:dyDescent="0.25">
      <c r="A10034" s="157">
        <v>36684</v>
      </c>
      <c r="B10034" s="158">
        <v>6.26</v>
      </c>
    </row>
    <row r="10035" spans="1:2" x14ac:dyDescent="0.25">
      <c r="A10035" s="157">
        <v>36685</v>
      </c>
      <c r="B10035" s="158">
        <v>6.25</v>
      </c>
    </row>
    <row r="10036" spans="1:2" x14ac:dyDescent="0.25">
      <c r="A10036" s="157">
        <v>36686</v>
      </c>
      <c r="B10036" s="158">
        <v>6.26</v>
      </c>
    </row>
    <row r="10037" spans="1:2" x14ac:dyDescent="0.25">
      <c r="A10037" s="157">
        <v>36689</v>
      </c>
      <c r="B10037" s="158">
        <v>6.23</v>
      </c>
    </row>
    <row r="10038" spans="1:2" x14ac:dyDescent="0.25">
      <c r="A10038" s="157">
        <v>36690</v>
      </c>
      <c r="B10038" s="158">
        <v>6.3</v>
      </c>
    </row>
    <row r="10039" spans="1:2" x14ac:dyDescent="0.25">
      <c r="A10039" s="157">
        <v>36691</v>
      </c>
      <c r="B10039" s="158">
        <v>6.25</v>
      </c>
    </row>
    <row r="10040" spans="1:2" x14ac:dyDescent="0.25">
      <c r="A10040" s="157">
        <v>36692</v>
      </c>
      <c r="B10040" s="158">
        <v>6.26</v>
      </c>
    </row>
    <row r="10041" spans="1:2" x14ac:dyDescent="0.25">
      <c r="A10041" s="157">
        <v>36693</v>
      </c>
      <c r="B10041" s="158">
        <v>6.21</v>
      </c>
    </row>
    <row r="10042" spans="1:2" x14ac:dyDescent="0.25">
      <c r="A10042" s="157">
        <v>36696</v>
      </c>
      <c r="B10042" s="158">
        <v>6.24</v>
      </c>
    </row>
    <row r="10043" spans="1:2" x14ac:dyDescent="0.25">
      <c r="A10043" s="157">
        <v>36697</v>
      </c>
      <c r="B10043" s="158">
        <v>6.25</v>
      </c>
    </row>
    <row r="10044" spans="1:2" x14ac:dyDescent="0.25">
      <c r="A10044" s="157">
        <v>36698</v>
      </c>
      <c r="B10044" s="158">
        <v>6.32</v>
      </c>
    </row>
    <row r="10045" spans="1:2" x14ac:dyDescent="0.25">
      <c r="A10045" s="157">
        <v>36699</v>
      </c>
      <c r="B10045" s="158">
        <v>6.33</v>
      </c>
    </row>
    <row r="10046" spans="1:2" x14ac:dyDescent="0.25">
      <c r="A10046" s="157">
        <v>36700</v>
      </c>
      <c r="B10046" s="158">
        <v>6.38</v>
      </c>
    </row>
    <row r="10047" spans="1:2" x14ac:dyDescent="0.25">
      <c r="A10047" s="157">
        <v>36703</v>
      </c>
      <c r="B10047" s="158">
        <v>6.34</v>
      </c>
    </row>
    <row r="10048" spans="1:2" x14ac:dyDescent="0.25">
      <c r="A10048" s="157">
        <v>36704</v>
      </c>
      <c r="B10048" s="158">
        <v>6.31</v>
      </c>
    </row>
    <row r="10049" spans="1:2" x14ac:dyDescent="0.25">
      <c r="A10049" s="157">
        <v>36705</v>
      </c>
      <c r="B10049" s="158">
        <v>6.33</v>
      </c>
    </row>
    <row r="10050" spans="1:2" x14ac:dyDescent="0.25">
      <c r="A10050" s="157">
        <v>36706</v>
      </c>
      <c r="B10050" s="158">
        <v>6.24</v>
      </c>
    </row>
    <row r="10051" spans="1:2" x14ac:dyDescent="0.25">
      <c r="A10051" s="157">
        <v>36707</v>
      </c>
      <c r="B10051" s="158">
        <v>6.26</v>
      </c>
    </row>
    <row r="10052" spans="1:2" x14ac:dyDescent="0.25">
      <c r="A10052" s="157">
        <v>36710</v>
      </c>
      <c r="B10052" s="158">
        <v>6.22</v>
      </c>
    </row>
    <row r="10053" spans="1:2" x14ac:dyDescent="0.25">
      <c r="A10053" s="157">
        <v>36711</v>
      </c>
      <c r="B10053" s="158" t="e">
        <f>NA()</f>
        <v>#N/A</v>
      </c>
    </row>
    <row r="10054" spans="1:2" x14ac:dyDescent="0.25">
      <c r="A10054" s="157">
        <v>36712</v>
      </c>
      <c r="B10054" s="158">
        <v>6.21</v>
      </c>
    </row>
    <row r="10055" spans="1:2" x14ac:dyDescent="0.25">
      <c r="A10055" s="157">
        <v>36713</v>
      </c>
      <c r="B10055" s="158">
        <v>6.27</v>
      </c>
    </row>
    <row r="10056" spans="1:2" x14ac:dyDescent="0.25">
      <c r="A10056" s="157">
        <v>36714</v>
      </c>
      <c r="B10056" s="158">
        <v>6.23</v>
      </c>
    </row>
    <row r="10057" spans="1:2" x14ac:dyDescent="0.25">
      <c r="A10057" s="157">
        <v>36717</v>
      </c>
      <c r="B10057" s="158">
        <v>6.23</v>
      </c>
    </row>
    <row r="10058" spans="1:2" x14ac:dyDescent="0.25">
      <c r="A10058" s="157">
        <v>36718</v>
      </c>
      <c r="B10058" s="158">
        <v>6.23</v>
      </c>
    </row>
    <row r="10059" spans="1:2" x14ac:dyDescent="0.25">
      <c r="A10059" s="157">
        <v>36719</v>
      </c>
      <c r="B10059" s="158">
        <v>6.23</v>
      </c>
    </row>
    <row r="10060" spans="1:2" x14ac:dyDescent="0.25">
      <c r="A10060" s="157">
        <v>36720</v>
      </c>
      <c r="B10060" s="158">
        <v>6.15</v>
      </c>
    </row>
    <row r="10061" spans="1:2" x14ac:dyDescent="0.25">
      <c r="A10061" s="157">
        <v>36721</v>
      </c>
      <c r="B10061" s="158">
        <v>6.24</v>
      </c>
    </row>
    <row r="10062" spans="1:2" x14ac:dyDescent="0.25">
      <c r="A10062" s="157">
        <v>36724</v>
      </c>
      <c r="B10062" s="158">
        <v>6.3</v>
      </c>
    </row>
    <row r="10063" spans="1:2" x14ac:dyDescent="0.25">
      <c r="A10063" s="157">
        <v>36725</v>
      </c>
      <c r="B10063" s="158">
        <v>6.29</v>
      </c>
    </row>
    <row r="10064" spans="1:2" x14ac:dyDescent="0.25">
      <c r="A10064" s="157">
        <v>36726</v>
      </c>
      <c r="B10064" s="158">
        <v>6.29</v>
      </c>
    </row>
    <row r="10065" spans="1:2" x14ac:dyDescent="0.25">
      <c r="A10065" s="157">
        <v>36727</v>
      </c>
      <c r="B10065" s="158">
        <v>6.15</v>
      </c>
    </row>
    <row r="10066" spans="1:2" x14ac:dyDescent="0.25">
      <c r="A10066" s="157">
        <v>36728</v>
      </c>
      <c r="B10066" s="158">
        <v>6.12</v>
      </c>
    </row>
    <row r="10067" spans="1:2" x14ac:dyDescent="0.25">
      <c r="A10067" s="157">
        <v>36731</v>
      </c>
      <c r="B10067" s="158">
        <v>6.15</v>
      </c>
    </row>
    <row r="10068" spans="1:2" x14ac:dyDescent="0.25">
      <c r="A10068" s="157">
        <v>36732</v>
      </c>
      <c r="B10068" s="158">
        <v>6.14</v>
      </c>
    </row>
    <row r="10069" spans="1:2" x14ac:dyDescent="0.25">
      <c r="A10069" s="157">
        <v>36733</v>
      </c>
      <c r="B10069" s="158">
        <v>6.14</v>
      </c>
    </row>
    <row r="10070" spans="1:2" x14ac:dyDescent="0.25">
      <c r="A10070" s="157">
        <v>36734</v>
      </c>
      <c r="B10070" s="158">
        <v>6.1</v>
      </c>
    </row>
    <row r="10071" spans="1:2" x14ac:dyDescent="0.25">
      <c r="A10071" s="157">
        <v>36735</v>
      </c>
      <c r="B10071" s="158">
        <v>6.12</v>
      </c>
    </row>
    <row r="10072" spans="1:2" x14ac:dyDescent="0.25">
      <c r="A10072" s="157">
        <v>36738</v>
      </c>
      <c r="B10072" s="158">
        <v>6.13</v>
      </c>
    </row>
    <row r="10073" spans="1:2" x14ac:dyDescent="0.25">
      <c r="A10073" s="157">
        <v>36739</v>
      </c>
      <c r="B10073" s="158">
        <v>6.09</v>
      </c>
    </row>
    <row r="10074" spans="1:2" x14ac:dyDescent="0.25">
      <c r="A10074" s="157">
        <v>36740</v>
      </c>
      <c r="B10074" s="158">
        <v>6.09</v>
      </c>
    </row>
    <row r="10075" spans="1:2" x14ac:dyDescent="0.25">
      <c r="A10075" s="157">
        <v>36741</v>
      </c>
      <c r="B10075" s="158">
        <v>6.05</v>
      </c>
    </row>
    <row r="10076" spans="1:2" x14ac:dyDescent="0.25">
      <c r="A10076" s="157">
        <v>36742</v>
      </c>
      <c r="B10076" s="158">
        <v>6.03</v>
      </c>
    </row>
    <row r="10077" spans="1:2" x14ac:dyDescent="0.25">
      <c r="A10077" s="157">
        <v>36745</v>
      </c>
      <c r="B10077" s="158">
        <v>6.06</v>
      </c>
    </row>
    <row r="10078" spans="1:2" x14ac:dyDescent="0.25">
      <c r="A10078" s="157">
        <v>36746</v>
      </c>
      <c r="B10078" s="158">
        <v>6.03</v>
      </c>
    </row>
    <row r="10079" spans="1:2" x14ac:dyDescent="0.25">
      <c r="A10079" s="157">
        <v>36747</v>
      </c>
      <c r="B10079" s="158">
        <v>6.02</v>
      </c>
    </row>
    <row r="10080" spans="1:2" x14ac:dyDescent="0.25">
      <c r="A10080" s="157">
        <v>36748</v>
      </c>
      <c r="B10080" s="158">
        <v>6</v>
      </c>
    </row>
    <row r="10081" spans="1:2" x14ac:dyDescent="0.25">
      <c r="A10081" s="157">
        <v>36749</v>
      </c>
      <c r="B10081" s="158">
        <v>6.04</v>
      </c>
    </row>
    <row r="10082" spans="1:2" x14ac:dyDescent="0.25">
      <c r="A10082" s="157">
        <v>36752</v>
      </c>
      <c r="B10082" s="158">
        <v>6</v>
      </c>
    </row>
    <row r="10083" spans="1:2" x14ac:dyDescent="0.25">
      <c r="A10083" s="157">
        <v>36753</v>
      </c>
      <c r="B10083" s="158">
        <v>6.02</v>
      </c>
    </row>
    <row r="10084" spans="1:2" x14ac:dyDescent="0.25">
      <c r="A10084" s="157">
        <v>36754</v>
      </c>
      <c r="B10084" s="158">
        <v>6.05</v>
      </c>
    </row>
    <row r="10085" spans="1:2" x14ac:dyDescent="0.25">
      <c r="A10085" s="157">
        <v>36755</v>
      </c>
      <c r="B10085" s="158">
        <v>6.02</v>
      </c>
    </row>
    <row r="10086" spans="1:2" x14ac:dyDescent="0.25">
      <c r="A10086" s="157">
        <v>36756</v>
      </c>
      <c r="B10086" s="158">
        <v>6</v>
      </c>
    </row>
    <row r="10087" spans="1:2" x14ac:dyDescent="0.25">
      <c r="A10087" s="157">
        <v>36759</v>
      </c>
      <c r="B10087" s="158">
        <v>6.02</v>
      </c>
    </row>
    <row r="10088" spans="1:2" x14ac:dyDescent="0.25">
      <c r="A10088" s="157">
        <v>36760</v>
      </c>
      <c r="B10088" s="158">
        <v>6.01</v>
      </c>
    </row>
    <row r="10089" spans="1:2" x14ac:dyDescent="0.25">
      <c r="A10089" s="157">
        <v>36761</v>
      </c>
      <c r="B10089" s="158">
        <v>5.97</v>
      </c>
    </row>
    <row r="10090" spans="1:2" x14ac:dyDescent="0.25">
      <c r="A10090" s="157">
        <v>36762</v>
      </c>
      <c r="B10090" s="158">
        <v>5.96</v>
      </c>
    </row>
    <row r="10091" spans="1:2" x14ac:dyDescent="0.25">
      <c r="A10091" s="157">
        <v>36763</v>
      </c>
      <c r="B10091" s="158">
        <v>5.96</v>
      </c>
    </row>
    <row r="10092" spans="1:2" x14ac:dyDescent="0.25">
      <c r="A10092" s="157">
        <v>36766</v>
      </c>
      <c r="B10092" s="158">
        <v>6.01</v>
      </c>
    </row>
    <row r="10093" spans="1:2" x14ac:dyDescent="0.25">
      <c r="A10093" s="157">
        <v>36767</v>
      </c>
      <c r="B10093" s="158">
        <v>6.04</v>
      </c>
    </row>
    <row r="10094" spans="1:2" x14ac:dyDescent="0.25">
      <c r="A10094" s="157">
        <v>36768</v>
      </c>
      <c r="B10094" s="158">
        <v>6.03</v>
      </c>
    </row>
    <row r="10095" spans="1:2" x14ac:dyDescent="0.25">
      <c r="A10095" s="157">
        <v>36769</v>
      </c>
      <c r="B10095" s="158">
        <v>5.96</v>
      </c>
    </row>
    <row r="10096" spans="1:2" x14ac:dyDescent="0.25">
      <c r="A10096" s="157">
        <v>36770</v>
      </c>
      <c r="B10096" s="158">
        <v>5.95</v>
      </c>
    </row>
    <row r="10097" spans="1:2" x14ac:dyDescent="0.25">
      <c r="A10097" s="157">
        <v>36773</v>
      </c>
      <c r="B10097" s="158" t="e">
        <f>NA()</f>
        <v>#N/A</v>
      </c>
    </row>
    <row r="10098" spans="1:2" x14ac:dyDescent="0.25">
      <c r="A10098" s="157">
        <v>36774</v>
      </c>
      <c r="B10098" s="158">
        <v>5.94</v>
      </c>
    </row>
    <row r="10099" spans="1:2" x14ac:dyDescent="0.25">
      <c r="A10099" s="157">
        <v>36775</v>
      </c>
      <c r="B10099" s="158">
        <v>5.99</v>
      </c>
    </row>
    <row r="10100" spans="1:2" x14ac:dyDescent="0.25">
      <c r="A10100" s="157">
        <v>36776</v>
      </c>
      <c r="B10100" s="158">
        <v>6.02</v>
      </c>
    </row>
    <row r="10101" spans="1:2" x14ac:dyDescent="0.25">
      <c r="A10101" s="157">
        <v>36777</v>
      </c>
      <c r="B10101" s="158">
        <v>5.99</v>
      </c>
    </row>
    <row r="10102" spans="1:2" x14ac:dyDescent="0.25">
      <c r="A10102" s="157">
        <v>36780</v>
      </c>
      <c r="B10102" s="158">
        <v>6.02</v>
      </c>
    </row>
    <row r="10103" spans="1:2" x14ac:dyDescent="0.25">
      <c r="A10103" s="157">
        <v>36781</v>
      </c>
      <c r="B10103" s="158">
        <v>6.04</v>
      </c>
    </row>
    <row r="10104" spans="1:2" x14ac:dyDescent="0.25">
      <c r="A10104" s="157">
        <v>36782</v>
      </c>
      <c r="B10104" s="158">
        <v>6.01</v>
      </c>
    </row>
    <row r="10105" spans="1:2" x14ac:dyDescent="0.25">
      <c r="A10105" s="157">
        <v>36783</v>
      </c>
      <c r="B10105" s="158">
        <v>6.09</v>
      </c>
    </row>
    <row r="10106" spans="1:2" x14ac:dyDescent="0.25">
      <c r="A10106" s="157">
        <v>36784</v>
      </c>
      <c r="B10106" s="158">
        <v>6.16</v>
      </c>
    </row>
    <row r="10107" spans="1:2" x14ac:dyDescent="0.25">
      <c r="A10107" s="157">
        <v>36787</v>
      </c>
      <c r="B10107" s="158">
        <v>6.2</v>
      </c>
    </row>
    <row r="10108" spans="1:2" x14ac:dyDescent="0.25">
      <c r="A10108" s="157">
        <v>36788</v>
      </c>
      <c r="B10108" s="158">
        <v>6.18</v>
      </c>
    </row>
    <row r="10109" spans="1:2" x14ac:dyDescent="0.25">
      <c r="A10109" s="157">
        <v>36789</v>
      </c>
      <c r="B10109" s="158">
        <v>6.23</v>
      </c>
    </row>
    <row r="10110" spans="1:2" x14ac:dyDescent="0.25">
      <c r="A10110" s="157">
        <v>36790</v>
      </c>
      <c r="B10110" s="158">
        <v>6.18</v>
      </c>
    </row>
    <row r="10111" spans="1:2" x14ac:dyDescent="0.25">
      <c r="A10111" s="157">
        <v>36791</v>
      </c>
      <c r="B10111" s="158">
        <v>6.18</v>
      </c>
    </row>
    <row r="10112" spans="1:2" x14ac:dyDescent="0.25">
      <c r="A10112" s="157">
        <v>36794</v>
      </c>
      <c r="B10112" s="158">
        <v>6.16</v>
      </c>
    </row>
    <row r="10113" spans="1:2" x14ac:dyDescent="0.25">
      <c r="A10113" s="157">
        <v>36795</v>
      </c>
      <c r="B10113" s="158">
        <v>6.12</v>
      </c>
    </row>
    <row r="10114" spans="1:2" x14ac:dyDescent="0.25">
      <c r="A10114" s="157">
        <v>36796</v>
      </c>
      <c r="B10114" s="158">
        <v>6.15</v>
      </c>
    </row>
    <row r="10115" spans="1:2" x14ac:dyDescent="0.25">
      <c r="A10115" s="157">
        <v>36797</v>
      </c>
      <c r="B10115" s="158">
        <v>6.14</v>
      </c>
    </row>
    <row r="10116" spans="1:2" x14ac:dyDescent="0.25">
      <c r="A10116" s="157">
        <v>36798</v>
      </c>
      <c r="B10116" s="158">
        <v>6.13</v>
      </c>
    </row>
    <row r="10117" spans="1:2" x14ac:dyDescent="0.25">
      <c r="A10117" s="157">
        <v>36801</v>
      </c>
      <c r="B10117" s="158">
        <v>6.18</v>
      </c>
    </row>
    <row r="10118" spans="1:2" x14ac:dyDescent="0.25">
      <c r="A10118" s="157">
        <v>36802</v>
      </c>
      <c r="B10118" s="158">
        <v>6.2</v>
      </c>
    </row>
    <row r="10119" spans="1:2" x14ac:dyDescent="0.25">
      <c r="A10119" s="157">
        <v>36803</v>
      </c>
      <c r="B10119" s="158">
        <v>6.21</v>
      </c>
    </row>
    <row r="10120" spans="1:2" x14ac:dyDescent="0.25">
      <c r="A10120" s="157">
        <v>36804</v>
      </c>
      <c r="B10120" s="158">
        <v>6.17</v>
      </c>
    </row>
    <row r="10121" spans="1:2" x14ac:dyDescent="0.25">
      <c r="A10121" s="157">
        <v>36805</v>
      </c>
      <c r="B10121" s="158">
        <v>6.11</v>
      </c>
    </row>
    <row r="10122" spans="1:2" x14ac:dyDescent="0.25">
      <c r="A10122" s="157">
        <v>36808</v>
      </c>
      <c r="B10122" s="158" t="e">
        <f>NA()</f>
        <v>#N/A</v>
      </c>
    </row>
    <row r="10123" spans="1:2" x14ac:dyDescent="0.25">
      <c r="A10123" s="157">
        <v>36809</v>
      </c>
      <c r="B10123" s="158">
        <v>6.08</v>
      </c>
    </row>
    <row r="10124" spans="1:2" x14ac:dyDescent="0.25">
      <c r="A10124" s="157">
        <v>36810</v>
      </c>
      <c r="B10124" s="158">
        <v>6.06</v>
      </c>
    </row>
    <row r="10125" spans="1:2" x14ac:dyDescent="0.25">
      <c r="A10125" s="157">
        <v>36811</v>
      </c>
      <c r="B10125" s="158">
        <v>6.05</v>
      </c>
    </row>
    <row r="10126" spans="1:2" x14ac:dyDescent="0.25">
      <c r="A10126" s="157">
        <v>36812</v>
      </c>
      <c r="B10126" s="158">
        <v>6.05</v>
      </c>
    </row>
    <row r="10127" spans="1:2" x14ac:dyDescent="0.25">
      <c r="A10127" s="157">
        <v>36815</v>
      </c>
      <c r="B10127" s="158">
        <v>6.06</v>
      </c>
    </row>
    <row r="10128" spans="1:2" x14ac:dyDescent="0.25">
      <c r="A10128" s="157">
        <v>36816</v>
      </c>
      <c r="B10128" s="158">
        <v>6</v>
      </c>
    </row>
    <row r="10129" spans="1:2" x14ac:dyDescent="0.25">
      <c r="A10129" s="157">
        <v>36817</v>
      </c>
      <c r="B10129" s="158">
        <v>6</v>
      </c>
    </row>
    <row r="10130" spans="1:2" x14ac:dyDescent="0.25">
      <c r="A10130" s="157">
        <v>36818</v>
      </c>
      <c r="B10130" s="158">
        <v>5.98</v>
      </c>
    </row>
    <row r="10131" spans="1:2" x14ac:dyDescent="0.25">
      <c r="A10131" s="157">
        <v>36819</v>
      </c>
      <c r="B10131" s="158">
        <v>5.95</v>
      </c>
    </row>
    <row r="10132" spans="1:2" x14ac:dyDescent="0.25">
      <c r="A10132" s="157">
        <v>36822</v>
      </c>
      <c r="B10132" s="158">
        <v>5.89</v>
      </c>
    </row>
    <row r="10133" spans="1:2" x14ac:dyDescent="0.25">
      <c r="A10133" s="157">
        <v>36823</v>
      </c>
      <c r="B10133" s="158">
        <v>5.93</v>
      </c>
    </row>
    <row r="10134" spans="1:2" x14ac:dyDescent="0.25">
      <c r="A10134" s="157">
        <v>36824</v>
      </c>
      <c r="B10134" s="158">
        <v>5.97</v>
      </c>
    </row>
    <row r="10135" spans="1:2" x14ac:dyDescent="0.25">
      <c r="A10135" s="157">
        <v>36825</v>
      </c>
      <c r="B10135" s="158">
        <v>5.96</v>
      </c>
    </row>
    <row r="10136" spans="1:2" x14ac:dyDescent="0.25">
      <c r="A10136" s="157">
        <v>36826</v>
      </c>
      <c r="B10136" s="158">
        <v>5.96</v>
      </c>
    </row>
    <row r="10137" spans="1:2" x14ac:dyDescent="0.25">
      <c r="A10137" s="157">
        <v>36829</v>
      </c>
      <c r="B10137" s="158">
        <v>5.98</v>
      </c>
    </row>
    <row r="10138" spans="1:2" x14ac:dyDescent="0.25">
      <c r="A10138" s="157">
        <v>36830</v>
      </c>
      <c r="B10138" s="158">
        <v>6.02</v>
      </c>
    </row>
    <row r="10139" spans="1:2" x14ac:dyDescent="0.25">
      <c r="A10139" s="157">
        <v>36831</v>
      </c>
      <c r="B10139" s="158">
        <v>6</v>
      </c>
    </row>
    <row r="10140" spans="1:2" x14ac:dyDescent="0.25">
      <c r="A10140" s="157">
        <v>36832</v>
      </c>
      <c r="B10140" s="158">
        <v>6.01</v>
      </c>
    </row>
    <row r="10141" spans="1:2" x14ac:dyDescent="0.25">
      <c r="A10141" s="157">
        <v>36833</v>
      </c>
      <c r="B10141" s="158">
        <v>6.09</v>
      </c>
    </row>
    <row r="10142" spans="1:2" x14ac:dyDescent="0.25">
      <c r="A10142" s="157">
        <v>36836</v>
      </c>
      <c r="B10142" s="158">
        <v>6.12</v>
      </c>
    </row>
    <row r="10143" spans="1:2" x14ac:dyDescent="0.25">
      <c r="A10143" s="157">
        <v>36837</v>
      </c>
      <c r="B10143" s="158">
        <v>6.12</v>
      </c>
    </row>
    <row r="10144" spans="1:2" x14ac:dyDescent="0.25">
      <c r="A10144" s="157">
        <v>36838</v>
      </c>
      <c r="B10144" s="158">
        <v>6.09</v>
      </c>
    </row>
    <row r="10145" spans="1:2" x14ac:dyDescent="0.25">
      <c r="A10145" s="157">
        <v>36839</v>
      </c>
      <c r="B10145" s="158">
        <v>6.06</v>
      </c>
    </row>
    <row r="10146" spans="1:2" x14ac:dyDescent="0.25">
      <c r="A10146" s="157">
        <v>36840</v>
      </c>
      <c r="B10146" s="158">
        <v>6.07</v>
      </c>
    </row>
    <row r="10147" spans="1:2" x14ac:dyDescent="0.25">
      <c r="A10147" s="157">
        <v>36843</v>
      </c>
      <c r="B10147" s="158">
        <v>6.04</v>
      </c>
    </row>
    <row r="10148" spans="1:2" x14ac:dyDescent="0.25">
      <c r="A10148" s="157">
        <v>36844</v>
      </c>
      <c r="B10148" s="158">
        <v>6.01</v>
      </c>
    </row>
    <row r="10149" spans="1:2" x14ac:dyDescent="0.25">
      <c r="A10149" s="157">
        <v>36845</v>
      </c>
      <c r="B10149" s="158">
        <v>5.97</v>
      </c>
    </row>
    <row r="10150" spans="1:2" x14ac:dyDescent="0.25">
      <c r="A10150" s="157">
        <v>36846</v>
      </c>
      <c r="B10150" s="158">
        <v>5.94</v>
      </c>
    </row>
    <row r="10151" spans="1:2" x14ac:dyDescent="0.25">
      <c r="A10151" s="157">
        <v>36847</v>
      </c>
      <c r="B10151" s="158">
        <v>5.97</v>
      </c>
    </row>
    <row r="10152" spans="1:2" x14ac:dyDescent="0.25">
      <c r="A10152" s="157">
        <v>36850</v>
      </c>
      <c r="B10152" s="158">
        <v>5.96</v>
      </c>
    </row>
    <row r="10153" spans="1:2" x14ac:dyDescent="0.25">
      <c r="A10153" s="157">
        <v>36851</v>
      </c>
      <c r="B10153" s="158">
        <v>5.93</v>
      </c>
    </row>
    <row r="10154" spans="1:2" x14ac:dyDescent="0.25">
      <c r="A10154" s="157">
        <v>36852</v>
      </c>
      <c r="B10154" s="158">
        <v>5.87</v>
      </c>
    </row>
    <row r="10155" spans="1:2" x14ac:dyDescent="0.25">
      <c r="A10155" s="157">
        <v>36853</v>
      </c>
      <c r="B10155" s="158" t="e">
        <f>NA()</f>
        <v>#N/A</v>
      </c>
    </row>
    <row r="10156" spans="1:2" x14ac:dyDescent="0.25">
      <c r="A10156" s="157">
        <v>36854</v>
      </c>
      <c r="B10156" s="158">
        <v>5.86</v>
      </c>
    </row>
    <row r="10157" spans="1:2" x14ac:dyDescent="0.25">
      <c r="A10157" s="157">
        <v>36857</v>
      </c>
      <c r="B10157" s="158">
        <v>5.89</v>
      </c>
    </row>
    <row r="10158" spans="1:2" x14ac:dyDescent="0.25">
      <c r="A10158" s="157">
        <v>36858</v>
      </c>
      <c r="B10158" s="158">
        <v>5.86</v>
      </c>
    </row>
    <row r="10159" spans="1:2" x14ac:dyDescent="0.25">
      <c r="A10159" s="157">
        <v>36859</v>
      </c>
      <c r="B10159" s="158">
        <v>5.84</v>
      </c>
    </row>
    <row r="10160" spans="1:2" x14ac:dyDescent="0.25">
      <c r="A10160" s="157">
        <v>36860</v>
      </c>
      <c r="B10160" s="158">
        <v>5.78</v>
      </c>
    </row>
    <row r="10161" spans="1:2" x14ac:dyDescent="0.25">
      <c r="A10161" s="157">
        <v>36861</v>
      </c>
      <c r="B10161" s="158">
        <v>5.82</v>
      </c>
    </row>
    <row r="10162" spans="1:2" x14ac:dyDescent="0.25">
      <c r="A10162" s="157">
        <v>36864</v>
      </c>
      <c r="B10162" s="158">
        <v>5.84</v>
      </c>
    </row>
    <row r="10163" spans="1:2" x14ac:dyDescent="0.25">
      <c r="A10163" s="157">
        <v>36865</v>
      </c>
      <c r="B10163" s="158">
        <v>5.76</v>
      </c>
    </row>
    <row r="10164" spans="1:2" x14ac:dyDescent="0.25">
      <c r="A10164" s="157">
        <v>36866</v>
      </c>
      <c r="B10164" s="158">
        <v>5.68</v>
      </c>
    </row>
    <row r="10165" spans="1:2" x14ac:dyDescent="0.25">
      <c r="A10165" s="157">
        <v>36867</v>
      </c>
      <c r="B10165" s="158">
        <v>5.67</v>
      </c>
    </row>
    <row r="10166" spans="1:2" x14ac:dyDescent="0.25">
      <c r="A10166" s="157">
        <v>36868</v>
      </c>
      <c r="B10166" s="158">
        <v>5.71</v>
      </c>
    </row>
    <row r="10167" spans="1:2" x14ac:dyDescent="0.25">
      <c r="A10167" s="157">
        <v>36871</v>
      </c>
      <c r="B10167" s="158">
        <v>5.71</v>
      </c>
    </row>
    <row r="10168" spans="1:2" x14ac:dyDescent="0.25">
      <c r="A10168" s="157">
        <v>36872</v>
      </c>
      <c r="B10168" s="158">
        <v>5.7</v>
      </c>
    </row>
    <row r="10169" spans="1:2" x14ac:dyDescent="0.25">
      <c r="A10169" s="157">
        <v>36873</v>
      </c>
      <c r="B10169" s="158">
        <v>5.64</v>
      </c>
    </row>
    <row r="10170" spans="1:2" x14ac:dyDescent="0.25">
      <c r="A10170" s="157">
        <v>36874</v>
      </c>
      <c r="B10170" s="158">
        <v>5.6</v>
      </c>
    </row>
    <row r="10171" spans="1:2" x14ac:dyDescent="0.25">
      <c r="A10171" s="157">
        <v>36875</v>
      </c>
      <c r="B10171" s="158">
        <v>5.59</v>
      </c>
    </row>
    <row r="10172" spans="1:2" x14ac:dyDescent="0.25">
      <c r="A10172" s="157">
        <v>36878</v>
      </c>
      <c r="B10172" s="158">
        <v>5.59</v>
      </c>
    </row>
    <row r="10173" spans="1:2" x14ac:dyDescent="0.25">
      <c r="A10173" s="157">
        <v>36879</v>
      </c>
      <c r="B10173" s="158">
        <v>5.61</v>
      </c>
    </row>
    <row r="10174" spans="1:2" x14ac:dyDescent="0.25">
      <c r="A10174" s="157">
        <v>36880</v>
      </c>
      <c r="B10174" s="158">
        <v>5.55</v>
      </c>
    </row>
    <row r="10175" spans="1:2" x14ac:dyDescent="0.25">
      <c r="A10175" s="157">
        <v>36881</v>
      </c>
      <c r="B10175" s="158">
        <v>5.53</v>
      </c>
    </row>
    <row r="10176" spans="1:2" x14ac:dyDescent="0.25">
      <c r="A10176" s="157">
        <v>36882</v>
      </c>
      <c r="B10176" s="158">
        <v>5.52</v>
      </c>
    </row>
    <row r="10177" spans="1:2" x14ac:dyDescent="0.25">
      <c r="A10177" s="157">
        <v>36885</v>
      </c>
      <c r="B10177" s="158" t="e">
        <f>NA()</f>
        <v>#N/A</v>
      </c>
    </row>
    <row r="10178" spans="1:2" x14ac:dyDescent="0.25">
      <c r="A10178" s="157">
        <v>36886</v>
      </c>
      <c r="B10178" s="158">
        <v>5.54</v>
      </c>
    </row>
    <row r="10179" spans="1:2" x14ac:dyDescent="0.25">
      <c r="A10179" s="157">
        <v>36887</v>
      </c>
      <c r="B10179" s="158">
        <v>5.58</v>
      </c>
    </row>
    <row r="10180" spans="1:2" x14ac:dyDescent="0.25">
      <c r="A10180" s="157">
        <v>36888</v>
      </c>
      <c r="B10180" s="158">
        <v>5.59</v>
      </c>
    </row>
    <row r="10181" spans="1:2" x14ac:dyDescent="0.25">
      <c r="A10181" s="157">
        <v>36889</v>
      </c>
      <c r="B10181" s="158">
        <v>5.59</v>
      </c>
    </row>
    <row r="10182" spans="1:2" x14ac:dyDescent="0.25">
      <c r="A10182" s="157">
        <v>36892</v>
      </c>
      <c r="B10182" s="158" t="e">
        <f>NA()</f>
        <v>#N/A</v>
      </c>
    </row>
    <row r="10183" spans="1:2" x14ac:dyDescent="0.25">
      <c r="A10183" s="157">
        <v>36893</v>
      </c>
      <c r="B10183" s="158">
        <v>5.46</v>
      </c>
    </row>
    <row r="10184" spans="1:2" x14ac:dyDescent="0.25">
      <c r="A10184" s="157">
        <v>36894</v>
      </c>
      <c r="B10184" s="158">
        <v>5.62</v>
      </c>
    </row>
    <row r="10185" spans="1:2" x14ac:dyDescent="0.25">
      <c r="A10185" s="157">
        <v>36895</v>
      </c>
      <c r="B10185" s="158">
        <v>5.56</v>
      </c>
    </row>
    <row r="10186" spans="1:2" x14ac:dyDescent="0.25">
      <c r="A10186" s="157">
        <v>36896</v>
      </c>
      <c r="B10186" s="158">
        <v>5.5</v>
      </c>
    </row>
    <row r="10187" spans="1:2" x14ac:dyDescent="0.25">
      <c r="A10187" s="157">
        <v>36899</v>
      </c>
      <c r="B10187" s="158">
        <v>5.52</v>
      </c>
    </row>
    <row r="10188" spans="1:2" x14ac:dyDescent="0.25">
      <c r="A10188" s="157">
        <v>36900</v>
      </c>
      <c r="B10188" s="158">
        <v>5.53</v>
      </c>
    </row>
    <row r="10189" spans="1:2" x14ac:dyDescent="0.25">
      <c r="A10189" s="157">
        <v>36901</v>
      </c>
      <c r="B10189" s="158">
        <v>5.6</v>
      </c>
    </row>
    <row r="10190" spans="1:2" x14ac:dyDescent="0.25">
      <c r="A10190" s="157">
        <v>36902</v>
      </c>
      <c r="B10190" s="158">
        <v>5.67</v>
      </c>
    </row>
    <row r="10191" spans="1:2" x14ac:dyDescent="0.25">
      <c r="A10191" s="157">
        <v>36903</v>
      </c>
      <c r="B10191" s="158">
        <v>5.74</v>
      </c>
    </row>
    <row r="10192" spans="1:2" x14ac:dyDescent="0.25">
      <c r="A10192" s="157">
        <v>36906</v>
      </c>
      <c r="B10192" s="158" t="e">
        <f>NA()</f>
        <v>#N/A</v>
      </c>
    </row>
    <row r="10193" spans="1:2" x14ac:dyDescent="0.25">
      <c r="A10193" s="157">
        <v>36907</v>
      </c>
      <c r="B10193" s="158">
        <v>5.71</v>
      </c>
    </row>
    <row r="10194" spans="1:2" x14ac:dyDescent="0.25">
      <c r="A10194" s="157">
        <v>36908</v>
      </c>
      <c r="B10194" s="158">
        <v>5.64</v>
      </c>
    </row>
    <row r="10195" spans="1:2" x14ac:dyDescent="0.25">
      <c r="A10195" s="157">
        <v>36909</v>
      </c>
      <c r="B10195" s="158">
        <v>5.57</v>
      </c>
    </row>
    <row r="10196" spans="1:2" x14ac:dyDescent="0.25">
      <c r="A10196" s="157">
        <v>36910</v>
      </c>
      <c r="B10196" s="158">
        <v>5.67</v>
      </c>
    </row>
    <row r="10197" spans="1:2" x14ac:dyDescent="0.25">
      <c r="A10197" s="157">
        <v>36913</v>
      </c>
      <c r="B10197" s="158">
        <v>5.71</v>
      </c>
    </row>
    <row r="10198" spans="1:2" x14ac:dyDescent="0.25">
      <c r="A10198" s="157">
        <v>36914</v>
      </c>
      <c r="B10198" s="158">
        <v>5.76</v>
      </c>
    </row>
    <row r="10199" spans="1:2" x14ac:dyDescent="0.25">
      <c r="A10199" s="157">
        <v>36915</v>
      </c>
      <c r="B10199" s="158">
        <v>5.78</v>
      </c>
    </row>
    <row r="10200" spans="1:2" x14ac:dyDescent="0.25">
      <c r="A10200" s="157">
        <v>36916</v>
      </c>
      <c r="B10200" s="158">
        <v>5.73</v>
      </c>
    </row>
    <row r="10201" spans="1:2" x14ac:dyDescent="0.25">
      <c r="A10201" s="157">
        <v>36917</v>
      </c>
      <c r="B10201" s="158">
        <v>5.75</v>
      </c>
    </row>
    <row r="10202" spans="1:2" x14ac:dyDescent="0.25">
      <c r="A10202" s="157">
        <v>36920</v>
      </c>
      <c r="B10202" s="158">
        <v>5.78</v>
      </c>
    </row>
    <row r="10203" spans="1:2" x14ac:dyDescent="0.25">
      <c r="A10203" s="157">
        <v>36921</v>
      </c>
      <c r="B10203" s="158">
        <v>5.68</v>
      </c>
    </row>
    <row r="10204" spans="1:2" x14ac:dyDescent="0.25">
      <c r="A10204" s="157">
        <v>36922</v>
      </c>
      <c r="B10204" s="158">
        <v>5.65</v>
      </c>
    </row>
    <row r="10205" spans="1:2" x14ac:dyDescent="0.25">
      <c r="A10205" s="157">
        <v>36923</v>
      </c>
      <c r="B10205" s="158">
        <v>5.55</v>
      </c>
    </row>
    <row r="10206" spans="1:2" x14ac:dyDescent="0.25">
      <c r="A10206" s="157">
        <v>36924</v>
      </c>
      <c r="B10206" s="158">
        <v>5.6</v>
      </c>
    </row>
    <row r="10207" spans="1:2" x14ac:dyDescent="0.25">
      <c r="A10207" s="157">
        <v>36927</v>
      </c>
      <c r="B10207" s="158">
        <v>5.58</v>
      </c>
    </row>
    <row r="10208" spans="1:2" x14ac:dyDescent="0.25">
      <c r="A10208" s="157">
        <v>36928</v>
      </c>
      <c r="B10208" s="158">
        <v>5.61</v>
      </c>
    </row>
    <row r="10209" spans="1:2" x14ac:dyDescent="0.25">
      <c r="A10209" s="157">
        <v>36929</v>
      </c>
      <c r="B10209" s="158">
        <v>5.61</v>
      </c>
    </row>
    <row r="10210" spans="1:2" x14ac:dyDescent="0.25">
      <c r="A10210" s="157">
        <v>36930</v>
      </c>
      <c r="B10210" s="158">
        <v>5.62</v>
      </c>
    </row>
    <row r="10211" spans="1:2" x14ac:dyDescent="0.25">
      <c r="A10211" s="157">
        <v>36931</v>
      </c>
      <c r="B10211" s="158">
        <v>5.55</v>
      </c>
    </row>
    <row r="10212" spans="1:2" x14ac:dyDescent="0.25">
      <c r="A10212" s="157">
        <v>36934</v>
      </c>
      <c r="B10212" s="158">
        <v>5.6</v>
      </c>
    </row>
    <row r="10213" spans="1:2" x14ac:dyDescent="0.25">
      <c r="A10213" s="157">
        <v>36935</v>
      </c>
      <c r="B10213" s="158">
        <v>5.62</v>
      </c>
    </row>
    <row r="10214" spans="1:2" x14ac:dyDescent="0.25">
      <c r="A10214" s="157">
        <v>36936</v>
      </c>
      <c r="B10214" s="158">
        <v>5.64</v>
      </c>
    </row>
    <row r="10215" spans="1:2" x14ac:dyDescent="0.25">
      <c r="A10215" s="157">
        <v>36937</v>
      </c>
      <c r="B10215" s="158">
        <v>5.71</v>
      </c>
    </row>
    <row r="10216" spans="1:2" x14ac:dyDescent="0.25">
      <c r="A10216" s="157">
        <v>36938</v>
      </c>
      <c r="B10216" s="158">
        <v>5.67</v>
      </c>
    </row>
    <row r="10217" spans="1:2" x14ac:dyDescent="0.25">
      <c r="A10217" s="157">
        <v>36941</v>
      </c>
      <c r="B10217" s="158" t="e">
        <f>NA()</f>
        <v>#N/A</v>
      </c>
    </row>
    <row r="10218" spans="1:2" x14ac:dyDescent="0.25">
      <c r="A10218" s="157">
        <v>36942</v>
      </c>
      <c r="B10218" s="158">
        <v>5.66</v>
      </c>
    </row>
    <row r="10219" spans="1:2" x14ac:dyDescent="0.25">
      <c r="A10219" s="157">
        <v>36943</v>
      </c>
      <c r="B10219" s="158">
        <v>5.7</v>
      </c>
    </row>
    <row r="10220" spans="1:2" x14ac:dyDescent="0.25">
      <c r="A10220" s="157">
        <v>36944</v>
      </c>
      <c r="B10220" s="158">
        <v>5.72</v>
      </c>
    </row>
    <row r="10221" spans="1:2" x14ac:dyDescent="0.25">
      <c r="A10221" s="157">
        <v>36945</v>
      </c>
      <c r="B10221" s="158">
        <v>5.66</v>
      </c>
    </row>
    <row r="10222" spans="1:2" x14ac:dyDescent="0.25">
      <c r="A10222" s="157">
        <v>36948</v>
      </c>
      <c r="B10222" s="158">
        <v>5.62</v>
      </c>
    </row>
    <row r="10223" spans="1:2" x14ac:dyDescent="0.25">
      <c r="A10223" s="157">
        <v>36949</v>
      </c>
      <c r="B10223" s="158">
        <v>5.51</v>
      </c>
    </row>
    <row r="10224" spans="1:2" x14ac:dyDescent="0.25">
      <c r="A10224" s="157">
        <v>36950</v>
      </c>
      <c r="B10224" s="158">
        <v>5.51</v>
      </c>
    </row>
    <row r="10225" spans="1:2" x14ac:dyDescent="0.25">
      <c r="A10225" s="157">
        <v>36951</v>
      </c>
      <c r="B10225" s="158">
        <v>5.45</v>
      </c>
    </row>
    <row r="10226" spans="1:2" x14ac:dyDescent="0.25">
      <c r="A10226" s="157">
        <v>36952</v>
      </c>
      <c r="B10226" s="158">
        <v>5.55</v>
      </c>
    </row>
    <row r="10227" spans="1:2" x14ac:dyDescent="0.25">
      <c r="A10227" s="157">
        <v>36955</v>
      </c>
      <c r="B10227" s="158">
        <v>5.55</v>
      </c>
    </row>
    <row r="10228" spans="1:2" x14ac:dyDescent="0.25">
      <c r="A10228" s="157">
        <v>36956</v>
      </c>
      <c r="B10228" s="158">
        <v>5.56</v>
      </c>
    </row>
    <row r="10229" spans="1:2" x14ac:dyDescent="0.25">
      <c r="A10229" s="157">
        <v>36957</v>
      </c>
      <c r="B10229" s="158">
        <v>5.49</v>
      </c>
    </row>
    <row r="10230" spans="1:2" x14ac:dyDescent="0.25">
      <c r="A10230" s="157">
        <v>36958</v>
      </c>
      <c r="B10230" s="158">
        <v>5.48</v>
      </c>
    </row>
    <row r="10231" spans="1:2" x14ac:dyDescent="0.25">
      <c r="A10231" s="157">
        <v>36959</v>
      </c>
      <c r="B10231" s="158">
        <v>5.5</v>
      </c>
    </row>
    <row r="10232" spans="1:2" x14ac:dyDescent="0.25">
      <c r="A10232" s="157">
        <v>36962</v>
      </c>
      <c r="B10232" s="158">
        <v>5.48</v>
      </c>
    </row>
    <row r="10233" spans="1:2" x14ac:dyDescent="0.25">
      <c r="A10233" s="157">
        <v>36963</v>
      </c>
      <c r="B10233" s="158">
        <v>5.5</v>
      </c>
    </row>
    <row r="10234" spans="1:2" x14ac:dyDescent="0.25">
      <c r="A10234" s="157">
        <v>36964</v>
      </c>
      <c r="B10234" s="158">
        <v>5.43</v>
      </c>
    </row>
    <row r="10235" spans="1:2" x14ac:dyDescent="0.25">
      <c r="A10235" s="157">
        <v>36965</v>
      </c>
      <c r="B10235" s="158">
        <v>5.43</v>
      </c>
    </row>
    <row r="10236" spans="1:2" x14ac:dyDescent="0.25">
      <c r="A10236" s="157">
        <v>36966</v>
      </c>
      <c r="B10236" s="158">
        <v>5.41</v>
      </c>
    </row>
    <row r="10237" spans="1:2" x14ac:dyDescent="0.25">
      <c r="A10237" s="157">
        <v>36969</v>
      </c>
      <c r="B10237" s="158">
        <v>5.44</v>
      </c>
    </row>
    <row r="10238" spans="1:2" x14ac:dyDescent="0.25">
      <c r="A10238" s="157">
        <v>36970</v>
      </c>
      <c r="B10238" s="158">
        <v>5.41</v>
      </c>
    </row>
    <row r="10239" spans="1:2" x14ac:dyDescent="0.25">
      <c r="A10239" s="157">
        <v>36971</v>
      </c>
      <c r="B10239" s="158">
        <v>5.42</v>
      </c>
    </row>
    <row r="10240" spans="1:2" x14ac:dyDescent="0.25">
      <c r="A10240" s="157">
        <v>36972</v>
      </c>
      <c r="B10240" s="158">
        <v>5.38</v>
      </c>
    </row>
    <row r="10241" spans="1:2" x14ac:dyDescent="0.25">
      <c r="A10241" s="157">
        <v>36973</v>
      </c>
      <c r="B10241" s="158">
        <v>5.43</v>
      </c>
    </row>
    <row r="10242" spans="1:2" x14ac:dyDescent="0.25">
      <c r="A10242" s="157">
        <v>36976</v>
      </c>
      <c r="B10242" s="158">
        <v>5.5</v>
      </c>
    </row>
    <row r="10243" spans="1:2" x14ac:dyDescent="0.25">
      <c r="A10243" s="157">
        <v>36977</v>
      </c>
      <c r="B10243" s="158">
        <v>5.61</v>
      </c>
    </row>
    <row r="10244" spans="1:2" x14ac:dyDescent="0.25">
      <c r="A10244" s="157">
        <v>36978</v>
      </c>
      <c r="B10244" s="158">
        <v>5.61</v>
      </c>
    </row>
    <row r="10245" spans="1:2" x14ac:dyDescent="0.25">
      <c r="A10245" s="157">
        <v>36979</v>
      </c>
      <c r="B10245" s="158">
        <v>5.63</v>
      </c>
    </row>
    <row r="10246" spans="1:2" x14ac:dyDescent="0.25">
      <c r="A10246" s="157">
        <v>36980</v>
      </c>
      <c r="B10246" s="158">
        <v>5.6</v>
      </c>
    </row>
    <row r="10247" spans="1:2" x14ac:dyDescent="0.25">
      <c r="A10247" s="157">
        <v>36983</v>
      </c>
      <c r="B10247" s="158">
        <v>5.64</v>
      </c>
    </row>
    <row r="10248" spans="1:2" x14ac:dyDescent="0.25">
      <c r="A10248" s="157">
        <v>36984</v>
      </c>
      <c r="B10248" s="158">
        <v>5.62</v>
      </c>
    </row>
    <row r="10249" spans="1:2" x14ac:dyDescent="0.25">
      <c r="A10249" s="157">
        <v>36985</v>
      </c>
      <c r="B10249" s="158">
        <v>5.62</v>
      </c>
    </row>
    <row r="10250" spans="1:2" x14ac:dyDescent="0.25">
      <c r="A10250" s="157">
        <v>36986</v>
      </c>
      <c r="B10250" s="158">
        <v>5.66</v>
      </c>
    </row>
    <row r="10251" spans="1:2" x14ac:dyDescent="0.25">
      <c r="A10251" s="157">
        <v>36987</v>
      </c>
      <c r="B10251" s="158">
        <v>5.57</v>
      </c>
    </row>
    <row r="10252" spans="1:2" x14ac:dyDescent="0.25">
      <c r="A10252" s="157">
        <v>36990</v>
      </c>
      <c r="B10252" s="158">
        <v>5.61</v>
      </c>
    </row>
    <row r="10253" spans="1:2" x14ac:dyDescent="0.25">
      <c r="A10253" s="157">
        <v>36991</v>
      </c>
      <c r="B10253" s="158">
        <v>5.76</v>
      </c>
    </row>
    <row r="10254" spans="1:2" x14ac:dyDescent="0.25">
      <c r="A10254" s="157">
        <v>36992</v>
      </c>
      <c r="B10254" s="158">
        <v>5.75</v>
      </c>
    </row>
    <row r="10255" spans="1:2" x14ac:dyDescent="0.25">
      <c r="A10255" s="157">
        <v>36993</v>
      </c>
      <c r="B10255" s="158">
        <v>5.77</v>
      </c>
    </row>
    <row r="10256" spans="1:2" x14ac:dyDescent="0.25">
      <c r="A10256" s="157">
        <v>36994</v>
      </c>
      <c r="B10256" s="158" t="e">
        <f>NA()</f>
        <v>#N/A</v>
      </c>
    </row>
    <row r="10257" spans="1:2" x14ac:dyDescent="0.25">
      <c r="A10257" s="157">
        <v>36997</v>
      </c>
      <c r="B10257" s="158">
        <v>5.86</v>
      </c>
    </row>
    <row r="10258" spans="1:2" x14ac:dyDescent="0.25">
      <c r="A10258" s="157">
        <v>36998</v>
      </c>
      <c r="B10258" s="158">
        <v>5.8</v>
      </c>
    </row>
    <row r="10259" spans="1:2" x14ac:dyDescent="0.25">
      <c r="A10259" s="157">
        <v>36999</v>
      </c>
      <c r="B10259" s="158">
        <v>5.79</v>
      </c>
    </row>
    <row r="10260" spans="1:2" x14ac:dyDescent="0.25">
      <c r="A10260" s="157">
        <v>37000</v>
      </c>
      <c r="B10260" s="158">
        <v>5.91</v>
      </c>
    </row>
    <row r="10261" spans="1:2" x14ac:dyDescent="0.25">
      <c r="A10261" s="157">
        <v>37001</v>
      </c>
      <c r="B10261" s="158">
        <v>5.92</v>
      </c>
    </row>
    <row r="10262" spans="1:2" x14ac:dyDescent="0.25">
      <c r="A10262" s="157">
        <v>37004</v>
      </c>
      <c r="B10262" s="158">
        <v>5.84</v>
      </c>
    </row>
    <row r="10263" spans="1:2" x14ac:dyDescent="0.25">
      <c r="A10263" s="157">
        <v>37005</v>
      </c>
      <c r="B10263" s="158">
        <v>5.87</v>
      </c>
    </row>
    <row r="10264" spans="1:2" x14ac:dyDescent="0.25">
      <c r="A10264" s="157">
        <v>37006</v>
      </c>
      <c r="B10264" s="158">
        <v>5.91</v>
      </c>
    </row>
    <row r="10265" spans="1:2" x14ac:dyDescent="0.25">
      <c r="A10265" s="157">
        <v>37007</v>
      </c>
      <c r="B10265" s="158">
        <v>5.82</v>
      </c>
    </row>
    <row r="10266" spans="1:2" x14ac:dyDescent="0.25">
      <c r="A10266" s="157">
        <v>37008</v>
      </c>
      <c r="B10266" s="158">
        <v>5.94</v>
      </c>
    </row>
    <row r="10267" spans="1:2" x14ac:dyDescent="0.25">
      <c r="A10267" s="157">
        <v>37011</v>
      </c>
      <c r="B10267" s="158">
        <v>5.92</v>
      </c>
    </row>
    <row r="10268" spans="1:2" x14ac:dyDescent="0.25">
      <c r="A10268" s="157">
        <v>37012</v>
      </c>
      <c r="B10268" s="158">
        <v>5.87</v>
      </c>
    </row>
    <row r="10269" spans="1:2" x14ac:dyDescent="0.25">
      <c r="A10269" s="157">
        <v>37013</v>
      </c>
      <c r="B10269" s="158">
        <v>5.83</v>
      </c>
    </row>
    <row r="10270" spans="1:2" x14ac:dyDescent="0.25">
      <c r="A10270" s="157">
        <v>37014</v>
      </c>
      <c r="B10270" s="158">
        <v>5.75</v>
      </c>
    </row>
    <row r="10271" spans="1:2" x14ac:dyDescent="0.25">
      <c r="A10271" s="157">
        <v>37015</v>
      </c>
      <c r="B10271" s="158">
        <v>5.77</v>
      </c>
    </row>
    <row r="10272" spans="1:2" x14ac:dyDescent="0.25">
      <c r="A10272" s="157">
        <v>37018</v>
      </c>
      <c r="B10272" s="158">
        <v>5.78</v>
      </c>
    </row>
    <row r="10273" spans="1:2" x14ac:dyDescent="0.25">
      <c r="A10273" s="157">
        <v>37019</v>
      </c>
      <c r="B10273" s="158">
        <v>5.81</v>
      </c>
    </row>
    <row r="10274" spans="1:2" x14ac:dyDescent="0.25">
      <c r="A10274" s="157">
        <v>37020</v>
      </c>
      <c r="B10274" s="158">
        <v>5.76</v>
      </c>
    </row>
    <row r="10275" spans="1:2" x14ac:dyDescent="0.25">
      <c r="A10275" s="157">
        <v>37021</v>
      </c>
      <c r="B10275" s="158">
        <v>5.86</v>
      </c>
    </row>
    <row r="10276" spans="1:2" x14ac:dyDescent="0.25">
      <c r="A10276" s="157">
        <v>37022</v>
      </c>
      <c r="B10276" s="158">
        <v>6.02</v>
      </c>
    </row>
    <row r="10277" spans="1:2" x14ac:dyDescent="0.25">
      <c r="A10277" s="157">
        <v>37025</v>
      </c>
      <c r="B10277" s="158">
        <v>5.99</v>
      </c>
    </row>
    <row r="10278" spans="1:2" x14ac:dyDescent="0.25">
      <c r="A10278" s="157">
        <v>37026</v>
      </c>
      <c r="B10278" s="158">
        <v>6.03</v>
      </c>
    </row>
    <row r="10279" spans="1:2" x14ac:dyDescent="0.25">
      <c r="A10279" s="157">
        <v>37027</v>
      </c>
      <c r="B10279" s="158">
        <v>6.01</v>
      </c>
    </row>
    <row r="10280" spans="1:2" x14ac:dyDescent="0.25">
      <c r="A10280" s="157">
        <v>37028</v>
      </c>
      <c r="B10280" s="158">
        <v>5.96</v>
      </c>
    </row>
    <row r="10281" spans="1:2" x14ac:dyDescent="0.25">
      <c r="A10281" s="157">
        <v>37029</v>
      </c>
      <c r="B10281" s="158">
        <v>5.93</v>
      </c>
    </row>
    <row r="10282" spans="1:2" x14ac:dyDescent="0.25">
      <c r="A10282" s="157">
        <v>37032</v>
      </c>
      <c r="B10282" s="158">
        <v>5.92</v>
      </c>
    </row>
    <row r="10283" spans="1:2" x14ac:dyDescent="0.25">
      <c r="A10283" s="157">
        <v>37033</v>
      </c>
      <c r="B10283" s="158">
        <v>5.95</v>
      </c>
    </row>
    <row r="10284" spans="1:2" x14ac:dyDescent="0.25">
      <c r="A10284" s="157">
        <v>37034</v>
      </c>
      <c r="B10284" s="158">
        <v>5.95</v>
      </c>
    </row>
    <row r="10285" spans="1:2" x14ac:dyDescent="0.25">
      <c r="A10285" s="157">
        <v>37035</v>
      </c>
      <c r="B10285" s="158">
        <v>6.04</v>
      </c>
    </row>
    <row r="10286" spans="1:2" x14ac:dyDescent="0.25">
      <c r="A10286" s="157">
        <v>37036</v>
      </c>
      <c r="B10286" s="158">
        <v>6.04</v>
      </c>
    </row>
    <row r="10287" spans="1:2" x14ac:dyDescent="0.25">
      <c r="A10287" s="157">
        <v>37039</v>
      </c>
      <c r="B10287" s="158" t="e">
        <f>NA()</f>
        <v>#N/A</v>
      </c>
    </row>
    <row r="10288" spans="1:2" x14ac:dyDescent="0.25">
      <c r="A10288" s="157">
        <v>37040</v>
      </c>
      <c r="B10288" s="158">
        <v>6.05</v>
      </c>
    </row>
    <row r="10289" spans="1:2" x14ac:dyDescent="0.25">
      <c r="A10289" s="157">
        <v>37041</v>
      </c>
      <c r="B10289" s="158">
        <v>6.04</v>
      </c>
    </row>
    <row r="10290" spans="1:2" x14ac:dyDescent="0.25">
      <c r="A10290" s="157">
        <v>37042</v>
      </c>
      <c r="B10290" s="158">
        <v>5.95</v>
      </c>
    </row>
    <row r="10291" spans="1:2" x14ac:dyDescent="0.25">
      <c r="A10291" s="157">
        <v>37043</v>
      </c>
      <c r="B10291" s="158">
        <v>5.89</v>
      </c>
    </row>
    <row r="10292" spans="1:2" x14ac:dyDescent="0.25">
      <c r="A10292" s="157">
        <v>37046</v>
      </c>
      <c r="B10292" s="158">
        <v>5.87</v>
      </c>
    </row>
    <row r="10293" spans="1:2" x14ac:dyDescent="0.25">
      <c r="A10293" s="157">
        <v>37047</v>
      </c>
      <c r="B10293" s="158">
        <v>5.85</v>
      </c>
    </row>
    <row r="10294" spans="1:2" x14ac:dyDescent="0.25">
      <c r="A10294" s="157">
        <v>37048</v>
      </c>
      <c r="B10294" s="158">
        <v>5.83</v>
      </c>
    </row>
    <row r="10295" spans="1:2" x14ac:dyDescent="0.25">
      <c r="A10295" s="157">
        <v>37049</v>
      </c>
      <c r="B10295" s="158">
        <v>5.89</v>
      </c>
    </row>
    <row r="10296" spans="1:2" x14ac:dyDescent="0.25">
      <c r="A10296" s="157">
        <v>37050</v>
      </c>
      <c r="B10296" s="158">
        <v>5.9</v>
      </c>
    </row>
    <row r="10297" spans="1:2" x14ac:dyDescent="0.25">
      <c r="A10297" s="157">
        <v>37053</v>
      </c>
      <c r="B10297" s="158">
        <v>5.85</v>
      </c>
    </row>
    <row r="10298" spans="1:2" x14ac:dyDescent="0.25">
      <c r="A10298" s="157">
        <v>37054</v>
      </c>
      <c r="B10298" s="158">
        <v>5.81</v>
      </c>
    </row>
    <row r="10299" spans="1:2" x14ac:dyDescent="0.25">
      <c r="A10299" s="157">
        <v>37055</v>
      </c>
      <c r="B10299" s="158">
        <v>5.81</v>
      </c>
    </row>
    <row r="10300" spans="1:2" x14ac:dyDescent="0.25">
      <c r="A10300" s="157">
        <v>37056</v>
      </c>
      <c r="B10300" s="158">
        <v>5.8</v>
      </c>
    </row>
    <row r="10301" spans="1:2" x14ac:dyDescent="0.25">
      <c r="A10301" s="157">
        <v>37057</v>
      </c>
      <c r="B10301" s="158">
        <v>5.83</v>
      </c>
    </row>
    <row r="10302" spans="1:2" x14ac:dyDescent="0.25">
      <c r="A10302" s="157">
        <v>37060</v>
      </c>
      <c r="B10302" s="158">
        <v>5.84</v>
      </c>
    </row>
    <row r="10303" spans="1:2" x14ac:dyDescent="0.25">
      <c r="A10303" s="157">
        <v>37061</v>
      </c>
      <c r="B10303" s="158">
        <v>5.82</v>
      </c>
    </row>
    <row r="10304" spans="1:2" x14ac:dyDescent="0.25">
      <c r="A10304" s="157">
        <v>37062</v>
      </c>
      <c r="B10304" s="158">
        <v>5.8</v>
      </c>
    </row>
    <row r="10305" spans="1:2" x14ac:dyDescent="0.25">
      <c r="A10305" s="157">
        <v>37063</v>
      </c>
      <c r="B10305" s="158">
        <v>5.77</v>
      </c>
    </row>
    <row r="10306" spans="1:2" x14ac:dyDescent="0.25">
      <c r="A10306" s="157">
        <v>37064</v>
      </c>
      <c r="B10306" s="158">
        <v>5.7</v>
      </c>
    </row>
    <row r="10307" spans="1:2" x14ac:dyDescent="0.25">
      <c r="A10307" s="157">
        <v>37067</v>
      </c>
      <c r="B10307" s="158">
        <v>5.72</v>
      </c>
    </row>
    <row r="10308" spans="1:2" x14ac:dyDescent="0.25">
      <c r="A10308" s="157">
        <v>37068</v>
      </c>
      <c r="B10308" s="158">
        <v>5.78</v>
      </c>
    </row>
    <row r="10309" spans="1:2" x14ac:dyDescent="0.25">
      <c r="A10309" s="157">
        <v>37069</v>
      </c>
      <c r="B10309" s="158">
        <v>5.77</v>
      </c>
    </row>
    <row r="10310" spans="1:2" x14ac:dyDescent="0.25">
      <c r="A10310" s="157">
        <v>37070</v>
      </c>
      <c r="B10310" s="158">
        <v>5.85</v>
      </c>
    </row>
    <row r="10311" spans="1:2" x14ac:dyDescent="0.25">
      <c r="A10311" s="157">
        <v>37071</v>
      </c>
      <c r="B10311" s="158">
        <v>5.91</v>
      </c>
    </row>
    <row r="10312" spans="1:2" x14ac:dyDescent="0.25">
      <c r="A10312" s="157">
        <v>37074</v>
      </c>
      <c r="B10312" s="158">
        <v>5.86</v>
      </c>
    </row>
    <row r="10313" spans="1:2" x14ac:dyDescent="0.25">
      <c r="A10313" s="157">
        <v>37075</v>
      </c>
      <c r="B10313" s="158">
        <v>5.9</v>
      </c>
    </row>
    <row r="10314" spans="1:2" x14ac:dyDescent="0.25">
      <c r="A10314" s="157">
        <v>37076</v>
      </c>
      <c r="B10314" s="158" t="e">
        <f>NA()</f>
        <v>#N/A</v>
      </c>
    </row>
    <row r="10315" spans="1:2" x14ac:dyDescent="0.25">
      <c r="A10315" s="157">
        <v>37077</v>
      </c>
      <c r="B10315" s="158">
        <v>5.94</v>
      </c>
    </row>
    <row r="10316" spans="1:2" x14ac:dyDescent="0.25">
      <c r="A10316" s="157">
        <v>37078</v>
      </c>
      <c r="B10316" s="158">
        <v>5.92</v>
      </c>
    </row>
    <row r="10317" spans="1:2" x14ac:dyDescent="0.25">
      <c r="A10317" s="157">
        <v>37081</v>
      </c>
      <c r="B10317" s="158">
        <v>5.87</v>
      </c>
    </row>
    <row r="10318" spans="1:2" x14ac:dyDescent="0.25">
      <c r="A10318" s="157">
        <v>37082</v>
      </c>
      <c r="B10318" s="158">
        <v>5.83</v>
      </c>
    </row>
    <row r="10319" spans="1:2" x14ac:dyDescent="0.25">
      <c r="A10319" s="157">
        <v>37083</v>
      </c>
      <c r="B10319" s="158">
        <v>5.84</v>
      </c>
    </row>
    <row r="10320" spans="1:2" x14ac:dyDescent="0.25">
      <c r="A10320" s="157">
        <v>37084</v>
      </c>
      <c r="B10320" s="158">
        <v>5.8</v>
      </c>
    </row>
    <row r="10321" spans="1:2" x14ac:dyDescent="0.25">
      <c r="A10321" s="157">
        <v>37085</v>
      </c>
      <c r="B10321" s="158">
        <v>5.79</v>
      </c>
    </row>
    <row r="10322" spans="1:2" x14ac:dyDescent="0.25">
      <c r="A10322" s="157">
        <v>37088</v>
      </c>
      <c r="B10322" s="158">
        <v>5.74</v>
      </c>
    </row>
    <row r="10323" spans="1:2" x14ac:dyDescent="0.25">
      <c r="A10323" s="157">
        <v>37089</v>
      </c>
      <c r="B10323" s="158">
        <v>5.74</v>
      </c>
    </row>
    <row r="10324" spans="1:2" x14ac:dyDescent="0.25">
      <c r="A10324" s="157">
        <v>37090</v>
      </c>
      <c r="B10324" s="158">
        <v>5.65</v>
      </c>
    </row>
    <row r="10325" spans="1:2" x14ac:dyDescent="0.25">
      <c r="A10325" s="157">
        <v>37091</v>
      </c>
      <c r="B10325" s="158">
        <v>5.66</v>
      </c>
    </row>
    <row r="10326" spans="1:2" x14ac:dyDescent="0.25">
      <c r="A10326" s="157">
        <v>37092</v>
      </c>
      <c r="B10326" s="158">
        <v>5.67</v>
      </c>
    </row>
    <row r="10327" spans="1:2" x14ac:dyDescent="0.25">
      <c r="A10327" s="157">
        <v>37095</v>
      </c>
      <c r="B10327" s="158">
        <v>5.66</v>
      </c>
    </row>
    <row r="10328" spans="1:2" x14ac:dyDescent="0.25">
      <c r="A10328" s="157">
        <v>37096</v>
      </c>
      <c r="B10328" s="158">
        <v>5.64</v>
      </c>
    </row>
    <row r="10329" spans="1:2" x14ac:dyDescent="0.25">
      <c r="A10329" s="157">
        <v>37097</v>
      </c>
      <c r="B10329" s="158">
        <v>5.7</v>
      </c>
    </row>
    <row r="10330" spans="1:2" x14ac:dyDescent="0.25">
      <c r="A10330" s="157">
        <v>37098</v>
      </c>
      <c r="B10330" s="158">
        <v>5.71</v>
      </c>
    </row>
    <row r="10331" spans="1:2" x14ac:dyDescent="0.25">
      <c r="A10331" s="157">
        <v>37099</v>
      </c>
      <c r="B10331" s="158">
        <v>5.65</v>
      </c>
    </row>
    <row r="10332" spans="1:2" x14ac:dyDescent="0.25">
      <c r="A10332" s="157">
        <v>37102</v>
      </c>
      <c r="B10332" s="158">
        <v>5.63</v>
      </c>
    </row>
    <row r="10333" spans="1:2" x14ac:dyDescent="0.25">
      <c r="A10333" s="157">
        <v>37103</v>
      </c>
      <c r="B10333" s="158">
        <v>5.61</v>
      </c>
    </row>
    <row r="10334" spans="1:2" x14ac:dyDescent="0.25">
      <c r="A10334" s="157">
        <v>37104</v>
      </c>
      <c r="B10334" s="158">
        <v>5.63</v>
      </c>
    </row>
    <row r="10335" spans="1:2" x14ac:dyDescent="0.25">
      <c r="A10335" s="157">
        <v>37105</v>
      </c>
      <c r="B10335" s="158">
        <v>5.68</v>
      </c>
    </row>
    <row r="10336" spans="1:2" x14ac:dyDescent="0.25">
      <c r="A10336" s="157">
        <v>37106</v>
      </c>
      <c r="B10336" s="158">
        <v>5.7</v>
      </c>
    </row>
    <row r="10337" spans="1:2" x14ac:dyDescent="0.25">
      <c r="A10337" s="157">
        <v>37109</v>
      </c>
      <c r="B10337" s="158">
        <v>5.7</v>
      </c>
    </row>
    <row r="10338" spans="1:2" x14ac:dyDescent="0.25">
      <c r="A10338" s="157">
        <v>37110</v>
      </c>
      <c r="B10338" s="158">
        <v>5.71</v>
      </c>
    </row>
    <row r="10339" spans="1:2" x14ac:dyDescent="0.25">
      <c r="A10339" s="157">
        <v>37111</v>
      </c>
      <c r="B10339" s="158">
        <v>5.61</v>
      </c>
    </row>
    <row r="10340" spans="1:2" x14ac:dyDescent="0.25">
      <c r="A10340" s="157">
        <v>37112</v>
      </c>
      <c r="B10340" s="158">
        <v>5.64</v>
      </c>
    </row>
    <row r="10341" spans="1:2" x14ac:dyDescent="0.25">
      <c r="A10341" s="157">
        <v>37113</v>
      </c>
      <c r="B10341" s="158">
        <v>5.61</v>
      </c>
    </row>
    <row r="10342" spans="1:2" x14ac:dyDescent="0.25">
      <c r="A10342" s="157">
        <v>37116</v>
      </c>
      <c r="B10342" s="158">
        <v>5.6</v>
      </c>
    </row>
    <row r="10343" spans="1:2" x14ac:dyDescent="0.25">
      <c r="A10343" s="157">
        <v>37117</v>
      </c>
      <c r="B10343" s="158">
        <v>5.61</v>
      </c>
    </row>
    <row r="10344" spans="1:2" x14ac:dyDescent="0.25">
      <c r="A10344" s="157">
        <v>37118</v>
      </c>
      <c r="B10344" s="158">
        <v>5.62</v>
      </c>
    </row>
    <row r="10345" spans="1:2" x14ac:dyDescent="0.25">
      <c r="A10345" s="157">
        <v>37119</v>
      </c>
      <c r="B10345" s="158">
        <v>5.58</v>
      </c>
    </row>
    <row r="10346" spans="1:2" x14ac:dyDescent="0.25">
      <c r="A10346" s="157">
        <v>37120</v>
      </c>
      <c r="B10346" s="158">
        <v>5.51</v>
      </c>
    </row>
    <row r="10347" spans="1:2" x14ac:dyDescent="0.25">
      <c r="A10347" s="157">
        <v>37123</v>
      </c>
      <c r="B10347" s="158">
        <v>5.55</v>
      </c>
    </row>
    <row r="10348" spans="1:2" x14ac:dyDescent="0.25">
      <c r="A10348" s="157">
        <v>37124</v>
      </c>
      <c r="B10348" s="158">
        <v>5.54</v>
      </c>
    </row>
    <row r="10349" spans="1:2" x14ac:dyDescent="0.25">
      <c r="A10349" s="157">
        <v>37125</v>
      </c>
      <c r="B10349" s="158">
        <v>5.53</v>
      </c>
    </row>
    <row r="10350" spans="1:2" x14ac:dyDescent="0.25">
      <c r="A10350" s="157">
        <v>37126</v>
      </c>
      <c r="B10350" s="158">
        <v>5.5</v>
      </c>
    </row>
    <row r="10351" spans="1:2" x14ac:dyDescent="0.25">
      <c r="A10351" s="157">
        <v>37127</v>
      </c>
      <c r="B10351" s="158">
        <v>5.54</v>
      </c>
    </row>
    <row r="10352" spans="1:2" x14ac:dyDescent="0.25">
      <c r="A10352" s="157">
        <v>37130</v>
      </c>
      <c r="B10352" s="158">
        <v>5.56</v>
      </c>
    </row>
    <row r="10353" spans="1:2" x14ac:dyDescent="0.25">
      <c r="A10353" s="157">
        <v>37131</v>
      </c>
      <c r="B10353" s="158">
        <v>5.49</v>
      </c>
    </row>
    <row r="10354" spans="1:2" x14ac:dyDescent="0.25">
      <c r="A10354" s="157">
        <v>37132</v>
      </c>
      <c r="B10354" s="158">
        <v>5.44</v>
      </c>
    </row>
    <row r="10355" spans="1:2" x14ac:dyDescent="0.25">
      <c r="A10355" s="157">
        <v>37133</v>
      </c>
      <c r="B10355" s="158">
        <v>5.45</v>
      </c>
    </row>
    <row r="10356" spans="1:2" x14ac:dyDescent="0.25">
      <c r="A10356" s="157">
        <v>37134</v>
      </c>
      <c r="B10356" s="158">
        <v>5.47</v>
      </c>
    </row>
    <row r="10357" spans="1:2" x14ac:dyDescent="0.25">
      <c r="A10357" s="157">
        <v>37137</v>
      </c>
      <c r="B10357" s="158" t="e">
        <f>NA()</f>
        <v>#N/A</v>
      </c>
    </row>
    <row r="10358" spans="1:2" x14ac:dyDescent="0.25">
      <c r="A10358" s="157">
        <v>37138</v>
      </c>
      <c r="B10358" s="158">
        <v>5.59</v>
      </c>
    </row>
    <row r="10359" spans="1:2" x14ac:dyDescent="0.25">
      <c r="A10359" s="157">
        <v>37139</v>
      </c>
      <c r="B10359" s="158">
        <v>5.57</v>
      </c>
    </row>
    <row r="10360" spans="1:2" x14ac:dyDescent="0.25">
      <c r="A10360" s="157">
        <v>37140</v>
      </c>
      <c r="B10360" s="158">
        <v>5.5</v>
      </c>
    </row>
    <row r="10361" spans="1:2" x14ac:dyDescent="0.25">
      <c r="A10361" s="157">
        <v>37141</v>
      </c>
      <c r="B10361" s="158">
        <v>5.45</v>
      </c>
    </row>
    <row r="10362" spans="1:2" x14ac:dyDescent="0.25">
      <c r="A10362" s="157">
        <v>37144</v>
      </c>
      <c r="B10362" s="158">
        <v>5.5</v>
      </c>
    </row>
    <row r="10363" spans="1:2" x14ac:dyDescent="0.25">
      <c r="A10363" s="157">
        <v>37145</v>
      </c>
      <c r="B10363" s="158" t="e">
        <f>NA()</f>
        <v>#N/A</v>
      </c>
    </row>
    <row r="10364" spans="1:2" x14ac:dyDescent="0.25">
      <c r="A10364" s="157">
        <v>37146</v>
      </c>
      <c r="B10364" s="158" t="e">
        <f>NA()</f>
        <v>#N/A</v>
      </c>
    </row>
    <row r="10365" spans="1:2" x14ac:dyDescent="0.25">
      <c r="A10365" s="157">
        <v>37147</v>
      </c>
      <c r="B10365" s="158">
        <v>5.41</v>
      </c>
    </row>
    <row r="10366" spans="1:2" x14ac:dyDescent="0.25">
      <c r="A10366" s="157">
        <v>37148</v>
      </c>
      <c r="B10366" s="158">
        <v>5.38</v>
      </c>
    </row>
    <row r="10367" spans="1:2" x14ac:dyDescent="0.25">
      <c r="A10367" s="157">
        <v>37151</v>
      </c>
      <c r="B10367" s="158">
        <v>5.44</v>
      </c>
    </row>
    <row r="10368" spans="1:2" x14ac:dyDescent="0.25">
      <c r="A10368" s="157">
        <v>37152</v>
      </c>
      <c r="B10368" s="158">
        <v>5.59</v>
      </c>
    </row>
    <row r="10369" spans="1:2" x14ac:dyDescent="0.25">
      <c r="A10369" s="157">
        <v>37153</v>
      </c>
      <c r="B10369" s="158">
        <v>5.59</v>
      </c>
    </row>
    <row r="10370" spans="1:2" x14ac:dyDescent="0.25">
      <c r="A10370" s="157">
        <v>37154</v>
      </c>
      <c r="B10370" s="158">
        <v>5.67</v>
      </c>
    </row>
    <row r="10371" spans="1:2" x14ac:dyDescent="0.25">
      <c r="A10371" s="157">
        <v>37155</v>
      </c>
      <c r="B10371" s="158">
        <v>5.62</v>
      </c>
    </row>
    <row r="10372" spans="1:2" x14ac:dyDescent="0.25">
      <c r="A10372" s="157">
        <v>37158</v>
      </c>
      <c r="B10372" s="158">
        <v>5.61</v>
      </c>
    </row>
    <row r="10373" spans="1:2" x14ac:dyDescent="0.25">
      <c r="A10373" s="157">
        <v>37159</v>
      </c>
      <c r="B10373" s="158">
        <v>5.6</v>
      </c>
    </row>
    <row r="10374" spans="1:2" x14ac:dyDescent="0.25">
      <c r="A10374" s="157">
        <v>37160</v>
      </c>
      <c r="B10374" s="158">
        <v>5.52</v>
      </c>
    </row>
    <row r="10375" spans="1:2" x14ac:dyDescent="0.25">
      <c r="A10375" s="157">
        <v>37161</v>
      </c>
      <c r="B10375" s="158">
        <v>5.46</v>
      </c>
    </row>
    <row r="10376" spans="1:2" x14ac:dyDescent="0.25">
      <c r="A10376" s="157">
        <v>37162</v>
      </c>
      <c r="B10376" s="158">
        <v>5.45</v>
      </c>
    </row>
    <row r="10377" spans="1:2" x14ac:dyDescent="0.25">
      <c r="A10377" s="157">
        <v>37165</v>
      </c>
      <c r="B10377" s="158">
        <v>5.39</v>
      </c>
    </row>
    <row r="10378" spans="1:2" x14ac:dyDescent="0.25">
      <c r="A10378" s="157">
        <v>37166</v>
      </c>
      <c r="B10378" s="158">
        <v>5.36</v>
      </c>
    </row>
    <row r="10379" spans="1:2" x14ac:dyDescent="0.25">
      <c r="A10379" s="157">
        <v>37167</v>
      </c>
      <c r="B10379" s="158">
        <v>5.34</v>
      </c>
    </row>
    <row r="10380" spans="1:2" x14ac:dyDescent="0.25">
      <c r="A10380" s="157">
        <v>37168</v>
      </c>
      <c r="B10380" s="158">
        <v>5.33</v>
      </c>
    </row>
    <row r="10381" spans="1:2" x14ac:dyDescent="0.25">
      <c r="A10381" s="157">
        <v>37169</v>
      </c>
      <c r="B10381" s="158">
        <v>5.34</v>
      </c>
    </row>
    <row r="10382" spans="1:2" x14ac:dyDescent="0.25">
      <c r="A10382" s="157">
        <v>37172</v>
      </c>
      <c r="B10382" s="158" t="e">
        <f>NA()</f>
        <v>#N/A</v>
      </c>
    </row>
    <row r="10383" spans="1:2" x14ac:dyDescent="0.25">
      <c r="A10383" s="157">
        <v>37173</v>
      </c>
      <c r="B10383" s="158">
        <v>5.42</v>
      </c>
    </row>
    <row r="10384" spans="1:2" x14ac:dyDescent="0.25">
      <c r="A10384" s="157">
        <v>37174</v>
      </c>
      <c r="B10384" s="158">
        <v>5.38</v>
      </c>
    </row>
    <row r="10385" spans="1:2" x14ac:dyDescent="0.25">
      <c r="A10385" s="157">
        <v>37175</v>
      </c>
      <c r="B10385" s="158">
        <v>5.45</v>
      </c>
    </row>
    <row r="10386" spans="1:2" x14ac:dyDescent="0.25">
      <c r="A10386" s="157">
        <v>37176</v>
      </c>
      <c r="B10386" s="158">
        <v>5.45</v>
      </c>
    </row>
    <row r="10387" spans="1:2" x14ac:dyDescent="0.25">
      <c r="A10387" s="157">
        <v>37179</v>
      </c>
      <c r="B10387" s="158">
        <v>5.4</v>
      </c>
    </row>
    <row r="10388" spans="1:2" x14ac:dyDescent="0.25">
      <c r="A10388" s="157">
        <v>37180</v>
      </c>
      <c r="B10388" s="158">
        <v>5.38</v>
      </c>
    </row>
    <row r="10389" spans="1:2" x14ac:dyDescent="0.25">
      <c r="A10389" s="157">
        <v>37181</v>
      </c>
      <c r="B10389" s="158">
        <v>5.35</v>
      </c>
    </row>
    <row r="10390" spans="1:2" x14ac:dyDescent="0.25">
      <c r="A10390" s="157">
        <v>37182</v>
      </c>
      <c r="B10390" s="158">
        <v>5.34</v>
      </c>
    </row>
    <row r="10391" spans="1:2" x14ac:dyDescent="0.25">
      <c r="A10391" s="157">
        <v>37183</v>
      </c>
      <c r="B10391" s="158">
        <v>5.39</v>
      </c>
    </row>
    <row r="10392" spans="1:2" x14ac:dyDescent="0.25">
      <c r="A10392" s="157">
        <v>37186</v>
      </c>
      <c r="B10392" s="158">
        <v>5.38</v>
      </c>
    </row>
    <row r="10393" spans="1:2" x14ac:dyDescent="0.25">
      <c r="A10393" s="157">
        <v>37187</v>
      </c>
      <c r="B10393" s="158">
        <v>5.4</v>
      </c>
    </row>
    <row r="10394" spans="1:2" x14ac:dyDescent="0.25">
      <c r="A10394" s="157">
        <v>37188</v>
      </c>
      <c r="B10394" s="158">
        <v>5.32</v>
      </c>
    </row>
    <row r="10395" spans="1:2" x14ac:dyDescent="0.25">
      <c r="A10395" s="157">
        <v>37189</v>
      </c>
      <c r="B10395" s="158">
        <v>5.28</v>
      </c>
    </row>
    <row r="10396" spans="1:2" x14ac:dyDescent="0.25">
      <c r="A10396" s="157">
        <v>37190</v>
      </c>
      <c r="B10396" s="158">
        <v>5.27</v>
      </c>
    </row>
    <row r="10397" spans="1:2" x14ac:dyDescent="0.25">
      <c r="A10397" s="157">
        <v>37193</v>
      </c>
      <c r="B10397" s="158">
        <v>5.24</v>
      </c>
    </row>
    <row r="10398" spans="1:2" x14ac:dyDescent="0.25">
      <c r="A10398" s="157">
        <v>37194</v>
      </c>
      <c r="B10398" s="158">
        <v>5.21</v>
      </c>
    </row>
    <row r="10399" spans="1:2" x14ac:dyDescent="0.25">
      <c r="A10399" s="157">
        <v>37195</v>
      </c>
      <c r="B10399" s="158">
        <v>5.05</v>
      </c>
    </row>
    <row r="10400" spans="1:2" x14ac:dyDescent="0.25">
      <c r="A10400" s="157">
        <v>37196</v>
      </c>
      <c r="B10400" s="158">
        <v>5</v>
      </c>
    </row>
    <row r="10401" spans="1:2" x14ac:dyDescent="0.25">
      <c r="A10401" s="157">
        <v>37197</v>
      </c>
      <c r="B10401" s="158">
        <v>5.14</v>
      </c>
    </row>
    <row r="10402" spans="1:2" x14ac:dyDescent="0.25">
      <c r="A10402" s="157">
        <v>37200</v>
      </c>
      <c r="B10402" s="158">
        <v>5.0599999999999996</v>
      </c>
    </row>
    <row r="10403" spans="1:2" x14ac:dyDescent="0.25">
      <c r="A10403" s="157">
        <v>37201</v>
      </c>
      <c r="B10403" s="158">
        <v>5.05</v>
      </c>
    </row>
    <row r="10404" spans="1:2" x14ac:dyDescent="0.25">
      <c r="A10404" s="157">
        <v>37202</v>
      </c>
      <c r="B10404" s="158">
        <v>4.95</v>
      </c>
    </row>
    <row r="10405" spans="1:2" x14ac:dyDescent="0.25">
      <c r="A10405" s="157">
        <v>37203</v>
      </c>
      <c r="B10405" s="158">
        <v>5.03</v>
      </c>
    </row>
    <row r="10406" spans="1:2" x14ac:dyDescent="0.25">
      <c r="A10406" s="157">
        <v>37204</v>
      </c>
      <c r="B10406" s="158">
        <v>5.05</v>
      </c>
    </row>
    <row r="10407" spans="1:2" x14ac:dyDescent="0.25">
      <c r="A10407" s="157">
        <v>37207</v>
      </c>
      <c r="B10407" s="158" t="e">
        <f>NA()</f>
        <v>#N/A</v>
      </c>
    </row>
    <row r="10408" spans="1:2" x14ac:dyDescent="0.25">
      <c r="A10408" s="157">
        <v>37208</v>
      </c>
      <c r="B10408" s="158">
        <v>5.0999999999999996</v>
      </c>
    </row>
    <row r="10409" spans="1:2" x14ac:dyDescent="0.25">
      <c r="A10409" s="157">
        <v>37209</v>
      </c>
      <c r="B10409" s="158">
        <v>5.2</v>
      </c>
    </row>
    <row r="10410" spans="1:2" x14ac:dyDescent="0.25">
      <c r="A10410" s="157">
        <v>37210</v>
      </c>
      <c r="B10410" s="158">
        <v>5.41</v>
      </c>
    </row>
    <row r="10411" spans="1:2" x14ac:dyDescent="0.25">
      <c r="A10411" s="157">
        <v>37211</v>
      </c>
      <c r="B10411" s="158">
        <v>5.52</v>
      </c>
    </row>
    <row r="10412" spans="1:2" x14ac:dyDescent="0.25">
      <c r="A10412" s="157">
        <v>37214</v>
      </c>
      <c r="B10412" s="158">
        <v>5.42</v>
      </c>
    </row>
    <row r="10413" spans="1:2" x14ac:dyDescent="0.25">
      <c r="A10413" s="157">
        <v>37215</v>
      </c>
      <c r="B10413" s="158">
        <v>5.5</v>
      </c>
    </row>
    <row r="10414" spans="1:2" x14ac:dyDescent="0.25">
      <c r="A10414" s="157">
        <v>37216</v>
      </c>
      <c r="B10414" s="158">
        <v>5.59</v>
      </c>
    </row>
    <row r="10415" spans="1:2" x14ac:dyDescent="0.25">
      <c r="A10415" s="157">
        <v>37217</v>
      </c>
      <c r="B10415" s="158" t="e">
        <f>NA()</f>
        <v>#N/A</v>
      </c>
    </row>
    <row r="10416" spans="1:2" x14ac:dyDescent="0.25">
      <c r="A10416" s="157">
        <v>37218</v>
      </c>
      <c r="B10416" s="158">
        <v>5.65</v>
      </c>
    </row>
    <row r="10417" spans="1:2" x14ac:dyDescent="0.25">
      <c r="A10417" s="157">
        <v>37221</v>
      </c>
      <c r="B10417" s="158">
        <v>5.66</v>
      </c>
    </row>
    <row r="10418" spans="1:2" x14ac:dyDescent="0.25">
      <c r="A10418" s="157">
        <v>37222</v>
      </c>
      <c r="B10418" s="158">
        <v>5.64</v>
      </c>
    </row>
    <row r="10419" spans="1:2" x14ac:dyDescent="0.25">
      <c r="A10419" s="157">
        <v>37223</v>
      </c>
      <c r="B10419" s="158">
        <v>5.63</v>
      </c>
    </row>
    <row r="10420" spans="1:2" x14ac:dyDescent="0.25">
      <c r="A10420" s="157">
        <v>37224</v>
      </c>
      <c r="B10420" s="158">
        <v>5.52</v>
      </c>
    </row>
    <row r="10421" spans="1:2" x14ac:dyDescent="0.25">
      <c r="A10421" s="157">
        <v>37225</v>
      </c>
      <c r="B10421" s="158">
        <v>5.54</v>
      </c>
    </row>
    <row r="10422" spans="1:2" x14ac:dyDescent="0.25">
      <c r="A10422" s="157">
        <v>37228</v>
      </c>
      <c r="B10422" s="158">
        <v>5.49</v>
      </c>
    </row>
    <row r="10423" spans="1:2" x14ac:dyDescent="0.25">
      <c r="A10423" s="157">
        <v>37229</v>
      </c>
      <c r="B10423" s="158">
        <v>5.43</v>
      </c>
    </row>
    <row r="10424" spans="1:2" x14ac:dyDescent="0.25">
      <c r="A10424" s="157">
        <v>37230</v>
      </c>
      <c r="B10424" s="158">
        <v>5.61</v>
      </c>
    </row>
    <row r="10425" spans="1:2" x14ac:dyDescent="0.25">
      <c r="A10425" s="157">
        <v>37231</v>
      </c>
      <c r="B10425" s="158">
        <v>5.72</v>
      </c>
    </row>
    <row r="10426" spans="1:2" x14ac:dyDescent="0.25">
      <c r="A10426" s="157">
        <v>37232</v>
      </c>
      <c r="B10426" s="158">
        <v>5.9</v>
      </c>
    </row>
    <row r="10427" spans="1:2" x14ac:dyDescent="0.25">
      <c r="A10427" s="157">
        <v>37235</v>
      </c>
      <c r="B10427" s="158">
        <v>5.86</v>
      </c>
    </row>
    <row r="10428" spans="1:2" x14ac:dyDescent="0.25">
      <c r="A10428" s="157">
        <v>37236</v>
      </c>
      <c r="B10428" s="158">
        <v>5.83</v>
      </c>
    </row>
    <row r="10429" spans="1:2" x14ac:dyDescent="0.25">
      <c r="A10429" s="157">
        <v>37237</v>
      </c>
      <c r="B10429" s="158">
        <v>5.74</v>
      </c>
    </row>
    <row r="10430" spans="1:2" x14ac:dyDescent="0.25">
      <c r="A10430" s="157">
        <v>37238</v>
      </c>
      <c r="B10430" s="158">
        <v>5.81</v>
      </c>
    </row>
    <row r="10431" spans="1:2" x14ac:dyDescent="0.25">
      <c r="A10431" s="157">
        <v>37239</v>
      </c>
      <c r="B10431" s="158">
        <v>5.89</v>
      </c>
    </row>
    <row r="10432" spans="1:2" x14ac:dyDescent="0.25">
      <c r="A10432" s="157">
        <v>37242</v>
      </c>
      <c r="B10432" s="158">
        <v>5.91</v>
      </c>
    </row>
    <row r="10433" spans="1:2" x14ac:dyDescent="0.25">
      <c r="A10433" s="157">
        <v>37243</v>
      </c>
      <c r="B10433" s="158">
        <v>5.81</v>
      </c>
    </row>
    <row r="10434" spans="1:2" x14ac:dyDescent="0.25">
      <c r="A10434" s="157">
        <v>37244</v>
      </c>
      <c r="B10434" s="158">
        <v>5.73</v>
      </c>
    </row>
    <row r="10435" spans="1:2" x14ac:dyDescent="0.25">
      <c r="A10435" s="157">
        <v>37245</v>
      </c>
      <c r="B10435" s="158">
        <v>5.73</v>
      </c>
    </row>
    <row r="10436" spans="1:2" x14ac:dyDescent="0.25">
      <c r="A10436" s="157">
        <v>37246</v>
      </c>
      <c r="B10436" s="158">
        <v>5.76</v>
      </c>
    </row>
    <row r="10437" spans="1:2" x14ac:dyDescent="0.25">
      <c r="A10437" s="157">
        <v>37249</v>
      </c>
      <c r="B10437" s="158">
        <v>5.81</v>
      </c>
    </row>
    <row r="10438" spans="1:2" x14ac:dyDescent="0.25">
      <c r="A10438" s="157">
        <v>37250</v>
      </c>
      <c r="B10438" s="158" t="e">
        <f>NA()</f>
        <v>#N/A</v>
      </c>
    </row>
    <row r="10439" spans="1:2" x14ac:dyDescent="0.25">
      <c r="A10439" s="157">
        <v>37251</v>
      </c>
      <c r="B10439" s="158">
        <v>5.84</v>
      </c>
    </row>
    <row r="10440" spans="1:2" x14ac:dyDescent="0.25">
      <c r="A10440" s="157">
        <v>37252</v>
      </c>
      <c r="B10440" s="158">
        <v>5.78</v>
      </c>
    </row>
    <row r="10441" spans="1:2" x14ac:dyDescent="0.25">
      <c r="A10441" s="157">
        <v>37253</v>
      </c>
      <c r="B10441" s="158">
        <v>5.82</v>
      </c>
    </row>
    <row r="10442" spans="1:2" x14ac:dyDescent="0.25">
      <c r="A10442" s="157">
        <v>37256</v>
      </c>
      <c r="B10442" s="158">
        <v>5.74</v>
      </c>
    </row>
    <row r="10443" spans="1:2" x14ac:dyDescent="0.25">
      <c r="A10443" s="157">
        <v>37257</v>
      </c>
      <c r="B10443" s="158" t="e">
        <f>NA()</f>
        <v>#N/A</v>
      </c>
    </row>
    <row r="10444" spans="1:2" x14ac:dyDescent="0.25">
      <c r="A10444" s="157">
        <v>37258</v>
      </c>
      <c r="B10444" s="158">
        <v>5.86</v>
      </c>
    </row>
    <row r="10445" spans="1:2" x14ac:dyDescent="0.25">
      <c r="A10445" s="157">
        <v>37259</v>
      </c>
      <c r="B10445" s="158">
        <v>5.83</v>
      </c>
    </row>
    <row r="10446" spans="1:2" x14ac:dyDescent="0.25">
      <c r="A10446" s="157">
        <v>37260</v>
      </c>
      <c r="B10446" s="158">
        <v>5.87</v>
      </c>
    </row>
    <row r="10447" spans="1:2" x14ac:dyDescent="0.25">
      <c r="A10447" s="157">
        <v>37263</v>
      </c>
      <c r="B10447" s="158">
        <v>5.76</v>
      </c>
    </row>
    <row r="10448" spans="1:2" x14ac:dyDescent="0.25">
      <c r="A10448" s="157">
        <v>37264</v>
      </c>
      <c r="B10448" s="158">
        <v>5.77</v>
      </c>
    </row>
    <row r="10449" spans="1:2" x14ac:dyDescent="0.25">
      <c r="A10449" s="157">
        <v>37265</v>
      </c>
      <c r="B10449" s="158">
        <v>5.76</v>
      </c>
    </row>
    <row r="10450" spans="1:2" x14ac:dyDescent="0.25">
      <c r="A10450" s="157">
        <v>37266</v>
      </c>
      <c r="B10450" s="158">
        <v>5.64</v>
      </c>
    </row>
    <row r="10451" spans="1:2" x14ac:dyDescent="0.25">
      <c r="A10451" s="157">
        <v>37267</v>
      </c>
      <c r="B10451" s="158">
        <v>5.6</v>
      </c>
    </row>
    <row r="10452" spans="1:2" x14ac:dyDescent="0.25">
      <c r="A10452" s="157">
        <v>37270</v>
      </c>
      <c r="B10452" s="158">
        <v>5.62</v>
      </c>
    </row>
    <row r="10453" spans="1:2" x14ac:dyDescent="0.25">
      <c r="A10453" s="157">
        <v>37271</v>
      </c>
      <c r="B10453" s="158">
        <v>5.56</v>
      </c>
    </row>
    <row r="10454" spans="1:2" x14ac:dyDescent="0.25">
      <c r="A10454" s="157">
        <v>37272</v>
      </c>
      <c r="B10454" s="158">
        <v>5.58</v>
      </c>
    </row>
    <row r="10455" spans="1:2" x14ac:dyDescent="0.25">
      <c r="A10455" s="157">
        <v>37273</v>
      </c>
      <c r="B10455" s="158">
        <v>5.65</v>
      </c>
    </row>
    <row r="10456" spans="1:2" x14ac:dyDescent="0.25">
      <c r="A10456" s="157">
        <v>37274</v>
      </c>
      <c r="B10456" s="158">
        <v>5.59</v>
      </c>
    </row>
    <row r="10457" spans="1:2" x14ac:dyDescent="0.25">
      <c r="A10457" s="157">
        <v>37277</v>
      </c>
      <c r="B10457" s="158" t="e">
        <f>NA()</f>
        <v>#N/A</v>
      </c>
    </row>
    <row r="10458" spans="1:2" x14ac:dyDescent="0.25">
      <c r="A10458" s="157">
        <v>37278</v>
      </c>
      <c r="B10458" s="158">
        <v>5.62</v>
      </c>
    </row>
    <row r="10459" spans="1:2" x14ac:dyDescent="0.25">
      <c r="A10459" s="157">
        <v>37279</v>
      </c>
      <c r="B10459" s="158">
        <v>5.73</v>
      </c>
    </row>
    <row r="10460" spans="1:2" x14ac:dyDescent="0.25">
      <c r="A10460" s="157">
        <v>37280</v>
      </c>
      <c r="B10460" s="158">
        <v>5.71</v>
      </c>
    </row>
    <row r="10461" spans="1:2" x14ac:dyDescent="0.25">
      <c r="A10461" s="157">
        <v>37281</v>
      </c>
      <c r="B10461" s="158">
        <v>5.72</v>
      </c>
    </row>
    <row r="10462" spans="1:2" x14ac:dyDescent="0.25">
      <c r="A10462" s="157">
        <v>37284</v>
      </c>
      <c r="B10462" s="158">
        <v>5.72</v>
      </c>
    </row>
    <row r="10463" spans="1:2" x14ac:dyDescent="0.25">
      <c r="A10463" s="157">
        <v>37285</v>
      </c>
      <c r="B10463" s="158">
        <v>5.63</v>
      </c>
    </row>
    <row r="10464" spans="1:2" x14ac:dyDescent="0.25">
      <c r="A10464" s="157">
        <v>37286</v>
      </c>
      <c r="B10464" s="158">
        <v>5.64</v>
      </c>
    </row>
    <row r="10465" spans="1:2" x14ac:dyDescent="0.25">
      <c r="A10465" s="157">
        <v>37287</v>
      </c>
      <c r="B10465" s="158">
        <v>5.68</v>
      </c>
    </row>
    <row r="10466" spans="1:2" x14ac:dyDescent="0.25">
      <c r="A10466" s="157">
        <v>37288</v>
      </c>
      <c r="B10466" s="158">
        <v>5.63</v>
      </c>
    </row>
    <row r="10467" spans="1:2" x14ac:dyDescent="0.25">
      <c r="A10467" s="157">
        <v>37291</v>
      </c>
      <c r="B10467" s="158">
        <v>5.57</v>
      </c>
    </row>
    <row r="10468" spans="1:2" x14ac:dyDescent="0.25">
      <c r="A10468" s="157">
        <v>37292</v>
      </c>
      <c r="B10468" s="158">
        <v>5.56</v>
      </c>
    </row>
    <row r="10469" spans="1:2" x14ac:dyDescent="0.25">
      <c r="A10469" s="157">
        <v>37293</v>
      </c>
      <c r="B10469" s="158">
        <v>5.61</v>
      </c>
    </row>
    <row r="10470" spans="1:2" x14ac:dyDescent="0.25">
      <c r="A10470" s="157">
        <v>37294</v>
      </c>
      <c r="B10470" s="158">
        <v>5.64</v>
      </c>
    </row>
    <row r="10471" spans="1:2" x14ac:dyDescent="0.25">
      <c r="A10471" s="157">
        <v>37295</v>
      </c>
      <c r="B10471" s="158">
        <v>5.6</v>
      </c>
    </row>
    <row r="10472" spans="1:2" x14ac:dyDescent="0.25">
      <c r="A10472" s="157">
        <v>37298</v>
      </c>
      <c r="B10472" s="158">
        <v>5.63</v>
      </c>
    </row>
    <row r="10473" spans="1:2" x14ac:dyDescent="0.25">
      <c r="A10473" s="157">
        <v>37299</v>
      </c>
      <c r="B10473" s="158">
        <v>5.69</v>
      </c>
    </row>
    <row r="10474" spans="1:2" x14ac:dyDescent="0.25">
      <c r="A10474" s="157">
        <v>37300</v>
      </c>
      <c r="B10474" s="158">
        <v>5.72</v>
      </c>
    </row>
    <row r="10475" spans="1:2" x14ac:dyDescent="0.25">
      <c r="A10475" s="157">
        <v>37301</v>
      </c>
      <c r="B10475" s="158">
        <v>5.64</v>
      </c>
    </row>
    <row r="10476" spans="1:2" x14ac:dyDescent="0.25">
      <c r="A10476" s="157">
        <v>37302</v>
      </c>
      <c r="B10476" s="158">
        <v>5.58</v>
      </c>
    </row>
    <row r="10477" spans="1:2" x14ac:dyDescent="0.25">
      <c r="A10477" s="157">
        <v>37305</v>
      </c>
      <c r="B10477" s="158" t="e">
        <f>NA()</f>
        <v>#N/A</v>
      </c>
    </row>
    <row r="10478" spans="1:2" x14ac:dyDescent="0.25">
      <c r="A10478" s="157">
        <v>37306</v>
      </c>
      <c r="B10478" s="158">
        <v>5.61</v>
      </c>
    </row>
    <row r="10479" spans="1:2" x14ac:dyDescent="0.25">
      <c r="A10479" s="157">
        <v>37307</v>
      </c>
      <c r="B10479" s="158">
        <v>5.6</v>
      </c>
    </row>
    <row r="10480" spans="1:2" x14ac:dyDescent="0.25">
      <c r="A10480" s="157">
        <v>37308</v>
      </c>
      <c r="B10480" s="158">
        <v>5.58</v>
      </c>
    </row>
    <row r="10481" spans="1:2" x14ac:dyDescent="0.25">
      <c r="A10481" s="157">
        <v>37309</v>
      </c>
      <c r="B10481" s="158">
        <v>5.55</v>
      </c>
    </row>
    <row r="10482" spans="1:2" x14ac:dyDescent="0.25">
      <c r="A10482" s="157">
        <v>37312</v>
      </c>
      <c r="B10482" s="158">
        <v>5.56</v>
      </c>
    </row>
    <row r="10483" spans="1:2" x14ac:dyDescent="0.25">
      <c r="A10483" s="157">
        <v>37313</v>
      </c>
      <c r="B10483" s="158">
        <v>5.63</v>
      </c>
    </row>
    <row r="10484" spans="1:2" x14ac:dyDescent="0.25">
      <c r="A10484" s="157">
        <v>37314</v>
      </c>
      <c r="B10484" s="158">
        <v>5.56</v>
      </c>
    </row>
    <row r="10485" spans="1:2" x14ac:dyDescent="0.25">
      <c r="A10485" s="157">
        <v>37315</v>
      </c>
      <c r="B10485" s="158">
        <v>5.61</v>
      </c>
    </row>
    <row r="10486" spans="1:2" x14ac:dyDescent="0.25">
      <c r="A10486" s="157">
        <v>37316</v>
      </c>
      <c r="B10486" s="158">
        <v>5.7</v>
      </c>
    </row>
    <row r="10487" spans="1:2" x14ac:dyDescent="0.25">
      <c r="A10487" s="157">
        <v>37319</v>
      </c>
      <c r="B10487" s="158">
        <v>5.71</v>
      </c>
    </row>
    <row r="10488" spans="1:2" x14ac:dyDescent="0.25">
      <c r="A10488" s="157">
        <v>37320</v>
      </c>
      <c r="B10488" s="158">
        <v>5.7</v>
      </c>
    </row>
    <row r="10489" spans="1:2" x14ac:dyDescent="0.25">
      <c r="A10489" s="157">
        <v>37321</v>
      </c>
      <c r="B10489" s="158">
        <v>5.74</v>
      </c>
    </row>
    <row r="10490" spans="1:2" x14ac:dyDescent="0.25">
      <c r="A10490" s="157">
        <v>37322</v>
      </c>
      <c r="B10490" s="158">
        <v>5.88</v>
      </c>
    </row>
    <row r="10491" spans="1:2" x14ac:dyDescent="0.25">
      <c r="A10491" s="157">
        <v>37323</v>
      </c>
      <c r="B10491" s="158">
        <v>5.95</v>
      </c>
    </row>
    <row r="10492" spans="1:2" x14ac:dyDescent="0.25">
      <c r="A10492" s="157">
        <v>37326</v>
      </c>
      <c r="B10492" s="158">
        <v>5.96</v>
      </c>
    </row>
    <row r="10493" spans="1:2" x14ac:dyDescent="0.25">
      <c r="A10493" s="157">
        <v>37327</v>
      </c>
      <c r="B10493" s="158">
        <v>5.96</v>
      </c>
    </row>
    <row r="10494" spans="1:2" x14ac:dyDescent="0.25">
      <c r="A10494" s="157">
        <v>37328</v>
      </c>
      <c r="B10494" s="158">
        <v>5.95</v>
      </c>
    </row>
    <row r="10495" spans="1:2" x14ac:dyDescent="0.25">
      <c r="A10495" s="157">
        <v>37329</v>
      </c>
      <c r="B10495" s="158">
        <v>6.05</v>
      </c>
    </row>
    <row r="10496" spans="1:2" x14ac:dyDescent="0.25">
      <c r="A10496" s="157">
        <v>37330</v>
      </c>
      <c r="B10496" s="158">
        <v>5.98</v>
      </c>
    </row>
    <row r="10497" spans="1:2" x14ac:dyDescent="0.25">
      <c r="A10497" s="157">
        <v>37333</v>
      </c>
      <c r="B10497" s="158">
        <v>5.95</v>
      </c>
    </row>
    <row r="10498" spans="1:2" x14ac:dyDescent="0.25">
      <c r="A10498" s="157">
        <v>37334</v>
      </c>
      <c r="B10498" s="158">
        <v>5.96</v>
      </c>
    </row>
    <row r="10499" spans="1:2" x14ac:dyDescent="0.25">
      <c r="A10499" s="157">
        <v>37335</v>
      </c>
      <c r="B10499" s="158">
        <v>6.04</v>
      </c>
    </row>
    <row r="10500" spans="1:2" x14ac:dyDescent="0.25">
      <c r="A10500" s="157">
        <v>37336</v>
      </c>
      <c r="B10500" s="158">
        <v>6.02</v>
      </c>
    </row>
    <row r="10501" spans="1:2" x14ac:dyDescent="0.25">
      <c r="A10501" s="157">
        <v>37337</v>
      </c>
      <c r="B10501" s="158">
        <v>6.04</v>
      </c>
    </row>
    <row r="10502" spans="1:2" x14ac:dyDescent="0.25">
      <c r="A10502" s="157">
        <v>37340</v>
      </c>
      <c r="B10502" s="158">
        <v>6.03</v>
      </c>
    </row>
    <row r="10503" spans="1:2" x14ac:dyDescent="0.25">
      <c r="A10503" s="157">
        <v>37341</v>
      </c>
      <c r="B10503" s="158">
        <v>5.96</v>
      </c>
    </row>
    <row r="10504" spans="1:2" x14ac:dyDescent="0.25">
      <c r="A10504" s="157">
        <v>37342</v>
      </c>
      <c r="B10504" s="158">
        <v>5.96</v>
      </c>
    </row>
    <row r="10505" spans="1:2" x14ac:dyDescent="0.25">
      <c r="A10505" s="157">
        <v>37343</v>
      </c>
      <c r="B10505" s="158">
        <v>6.03</v>
      </c>
    </row>
    <row r="10506" spans="1:2" x14ac:dyDescent="0.25">
      <c r="A10506" s="157">
        <v>37344</v>
      </c>
      <c r="B10506" s="158" t="e">
        <f>NA()</f>
        <v>#N/A</v>
      </c>
    </row>
    <row r="10507" spans="1:2" x14ac:dyDescent="0.25">
      <c r="A10507" s="157">
        <v>37347</v>
      </c>
      <c r="B10507" s="158">
        <v>6.04</v>
      </c>
    </row>
    <row r="10508" spans="1:2" x14ac:dyDescent="0.25">
      <c r="A10508" s="157">
        <v>37348</v>
      </c>
      <c r="B10508" s="158">
        <v>5.96</v>
      </c>
    </row>
    <row r="10509" spans="1:2" x14ac:dyDescent="0.25">
      <c r="A10509" s="157">
        <v>37349</v>
      </c>
      <c r="B10509" s="158">
        <v>5.92</v>
      </c>
    </row>
    <row r="10510" spans="1:2" x14ac:dyDescent="0.25">
      <c r="A10510" s="157">
        <v>37350</v>
      </c>
      <c r="B10510" s="158">
        <v>5.89</v>
      </c>
    </row>
    <row r="10511" spans="1:2" x14ac:dyDescent="0.25">
      <c r="A10511" s="157">
        <v>37351</v>
      </c>
      <c r="B10511" s="158">
        <v>5.84</v>
      </c>
    </row>
    <row r="10512" spans="1:2" x14ac:dyDescent="0.25">
      <c r="A10512" s="157">
        <v>37354</v>
      </c>
      <c r="B10512" s="158">
        <v>5.89</v>
      </c>
    </row>
    <row r="10513" spans="1:2" x14ac:dyDescent="0.25">
      <c r="A10513" s="157">
        <v>37355</v>
      </c>
      <c r="B10513" s="158">
        <v>5.84</v>
      </c>
    </row>
    <row r="10514" spans="1:2" x14ac:dyDescent="0.25">
      <c r="A10514" s="157">
        <v>37356</v>
      </c>
      <c r="B10514" s="158">
        <v>5.88</v>
      </c>
    </row>
    <row r="10515" spans="1:2" x14ac:dyDescent="0.25">
      <c r="A10515" s="157">
        <v>37357</v>
      </c>
      <c r="B10515" s="158">
        <v>5.85</v>
      </c>
    </row>
    <row r="10516" spans="1:2" x14ac:dyDescent="0.25">
      <c r="A10516" s="157">
        <v>37358</v>
      </c>
      <c r="B10516" s="158">
        <v>5.81</v>
      </c>
    </row>
    <row r="10517" spans="1:2" x14ac:dyDescent="0.25">
      <c r="A10517" s="157">
        <v>37361</v>
      </c>
      <c r="B10517" s="158">
        <v>5.78</v>
      </c>
    </row>
    <row r="10518" spans="1:2" x14ac:dyDescent="0.25">
      <c r="A10518" s="157">
        <v>37362</v>
      </c>
      <c r="B10518" s="158">
        <v>5.83</v>
      </c>
    </row>
    <row r="10519" spans="1:2" x14ac:dyDescent="0.25">
      <c r="A10519" s="157">
        <v>37363</v>
      </c>
      <c r="B10519" s="158">
        <v>5.9</v>
      </c>
    </row>
    <row r="10520" spans="1:2" x14ac:dyDescent="0.25">
      <c r="A10520" s="157">
        <v>37364</v>
      </c>
      <c r="B10520" s="158">
        <v>5.88</v>
      </c>
    </row>
    <row r="10521" spans="1:2" x14ac:dyDescent="0.25">
      <c r="A10521" s="157">
        <v>37365</v>
      </c>
      <c r="B10521" s="158">
        <v>5.85</v>
      </c>
    </row>
    <row r="10522" spans="1:2" x14ac:dyDescent="0.25">
      <c r="A10522" s="157">
        <v>37368</v>
      </c>
      <c r="B10522" s="158">
        <v>5.85</v>
      </c>
    </row>
    <row r="10523" spans="1:2" x14ac:dyDescent="0.25">
      <c r="A10523" s="157">
        <v>37369</v>
      </c>
      <c r="B10523" s="158">
        <v>5.83</v>
      </c>
    </row>
    <row r="10524" spans="1:2" x14ac:dyDescent="0.25">
      <c r="A10524" s="157">
        <v>37370</v>
      </c>
      <c r="B10524" s="158">
        <v>5.77</v>
      </c>
    </row>
    <row r="10525" spans="1:2" x14ac:dyDescent="0.25">
      <c r="A10525" s="157">
        <v>37371</v>
      </c>
      <c r="B10525" s="158">
        <v>5.77</v>
      </c>
    </row>
    <row r="10526" spans="1:2" x14ac:dyDescent="0.25">
      <c r="A10526" s="157">
        <v>37372</v>
      </c>
      <c r="B10526" s="158">
        <v>5.73</v>
      </c>
    </row>
    <row r="10527" spans="1:2" x14ac:dyDescent="0.25">
      <c r="A10527" s="157">
        <v>37375</v>
      </c>
      <c r="B10527" s="158">
        <v>5.77</v>
      </c>
    </row>
    <row r="10528" spans="1:2" x14ac:dyDescent="0.25">
      <c r="A10528" s="157">
        <v>37376</v>
      </c>
      <c r="B10528" s="158">
        <v>5.74</v>
      </c>
    </row>
    <row r="10529" spans="1:2" x14ac:dyDescent="0.25">
      <c r="A10529" s="157">
        <v>37377</v>
      </c>
      <c r="B10529" s="158">
        <v>5.71</v>
      </c>
    </row>
    <row r="10530" spans="1:2" x14ac:dyDescent="0.25">
      <c r="A10530" s="157">
        <v>37378</v>
      </c>
      <c r="B10530" s="158">
        <v>5.74</v>
      </c>
    </row>
    <row r="10531" spans="1:2" x14ac:dyDescent="0.25">
      <c r="A10531" s="157">
        <v>37379</v>
      </c>
      <c r="B10531" s="158">
        <v>5.7</v>
      </c>
    </row>
    <row r="10532" spans="1:2" x14ac:dyDescent="0.25">
      <c r="A10532" s="157">
        <v>37382</v>
      </c>
      <c r="B10532" s="158">
        <v>5.71</v>
      </c>
    </row>
    <row r="10533" spans="1:2" x14ac:dyDescent="0.25">
      <c r="A10533" s="157">
        <v>37383</v>
      </c>
      <c r="B10533" s="158">
        <v>5.71</v>
      </c>
    </row>
    <row r="10534" spans="1:2" x14ac:dyDescent="0.25">
      <c r="A10534" s="157">
        <v>37384</v>
      </c>
      <c r="B10534" s="158">
        <v>5.84</v>
      </c>
    </row>
    <row r="10535" spans="1:2" x14ac:dyDescent="0.25">
      <c r="A10535" s="157">
        <v>37385</v>
      </c>
      <c r="B10535" s="158">
        <v>5.8</v>
      </c>
    </row>
    <row r="10536" spans="1:2" x14ac:dyDescent="0.25">
      <c r="A10536" s="157">
        <v>37386</v>
      </c>
      <c r="B10536" s="158">
        <v>5.77</v>
      </c>
    </row>
    <row r="10537" spans="1:2" x14ac:dyDescent="0.25">
      <c r="A10537" s="157">
        <v>37389</v>
      </c>
      <c r="B10537" s="158">
        <v>5.86</v>
      </c>
    </row>
    <row r="10538" spans="1:2" x14ac:dyDescent="0.25">
      <c r="A10538" s="157">
        <v>37390</v>
      </c>
      <c r="B10538" s="158">
        <v>5.94</v>
      </c>
    </row>
    <row r="10539" spans="1:2" x14ac:dyDescent="0.25">
      <c r="A10539" s="157">
        <v>37391</v>
      </c>
      <c r="B10539" s="158">
        <v>5.92</v>
      </c>
    </row>
    <row r="10540" spans="1:2" x14ac:dyDescent="0.25">
      <c r="A10540" s="157">
        <v>37392</v>
      </c>
      <c r="B10540" s="158">
        <v>5.87</v>
      </c>
    </row>
    <row r="10541" spans="1:2" x14ac:dyDescent="0.25">
      <c r="A10541" s="157">
        <v>37393</v>
      </c>
      <c r="B10541" s="158">
        <v>5.94</v>
      </c>
    </row>
    <row r="10542" spans="1:2" x14ac:dyDescent="0.25">
      <c r="A10542" s="157">
        <v>37396</v>
      </c>
      <c r="B10542" s="158">
        <v>5.88</v>
      </c>
    </row>
    <row r="10543" spans="1:2" x14ac:dyDescent="0.25">
      <c r="A10543" s="157">
        <v>37397</v>
      </c>
      <c r="B10543" s="158">
        <v>5.84</v>
      </c>
    </row>
    <row r="10544" spans="1:2" x14ac:dyDescent="0.25">
      <c r="A10544" s="157">
        <v>37398</v>
      </c>
      <c r="B10544" s="158">
        <v>5.8</v>
      </c>
    </row>
    <row r="10545" spans="1:2" x14ac:dyDescent="0.25">
      <c r="A10545" s="157">
        <v>37399</v>
      </c>
      <c r="B10545" s="158">
        <v>5.83</v>
      </c>
    </row>
    <row r="10546" spans="1:2" x14ac:dyDescent="0.25">
      <c r="A10546" s="157">
        <v>37400</v>
      </c>
      <c r="B10546" s="158">
        <v>5.83</v>
      </c>
    </row>
    <row r="10547" spans="1:2" x14ac:dyDescent="0.25">
      <c r="A10547" s="157">
        <v>37403</v>
      </c>
      <c r="B10547" s="158" t="e">
        <f>NA()</f>
        <v>#N/A</v>
      </c>
    </row>
    <row r="10548" spans="1:2" x14ac:dyDescent="0.25">
      <c r="A10548" s="157">
        <v>37404</v>
      </c>
      <c r="B10548" s="158">
        <v>5.83</v>
      </c>
    </row>
    <row r="10549" spans="1:2" x14ac:dyDescent="0.25">
      <c r="A10549" s="157">
        <v>37405</v>
      </c>
      <c r="B10549" s="158">
        <v>5.79</v>
      </c>
    </row>
    <row r="10550" spans="1:2" x14ac:dyDescent="0.25">
      <c r="A10550" s="157">
        <v>37406</v>
      </c>
      <c r="B10550" s="158">
        <v>5.74</v>
      </c>
    </row>
    <row r="10551" spans="1:2" x14ac:dyDescent="0.25">
      <c r="A10551" s="157">
        <v>37407</v>
      </c>
      <c r="B10551" s="158">
        <v>5.77</v>
      </c>
    </row>
    <row r="10552" spans="1:2" x14ac:dyDescent="0.25">
      <c r="A10552" s="157">
        <v>37410</v>
      </c>
      <c r="B10552" s="158">
        <v>5.76</v>
      </c>
    </row>
    <row r="10553" spans="1:2" x14ac:dyDescent="0.25">
      <c r="A10553" s="157">
        <v>37411</v>
      </c>
      <c r="B10553" s="158">
        <v>5.75</v>
      </c>
    </row>
    <row r="10554" spans="1:2" x14ac:dyDescent="0.25">
      <c r="A10554" s="157">
        <v>37412</v>
      </c>
      <c r="B10554" s="158">
        <v>5.79</v>
      </c>
    </row>
    <row r="10555" spans="1:2" x14ac:dyDescent="0.25">
      <c r="A10555" s="157">
        <v>37413</v>
      </c>
      <c r="B10555" s="158">
        <v>5.75</v>
      </c>
    </row>
    <row r="10556" spans="1:2" x14ac:dyDescent="0.25">
      <c r="A10556" s="157">
        <v>37414</v>
      </c>
      <c r="B10556" s="158">
        <v>5.81</v>
      </c>
    </row>
    <row r="10557" spans="1:2" x14ac:dyDescent="0.25">
      <c r="A10557" s="157">
        <v>37417</v>
      </c>
      <c r="B10557" s="158">
        <v>5.76</v>
      </c>
    </row>
    <row r="10558" spans="1:2" x14ac:dyDescent="0.25">
      <c r="A10558" s="157">
        <v>37418</v>
      </c>
      <c r="B10558" s="158">
        <v>5.71</v>
      </c>
    </row>
    <row r="10559" spans="1:2" x14ac:dyDescent="0.25">
      <c r="A10559" s="157">
        <v>37419</v>
      </c>
      <c r="B10559" s="158">
        <v>5.68</v>
      </c>
    </row>
    <row r="10560" spans="1:2" x14ac:dyDescent="0.25">
      <c r="A10560" s="157">
        <v>37420</v>
      </c>
      <c r="B10560" s="158">
        <v>5.65</v>
      </c>
    </row>
    <row r="10561" spans="1:2" x14ac:dyDescent="0.25">
      <c r="A10561" s="157">
        <v>37421</v>
      </c>
      <c r="B10561" s="158">
        <v>5.54</v>
      </c>
    </row>
    <row r="10562" spans="1:2" x14ac:dyDescent="0.25">
      <c r="A10562" s="157">
        <v>37424</v>
      </c>
      <c r="B10562" s="158">
        <v>5.61</v>
      </c>
    </row>
    <row r="10563" spans="1:2" x14ac:dyDescent="0.25">
      <c r="A10563" s="157">
        <v>37425</v>
      </c>
      <c r="B10563" s="158">
        <v>5.6</v>
      </c>
    </row>
    <row r="10564" spans="1:2" x14ac:dyDescent="0.25">
      <c r="A10564" s="157">
        <v>37426</v>
      </c>
      <c r="B10564" s="158">
        <v>5.51</v>
      </c>
    </row>
    <row r="10565" spans="1:2" x14ac:dyDescent="0.25">
      <c r="A10565" s="157">
        <v>37427</v>
      </c>
      <c r="B10565" s="158">
        <v>5.59</v>
      </c>
    </row>
    <row r="10566" spans="1:2" x14ac:dyDescent="0.25">
      <c r="A10566" s="157">
        <v>37428</v>
      </c>
      <c r="B10566" s="158">
        <v>5.54</v>
      </c>
    </row>
    <row r="10567" spans="1:2" x14ac:dyDescent="0.25">
      <c r="A10567" s="157">
        <v>37431</v>
      </c>
      <c r="B10567" s="158">
        <v>5.6</v>
      </c>
    </row>
    <row r="10568" spans="1:2" x14ac:dyDescent="0.25">
      <c r="A10568" s="157">
        <v>37432</v>
      </c>
      <c r="B10568" s="158">
        <v>5.62</v>
      </c>
    </row>
    <row r="10569" spans="1:2" x14ac:dyDescent="0.25">
      <c r="A10569" s="157">
        <v>37433</v>
      </c>
      <c r="B10569" s="158">
        <v>5.53</v>
      </c>
    </row>
    <row r="10570" spans="1:2" x14ac:dyDescent="0.25">
      <c r="A10570" s="157">
        <v>37434</v>
      </c>
      <c r="B10570" s="158">
        <v>5.63</v>
      </c>
    </row>
    <row r="10571" spans="1:2" x14ac:dyDescent="0.25">
      <c r="A10571" s="157">
        <v>37435</v>
      </c>
      <c r="B10571" s="158">
        <v>5.65</v>
      </c>
    </row>
    <row r="10572" spans="1:2" x14ac:dyDescent="0.25">
      <c r="A10572" s="157">
        <v>37438</v>
      </c>
      <c r="B10572" s="158">
        <v>5.64</v>
      </c>
    </row>
    <row r="10573" spans="1:2" x14ac:dyDescent="0.25">
      <c r="A10573" s="157">
        <v>37439</v>
      </c>
      <c r="B10573" s="158">
        <v>5.56</v>
      </c>
    </row>
    <row r="10574" spans="1:2" x14ac:dyDescent="0.25">
      <c r="A10574" s="157">
        <v>37440</v>
      </c>
      <c r="B10574" s="158">
        <v>5.57</v>
      </c>
    </row>
    <row r="10575" spans="1:2" x14ac:dyDescent="0.25">
      <c r="A10575" s="157">
        <v>37441</v>
      </c>
      <c r="B10575" s="158" t="e">
        <f>NA()</f>
        <v>#N/A</v>
      </c>
    </row>
    <row r="10576" spans="1:2" x14ac:dyDescent="0.25">
      <c r="A10576" s="157">
        <v>37442</v>
      </c>
      <c r="B10576" s="158">
        <v>5.67</v>
      </c>
    </row>
    <row r="10577" spans="1:2" x14ac:dyDescent="0.25">
      <c r="A10577" s="157">
        <v>37445</v>
      </c>
      <c r="B10577" s="158">
        <v>5.63</v>
      </c>
    </row>
    <row r="10578" spans="1:2" x14ac:dyDescent="0.25">
      <c r="A10578" s="157">
        <v>37446</v>
      </c>
      <c r="B10578" s="158">
        <v>5.57</v>
      </c>
    </row>
    <row r="10579" spans="1:2" x14ac:dyDescent="0.25">
      <c r="A10579" s="157">
        <v>37447</v>
      </c>
      <c r="B10579" s="158">
        <v>5.48</v>
      </c>
    </row>
    <row r="10580" spans="1:2" x14ac:dyDescent="0.25">
      <c r="A10580" s="157">
        <v>37448</v>
      </c>
      <c r="B10580" s="158">
        <v>5.47</v>
      </c>
    </row>
    <row r="10581" spans="1:2" x14ac:dyDescent="0.25">
      <c r="A10581" s="157">
        <v>37449</v>
      </c>
      <c r="B10581" s="158">
        <v>5.45</v>
      </c>
    </row>
    <row r="10582" spans="1:2" x14ac:dyDescent="0.25">
      <c r="A10582" s="157">
        <v>37452</v>
      </c>
      <c r="B10582" s="158">
        <v>5.49</v>
      </c>
    </row>
    <row r="10583" spans="1:2" x14ac:dyDescent="0.25">
      <c r="A10583" s="157">
        <v>37453</v>
      </c>
      <c r="B10583" s="158">
        <v>5.58</v>
      </c>
    </row>
    <row r="10584" spans="1:2" x14ac:dyDescent="0.25">
      <c r="A10584" s="157">
        <v>37454</v>
      </c>
      <c r="B10584" s="158">
        <v>5.54</v>
      </c>
    </row>
    <row r="10585" spans="1:2" x14ac:dyDescent="0.25">
      <c r="A10585" s="157">
        <v>37455</v>
      </c>
      <c r="B10585" s="158">
        <v>5.52</v>
      </c>
    </row>
    <row r="10586" spans="1:2" x14ac:dyDescent="0.25">
      <c r="A10586" s="157">
        <v>37456</v>
      </c>
      <c r="B10586" s="158">
        <v>5.47</v>
      </c>
    </row>
    <row r="10587" spans="1:2" x14ac:dyDescent="0.25">
      <c r="A10587" s="157">
        <v>37459</v>
      </c>
      <c r="B10587" s="158">
        <v>5.4</v>
      </c>
    </row>
    <row r="10588" spans="1:2" x14ac:dyDescent="0.25">
      <c r="A10588" s="157">
        <v>37460</v>
      </c>
      <c r="B10588" s="158">
        <v>5.39</v>
      </c>
    </row>
    <row r="10589" spans="1:2" x14ac:dyDescent="0.25">
      <c r="A10589" s="157">
        <v>37461</v>
      </c>
      <c r="B10589" s="158">
        <v>5.42</v>
      </c>
    </row>
    <row r="10590" spans="1:2" x14ac:dyDescent="0.25">
      <c r="A10590" s="157">
        <v>37462</v>
      </c>
      <c r="B10590" s="158">
        <v>5.39</v>
      </c>
    </row>
    <row r="10591" spans="1:2" x14ac:dyDescent="0.25">
      <c r="A10591" s="157">
        <v>37463</v>
      </c>
      <c r="B10591" s="158">
        <v>5.42</v>
      </c>
    </row>
    <row r="10592" spans="1:2" x14ac:dyDescent="0.25">
      <c r="A10592" s="157">
        <v>37466</v>
      </c>
      <c r="B10592" s="158">
        <v>5.54</v>
      </c>
    </row>
    <row r="10593" spans="1:2" x14ac:dyDescent="0.25">
      <c r="A10593" s="157">
        <v>37467</v>
      </c>
      <c r="B10593" s="158">
        <v>5.54</v>
      </c>
    </row>
    <row r="10594" spans="1:2" x14ac:dyDescent="0.25">
      <c r="A10594" s="157">
        <v>37468</v>
      </c>
      <c r="B10594" s="158">
        <v>5.41</v>
      </c>
    </row>
    <row r="10595" spans="1:2" x14ac:dyDescent="0.25">
      <c r="A10595" s="157">
        <v>37469</v>
      </c>
      <c r="B10595" s="158">
        <v>5.41</v>
      </c>
    </row>
    <row r="10596" spans="1:2" x14ac:dyDescent="0.25">
      <c r="A10596" s="157">
        <v>37470</v>
      </c>
      <c r="B10596" s="158">
        <v>5.29</v>
      </c>
    </row>
    <row r="10597" spans="1:2" x14ac:dyDescent="0.25">
      <c r="A10597" s="157">
        <v>37473</v>
      </c>
      <c r="B10597" s="158">
        <v>5.26</v>
      </c>
    </row>
    <row r="10598" spans="1:2" x14ac:dyDescent="0.25">
      <c r="A10598" s="157">
        <v>37474</v>
      </c>
      <c r="B10598" s="158">
        <v>5.35</v>
      </c>
    </row>
    <row r="10599" spans="1:2" x14ac:dyDescent="0.25">
      <c r="A10599" s="157">
        <v>37475</v>
      </c>
      <c r="B10599" s="158">
        <v>5.31</v>
      </c>
    </row>
    <row r="10600" spans="1:2" x14ac:dyDescent="0.25">
      <c r="A10600" s="157">
        <v>37476</v>
      </c>
      <c r="B10600" s="158">
        <v>5.34</v>
      </c>
    </row>
    <row r="10601" spans="1:2" x14ac:dyDescent="0.25">
      <c r="A10601" s="157">
        <v>37477</v>
      </c>
      <c r="B10601" s="158">
        <v>5.22</v>
      </c>
    </row>
    <row r="10602" spans="1:2" x14ac:dyDescent="0.25">
      <c r="A10602" s="157">
        <v>37480</v>
      </c>
      <c r="B10602" s="158">
        <v>5.16</v>
      </c>
    </row>
    <row r="10603" spans="1:2" x14ac:dyDescent="0.25">
      <c r="A10603" s="157">
        <v>37481</v>
      </c>
      <c r="B10603" s="158">
        <v>5.09</v>
      </c>
    </row>
    <row r="10604" spans="1:2" x14ac:dyDescent="0.25">
      <c r="A10604" s="157">
        <v>37482</v>
      </c>
      <c r="B10604" s="158">
        <v>5.03</v>
      </c>
    </row>
    <row r="10605" spans="1:2" x14ac:dyDescent="0.25">
      <c r="A10605" s="157">
        <v>37483</v>
      </c>
      <c r="B10605" s="158">
        <v>5.12</v>
      </c>
    </row>
    <row r="10606" spans="1:2" x14ac:dyDescent="0.25">
      <c r="A10606" s="157">
        <v>37484</v>
      </c>
      <c r="B10606" s="158">
        <v>5.24</v>
      </c>
    </row>
    <row r="10607" spans="1:2" x14ac:dyDescent="0.25">
      <c r="A10607" s="157">
        <v>37487</v>
      </c>
      <c r="B10607" s="158">
        <v>5.21</v>
      </c>
    </row>
    <row r="10608" spans="1:2" x14ac:dyDescent="0.25">
      <c r="A10608" s="157">
        <v>37488</v>
      </c>
      <c r="B10608" s="158">
        <v>5.12</v>
      </c>
    </row>
    <row r="10609" spans="1:2" x14ac:dyDescent="0.25">
      <c r="A10609" s="157">
        <v>37489</v>
      </c>
      <c r="B10609" s="158">
        <v>5.14</v>
      </c>
    </row>
    <row r="10610" spans="1:2" x14ac:dyDescent="0.25">
      <c r="A10610" s="157">
        <v>37490</v>
      </c>
      <c r="B10610" s="158">
        <v>5.22</v>
      </c>
    </row>
    <row r="10611" spans="1:2" x14ac:dyDescent="0.25">
      <c r="A10611" s="157">
        <v>37491</v>
      </c>
      <c r="B10611" s="158">
        <v>5.15</v>
      </c>
    </row>
    <row r="10612" spans="1:2" x14ac:dyDescent="0.25">
      <c r="A10612" s="157">
        <v>37494</v>
      </c>
      <c r="B10612" s="158">
        <v>5.12</v>
      </c>
    </row>
    <row r="10613" spans="1:2" x14ac:dyDescent="0.25">
      <c r="A10613" s="157">
        <v>37495</v>
      </c>
      <c r="B10613" s="158">
        <v>5.2</v>
      </c>
    </row>
    <row r="10614" spans="1:2" x14ac:dyDescent="0.25">
      <c r="A10614" s="157">
        <v>37496</v>
      </c>
      <c r="B10614" s="158">
        <v>5.14</v>
      </c>
    </row>
    <row r="10615" spans="1:2" x14ac:dyDescent="0.25">
      <c r="A10615" s="157">
        <v>37497</v>
      </c>
      <c r="B10615" s="158">
        <v>5.08</v>
      </c>
    </row>
    <row r="10616" spans="1:2" x14ac:dyDescent="0.25">
      <c r="A10616" s="157">
        <v>37498</v>
      </c>
      <c r="B10616" s="158">
        <v>5.0599999999999996</v>
      </c>
    </row>
    <row r="10617" spans="1:2" x14ac:dyDescent="0.25">
      <c r="A10617" s="157">
        <v>37501</v>
      </c>
      <c r="B10617" s="158" t="e">
        <f>NA()</f>
        <v>#N/A</v>
      </c>
    </row>
    <row r="10618" spans="1:2" x14ac:dyDescent="0.25">
      <c r="A10618" s="157">
        <v>37502</v>
      </c>
      <c r="B10618" s="158">
        <v>4.92</v>
      </c>
    </row>
    <row r="10619" spans="1:2" x14ac:dyDescent="0.25">
      <c r="A10619" s="157">
        <v>37503</v>
      </c>
      <c r="B10619" s="158">
        <v>4.91</v>
      </c>
    </row>
    <row r="10620" spans="1:2" x14ac:dyDescent="0.25">
      <c r="A10620" s="157">
        <v>37504</v>
      </c>
      <c r="B10620" s="158">
        <v>4.88</v>
      </c>
    </row>
    <row r="10621" spans="1:2" x14ac:dyDescent="0.25">
      <c r="A10621" s="157">
        <v>37505</v>
      </c>
      <c r="B10621" s="158">
        <v>5</v>
      </c>
    </row>
    <row r="10622" spans="1:2" x14ac:dyDescent="0.25">
      <c r="A10622" s="157">
        <v>37508</v>
      </c>
      <c r="B10622" s="158">
        <v>4.99</v>
      </c>
    </row>
    <row r="10623" spans="1:2" x14ac:dyDescent="0.25">
      <c r="A10623" s="157">
        <v>37509</v>
      </c>
      <c r="B10623" s="158">
        <v>4.96</v>
      </c>
    </row>
    <row r="10624" spans="1:2" x14ac:dyDescent="0.25">
      <c r="A10624" s="157">
        <v>37510</v>
      </c>
      <c r="B10624" s="158">
        <v>5.01</v>
      </c>
    </row>
    <row r="10625" spans="1:2" x14ac:dyDescent="0.25">
      <c r="A10625" s="157">
        <v>37511</v>
      </c>
      <c r="B10625" s="158">
        <v>4.93</v>
      </c>
    </row>
    <row r="10626" spans="1:2" x14ac:dyDescent="0.25">
      <c r="A10626" s="157">
        <v>37512</v>
      </c>
      <c r="B10626" s="158">
        <v>4.87</v>
      </c>
    </row>
    <row r="10627" spans="1:2" x14ac:dyDescent="0.25">
      <c r="A10627" s="157">
        <v>37515</v>
      </c>
      <c r="B10627" s="158">
        <v>4.8499999999999996</v>
      </c>
    </row>
    <row r="10628" spans="1:2" x14ac:dyDescent="0.25">
      <c r="A10628" s="157">
        <v>37516</v>
      </c>
      <c r="B10628" s="158">
        <v>4.83</v>
      </c>
    </row>
    <row r="10629" spans="1:2" x14ac:dyDescent="0.25">
      <c r="A10629" s="157">
        <v>37517</v>
      </c>
      <c r="B10629" s="158">
        <v>4.8499999999999996</v>
      </c>
    </row>
    <row r="10630" spans="1:2" x14ac:dyDescent="0.25">
      <c r="A10630" s="157">
        <v>37518</v>
      </c>
      <c r="B10630" s="158">
        <v>4.8</v>
      </c>
    </row>
    <row r="10631" spans="1:2" x14ac:dyDescent="0.25">
      <c r="A10631" s="157">
        <v>37519</v>
      </c>
      <c r="B10631" s="158">
        <v>4.82</v>
      </c>
    </row>
    <row r="10632" spans="1:2" x14ac:dyDescent="0.25">
      <c r="A10632" s="157">
        <v>37522</v>
      </c>
      <c r="B10632" s="158">
        <v>4.75</v>
      </c>
    </row>
    <row r="10633" spans="1:2" x14ac:dyDescent="0.25">
      <c r="A10633" s="157">
        <v>37523</v>
      </c>
      <c r="B10633" s="158">
        <v>4.74</v>
      </c>
    </row>
    <row r="10634" spans="1:2" x14ac:dyDescent="0.25">
      <c r="A10634" s="157">
        <v>37524</v>
      </c>
      <c r="B10634" s="158">
        <v>4.83</v>
      </c>
    </row>
    <row r="10635" spans="1:2" x14ac:dyDescent="0.25">
      <c r="A10635" s="157">
        <v>37525</v>
      </c>
      <c r="B10635" s="158">
        <v>4.8499999999999996</v>
      </c>
    </row>
    <row r="10636" spans="1:2" x14ac:dyDescent="0.25">
      <c r="A10636" s="157">
        <v>37526</v>
      </c>
      <c r="B10636" s="158">
        <v>4.78</v>
      </c>
    </row>
    <row r="10637" spans="1:2" x14ac:dyDescent="0.25">
      <c r="A10637" s="157">
        <v>37529</v>
      </c>
      <c r="B10637" s="158">
        <v>4.75</v>
      </c>
    </row>
    <row r="10638" spans="1:2" x14ac:dyDescent="0.25">
      <c r="A10638" s="157">
        <v>37530</v>
      </c>
      <c r="B10638" s="158">
        <v>4.8099999999999996</v>
      </c>
    </row>
    <row r="10639" spans="1:2" x14ac:dyDescent="0.25">
      <c r="A10639" s="157">
        <v>37531</v>
      </c>
      <c r="B10639" s="158">
        <v>4.78</v>
      </c>
    </row>
    <row r="10640" spans="1:2" x14ac:dyDescent="0.25">
      <c r="A10640" s="157">
        <v>37532</v>
      </c>
      <c r="B10640" s="158">
        <v>4.79</v>
      </c>
    </row>
    <row r="10641" spans="1:2" x14ac:dyDescent="0.25">
      <c r="A10641" s="157">
        <v>37533</v>
      </c>
      <c r="B10641" s="158">
        <v>4.7699999999999996</v>
      </c>
    </row>
    <row r="10642" spans="1:2" x14ac:dyDescent="0.25">
      <c r="A10642" s="157">
        <v>37536</v>
      </c>
      <c r="B10642" s="158">
        <v>4.75</v>
      </c>
    </row>
    <row r="10643" spans="1:2" x14ac:dyDescent="0.25">
      <c r="A10643" s="157">
        <v>37537</v>
      </c>
      <c r="B10643" s="158">
        <v>4.75</v>
      </c>
    </row>
    <row r="10644" spans="1:2" x14ac:dyDescent="0.25">
      <c r="A10644" s="157">
        <v>37538</v>
      </c>
      <c r="B10644" s="158">
        <v>4.72</v>
      </c>
    </row>
    <row r="10645" spans="1:2" x14ac:dyDescent="0.25">
      <c r="A10645" s="157">
        <v>37539</v>
      </c>
      <c r="B10645" s="158">
        <v>4.78</v>
      </c>
    </row>
    <row r="10646" spans="1:2" x14ac:dyDescent="0.25">
      <c r="A10646" s="157">
        <v>37540</v>
      </c>
      <c r="B10646" s="158">
        <v>4.91</v>
      </c>
    </row>
    <row r="10647" spans="1:2" x14ac:dyDescent="0.25">
      <c r="A10647" s="157">
        <v>37543</v>
      </c>
      <c r="B10647" s="158" t="e">
        <f>NA()</f>
        <v>#N/A</v>
      </c>
    </row>
    <row r="10648" spans="1:2" x14ac:dyDescent="0.25">
      <c r="A10648" s="157">
        <v>37544</v>
      </c>
      <c r="B10648" s="158">
        <v>5.09</v>
      </c>
    </row>
    <row r="10649" spans="1:2" x14ac:dyDescent="0.25">
      <c r="A10649" s="157">
        <v>37545</v>
      </c>
      <c r="B10649" s="158">
        <v>5.0999999999999996</v>
      </c>
    </row>
    <row r="10650" spans="1:2" x14ac:dyDescent="0.25">
      <c r="A10650" s="157">
        <v>37546</v>
      </c>
      <c r="B10650" s="158">
        <v>5.18</v>
      </c>
    </row>
    <row r="10651" spans="1:2" x14ac:dyDescent="0.25">
      <c r="A10651" s="157">
        <v>37547</v>
      </c>
      <c r="B10651" s="158">
        <v>5.17</v>
      </c>
    </row>
    <row r="10652" spans="1:2" x14ac:dyDescent="0.25">
      <c r="A10652" s="157">
        <v>37550</v>
      </c>
      <c r="B10652" s="158">
        <v>5.23</v>
      </c>
    </row>
    <row r="10653" spans="1:2" x14ac:dyDescent="0.25">
      <c r="A10653" s="157">
        <v>37551</v>
      </c>
      <c r="B10653" s="158">
        <v>5.26</v>
      </c>
    </row>
    <row r="10654" spans="1:2" x14ac:dyDescent="0.25">
      <c r="A10654" s="157">
        <v>37552</v>
      </c>
      <c r="B10654" s="158">
        <v>5.26</v>
      </c>
    </row>
    <row r="10655" spans="1:2" x14ac:dyDescent="0.25">
      <c r="A10655" s="157">
        <v>37553</v>
      </c>
      <c r="B10655" s="158">
        <v>5.2</v>
      </c>
    </row>
    <row r="10656" spans="1:2" x14ac:dyDescent="0.25">
      <c r="A10656" s="157">
        <v>37554</v>
      </c>
      <c r="B10656" s="158">
        <v>5.16</v>
      </c>
    </row>
    <row r="10657" spans="1:2" x14ac:dyDescent="0.25">
      <c r="A10657" s="157">
        <v>37557</v>
      </c>
      <c r="B10657" s="158">
        <v>5.15</v>
      </c>
    </row>
    <row r="10658" spans="1:2" x14ac:dyDescent="0.25">
      <c r="A10658" s="157">
        <v>37558</v>
      </c>
      <c r="B10658" s="158">
        <v>5.05</v>
      </c>
    </row>
    <row r="10659" spans="1:2" x14ac:dyDescent="0.25">
      <c r="A10659" s="157">
        <v>37559</v>
      </c>
      <c r="B10659" s="158">
        <v>5.07</v>
      </c>
    </row>
    <row r="10660" spans="1:2" x14ac:dyDescent="0.25">
      <c r="A10660" s="157">
        <v>37560</v>
      </c>
      <c r="B10660" s="158">
        <v>5.03</v>
      </c>
    </row>
    <row r="10661" spans="1:2" x14ac:dyDescent="0.25">
      <c r="A10661" s="157">
        <v>37561</v>
      </c>
      <c r="B10661" s="158">
        <v>5.07</v>
      </c>
    </row>
    <row r="10662" spans="1:2" x14ac:dyDescent="0.25">
      <c r="A10662" s="157">
        <v>37564</v>
      </c>
      <c r="B10662" s="158">
        <v>5.1100000000000003</v>
      </c>
    </row>
    <row r="10663" spans="1:2" x14ac:dyDescent="0.25">
      <c r="A10663" s="157">
        <v>37565</v>
      </c>
      <c r="B10663" s="158">
        <v>5.13</v>
      </c>
    </row>
    <row r="10664" spans="1:2" x14ac:dyDescent="0.25">
      <c r="A10664" s="157">
        <v>37566</v>
      </c>
      <c r="B10664" s="158">
        <v>5.12</v>
      </c>
    </row>
    <row r="10665" spans="1:2" x14ac:dyDescent="0.25">
      <c r="A10665" s="157">
        <v>37567</v>
      </c>
      <c r="B10665" s="158">
        <v>4.9400000000000004</v>
      </c>
    </row>
    <row r="10666" spans="1:2" x14ac:dyDescent="0.25">
      <c r="A10666" s="157">
        <v>37568</v>
      </c>
      <c r="B10666" s="158">
        <v>4.87</v>
      </c>
    </row>
    <row r="10667" spans="1:2" x14ac:dyDescent="0.25">
      <c r="A10667" s="157">
        <v>37571</v>
      </c>
      <c r="B10667" s="158" t="e">
        <f>NA()</f>
        <v>#N/A</v>
      </c>
    </row>
    <row r="10668" spans="1:2" x14ac:dyDescent="0.25">
      <c r="A10668" s="157">
        <v>37572</v>
      </c>
      <c r="B10668" s="158">
        <v>4.87</v>
      </c>
    </row>
    <row r="10669" spans="1:2" x14ac:dyDescent="0.25">
      <c r="A10669" s="157">
        <v>37573</v>
      </c>
      <c r="B10669" s="158">
        <v>4.8600000000000003</v>
      </c>
    </row>
    <row r="10670" spans="1:2" x14ac:dyDescent="0.25">
      <c r="A10670" s="157">
        <v>37574</v>
      </c>
      <c r="B10670" s="158">
        <v>5.01</v>
      </c>
    </row>
    <row r="10671" spans="1:2" x14ac:dyDescent="0.25">
      <c r="A10671" s="157">
        <v>37575</v>
      </c>
      <c r="B10671" s="158">
        <v>5.0199999999999996</v>
      </c>
    </row>
    <row r="10672" spans="1:2" x14ac:dyDescent="0.25">
      <c r="A10672" s="157">
        <v>37578</v>
      </c>
      <c r="B10672" s="158">
        <v>4.9800000000000004</v>
      </c>
    </row>
    <row r="10673" spans="1:2" x14ac:dyDescent="0.25">
      <c r="A10673" s="157">
        <v>37579</v>
      </c>
      <c r="B10673" s="158">
        <v>4.9400000000000004</v>
      </c>
    </row>
    <row r="10674" spans="1:2" x14ac:dyDescent="0.25">
      <c r="A10674" s="157">
        <v>37580</v>
      </c>
      <c r="B10674" s="158">
        <v>5.04</v>
      </c>
    </row>
    <row r="10675" spans="1:2" x14ac:dyDescent="0.25">
      <c r="A10675" s="157">
        <v>37581</v>
      </c>
      <c r="B10675" s="158">
        <v>5.0999999999999996</v>
      </c>
    </row>
    <row r="10676" spans="1:2" x14ac:dyDescent="0.25">
      <c r="A10676" s="157">
        <v>37582</v>
      </c>
      <c r="B10676" s="158">
        <v>5.12</v>
      </c>
    </row>
    <row r="10677" spans="1:2" x14ac:dyDescent="0.25">
      <c r="A10677" s="157">
        <v>37585</v>
      </c>
      <c r="B10677" s="158">
        <v>5.13</v>
      </c>
    </row>
    <row r="10678" spans="1:2" x14ac:dyDescent="0.25">
      <c r="A10678" s="157">
        <v>37586</v>
      </c>
      <c r="B10678" s="158">
        <v>5.03</v>
      </c>
    </row>
    <row r="10679" spans="1:2" x14ac:dyDescent="0.25">
      <c r="A10679" s="157">
        <v>37587</v>
      </c>
      <c r="B10679" s="158">
        <v>5.23</v>
      </c>
    </row>
    <row r="10680" spans="1:2" x14ac:dyDescent="0.25">
      <c r="A10680" s="157">
        <v>37588</v>
      </c>
      <c r="B10680" s="158" t="e">
        <f>NA()</f>
        <v>#N/A</v>
      </c>
    </row>
    <row r="10681" spans="1:2" x14ac:dyDescent="0.25">
      <c r="A10681" s="157">
        <v>37589</v>
      </c>
      <c r="B10681" s="158">
        <v>5.18</v>
      </c>
    </row>
    <row r="10682" spans="1:2" x14ac:dyDescent="0.25">
      <c r="A10682" s="157">
        <v>37592</v>
      </c>
      <c r="B10682" s="158">
        <v>5.17</v>
      </c>
    </row>
    <row r="10683" spans="1:2" x14ac:dyDescent="0.25">
      <c r="A10683" s="157">
        <v>37593</v>
      </c>
      <c r="B10683" s="158">
        <v>5.18</v>
      </c>
    </row>
    <row r="10684" spans="1:2" x14ac:dyDescent="0.25">
      <c r="A10684" s="157">
        <v>37594</v>
      </c>
      <c r="B10684" s="158">
        <v>5.14</v>
      </c>
    </row>
    <row r="10685" spans="1:2" x14ac:dyDescent="0.25">
      <c r="A10685" s="157">
        <v>37595</v>
      </c>
      <c r="B10685" s="158">
        <v>5.09</v>
      </c>
    </row>
    <row r="10686" spans="1:2" x14ac:dyDescent="0.25">
      <c r="A10686" s="157">
        <v>37596</v>
      </c>
      <c r="B10686" s="158">
        <v>5.08</v>
      </c>
    </row>
    <row r="10687" spans="1:2" x14ac:dyDescent="0.25">
      <c r="A10687" s="157">
        <v>37599</v>
      </c>
      <c r="B10687" s="158">
        <v>5.05</v>
      </c>
    </row>
    <row r="10688" spans="1:2" x14ac:dyDescent="0.25">
      <c r="A10688" s="157">
        <v>37600</v>
      </c>
      <c r="B10688" s="158">
        <v>5.0199999999999996</v>
      </c>
    </row>
    <row r="10689" spans="1:2" x14ac:dyDescent="0.25">
      <c r="A10689" s="157">
        <v>37601</v>
      </c>
      <c r="B10689" s="158">
        <v>4.97</v>
      </c>
    </row>
    <row r="10690" spans="1:2" x14ac:dyDescent="0.25">
      <c r="A10690" s="157">
        <v>37602</v>
      </c>
      <c r="B10690" s="158">
        <v>4.97</v>
      </c>
    </row>
    <row r="10691" spans="1:2" x14ac:dyDescent="0.25">
      <c r="A10691" s="157">
        <v>37603</v>
      </c>
      <c r="B10691" s="158">
        <v>5.03</v>
      </c>
    </row>
    <row r="10692" spans="1:2" x14ac:dyDescent="0.25">
      <c r="A10692" s="157">
        <v>37606</v>
      </c>
      <c r="B10692" s="158">
        <v>5.1100000000000003</v>
      </c>
    </row>
    <row r="10693" spans="1:2" x14ac:dyDescent="0.25">
      <c r="A10693" s="157">
        <v>37607</v>
      </c>
      <c r="B10693" s="158">
        <v>5.1100000000000003</v>
      </c>
    </row>
    <row r="10694" spans="1:2" x14ac:dyDescent="0.25">
      <c r="A10694" s="157">
        <v>37608</v>
      </c>
      <c r="B10694" s="158">
        <v>5.05</v>
      </c>
    </row>
    <row r="10695" spans="1:2" x14ac:dyDescent="0.25">
      <c r="A10695" s="157">
        <v>37609</v>
      </c>
      <c r="B10695" s="158">
        <v>4.97</v>
      </c>
    </row>
    <row r="10696" spans="1:2" x14ac:dyDescent="0.25">
      <c r="A10696" s="157">
        <v>37610</v>
      </c>
      <c r="B10696" s="158">
        <v>4.97</v>
      </c>
    </row>
    <row r="10697" spans="1:2" x14ac:dyDescent="0.25">
      <c r="A10697" s="157">
        <v>37613</v>
      </c>
      <c r="B10697" s="158">
        <v>4.9800000000000004</v>
      </c>
    </row>
    <row r="10698" spans="1:2" x14ac:dyDescent="0.25">
      <c r="A10698" s="157">
        <v>37614</v>
      </c>
      <c r="B10698" s="158">
        <v>4.93</v>
      </c>
    </row>
    <row r="10699" spans="1:2" x14ac:dyDescent="0.25">
      <c r="A10699" s="157">
        <v>37615</v>
      </c>
      <c r="B10699" s="158" t="e">
        <f>NA()</f>
        <v>#N/A</v>
      </c>
    </row>
    <row r="10700" spans="1:2" x14ac:dyDescent="0.25">
      <c r="A10700" s="157">
        <v>37616</v>
      </c>
      <c r="B10700" s="158">
        <v>4.91</v>
      </c>
    </row>
    <row r="10701" spans="1:2" x14ac:dyDescent="0.25">
      <c r="A10701" s="157">
        <v>37617</v>
      </c>
      <c r="B10701" s="158">
        <v>4.83</v>
      </c>
    </row>
    <row r="10702" spans="1:2" x14ac:dyDescent="0.25">
      <c r="A10702" s="157">
        <v>37620</v>
      </c>
      <c r="B10702" s="158">
        <v>4.82</v>
      </c>
    </row>
    <row r="10703" spans="1:2" x14ac:dyDescent="0.25">
      <c r="A10703" s="157">
        <v>37621</v>
      </c>
      <c r="B10703" s="158">
        <v>4.83</v>
      </c>
    </row>
    <row r="10704" spans="1:2" x14ac:dyDescent="0.25">
      <c r="A10704" s="157">
        <v>37622</v>
      </c>
      <c r="B10704" s="158" t="e">
        <f>NA()</f>
        <v>#N/A</v>
      </c>
    </row>
    <row r="10705" spans="1:2" x14ac:dyDescent="0.25">
      <c r="A10705" s="157">
        <v>37623</v>
      </c>
      <c r="B10705" s="158">
        <v>5.05</v>
      </c>
    </row>
    <row r="10706" spans="1:2" x14ac:dyDescent="0.25">
      <c r="A10706" s="157">
        <v>37624</v>
      </c>
      <c r="B10706" s="158">
        <v>5.03</v>
      </c>
    </row>
    <row r="10707" spans="1:2" x14ac:dyDescent="0.25">
      <c r="A10707" s="157">
        <v>37627</v>
      </c>
      <c r="B10707" s="158">
        <v>5.05</v>
      </c>
    </row>
    <row r="10708" spans="1:2" x14ac:dyDescent="0.25">
      <c r="A10708" s="157">
        <v>37628</v>
      </c>
      <c r="B10708" s="158">
        <v>5.03</v>
      </c>
    </row>
    <row r="10709" spans="1:2" x14ac:dyDescent="0.25">
      <c r="A10709" s="157">
        <v>37629</v>
      </c>
      <c r="B10709" s="158">
        <v>5</v>
      </c>
    </row>
    <row r="10710" spans="1:2" x14ac:dyDescent="0.25">
      <c r="A10710" s="157">
        <v>37630</v>
      </c>
      <c r="B10710" s="158">
        <v>5.17</v>
      </c>
    </row>
    <row r="10711" spans="1:2" x14ac:dyDescent="0.25">
      <c r="A10711" s="157">
        <v>37631</v>
      </c>
      <c r="B10711" s="158">
        <v>5.14</v>
      </c>
    </row>
    <row r="10712" spans="1:2" x14ac:dyDescent="0.25">
      <c r="A10712" s="157">
        <v>37634</v>
      </c>
      <c r="B10712" s="158">
        <v>5.13</v>
      </c>
    </row>
    <row r="10713" spans="1:2" x14ac:dyDescent="0.25">
      <c r="A10713" s="157">
        <v>37635</v>
      </c>
      <c r="B10713" s="158">
        <v>5.09</v>
      </c>
    </row>
    <row r="10714" spans="1:2" x14ac:dyDescent="0.25">
      <c r="A10714" s="157">
        <v>37636</v>
      </c>
      <c r="B10714" s="158">
        <v>5.07</v>
      </c>
    </row>
    <row r="10715" spans="1:2" x14ac:dyDescent="0.25">
      <c r="A10715" s="157">
        <v>37637</v>
      </c>
      <c r="B10715" s="158">
        <v>5.0599999999999996</v>
      </c>
    </row>
    <row r="10716" spans="1:2" x14ac:dyDescent="0.25">
      <c r="A10716" s="157">
        <v>37638</v>
      </c>
      <c r="B10716" s="158">
        <v>5</v>
      </c>
    </row>
    <row r="10717" spans="1:2" x14ac:dyDescent="0.25">
      <c r="A10717" s="157">
        <v>37641</v>
      </c>
      <c r="B10717" s="158" t="e">
        <f>NA()</f>
        <v>#N/A</v>
      </c>
    </row>
    <row r="10718" spans="1:2" x14ac:dyDescent="0.25">
      <c r="A10718" s="157">
        <v>37642</v>
      </c>
      <c r="B10718" s="158">
        <v>4.9800000000000004</v>
      </c>
    </row>
    <row r="10719" spans="1:2" x14ac:dyDescent="0.25">
      <c r="A10719" s="157">
        <v>37643</v>
      </c>
      <c r="B10719" s="158">
        <v>4.9400000000000004</v>
      </c>
    </row>
    <row r="10720" spans="1:2" x14ac:dyDescent="0.25">
      <c r="A10720" s="157">
        <v>37644</v>
      </c>
      <c r="B10720" s="158">
        <v>4.9800000000000004</v>
      </c>
    </row>
    <row r="10721" spans="1:2" x14ac:dyDescent="0.25">
      <c r="A10721" s="157">
        <v>37645</v>
      </c>
      <c r="B10721" s="158">
        <v>4.92</v>
      </c>
    </row>
    <row r="10722" spans="1:2" x14ac:dyDescent="0.25">
      <c r="A10722" s="157">
        <v>37648</v>
      </c>
      <c r="B10722" s="158">
        <v>4.96</v>
      </c>
    </row>
    <row r="10723" spans="1:2" x14ac:dyDescent="0.25">
      <c r="A10723" s="157">
        <v>37649</v>
      </c>
      <c r="B10723" s="158">
        <v>4.96</v>
      </c>
    </row>
    <row r="10724" spans="1:2" x14ac:dyDescent="0.25">
      <c r="A10724" s="157">
        <v>37650</v>
      </c>
      <c r="B10724" s="158">
        <v>5.01</v>
      </c>
    </row>
    <row r="10725" spans="1:2" x14ac:dyDescent="0.25">
      <c r="A10725" s="157">
        <v>37651</v>
      </c>
      <c r="B10725" s="158">
        <v>4.96</v>
      </c>
    </row>
    <row r="10726" spans="1:2" x14ac:dyDescent="0.25">
      <c r="A10726" s="157">
        <v>37652</v>
      </c>
      <c r="B10726" s="158">
        <v>4.93</v>
      </c>
    </row>
    <row r="10727" spans="1:2" x14ac:dyDescent="0.25">
      <c r="A10727" s="157">
        <v>37655</v>
      </c>
      <c r="B10727" s="158">
        <v>4.93</v>
      </c>
    </row>
    <row r="10728" spans="1:2" x14ac:dyDescent="0.25">
      <c r="A10728" s="157">
        <v>37656</v>
      </c>
      <c r="B10728" s="158">
        <v>4.8899999999999997</v>
      </c>
    </row>
    <row r="10729" spans="1:2" x14ac:dyDescent="0.25">
      <c r="A10729" s="157">
        <v>37657</v>
      </c>
      <c r="B10729" s="158">
        <v>4.97</v>
      </c>
    </row>
    <row r="10730" spans="1:2" x14ac:dyDescent="0.25">
      <c r="A10730" s="157">
        <v>37658</v>
      </c>
      <c r="B10730" s="158">
        <v>4.91</v>
      </c>
    </row>
    <row r="10731" spans="1:2" x14ac:dyDescent="0.25">
      <c r="A10731" s="157">
        <v>37659</v>
      </c>
      <c r="B10731" s="158">
        <v>4.88</v>
      </c>
    </row>
    <row r="10732" spans="1:2" x14ac:dyDescent="0.25">
      <c r="A10732" s="157">
        <v>37662</v>
      </c>
      <c r="B10732" s="158">
        <v>4.9400000000000004</v>
      </c>
    </row>
    <row r="10733" spans="1:2" x14ac:dyDescent="0.25">
      <c r="A10733" s="157">
        <v>37663</v>
      </c>
      <c r="B10733" s="158">
        <v>4.93</v>
      </c>
    </row>
    <row r="10734" spans="1:2" x14ac:dyDescent="0.25">
      <c r="A10734" s="157">
        <v>37664</v>
      </c>
      <c r="B10734" s="158">
        <v>4.9000000000000004</v>
      </c>
    </row>
    <row r="10735" spans="1:2" x14ac:dyDescent="0.25">
      <c r="A10735" s="157">
        <v>37665</v>
      </c>
      <c r="B10735" s="158">
        <v>4.8600000000000003</v>
      </c>
    </row>
    <row r="10736" spans="1:2" x14ac:dyDescent="0.25">
      <c r="A10736" s="157">
        <v>37666</v>
      </c>
      <c r="B10736" s="158">
        <v>4.9400000000000004</v>
      </c>
    </row>
    <row r="10737" spans="1:2" x14ac:dyDescent="0.25">
      <c r="A10737" s="157">
        <v>37669</v>
      </c>
      <c r="B10737" s="158" t="e">
        <f>NA()</f>
        <v>#N/A</v>
      </c>
    </row>
    <row r="10738" spans="1:2" x14ac:dyDescent="0.25">
      <c r="A10738" s="157">
        <v>37670</v>
      </c>
      <c r="B10738" s="158">
        <v>4.92</v>
      </c>
    </row>
    <row r="10739" spans="1:2" x14ac:dyDescent="0.25">
      <c r="A10739" s="157">
        <v>37671</v>
      </c>
      <c r="B10739" s="158">
        <v>4.8600000000000003</v>
      </c>
    </row>
    <row r="10740" spans="1:2" x14ac:dyDescent="0.25">
      <c r="A10740" s="157">
        <v>37672</v>
      </c>
      <c r="B10740" s="158">
        <v>4.84</v>
      </c>
    </row>
    <row r="10741" spans="1:2" x14ac:dyDescent="0.25">
      <c r="A10741" s="157">
        <v>37673</v>
      </c>
      <c r="B10741" s="158">
        <v>4.88</v>
      </c>
    </row>
    <row r="10742" spans="1:2" x14ac:dyDescent="0.25">
      <c r="A10742" s="157">
        <v>37676</v>
      </c>
      <c r="B10742" s="158">
        <v>4.8499999999999996</v>
      </c>
    </row>
    <row r="10743" spans="1:2" x14ac:dyDescent="0.25">
      <c r="A10743" s="157">
        <v>37677</v>
      </c>
      <c r="B10743" s="158">
        <v>4.8099999999999996</v>
      </c>
    </row>
    <row r="10744" spans="1:2" x14ac:dyDescent="0.25">
      <c r="A10744" s="157">
        <v>37678</v>
      </c>
      <c r="B10744" s="158">
        <v>4.7699999999999996</v>
      </c>
    </row>
    <row r="10745" spans="1:2" x14ac:dyDescent="0.25">
      <c r="A10745" s="157">
        <v>37679</v>
      </c>
      <c r="B10745" s="158">
        <v>4.75</v>
      </c>
    </row>
    <row r="10746" spans="1:2" x14ac:dyDescent="0.25">
      <c r="A10746" s="157">
        <v>37680</v>
      </c>
      <c r="B10746" s="158">
        <v>4.7</v>
      </c>
    </row>
    <row r="10747" spans="1:2" x14ac:dyDescent="0.25">
      <c r="A10747" s="157">
        <v>37683</v>
      </c>
      <c r="B10747" s="158">
        <v>4.6900000000000004</v>
      </c>
    </row>
    <row r="10748" spans="1:2" x14ac:dyDescent="0.25">
      <c r="A10748" s="157">
        <v>37684</v>
      </c>
      <c r="B10748" s="158">
        <v>4.68</v>
      </c>
    </row>
    <row r="10749" spans="1:2" x14ac:dyDescent="0.25">
      <c r="A10749" s="157">
        <v>37685</v>
      </c>
      <c r="B10749" s="158">
        <v>4.67</v>
      </c>
    </row>
    <row r="10750" spans="1:2" x14ac:dyDescent="0.25">
      <c r="A10750" s="157">
        <v>37686</v>
      </c>
      <c r="B10750" s="158">
        <v>4.7</v>
      </c>
    </row>
    <row r="10751" spans="1:2" x14ac:dyDescent="0.25">
      <c r="A10751" s="157">
        <v>37687</v>
      </c>
      <c r="B10751" s="158">
        <v>4.67</v>
      </c>
    </row>
    <row r="10752" spans="1:2" x14ac:dyDescent="0.25">
      <c r="A10752" s="157">
        <v>37690</v>
      </c>
      <c r="B10752" s="158">
        <v>4.6399999999999997</v>
      </c>
    </row>
    <row r="10753" spans="1:2" x14ac:dyDescent="0.25">
      <c r="A10753" s="157">
        <v>37691</v>
      </c>
      <c r="B10753" s="158">
        <v>4.6399999999999997</v>
      </c>
    </row>
    <row r="10754" spans="1:2" x14ac:dyDescent="0.25">
      <c r="A10754" s="157">
        <v>37692</v>
      </c>
      <c r="B10754" s="158">
        <v>4.62</v>
      </c>
    </row>
    <row r="10755" spans="1:2" x14ac:dyDescent="0.25">
      <c r="A10755" s="157">
        <v>37693</v>
      </c>
      <c r="B10755" s="158">
        <v>4.75</v>
      </c>
    </row>
    <row r="10756" spans="1:2" x14ac:dyDescent="0.25">
      <c r="A10756" s="157">
        <v>37694</v>
      </c>
      <c r="B10756" s="158">
        <v>4.7300000000000004</v>
      </c>
    </row>
    <row r="10757" spans="1:2" x14ac:dyDescent="0.25">
      <c r="A10757" s="157">
        <v>37697</v>
      </c>
      <c r="B10757" s="158">
        <v>4.82</v>
      </c>
    </row>
    <row r="10758" spans="1:2" x14ac:dyDescent="0.25">
      <c r="A10758" s="157">
        <v>37698</v>
      </c>
      <c r="B10758" s="158">
        <v>4.8899999999999997</v>
      </c>
    </row>
    <row r="10759" spans="1:2" x14ac:dyDescent="0.25">
      <c r="A10759" s="157">
        <v>37699</v>
      </c>
      <c r="B10759" s="158">
        <v>4.9400000000000004</v>
      </c>
    </row>
    <row r="10760" spans="1:2" x14ac:dyDescent="0.25">
      <c r="A10760" s="157">
        <v>37700</v>
      </c>
      <c r="B10760" s="158">
        <v>4.99</v>
      </c>
    </row>
    <row r="10761" spans="1:2" x14ac:dyDescent="0.25">
      <c r="A10761" s="157">
        <v>37701</v>
      </c>
      <c r="B10761" s="158">
        <v>5.08</v>
      </c>
    </row>
    <row r="10762" spans="1:2" x14ac:dyDescent="0.25">
      <c r="A10762" s="157">
        <v>37704</v>
      </c>
      <c r="B10762" s="158">
        <v>4.97</v>
      </c>
    </row>
    <row r="10763" spans="1:2" x14ac:dyDescent="0.25">
      <c r="A10763" s="157">
        <v>37705</v>
      </c>
      <c r="B10763" s="158">
        <v>4.97</v>
      </c>
    </row>
    <row r="10764" spans="1:2" x14ac:dyDescent="0.25">
      <c r="A10764" s="157">
        <v>37706</v>
      </c>
      <c r="B10764" s="158">
        <v>4.96</v>
      </c>
    </row>
    <row r="10765" spans="1:2" x14ac:dyDescent="0.25">
      <c r="A10765" s="157">
        <v>37707</v>
      </c>
      <c r="B10765" s="158">
        <v>4.96</v>
      </c>
    </row>
    <row r="10766" spans="1:2" x14ac:dyDescent="0.25">
      <c r="A10766" s="157">
        <v>37708</v>
      </c>
      <c r="B10766" s="158">
        <v>4.93</v>
      </c>
    </row>
    <row r="10767" spans="1:2" x14ac:dyDescent="0.25">
      <c r="A10767" s="157">
        <v>37711</v>
      </c>
      <c r="B10767" s="158">
        <v>4.84</v>
      </c>
    </row>
    <row r="10768" spans="1:2" x14ac:dyDescent="0.25">
      <c r="A10768" s="157">
        <v>37712</v>
      </c>
      <c r="B10768" s="158">
        <v>4.8499999999999996</v>
      </c>
    </row>
    <row r="10769" spans="1:2" x14ac:dyDescent="0.25">
      <c r="A10769" s="157">
        <v>37713</v>
      </c>
      <c r="B10769" s="158">
        <v>4.9400000000000004</v>
      </c>
    </row>
    <row r="10770" spans="1:2" x14ac:dyDescent="0.25">
      <c r="A10770" s="157">
        <v>37714</v>
      </c>
      <c r="B10770" s="158">
        <v>4.95</v>
      </c>
    </row>
    <row r="10771" spans="1:2" x14ac:dyDescent="0.25">
      <c r="A10771" s="157">
        <v>37715</v>
      </c>
      <c r="B10771" s="158">
        <v>4.97</v>
      </c>
    </row>
    <row r="10772" spans="1:2" x14ac:dyDescent="0.25">
      <c r="A10772" s="157">
        <v>37718</v>
      </c>
      <c r="B10772" s="158">
        <v>5.01</v>
      </c>
    </row>
    <row r="10773" spans="1:2" x14ac:dyDescent="0.25">
      <c r="A10773" s="157">
        <v>37719</v>
      </c>
      <c r="B10773" s="158">
        <v>4.93</v>
      </c>
    </row>
    <row r="10774" spans="1:2" x14ac:dyDescent="0.25">
      <c r="A10774" s="157">
        <v>37720</v>
      </c>
      <c r="B10774" s="158">
        <v>4.92</v>
      </c>
    </row>
    <row r="10775" spans="1:2" x14ac:dyDescent="0.25">
      <c r="A10775" s="157">
        <v>37721</v>
      </c>
      <c r="B10775" s="158">
        <v>4.9400000000000004</v>
      </c>
    </row>
    <row r="10776" spans="1:2" x14ac:dyDescent="0.25">
      <c r="A10776" s="157">
        <v>37722</v>
      </c>
      <c r="B10776" s="158">
        <v>4.96</v>
      </c>
    </row>
    <row r="10777" spans="1:2" x14ac:dyDescent="0.25">
      <c r="A10777" s="157">
        <v>37725</v>
      </c>
      <c r="B10777" s="158">
        <v>4.99</v>
      </c>
    </row>
    <row r="10778" spans="1:2" x14ac:dyDescent="0.25">
      <c r="A10778" s="157">
        <v>37726</v>
      </c>
      <c r="B10778" s="158">
        <v>4.93</v>
      </c>
    </row>
    <row r="10779" spans="1:2" x14ac:dyDescent="0.25">
      <c r="A10779" s="157">
        <v>37727</v>
      </c>
      <c r="B10779" s="158">
        <v>4.92</v>
      </c>
    </row>
    <row r="10780" spans="1:2" x14ac:dyDescent="0.25">
      <c r="A10780" s="157">
        <v>37728</v>
      </c>
      <c r="B10780" s="158">
        <v>4.91</v>
      </c>
    </row>
    <row r="10781" spans="1:2" x14ac:dyDescent="0.25">
      <c r="A10781" s="157">
        <v>37729</v>
      </c>
      <c r="B10781" s="158" t="e">
        <f>NA()</f>
        <v>#N/A</v>
      </c>
    </row>
    <row r="10782" spans="1:2" x14ac:dyDescent="0.25">
      <c r="A10782" s="157">
        <v>37732</v>
      </c>
      <c r="B10782" s="158">
        <v>4.92</v>
      </c>
    </row>
    <row r="10783" spans="1:2" x14ac:dyDescent="0.25">
      <c r="A10783" s="157">
        <v>37733</v>
      </c>
      <c r="B10783" s="158">
        <v>4.9400000000000004</v>
      </c>
    </row>
    <row r="10784" spans="1:2" x14ac:dyDescent="0.25">
      <c r="A10784" s="157">
        <v>37734</v>
      </c>
      <c r="B10784" s="158">
        <v>4.92</v>
      </c>
    </row>
    <row r="10785" spans="1:2" x14ac:dyDescent="0.25">
      <c r="A10785" s="157">
        <v>37735</v>
      </c>
      <c r="B10785" s="158">
        <v>4.84</v>
      </c>
    </row>
    <row r="10786" spans="1:2" x14ac:dyDescent="0.25">
      <c r="A10786" s="157">
        <v>37736</v>
      </c>
      <c r="B10786" s="158">
        <v>4.83</v>
      </c>
    </row>
    <row r="10787" spans="1:2" x14ac:dyDescent="0.25">
      <c r="A10787" s="157">
        <v>37739</v>
      </c>
      <c r="B10787" s="158">
        <v>4.83</v>
      </c>
    </row>
    <row r="10788" spans="1:2" x14ac:dyDescent="0.25">
      <c r="A10788" s="157">
        <v>37740</v>
      </c>
      <c r="B10788" s="158">
        <v>4.8600000000000003</v>
      </c>
    </row>
    <row r="10789" spans="1:2" x14ac:dyDescent="0.25">
      <c r="A10789" s="157">
        <v>37741</v>
      </c>
      <c r="B10789" s="158">
        <v>4.79</v>
      </c>
    </row>
    <row r="10790" spans="1:2" x14ac:dyDescent="0.25">
      <c r="A10790" s="157">
        <v>37742</v>
      </c>
      <c r="B10790" s="158">
        <v>4.8</v>
      </c>
    </row>
    <row r="10791" spans="1:2" x14ac:dyDescent="0.25">
      <c r="A10791" s="157">
        <v>37743</v>
      </c>
      <c r="B10791" s="158">
        <v>4.84</v>
      </c>
    </row>
    <row r="10792" spans="1:2" x14ac:dyDescent="0.25">
      <c r="A10792" s="157">
        <v>37746</v>
      </c>
      <c r="B10792" s="158">
        <v>4.8</v>
      </c>
    </row>
    <row r="10793" spans="1:2" x14ac:dyDescent="0.25">
      <c r="A10793" s="157">
        <v>37747</v>
      </c>
      <c r="B10793" s="158">
        <v>4.76</v>
      </c>
    </row>
    <row r="10794" spans="1:2" x14ac:dyDescent="0.25">
      <c r="A10794" s="157">
        <v>37748</v>
      </c>
      <c r="B10794" s="158">
        <v>4.67</v>
      </c>
    </row>
    <row r="10795" spans="1:2" x14ac:dyDescent="0.25">
      <c r="A10795" s="157">
        <v>37749</v>
      </c>
      <c r="B10795" s="158">
        <v>4.6500000000000004</v>
      </c>
    </row>
    <row r="10796" spans="1:2" x14ac:dyDescent="0.25">
      <c r="A10796" s="157">
        <v>37750</v>
      </c>
      <c r="B10796" s="158">
        <v>4.6399999999999997</v>
      </c>
    </row>
    <row r="10797" spans="1:2" x14ac:dyDescent="0.25">
      <c r="A10797" s="157">
        <v>37753</v>
      </c>
      <c r="B10797" s="158">
        <v>4.5999999999999996</v>
      </c>
    </row>
    <row r="10798" spans="1:2" x14ac:dyDescent="0.25">
      <c r="A10798" s="157">
        <v>37754</v>
      </c>
      <c r="B10798" s="158">
        <v>4.58</v>
      </c>
    </row>
    <row r="10799" spans="1:2" x14ac:dyDescent="0.25">
      <c r="A10799" s="157">
        <v>37755</v>
      </c>
      <c r="B10799" s="158">
        <v>4.47</v>
      </c>
    </row>
    <row r="10800" spans="1:2" x14ac:dyDescent="0.25">
      <c r="A10800" s="157">
        <v>37756</v>
      </c>
      <c r="B10800" s="158">
        <v>4.4800000000000004</v>
      </c>
    </row>
    <row r="10801" spans="1:2" x14ac:dyDescent="0.25">
      <c r="A10801" s="157">
        <v>37757</v>
      </c>
      <c r="B10801" s="158">
        <v>4.4400000000000004</v>
      </c>
    </row>
    <row r="10802" spans="1:2" x14ac:dyDescent="0.25">
      <c r="A10802" s="157">
        <v>37760</v>
      </c>
      <c r="B10802" s="158">
        <v>4.4400000000000004</v>
      </c>
    </row>
    <row r="10803" spans="1:2" x14ac:dyDescent="0.25">
      <c r="A10803" s="157">
        <v>37761</v>
      </c>
      <c r="B10803" s="158">
        <v>4.3600000000000003</v>
      </c>
    </row>
    <row r="10804" spans="1:2" x14ac:dyDescent="0.25">
      <c r="A10804" s="157">
        <v>37762</v>
      </c>
      <c r="B10804" s="158">
        <v>4.33</v>
      </c>
    </row>
    <row r="10805" spans="1:2" x14ac:dyDescent="0.25">
      <c r="A10805" s="157">
        <v>37763</v>
      </c>
      <c r="B10805" s="158">
        <v>4.29</v>
      </c>
    </row>
    <row r="10806" spans="1:2" x14ac:dyDescent="0.25">
      <c r="A10806" s="157">
        <v>37764</v>
      </c>
      <c r="B10806" s="158">
        <v>4.28</v>
      </c>
    </row>
    <row r="10807" spans="1:2" x14ac:dyDescent="0.25">
      <c r="A10807" s="157">
        <v>37767</v>
      </c>
      <c r="B10807" s="158" t="e">
        <f>NA()</f>
        <v>#N/A</v>
      </c>
    </row>
    <row r="10808" spans="1:2" x14ac:dyDescent="0.25">
      <c r="A10808" s="157">
        <v>37768</v>
      </c>
      <c r="B10808" s="158">
        <v>4.3899999999999997</v>
      </c>
    </row>
    <row r="10809" spans="1:2" x14ac:dyDescent="0.25">
      <c r="A10809" s="157">
        <v>37769</v>
      </c>
      <c r="B10809" s="158">
        <v>4.42</v>
      </c>
    </row>
    <row r="10810" spans="1:2" x14ac:dyDescent="0.25">
      <c r="A10810" s="157">
        <v>37770</v>
      </c>
      <c r="B10810" s="158">
        <v>4.3499999999999996</v>
      </c>
    </row>
    <row r="10811" spans="1:2" x14ac:dyDescent="0.25">
      <c r="A10811" s="157">
        <v>37771</v>
      </c>
      <c r="B10811" s="158">
        <v>4.3600000000000003</v>
      </c>
    </row>
    <row r="10812" spans="1:2" x14ac:dyDescent="0.25">
      <c r="A10812" s="157">
        <v>37774</v>
      </c>
      <c r="B10812" s="158">
        <v>4.43</v>
      </c>
    </row>
    <row r="10813" spans="1:2" x14ac:dyDescent="0.25">
      <c r="A10813" s="157">
        <v>37775</v>
      </c>
      <c r="B10813" s="158">
        <v>4.3499999999999996</v>
      </c>
    </row>
    <row r="10814" spans="1:2" x14ac:dyDescent="0.25">
      <c r="A10814" s="157">
        <v>37776</v>
      </c>
      <c r="B10814" s="158">
        <v>4.32</v>
      </c>
    </row>
    <row r="10815" spans="1:2" x14ac:dyDescent="0.25">
      <c r="A10815" s="157">
        <v>37777</v>
      </c>
      <c r="B10815" s="158">
        <v>4.37</v>
      </c>
    </row>
    <row r="10816" spans="1:2" x14ac:dyDescent="0.25">
      <c r="A10816" s="157">
        <v>37778</v>
      </c>
      <c r="B10816" s="158">
        <v>4.37</v>
      </c>
    </row>
    <row r="10817" spans="1:2" x14ac:dyDescent="0.25">
      <c r="A10817" s="157">
        <v>37781</v>
      </c>
      <c r="B10817" s="158">
        <v>4.3099999999999996</v>
      </c>
    </row>
    <row r="10818" spans="1:2" x14ac:dyDescent="0.25">
      <c r="A10818" s="157">
        <v>37782</v>
      </c>
      <c r="B10818" s="158">
        <v>4.22</v>
      </c>
    </row>
    <row r="10819" spans="1:2" x14ac:dyDescent="0.25">
      <c r="A10819" s="157">
        <v>37783</v>
      </c>
      <c r="B10819" s="158">
        <v>4.2300000000000004</v>
      </c>
    </row>
    <row r="10820" spans="1:2" x14ac:dyDescent="0.25">
      <c r="A10820" s="157">
        <v>37784</v>
      </c>
      <c r="B10820" s="158">
        <v>4.18</v>
      </c>
    </row>
    <row r="10821" spans="1:2" x14ac:dyDescent="0.25">
      <c r="A10821" s="157">
        <v>37785</v>
      </c>
      <c r="B10821" s="158">
        <v>4.13</v>
      </c>
    </row>
    <row r="10822" spans="1:2" x14ac:dyDescent="0.25">
      <c r="A10822" s="157">
        <v>37788</v>
      </c>
      <c r="B10822" s="158">
        <v>4.18</v>
      </c>
    </row>
    <row r="10823" spans="1:2" x14ac:dyDescent="0.25">
      <c r="A10823" s="157">
        <v>37789</v>
      </c>
      <c r="B10823" s="158">
        <v>4.26</v>
      </c>
    </row>
    <row r="10824" spans="1:2" x14ac:dyDescent="0.25">
      <c r="A10824" s="157">
        <v>37790</v>
      </c>
      <c r="B10824" s="158">
        <v>4.3499999999999996</v>
      </c>
    </row>
    <row r="10825" spans="1:2" x14ac:dyDescent="0.25">
      <c r="A10825" s="157">
        <v>37791</v>
      </c>
      <c r="B10825" s="158">
        <v>4.37</v>
      </c>
    </row>
    <row r="10826" spans="1:2" x14ac:dyDescent="0.25">
      <c r="A10826" s="157">
        <v>37792</v>
      </c>
      <c r="B10826" s="158">
        <v>4.41</v>
      </c>
    </row>
    <row r="10827" spans="1:2" x14ac:dyDescent="0.25">
      <c r="A10827" s="157">
        <v>37795</v>
      </c>
      <c r="B10827" s="158">
        <v>4.3499999999999996</v>
      </c>
    </row>
    <row r="10828" spans="1:2" x14ac:dyDescent="0.25">
      <c r="A10828" s="157">
        <v>37796</v>
      </c>
      <c r="B10828" s="158">
        <v>4.3099999999999996</v>
      </c>
    </row>
    <row r="10829" spans="1:2" x14ac:dyDescent="0.25">
      <c r="A10829" s="157">
        <v>37797</v>
      </c>
      <c r="B10829" s="158">
        <v>4.4000000000000004</v>
      </c>
    </row>
    <row r="10830" spans="1:2" x14ac:dyDescent="0.25">
      <c r="A10830" s="157">
        <v>37798</v>
      </c>
      <c r="B10830" s="158">
        <v>4.5199999999999996</v>
      </c>
    </row>
    <row r="10831" spans="1:2" x14ac:dyDescent="0.25">
      <c r="A10831" s="157">
        <v>37799</v>
      </c>
      <c r="B10831" s="158">
        <v>4.57</v>
      </c>
    </row>
    <row r="10832" spans="1:2" x14ac:dyDescent="0.25">
      <c r="A10832" s="157">
        <v>37802</v>
      </c>
      <c r="B10832" s="158">
        <v>4.5199999999999996</v>
      </c>
    </row>
    <row r="10833" spans="1:2" x14ac:dyDescent="0.25">
      <c r="A10833" s="157">
        <v>37803</v>
      </c>
      <c r="B10833" s="158">
        <v>4.54</v>
      </c>
    </row>
    <row r="10834" spans="1:2" x14ac:dyDescent="0.25">
      <c r="A10834" s="157">
        <v>37804</v>
      </c>
      <c r="B10834" s="158">
        <v>4.54</v>
      </c>
    </row>
    <row r="10835" spans="1:2" x14ac:dyDescent="0.25">
      <c r="A10835" s="157">
        <v>37805</v>
      </c>
      <c r="B10835" s="158">
        <v>4.6399999999999997</v>
      </c>
    </row>
    <row r="10836" spans="1:2" x14ac:dyDescent="0.25">
      <c r="A10836" s="157">
        <v>37806</v>
      </c>
      <c r="B10836" s="158" t="e">
        <f>NA()</f>
        <v>#N/A</v>
      </c>
    </row>
    <row r="10837" spans="1:2" x14ac:dyDescent="0.25">
      <c r="A10837" s="157">
        <v>37809</v>
      </c>
      <c r="B10837" s="158">
        <v>4.6900000000000004</v>
      </c>
    </row>
    <row r="10838" spans="1:2" x14ac:dyDescent="0.25">
      <c r="A10838" s="157">
        <v>37810</v>
      </c>
      <c r="B10838" s="158">
        <v>4.71</v>
      </c>
    </row>
    <row r="10839" spans="1:2" x14ac:dyDescent="0.25">
      <c r="A10839" s="157">
        <v>37811</v>
      </c>
      <c r="B10839" s="158">
        <v>4.6900000000000004</v>
      </c>
    </row>
    <row r="10840" spans="1:2" x14ac:dyDescent="0.25">
      <c r="A10840" s="157">
        <v>37812</v>
      </c>
      <c r="B10840" s="158">
        <v>4.68</v>
      </c>
    </row>
    <row r="10841" spans="1:2" x14ac:dyDescent="0.25">
      <c r="A10841" s="157">
        <v>37813</v>
      </c>
      <c r="B10841" s="158">
        <v>4.6500000000000004</v>
      </c>
    </row>
    <row r="10842" spans="1:2" x14ac:dyDescent="0.25">
      <c r="A10842" s="157">
        <v>37816</v>
      </c>
      <c r="B10842" s="158">
        <v>4.74</v>
      </c>
    </row>
    <row r="10843" spans="1:2" x14ac:dyDescent="0.25">
      <c r="A10843" s="157">
        <v>37817</v>
      </c>
      <c r="B10843" s="158">
        <v>4.91</v>
      </c>
    </row>
    <row r="10844" spans="1:2" x14ac:dyDescent="0.25">
      <c r="A10844" s="157">
        <v>37818</v>
      </c>
      <c r="B10844" s="158">
        <v>4.91</v>
      </c>
    </row>
    <row r="10845" spans="1:2" x14ac:dyDescent="0.25">
      <c r="A10845" s="157">
        <v>37819</v>
      </c>
      <c r="B10845" s="158">
        <v>4.92</v>
      </c>
    </row>
    <row r="10846" spans="1:2" x14ac:dyDescent="0.25">
      <c r="A10846" s="157">
        <v>37820</v>
      </c>
      <c r="B10846" s="158">
        <v>4.93</v>
      </c>
    </row>
    <row r="10847" spans="1:2" x14ac:dyDescent="0.25">
      <c r="A10847" s="157">
        <v>37823</v>
      </c>
      <c r="B10847" s="158">
        <v>5.09</v>
      </c>
    </row>
    <row r="10848" spans="1:2" x14ac:dyDescent="0.25">
      <c r="A10848" s="157">
        <v>37824</v>
      </c>
      <c r="B10848" s="158">
        <v>5.07</v>
      </c>
    </row>
    <row r="10849" spans="1:2" x14ac:dyDescent="0.25">
      <c r="A10849" s="157">
        <v>37825</v>
      </c>
      <c r="B10849" s="158">
        <v>5.04</v>
      </c>
    </row>
    <row r="10850" spans="1:2" x14ac:dyDescent="0.25">
      <c r="A10850" s="157">
        <v>37826</v>
      </c>
      <c r="B10850" s="158">
        <v>5.12</v>
      </c>
    </row>
    <row r="10851" spans="1:2" x14ac:dyDescent="0.25">
      <c r="A10851" s="157">
        <v>37827</v>
      </c>
      <c r="B10851" s="158">
        <v>5.15</v>
      </c>
    </row>
    <row r="10852" spans="1:2" x14ac:dyDescent="0.25">
      <c r="A10852" s="157">
        <v>37830</v>
      </c>
      <c r="B10852" s="158">
        <v>5.23</v>
      </c>
    </row>
    <row r="10853" spans="1:2" x14ac:dyDescent="0.25">
      <c r="A10853" s="157">
        <v>37831</v>
      </c>
      <c r="B10853" s="158">
        <v>5.33</v>
      </c>
    </row>
    <row r="10854" spans="1:2" x14ac:dyDescent="0.25">
      <c r="A10854" s="157">
        <v>37832</v>
      </c>
      <c r="B10854" s="158">
        <v>5.27</v>
      </c>
    </row>
    <row r="10855" spans="1:2" x14ac:dyDescent="0.25">
      <c r="A10855" s="157">
        <v>37833</v>
      </c>
      <c r="B10855" s="158">
        <v>5.43</v>
      </c>
    </row>
    <row r="10856" spans="1:2" x14ac:dyDescent="0.25">
      <c r="A10856" s="157">
        <v>37834</v>
      </c>
      <c r="B10856" s="158">
        <v>5.42</v>
      </c>
    </row>
    <row r="10857" spans="1:2" x14ac:dyDescent="0.25">
      <c r="A10857" s="157">
        <v>37837</v>
      </c>
      <c r="B10857" s="158">
        <v>5.36</v>
      </c>
    </row>
    <row r="10858" spans="1:2" x14ac:dyDescent="0.25">
      <c r="A10858" s="157">
        <v>37838</v>
      </c>
      <c r="B10858" s="158">
        <v>5.48</v>
      </c>
    </row>
    <row r="10859" spans="1:2" x14ac:dyDescent="0.25">
      <c r="A10859" s="157">
        <v>37839</v>
      </c>
      <c r="B10859" s="158">
        <v>5.31</v>
      </c>
    </row>
    <row r="10860" spans="1:2" x14ac:dyDescent="0.25">
      <c r="A10860" s="157">
        <v>37840</v>
      </c>
      <c r="B10860" s="158">
        <v>5.27</v>
      </c>
    </row>
    <row r="10861" spans="1:2" x14ac:dyDescent="0.25">
      <c r="A10861" s="157">
        <v>37841</v>
      </c>
      <c r="B10861" s="158">
        <v>5.29</v>
      </c>
    </row>
    <row r="10862" spans="1:2" x14ac:dyDescent="0.25">
      <c r="A10862" s="157">
        <v>37844</v>
      </c>
      <c r="B10862" s="158">
        <v>5.36</v>
      </c>
    </row>
    <row r="10863" spans="1:2" x14ac:dyDescent="0.25">
      <c r="A10863" s="157">
        <v>37845</v>
      </c>
      <c r="B10863" s="158">
        <v>5.36</v>
      </c>
    </row>
    <row r="10864" spans="1:2" x14ac:dyDescent="0.25">
      <c r="A10864" s="157">
        <v>37846</v>
      </c>
      <c r="B10864" s="158">
        <v>5.55</v>
      </c>
    </row>
    <row r="10865" spans="1:2" x14ac:dyDescent="0.25">
      <c r="A10865" s="157">
        <v>37847</v>
      </c>
      <c r="B10865" s="158">
        <v>5.49</v>
      </c>
    </row>
    <row r="10866" spans="1:2" x14ac:dyDescent="0.25">
      <c r="A10866" s="157">
        <v>37848</v>
      </c>
      <c r="B10866" s="158">
        <v>5.49</v>
      </c>
    </row>
    <row r="10867" spans="1:2" x14ac:dyDescent="0.25">
      <c r="A10867" s="157">
        <v>37851</v>
      </c>
      <c r="B10867" s="158">
        <v>5.45</v>
      </c>
    </row>
    <row r="10868" spans="1:2" x14ac:dyDescent="0.25">
      <c r="A10868" s="157">
        <v>37852</v>
      </c>
      <c r="B10868" s="158">
        <v>5.33</v>
      </c>
    </row>
    <row r="10869" spans="1:2" x14ac:dyDescent="0.25">
      <c r="A10869" s="157">
        <v>37853</v>
      </c>
      <c r="B10869" s="158">
        <v>5.39</v>
      </c>
    </row>
    <row r="10870" spans="1:2" x14ac:dyDescent="0.25">
      <c r="A10870" s="157">
        <v>37854</v>
      </c>
      <c r="B10870" s="158">
        <v>5.43</v>
      </c>
    </row>
    <row r="10871" spans="1:2" x14ac:dyDescent="0.25">
      <c r="A10871" s="157">
        <v>37855</v>
      </c>
      <c r="B10871" s="158">
        <v>5.37</v>
      </c>
    </row>
    <row r="10872" spans="1:2" x14ac:dyDescent="0.25">
      <c r="A10872" s="157">
        <v>37858</v>
      </c>
      <c r="B10872" s="158">
        <v>5.43</v>
      </c>
    </row>
    <row r="10873" spans="1:2" x14ac:dyDescent="0.25">
      <c r="A10873" s="157">
        <v>37859</v>
      </c>
      <c r="B10873" s="158">
        <v>5.39</v>
      </c>
    </row>
    <row r="10874" spans="1:2" x14ac:dyDescent="0.25">
      <c r="A10874" s="157">
        <v>37860</v>
      </c>
      <c r="B10874" s="158">
        <v>5.43</v>
      </c>
    </row>
    <row r="10875" spans="1:2" x14ac:dyDescent="0.25">
      <c r="A10875" s="157">
        <v>37861</v>
      </c>
      <c r="B10875" s="158">
        <v>5.31</v>
      </c>
    </row>
    <row r="10876" spans="1:2" x14ac:dyDescent="0.25">
      <c r="A10876" s="157">
        <v>37862</v>
      </c>
      <c r="B10876" s="158">
        <v>5.33</v>
      </c>
    </row>
    <row r="10877" spans="1:2" x14ac:dyDescent="0.25">
      <c r="A10877" s="157">
        <v>37865</v>
      </c>
      <c r="B10877" s="158" t="e">
        <f>NA()</f>
        <v>#N/A</v>
      </c>
    </row>
    <row r="10878" spans="1:2" x14ac:dyDescent="0.25">
      <c r="A10878" s="157">
        <v>37866</v>
      </c>
      <c r="B10878" s="158">
        <v>5.48</v>
      </c>
    </row>
    <row r="10879" spans="1:2" x14ac:dyDescent="0.25">
      <c r="A10879" s="157">
        <v>37867</v>
      </c>
      <c r="B10879" s="158">
        <v>5.49</v>
      </c>
    </row>
    <row r="10880" spans="1:2" x14ac:dyDescent="0.25">
      <c r="A10880" s="157">
        <v>37868</v>
      </c>
      <c r="B10880" s="158">
        <v>5.43</v>
      </c>
    </row>
    <row r="10881" spans="1:2" x14ac:dyDescent="0.25">
      <c r="A10881" s="157">
        <v>37869</v>
      </c>
      <c r="B10881" s="158">
        <v>5.29</v>
      </c>
    </row>
    <row r="10882" spans="1:2" x14ac:dyDescent="0.25">
      <c r="A10882" s="157">
        <v>37872</v>
      </c>
      <c r="B10882" s="158">
        <v>5.33</v>
      </c>
    </row>
    <row r="10883" spans="1:2" x14ac:dyDescent="0.25">
      <c r="A10883" s="157">
        <v>37873</v>
      </c>
      <c r="B10883" s="158">
        <v>5.31</v>
      </c>
    </row>
    <row r="10884" spans="1:2" x14ac:dyDescent="0.25">
      <c r="A10884" s="157">
        <v>37874</v>
      </c>
      <c r="B10884" s="158">
        <v>5.22</v>
      </c>
    </row>
    <row r="10885" spans="1:2" x14ac:dyDescent="0.25">
      <c r="A10885" s="157">
        <v>37875</v>
      </c>
      <c r="B10885" s="158">
        <v>5.27</v>
      </c>
    </row>
    <row r="10886" spans="1:2" x14ac:dyDescent="0.25">
      <c r="A10886" s="157">
        <v>37876</v>
      </c>
      <c r="B10886" s="158">
        <v>5.22</v>
      </c>
    </row>
    <row r="10887" spans="1:2" x14ac:dyDescent="0.25">
      <c r="A10887" s="157">
        <v>37879</v>
      </c>
      <c r="B10887" s="158">
        <v>5.24</v>
      </c>
    </row>
    <row r="10888" spans="1:2" x14ac:dyDescent="0.25">
      <c r="A10888" s="157">
        <v>37880</v>
      </c>
      <c r="B10888" s="158">
        <v>5.26</v>
      </c>
    </row>
    <row r="10889" spans="1:2" x14ac:dyDescent="0.25">
      <c r="A10889" s="157">
        <v>37881</v>
      </c>
      <c r="B10889" s="158">
        <v>5.15</v>
      </c>
    </row>
    <row r="10890" spans="1:2" x14ac:dyDescent="0.25">
      <c r="A10890" s="157">
        <v>37882</v>
      </c>
      <c r="B10890" s="158">
        <v>5.15</v>
      </c>
    </row>
    <row r="10891" spans="1:2" x14ac:dyDescent="0.25">
      <c r="A10891" s="157">
        <v>37883</v>
      </c>
      <c r="B10891" s="158">
        <v>5.12</v>
      </c>
    </row>
    <row r="10892" spans="1:2" x14ac:dyDescent="0.25">
      <c r="A10892" s="157">
        <v>37886</v>
      </c>
      <c r="B10892" s="158">
        <v>5.2</v>
      </c>
    </row>
    <row r="10893" spans="1:2" x14ac:dyDescent="0.25">
      <c r="A10893" s="157">
        <v>37887</v>
      </c>
      <c r="B10893" s="158">
        <v>5.16</v>
      </c>
    </row>
    <row r="10894" spans="1:2" x14ac:dyDescent="0.25">
      <c r="A10894" s="157">
        <v>37888</v>
      </c>
      <c r="B10894" s="158">
        <v>5.09</v>
      </c>
    </row>
    <row r="10895" spans="1:2" x14ac:dyDescent="0.25">
      <c r="A10895" s="157">
        <v>37889</v>
      </c>
      <c r="B10895" s="158">
        <v>5.04</v>
      </c>
    </row>
    <row r="10896" spans="1:2" x14ac:dyDescent="0.25">
      <c r="A10896" s="157">
        <v>37890</v>
      </c>
      <c r="B10896" s="158">
        <v>4.9800000000000004</v>
      </c>
    </row>
    <row r="10897" spans="1:2" x14ac:dyDescent="0.25">
      <c r="A10897" s="157">
        <v>37893</v>
      </c>
      <c r="B10897" s="158">
        <v>5.03</v>
      </c>
    </row>
    <row r="10898" spans="1:2" x14ac:dyDescent="0.25">
      <c r="A10898" s="157">
        <v>37894</v>
      </c>
      <c r="B10898" s="158">
        <v>4.91</v>
      </c>
    </row>
    <row r="10899" spans="1:2" x14ac:dyDescent="0.25">
      <c r="A10899" s="157">
        <v>37895</v>
      </c>
      <c r="B10899" s="158">
        <v>4.92</v>
      </c>
    </row>
    <row r="10900" spans="1:2" x14ac:dyDescent="0.25">
      <c r="A10900" s="157">
        <v>37896</v>
      </c>
      <c r="B10900" s="158">
        <v>4.97</v>
      </c>
    </row>
    <row r="10901" spans="1:2" x14ac:dyDescent="0.25">
      <c r="A10901" s="157">
        <v>37897</v>
      </c>
      <c r="B10901" s="158">
        <v>5.15</v>
      </c>
    </row>
    <row r="10902" spans="1:2" x14ac:dyDescent="0.25">
      <c r="A10902" s="157">
        <v>37900</v>
      </c>
      <c r="B10902" s="158">
        <v>5.0999999999999996</v>
      </c>
    </row>
    <row r="10903" spans="1:2" x14ac:dyDescent="0.25">
      <c r="A10903" s="157">
        <v>37901</v>
      </c>
      <c r="B10903" s="158">
        <v>5.21</v>
      </c>
    </row>
    <row r="10904" spans="1:2" x14ac:dyDescent="0.25">
      <c r="A10904" s="157">
        <v>37902</v>
      </c>
      <c r="B10904" s="158">
        <v>5.22</v>
      </c>
    </row>
    <row r="10905" spans="1:2" x14ac:dyDescent="0.25">
      <c r="A10905" s="157">
        <v>37903</v>
      </c>
      <c r="B10905" s="158">
        <v>5.27</v>
      </c>
    </row>
    <row r="10906" spans="1:2" x14ac:dyDescent="0.25">
      <c r="A10906" s="157">
        <v>37904</v>
      </c>
      <c r="B10906" s="158">
        <v>5.23</v>
      </c>
    </row>
    <row r="10907" spans="1:2" x14ac:dyDescent="0.25">
      <c r="A10907" s="157">
        <v>37907</v>
      </c>
      <c r="B10907" s="158" t="e">
        <f>NA()</f>
        <v>#N/A</v>
      </c>
    </row>
    <row r="10908" spans="1:2" x14ac:dyDescent="0.25">
      <c r="A10908" s="157">
        <v>37908</v>
      </c>
      <c r="B10908" s="158">
        <v>5.32</v>
      </c>
    </row>
    <row r="10909" spans="1:2" x14ac:dyDescent="0.25">
      <c r="A10909" s="157">
        <v>37909</v>
      </c>
      <c r="B10909" s="158">
        <v>5.36</v>
      </c>
    </row>
    <row r="10910" spans="1:2" x14ac:dyDescent="0.25">
      <c r="A10910" s="157">
        <v>37910</v>
      </c>
      <c r="B10910" s="158">
        <v>5.38</v>
      </c>
    </row>
    <row r="10911" spans="1:2" x14ac:dyDescent="0.25">
      <c r="A10911" s="157">
        <v>37911</v>
      </c>
      <c r="B10911" s="158">
        <v>5.32</v>
      </c>
    </row>
    <row r="10912" spans="1:2" x14ac:dyDescent="0.25">
      <c r="A10912" s="157">
        <v>37914</v>
      </c>
      <c r="B10912" s="158">
        <v>5.3</v>
      </c>
    </row>
    <row r="10913" spans="1:2" x14ac:dyDescent="0.25">
      <c r="A10913" s="157">
        <v>37915</v>
      </c>
      <c r="B10913" s="158">
        <v>5.28</v>
      </c>
    </row>
    <row r="10914" spans="1:2" x14ac:dyDescent="0.25">
      <c r="A10914" s="157">
        <v>37916</v>
      </c>
      <c r="B10914" s="158">
        <v>5.19</v>
      </c>
    </row>
    <row r="10915" spans="1:2" x14ac:dyDescent="0.25">
      <c r="A10915" s="157">
        <v>37917</v>
      </c>
      <c r="B10915" s="158">
        <v>5.25</v>
      </c>
    </row>
    <row r="10916" spans="1:2" x14ac:dyDescent="0.25">
      <c r="A10916" s="157">
        <v>37918</v>
      </c>
      <c r="B10916" s="158">
        <v>5.14</v>
      </c>
    </row>
    <row r="10917" spans="1:2" x14ac:dyDescent="0.25">
      <c r="A10917" s="157">
        <v>37921</v>
      </c>
      <c r="B10917" s="158">
        <v>5.19</v>
      </c>
    </row>
    <row r="10918" spans="1:2" x14ac:dyDescent="0.25">
      <c r="A10918" s="157">
        <v>37922</v>
      </c>
      <c r="B10918" s="158">
        <v>5.14</v>
      </c>
    </row>
    <row r="10919" spans="1:2" x14ac:dyDescent="0.25">
      <c r="A10919" s="157">
        <v>37923</v>
      </c>
      <c r="B10919" s="158">
        <v>5.21</v>
      </c>
    </row>
    <row r="10920" spans="1:2" x14ac:dyDescent="0.25">
      <c r="A10920" s="157">
        <v>37924</v>
      </c>
      <c r="B10920" s="158">
        <v>5.25</v>
      </c>
    </row>
    <row r="10921" spans="1:2" x14ac:dyDescent="0.25">
      <c r="A10921" s="157">
        <v>37925</v>
      </c>
      <c r="B10921" s="158">
        <v>5.2</v>
      </c>
    </row>
    <row r="10922" spans="1:2" x14ac:dyDescent="0.25">
      <c r="A10922" s="157">
        <v>37928</v>
      </c>
      <c r="B10922" s="158">
        <v>5.25</v>
      </c>
    </row>
    <row r="10923" spans="1:2" x14ac:dyDescent="0.25">
      <c r="A10923" s="157">
        <v>37929</v>
      </c>
      <c r="B10923" s="158">
        <v>5.19</v>
      </c>
    </row>
    <row r="10924" spans="1:2" x14ac:dyDescent="0.25">
      <c r="A10924" s="157">
        <v>37930</v>
      </c>
      <c r="B10924" s="158">
        <v>5.24</v>
      </c>
    </row>
    <row r="10925" spans="1:2" x14ac:dyDescent="0.25">
      <c r="A10925" s="157">
        <v>37931</v>
      </c>
      <c r="B10925" s="158">
        <v>5.32</v>
      </c>
    </row>
    <row r="10926" spans="1:2" x14ac:dyDescent="0.25">
      <c r="A10926" s="157">
        <v>37932</v>
      </c>
      <c r="B10926" s="158">
        <v>5.33</v>
      </c>
    </row>
    <row r="10927" spans="1:2" x14ac:dyDescent="0.25">
      <c r="A10927" s="157">
        <v>37935</v>
      </c>
      <c r="B10927" s="158">
        <v>5.34</v>
      </c>
    </row>
    <row r="10928" spans="1:2" x14ac:dyDescent="0.25">
      <c r="A10928" s="157">
        <v>37936</v>
      </c>
      <c r="B10928" s="158" t="e">
        <f>NA()</f>
        <v>#N/A</v>
      </c>
    </row>
    <row r="10929" spans="1:2" x14ac:dyDescent="0.25">
      <c r="A10929" s="157">
        <v>37937</v>
      </c>
      <c r="B10929" s="158">
        <v>5.29</v>
      </c>
    </row>
    <row r="10930" spans="1:2" x14ac:dyDescent="0.25">
      <c r="A10930" s="157">
        <v>37938</v>
      </c>
      <c r="B10930" s="158">
        <v>5.16</v>
      </c>
    </row>
    <row r="10931" spans="1:2" x14ac:dyDescent="0.25">
      <c r="A10931" s="157">
        <v>37939</v>
      </c>
      <c r="B10931" s="158">
        <v>5.0999999999999996</v>
      </c>
    </row>
    <row r="10932" spans="1:2" x14ac:dyDescent="0.25">
      <c r="A10932" s="157">
        <v>37942</v>
      </c>
      <c r="B10932" s="158">
        <v>5.07</v>
      </c>
    </row>
    <row r="10933" spans="1:2" x14ac:dyDescent="0.25">
      <c r="A10933" s="157">
        <v>37943</v>
      </c>
      <c r="B10933" s="158">
        <v>5.05</v>
      </c>
    </row>
    <row r="10934" spans="1:2" x14ac:dyDescent="0.25">
      <c r="A10934" s="157">
        <v>37944</v>
      </c>
      <c r="B10934" s="158">
        <v>5.12</v>
      </c>
    </row>
    <row r="10935" spans="1:2" x14ac:dyDescent="0.25">
      <c r="A10935" s="157">
        <v>37945</v>
      </c>
      <c r="B10935" s="158">
        <v>5.0599999999999996</v>
      </c>
    </row>
    <row r="10936" spans="1:2" x14ac:dyDescent="0.25">
      <c r="A10936" s="157">
        <v>37946</v>
      </c>
      <c r="B10936" s="158">
        <v>5.05</v>
      </c>
    </row>
    <row r="10937" spans="1:2" x14ac:dyDescent="0.25">
      <c r="A10937" s="157">
        <v>37949</v>
      </c>
      <c r="B10937" s="158">
        <v>5.1100000000000003</v>
      </c>
    </row>
    <row r="10938" spans="1:2" x14ac:dyDescent="0.25">
      <c r="A10938" s="157">
        <v>37950</v>
      </c>
      <c r="B10938" s="158">
        <v>5.07</v>
      </c>
    </row>
    <row r="10939" spans="1:2" x14ac:dyDescent="0.25">
      <c r="A10939" s="157">
        <v>37951</v>
      </c>
      <c r="B10939" s="158">
        <v>5.12</v>
      </c>
    </row>
    <row r="10940" spans="1:2" x14ac:dyDescent="0.25">
      <c r="A10940" s="157">
        <v>37952</v>
      </c>
      <c r="B10940" s="158" t="e">
        <f>NA()</f>
        <v>#N/A</v>
      </c>
    </row>
    <row r="10941" spans="1:2" x14ac:dyDescent="0.25">
      <c r="A10941" s="157">
        <v>37953</v>
      </c>
      <c r="B10941" s="158">
        <v>5.2</v>
      </c>
    </row>
    <row r="10942" spans="1:2" x14ac:dyDescent="0.25">
      <c r="A10942" s="157">
        <v>37956</v>
      </c>
      <c r="B10942" s="158">
        <v>5.23</v>
      </c>
    </row>
    <row r="10943" spans="1:2" x14ac:dyDescent="0.25">
      <c r="A10943" s="157">
        <v>37957</v>
      </c>
      <c r="B10943" s="158">
        <v>5.22</v>
      </c>
    </row>
    <row r="10944" spans="1:2" x14ac:dyDescent="0.25">
      <c r="A10944" s="157">
        <v>37958</v>
      </c>
      <c r="B10944" s="158">
        <v>5.25</v>
      </c>
    </row>
    <row r="10945" spans="1:2" x14ac:dyDescent="0.25">
      <c r="A10945" s="157">
        <v>37959</v>
      </c>
      <c r="B10945" s="158">
        <v>5.22</v>
      </c>
    </row>
    <row r="10946" spans="1:2" x14ac:dyDescent="0.25">
      <c r="A10946" s="157">
        <v>37960</v>
      </c>
      <c r="B10946" s="158">
        <v>5.09</v>
      </c>
    </row>
    <row r="10947" spans="1:2" x14ac:dyDescent="0.25">
      <c r="A10947" s="157">
        <v>37963</v>
      </c>
      <c r="B10947" s="158">
        <v>5.15</v>
      </c>
    </row>
    <row r="10948" spans="1:2" x14ac:dyDescent="0.25">
      <c r="A10948" s="157">
        <v>37964</v>
      </c>
      <c r="B10948" s="158">
        <v>5.18</v>
      </c>
    </row>
    <row r="10949" spans="1:2" x14ac:dyDescent="0.25">
      <c r="A10949" s="157">
        <v>37965</v>
      </c>
      <c r="B10949" s="158">
        <v>5.16</v>
      </c>
    </row>
    <row r="10950" spans="1:2" x14ac:dyDescent="0.25">
      <c r="A10950" s="157">
        <v>37966</v>
      </c>
      <c r="B10950" s="158">
        <v>5.14</v>
      </c>
    </row>
    <row r="10951" spans="1:2" x14ac:dyDescent="0.25">
      <c r="A10951" s="157">
        <v>37967</v>
      </c>
      <c r="B10951" s="158">
        <v>5.12</v>
      </c>
    </row>
    <row r="10952" spans="1:2" x14ac:dyDescent="0.25">
      <c r="A10952" s="157">
        <v>37970</v>
      </c>
      <c r="B10952" s="158">
        <v>5.13</v>
      </c>
    </row>
    <row r="10953" spans="1:2" x14ac:dyDescent="0.25">
      <c r="A10953" s="157">
        <v>37971</v>
      </c>
      <c r="B10953" s="158">
        <v>5.0999999999999996</v>
      </c>
    </row>
    <row r="10954" spans="1:2" x14ac:dyDescent="0.25">
      <c r="A10954" s="157">
        <v>37972</v>
      </c>
      <c r="B10954" s="158">
        <v>5.05</v>
      </c>
    </row>
    <row r="10955" spans="1:2" x14ac:dyDescent="0.25">
      <c r="A10955" s="157">
        <v>37973</v>
      </c>
      <c r="B10955" s="158">
        <v>4.99</v>
      </c>
    </row>
    <row r="10956" spans="1:2" x14ac:dyDescent="0.25">
      <c r="A10956" s="157">
        <v>37974</v>
      </c>
      <c r="B10956" s="158">
        <v>4.99</v>
      </c>
    </row>
    <row r="10957" spans="1:2" x14ac:dyDescent="0.25">
      <c r="A10957" s="157">
        <v>37977</v>
      </c>
      <c r="B10957" s="158">
        <v>5.0199999999999996</v>
      </c>
    </row>
    <row r="10958" spans="1:2" x14ac:dyDescent="0.25">
      <c r="A10958" s="157">
        <v>37978</v>
      </c>
      <c r="B10958" s="158">
        <v>5.09</v>
      </c>
    </row>
    <row r="10959" spans="1:2" x14ac:dyDescent="0.25">
      <c r="A10959" s="157">
        <v>37979</v>
      </c>
      <c r="B10959" s="158">
        <v>5.0199999999999996</v>
      </c>
    </row>
    <row r="10960" spans="1:2" x14ac:dyDescent="0.25">
      <c r="A10960" s="157">
        <v>37980</v>
      </c>
      <c r="B10960" s="158" t="e">
        <f>NA()</f>
        <v>#N/A</v>
      </c>
    </row>
    <row r="10961" spans="1:2" x14ac:dyDescent="0.25">
      <c r="A10961" s="157">
        <v>37981</v>
      </c>
      <c r="B10961" s="158">
        <v>4.99</v>
      </c>
    </row>
    <row r="10962" spans="1:2" x14ac:dyDescent="0.25">
      <c r="A10962" s="157">
        <v>37984</v>
      </c>
      <c r="B10962" s="158">
        <v>5.07</v>
      </c>
    </row>
    <row r="10963" spans="1:2" x14ac:dyDescent="0.25">
      <c r="A10963" s="157">
        <v>37985</v>
      </c>
      <c r="B10963" s="158">
        <v>5.12</v>
      </c>
    </row>
    <row r="10964" spans="1:2" x14ac:dyDescent="0.25">
      <c r="A10964" s="157">
        <v>37986</v>
      </c>
      <c r="B10964" s="158">
        <v>5.0999999999999996</v>
      </c>
    </row>
    <row r="10965" spans="1:2" x14ac:dyDescent="0.25">
      <c r="A10965" s="157">
        <v>37987</v>
      </c>
      <c r="B10965" s="158" t="e">
        <f>NA()</f>
        <v>#N/A</v>
      </c>
    </row>
    <row r="10966" spans="1:2" x14ac:dyDescent="0.25">
      <c r="A10966" s="157">
        <v>37988</v>
      </c>
      <c r="B10966" s="158">
        <v>5.21</v>
      </c>
    </row>
    <row r="10967" spans="1:2" x14ac:dyDescent="0.25">
      <c r="A10967" s="157">
        <v>37991</v>
      </c>
      <c r="B10967" s="158">
        <v>5.23</v>
      </c>
    </row>
    <row r="10968" spans="1:2" x14ac:dyDescent="0.25">
      <c r="A10968" s="157">
        <v>37992</v>
      </c>
      <c r="B10968" s="158">
        <v>5.13</v>
      </c>
    </row>
    <row r="10969" spans="1:2" x14ac:dyDescent="0.25">
      <c r="A10969" s="157">
        <v>37993</v>
      </c>
      <c r="B10969" s="158">
        <v>5.1100000000000003</v>
      </c>
    </row>
    <row r="10970" spans="1:2" x14ac:dyDescent="0.25">
      <c r="A10970" s="157">
        <v>37994</v>
      </c>
      <c r="B10970" s="158">
        <v>5.12</v>
      </c>
    </row>
    <row r="10971" spans="1:2" x14ac:dyDescent="0.25">
      <c r="A10971" s="157">
        <v>37995</v>
      </c>
      <c r="B10971" s="158">
        <v>4.9800000000000004</v>
      </c>
    </row>
    <row r="10972" spans="1:2" x14ac:dyDescent="0.25">
      <c r="A10972" s="157">
        <v>37998</v>
      </c>
      <c r="B10972" s="158">
        <v>4.99</v>
      </c>
    </row>
    <row r="10973" spans="1:2" x14ac:dyDescent="0.25">
      <c r="A10973" s="157">
        <v>37999</v>
      </c>
      <c r="B10973" s="158">
        <v>4.95</v>
      </c>
    </row>
    <row r="10974" spans="1:2" x14ac:dyDescent="0.25">
      <c r="A10974" s="157">
        <v>38000</v>
      </c>
      <c r="B10974" s="158">
        <v>4.9000000000000004</v>
      </c>
    </row>
    <row r="10975" spans="1:2" x14ac:dyDescent="0.25">
      <c r="A10975" s="157">
        <v>38001</v>
      </c>
      <c r="B10975" s="158">
        <v>4.87</v>
      </c>
    </row>
    <row r="10976" spans="1:2" x14ac:dyDescent="0.25">
      <c r="A10976" s="157">
        <v>38002</v>
      </c>
      <c r="B10976" s="158">
        <v>4.9000000000000004</v>
      </c>
    </row>
    <row r="10977" spans="1:2" x14ac:dyDescent="0.25">
      <c r="A10977" s="157">
        <v>38005</v>
      </c>
      <c r="B10977" s="158" t="e">
        <f>NA()</f>
        <v>#N/A</v>
      </c>
    </row>
    <row r="10978" spans="1:2" x14ac:dyDescent="0.25">
      <c r="A10978" s="157">
        <v>38006</v>
      </c>
      <c r="B10978" s="158">
        <v>4.93</v>
      </c>
    </row>
    <row r="10979" spans="1:2" x14ac:dyDescent="0.25">
      <c r="A10979" s="157">
        <v>38007</v>
      </c>
      <c r="B10979" s="158">
        <v>4.92</v>
      </c>
    </row>
    <row r="10980" spans="1:2" x14ac:dyDescent="0.25">
      <c r="A10980" s="157">
        <v>38008</v>
      </c>
      <c r="B10980" s="158">
        <v>4.8600000000000003</v>
      </c>
    </row>
    <row r="10981" spans="1:2" x14ac:dyDescent="0.25">
      <c r="A10981" s="157">
        <v>38009</v>
      </c>
      <c r="B10981" s="158">
        <v>4.95</v>
      </c>
    </row>
    <row r="10982" spans="1:2" x14ac:dyDescent="0.25">
      <c r="A10982" s="157">
        <v>38012</v>
      </c>
      <c r="B10982" s="158">
        <v>5.01</v>
      </c>
    </row>
    <row r="10983" spans="1:2" x14ac:dyDescent="0.25">
      <c r="A10983" s="157">
        <v>38013</v>
      </c>
      <c r="B10983" s="158">
        <v>4.96</v>
      </c>
    </row>
    <row r="10984" spans="1:2" x14ac:dyDescent="0.25">
      <c r="A10984" s="157">
        <v>38014</v>
      </c>
      <c r="B10984" s="158">
        <v>5.0599999999999996</v>
      </c>
    </row>
    <row r="10985" spans="1:2" x14ac:dyDescent="0.25">
      <c r="A10985" s="157">
        <v>38015</v>
      </c>
      <c r="B10985" s="158">
        <v>5.05</v>
      </c>
    </row>
    <row r="10986" spans="1:2" x14ac:dyDescent="0.25">
      <c r="A10986" s="157">
        <v>38016</v>
      </c>
      <c r="B10986" s="158">
        <v>5</v>
      </c>
    </row>
    <row r="10987" spans="1:2" x14ac:dyDescent="0.25">
      <c r="A10987" s="157">
        <v>38019</v>
      </c>
      <c r="B10987" s="158">
        <v>5.0199999999999996</v>
      </c>
    </row>
    <row r="10988" spans="1:2" x14ac:dyDescent="0.25">
      <c r="A10988" s="157">
        <v>38020</v>
      </c>
      <c r="B10988" s="158">
        <v>4.9800000000000004</v>
      </c>
    </row>
    <row r="10989" spans="1:2" x14ac:dyDescent="0.25">
      <c r="A10989" s="157">
        <v>38021</v>
      </c>
      <c r="B10989" s="158">
        <v>5</v>
      </c>
    </row>
    <row r="10990" spans="1:2" x14ac:dyDescent="0.25">
      <c r="A10990" s="157">
        <v>38022</v>
      </c>
      <c r="B10990" s="158">
        <v>5.0199999999999996</v>
      </c>
    </row>
    <row r="10991" spans="1:2" x14ac:dyDescent="0.25">
      <c r="A10991" s="157">
        <v>38023</v>
      </c>
      <c r="B10991" s="158">
        <v>4.95</v>
      </c>
    </row>
    <row r="10992" spans="1:2" x14ac:dyDescent="0.25">
      <c r="A10992" s="157">
        <v>38026</v>
      </c>
      <c r="B10992" s="158">
        <v>4.93</v>
      </c>
    </row>
    <row r="10993" spans="1:2" x14ac:dyDescent="0.25">
      <c r="A10993" s="157">
        <v>38027</v>
      </c>
      <c r="B10993" s="158">
        <v>4.97</v>
      </c>
    </row>
    <row r="10994" spans="1:2" x14ac:dyDescent="0.25">
      <c r="A10994" s="157">
        <v>38028</v>
      </c>
      <c r="B10994" s="158">
        <v>4.9000000000000004</v>
      </c>
    </row>
    <row r="10995" spans="1:2" x14ac:dyDescent="0.25">
      <c r="A10995" s="157">
        <v>38029</v>
      </c>
      <c r="B10995" s="158">
        <v>4.9400000000000004</v>
      </c>
    </row>
    <row r="10996" spans="1:2" x14ac:dyDescent="0.25">
      <c r="A10996" s="157">
        <v>38030</v>
      </c>
      <c r="B10996" s="158">
        <v>4.92</v>
      </c>
    </row>
    <row r="10997" spans="1:2" x14ac:dyDescent="0.25">
      <c r="A10997" s="157">
        <v>38033</v>
      </c>
      <c r="B10997" s="158" t="e">
        <f>NA()</f>
        <v>#N/A</v>
      </c>
    </row>
    <row r="10998" spans="1:2" x14ac:dyDescent="0.25">
      <c r="A10998" s="157">
        <v>38034</v>
      </c>
      <c r="B10998" s="158">
        <v>4.91</v>
      </c>
    </row>
    <row r="10999" spans="1:2" x14ac:dyDescent="0.25">
      <c r="A10999" s="157">
        <v>38035</v>
      </c>
      <c r="B10999" s="158">
        <v>4.91</v>
      </c>
    </row>
    <row r="11000" spans="1:2" x14ac:dyDescent="0.25">
      <c r="A11000" s="157">
        <v>38036</v>
      </c>
      <c r="B11000" s="158">
        <v>4.91</v>
      </c>
    </row>
    <row r="11001" spans="1:2" x14ac:dyDescent="0.25">
      <c r="A11001" s="157">
        <v>38037</v>
      </c>
      <c r="B11001" s="158">
        <v>4.96</v>
      </c>
    </row>
    <row r="11002" spans="1:2" x14ac:dyDescent="0.25">
      <c r="A11002" s="157">
        <v>38040</v>
      </c>
      <c r="B11002" s="158">
        <v>4.92</v>
      </c>
    </row>
    <row r="11003" spans="1:2" x14ac:dyDescent="0.25">
      <c r="A11003" s="157">
        <v>38041</v>
      </c>
      <c r="B11003" s="158">
        <v>4.9000000000000004</v>
      </c>
    </row>
    <row r="11004" spans="1:2" x14ac:dyDescent="0.25">
      <c r="A11004" s="157">
        <v>38042</v>
      </c>
      <c r="B11004" s="158">
        <v>4.8899999999999997</v>
      </c>
    </row>
    <row r="11005" spans="1:2" x14ac:dyDescent="0.25">
      <c r="A11005" s="157">
        <v>38043</v>
      </c>
      <c r="B11005" s="158">
        <v>4.92</v>
      </c>
    </row>
    <row r="11006" spans="1:2" x14ac:dyDescent="0.25">
      <c r="A11006" s="157">
        <v>38044</v>
      </c>
      <c r="B11006" s="158">
        <v>4.8499999999999996</v>
      </c>
    </row>
    <row r="11007" spans="1:2" x14ac:dyDescent="0.25">
      <c r="A11007" s="157">
        <v>38047</v>
      </c>
      <c r="B11007" s="158">
        <v>4.8600000000000003</v>
      </c>
    </row>
    <row r="11008" spans="1:2" x14ac:dyDescent="0.25">
      <c r="A11008" s="157">
        <v>38048</v>
      </c>
      <c r="B11008" s="158">
        <v>4.9000000000000004</v>
      </c>
    </row>
    <row r="11009" spans="1:2" x14ac:dyDescent="0.25">
      <c r="A11009" s="157">
        <v>38049</v>
      </c>
      <c r="B11009" s="158">
        <v>4.92</v>
      </c>
    </row>
    <row r="11010" spans="1:2" x14ac:dyDescent="0.25">
      <c r="A11010" s="157">
        <v>38050</v>
      </c>
      <c r="B11010" s="158">
        <v>4.8899999999999997</v>
      </c>
    </row>
    <row r="11011" spans="1:2" x14ac:dyDescent="0.25">
      <c r="A11011" s="157">
        <v>38051</v>
      </c>
      <c r="B11011" s="158">
        <v>4.7300000000000004</v>
      </c>
    </row>
    <row r="11012" spans="1:2" x14ac:dyDescent="0.25">
      <c r="A11012" s="157">
        <v>38054</v>
      </c>
      <c r="B11012" s="158">
        <v>4.6900000000000004</v>
      </c>
    </row>
    <row r="11013" spans="1:2" x14ac:dyDescent="0.25">
      <c r="A11013" s="157">
        <v>38055</v>
      </c>
      <c r="B11013" s="158">
        <v>4.6399999999999997</v>
      </c>
    </row>
    <row r="11014" spans="1:2" x14ac:dyDescent="0.25">
      <c r="A11014" s="157">
        <v>38056</v>
      </c>
      <c r="B11014" s="158">
        <v>4.6500000000000004</v>
      </c>
    </row>
    <row r="11015" spans="1:2" x14ac:dyDescent="0.25">
      <c r="A11015" s="157">
        <v>38057</v>
      </c>
      <c r="B11015" s="158">
        <v>4.66</v>
      </c>
    </row>
    <row r="11016" spans="1:2" x14ac:dyDescent="0.25">
      <c r="A11016" s="157">
        <v>38058</v>
      </c>
      <c r="B11016" s="158">
        <v>4.68</v>
      </c>
    </row>
    <row r="11017" spans="1:2" x14ac:dyDescent="0.25">
      <c r="A11017" s="157">
        <v>38061</v>
      </c>
      <c r="B11017" s="158">
        <v>4.67</v>
      </c>
    </row>
    <row r="11018" spans="1:2" x14ac:dyDescent="0.25">
      <c r="A11018" s="157">
        <v>38062</v>
      </c>
      <c r="B11018" s="158">
        <v>4.6100000000000003</v>
      </c>
    </row>
    <row r="11019" spans="1:2" x14ac:dyDescent="0.25">
      <c r="A11019" s="157">
        <v>38063</v>
      </c>
      <c r="B11019" s="158">
        <v>4.62</v>
      </c>
    </row>
    <row r="11020" spans="1:2" x14ac:dyDescent="0.25">
      <c r="A11020" s="157">
        <v>38064</v>
      </c>
      <c r="B11020" s="158">
        <v>4.66</v>
      </c>
    </row>
    <row r="11021" spans="1:2" x14ac:dyDescent="0.25">
      <c r="A11021" s="157">
        <v>38065</v>
      </c>
      <c r="B11021" s="158">
        <v>4.68</v>
      </c>
    </row>
    <row r="11022" spans="1:2" x14ac:dyDescent="0.25">
      <c r="A11022" s="157">
        <v>38068</v>
      </c>
      <c r="B11022" s="158">
        <v>4.63</v>
      </c>
    </row>
    <row r="11023" spans="1:2" x14ac:dyDescent="0.25">
      <c r="A11023" s="157">
        <v>38069</v>
      </c>
      <c r="B11023" s="158">
        <v>4.62</v>
      </c>
    </row>
    <row r="11024" spans="1:2" x14ac:dyDescent="0.25">
      <c r="A11024" s="157">
        <v>38070</v>
      </c>
      <c r="B11024" s="158">
        <v>4.62</v>
      </c>
    </row>
    <row r="11025" spans="1:2" x14ac:dyDescent="0.25">
      <c r="A11025" s="157">
        <v>38071</v>
      </c>
      <c r="B11025" s="158">
        <v>4.6500000000000004</v>
      </c>
    </row>
    <row r="11026" spans="1:2" x14ac:dyDescent="0.25">
      <c r="A11026" s="157">
        <v>38072</v>
      </c>
      <c r="B11026" s="158">
        <v>4.75</v>
      </c>
    </row>
    <row r="11027" spans="1:2" x14ac:dyDescent="0.25">
      <c r="A11027" s="157">
        <v>38075</v>
      </c>
      <c r="B11027" s="158">
        <v>4.8</v>
      </c>
    </row>
    <row r="11028" spans="1:2" x14ac:dyDescent="0.25">
      <c r="A11028" s="157">
        <v>38076</v>
      </c>
      <c r="B11028" s="158">
        <v>4.8</v>
      </c>
    </row>
    <row r="11029" spans="1:2" x14ac:dyDescent="0.25">
      <c r="A11029" s="157">
        <v>38077</v>
      </c>
      <c r="B11029" s="158">
        <v>4.7699999999999996</v>
      </c>
    </row>
    <row r="11030" spans="1:2" x14ac:dyDescent="0.25">
      <c r="A11030" s="157">
        <v>38078</v>
      </c>
      <c r="B11030" s="158">
        <v>4.7699999999999996</v>
      </c>
    </row>
    <row r="11031" spans="1:2" x14ac:dyDescent="0.25">
      <c r="A11031" s="157">
        <v>38079</v>
      </c>
      <c r="B11031" s="158">
        <v>4.97</v>
      </c>
    </row>
    <row r="11032" spans="1:2" x14ac:dyDescent="0.25">
      <c r="A11032" s="157">
        <v>38082</v>
      </c>
      <c r="B11032" s="158">
        <v>5.05</v>
      </c>
    </row>
    <row r="11033" spans="1:2" x14ac:dyDescent="0.25">
      <c r="A11033" s="157">
        <v>38083</v>
      </c>
      <c r="B11033" s="158">
        <v>5.01</v>
      </c>
    </row>
    <row r="11034" spans="1:2" x14ac:dyDescent="0.25">
      <c r="A11034" s="157">
        <v>38084</v>
      </c>
      <c r="B11034" s="158">
        <v>5.0199999999999996</v>
      </c>
    </row>
    <row r="11035" spans="1:2" x14ac:dyDescent="0.25">
      <c r="A11035" s="157">
        <v>38085</v>
      </c>
      <c r="B11035" s="158">
        <v>5.04</v>
      </c>
    </row>
    <row r="11036" spans="1:2" x14ac:dyDescent="0.25">
      <c r="A11036" s="157">
        <v>38086</v>
      </c>
      <c r="B11036" s="158" t="e">
        <f>NA()</f>
        <v>#N/A</v>
      </c>
    </row>
    <row r="11037" spans="1:2" x14ac:dyDescent="0.25">
      <c r="A11037" s="157">
        <v>38089</v>
      </c>
      <c r="B11037" s="158">
        <v>5.08</v>
      </c>
    </row>
    <row r="11038" spans="1:2" x14ac:dyDescent="0.25">
      <c r="A11038" s="157">
        <v>38090</v>
      </c>
      <c r="B11038" s="158">
        <v>5.17</v>
      </c>
    </row>
    <row r="11039" spans="1:2" x14ac:dyDescent="0.25">
      <c r="A11039" s="157">
        <v>38091</v>
      </c>
      <c r="B11039" s="158">
        <v>5.21</v>
      </c>
    </row>
    <row r="11040" spans="1:2" x14ac:dyDescent="0.25">
      <c r="A11040" s="157">
        <v>38092</v>
      </c>
      <c r="B11040" s="158">
        <v>5.22</v>
      </c>
    </row>
    <row r="11041" spans="1:2" x14ac:dyDescent="0.25">
      <c r="A11041" s="157">
        <v>38093</v>
      </c>
      <c r="B11041" s="158">
        <v>5.2</v>
      </c>
    </row>
    <row r="11042" spans="1:2" x14ac:dyDescent="0.25">
      <c r="A11042" s="157">
        <v>38096</v>
      </c>
      <c r="B11042" s="158">
        <v>5.22</v>
      </c>
    </row>
    <row r="11043" spans="1:2" x14ac:dyDescent="0.25">
      <c r="A11043" s="157">
        <v>38097</v>
      </c>
      <c r="B11043" s="158">
        <v>5.24</v>
      </c>
    </row>
    <row r="11044" spans="1:2" x14ac:dyDescent="0.25">
      <c r="A11044" s="157">
        <v>38098</v>
      </c>
      <c r="B11044" s="158">
        <v>5.25</v>
      </c>
    </row>
    <row r="11045" spans="1:2" x14ac:dyDescent="0.25">
      <c r="A11045" s="157">
        <v>38099</v>
      </c>
      <c r="B11045" s="158">
        <v>5.2</v>
      </c>
    </row>
    <row r="11046" spans="1:2" x14ac:dyDescent="0.25">
      <c r="A11046" s="157">
        <v>38100</v>
      </c>
      <c r="B11046" s="158">
        <v>5.27</v>
      </c>
    </row>
    <row r="11047" spans="1:2" x14ac:dyDescent="0.25">
      <c r="A11047" s="157">
        <v>38103</v>
      </c>
      <c r="B11047" s="158">
        <v>5.25</v>
      </c>
    </row>
    <row r="11048" spans="1:2" x14ac:dyDescent="0.25">
      <c r="A11048" s="157">
        <v>38104</v>
      </c>
      <c r="B11048" s="158">
        <v>5.22</v>
      </c>
    </row>
    <row r="11049" spans="1:2" x14ac:dyDescent="0.25">
      <c r="A11049" s="157">
        <v>38105</v>
      </c>
      <c r="B11049" s="158">
        <v>5.28</v>
      </c>
    </row>
    <row r="11050" spans="1:2" x14ac:dyDescent="0.25">
      <c r="A11050" s="157">
        <v>38106</v>
      </c>
      <c r="B11050" s="158">
        <v>5.33</v>
      </c>
    </row>
    <row r="11051" spans="1:2" x14ac:dyDescent="0.25">
      <c r="A11051" s="157">
        <v>38107</v>
      </c>
      <c r="B11051" s="158">
        <v>5.31</v>
      </c>
    </row>
    <row r="11052" spans="1:2" x14ac:dyDescent="0.25">
      <c r="A11052" s="157">
        <v>38110</v>
      </c>
      <c r="B11052" s="158">
        <v>5.3</v>
      </c>
    </row>
    <row r="11053" spans="1:2" x14ac:dyDescent="0.25">
      <c r="A11053" s="157">
        <v>38111</v>
      </c>
      <c r="B11053" s="158">
        <v>5.34</v>
      </c>
    </row>
    <row r="11054" spans="1:2" x14ac:dyDescent="0.25">
      <c r="A11054" s="157">
        <v>38112</v>
      </c>
      <c r="B11054" s="158">
        <v>5.38</v>
      </c>
    </row>
    <row r="11055" spans="1:2" x14ac:dyDescent="0.25">
      <c r="A11055" s="157">
        <v>38113</v>
      </c>
      <c r="B11055" s="158">
        <v>5.41</v>
      </c>
    </row>
    <row r="11056" spans="1:2" x14ac:dyDescent="0.25">
      <c r="A11056" s="157">
        <v>38114</v>
      </c>
      <c r="B11056" s="158">
        <v>5.53</v>
      </c>
    </row>
    <row r="11057" spans="1:2" x14ac:dyDescent="0.25">
      <c r="A11057" s="157">
        <v>38117</v>
      </c>
      <c r="B11057" s="158">
        <v>5.54</v>
      </c>
    </row>
    <row r="11058" spans="1:2" x14ac:dyDescent="0.25">
      <c r="A11058" s="157">
        <v>38118</v>
      </c>
      <c r="B11058" s="158">
        <v>5.53</v>
      </c>
    </row>
    <row r="11059" spans="1:2" x14ac:dyDescent="0.25">
      <c r="A11059" s="157">
        <v>38119</v>
      </c>
      <c r="B11059" s="158">
        <v>5.57</v>
      </c>
    </row>
    <row r="11060" spans="1:2" x14ac:dyDescent="0.25">
      <c r="A11060" s="157">
        <v>38120</v>
      </c>
      <c r="B11060" s="158">
        <v>5.61</v>
      </c>
    </row>
    <row r="11061" spans="1:2" x14ac:dyDescent="0.25">
      <c r="A11061" s="157">
        <v>38121</v>
      </c>
      <c r="B11061" s="158">
        <v>5.54</v>
      </c>
    </row>
    <row r="11062" spans="1:2" x14ac:dyDescent="0.25">
      <c r="A11062" s="157">
        <v>38124</v>
      </c>
      <c r="B11062" s="158">
        <v>5.47</v>
      </c>
    </row>
    <row r="11063" spans="1:2" x14ac:dyDescent="0.25">
      <c r="A11063" s="157">
        <v>38125</v>
      </c>
      <c r="B11063" s="158">
        <v>5.48</v>
      </c>
    </row>
    <row r="11064" spans="1:2" x14ac:dyDescent="0.25">
      <c r="A11064" s="157">
        <v>38126</v>
      </c>
      <c r="B11064" s="158">
        <v>5.54</v>
      </c>
    </row>
    <row r="11065" spans="1:2" x14ac:dyDescent="0.25">
      <c r="A11065" s="157">
        <v>38127</v>
      </c>
      <c r="B11065" s="158">
        <v>5.47</v>
      </c>
    </row>
    <row r="11066" spans="1:2" x14ac:dyDescent="0.25">
      <c r="A11066" s="157">
        <v>38128</v>
      </c>
      <c r="B11066" s="158">
        <v>5.5</v>
      </c>
    </row>
    <row r="11067" spans="1:2" x14ac:dyDescent="0.25">
      <c r="A11067" s="157">
        <v>38131</v>
      </c>
      <c r="B11067" s="158">
        <v>5.48</v>
      </c>
    </row>
    <row r="11068" spans="1:2" x14ac:dyDescent="0.25">
      <c r="A11068" s="157">
        <v>38132</v>
      </c>
      <c r="B11068" s="158">
        <v>5.45</v>
      </c>
    </row>
    <row r="11069" spans="1:2" x14ac:dyDescent="0.25">
      <c r="A11069" s="157">
        <v>38133</v>
      </c>
      <c r="B11069" s="158">
        <v>5.41</v>
      </c>
    </row>
    <row r="11070" spans="1:2" x14ac:dyDescent="0.25">
      <c r="A11070" s="157">
        <v>38134</v>
      </c>
      <c r="B11070" s="158">
        <v>5.34</v>
      </c>
    </row>
    <row r="11071" spans="1:2" x14ac:dyDescent="0.25">
      <c r="A11071" s="157">
        <v>38135</v>
      </c>
      <c r="B11071" s="158">
        <v>5.39</v>
      </c>
    </row>
    <row r="11072" spans="1:2" x14ac:dyDescent="0.25">
      <c r="A11072" s="157">
        <v>38138</v>
      </c>
      <c r="B11072" s="158" t="e">
        <f>NA()</f>
        <v>#N/A</v>
      </c>
    </row>
    <row r="11073" spans="1:2" x14ac:dyDescent="0.25">
      <c r="A11073" s="157">
        <v>38139</v>
      </c>
      <c r="B11073" s="158">
        <v>5.45</v>
      </c>
    </row>
    <row r="11074" spans="1:2" x14ac:dyDescent="0.25">
      <c r="A11074" s="157">
        <v>38140</v>
      </c>
      <c r="B11074" s="158">
        <v>5.47</v>
      </c>
    </row>
    <row r="11075" spans="1:2" x14ac:dyDescent="0.25">
      <c r="A11075" s="157">
        <v>38141</v>
      </c>
      <c r="B11075" s="158">
        <v>5.46</v>
      </c>
    </row>
    <row r="11076" spans="1:2" x14ac:dyDescent="0.25">
      <c r="A11076" s="157">
        <v>38142</v>
      </c>
      <c r="B11076" s="158">
        <v>5.51</v>
      </c>
    </row>
    <row r="11077" spans="1:2" x14ac:dyDescent="0.25">
      <c r="A11077" s="157">
        <v>38145</v>
      </c>
      <c r="B11077" s="158">
        <v>5.51</v>
      </c>
    </row>
    <row r="11078" spans="1:2" x14ac:dyDescent="0.25">
      <c r="A11078" s="157">
        <v>38146</v>
      </c>
      <c r="B11078" s="158">
        <v>5.5</v>
      </c>
    </row>
    <row r="11079" spans="1:2" x14ac:dyDescent="0.25">
      <c r="A11079" s="157">
        <v>38147</v>
      </c>
      <c r="B11079" s="158">
        <v>5.54</v>
      </c>
    </row>
    <row r="11080" spans="1:2" x14ac:dyDescent="0.25">
      <c r="A11080" s="157">
        <v>38148</v>
      </c>
      <c r="B11080" s="158">
        <v>5.52</v>
      </c>
    </row>
    <row r="11081" spans="1:2" x14ac:dyDescent="0.25">
      <c r="A11081" s="157">
        <v>38149</v>
      </c>
      <c r="B11081" s="158" t="e">
        <f>NA()</f>
        <v>#N/A</v>
      </c>
    </row>
    <row r="11082" spans="1:2" x14ac:dyDescent="0.25">
      <c r="A11082" s="157">
        <v>38152</v>
      </c>
      <c r="B11082" s="158">
        <v>5.59</v>
      </c>
    </row>
    <row r="11083" spans="1:2" x14ac:dyDescent="0.25">
      <c r="A11083" s="157">
        <v>38153</v>
      </c>
      <c r="B11083" s="158">
        <v>5.41</v>
      </c>
    </row>
    <row r="11084" spans="1:2" x14ac:dyDescent="0.25">
      <c r="A11084" s="157">
        <v>38154</v>
      </c>
      <c r="B11084" s="158">
        <v>5.46</v>
      </c>
    </row>
    <row r="11085" spans="1:2" x14ac:dyDescent="0.25">
      <c r="A11085" s="157">
        <v>38155</v>
      </c>
      <c r="B11085" s="158">
        <v>5.42</v>
      </c>
    </row>
    <row r="11086" spans="1:2" x14ac:dyDescent="0.25">
      <c r="A11086" s="157">
        <v>38156</v>
      </c>
      <c r="B11086" s="158">
        <v>5.43</v>
      </c>
    </row>
    <row r="11087" spans="1:2" x14ac:dyDescent="0.25">
      <c r="A11087" s="157">
        <v>38159</v>
      </c>
      <c r="B11087" s="158">
        <v>5.42</v>
      </c>
    </row>
    <row r="11088" spans="1:2" x14ac:dyDescent="0.25">
      <c r="A11088" s="157">
        <v>38160</v>
      </c>
      <c r="B11088" s="158">
        <v>5.43</v>
      </c>
    </row>
    <row r="11089" spans="1:2" x14ac:dyDescent="0.25">
      <c r="A11089" s="157">
        <v>38161</v>
      </c>
      <c r="B11089" s="158">
        <v>5.41</v>
      </c>
    </row>
    <row r="11090" spans="1:2" x14ac:dyDescent="0.25">
      <c r="A11090" s="157">
        <v>38162</v>
      </c>
      <c r="B11090" s="158">
        <v>5.36</v>
      </c>
    </row>
    <row r="11091" spans="1:2" x14ac:dyDescent="0.25">
      <c r="A11091" s="157">
        <v>38163</v>
      </c>
      <c r="B11091" s="158">
        <v>5.37</v>
      </c>
    </row>
    <row r="11092" spans="1:2" x14ac:dyDescent="0.25">
      <c r="A11092" s="157">
        <v>38166</v>
      </c>
      <c r="B11092" s="158">
        <v>5.46</v>
      </c>
    </row>
    <row r="11093" spans="1:2" x14ac:dyDescent="0.25">
      <c r="A11093" s="157">
        <v>38167</v>
      </c>
      <c r="B11093" s="158">
        <v>5.41</v>
      </c>
    </row>
    <row r="11094" spans="1:2" x14ac:dyDescent="0.25">
      <c r="A11094" s="157">
        <v>38168</v>
      </c>
      <c r="B11094" s="158">
        <v>5.33</v>
      </c>
    </row>
    <row r="11095" spans="1:2" x14ac:dyDescent="0.25">
      <c r="A11095" s="157">
        <v>38169</v>
      </c>
      <c r="B11095" s="158">
        <v>5.31</v>
      </c>
    </row>
    <row r="11096" spans="1:2" x14ac:dyDescent="0.25">
      <c r="A11096" s="157">
        <v>38170</v>
      </c>
      <c r="B11096" s="158">
        <v>5.22</v>
      </c>
    </row>
    <row r="11097" spans="1:2" x14ac:dyDescent="0.25">
      <c r="A11097" s="157">
        <v>38173</v>
      </c>
      <c r="B11097" s="158" t="e">
        <f>NA()</f>
        <v>#N/A</v>
      </c>
    </row>
    <row r="11098" spans="1:2" x14ac:dyDescent="0.25">
      <c r="A11098" s="157">
        <v>38174</v>
      </c>
      <c r="B11098" s="158">
        <v>5.24</v>
      </c>
    </row>
    <row r="11099" spans="1:2" x14ac:dyDescent="0.25">
      <c r="A11099" s="157">
        <v>38175</v>
      </c>
      <c r="B11099" s="158">
        <v>5.24</v>
      </c>
    </row>
    <row r="11100" spans="1:2" x14ac:dyDescent="0.25">
      <c r="A11100" s="157">
        <v>38176</v>
      </c>
      <c r="B11100" s="158">
        <v>5.24</v>
      </c>
    </row>
    <row r="11101" spans="1:2" x14ac:dyDescent="0.25">
      <c r="A11101" s="157">
        <v>38177</v>
      </c>
      <c r="B11101" s="158">
        <v>5.23</v>
      </c>
    </row>
    <row r="11102" spans="1:2" x14ac:dyDescent="0.25">
      <c r="A11102" s="157">
        <v>38180</v>
      </c>
      <c r="B11102" s="158">
        <v>5.22</v>
      </c>
    </row>
    <row r="11103" spans="1:2" x14ac:dyDescent="0.25">
      <c r="A11103" s="157">
        <v>38181</v>
      </c>
      <c r="B11103" s="158">
        <v>5.25</v>
      </c>
    </row>
    <row r="11104" spans="1:2" x14ac:dyDescent="0.25">
      <c r="A11104" s="157">
        <v>38182</v>
      </c>
      <c r="B11104" s="158">
        <v>5.24</v>
      </c>
    </row>
    <row r="11105" spans="1:2" x14ac:dyDescent="0.25">
      <c r="A11105" s="157">
        <v>38183</v>
      </c>
      <c r="B11105" s="158">
        <v>5.24</v>
      </c>
    </row>
    <row r="11106" spans="1:2" x14ac:dyDescent="0.25">
      <c r="A11106" s="157">
        <v>38184</v>
      </c>
      <c r="B11106" s="158">
        <v>5.14</v>
      </c>
    </row>
    <row r="11107" spans="1:2" x14ac:dyDescent="0.25">
      <c r="A11107" s="157">
        <v>38187</v>
      </c>
      <c r="B11107" s="158">
        <v>5.14</v>
      </c>
    </row>
    <row r="11108" spans="1:2" x14ac:dyDescent="0.25">
      <c r="A11108" s="157">
        <v>38188</v>
      </c>
      <c r="B11108" s="158">
        <v>5.21</v>
      </c>
    </row>
    <row r="11109" spans="1:2" x14ac:dyDescent="0.25">
      <c r="A11109" s="157">
        <v>38189</v>
      </c>
      <c r="B11109" s="158">
        <v>5.24</v>
      </c>
    </row>
    <row r="11110" spans="1:2" x14ac:dyDescent="0.25">
      <c r="A11110" s="157">
        <v>38190</v>
      </c>
      <c r="B11110" s="158">
        <v>5.22</v>
      </c>
    </row>
    <row r="11111" spans="1:2" x14ac:dyDescent="0.25">
      <c r="A11111" s="157">
        <v>38191</v>
      </c>
      <c r="B11111" s="158">
        <v>5.2</v>
      </c>
    </row>
    <row r="11112" spans="1:2" x14ac:dyDescent="0.25">
      <c r="A11112" s="157">
        <v>38194</v>
      </c>
      <c r="B11112" s="158">
        <v>5.23</v>
      </c>
    </row>
    <row r="11113" spans="1:2" x14ac:dyDescent="0.25">
      <c r="A11113" s="157">
        <v>38195</v>
      </c>
      <c r="B11113" s="158">
        <v>5.35</v>
      </c>
    </row>
    <row r="11114" spans="1:2" x14ac:dyDescent="0.25">
      <c r="A11114" s="157">
        <v>38196</v>
      </c>
      <c r="B11114" s="158">
        <v>5.35</v>
      </c>
    </row>
    <row r="11115" spans="1:2" x14ac:dyDescent="0.25">
      <c r="A11115" s="157">
        <v>38197</v>
      </c>
      <c r="B11115" s="158">
        <v>5.34</v>
      </c>
    </row>
    <row r="11116" spans="1:2" x14ac:dyDescent="0.25">
      <c r="A11116" s="157">
        <v>38198</v>
      </c>
      <c r="B11116" s="158">
        <v>5.24</v>
      </c>
    </row>
    <row r="11117" spans="1:2" x14ac:dyDescent="0.25">
      <c r="A11117" s="157">
        <v>38201</v>
      </c>
      <c r="B11117" s="158">
        <v>5.22</v>
      </c>
    </row>
    <row r="11118" spans="1:2" x14ac:dyDescent="0.25">
      <c r="A11118" s="157">
        <v>38202</v>
      </c>
      <c r="B11118" s="158">
        <v>5.2</v>
      </c>
    </row>
    <row r="11119" spans="1:2" x14ac:dyDescent="0.25">
      <c r="A11119" s="157">
        <v>38203</v>
      </c>
      <c r="B11119" s="158">
        <v>5.2</v>
      </c>
    </row>
    <row r="11120" spans="1:2" x14ac:dyDescent="0.25">
      <c r="A11120" s="157">
        <v>38204</v>
      </c>
      <c r="B11120" s="158">
        <v>5.18</v>
      </c>
    </row>
    <row r="11121" spans="1:2" x14ac:dyDescent="0.25">
      <c r="A11121" s="157">
        <v>38205</v>
      </c>
      <c r="B11121" s="158">
        <v>5.04</v>
      </c>
    </row>
    <row r="11122" spans="1:2" x14ac:dyDescent="0.25">
      <c r="A11122" s="157">
        <v>38208</v>
      </c>
      <c r="B11122" s="158">
        <v>5.0599999999999996</v>
      </c>
    </row>
    <row r="11123" spans="1:2" x14ac:dyDescent="0.25">
      <c r="A11123" s="157">
        <v>38209</v>
      </c>
      <c r="B11123" s="158">
        <v>5.08</v>
      </c>
    </row>
    <row r="11124" spans="1:2" x14ac:dyDescent="0.25">
      <c r="A11124" s="157">
        <v>38210</v>
      </c>
      <c r="B11124" s="158">
        <v>5.07</v>
      </c>
    </row>
    <row r="11125" spans="1:2" x14ac:dyDescent="0.25">
      <c r="A11125" s="157">
        <v>38211</v>
      </c>
      <c r="B11125" s="158">
        <v>5.05</v>
      </c>
    </row>
    <row r="11126" spans="1:2" x14ac:dyDescent="0.25">
      <c r="A11126" s="157">
        <v>38212</v>
      </c>
      <c r="B11126" s="158">
        <v>5.0199999999999996</v>
      </c>
    </row>
    <row r="11127" spans="1:2" x14ac:dyDescent="0.25">
      <c r="A11127" s="157">
        <v>38215</v>
      </c>
      <c r="B11127" s="158">
        <v>5.0599999999999996</v>
      </c>
    </row>
    <row r="11128" spans="1:2" x14ac:dyDescent="0.25">
      <c r="A11128" s="157">
        <v>38216</v>
      </c>
      <c r="B11128" s="158">
        <v>5.0199999999999996</v>
      </c>
    </row>
    <row r="11129" spans="1:2" x14ac:dyDescent="0.25">
      <c r="A11129" s="157">
        <v>38217</v>
      </c>
      <c r="B11129" s="158">
        <v>5.04</v>
      </c>
    </row>
    <row r="11130" spans="1:2" x14ac:dyDescent="0.25">
      <c r="A11130" s="157">
        <v>38218</v>
      </c>
      <c r="B11130" s="158">
        <v>5.03</v>
      </c>
    </row>
    <row r="11131" spans="1:2" x14ac:dyDescent="0.25">
      <c r="A11131" s="157">
        <v>38219</v>
      </c>
      <c r="B11131" s="158">
        <v>5.03</v>
      </c>
    </row>
    <row r="11132" spans="1:2" x14ac:dyDescent="0.25">
      <c r="A11132" s="157">
        <v>38222</v>
      </c>
      <c r="B11132" s="158">
        <v>5.08</v>
      </c>
    </row>
    <row r="11133" spans="1:2" x14ac:dyDescent="0.25">
      <c r="A11133" s="157">
        <v>38223</v>
      </c>
      <c r="B11133" s="158">
        <v>5.08</v>
      </c>
    </row>
    <row r="11134" spans="1:2" x14ac:dyDescent="0.25">
      <c r="A11134" s="157">
        <v>38224</v>
      </c>
      <c r="B11134" s="158">
        <v>5.0599999999999996</v>
      </c>
    </row>
    <row r="11135" spans="1:2" x14ac:dyDescent="0.25">
      <c r="A11135" s="157">
        <v>38225</v>
      </c>
      <c r="B11135" s="158">
        <v>5.03</v>
      </c>
    </row>
    <row r="11136" spans="1:2" x14ac:dyDescent="0.25">
      <c r="A11136" s="157">
        <v>38226</v>
      </c>
      <c r="B11136" s="158">
        <v>5.0199999999999996</v>
      </c>
    </row>
    <row r="11137" spans="1:2" x14ac:dyDescent="0.25">
      <c r="A11137" s="157">
        <v>38229</v>
      </c>
      <c r="B11137" s="158">
        <v>4.99</v>
      </c>
    </row>
    <row r="11138" spans="1:2" x14ac:dyDescent="0.25">
      <c r="A11138" s="157">
        <v>38230</v>
      </c>
      <c r="B11138" s="158">
        <v>4.93</v>
      </c>
    </row>
    <row r="11139" spans="1:2" x14ac:dyDescent="0.25">
      <c r="A11139" s="157">
        <v>38231</v>
      </c>
      <c r="B11139" s="158">
        <v>4.93</v>
      </c>
    </row>
    <row r="11140" spans="1:2" x14ac:dyDescent="0.25">
      <c r="A11140" s="157">
        <v>38232</v>
      </c>
      <c r="B11140" s="158">
        <v>4.99</v>
      </c>
    </row>
    <row r="11141" spans="1:2" x14ac:dyDescent="0.25">
      <c r="A11141" s="157">
        <v>38233</v>
      </c>
      <c r="B11141" s="158">
        <v>5.07</v>
      </c>
    </row>
    <row r="11142" spans="1:2" x14ac:dyDescent="0.25">
      <c r="A11142" s="157">
        <v>38236</v>
      </c>
      <c r="B11142" s="158" t="e">
        <f>NA()</f>
        <v>#N/A</v>
      </c>
    </row>
    <row r="11143" spans="1:2" x14ac:dyDescent="0.25">
      <c r="A11143" s="157">
        <v>38237</v>
      </c>
      <c r="B11143" s="158">
        <v>5.03</v>
      </c>
    </row>
    <row r="11144" spans="1:2" x14ac:dyDescent="0.25">
      <c r="A11144" s="157">
        <v>38238</v>
      </c>
      <c r="B11144" s="158">
        <v>4.96</v>
      </c>
    </row>
    <row r="11145" spans="1:2" x14ac:dyDescent="0.25">
      <c r="A11145" s="157">
        <v>38239</v>
      </c>
      <c r="B11145" s="158">
        <v>4.99</v>
      </c>
    </row>
    <row r="11146" spans="1:2" x14ac:dyDescent="0.25">
      <c r="A11146" s="157">
        <v>38240</v>
      </c>
      <c r="B11146" s="158">
        <v>4.97</v>
      </c>
    </row>
    <row r="11147" spans="1:2" x14ac:dyDescent="0.25">
      <c r="A11147" s="157">
        <v>38243</v>
      </c>
      <c r="B11147" s="158">
        <v>4.9400000000000004</v>
      </c>
    </row>
    <row r="11148" spans="1:2" x14ac:dyDescent="0.25">
      <c r="A11148" s="157">
        <v>38244</v>
      </c>
      <c r="B11148" s="158">
        <v>4.93</v>
      </c>
    </row>
    <row r="11149" spans="1:2" x14ac:dyDescent="0.25">
      <c r="A11149" s="157">
        <v>38245</v>
      </c>
      <c r="B11149" s="158">
        <v>4.96</v>
      </c>
    </row>
    <row r="11150" spans="1:2" x14ac:dyDescent="0.25">
      <c r="A11150" s="157">
        <v>38246</v>
      </c>
      <c r="B11150" s="158">
        <v>4.8600000000000003</v>
      </c>
    </row>
    <row r="11151" spans="1:2" x14ac:dyDescent="0.25">
      <c r="A11151" s="157">
        <v>38247</v>
      </c>
      <c r="B11151" s="158">
        <v>4.91</v>
      </c>
    </row>
    <row r="11152" spans="1:2" x14ac:dyDescent="0.25">
      <c r="A11152" s="157">
        <v>38250</v>
      </c>
      <c r="B11152" s="158">
        <v>4.8499999999999996</v>
      </c>
    </row>
    <row r="11153" spans="1:2" x14ac:dyDescent="0.25">
      <c r="A11153" s="157">
        <v>38251</v>
      </c>
      <c r="B11153" s="158">
        <v>4.82</v>
      </c>
    </row>
    <row r="11154" spans="1:2" x14ac:dyDescent="0.25">
      <c r="A11154" s="157">
        <v>38252</v>
      </c>
      <c r="B11154" s="158">
        <v>4.75</v>
      </c>
    </row>
    <row r="11155" spans="1:2" x14ac:dyDescent="0.25">
      <c r="A11155" s="157">
        <v>38253</v>
      </c>
      <c r="B11155" s="158">
        <v>4.78</v>
      </c>
    </row>
    <row r="11156" spans="1:2" x14ac:dyDescent="0.25">
      <c r="A11156" s="157">
        <v>38254</v>
      </c>
      <c r="B11156" s="158">
        <v>4.78</v>
      </c>
    </row>
    <row r="11157" spans="1:2" x14ac:dyDescent="0.25">
      <c r="A11157" s="157">
        <v>38257</v>
      </c>
      <c r="B11157" s="158">
        <v>4.75</v>
      </c>
    </row>
    <row r="11158" spans="1:2" x14ac:dyDescent="0.25">
      <c r="A11158" s="157">
        <v>38258</v>
      </c>
      <c r="B11158" s="158">
        <v>4.78</v>
      </c>
    </row>
    <row r="11159" spans="1:2" x14ac:dyDescent="0.25">
      <c r="A11159" s="157">
        <v>38259</v>
      </c>
      <c r="B11159" s="158">
        <v>4.8499999999999996</v>
      </c>
    </row>
    <row r="11160" spans="1:2" x14ac:dyDescent="0.25">
      <c r="A11160" s="157">
        <v>38260</v>
      </c>
      <c r="B11160" s="158">
        <v>4.8899999999999997</v>
      </c>
    </row>
    <row r="11161" spans="1:2" x14ac:dyDescent="0.25">
      <c r="A11161" s="157">
        <v>38261</v>
      </c>
      <c r="B11161" s="158">
        <v>4.95</v>
      </c>
    </row>
    <row r="11162" spans="1:2" x14ac:dyDescent="0.25">
      <c r="A11162" s="157">
        <v>38264</v>
      </c>
      <c r="B11162" s="158">
        <v>4.93</v>
      </c>
    </row>
    <row r="11163" spans="1:2" x14ac:dyDescent="0.25">
      <c r="A11163" s="157">
        <v>38265</v>
      </c>
      <c r="B11163" s="158">
        <v>4.93</v>
      </c>
    </row>
    <row r="11164" spans="1:2" x14ac:dyDescent="0.25">
      <c r="A11164" s="157">
        <v>38266</v>
      </c>
      <c r="B11164" s="158">
        <v>4.97</v>
      </c>
    </row>
    <row r="11165" spans="1:2" x14ac:dyDescent="0.25">
      <c r="A11165" s="157">
        <v>38267</v>
      </c>
      <c r="B11165" s="158">
        <v>5</v>
      </c>
    </row>
    <row r="11166" spans="1:2" x14ac:dyDescent="0.25">
      <c r="A11166" s="157">
        <v>38268</v>
      </c>
      <c r="B11166" s="158">
        <v>4.91</v>
      </c>
    </row>
    <row r="11167" spans="1:2" x14ac:dyDescent="0.25">
      <c r="A11167" s="157">
        <v>38271</v>
      </c>
      <c r="B11167" s="158" t="e">
        <f>NA()</f>
        <v>#N/A</v>
      </c>
    </row>
    <row r="11168" spans="1:2" x14ac:dyDescent="0.25">
      <c r="A11168" s="157">
        <v>38272</v>
      </c>
      <c r="B11168" s="158">
        <v>4.88</v>
      </c>
    </row>
    <row r="11169" spans="1:2" x14ac:dyDescent="0.25">
      <c r="A11169" s="157">
        <v>38273</v>
      </c>
      <c r="B11169" s="158">
        <v>4.8600000000000003</v>
      </c>
    </row>
    <row r="11170" spans="1:2" x14ac:dyDescent="0.25">
      <c r="A11170" s="157">
        <v>38274</v>
      </c>
      <c r="B11170" s="158">
        <v>4.8099999999999996</v>
      </c>
    </row>
    <row r="11171" spans="1:2" x14ac:dyDescent="0.25">
      <c r="A11171" s="157">
        <v>38275</v>
      </c>
      <c r="B11171" s="158">
        <v>4.84</v>
      </c>
    </row>
    <row r="11172" spans="1:2" x14ac:dyDescent="0.25">
      <c r="A11172" s="157">
        <v>38278</v>
      </c>
      <c r="B11172" s="158">
        <v>4.84</v>
      </c>
    </row>
    <row r="11173" spans="1:2" x14ac:dyDescent="0.25">
      <c r="A11173" s="157">
        <v>38279</v>
      </c>
      <c r="B11173" s="158">
        <v>4.83</v>
      </c>
    </row>
    <row r="11174" spans="1:2" x14ac:dyDescent="0.25">
      <c r="A11174" s="157">
        <v>38280</v>
      </c>
      <c r="B11174" s="158">
        <v>4.7699999999999996</v>
      </c>
    </row>
    <row r="11175" spans="1:2" x14ac:dyDescent="0.25">
      <c r="A11175" s="157">
        <v>38281</v>
      </c>
      <c r="B11175" s="158">
        <v>4.76</v>
      </c>
    </row>
    <row r="11176" spans="1:2" x14ac:dyDescent="0.25">
      <c r="A11176" s="157">
        <v>38282</v>
      </c>
      <c r="B11176" s="158">
        <v>4.75</v>
      </c>
    </row>
    <row r="11177" spans="1:2" x14ac:dyDescent="0.25">
      <c r="A11177" s="157">
        <v>38285</v>
      </c>
      <c r="B11177" s="158">
        <v>4.74</v>
      </c>
    </row>
    <row r="11178" spans="1:2" x14ac:dyDescent="0.25">
      <c r="A11178" s="157">
        <v>38286</v>
      </c>
      <c r="B11178" s="158">
        <v>4.75</v>
      </c>
    </row>
    <row r="11179" spans="1:2" x14ac:dyDescent="0.25">
      <c r="A11179" s="157">
        <v>38287</v>
      </c>
      <c r="B11179" s="158">
        <v>4.8499999999999996</v>
      </c>
    </row>
    <row r="11180" spans="1:2" x14ac:dyDescent="0.25">
      <c r="A11180" s="157">
        <v>38288</v>
      </c>
      <c r="B11180" s="158">
        <v>4.83</v>
      </c>
    </row>
    <row r="11181" spans="1:2" x14ac:dyDescent="0.25">
      <c r="A11181" s="157">
        <v>38289</v>
      </c>
      <c r="B11181" s="158">
        <v>4.79</v>
      </c>
    </row>
    <row r="11182" spans="1:2" x14ac:dyDescent="0.25">
      <c r="A11182" s="157">
        <v>38292</v>
      </c>
      <c r="B11182" s="158">
        <v>4.84</v>
      </c>
    </row>
    <row r="11183" spans="1:2" x14ac:dyDescent="0.25">
      <c r="A11183" s="157">
        <v>38293</v>
      </c>
      <c r="B11183" s="158">
        <v>4.84</v>
      </c>
    </row>
    <row r="11184" spans="1:2" x14ac:dyDescent="0.25">
      <c r="A11184" s="157">
        <v>38294</v>
      </c>
      <c r="B11184" s="158">
        <v>4.83</v>
      </c>
    </row>
    <row r="11185" spans="1:2" x14ac:dyDescent="0.25">
      <c r="A11185" s="157">
        <v>38295</v>
      </c>
      <c r="B11185" s="158">
        <v>4.82</v>
      </c>
    </row>
    <row r="11186" spans="1:2" x14ac:dyDescent="0.25">
      <c r="A11186" s="157">
        <v>38296</v>
      </c>
      <c r="B11186" s="158">
        <v>4.92</v>
      </c>
    </row>
    <row r="11187" spans="1:2" x14ac:dyDescent="0.25">
      <c r="A11187" s="157">
        <v>38299</v>
      </c>
      <c r="B11187" s="158">
        <v>4.95</v>
      </c>
    </row>
    <row r="11188" spans="1:2" x14ac:dyDescent="0.25">
      <c r="A11188" s="157">
        <v>38300</v>
      </c>
      <c r="B11188" s="158">
        <v>4.95</v>
      </c>
    </row>
    <row r="11189" spans="1:2" x14ac:dyDescent="0.25">
      <c r="A11189" s="157">
        <v>38301</v>
      </c>
      <c r="B11189" s="158">
        <v>4.97</v>
      </c>
    </row>
    <row r="11190" spans="1:2" x14ac:dyDescent="0.25">
      <c r="A11190" s="157">
        <v>38302</v>
      </c>
      <c r="B11190" s="158" t="e">
        <f>NA()</f>
        <v>#N/A</v>
      </c>
    </row>
    <row r="11191" spans="1:2" x14ac:dyDescent="0.25">
      <c r="A11191" s="157">
        <v>38303</v>
      </c>
      <c r="B11191" s="158">
        <v>4.91</v>
      </c>
    </row>
    <row r="11192" spans="1:2" x14ac:dyDescent="0.25">
      <c r="A11192" s="157">
        <v>38306</v>
      </c>
      <c r="B11192" s="158">
        <v>4.91</v>
      </c>
    </row>
    <row r="11193" spans="1:2" x14ac:dyDescent="0.25">
      <c r="A11193" s="157">
        <v>38307</v>
      </c>
      <c r="B11193" s="158">
        <v>4.92</v>
      </c>
    </row>
    <row r="11194" spans="1:2" x14ac:dyDescent="0.25">
      <c r="A11194" s="157">
        <v>38308</v>
      </c>
      <c r="B11194" s="158">
        <v>4.8499999999999996</v>
      </c>
    </row>
    <row r="11195" spans="1:2" x14ac:dyDescent="0.25">
      <c r="A11195" s="157">
        <v>38309</v>
      </c>
      <c r="B11195" s="158">
        <v>4.82</v>
      </c>
    </row>
    <row r="11196" spans="1:2" x14ac:dyDescent="0.25">
      <c r="A11196" s="157">
        <v>38310</v>
      </c>
      <c r="B11196" s="158">
        <v>4.8899999999999997</v>
      </c>
    </row>
    <row r="11197" spans="1:2" x14ac:dyDescent="0.25">
      <c r="A11197" s="157">
        <v>38313</v>
      </c>
      <c r="B11197" s="158">
        <v>4.8499999999999996</v>
      </c>
    </row>
    <row r="11198" spans="1:2" x14ac:dyDescent="0.25">
      <c r="A11198" s="157">
        <v>38314</v>
      </c>
      <c r="B11198" s="158">
        <v>4.8499999999999996</v>
      </c>
    </row>
    <row r="11199" spans="1:2" x14ac:dyDescent="0.25">
      <c r="A11199" s="157">
        <v>38315</v>
      </c>
      <c r="B11199" s="158">
        <v>4.8499999999999996</v>
      </c>
    </row>
    <row r="11200" spans="1:2" x14ac:dyDescent="0.25">
      <c r="A11200" s="157">
        <v>38316</v>
      </c>
      <c r="B11200" s="158" t="e">
        <f>NA()</f>
        <v>#N/A</v>
      </c>
    </row>
    <row r="11201" spans="1:2" x14ac:dyDescent="0.25">
      <c r="A11201" s="157">
        <v>38317</v>
      </c>
      <c r="B11201" s="158">
        <v>4.9000000000000004</v>
      </c>
    </row>
    <row r="11202" spans="1:2" x14ac:dyDescent="0.25">
      <c r="A11202" s="157">
        <v>38320</v>
      </c>
      <c r="B11202" s="158">
        <v>4.99</v>
      </c>
    </row>
    <row r="11203" spans="1:2" x14ac:dyDescent="0.25">
      <c r="A11203" s="157">
        <v>38321</v>
      </c>
      <c r="B11203" s="158">
        <v>5.03</v>
      </c>
    </row>
    <row r="11204" spans="1:2" x14ac:dyDescent="0.25">
      <c r="A11204" s="157">
        <v>38322</v>
      </c>
      <c r="B11204" s="158">
        <v>5.04</v>
      </c>
    </row>
    <row r="11205" spans="1:2" x14ac:dyDescent="0.25">
      <c r="A11205" s="157">
        <v>38323</v>
      </c>
      <c r="B11205" s="158">
        <v>5.07</v>
      </c>
    </row>
    <row r="11206" spans="1:2" x14ac:dyDescent="0.25">
      <c r="A11206" s="157">
        <v>38324</v>
      </c>
      <c r="B11206" s="158">
        <v>4.95</v>
      </c>
    </row>
    <row r="11207" spans="1:2" x14ac:dyDescent="0.25">
      <c r="A11207" s="157">
        <v>38327</v>
      </c>
      <c r="B11207" s="158">
        <v>4.92</v>
      </c>
    </row>
    <row r="11208" spans="1:2" x14ac:dyDescent="0.25">
      <c r="A11208" s="157">
        <v>38328</v>
      </c>
      <c r="B11208" s="158">
        <v>4.91</v>
      </c>
    </row>
    <row r="11209" spans="1:2" x14ac:dyDescent="0.25">
      <c r="A11209" s="157">
        <v>38329</v>
      </c>
      <c r="B11209" s="158">
        <v>4.8</v>
      </c>
    </row>
    <row r="11210" spans="1:2" x14ac:dyDescent="0.25">
      <c r="A11210" s="157">
        <v>38330</v>
      </c>
      <c r="B11210" s="158">
        <v>4.84</v>
      </c>
    </row>
    <row r="11211" spans="1:2" x14ac:dyDescent="0.25">
      <c r="A11211" s="157">
        <v>38331</v>
      </c>
      <c r="B11211" s="158">
        <v>4.83</v>
      </c>
    </row>
    <row r="11212" spans="1:2" x14ac:dyDescent="0.25">
      <c r="A11212" s="157">
        <v>38334</v>
      </c>
      <c r="B11212" s="158">
        <v>4.8099999999999996</v>
      </c>
    </row>
    <row r="11213" spans="1:2" x14ac:dyDescent="0.25">
      <c r="A11213" s="157">
        <v>38335</v>
      </c>
      <c r="B11213" s="158">
        <v>4.79</v>
      </c>
    </row>
    <row r="11214" spans="1:2" x14ac:dyDescent="0.25">
      <c r="A11214" s="157">
        <v>38336</v>
      </c>
      <c r="B11214" s="158">
        <v>4.72</v>
      </c>
    </row>
    <row r="11215" spans="1:2" x14ac:dyDescent="0.25">
      <c r="A11215" s="157">
        <v>38337</v>
      </c>
      <c r="B11215" s="158">
        <v>4.84</v>
      </c>
    </row>
    <row r="11216" spans="1:2" x14ac:dyDescent="0.25">
      <c r="A11216" s="157">
        <v>38338</v>
      </c>
      <c r="B11216" s="158">
        <v>4.8499999999999996</v>
      </c>
    </row>
    <row r="11217" spans="1:2" x14ac:dyDescent="0.25">
      <c r="A11217" s="157">
        <v>38341</v>
      </c>
      <c r="B11217" s="158">
        <v>4.84</v>
      </c>
    </row>
    <row r="11218" spans="1:2" x14ac:dyDescent="0.25">
      <c r="A11218" s="157">
        <v>38342</v>
      </c>
      <c r="B11218" s="158">
        <v>4.82</v>
      </c>
    </row>
    <row r="11219" spans="1:2" x14ac:dyDescent="0.25">
      <c r="A11219" s="157">
        <v>38343</v>
      </c>
      <c r="B11219" s="158">
        <v>4.8499999999999996</v>
      </c>
    </row>
    <row r="11220" spans="1:2" x14ac:dyDescent="0.25">
      <c r="A11220" s="157">
        <v>38344</v>
      </c>
      <c r="B11220" s="158">
        <v>4.8600000000000003</v>
      </c>
    </row>
    <row r="11221" spans="1:2" x14ac:dyDescent="0.25">
      <c r="A11221" s="157">
        <v>38345</v>
      </c>
      <c r="B11221" s="158" t="e">
        <f>NA()</f>
        <v>#N/A</v>
      </c>
    </row>
    <row r="11222" spans="1:2" x14ac:dyDescent="0.25">
      <c r="A11222" s="157">
        <v>38348</v>
      </c>
      <c r="B11222" s="158">
        <v>4.95</v>
      </c>
    </row>
    <row r="11223" spans="1:2" x14ac:dyDescent="0.25">
      <c r="A11223" s="157">
        <v>38349</v>
      </c>
      <c r="B11223" s="158">
        <v>4.9400000000000004</v>
      </c>
    </row>
    <row r="11224" spans="1:2" x14ac:dyDescent="0.25">
      <c r="A11224" s="157">
        <v>38350</v>
      </c>
      <c r="B11224" s="158">
        <v>4.96</v>
      </c>
    </row>
    <row r="11225" spans="1:2" x14ac:dyDescent="0.25">
      <c r="A11225" s="157">
        <v>38351</v>
      </c>
      <c r="B11225" s="158">
        <v>4.92</v>
      </c>
    </row>
    <row r="11226" spans="1:2" x14ac:dyDescent="0.25">
      <c r="A11226" s="157">
        <v>38352</v>
      </c>
      <c r="B11226" s="158">
        <v>4.8499999999999996</v>
      </c>
    </row>
    <row r="11227" spans="1:2" x14ac:dyDescent="0.25">
      <c r="A11227" s="157">
        <v>38355</v>
      </c>
      <c r="B11227" s="158">
        <v>4.84</v>
      </c>
    </row>
    <row r="11228" spans="1:2" x14ac:dyDescent="0.25">
      <c r="A11228" s="157">
        <v>38356</v>
      </c>
      <c r="B11228" s="158">
        <v>4.91</v>
      </c>
    </row>
    <row r="11229" spans="1:2" x14ac:dyDescent="0.25">
      <c r="A11229" s="157">
        <v>38357</v>
      </c>
      <c r="B11229" s="158">
        <v>4.88</v>
      </c>
    </row>
    <row r="11230" spans="1:2" x14ac:dyDescent="0.25">
      <c r="A11230" s="157">
        <v>38358</v>
      </c>
      <c r="B11230" s="158">
        <v>4.88</v>
      </c>
    </row>
    <row r="11231" spans="1:2" x14ac:dyDescent="0.25">
      <c r="A11231" s="157">
        <v>38359</v>
      </c>
      <c r="B11231" s="158">
        <v>4.88</v>
      </c>
    </row>
    <row r="11232" spans="1:2" x14ac:dyDescent="0.25">
      <c r="A11232" s="157">
        <v>38362</v>
      </c>
      <c r="B11232" s="158">
        <v>4.8600000000000003</v>
      </c>
    </row>
    <row r="11233" spans="1:2" x14ac:dyDescent="0.25">
      <c r="A11233" s="157">
        <v>38363</v>
      </c>
      <c r="B11233" s="158">
        <v>4.83</v>
      </c>
    </row>
    <row r="11234" spans="1:2" x14ac:dyDescent="0.25">
      <c r="A11234" s="157">
        <v>38364</v>
      </c>
      <c r="B11234" s="158">
        <v>4.8099999999999996</v>
      </c>
    </row>
    <row r="11235" spans="1:2" x14ac:dyDescent="0.25">
      <c r="A11235" s="157">
        <v>38365</v>
      </c>
      <c r="B11235" s="158">
        <v>4.75</v>
      </c>
    </row>
    <row r="11236" spans="1:2" x14ac:dyDescent="0.25">
      <c r="A11236" s="157">
        <v>38366</v>
      </c>
      <c r="B11236" s="158">
        <v>4.76</v>
      </c>
    </row>
    <row r="11237" spans="1:2" x14ac:dyDescent="0.25">
      <c r="A11237" s="157">
        <v>38369</v>
      </c>
      <c r="B11237" s="158" t="e">
        <f>NA()</f>
        <v>#N/A</v>
      </c>
    </row>
    <row r="11238" spans="1:2" x14ac:dyDescent="0.25">
      <c r="A11238" s="157">
        <v>38370</v>
      </c>
      <c r="B11238" s="158">
        <v>4.7300000000000004</v>
      </c>
    </row>
    <row r="11239" spans="1:2" x14ac:dyDescent="0.25">
      <c r="A11239" s="157">
        <v>38371</v>
      </c>
      <c r="B11239" s="158">
        <v>4.71</v>
      </c>
    </row>
    <row r="11240" spans="1:2" x14ac:dyDescent="0.25">
      <c r="A11240" s="157">
        <v>38372</v>
      </c>
      <c r="B11240" s="158">
        <v>4.7</v>
      </c>
    </row>
    <row r="11241" spans="1:2" x14ac:dyDescent="0.25">
      <c r="A11241" s="157">
        <v>38373</v>
      </c>
      <c r="B11241" s="158">
        <v>4.6900000000000004</v>
      </c>
    </row>
    <row r="11242" spans="1:2" x14ac:dyDescent="0.25">
      <c r="A11242" s="157">
        <v>38376</v>
      </c>
      <c r="B11242" s="158">
        <v>4.6500000000000004</v>
      </c>
    </row>
    <row r="11243" spans="1:2" x14ac:dyDescent="0.25">
      <c r="A11243" s="157">
        <v>38377</v>
      </c>
      <c r="B11243" s="158">
        <v>4.72</v>
      </c>
    </row>
    <row r="11244" spans="1:2" x14ac:dyDescent="0.25">
      <c r="A11244" s="157">
        <v>38378</v>
      </c>
      <c r="B11244" s="158">
        <v>4.72</v>
      </c>
    </row>
    <row r="11245" spans="1:2" x14ac:dyDescent="0.25">
      <c r="A11245" s="157">
        <v>38379</v>
      </c>
      <c r="B11245" s="158">
        <v>4.7300000000000004</v>
      </c>
    </row>
    <row r="11246" spans="1:2" x14ac:dyDescent="0.25">
      <c r="A11246" s="157">
        <v>38380</v>
      </c>
      <c r="B11246" s="158">
        <v>4.66</v>
      </c>
    </row>
    <row r="11247" spans="1:2" x14ac:dyDescent="0.25">
      <c r="A11247" s="157">
        <v>38383</v>
      </c>
      <c r="B11247" s="158">
        <v>4.6399999999999997</v>
      </c>
    </row>
    <row r="11248" spans="1:2" x14ac:dyDescent="0.25">
      <c r="A11248" s="157">
        <v>38384</v>
      </c>
      <c r="B11248" s="158">
        <v>4.6500000000000004</v>
      </c>
    </row>
    <row r="11249" spans="1:2" x14ac:dyDescent="0.25">
      <c r="A11249" s="157">
        <v>38385</v>
      </c>
      <c r="B11249" s="158">
        <v>4.63</v>
      </c>
    </row>
    <row r="11250" spans="1:2" x14ac:dyDescent="0.25">
      <c r="A11250" s="157">
        <v>38386</v>
      </c>
      <c r="B11250" s="158">
        <v>4.6399999999999997</v>
      </c>
    </row>
    <row r="11251" spans="1:2" x14ac:dyDescent="0.25">
      <c r="A11251" s="157">
        <v>38387</v>
      </c>
      <c r="B11251" s="158">
        <v>4.54</v>
      </c>
    </row>
    <row r="11252" spans="1:2" x14ac:dyDescent="0.25">
      <c r="A11252" s="157">
        <v>38390</v>
      </c>
      <c r="B11252" s="158">
        <v>4.49</v>
      </c>
    </row>
    <row r="11253" spans="1:2" x14ac:dyDescent="0.25">
      <c r="A11253" s="157">
        <v>38391</v>
      </c>
      <c r="B11253" s="158">
        <v>4.46</v>
      </c>
    </row>
    <row r="11254" spans="1:2" x14ac:dyDescent="0.25">
      <c r="A11254" s="157">
        <v>38392</v>
      </c>
      <c r="B11254" s="158">
        <v>4.43</v>
      </c>
    </row>
    <row r="11255" spans="1:2" x14ac:dyDescent="0.25">
      <c r="A11255" s="157">
        <v>38393</v>
      </c>
      <c r="B11255" s="158">
        <v>4.5199999999999996</v>
      </c>
    </row>
    <row r="11256" spans="1:2" x14ac:dyDescent="0.25">
      <c r="A11256" s="157">
        <v>38394</v>
      </c>
      <c r="B11256" s="158">
        <v>4.55</v>
      </c>
    </row>
    <row r="11257" spans="1:2" x14ac:dyDescent="0.25">
      <c r="A11257" s="157">
        <v>38397</v>
      </c>
      <c r="B11257" s="158">
        <v>4.51</v>
      </c>
    </row>
    <row r="11258" spans="1:2" x14ac:dyDescent="0.25">
      <c r="A11258" s="157">
        <v>38398</v>
      </c>
      <c r="B11258" s="158">
        <v>4.55</v>
      </c>
    </row>
    <row r="11259" spans="1:2" x14ac:dyDescent="0.25">
      <c r="A11259" s="157">
        <v>38399</v>
      </c>
      <c r="B11259" s="158">
        <v>4.5999999999999996</v>
      </c>
    </row>
    <row r="11260" spans="1:2" x14ac:dyDescent="0.25">
      <c r="A11260" s="157">
        <v>38400</v>
      </c>
      <c r="B11260" s="158">
        <v>4.6500000000000004</v>
      </c>
    </row>
    <row r="11261" spans="1:2" x14ac:dyDescent="0.25">
      <c r="A11261" s="157">
        <v>38401</v>
      </c>
      <c r="B11261" s="158">
        <v>4.72</v>
      </c>
    </row>
    <row r="11262" spans="1:2" x14ac:dyDescent="0.25">
      <c r="A11262" s="157">
        <v>38404</v>
      </c>
      <c r="B11262" s="158" t="e">
        <f>NA()</f>
        <v>#N/A</v>
      </c>
    </row>
    <row r="11263" spans="1:2" x14ac:dyDescent="0.25">
      <c r="A11263" s="157">
        <v>38405</v>
      </c>
      <c r="B11263" s="158">
        <v>4.75</v>
      </c>
    </row>
    <row r="11264" spans="1:2" x14ac:dyDescent="0.25">
      <c r="A11264" s="157">
        <v>38406</v>
      </c>
      <c r="B11264" s="158">
        <v>4.7300000000000004</v>
      </c>
    </row>
    <row r="11265" spans="1:2" x14ac:dyDescent="0.25">
      <c r="A11265" s="157">
        <v>38407</v>
      </c>
      <c r="B11265" s="158">
        <v>4.74</v>
      </c>
    </row>
    <row r="11266" spans="1:2" x14ac:dyDescent="0.25">
      <c r="A11266" s="157">
        <v>38408</v>
      </c>
      <c r="B11266" s="158">
        <v>4.72</v>
      </c>
    </row>
    <row r="11267" spans="1:2" x14ac:dyDescent="0.25">
      <c r="A11267" s="157">
        <v>38411</v>
      </c>
      <c r="B11267" s="158">
        <v>4.79</v>
      </c>
    </row>
    <row r="11268" spans="1:2" x14ac:dyDescent="0.25">
      <c r="A11268" s="157">
        <v>38412</v>
      </c>
      <c r="B11268" s="158">
        <v>4.8</v>
      </c>
    </row>
    <row r="11269" spans="1:2" x14ac:dyDescent="0.25">
      <c r="A11269" s="157">
        <v>38413</v>
      </c>
      <c r="B11269" s="158">
        <v>4.82</v>
      </c>
    </row>
    <row r="11270" spans="1:2" x14ac:dyDescent="0.25">
      <c r="A11270" s="157">
        <v>38414</v>
      </c>
      <c r="B11270" s="158">
        <v>4.82</v>
      </c>
    </row>
    <row r="11271" spans="1:2" x14ac:dyDescent="0.25">
      <c r="A11271" s="157">
        <v>38415</v>
      </c>
      <c r="B11271" s="158">
        <v>4.7300000000000004</v>
      </c>
    </row>
    <row r="11272" spans="1:2" x14ac:dyDescent="0.25">
      <c r="A11272" s="157">
        <v>38418</v>
      </c>
      <c r="B11272" s="158">
        <v>4.7</v>
      </c>
    </row>
    <row r="11273" spans="1:2" x14ac:dyDescent="0.25">
      <c r="A11273" s="157">
        <v>38419</v>
      </c>
      <c r="B11273" s="158">
        <v>4.78</v>
      </c>
    </row>
    <row r="11274" spans="1:2" x14ac:dyDescent="0.25">
      <c r="A11274" s="157">
        <v>38420</v>
      </c>
      <c r="B11274" s="158">
        <v>4.92</v>
      </c>
    </row>
    <row r="11275" spans="1:2" x14ac:dyDescent="0.25">
      <c r="A11275" s="157">
        <v>38421</v>
      </c>
      <c r="B11275" s="158">
        <v>4.8499999999999996</v>
      </c>
    </row>
    <row r="11276" spans="1:2" x14ac:dyDescent="0.25">
      <c r="A11276" s="157">
        <v>38422</v>
      </c>
      <c r="B11276" s="158">
        <v>4.93</v>
      </c>
    </row>
    <row r="11277" spans="1:2" x14ac:dyDescent="0.25">
      <c r="A11277" s="157">
        <v>38425</v>
      </c>
      <c r="B11277" s="158">
        <v>4.9000000000000004</v>
      </c>
    </row>
    <row r="11278" spans="1:2" x14ac:dyDescent="0.25">
      <c r="A11278" s="157">
        <v>38426</v>
      </c>
      <c r="B11278" s="158">
        <v>4.93</v>
      </c>
    </row>
    <row r="11279" spans="1:2" x14ac:dyDescent="0.25">
      <c r="A11279" s="157">
        <v>38427</v>
      </c>
      <c r="B11279" s="158">
        <v>4.91</v>
      </c>
    </row>
    <row r="11280" spans="1:2" x14ac:dyDescent="0.25">
      <c r="A11280" s="157">
        <v>38428</v>
      </c>
      <c r="B11280" s="158">
        <v>4.87</v>
      </c>
    </row>
    <row r="11281" spans="1:2" x14ac:dyDescent="0.25">
      <c r="A11281" s="157">
        <v>38429</v>
      </c>
      <c r="B11281" s="158">
        <v>4.92</v>
      </c>
    </row>
    <row r="11282" spans="1:2" x14ac:dyDescent="0.25">
      <c r="A11282" s="157">
        <v>38432</v>
      </c>
      <c r="B11282" s="158">
        <v>4.9400000000000004</v>
      </c>
    </row>
    <row r="11283" spans="1:2" x14ac:dyDescent="0.25">
      <c r="A11283" s="157">
        <v>38433</v>
      </c>
      <c r="B11283" s="158">
        <v>5.01</v>
      </c>
    </row>
    <row r="11284" spans="1:2" x14ac:dyDescent="0.25">
      <c r="A11284" s="157">
        <v>38434</v>
      </c>
      <c r="B11284" s="158">
        <v>4.99</v>
      </c>
    </row>
    <row r="11285" spans="1:2" x14ac:dyDescent="0.25">
      <c r="A11285" s="157">
        <v>38435</v>
      </c>
      <c r="B11285" s="158">
        <v>4.97</v>
      </c>
    </row>
    <row r="11286" spans="1:2" x14ac:dyDescent="0.25">
      <c r="A11286" s="157">
        <v>38436</v>
      </c>
      <c r="B11286" s="158" t="e">
        <f>NA()</f>
        <v>#N/A</v>
      </c>
    </row>
    <row r="11287" spans="1:2" x14ac:dyDescent="0.25">
      <c r="A11287" s="157">
        <v>38439</v>
      </c>
      <c r="B11287" s="158">
        <v>5.01</v>
      </c>
    </row>
    <row r="11288" spans="1:2" x14ac:dyDescent="0.25">
      <c r="A11288" s="157">
        <v>38440</v>
      </c>
      <c r="B11288" s="158">
        <v>4.9800000000000004</v>
      </c>
    </row>
    <row r="11289" spans="1:2" x14ac:dyDescent="0.25">
      <c r="A11289" s="157">
        <v>38441</v>
      </c>
      <c r="B11289" s="158">
        <v>4.93</v>
      </c>
    </row>
    <row r="11290" spans="1:2" x14ac:dyDescent="0.25">
      <c r="A11290" s="157">
        <v>38442</v>
      </c>
      <c r="B11290" s="158">
        <v>4.88</v>
      </c>
    </row>
    <row r="11291" spans="1:2" x14ac:dyDescent="0.25">
      <c r="A11291" s="157">
        <v>38443</v>
      </c>
      <c r="B11291" s="158">
        <v>4.8499999999999996</v>
      </c>
    </row>
    <row r="11292" spans="1:2" x14ac:dyDescent="0.25">
      <c r="A11292" s="157">
        <v>38446</v>
      </c>
      <c r="B11292" s="158">
        <v>4.84</v>
      </c>
    </row>
    <row r="11293" spans="1:2" x14ac:dyDescent="0.25">
      <c r="A11293" s="157">
        <v>38447</v>
      </c>
      <c r="B11293" s="158">
        <v>4.87</v>
      </c>
    </row>
    <row r="11294" spans="1:2" x14ac:dyDescent="0.25">
      <c r="A11294" s="157">
        <v>38448</v>
      </c>
      <c r="B11294" s="158">
        <v>4.8499999999999996</v>
      </c>
    </row>
    <row r="11295" spans="1:2" x14ac:dyDescent="0.25">
      <c r="A11295" s="157">
        <v>38449</v>
      </c>
      <c r="B11295" s="158">
        <v>4.9000000000000004</v>
      </c>
    </row>
    <row r="11296" spans="1:2" x14ac:dyDescent="0.25">
      <c r="A11296" s="157">
        <v>38450</v>
      </c>
      <c r="B11296" s="158">
        <v>4.88</v>
      </c>
    </row>
    <row r="11297" spans="1:2" x14ac:dyDescent="0.25">
      <c r="A11297" s="157">
        <v>38453</v>
      </c>
      <c r="B11297" s="158">
        <v>4.84</v>
      </c>
    </row>
    <row r="11298" spans="1:2" x14ac:dyDescent="0.25">
      <c r="A11298" s="157">
        <v>38454</v>
      </c>
      <c r="B11298" s="158">
        <v>4.78</v>
      </c>
    </row>
    <row r="11299" spans="1:2" x14ac:dyDescent="0.25">
      <c r="A11299" s="157">
        <v>38455</v>
      </c>
      <c r="B11299" s="158">
        <v>4.8</v>
      </c>
    </row>
    <row r="11300" spans="1:2" x14ac:dyDescent="0.25">
      <c r="A11300" s="157">
        <v>38456</v>
      </c>
      <c r="B11300" s="158">
        <v>4.8</v>
      </c>
    </row>
    <row r="11301" spans="1:2" x14ac:dyDescent="0.25">
      <c r="A11301" s="157">
        <v>38457</v>
      </c>
      <c r="B11301" s="158">
        <v>4.7300000000000004</v>
      </c>
    </row>
    <row r="11302" spans="1:2" x14ac:dyDescent="0.25">
      <c r="A11302" s="157">
        <v>38460</v>
      </c>
      <c r="B11302" s="158">
        <v>4.7</v>
      </c>
    </row>
    <row r="11303" spans="1:2" x14ac:dyDescent="0.25">
      <c r="A11303" s="157">
        <v>38461</v>
      </c>
      <c r="B11303" s="158">
        <v>4.6399999999999997</v>
      </c>
    </row>
    <row r="11304" spans="1:2" x14ac:dyDescent="0.25">
      <c r="A11304" s="157">
        <v>38462</v>
      </c>
      <c r="B11304" s="158">
        <v>4.66</v>
      </c>
    </row>
    <row r="11305" spans="1:2" x14ac:dyDescent="0.25">
      <c r="A11305" s="157">
        <v>38463</v>
      </c>
      <c r="B11305" s="158">
        <v>4.7300000000000004</v>
      </c>
    </row>
    <row r="11306" spans="1:2" x14ac:dyDescent="0.25">
      <c r="A11306" s="157">
        <v>38464</v>
      </c>
      <c r="B11306" s="158">
        <v>4.68</v>
      </c>
    </row>
    <row r="11307" spans="1:2" x14ac:dyDescent="0.25">
      <c r="A11307" s="157">
        <v>38467</v>
      </c>
      <c r="B11307" s="158">
        <v>4.6500000000000004</v>
      </c>
    </row>
    <row r="11308" spans="1:2" x14ac:dyDescent="0.25">
      <c r="A11308" s="157">
        <v>38468</v>
      </c>
      <c r="B11308" s="158">
        <v>4.67</v>
      </c>
    </row>
    <row r="11309" spans="1:2" x14ac:dyDescent="0.25">
      <c r="A11309" s="157">
        <v>38469</v>
      </c>
      <c r="B11309" s="158">
        <v>4.6500000000000004</v>
      </c>
    </row>
    <row r="11310" spans="1:2" x14ac:dyDescent="0.25">
      <c r="A11310" s="157">
        <v>38470</v>
      </c>
      <c r="B11310" s="158">
        <v>4.5999999999999996</v>
      </c>
    </row>
    <row r="11311" spans="1:2" x14ac:dyDescent="0.25">
      <c r="A11311" s="157">
        <v>38471</v>
      </c>
      <c r="B11311" s="158">
        <v>4.6100000000000003</v>
      </c>
    </row>
    <row r="11312" spans="1:2" x14ac:dyDescent="0.25">
      <c r="A11312" s="157">
        <v>38474</v>
      </c>
      <c r="B11312" s="158">
        <v>4.6100000000000003</v>
      </c>
    </row>
    <row r="11313" spans="1:2" x14ac:dyDescent="0.25">
      <c r="A11313" s="157">
        <v>38475</v>
      </c>
      <c r="B11313" s="158">
        <v>4.5999999999999996</v>
      </c>
    </row>
    <row r="11314" spans="1:2" x14ac:dyDescent="0.25">
      <c r="A11314" s="157">
        <v>38476</v>
      </c>
      <c r="B11314" s="158">
        <v>4.6399999999999997</v>
      </c>
    </row>
    <row r="11315" spans="1:2" x14ac:dyDescent="0.25">
      <c r="A11315" s="157">
        <v>38477</v>
      </c>
      <c r="B11315" s="158">
        <v>4.6399999999999997</v>
      </c>
    </row>
    <row r="11316" spans="1:2" x14ac:dyDescent="0.25">
      <c r="A11316" s="157">
        <v>38478</v>
      </c>
      <c r="B11316" s="158">
        <v>4.6900000000000004</v>
      </c>
    </row>
    <row r="11317" spans="1:2" x14ac:dyDescent="0.25">
      <c r="A11317" s="157">
        <v>38481</v>
      </c>
      <c r="B11317" s="158">
        <v>4.6900000000000004</v>
      </c>
    </row>
    <row r="11318" spans="1:2" x14ac:dyDescent="0.25">
      <c r="A11318" s="157">
        <v>38482</v>
      </c>
      <c r="B11318" s="158">
        <v>4.6500000000000004</v>
      </c>
    </row>
    <row r="11319" spans="1:2" x14ac:dyDescent="0.25">
      <c r="A11319" s="157">
        <v>38483</v>
      </c>
      <c r="B11319" s="158">
        <v>4.6100000000000003</v>
      </c>
    </row>
    <row r="11320" spans="1:2" x14ac:dyDescent="0.25">
      <c r="A11320" s="157">
        <v>38484</v>
      </c>
      <c r="B11320" s="158">
        <v>4.59</v>
      </c>
    </row>
    <row r="11321" spans="1:2" x14ac:dyDescent="0.25">
      <c r="A11321" s="157">
        <v>38485</v>
      </c>
      <c r="B11321" s="158">
        <v>4.5599999999999996</v>
      </c>
    </row>
    <row r="11322" spans="1:2" x14ac:dyDescent="0.25">
      <c r="A11322" s="157">
        <v>38488</v>
      </c>
      <c r="B11322" s="158">
        <v>4.5599999999999996</v>
      </c>
    </row>
    <row r="11323" spans="1:2" x14ac:dyDescent="0.25">
      <c r="A11323" s="157">
        <v>38489</v>
      </c>
      <c r="B11323" s="158">
        <v>4.54</v>
      </c>
    </row>
    <row r="11324" spans="1:2" x14ac:dyDescent="0.25">
      <c r="A11324" s="157">
        <v>38490</v>
      </c>
      <c r="B11324" s="158">
        <v>4.49</v>
      </c>
    </row>
    <row r="11325" spans="1:2" x14ac:dyDescent="0.25">
      <c r="A11325" s="157">
        <v>38491</v>
      </c>
      <c r="B11325" s="158">
        <v>4.5199999999999996</v>
      </c>
    </row>
    <row r="11326" spans="1:2" x14ac:dyDescent="0.25">
      <c r="A11326" s="157">
        <v>38492</v>
      </c>
      <c r="B11326" s="158">
        <v>4.5199999999999996</v>
      </c>
    </row>
    <row r="11327" spans="1:2" x14ac:dyDescent="0.25">
      <c r="A11327" s="157">
        <v>38495</v>
      </c>
      <c r="B11327" s="158">
        <v>4.46</v>
      </c>
    </row>
    <row r="11328" spans="1:2" x14ac:dyDescent="0.25">
      <c r="A11328" s="157">
        <v>38496</v>
      </c>
      <c r="B11328" s="158">
        <v>4.43</v>
      </c>
    </row>
    <row r="11329" spans="1:2" x14ac:dyDescent="0.25">
      <c r="A11329" s="157">
        <v>38497</v>
      </c>
      <c r="B11329" s="158">
        <v>4.4800000000000004</v>
      </c>
    </row>
    <row r="11330" spans="1:2" x14ac:dyDescent="0.25">
      <c r="A11330" s="157">
        <v>38498</v>
      </c>
      <c r="B11330" s="158">
        <v>4.49</v>
      </c>
    </row>
    <row r="11331" spans="1:2" x14ac:dyDescent="0.25">
      <c r="A11331" s="157">
        <v>38499</v>
      </c>
      <c r="B11331" s="158">
        <v>4.49</v>
      </c>
    </row>
    <row r="11332" spans="1:2" x14ac:dyDescent="0.25">
      <c r="A11332" s="157">
        <v>38502</v>
      </c>
      <c r="B11332" s="158" t="e">
        <f>NA()</f>
        <v>#N/A</v>
      </c>
    </row>
    <row r="11333" spans="1:2" x14ac:dyDescent="0.25">
      <c r="A11333" s="157">
        <v>38503</v>
      </c>
      <c r="B11333" s="158">
        <v>4.4000000000000004</v>
      </c>
    </row>
    <row r="11334" spans="1:2" x14ac:dyDescent="0.25">
      <c r="A11334" s="157">
        <v>38504</v>
      </c>
      <c r="B11334" s="158">
        <v>4.3099999999999996</v>
      </c>
    </row>
    <row r="11335" spans="1:2" x14ac:dyDescent="0.25">
      <c r="A11335" s="157">
        <v>38505</v>
      </c>
      <c r="B11335" s="158">
        <v>4.28</v>
      </c>
    </row>
    <row r="11336" spans="1:2" x14ac:dyDescent="0.25">
      <c r="A11336" s="157">
        <v>38506</v>
      </c>
      <c r="B11336" s="158">
        <v>4.34</v>
      </c>
    </row>
    <row r="11337" spans="1:2" x14ac:dyDescent="0.25">
      <c r="A11337" s="157">
        <v>38509</v>
      </c>
      <c r="B11337" s="158">
        <v>4.3099999999999996</v>
      </c>
    </row>
    <row r="11338" spans="1:2" x14ac:dyDescent="0.25">
      <c r="A11338" s="157">
        <v>38510</v>
      </c>
      <c r="B11338" s="158">
        <v>4.26</v>
      </c>
    </row>
    <row r="11339" spans="1:2" x14ac:dyDescent="0.25">
      <c r="A11339" s="157">
        <v>38511</v>
      </c>
      <c r="B11339" s="158">
        <v>4.29</v>
      </c>
    </row>
    <row r="11340" spans="1:2" x14ac:dyDescent="0.25">
      <c r="A11340" s="157">
        <v>38512</v>
      </c>
      <c r="B11340" s="158">
        <v>4.3099999999999996</v>
      </c>
    </row>
    <row r="11341" spans="1:2" x14ac:dyDescent="0.25">
      <c r="A11341" s="157">
        <v>38513</v>
      </c>
      <c r="B11341" s="158">
        <v>4.3899999999999997</v>
      </c>
    </row>
    <row r="11342" spans="1:2" x14ac:dyDescent="0.25">
      <c r="A11342" s="157">
        <v>38516</v>
      </c>
      <c r="B11342" s="158">
        <v>4.4400000000000004</v>
      </c>
    </row>
    <row r="11343" spans="1:2" x14ac:dyDescent="0.25">
      <c r="A11343" s="157">
        <v>38517</v>
      </c>
      <c r="B11343" s="158">
        <v>4.49</v>
      </c>
    </row>
    <row r="11344" spans="1:2" x14ac:dyDescent="0.25">
      <c r="A11344" s="157">
        <v>38518</v>
      </c>
      <c r="B11344" s="158">
        <v>4.49</v>
      </c>
    </row>
    <row r="11345" spans="1:2" x14ac:dyDescent="0.25">
      <c r="A11345" s="157">
        <v>38519</v>
      </c>
      <c r="B11345" s="158">
        <v>4.45</v>
      </c>
    </row>
    <row r="11346" spans="1:2" x14ac:dyDescent="0.25">
      <c r="A11346" s="157">
        <v>38520</v>
      </c>
      <c r="B11346" s="158">
        <v>4.4400000000000004</v>
      </c>
    </row>
    <row r="11347" spans="1:2" x14ac:dyDescent="0.25">
      <c r="A11347" s="157">
        <v>38523</v>
      </c>
      <c r="B11347" s="158">
        <v>4.46</v>
      </c>
    </row>
    <row r="11348" spans="1:2" x14ac:dyDescent="0.25">
      <c r="A11348" s="157">
        <v>38524</v>
      </c>
      <c r="B11348" s="158">
        <v>4.4000000000000004</v>
      </c>
    </row>
    <row r="11349" spans="1:2" x14ac:dyDescent="0.25">
      <c r="A11349" s="157">
        <v>38525</v>
      </c>
      <c r="B11349" s="158">
        <v>4.3099999999999996</v>
      </c>
    </row>
    <row r="11350" spans="1:2" x14ac:dyDescent="0.25">
      <c r="A11350" s="157">
        <v>38526</v>
      </c>
      <c r="B11350" s="158">
        <v>4.32</v>
      </c>
    </row>
    <row r="11351" spans="1:2" x14ac:dyDescent="0.25">
      <c r="A11351" s="157">
        <v>38527</v>
      </c>
      <c r="B11351" s="158">
        <v>4.28</v>
      </c>
    </row>
    <row r="11352" spans="1:2" x14ac:dyDescent="0.25">
      <c r="A11352" s="157">
        <v>38530</v>
      </c>
      <c r="B11352" s="158">
        <v>4.25</v>
      </c>
    </row>
    <row r="11353" spans="1:2" x14ac:dyDescent="0.25">
      <c r="A11353" s="157">
        <v>38531</v>
      </c>
      <c r="B11353" s="158">
        <v>4.3</v>
      </c>
    </row>
    <row r="11354" spans="1:2" x14ac:dyDescent="0.25">
      <c r="A11354" s="157">
        <v>38532</v>
      </c>
      <c r="B11354" s="158">
        <v>4.33</v>
      </c>
    </row>
    <row r="11355" spans="1:2" x14ac:dyDescent="0.25">
      <c r="A11355" s="157">
        <v>38533</v>
      </c>
      <c r="B11355" s="158">
        <v>4.28</v>
      </c>
    </row>
    <row r="11356" spans="1:2" x14ac:dyDescent="0.25">
      <c r="A11356" s="157">
        <v>38534</v>
      </c>
      <c r="B11356" s="158">
        <v>4.37</v>
      </c>
    </row>
    <row r="11357" spans="1:2" x14ac:dyDescent="0.25">
      <c r="A11357" s="157">
        <v>38537</v>
      </c>
      <c r="B11357" s="158" t="e">
        <f>NA()</f>
        <v>#N/A</v>
      </c>
    </row>
    <row r="11358" spans="1:2" x14ac:dyDescent="0.25">
      <c r="A11358" s="157">
        <v>38538</v>
      </c>
      <c r="B11358" s="158">
        <v>4.43</v>
      </c>
    </row>
    <row r="11359" spans="1:2" x14ac:dyDescent="0.25">
      <c r="A11359" s="157">
        <v>38539</v>
      </c>
      <c r="B11359" s="158">
        <v>4.4000000000000004</v>
      </c>
    </row>
    <row r="11360" spans="1:2" x14ac:dyDescent="0.25">
      <c r="A11360" s="157">
        <v>38540</v>
      </c>
      <c r="B11360" s="158">
        <v>4.37</v>
      </c>
    </row>
    <row r="11361" spans="1:2" x14ac:dyDescent="0.25">
      <c r="A11361" s="157">
        <v>38541</v>
      </c>
      <c r="B11361" s="158">
        <v>4.42</v>
      </c>
    </row>
    <row r="11362" spans="1:2" x14ac:dyDescent="0.25">
      <c r="A11362" s="157">
        <v>38544</v>
      </c>
      <c r="B11362" s="158">
        <v>4.42</v>
      </c>
    </row>
    <row r="11363" spans="1:2" x14ac:dyDescent="0.25">
      <c r="A11363" s="157">
        <v>38545</v>
      </c>
      <c r="B11363" s="158">
        <v>4.46</v>
      </c>
    </row>
    <row r="11364" spans="1:2" x14ac:dyDescent="0.25">
      <c r="A11364" s="157">
        <v>38546</v>
      </c>
      <c r="B11364" s="158">
        <v>4.47</v>
      </c>
    </row>
    <row r="11365" spans="1:2" x14ac:dyDescent="0.25">
      <c r="A11365" s="157">
        <v>38547</v>
      </c>
      <c r="B11365" s="158">
        <v>4.49</v>
      </c>
    </row>
    <row r="11366" spans="1:2" x14ac:dyDescent="0.25">
      <c r="A11366" s="157">
        <v>38548</v>
      </c>
      <c r="B11366" s="158">
        <v>4.47</v>
      </c>
    </row>
    <row r="11367" spans="1:2" x14ac:dyDescent="0.25">
      <c r="A11367" s="157">
        <v>38551</v>
      </c>
      <c r="B11367" s="158">
        <v>4.53</v>
      </c>
    </row>
    <row r="11368" spans="1:2" x14ac:dyDescent="0.25">
      <c r="A11368" s="157">
        <v>38552</v>
      </c>
      <c r="B11368" s="158">
        <v>4.5</v>
      </c>
    </row>
    <row r="11369" spans="1:2" x14ac:dyDescent="0.25">
      <c r="A11369" s="157">
        <v>38553</v>
      </c>
      <c r="B11369" s="158">
        <v>4.47</v>
      </c>
    </row>
    <row r="11370" spans="1:2" x14ac:dyDescent="0.25">
      <c r="A11370" s="157">
        <v>38554</v>
      </c>
      <c r="B11370" s="158">
        <v>4.58</v>
      </c>
    </row>
    <row r="11371" spans="1:2" x14ac:dyDescent="0.25">
      <c r="A11371" s="157">
        <v>38555</v>
      </c>
      <c r="B11371" s="158">
        <v>4.5199999999999996</v>
      </c>
    </row>
    <row r="11372" spans="1:2" x14ac:dyDescent="0.25">
      <c r="A11372" s="157">
        <v>38558</v>
      </c>
      <c r="B11372" s="158">
        <v>4.53</v>
      </c>
    </row>
    <row r="11373" spans="1:2" x14ac:dyDescent="0.25">
      <c r="A11373" s="157">
        <v>38559</v>
      </c>
      <c r="B11373" s="158">
        <v>4.53</v>
      </c>
    </row>
    <row r="11374" spans="1:2" x14ac:dyDescent="0.25">
      <c r="A11374" s="157">
        <v>38560</v>
      </c>
      <c r="B11374" s="158">
        <v>4.55</v>
      </c>
    </row>
    <row r="11375" spans="1:2" x14ac:dyDescent="0.25">
      <c r="A11375" s="157">
        <v>38561</v>
      </c>
      <c r="B11375" s="158">
        <v>4.4800000000000004</v>
      </c>
    </row>
    <row r="11376" spans="1:2" x14ac:dyDescent="0.25">
      <c r="A11376" s="157">
        <v>38562</v>
      </c>
      <c r="B11376" s="158">
        <v>4.5599999999999996</v>
      </c>
    </row>
    <row r="11377" spans="1:2" x14ac:dyDescent="0.25">
      <c r="A11377" s="157">
        <v>38565</v>
      </c>
      <c r="B11377" s="158">
        <v>4.59</v>
      </c>
    </row>
    <row r="11378" spans="1:2" x14ac:dyDescent="0.25">
      <c r="A11378" s="157">
        <v>38566</v>
      </c>
      <c r="B11378" s="158">
        <v>4.62</v>
      </c>
    </row>
    <row r="11379" spans="1:2" x14ac:dyDescent="0.25">
      <c r="A11379" s="157">
        <v>38567</v>
      </c>
      <c r="B11379" s="158">
        <v>4.58</v>
      </c>
    </row>
    <row r="11380" spans="1:2" x14ac:dyDescent="0.25">
      <c r="A11380" s="157">
        <v>38568</v>
      </c>
      <c r="B11380" s="158">
        <v>4.5999999999999996</v>
      </c>
    </row>
    <row r="11381" spans="1:2" x14ac:dyDescent="0.25">
      <c r="A11381" s="157">
        <v>38569</v>
      </c>
      <c r="B11381" s="158">
        <v>4.66</v>
      </c>
    </row>
    <row r="11382" spans="1:2" x14ac:dyDescent="0.25">
      <c r="A11382" s="157">
        <v>38572</v>
      </c>
      <c r="B11382" s="158">
        <v>4.68</v>
      </c>
    </row>
    <row r="11383" spans="1:2" x14ac:dyDescent="0.25">
      <c r="A11383" s="157">
        <v>38573</v>
      </c>
      <c r="B11383" s="158">
        <v>4.66</v>
      </c>
    </row>
    <row r="11384" spans="1:2" x14ac:dyDescent="0.25">
      <c r="A11384" s="157">
        <v>38574</v>
      </c>
      <c r="B11384" s="158">
        <v>4.6500000000000004</v>
      </c>
    </row>
    <row r="11385" spans="1:2" x14ac:dyDescent="0.25">
      <c r="A11385" s="157">
        <v>38575</v>
      </c>
      <c r="B11385" s="158">
        <v>4.5999999999999996</v>
      </c>
    </row>
    <row r="11386" spans="1:2" x14ac:dyDescent="0.25">
      <c r="A11386" s="157">
        <v>38576</v>
      </c>
      <c r="B11386" s="158">
        <v>4.5199999999999996</v>
      </c>
    </row>
    <row r="11387" spans="1:2" x14ac:dyDescent="0.25">
      <c r="A11387" s="157">
        <v>38579</v>
      </c>
      <c r="B11387" s="158">
        <v>4.53</v>
      </c>
    </row>
    <row r="11388" spans="1:2" x14ac:dyDescent="0.25">
      <c r="A11388" s="157">
        <v>38580</v>
      </c>
      <c r="B11388" s="158">
        <v>4.49</v>
      </c>
    </row>
    <row r="11389" spans="1:2" x14ac:dyDescent="0.25">
      <c r="A11389" s="157">
        <v>38581</v>
      </c>
      <c r="B11389" s="158">
        <v>4.53</v>
      </c>
    </row>
    <row r="11390" spans="1:2" x14ac:dyDescent="0.25">
      <c r="A11390" s="157">
        <v>38582</v>
      </c>
      <c r="B11390" s="158">
        <v>4.4800000000000004</v>
      </c>
    </row>
    <row r="11391" spans="1:2" x14ac:dyDescent="0.25">
      <c r="A11391" s="157">
        <v>38583</v>
      </c>
      <c r="B11391" s="158">
        <v>4.47</v>
      </c>
    </row>
    <row r="11392" spans="1:2" x14ac:dyDescent="0.25">
      <c r="A11392" s="157">
        <v>38586</v>
      </c>
      <c r="B11392" s="158">
        <v>4.4800000000000004</v>
      </c>
    </row>
    <row r="11393" spans="1:2" x14ac:dyDescent="0.25">
      <c r="A11393" s="157">
        <v>38587</v>
      </c>
      <c r="B11393" s="158">
        <v>4.46</v>
      </c>
    </row>
    <row r="11394" spans="1:2" x14ac:dyDescent="0.25">
      <c r="A11394" s="157">
        <v>38588</v>
      </c>
      <c r="B11394" s="158">
        <v>4.46</v>
      </c>
    </row>
    <row r="11395" spans="1:2" x14ac:dyDescent="0.25">
      <c r="A11395" s="157">
        <v>38589</v>
      </c>
      <c r="B11395" s="158">
        <v>4.45</v>
      </c>
    </row>
    <row r="11396" spans="1:2" x14ac:dyDescent="0.25">
      <c r="A11396" s="157">
        <v>38590</v>
      </c>
      <c r="B11396" s="158">
        <v>4.46</v>
      </c>
    </row>
    <row r="11397" spans="1:2" x14ac:dyDescent="0.25">
      <c r="A11397" s="157">
        <v>38593</v>
      </c>
      <c r="B11397" s="158">
        <v>4.45</v>
      </c>
    </row>
    <row r="11398" spans="1:2" x14ac:dyDescent="0.25">
      <c r="A11398" s="157">
        <v>38594</v>
      </c>
      <c r="B11398" s="158">
        <v>4.43</v>
      </c>
    </row>
    <row r="11399" spans="1:2" x14ac:dyDescent="0.25">
      <c r="A11399" s="157">
        <v>38595</v>
      </c>
      <c r="B11399" s="158">
        <v>4.3</v>
      </c>
    </row>
    <row r="11400" spans="1:2" x14ac:dyDescent="0.25">
      <c r="A11400" s="157">
        <v>38596</v>
      </c>
      <c r="B11400" s="158">
        <v>4.3099999999999996</v>
      </c>
    </row>
    <row r="11401" spans="1:2" x14ac:dyDescent="0.25">
      <c r="A11401" s="157">
        <v>38597</v>
      </c>
      <c r="B11401" s="158">
        <v>4.33</v>
      </c>
    </row>
    <row r="11402" spans="1:2" x14ac:dyDescent="0.25">
      <c r="A11402" s="157">
        <v>38600</v>
      </c>
      <c r="B11402" s="158" t="e">
        <f>NA()</f>
        <v>#N/A</v>
      </c>
    </row>
    <row r="11403" spans="1:2" x14ac:dyDescent="0.25">
      <c r="A11403" s="157">
        <v>38601</v>
      </c>
      <c r="B11403" s="158">
        <v>4.3899999999999997</v>
      </c>
    </row>
    <row r="11404" spans="1:2" x14ac:dyDescent="0.25">
      <c r="A11404" s="157">
        <v>38602</v>
      </c>
      <c r="B11404" s="158">
        <v>4.46</v>
      </c>
    </row>
    <row r="11405" spans="1:2" x14ac:dyDescent="0.25">
      <c r="A11405" s="157">
        <v>38603</v>
      </c>
      <c r="B11405" s="158">
        <v>4.45</v>
      </c>
    </row>
    <row r="11406" spans="1:2" x14ac:dyDescent="0.25">
      <c r="A11406" s="157">
        <v>38604</v>
      </c>
      <c r="B11406" s="158">
        <v>4.45</v>
      </c>
    </row>
    <row r="11407" spans="1:2" x14ac:dyDescent="0.25">
      <c r="A11407" s="157">
        <v>38607</v>
      </c>
      <c r="B11407" s="158">
        <v>4.5</v>
      </c>
    </row>
    <row r="11408" spans="1:2" x14ac:dyDescent="0.25">
      <c r="A11408" s="157">
        <v>38608</v>
      </c>
      <c r="B11408" s="158">
        <v>4.47</v>
      </c>
    </row>
    <row r="11409" spans="1:2" x14ac:dyDescent="0.25">
      <c r="A11409" s="157">
        <v>38609</v>
      </c>
      <c r="B11409" s="158">
        <v>4.5</v>
      </c>
    </row>
    <row r="11410" spans="1:2" x14ac:dyDescent="0.25">
      <c r="A11410" s="157">
        <v>38610</v>
      </c>
      <c r="B11410" s="158">
        <v>4.5599999999999996</v>
      </c>
    </row>
    <row r="11411" spans="1:2" x14ac:dyDescent="0.25">
      <c r="A11411" s="157">
        <v>38611</v>
      </c>
      <c r="B11411" s="158">
        <v>4.6100000000000003</v>
      </c>
    </row>
    <row r="11412" spans="1:2" x14ac:dyDescent="0.25">
      <c r="A11412" s="157">
        <v>38614</v>
      </c>
      <c r="B11412" s="158">
        <v>4.5999999999999996</v>
      </c>
    </row>
    <row r="11413" spans="1:2" x14ac:dyDescent="0.25">
      <c r="A11413" s="157">
        <v>38615</v>
      </c>
      <c r="B11413" s="158">
        <v>4.59</v>
      </c>
    </row>
    <row r="11414" spans="1:2" x14ac:dyDescent="0.25">
      <c r="A11414" s="157">
        <v>38616</v>
      </c>
      <c r="B11414" s="158">
        <v>4.5199999999999996</v>
      </c>
    </row>
    <row r="11415" spans="1:2" x14ac:dyDescent="0.25">
      <c r="A11415" s="157">
        <v>38617</v>
      </c>
      <c r="B11415" s="158">
        <v>4.5199999999999996</v>
      </c>
    </row>
    <row r="11416" spans="1:2" x14ac:dyDescent="0.25">
      <c r="A11416" s="157">
        <v>38618</v>
      </c>
      <c r="B11416" s="158">
        <v>4.57</v>
      </c>
    </row>
    <row r="11417" spans="1:2" x14ac:dyDescent="0.25">
      <c r="A11417" s="157">
        <v>38621</v>
      </c>
      <c r="B11417" s="158">
        <v>4.5999999999999996</v>
      </c>
    </row>
    <row r="11418" spans="1:2" x14ac:dyDescent="0.25">
      <c r="A11418" s="157">
        <v>38622</v>
      </c>
      <c r="B11418" s="158">
        <v>4.5999999999999996</v>
      </c>
    </row>
    <row r="11419" spans="1:2" x14ac:dyDescent="0.25">
      <c r="A11419" s="157">
        <v>38623</v>
      </c>
      <c r="B11419" s="158">
        <v>4.55</v>
      </c>
    </row>
    <row r="11420" spans="1:2" x14ac:dyDescent="0.25">
      <c r="A11420" s="157">
        <v>38624</v>
      </c>
      <c r="B11420" s="158">
        <v>4.59</v>
      </c>
    </row>
    <row r="11421" spans="1:2" x14ac:dyDescent="0.25">
      <c r="A11421" s="157">
        <v>38625</v>
      </c>
      <c r="B11421" s="158">
        <v>4.62</v>
      </c>
    </row>
    <row r="11422" spans="1:2" x14ac:dyDescent="0.25">
      <c r="A11422" s="157">
        <v>38628</v>
      </c>
      <c r="B11422" s="158">
        <v>4.67</v>
      </c>
    </row>
    <row r="11423" spans="1:2" x14ac:dyDescent="0.25">
      <c r="A11423" s="157">
        <v>38629</v>
      </c>
      <c r="B11423" s="158">
        <v>4.66</v>
      </c>
    </row>
    <row r="11424" spans="1:2" x14ac:dyDescent="0.25">
      <c r="A11424" s="157">
        <v>38630</v>
      </c>
      <c r="B11424" s="158">
        <v>4.63</v>
      </c>
    </row>
    <row r="11425" spans="1:2" x14ac:dyDescent="0.25">
      <c r="A11425" s="157">
        <v>38631</v>
      </c>
      <c r="B11425" s="158">
        <v>4.6399999999999997</v>
      </c>
    </row>
    <row r="11426" spans="1:2" x14ac:dyDescent="0.25">
      <c r="A11426" s="157">
        <v>38632</v>
      </c>
      <c r="B11426" s="158">
        <v>4.62</v>
      </c>
    </row>
    <row r="11427" spans="1:2" x14ac:dyDescent="0.25">
      <c r="A11427" s="157">
        <v>38635</v>
      </c>
      <c r="B11427" s="158" t="e">
        <f>NA()</f>
        <v>#N/A</v>
      </c>
    </row>
    <row r="11428" spans="1:2" x14ac:dyDescent="0.25">
      <c r="A11428" s="157">
        <v>38636</v>
      </c>
      <c r="B11428" s="158">
        <v>4.6500000000000004</v>
      </c>
    </row>
    <row r="11429" spans="1:2" x14ac:dyDescent="0.25">
      <c r="A11429" s="157">
        <v>38637</v>
      </c>
      <c r="B11429" s="158">
        <v>4.71</v>
      </c>
    </row>
    <row r="11430" spans="1:2" x14ac:dyDescent="0.25">
      <c r="A11430" s="157">
        <v>38638</v>
      </c>
      <c r="B11430" s="158">
        <v>4.7699999999999996</v>
      </c>
    </row>
    <row r="11431" spans="1:2" x14ac:dyDescent="0.25">
      <c r="A11431" s="157">
        <v>38639</v>
      </c>
      <c r="B11431" s="158">
        <v>4.76</v>
      </c>
    </row>
    <row r="11432" spans="1:2" x14ac:dyDescent="0.25">
      <c r="A11432" s="157">
        <v>38642</v>
      </c>
      <c r="B11432" s="158">
        <v>4.7699999999999996</v>
      </c>
    </row>
    <row r="11433" spans="1:2" x14ac:dyDescent="0.25">
      <c r="A11433" s="157">
        <v>38643</v>
      </c>
      <c r="B11433" s="158">
        <v>4.78</v>
      </c>
    </row>
    <row r="11434" spans="1:2" x14ac:dyDescent="0.25">
      <c r="A11434" s="157">
        <v>38644</v>
      </c>
      <c r="B11434" s="158">
        <v>4.76</v>
      </c>
    </row>
    <row r="11435" spans="1:2" x14ac:dyDescent="0.25">
      <c r="A11435" s="157">
        <v>38645</v>
      </c>
      <c r="B11435" s="158">
        <v>4.75</v>
      </c>
    </row>
    <row r="11436" spans="1:2" x14ac:dyDescent="0.25">
      <c r="A11436" s="157">
        <v>38646</v>
      </c>
      <c r="B11436" s="158">
        <v>4.68</v>
      </c>
    </row>
    <row r="11437" spans="1:2" x14ac:dyDescent="0.25">
      <c r="A11437" s="157">
        <v>38649</v>
      </c>
      <c r="B11437" s="158">
        <v>4.74</v>
      </c>
    </row>
    <row r="11438" spans="1:2" x14ac:dyDescent="0.25">
      <c r="A11438" s="157">
        <v>38650</v>
      </c>
      <c r="B11438" s="158">
        <v>4.8</v>
      </c>
    </row>
    <row r="11439" spans="1:2" x14ac:dyDescent="0.25">
      <c r="A11439" s="157">
        <v>38651</v>
      </c>
      <c r="B11439" s="158">
        <v>4.87</v>
      </c>
    </row>
    <row r="11440" spans="1:2" x14ac:dyDescent="0.25">
      <c r="A11440" s="157">
        <v>38652</v>
      </c>
      <c r="B11440" s="158">
        <v>4.84</v>
      </c>
    </row>
    <row r="11441" spans="1:2" x14ac:dyDescent="0.25">
      <c r="A11441" s="157">
        <v>38653</v>
      </c>
      <c r="B11441" s="158">
        <v>4.84</v>
      </c>
    </row>
    <row r="11442" spans="1:2" x14ac:dyDescent="0.25">
      <c r="A11442" s="157">
        <v>38656</v>
      </c>
      <c r="B11442" s="158">
        <v>4.84</v>
      </c>
    </row>
    <row r="11443" spans="1:2" x14ac:dyDescent="0.25">
      <c r="A11443" s="157">
        <v>38657</v>
      </c>
      <c r="B11443" s="158">
        <v>4.8499999999999996</v>
      </c>
    </row>
    <row r="11444" spans="1:2" x14ac:dyDescent="0.25">
      <c r="A11444" s="157">
        <v>38658</v>
      </c>
      <c r="B11444" s="158">
        <v>4.88</v>
      </c>
    </row>
    <row r="11445" spans="1:2" x14ac:dyDescent="0.25">
      <c r="A11445" s="157">
        <v>38659</v>
      </c>
      <c r="B11445" s="158">
        <v>4.9400000000000004</v>
      </c>
    </row>
    <row r="11446" spans="1:2" x14ac:dyDescent="0.25">
      <c r="A11446" s="157">
        <v>38660</v>
      </c>
      <c r="B11446" s="158">
        <v>4.95</v>
      </c>
    </row>
    <row r="11447" spans="1:2" x14ac:dyDescent="0.25">
      <c r="A11447" s="157">
        <v>38663</v>
      </c>
      <c r="B11447" s="158">
        <v>4.93</v>
      </c>
    </row>
    <row r="11448" spans="1:2" x14ac:dyDescent="0.25">
      <c r="A11448" s="157">
        <v>38664</v>
      </c>
      <c r="B11448" s="158">
        <v>4.8600000000000003</v>
      </c>
    </row>
    <row r="11449" spans="1:2" x14ac:dyDescent="0.25">
      <c r="A11449" s="157">
        <v>38665</v>
      </c>
      <c r="B11449" s="158">
        <v>4.93</v>
      </c>
    </row>
    <row r="11450" spans="1:2" x14ac:dyDescent="0.25">
      <c r="A11450" s="157">
        <v>38666</v>
      </c>
      <c r="B11450" s="158">
        <v>4.8499999999999996</v>
      </c>
    </row>
    <row r="11451" spans="1:2" x14ac:dyDescent="0.25">
      <c r="A11451" s="157">
        <v>38667</v>
      </c>
      <c r="B11451" s="158" t="e">
        <f>NA()</f>
        <v>#N/A</v>
      </c>
    </row>
    <row r="11452" spans="1:2" x14ac:dyDescent="0.25">
      <c r="A11452" s="157">
        <v>38670</v>
      </c>
      <c r="B11452" s="158">
        <v>4.9000000000000004</v>
      </c>
    </row>
    <row r="11453" spans="1:2" x14ac:dyDescent="0.25">
      <c r="A11453" s="157">
        <v>38671</v>
      </c>
      <c r="B11453" s="158">
        <v>4.83</v>
      </c>
    </row>
    <row r="11454" spans="1:2" x14ac:dyDescent="0.25">
      <c r="A11454" s="157">
        <v>38672</v>
      </c>
      <c r="B11454" s="158">
        <v>4.7699999999999996</v>
      </c>
    </row>
    <row r="11455" spans="1:2" x14ac:dyDescent="0.25">
      <c r="A11455" s="157">
        <v>38673</v>
      </c>
      <c r="B11455" s="158">
        <v>4.75</v>
      </c>
    </row>
    <row r="11456" spans="1:2" x14ac:dyDescent="0.25">
      <c r="A11456" s="157">
        <v>38674</v>
      </c>
      <c r="B11456" s="158">
        <v>4.79</v>
      </c>
    </row>
    <row r="11457" spans="1:2" x14ac:dyDescent="0.25">
      <c r="A11457" s="157">
        <v>38677</v>
      </c>
      <c r="B11457" s="158">
        <v>4.76</v>
      </c>
    </row>
    <row r="11458" spans="1:2" x14ac:dyDescent="0.25">
      <c r="A11458" s="157">
        <v>38678</v>
      </c>
      <c r="B11458" s="158">
        <v>4.76</v>
      </c>
    </row>
    <row r="11459" spans="1:2" x14ac:dyDescent="0.25">
      <c r="A11459" s="157">
        <v>38679</v>
      </c>
      <c r="B11459" s="158">
        <v>4.8</v>
      </c>
    </row>
    <row r="11460" spans="1:2" x14ac:dyDescent="0.25">
      <c r="A11460" s="157">
        <v>38680</v>
      </c>
      <c r="B11460" s="158" t="e">
        <f>NA()</f>
        <v>#N/A</v>
      </c>
    </row>
    <row r="11461" spans="1:2" x14ac:dyDescent="0.25">
      <c r="A11461" s="157">
        <v>38681</v>
      </c>
      <c r="B11461" s="158">
        <v>4.76</v>
      </c>
    </row>
    <row r="11462" spans="1:2" x14ac:dyDescent="0.25">
      <c r="A11462" s="157">
        <v>38684</v>
      </c>
      <c r="B11462" s="158">
        <v>4.71</v>
      </c>
    </row>
    <row r="11463" spans="1:2" x14ac:dyDescent="0.25">
      <c r="A11463" s="157">
        <v>38685</v>
      </c>
      <c r="B11463" s="158">
        <v>4.78</v>
      </c>
    </row>
    <row r="11464" spans="1:2" x14ac:dyDescent="0.25">
      <c r="A11464" s="157">
        <v>38686</v>
      </c>
      <c r="B11464" s="158">
        <v>4.8099999999999996</v>
      </c>
    </row>
    <row r="11465" spans="1:2" x14ac:dyDescent="0.25">
      <c r="A11465" s="157">
        <v>38687</v>
      </c>
      <c r="B11465" s="158">
        <v>4.83</v>
      </c>
    </row>
    <row r="11466" spans="1:2" x14ac:dyDescent="0.25">
      <c r="A11466" s="157">
        <v>38688</v>
      </c>
      <c r="B11466" s="158">
        <v>4.8099999999999996</v>
      </c>
    </row>
    <row r="11467" spans="1:2" x14ac:dyDescent="0.25">
      <c r="A11467" s="157">
        <v>38691</v>
      </c>
      <c r="B11467" s="158">
        <v>4.8499999999999996</v>
      </c>
    </row>
    <row r="11468" spans="1:2" x14ac:dyDescent="0.25">
      <c r="A11468" s="157">
        <v>38692</v>
      </c>
      <c r="B11468" s="158">
        <v>4.79</v>
      </c>
    </row>
    <row r="11469" spans="1:2" x14ac:dyDescent="0.25">
      <c r="A11469" s="157">
        <v>38693</v>
      </c>
      <c r="B11469" s="158">
        <v>4.8</v>
      </c>
    </row>
    <row r="11470" spans="1:2" x14ac:dyDescent="0.25">
      <c r="A11470" s="157">
        <v>38694</v>
      </c>
      <c r="B11470" s="158">
        <v>4.75</v>
      </c>
    </row>
    <row r="11471" spans="1:2" x14ac:dyDescent="0.25">
      <c r="A11471" s="157">
        <v>38695</v>
      </c>
      <c r="B11471" s="158">
        <v>4.83</v>
      </c>
    </row>
    <row r="11472" spans="1:2" x14ac:dyDescent="0.25">
      <c r="A11472" s="157">
        <v>38698</v>
      </c>
      <c r="B11472" s="158">
        <v>4.82</v>
      </c>
    </row>
    <row r="11473" spans="1:2" x14ac:dyDescent="0.25">
      <c r="A11473" s="157">
        <v>38699</v>
      </c>
      <c r="B11473" s="158">
        <v>4.8099999999999996</v>
      </c>
    </row>
    <row r="11474" spans="1:2" x14ac:dyDescent="0.25">
      <c r="A11474" s="157">
        <v>38700</v>
      </c>
      <c r="B11474" s="158">
        <v>4.7300000000000004</v>
      </c>
    </row>
    <row r="11475" spans="1:2" x14ac:dyDescent="0.25">
      <c r="A11475" s="157">
        <v>38701</v>
      </c>
      <c r="B11475" s="158">
        <v>4.75</v>
      </c>
    </row>
    <row r="11476" spans="1:2" x14ac:dyDescent="0.25">
      <c r="A11476" s="157">
        <v>38702</v>
      </c>
      <c r="B11476" s="158">
        <v>4.72</v>
      </c>
    </row>
    <row r="11477" spans="1:2" x14ac:dyDescent="0.25">
      <c r="A11477" s="157">
        <v>38705</v>
      </c>
      <c r="B11477" s="158">
        <v>4.72</v>
      </c>
    </row>
    <row r="11478" spans="1:2" x14ac:dyDescent="0.25">
      <c r="A11478" s="157">
        <v>38706</v>
      </c>
      <c r="B11478" s="158">
        <v>4.74</v>
      </c>
    </row>
    <row r="11479" spans="1:2" x14ac:dyDescent="0.25">
      <c r="A11479" s="157">
        <v>38707</v>
      </c>
      <c r="B11479" s="158">
        <v>4.75</v>
      </c>
    </row>
    <row r="11480" spans="1:2" x14ac:dyDescent="0.25">
      <c r="A11480" s="157">
        <v>38708</v>
      </c>
      <c r="B11480" s="158">
        <v>4.6900000000000004</v>
      </c>
    </row>
    <row r="11481" spans="1:2" x14ac:dyDescent="0.25">
      <c r="A11481" s="157">
        <v>38709</v>
      </c>
      <c r="B11481" s="158">
        <v>4.63</v>
      </c>
    </row>
    <row r="11482" spans="1:2" x14ac:dyDescent="0.25">
      <c r="A11482" s="157">
        <v>38712</v>
      </c>
      <c r="B11482" s="158" t="e">
        <f>NA()</f>
        <v>#N/A</v>
      </c>
    </row>
    <row r="11483" spans="1:2" x14ac:dyDescent="0.25">
      <c r="A11483" s="157">
        <v>38713</v>
      </c>
      <c r="B11483" s="158">
        <v>4.58</v>
      </c>
    </row>
    <row r="11484" spans="1:2" x14ac:dyDescent="0.25">
      <c r="A11484" s="157">
        <v>38714</v>
      </c>
      <c r="B11484" s="158">
        <v>4.62</v>
      </c>
    </row>
    <row r="11485" spans="1:2" x14ac:dyDescent="0.25">
      <c r="A11485" s="157">
        <v>38715</v>
      </c>
      <c r="B11485" s="158">
        <v>4.5999999999999996</v>
      </c>
    </row>
    <row r="11486" spans="1:2" x14ac:dyDescent="0.25">
      <c r="A11486" s="157">
        <v>38716</v>
      </c>
      <c r="B11486" s="158">
        <v>4.6100000000000003</v>
      </c>
    </row>
    <row r="11487" spans="1:2" x14ac:dyDescent="0.25">
      <c r="A11487" s="157">
        <v>38719</v>
      </c>
      <c r="B11487" s="158" t="e">
        <f>NA()</f>
        <v>#N/A</v>
      </c>
    </row>
    <row r="11488" spans="1:2" x14ac:dyDescent="0.25">
      <c r="A11488" s="157">
        <v>38720</v>
      </c>
      <c r="B11488" s="158">
        <v>4.62</v>
      </c>
    </row>
    <row r="11489" spans="1:2" x14ac:dyDescent="0.25">
      <c r="A11489" s="157">
        <v>38721</v>
      </c>
      <c r="B11489" s="158">
        <v>4.5999999999999996</v>
      </c>
    </row>
    <row r="11490" spans="1:2" x14ac:dyDescent="0.25">
      <c r="A11490" s="157">
        <v>38722</v>
      </c>
      <c r="B11490" s="158">
        <v>4.6100000000000003</v>
      </c>
    </row>
    <row r="11491" spans="1:2" x14ac:dyDescent="0.25">
      <c r="A11491" s="157">
        <v>38723</v>
      </c>
      <c r="B11491" s="158">
        <v>4.63</v>
      </c>
    </row>
    <row r="11492" spans="1:2" x14ac:dyDescent="0.25">
      <c r="A11492" s="157">
        <v>38726</v>
      </c>
      <c r="B11492" s="158">
        <v>4.63</v>
      </c>
    </row>
    <row r="11493" spans="1:2" x14ac:dyDescent="0.25">
      <c r="A11493" s="157">
        <v>38727</v>
      </c>
      <c r="B11493" s="158">
        <v>4.68</v>
      </c>
    </row>
    <row r="11494" spans="1:2" x14ac:dyDescent="0.25">
      <c r="A11494" s="157">
        <v>38728</v>
      </c>
      <c r="B11494" s="158">
        <v>4.7</v>
      </c>
    </row>
    <row r="11495" spans="1:2" x14ac:dyDescent="0.25">
      <c r="A11495" s="157">
        <v>38729</v>
      </c>
      <c r="B11495" s="158">
        <v>4.66</v>
      </c>
    </row>
    <row r="11496" spans="1:2" x14ac:dyDescent="0.25">
      <c r="A11496" s="157">
        <v>38730</v>
      </c>
      <c r="B11496" s="158">
        <v>4.59</v>
      </c>
    </row>
    <row r="11497" spans="1:2" x14ac:dyDescent="0.25">
      <c r="A11497" s="157">
        <v>38733</v>
      </c>
      <c r="B11497" s="158" t="e">
        <f>NA()</f>
        <v>#N/A</v>
      </c>
    </row>
    <row r="11498" spans="1:2" x14ac:dyDescent="0.25">
      <c r="A11498" s="157">
        <v>38734</v>
      </c>
      <c r="B11498" s="158">
        <v>4.57</v>
      </c>
    </row>
    <row r="11499" spans="1:2" x14ac:dyDescent="0.25">
      <c r="A11499" s="157">
        <v>38735</v>
      </c>
      <c r="B11499" s="158">
        <v>4.58</v>
      </c>
    </row>
    <row r="11500" spans="1:2" x14ac:dyDescent="0.25">
      <c r="A11500" s="157">
        <v>38736</v>
      </c>
      <c r="B11500" s="158">
        <v>4.6100000000000003</v>
      </c>
    </row>
    <row r="11501" spans="1:2" x14ac:dyDescent="0.25">
      <c r="A11501" s="157">
        <v>38737</v>
      </c>
      <c r="B11501" s="158">
        <v>4.59</v>
      </c>
    </row>
    <row r="11502" spans="1:2" x14ac:dyDescent="0.25">
      <c r="A11502" s="157">
        <v>38740</v>
      </c>
      <c r="B11502" s="158">
        <v>4.59</v>
      </c>
    </row>
    <row r="11503" spans="1:2" x14ac:dyDescent="0.25">
      <c r="A11503" s="157">
        <v>38741</v>
      </c>
      <c r="B11503" s="158">
        <v>4.63</v>
      </c>
    </row>
    <row r="11504" spans="1:2" x14ac:dyDescent="0.25">
      <c r="A11504" s="157">
        <v>38742</v>
      </c>
      <c r="B11504" s="158">
        <v>4.72</v>
      </c>
    </row>
    <row r="11505" spans="1:2" x14ac:dyDescent="0.25">
      <c r="A11505" s="157">
        <v>38743</v>
      </c>
      <c r="B11505" s="158">
        <v>4.76</v>
      </c>
    </row>
    <row r="11506" spans="1:2" x14ac:dyDescent="0.25">
      <c r="A11506" s="157">
        <v>38744</v>
      </c>
      <c r="B11506" s="158">
        <v>4.75</v>
      </c>
    </row>
    <row r="11507" spans="1:2" x14ac:dyDescent="0.25">
      <c r="A11507" s="157">
        <v>38747</v>
      </c>
      <c r="B11507" s="158">
        <v>4.7699999999999996</v>
      </c>
    </row>
    <row r="11508" spans="1:2" x14ac:dyDescent="0.25">
      <c r="A11508" s="157">
        <v>38748</v>
      </c>
      <c r="B11508" s="158">
        <v>4.74</v>
      </c>
    </row>
    <row r="11509" spans="1:2" x14ac:dyDescent="0.25">
      <c r="A11509" s="157">
        <v>38749</v>
      </c>
      <c r="B11509" s="158">
        <v>4.7699999999999996</v>
      </c>
    </row>
    <row r="11510" spans="1:2" x14ac:dyDescent="0.25">
      <c r="A11510" s="157">
        <v>38750</v>
      </c>
      <c r="B11510" s="158">
        <v>4.76</v>
      </c>
    </row>
    <row r="11511" spans="1:2" x14ac:dyDescent="0.25">
      <c r="A11511" s="157">
        <v>38751</v>
      </c>
      <c r="B11511" s="158">
        <v>4.7</v>
      </c>
    </row>
    <row r="11512" spans="1:2" x14ac:dyDescent="0.25">
      <c r="A11512" s="157">
        <v>38754</v>
      </c>
      <c r="B11512" s="158">
        <v>4.6900000000000004</v>
      </c>
    </row>
    <row r="11513" spans="1:2" x14ac:dyDescent="0.25">
      <c r="A11513" s="157">
        <v>38755</v>
      </c>
      <c r="B11513" s="158">
        <v>4.7300000000000004</v>
      </c>
    </row>
    <row r="11514" spans="1:2" x14ac:dyDescent="0.25">
      <c r="A11514" s="157">
        <v>38756</v>
      </c>
      <c r="B11514" s="158">
        <v>4.75</v>
      </c>
    </row>
    <row r="11515" spans="1:2" x14ac:dyDescent="0.25">
      <c r="A11515" s="157">
        <v>38757</v>
      </c>
      <c r="B11515" s="158">
        <v>4.72</v>
      </c>
    </row>
    <row r="11516" spans="1:2" x14ac:dyDescent="0.25">
      <c r="A11516" s="157">
        <v>38758</v>
      </c>
      <c r="B11516" s="158">
        <v>4.76</v>
      </c>
    </row>
    <row r="11517" spans="1:2" x14ac:dyDescent="0.25">
      <c r="A11517" s="157">
        <v>38761</v>
      </c>
      <c r="B11517" s="158">
        <v>4.76</v>
      </c>
    </row>
    <row r="11518" spans="1:2" x14ac:dyDescent="0.25">
      <c r="A11518" s="157">
        <v>38762</v>
      </c>
      <c r="B11518" s="158">
        <v>4.8</v>
      </c>
    </row>
    <row r="11519" spans="1:2" x14ac:dyDescent="0.25">
      <c r="A11519" s="157">
        <v>38763</v>
      </c>
      <c r="B11519" s="158">
        <v>4.78</v>
      </c>
    </row>
    <row r="11520" spans="1:2" x14ac:dyDescent="0.25">
      <c r="A11520" s="157">
        <v>38764</v>
      </c>
      <c r="B11520" s="158">
        <v>4.7699999999999996</v>
      </c>
    </row>
    <row r="11521" spans="1:2" x14ac:dyDescent="0.25">
      <c r="A11521" s="157">
        <v>38765</v>
      </c>
      <c r="B11521" s="158">
        <v>4.71</v>
      </c>
    </row>
    <row r="11522" spans="1:2" x14ac:dyDescent="0.25">
      <c r="A11522" s="157">
        <v>38768</v>
      </c>
      <c r="B11522" s="158" t="e">
        <f>NA()</f>
        <v>#N/A</v>
      </c>
    </row>
    <row r="11523" spans="1:2" x14ac:dyDescent="0.25">
      <c r="A11523" s="157">
        <v>38769</v>
      </c>
      <c r="B11523" s="158">
        <v>4.72</v>
      </c>
    </row>
    <row r="11524" spans="1:2" x14ac:dyDescent="0.25">
      <c r="A11524" s="157">
        <v>38770</v>
      </c>
      <c r="B11524" s="158">
        <v>4.68</v>
      </c>
    </row>
    <row r="11525" spans="1:2" x14ac:dyDescent="0.25">
      <c r="A11525" s="157">
        <v>38771</v>
      </c>
      <c r="B11525" s="158">
        <v>4.7</v>
      </c>
    </row>
    <row r="11526" spans="1:2" x14ac:dyDescent="0.25">
      <c r="A11526" s="157">
        <v>38772</v>
      </c>
      <c r="B11526" s="158">
        <v>4.71</v>
      </c>
    </row>
    <row r="11527" spans="1:2" x14ac:dyDescent="0.25">
      <c r="A11527" s="157">
        <v>38775</v>
      </c>
      <c r="B11527" s="158">
        <v>4.74</v>
      </c>
    </row>
    <row r="11528" spans="1:2" x14ac:dyDescent="0.25">
      <c r="A11528" s="157">
        <v>38776</v>
      </c>
      <c r="B11528" s="158">
        <v>4.7</v>
      </c>
    </row>
    <row r="11529" spans="1:2" x14ac:dyDescent="0.25">
      <c r="A11529" s="157">
        <v>38777</v>
      </c>
      <c r="B11529" s="158">
        <v>4.74</v>
      </c>
    </row>
    <row r="11530" spans="1:2" x14ac:dyDescent="0.25">
      <c r="A11530" s="157">
        <v>38778</v>
      </c>
      <c r="B11530" s="158">
        <v>4.8</v>
      </c>
    </row>
    <row r="11531" spans="1:2" x14ac:dyDescent="0.25">
      <c r="A11531" s="157">
        <v>38779</v>
      </c>
      <c r="B11531" s="158">
        <v>4.84</v>
      </c>
    </row>
    <row r="11532" spans="1:2" x14ac:dyDescent="0.25">
      <c r="A11532" s="157">
        <v>38782</v>
      </c>
      <c r="B11532" s="158">
        <v>4.91</v>
      </c>
    </row>
    <row r="11533" spans="1:2" x14ac:dyDescent="0.25">
      <c r="A11533" s="157">
        <v>38783</v>
      </c>
      <c r="B11533" s="158">
        <v>4.91</v>
      </c>
    </row>
    <row r="11534" spans="1:2" x14ac:dyDescent="0.25">
      <c r="A11534" s="157">
        <v>38784</v>
      </c>
      <c r="B11534" s="158">
        <v>4.91</v>
      </c>
    </row>
    <row r="11535" spans="1:2" x14ac:dyDescent="0.25">
      <c r="A11535" s="157">
        <v>38785</v>
      </c>
      <c r="B11535" s="158">
        <v>4.91</v>
      </c>
    </row>
    <row r="11536" spans="1:2" x14ac:dyDescent="0.25">
      <c r="A11536" s="157">
        <v>38786</v>
      </c>
      <c r="B11536" s="158">
        <v>4.93</v>
      </c>
    </row>
    <row r="11537" spans="1:2" x14ac:dyDescent="0.25">
      <c r="A11537" s="157">
        <v>38789</v>
      </c>
      <c r="B11537" s="158">
        <v>4.95</v>
      </c>
    </row>
    <row r="11538" spans="1:2" x14ac:dyDescent="0.25">
      <c r="A11538" s="157">
        <v>38790</v>
      </c>
      <c r="B11538" s="158">
        <v>4.8899999999999997</v>
      </c>
    </row>
    <row r="11539" spans="1:2" x14ac:dyDescent="0.25">
      <c r="A11539" s="157">
        <v>38791</v>
      </c>
      <c r="B11539" s="158">
        <v>4.93</v>
      </c>
    </row>
    <row r="11540" spans="1:2" x14ac:dyDescent="0.25">
      <c r="A11540" s="157">
        <v>38792</v>
      </c>
      <c r="B11540" s="158">
        <v>4.8600000000000003</v>
      </c>
    </row>
    <row r="11541" spans="1:2" x14ac:dyDescent="0.25">
      <c r="A11541" s="157">
        <v>38793</v>
      </c>
      <c r="B11541" s="158">
        <v>4.8899999999999997</v>
      </c>
    </row>
    <row r="11542" spans="1:2" x14ac:dyDescent="0.25">
      <c r="A11542" s="157">
        <v>38796</v>
      </c>
      <c r="B11542" s="158">
        <v>4.87</v>
      </c>
    </row>
    <row r="11543" spans="1:2" x14ac:dyDescent="0.25">
      <c r="A11543" s="157">
        <v>38797</v>
      </c>
      <c r="B11543" s="158">
        <v>4.91</v>
      </c>
    </row>
    <row r="11544" spans="1:2" x14ac:dyDescent="0.25">
      <c r="A11544" s="157">
        <v>38798</v>
      </c>
      <c r="B11544" s="158">
        <v>4.91</v>
      </c>
    </row>
    <row r="11545" spans="1:2" x14ac:dyDescent="0.25">
      <c r="A11545" s="157">
        <v>38799</v>
      </c>
      <c r="B11545" s="158">
        <v>4.93</v>
      </c>
    </row>
    <row r="11546" spans="1:2" x14ac:dyDescent="0.25">
      <c r="A11546" s="157">
        <v>38800</v>
      </c>
      <c r="B11546" s="158">
        <v>4.87</v>
      </c>
    </row>
    <row r="11547" spans="1:2" x14ac:dyDescent="0.25">
      <c r="A11547" s="157">
        <v>38803</v>
      </c>
      <c r="B11547" s="158">
        <v>4.91</v>
      </c>
    </row>
    <row r="11548" spans="1:2" x14ac:dyDescent="0.25">
      <c r="A11548" s="157">
        <v>38804</v>
      </c>
      <c r="B11548" s="158">
        <v>4.9800000000000004</v>
      </c>
    </row>
    <row r="11549" spans="1:2" x14ac:dyDescent="0.25">
      <c r="A11549" s="157">
        <v>38805</v>
      </c>
      <c r="B11549" s="158">
        <v>5.0199999999999996</v>
      </c>
    </row>
    <row r="11550" spans="1:2" x14ac:dyDescent="0.25">
      <c r="A11550" s="157">
        <v>38806</v>
      </c>
      <c r="B11550" s="158">
        <v>5.07</v>
      </c>
    </row>
    <row r="11551" spans="1:2" x14ac:dyDescent="0.25">
      <c r="A11551" s="157">
        <v>38807</v>
      </c>
      <c r="B11551" s="158">
        <v>5.07</v>
      </c>
    </row>
    <row r="11552" spans="1:2" x14ac:dyDescent="0.25">
      <c r="A11552" s="157">
        <v>38810</v>
      </c>
      <c r="B11552" s="158">
        <v>5.08</v>
      </c>
    </row>
    <row r="11553" spans="1:2" x14ac:dyDescent="0.25">
      <c r="A11553" s="157">
        <v>38811</v>
      </c>
      <c r="B11553" s="158">
        <v>5.09</v>
      </c>
    </row>
    <row r="11554" spans="1:2" x14ac:dyDescent="0.25">
      <c r="A11554" s="157">
        <v>38812</v>
      </c>
      <c r="B11554" s="158">
        <v>5.07</v>
      </c>
    </row>
    <row r="11555" spans="1:2" x14ac:dyDescent="0.25">
      <c r="A11555" s="157">
        <v>38813</v>
      </c>
      <c r="B11555" s="158">
        <v>5.13</v>
      </c>
    </row>
    <row r="11556" spans="1:2" x14ac:dyDescent="0.25">
      <c r="A11556" s="157">
        <v>38814</v>
      </c>
      <c r="B11556" s="158">
        <v>5.2</v>
      </c>
    </row>
    <row r="11557" spans="1:2" x14ac:dyDescent="0.25">
      <c r="A11557" s="157">
        <v>38817</v>
      </c>
      <c r="B11557" s="158">
        <v>5.21</v>
      </c>
    </row>
    <row r="11558" spans="1:2" x14ac:dyDescent="0.25">
      <c r="A11558" s="157">
        <v>38818</v>
      </c>
      <c r="B11558" s="158">
        <v>5.17</v>
      </c>
    </row>
    <row r="11559" spans="1:2" x14ac:dyDescent="0.25">
      <c r="A11559" s="157">
        <v>38819</v>
      </c>
      <c r="B11559" s="158">
        <v>5.22</v>
      </c>
    </row>
    <row r="11560" spans="1:2" x14ac:dyDescent="0.25">
      <c r="A11560" s="157">
        <v>38820</v>
      </c>
      <c r="B11560" s="158">
        <v>5.28</v>
      </c>
    </row>
    <row r="11561" spans="1:2" x14ac:dyDescent="0.25">
      <c r="A11561" s="157">
        <v>38821</v>
      </c>
      <c r="B11561" s="158" t="e">
        <f>NA()</f>
        <v>#N/A</v>
      </c>
    </row>
    <row r="11562" spans="1:2" x14ac:dyDescent="0.25">
      <c r="A11562" s="157">
        <v>38824</v>
      </c>
      <c r="B11562" s="158">
        <v>5.25</v>
      </c>
    </row>
    <row r="11563" spans="1:2" x14ac:dyDescent="0.25">
      <c r="A11563" s="157">
        <v>38825</v>
      </c>
      <c r="B11563" s="158">
        <v>5.23</v>
      </c>
    </row>
    <row r="11564" spans="1:2" x14ac:dyDescent="0.25">
      <c r="A11564" s="157">
        <v>38826</v>
      </c>
      <c r="B11564" s="158">
        <v>5.29</v>
      </c>
    </row>
    <row r="11565" spans="1:2" x14ac:dyDescent="0.25">
      <c r="A11565" s="157">
        <v>38827</v>
      </c>
      <c r="B11565" s="158">
        <v>5.29</v>
      </c>
    </row>
    <row r="11566" spans="1:2" x14ac:dyDescent="0.25">
      <c r="A11566" s="157">
        <v>38828</v>
      </c>
      <c r="B11566" s="158">
        <v>5.25</v>
      </c>
    </row>
    <row r="11567" spans="1:2" x14ac:dyDescent="0.25">
      <c r="A11567" s="157">
        <v>38831</v>
      </c>
      <c r="B11567" s="158">
        <v>5.22</v>
      </c>
    </row>
    <row r="11568" spans="1:2" x14ac:dyDescent="0.25">
      <c r="A11568" s="157">
        <v>38832</v>
      </c>
      <c r="B11568" s="158">
        <v>5.31</v>
      </c>
    </row>
    <row r="11569" spans="1:2" x14ac:dyDescent="0.25">
      <c r="A11569" s="157">
        <v>38833</v>
      </c>
      <c r="B11569" s="158">
        <v>5.34</v>
      </c>
    </row>
    <row r="11570" spans="1:2" x14ac:dyDescent="0.25">
      <c r="A11570" s="157">
        <v>38834</v>
      </c>
      <c r="B11570" s="158">
        <v>5.32</v>
      </c>
    </row>
    <row r="11571" spans="1:2" x14ac:dyDescent="0.25">
      <c r="A11571" s="157">
        <v>38835</v>
      </c>
      <c r="B11571" s="158">
        <v>5.31</v>
      </c>
    </row>
    <row r="11572" spans="1:2" x14ac:dyDescent="0.25">
      <c r="A11572" s="157">
        <v>38838</v>
      </c>
      <c r="B11572" s="158">
        <v>5.38</v>
      </c>
    </row>
    <row r="11573" spans="1:2" x14ac:dyDescent="0.25">
      <c r="A11573" s="157">
        <v>38839</v>
      </c>
      <c r="B11573" s="158">
        <v>5.35</v>
      </c>
    </row>
    <row r="11574" spans="1:2" x14ac:dyDescent="0.25">
      <c r="A11574" s="157">
        <v>38840</v>
      </c>
      <c r="B11574" s="158">
        <v>5.38</v>
      </c>
    </row>
    <row r="11575" spans="1:2" x14ac:dyDescent="0.25">
      <c r="A11575" s="157">
        <v>38841</v>
      </c>
      <c r="B11575" s="158">
        <v>5.38</v>
      </c>
    </row>
    <row r="11576" spans="1:2" x14ac:dyDescent="0.25">
      <c r="A11576" s="157">
        <v>38842</v>
      </c>
      <c r="B11576" s="158">
        <v>5.35</v>
      </c>
    </row>
    <row r="11577" spans="1:2" x14ac:dyDescent="0.25">
      <c r="A11577" s="157">
        <v>38845</v>
      </c>
      <c r="B11577" s="158">
        <v>5.34</v>
      </c>
    </row>
    <row r="11578" spans="1:2" x14ac:dyDescent="0.25">
      <c r="A11578" s="157">
        <v>38846</v>
      </c>
      <c r="B11578" s="158">
        <v>5.35</v>
      </c>
    </row>
    <row r="11579" spans="1:2" x14ac:dyDescent="0.25">
      <c r="A11579" s="157">
        <v>38847</v>
      </c>
      <c r="B11579" s="158">
        <v>5.34</v>
      </c>
    </row>
    <row r="11580" spans="1:2" x14ac:dyDescent="0.25">
      <c r="A11580" s="157">
        <v>38848</v>
      </c>
      <c r="B11580" s="158">
        <v>5.38</v>
      </c>
    </row>
    <row r="11581" spans="1:2" x14ac:dyDescent="0.25">
      <c r="A11581" s="157">
        <v>38849</v>
      </c>
      <c r="B11581" s="158">
        <v>5.44</v>
      </c>
    </row>
    <row r="11582" spans="1:2" x14ac:dyDescent="0.25">
      <c r="A11582" s="157">
        <v>38852</v>
      </c>
      <c r="B11582" s="158">
        <v>5.41</v>
      </c>
    </row>
    <row r="11583" spans="1:2" x14ac:dyDescent="0.25">
      <c r="A11583" s="157">
        <v>38853</v>
      </c>
      <c r="B11583" s="158">
        <v>5.36</v>
      </c>
    </row>
    <row r="11584" spans="1:2" x14ac:dyDescent="0.25">
      <c r="A11584" s="157">
        <v>38854</v>
      </c>
      <c r="B11584" s="158">
        <v>5.42</v>
      </c>
    </row>
    <row r="11585" spans="1:2" x14ac:dyDescent="0.25">
      <c r="A11585" s="157">
        <v>38855</v>
      </c>
      <c r="B11585" s="158">
        <v>5.32</v>
      </c>
    </row>
    <row r="11586" spans="1:2" x14ac:dyDescent="0.25">
      <c r="A11586" s="157">
        <v>38856</v>
      </c>
      <c r="B11586" s="158">
        <v>5.28</v>
      </c>
    </row>
    <row r="11587" spans="1:2" x14ac:dyDescent="0.25">
      <c r="A11587" s="157">
        <v>38859</v>
      </c>
      <c r="B11587" s="158">
        <v>5.28</v>
      </c>
    </row>
    <row r="11588" spans="1:2" x14ac:dyDescent="0.25">
      <c r="A11588" s="157">
        <v>38860</v>
      </c>
      <c r="B11588" s="158">
        <v>5.3</v>
      </c>
    </row>
    <row r="11589" spans="1:2" x14ac:dyDescent="0.25">
      <c r="A11589" s="157">
        <v>38861</v>
      </c>
      <c r="B11589" s="158">
        <v>5.27</v>
      </c>
    </row>
    <row r="11590" spans="1:2" x14ac:dyDescent="0.25">
      <c r="A11590" s="157">
        <v>38862</v>
      </c>
      <c r="B11590" s="158">
        <v>5.31</v>
      </c>
    </row>
    <row r="11591" spans="1:2" x14ac:dyDescent="0.25">
      <c r="A11591" s="157">
        <v>38863</v>
      </c>
      <c r="B11591" s="158">
        <v>5.3</v>
      </c>
    </row>
    <row r="11592" spans="1:2" x14ac:dyDescent="0.25">
      <c r="A11592" s="157">
        <v>38866</v>
      </c>
      <c r="B11592" s="158" t="e">
        <f>NA()</f>
        <v>#N/A</v>
      </c>
    </row>
    <row r="11593" spans="1:2" x14ac:dyDescent="0.25">
      <c r="A11593" s="157">
        <v>38867</v>
      </c>
      <c r="B11593" s="158">
        <v>5.33</v>
      </c>
    </row>
    <row r="11594" spans="1:2" x14ac:dyDescent="0.25">
      <c r="A11594" s="157">
        <v>38868</v>
      </c>
      <c r="B11594" s="158">
        <v>5.35</v>
      </c>
    </row>
    <row r="11595" spans="1:2" x14ac:dyDescent="0.25">
      <c r="A11595" s="157">
        <v>38869</v>
      </c>
      <c r="B11595" s="158">
        <v>5.34</v>
      </c>
    </row>
    <row r="11596" spans="1:2" x14ac:dyDescent="0.25">
      <c r="A11596" s="157">
        <v>38870</v>
      </c>
      <c r="B11596" s="158">
        <v>5.24</v>
      </c>
    </row>
    <row r="11597" spans="1:2" x14ac:dyDescent="0.25">
      <c r="A11597" s="157">
        <v>38873</v>
      </c>
      <c r="B11597" s="158">
        <v>5.24</v>
      </c>
    </row>
    <row r="11598" spans="1:2" x14ac:dyDescent="0.25">
      <c r="A11598" s="157">
        <v>38874</v>
      </c>
      <c r="B11598" s="158">
        <v>5.22</v>
      </c>
    </row>
    <row r="11599" spans="1:2" x14ac:dyDescent="0.25">
      <c r="A11599" s="157">
        <v>38875</v>
      </c>
      <c r="B11599" s="158">
        <v>5.23</v>
      </c>
    </row>
    <row r="11600" spans="1:2" x14ac:dyDescent="0.25">
      <c r="A11600" s="157">
        <v>38876</v>
      </c>
      <c r="B11600" s="158">
        <v>5.2</v>
      </c>
    </row>
    <row r="11601" spans="1:2" x14ac:dyDescent="0.25">
      <c r="A11601" s="157">
        <v>38877</v>
      </c>
      <c r="B11601" s="158">
        <v>5.17</v>
      </c>
    </row>
    <row r="11602" spans="1:2" x14ac:dyDescent="0.25">
      <c r="A11602" s="157">
        <v>38880</v>
      </c>
      <c r="B11602" s="158">
        <v>5.17</v>
      </c>
    </row>
    <row r="11603" spans="1:2" x14ac:dyDescent="0.25">
      <c r="A11603" s="157">
        <v>38881</v>
      </c>
      <c r="B11603" s="158">
        <v>5.15</v>
      </c>
    </row>
    <row r="11604" spans="1:2" x14ac:dyDescent="0.25">
      <c r="A11604" s="157">
        <v>38882</v>
      </c>
      <c r="B11604" s="158">
        <v>5.23</v>
      </c>
    </row>
    <row r="11605" spans="1:2" x14ac:dyDescent="0.25">
      <c r="A11605" s="157">
        <v>38883</v>
      </c>
      <c r="B11605" s="158">
        <v>5.27</v>
      </c>
    </row>
    <row r="11606" spans="1:2" x14ac:dyDescent="0.25">
      <c r="A11606" s="157">
        <v>38884</v>
      </c>
      <c r="B11606" s="158">
        <v>5.31</v>
      </c>
    </row>
    <row r="11607" spans="1:2" x14ac:dyDescent="0.25">
      <c r="A11607" s="157">
        <v>38887</v>
      </c>
      <c r="B11607" s="158">
        <v>5.32</v>
      </c>
    </row>
    <row r="11608" spans="1:2" x14ac:dyDescent="0.25">
      <c r="A11608" s="157">
        <v>38888</v>
      </c>
      <c r="B11608" s="158">
        <v>5.33</v>
      </c>
    </row>
    <row r="11609" spans="1:2" x14ac:dyDescent="0.25">
      <c r="A11609" s="157">
        <v>38889</v>
      </c>
      <c r="B11609" s="158">
        <v>5.32</v>
      </c>
    </row>
    <row r="11610" spans="1:2" x14ac:dyDescent="0.25">
      <c r="A11610" s="157">
        <v>38890</v>
      </c>
      <c r="B11610" s="158">
        <v>5.37</v>
      </c>
    </row>
    <row r="11611" spans="1:2" x14ac:dyDescent="0.25">
      <c r="A11611" s="157">
        <v>38891</v>
      </c>
      <c r="B11611" s="158">
        <v>5.4</v>
      </c>
    </row>
    <row r="11612" spans="1:2" x14ac:dyDescent="0.25">
      <c r="A11612" s="157">
        <v>38894</v>
      </c>
      <c r="B11612" s="158">
        <v>5.42</v>
      </c>
    </row>
    <row r="11613" spans="1:2" x14ac:dyDescent="0.25">
      <c r="A11613" s="157">
        <v>38895</v>
      </c>
      <c r="B11613" s="158">
        <v>5.38</v>
      </c>
    </row>
    <row r="11614" spans="1:2" x14ac:dyDescent="0.25">
      <c r="A11614" s="157">
        <v>38896</v>
      </c>
      <c r="B11614" s="158">
        <v>5.42</v>
      </c>
    </row>
    <row r="11615" spans="1:2" x14ac:dyDescent="0.25">
      <c r="A11615" s="157">
        <v>38897</v>
      </c>
      <c r="B11615" s="158">
        <v>5.39</v>
      </c>
    </row>
    <row r="11616" spans="1:2" x14ac:dyDescent="0.25">
      <c r="A11616" s="157">
        <v>38898</v>
      </c>
      <c r="B11616" s="158">
        <v>5.31</v>
      </c>
    </row>
    <row r="11617" spans="1:2" x14ac:dyDescent="0.25">
      <c r="A11617" s="157">
        <v>38901</v>
      </c>
      <c r="B11617" s="158">
        <v>5.33</v>
      </c>
    </row>
    <row r="11618" spans="1:2" x14ac:dyDescent="0.25">
      <c r="A11618" s="157">
        <v>38902</v>
      </c>
      <c r="B11618" s="158" t="e">
        <f>NA()</f>
        <v>#N/A</v>
      </c>
    </row>
    <row r="11619" spans="1:2" x14ac:dyDescent="0.25">
      <c r="A11619" s="157">
        <v>38903</v>
      </c>
      <c r="B11619" s="158">
        <v>5.39</v>
      </c>
    </row>
    <row r="11620" spans="1:2" x14ac:dyDescent="0.25">
      <c r="A11620" s="157">
        <v>38904</v>
      </c>
      <c r="B11620" s="158">
        <v>5.35</v>
      </c>
    </row>
    <row r="11621" spans="1:2" x14ac:dyDescent="0.25">
      <c r="A11621" s="157">
        <v>38905</v>
      </c>
      <c r="B11621" s="158">
        <v>5.29</v>
      </c>
    </row>
    <row r="11622" spans="1:2" x14ac:dyDescent="0.25">
      <c r="A11622" s="157">
        <v>38908</v>
      </c>
      <c r="B11622" s="158">
        <v>5.29</v>
      </c>
    </row>
    <row r="11623" spans="1:2" x14ac:dyDescent="0.25">
      <c r="A11623" s="157">
        <v>38909</v>
      </c>
      <c r="B11623" s="158">
        <v>5.26</v>
      </c>
    </row>
    <row r="11624" spans="1:2" x14ac:dyDescent="0.25">
      <c r="A11624" s="157">
        <v>38910</v>
      </c>
      <c r="B11624" s="158">
        <v>5.26</v>
      </c>
    </row>
    <row r="11625" spans="1:2" x14ac:dyDescent="0.25">
      <c r="A11625" s="157">
        <v>38911</v>
      </c>
      <c r="B11625" s="158">
        <v>5.23</v>
      </c>
    </row>
    <row r="11626" spans="1:2" x14ac:dyDescent="0.25">
      <c r="A11626" s="157">
        <v>38912</v>
      </c>
      <c r="B11626" s="158">
        <v>5.23</v>
      </c>
    </row>
    <row r="11627" spans="1:2" x14ac:dyDescent="0.25">
      <c r="A11627" s="157">
        <v>38915</v>
      </c>
      <c r="B11627" s="158">
        <v>5.23</v>
      </c>
    </row>
    <row r="11628" spans="1:2" x14ac:dyDescent="0.25">
      <c r="A11628" s="157">
        <v>38916</v>
      </c>
      <c r="B11628" s="158">
        <v>5.29</v>
      </c>
    </row>
    <row r="11629" spans="1:2" x14ac:dyDescent="0.25">
      <c r="A11629" s="157">
        <v>38917</v>
      </c>
      <c r="B11629" s="158">
        <v>5.22</v>
      </c>
    </row>
    <row r="11630" spans="1:2" x14ac:dyDescent="0.25">
      <c r="A11630" s="157">
        <v>38918</v>
      </c>
      <c r="B11630" s="158">
        <v>5.2</v>
      </c>
    </row>
    <row r="11631" spans="1:2" x14ac:dyDescent="0.25">
      <c r="A11631" s="157">
        <v>38919</v>
      </c>
      <c r="B11631" s="158">
        <v>5.21</v>
      </c>
    </row>
    <row r="11632" spans="1:2" x14ac:dyDescent="0.25">
      <c r="A11632" s="157">
        <v>38922</v>
      </c>
      <c r="B11632" s="158">
        <v>5.22</v>
      </c>
    </row>
    <row r="11633" spans="1:2" x14ac:dyDescent="0.25">
      <c r="A11633" s="157">
        <v>38923</v>
      </c>
      <c r="B11633" s="158">
        <v>5.24</v>
      </c>
    </row>
    <row r="11634" spans="1:2" x14ac:dyDescent="0.25">
      <c r="A11634" s="157">
        <v>38924</v>
      </c>
      <c r="B11634" s="158">
        <v>5.22</v>
      </c>
    </row>
    <row r="11635" spans="1:2" x14ac:dyDescent="0.25">
      <c r="A11635" s="157">
        <v>38925</v>
      </c>
      <c r="B11635" s="158">
        <v>5.22</v>
      </c>
    </row>
    <row r="11636" spans="1:2" x14ac:dyDescent="0.25">
      <c r="A11636" s="157">
        <v>38926</v>
      </c>
      <c r="B11636" s="158">
        <v>5.17</v>
      </c>
    </row>
    <row r="11637" spans="1:2" x14ac:dyDescent="0.25">
      <c r="A11637" s="157">
        <v>38929</v>
      </c>
      <c r="B11637" s="158">
        <v>5.17</v>
      </c>
    </row>
    <row r="11638" spans="1:2" x14ac:dyDescent="0.25">
      <c r="A11638" s="157">
        <v>38930</v>
      </c>
      <c r="B11638" s="158">
        <v>5.17</v>
      </c>
    </row>
    <row r="11639" spans="1:2" x14ac:dyDescent="0.25">
      <c r="A11639" s="157">
        <v>38931</v>
      </c>
      <c r="B11639" s="158">
        <v>5.14</v>
      </c>
    </row>
    <row r="11640" spans="1:2" x14ac:dyDescent="0.25">
      <c r="A11640" s="157">
        <v>38932</v>
      </c>
      <c r="B11640" s="158">
        <v>5.13</v>
      </c>
    </row>
    <row r="11641" spans="1:2" x14ac:dyDescent="0.25">
      <c r="A11641" s="157">
        <v>38933</v>
      </c>
      <c r="B11641" s="158">
        <v>5.09</v>
      </c>
    </row>
    <row r="11642" spans="1:2" x14ac:dyDescent="0.25">
      <c r="A11642" s="157">
        <v>38936</v>
      </c>
      <c r="B11642" s="158">
        <v>5.09</v>
      </c>
    </row>
    <row r="11643" spans="1:2" x14ac:dyDescent="0.25">
      <c r="A11643" s="157">
        <v>38937</v>
      </c>
      <c r="B11643" s="158">
        <v>5.1100000000000003</v>
      </c>
    </row>
    <row r="11644" spans="1:2" x14ac:dyDescent="0.25">
      <c r="A11644" s="157">
        <v>38938</v>
      </c>
      <c r="B11644" s="158">
        <v>5.13</v>
      </c>
    </row>
    <row r="11645" spans="1:2" x14ac:dyDescent="0.25">
      <c r="A11645" s="157">
        <v>38939</v>
      </c>
      <c r="B11645" s="158">
        <v>5.15</v>
      </c>
    </row>
    <row r="11646" spans="1:2" x14ac:dyDescent="0.25">
      <c r="A11646" s="157">
        <v>38940</v>
      </c>
      <c r="B11646" s="158">
        <v>5.18</v>
      </c>
    </row>
    <row r="11647" spans="1:2" x14ac:dyDescent="0.25">
      <c r="A11647" s="157">
        <v>38943</v>
      </c>
      <c r="B11647" s="158">
        <v>5.21</v>
      </c>
    </row>
    <row r="11648" spans="1:2" x14ac:dyDescent="0.25">
      <c r="A11648" s="157">
        <v>38944</v>
      </c>
      <c r="B11648" s="158">
        <v>5.13</v>
      </c>
    </row>
    <row r="11649" spans="1:2" x14ac:dyDescent="0.25">
      <c r="A11649" s="157">
        <v>38945</v>
      </c>
      <c r="B11649" s="158">
        <v>5.08</v>
      </c>
    </row>
    <row r="11650" spans="1:2" x14ac:dyDescent="0.25">
      <c r="A11650" s="157">
        <v>38946</v>
      </c>
      <c r="B11650" s="158">
        <v>5.08</v>
      </c>
    </row>
    <row r="11651" spans="1:2" x14ac:dyDescent="0.25">
      <c r="A11651" s="157">
        <v>38947</v>
      </c>
      <c r="B11651" s="158">
        <v>5.05</v>
      </c>
    </row>
    <row r="11652" spans="1:2" x14ac:dyDescent="0.25">
      <c r="A11652" s="157">
        <v>38950</v>
      </c>
      <c r="B11652" s="158">
        <v>5.04</v>
      </c>
    </row>
    <row r="11653" spans="1:2" x14ac:dyDescent="0.25">
      <c r="A11653" s="157">
        <v>38951</v>
      </c>
      <c r="B11653" s="158">
        <v>5.03</v>
      </c>
    </row>
    <row r="11654" spans="1:2" x14ac:dyDescent="0.25">
      <c r="A11654" s="157">
        <v>38952</v>
      </c>
      <c r="B11654" s="158">
        <v>5.03</v>
      </c>
    </row>
    <row r="11655" spans="1:2" x14ac:dyDescent="0.25">
      <c r="A11655" s="157">
        <v>38953</v>
      </c>
      <c r="B11655" s="158">
        <v>5.0199999999999996</v>
      </c>
    </row>
    <row r="11656" spans="1:2" x14ac:dyDescent="0.25">
      <c r="A11656" s="157">
        <v>38954</v>
      </c>
      <c r="B11656" s="158">
        <v>5.01</v>
      </c>
    </row>
    <row r="11657" spans="1:2" x14ac:dyDescent="0.25">
      <c r="A11657" s="157">
        <v>38957</v>
      </c>
      <c r="B11657" s="158">
        <v>5.01</v>
      </c>
    </row>
    <row r="11658" spans="1:2" x14ac:dyDescent="0.25">
      <c r="A11658" s="157">
        <v>38958</v>
      </c>
      <c r="B11658" s="158">
        <v>5</v>
      </c>
    </row>
    <row r="11659" spans="1:2" x14ac:dyDescent="0.25">
      <c r="A11659" s="157">
        <v>38959</v>
      </c>
      <c r="B11659" s="158">
        <v>4.9800000000000004</v>
      </c>
    </row>
    <row r="11660" spans="1:2" x14ac:dyDescent="0.25">
      <c r="A11660" s="157">
        <v>38960</v>
      </c>
      <c r="B11660" s="158">
        <v>4.95</v>
      </c>
    </row>
    <row r="11661" spans="1:2" x14ac:dyDescent="0.25">
      <c r="A11661" s="157">
        <v>38961</v>
      </c>
      <c r="B11661" s="158">
        <v>4.95</v>
      </c>
    </row>
    <row r="11662" spans="1:2" x14ac:dyDescent="0.25">
      <c r="A11662" s="157">
        <v>38964</v>
      </c>
      <c r="B11662" s="158" t="e">
        <f>NA()</f>
        <v>#N/A</v>
      </c>
    </row>
    <row r="11663" spans="1:2" x14ac:dyDescent="0.25">
      <c r="A11663" s="157">
        <v>38965</v>
      </c>
      <c r="B11663" s="158">
        <v>5.01</v>
      </c>
    </row>
    <row r="11664" spans="1:2" x14ac:dyDescent="0.25">
      <c r="A11664" s="157">
        <v>38966</v>
      </c>
      <c r="B11664" s="158">
        <v>5.0199999999999996</v>
      </c>
    </row>
    <row r="11665" spans="1:2" x14ac:dyDescent="0.25">
      <c r="A11665" s="157">
        <v>38967</v>
      </c>
      <c r="B11665" s="158">
        <v>5.01</v>
      </c>
    </row>
    <row r="11666" spans="1:2" x14ac:dyDescent="0.25">
      <c r="A11666" s="157">
        <v>38968</v>
      </c>
      <c r="B11666" s="158">
        <v>4.99</v>
      </c>
    </row>
    <row r="11667" spans="1:2" x14ac:dyDescent="0.25">
      <c r="A11667" s="157">
        <v>38971</v>
      </c>
      <c r="B11667" s="158">
        <v>5.0199999999999996</v>
      </c>
    </row>
    <row r="11668" spans="1:2" x14ac:dyDescent="0.25">
      <c r="A11668" s="157">
        <v>38972</v>
      </c>
      <c r="B11668" s="158">
        <v>4.9800000000000004</v>
      </c>
    </row>
    <row r="11669" spans="1:2" x14ac:dyDescent="0.25">
      <c r="A11669" s="157">
        <v>38973</v>
      </c>
      <c r="B11669" s="158">
        <v>4.97</v>
      </c>
    </row>
    <row r="11670" spans="1:2" x14ac:dyDescent="0.25">
      <c r="A11670" s="157">
        <v>38974</v>
      </c>
      <c r="B11670" s="158">
        <v>4.99</v>
      </c>
    </row>
    <row r="11671" spans="1:2" x14ac:dyDescent="0.25">
      <c r="A11671" s="157">
        <v>38975</v>
      </c>
      <c r="B11671" s="158">
        <v>5</v>
      </c>
    </row>
    <row r="11672" spans="1:2" x14ac:dyDescent="0.25">
      <c r="A11672" s="157">
        <v>38978</v>
      </c>
      <c r="B11672" s="158">
        <v>5.01</v>
      </c>
    </row>
    <row r="11673" spans="1:2" x14ac:dyDescent="0.25">
      <c r="A11673" s="157">
        <v>38979</v>
      </c>
      <c r="B11673" s="158">
        <v>4.9400000000000004</v>
      </c>
    </row>
    <row r="11674" spans="1:2" x14ac:dyDescent="0.25">
      <c r="A11674" s="157">
        <v>38980</v>
      </c>
      <c r="B11674" s="158">
        <v>4.93</v>
      </c>
    </row>
    <row r="11675" spans="1:2" x14ac:dyDescent="0.25">
      <c r="A11675" s="157">
        <v>38981</v>
      </c>
      <c r="B11675" s="158">
        <v>4.8600000000000003</v>
      </c>
    </row>
    <row r="11676" spans="1:2" x14ac:dyDescent="0.25">
      <c r="A11676" s="157">
        <v>38982</v>
      </c>
      <c r="B11676" s="158">
        <v>4.82</v>
      </c>
    </row>
    <row r="11677" spans="1:2" x14ac:dyDescent="0.25">
      <c r="A11677" s="157">
        <v>38985</v>
      </c>
      <c r="B11677" s="158">
        <v>4.7699999999999996</v>
      </c>
    </row>
    <row r="11678" spans="1:2" x14ac:dyDescent="0.25">
      <c r="A11678" s="157">
        <v>38986</v>
      </c>
      <c r="B11678" s="158">
        <v>4.79</v>
      </c>
    </row>
    <row r="11679" spans="1:2" x14ac:dyDescent="0.25">
      <c r="A11679" s="157">
        <v>38987</v>
      </c>
      <c r="B11679" s="158">
        <v>4.8099999999999996</v>
      </c>
    </row>
    <row r="11680" spans="1:2" x14ac:dyDescent="0.25">
      <c r="A11680" s="157">
        <v>38988</v>
      </c>
      <c r="B11680" s="158">
        <v>4.84</v>
      </c>
    </row>
    <row r="11681" spans="1:2" x14ac:dyDescent="0.25">
      <c r="A11681" s="157">
        <v>38989</v>
      </c>
      <c r="B11681" s="158">
        <v>4.84</v>
      </c>
    </row>
    <row r="11682" spans="1:2" x14ac:dyDescent="0.25">
      <c r="A11682" s="157">
        <v>38992</v>
      </c>
      <c r="B11682" s="158">
        <v>4.83</v>
      </c>
    </row>
    <row r="11683" spans="1:2" x14ac:dyDescent="0.25">
      <c r="A11683" s="157">
        <v>38993</v>
      </c>
      <c r="B11683" s="158">
        <v>4.83</v>
      </c>
    </row>
    <row r="11684" spans="1:2" x14ac:dyDescent="0.25">
      <c r="A11684" s="157">
        <v>38994</v>
      </c>
      <c r="B11684" s="158">
        <v>4.79</v>
      </c>
    </row>
    <row r="11685" spans="1:2" x14ac:dyDescent="0.25">
      <c r="A11685" s="157">
        <v>38995</v>
      </c>
      <c r="B11685" s="158">
        <v>4.84</v>
      </c>
    </row>
    <row r="11686" spans="1:2" x14ac:dyDescent="0.25">
      <c r="A11686" s="157">
        <v>38996</v>
      </c>
      <c r="B11686" s="158">
        <v>4.92</v>
      </c>
    </row>
    <row r="11687" spans="1:2" x14ac:dyDescent="0.25">
      <c r="A11687" s="157">
        <v>38999</v>
      </c>
      <c r="B11687" s="158" t="e">
        <f>NA()</f>
        <v>#N/A</v>
      </c>
    </row>
    <row r="11688" spans="1:2" x14ac:dyDescent="0.25">
      <c r="A11688" s="157">
        <v>39000</v>
      </c>
      <c r="B11688" s="158">
        <v>4.96</v>
      </c>
    </row>
    <row r="11689" spans="1:2" x14ac:dyDescent="0.25">
      <c r="A11689" s="157">
        <v>39001</v>
      </c>
      <c r="B11689" s="158">
        <v>4.99</v>
      </c>
    </row>
    <row r="11690" spans="1:2" x14ac:dyDescent="0.25">
      <c r="A11690" s="157">
        <v>39002</v>
      </c>
      <c r="B11690" s="158">
        <v>4.99</v>
      </c>
    </row>
    <row r="11691" spans="1:2" x14ac:dyDescent="0.25">
      <c r="A11691" s="157">
        <v>39003</v>
      </c>
      <c r="B11691" s="158">
        <v>5.0199999999999996</v>
      </c>
    </row>
    <row r="11692" spans="1:2" x14ac:dyDescent="0.25">
      <c r="A11692" s="157">
        <v>39006</v>
      </c>
      <c r="B11692" s="158">
        <v>5</v>
      </c>
    </row>
    <row r="11693" spans="1:2" x14ac:dyDescent="0.25">
      <c r="A11693" s="157">
        <v>39007</v>
      </c>
      <c r="B11693" s="158">
        <v>4.99</v>
      </c>
    </row>
    <row r="11694" spans="1:2" x14ac:dyDescent="0.25">
      <c r="A11694" s="157">
        <v>39008</v>
      </c>
      <c r="B11694" s="158">
        <v>4.97</v>
      </c>
    </row>
    <row r="11695" spans="1:2" x14ac:dyDescent="0.25">
      <c r="A11695" s="157">
        <v>39009</v>
      </c>
      <c r="B11695" s="158">
        <v>4.99</v>
      </c>
    </row>
    <row r="11696" spans="1:2" x14ac:dyDescent="0.25">
      <c r="A11696" s="157">
        <v>39010</v>
      </c>
      <c r="B11696" s="158">
        <v>4.99</v>
      </c>
    </row>
    <row r="11697" spans="1:2" x14ac:dyDescent="0.25">
      <c r="A11697" s="157">
        <v>39013</v>
      </c>
      <c r="B11697" s="158">
        <v>5.03</v>
      </c>
    </row>
    <row r="11698" spans="1:2" x14ac:dyDescent="0.25">
      <c r="A11698" s="157">
        <v>39014</v>
      </c>
      <c r="B11698" s="158">
        <v>5.03</v>
      </c>
    </row>
    <row r="11699" spans="1:2" x14ac:dyDescent="0.25">
      <c r="A11699" s="157">
        <v>39015</v>
      </c>
      <c r="B11699" s="158">
        <v>4.9800000000000004</v>
      </c>
    </row>
    <row r="11700" spans="1:2" x14ac:dyDescent="0.25">
      <c r="A11700" s="157">
        <v>39016</v>
      </c>
      <c r="B11700" s="158">
        <v>4.93</v>
      </c>
    </row>
    <row r="11701" spans="1:2" x14ac:dyDescent="0.25">
      <c r="A11701" s="157">
        <v>39017</v>
      </c>
      <c r="B11701" s="158">
        <v>4.88</v>
      </c>
    </row>
    <row r="11702" spans="1:2" x14ac:dyDescent="0.25">
      <c r="A11702" s="157">
        <v>39020</v>
      </c>
      <c r="B11702" s="158">
        <v>4.88</v>
      </c>
    </row>
    <row r="11703" spans="1:2" x14ac:dyDescent="0.25">
      <c r="A11703" s="157">
        <v>39021</v>
      </c>
      <c r="B11703" s="158">
        <v>4.8099999999999996</v>
      </c>
    </row>
    <row r="11704" spans="1:2" x14ac:dyDescent="0.25">
      <c r="A11704" s="157">
        <v>39022</v>
      </c>
      <c r="B11704" s="158">
        <v>4.7699999999999996</v>
      </c>
    </row>
    <row r="11705" spans="1:2" x14ac:dyDescent="0.25">
      <c r="A11705" s="157">
        <v>39023</v>
      </c>
      <c r="B11705" s="158">
        <v>4.8</v>
      </c>
    </row>
    <row r="11706" spans="1:2" x14ac:dyDescent="0.25">
      <c r="A11706" s="157">
        <v>39024</v>
      </c>
      <c r="B11706" s="158">
        <v>4.9000000000000004</v>
      </c>
    </row>
    <row r="11707" spans="1:2" x14ac:dyDescent="0.25">
      <c r="A11707" s="157">
        <v>39027</v>
      </c>
      <c r="B11707" s="158">
        <v>4.8899999999999997</v>
      </c>
    </row>
    <row r="11708" spans="1:2" x14ac:dyDescent="0.25">
      <c r="A11708" s="157">
        <v>39028</v>
      </c>
      <c r="B11708" s="158">
        <v>4.8499999999999996</v>
      </c>
    </row>
    <row r="11709" spans="1:2" x14ac:dyDescent="0.25">
      <c r="A11709" s="157">
        <v>39029</v>
      </c>
      <c r="B11709" s="158">
        <v>4.82</v>
      </c>
    </row>
    <row r="11710" spans="1:2" x14ac:dyDescent="0.25">
      <c r="A11710" s="157">
        <v>39030</v>
      </c>
      <c r="B11710" s="158">
        <v>4.82</v>
      </c>
    </row>
    <row r="11711" spans="1:2" x14ac:dyDescent="0.25">
      <c r="A11711" s="157">
        <v>39031</v>
      </c>
      <c r="B11711" s="158">
        <v>4.78</v>
      </c>
    </row>
    <row r="11712" spans="1:2" x14ac:dyDescent="0.25">
      <c r="A11712" s="157">
        <v>39034</v>
      </c>
      <c r="B11712" s="158">
        <v>4.8</v>
      </c>
    </row>
    <row r="11713" spans="1:2" x14ac:dyDescent="0.25">
      <c r="A11713" s="157">
        <v>39035</v>
      </c>
      <c r="B11713" s="158">
        <v>4.76</v>
      </c>
    </row>
    <row r="11714" spans="1:2" x14ac:dyDescent="0.25">
      <c r="A11714" s="157">
        <v>39036</v>
      </c>
      <c r="B11714" s="158">
        <v>4.8</v>
      </c>
    </row>
    <row r="11715" spans="1:2" x14ac:dyDescent="0.25">
      <c r="A11715" s="157">
        <v>39037</v>
      </c>
      <c r="B11715" s="158">
        <v>4.84</v>
      </c>
    </row>
    <row r="11716" spans="1:2" x14ac:dyDescent="0.25">
      <c r="A11716" s="157">
        <v>39038</v>
      </c>
      <c r="B11716" s="158">
        <v>4.79</v>
      </c>
    </row>
    <row r="11717" spans="1:2" x14ac:dyDescent="0.25">
      <c r="A11717" s="157">
        <v>39041</v>
      </c>
      <c r="B11717" s="158">
        <v>4.78</v>
      </c>
    </row>
    <row r="11718" spans="1:2" x14ac:dyDescent="0.25">
      <c r="A11718" s="157">
        <v>39042</v>
      </c>
      <c r="B11718" s="158">
        <v>4.76</v>
      </c>
    </row>
    <row r="11719" spans="1:2" x14ac:dyDescent="0.25">
      <c r="A11719" s="157">
        <v>39043</v>
      </c>
      <c r="B11719" s="158">
        <v>4.76</v>
      </c>
    </row>
    <row r="11720" spans="1:2" x14ac:dyDescent="0.25">
      <c r="A11720" s="157">
        <v>39044</v>
      </c>
      <c r="B11720" s="158" t="e">
        <f>NA()</f>
        <v>#N/A</v>
      </c>
    </row>
    <row r="11721" spans="1:2" x14ac:dyDescent="0.25">
      <c r="A11721" s="157">
        <v>39045</v>
      </c>
      <c r="B11721" s="158">
        <v>4.74</v>
      </c>
    </row>
    <row r="11722" spans="1:2" x14ac:dyDescent="0.25">
      <c r="A11722" s="157">
        <v>39048</v>
      </c>
      <c r="B11722" s="158">
        <v>4.7300000000000004</v>
      </c>
    </row>
    <row r="11723" spans="1:2" x14ac:dyDescent="0.25">
      <c r="A11723" s="157">
        <v>39049</v>
      </c>
      <c r="B11723" s="158">
        <v>4.7</v>
      </c>
    </row>
    <row r="11724" spans="1:2" x14ac:dyDescent="0.25">
      <c r="A11724" s="157">
        <v>39050</v>
      </c>
      <c r="B11724" s="158">
        <v>4.72</v>
      </c>
    </row>
    <row r="11725" spans="1:2" x14ac:dyDescent="0.25">
      <c r="A11725" s="157">
        <v>39051</v>
      </c>
      <c r="B11725" s="158">
        <v>4.66</v>
      </c>
    </row>
    <row r="11726" spans="1:2" x14ac:dyDescent="0.25">
      <c r="A11726" s="157">
        <v>39052</v>
      </c>
      <c r="B11726" s="158">
        <v>4.6399999999999997</v>
      </c>
    </row>
    <row r="11727" spans="1:2" x14ac:dyDescent="0.25">
      <c r="A11727" s="157">
        <v>39055</v>
      </c>
      <c r="B11727" s="158">
        <v>4.6500000000000004</v>
      </c>
    </row>
    <row r="11728" spans="1:2" x14ac:dyDescent="0.25">
      <c r="A11728" s="157">
        <v>39056</v>
      </c>
      <c r="B11728" s="158">
        <v>4.67</v>
      </c>
    </row>
    <row r="11729" spans="1:2" x14ac:dyDescent="0.25">
      <c r="A11729" s="157">
        <v>39057</v>
      </c>
      <c r="B11729" s="158">
        <v>4.6900000000000004</v>
      </c>
    </row>
    <row r="11730" spans="1:2" x14ac:dyDescent="0.25">
      <c r="A11730" s="157">
        <v>39058</v>
      </c>
      <c r="B11730" s="158">
        <v>4.7</v>
      </c>
    </row>
    <row r="11731" spans="1:2" x14ac:dyDescent="0.25">
      <c r="A11731" s="157">
        <v>39059</v>
      </c>
      <c r="B11731" s="158">
        <v>4.76</v>
      </c>
    </row>
    <row r="11732" spans="1:2" x14ac:dyDescent="0.25">
      <c r="A11732" s="157">
        <v>39062</v>
      </c>
      <c r="B11732" s="158">
        <v>4.7300000000000004</v>
      </c>
    </row>
    <row r="11733" spans="1:2" x14ac:dyDescent="0.25">
      <c r="A11733" s="157">
        <v>39063</v>
      </c>
      <c r="B11733" s="158">
        <v>4.7</v>
      </c>
    </row>
    <row r="11734" spans="1:2" x14ac:dyDescent="0.25">
      <c r="A11734" s="157">
        <v>39064</v>
      </c>
      <c r="B11734" s="158">
        <v>4.78</v>
      </c>
    </row>
    <row r="11735" spans="1:2" x14ac:dyDescent="0.25">
      <c r="A11735" s="157">
        <v>39065</v>
      </c>
      <c r="B11735" s="158">
        <v>4.8099999999999996</v>
      </c>
    </row>
    <row r="11736" spans="1:2" x14ac:dyDescent="0.25">
      <c r="A11736" s="157">
        <v>39066</v>
      </c>
      <c r="B11736" s="158">
        <v>4.8099999999999996</v>
      </c>
    </row>
    <row r="11737" spans="1:2" x14ac:dyDescent="0.25">
      <c r="A11737" s="157">
        <v>39069</v>
      </c>
      <c r="B11737" s="158">
        <v>4.8099999999999996</v>
      </c>
    </row>
    <row r="11738" spans="1:2" x14ac:dyDescent="0.25">
      <c r="A11738" s="157">
        <v>39070</v>
      </c>
      <c r="B11738" s="158">
        <v>4.82</v>
      </c>
    </row>
    <row r="11739" spans="1:2" x14ac:dyDescent="0.25">
      <c r="A11739" s="157">
        <v>39071</v>
      </c>
      <c r="B11739" s="158">
        <v>4.82</v>
      </c>
    </row>
    <row r="11740" spans="1:2" x14ac:dyDescent="0.25">
      <c r="A11740" s="157">
        <v>39072</v>
      </c>
      <c r="B11740" s="158">
        <v>4.78</v>
      </c>
    </row>
    <row r="11741" spans="1:2" x14ac:dyDescent="0.25">
      <c r="A11741" s="157">
        <v>39073</v>
      </c>
      <c r="B11741" s="158">
        <v>4.8499999999999996</v>
      </c>
    </row>
    <row r="11742" spans="1:2" x14ac:dyDescent="0.25">
      <c r="A11742" s="157">
        <v>39076</v>
      </c>
      <c r="B11742" s="158" t="e">
        <f>NA()</f>
        <v>#N/A</v>
      </c>
    </row>
    <row r="11743" spans="1:2" x14ac:dyDescent="0.25">
      <c r="A11743" s="157">
        <v>39077</v>
      </c>
      <c r="B11743" s="158">
        <v>4.82</v>
      </c>
    </row>
    <row r="11744" spans="1:2" x14ac:dyDescent="0.25">
      <c r="A11744" s="157">
        <v>39078</v>
      </c>
      <c r="B11744" s="158">
        <v>4.87</v>
      </c>
    </row>
    <row r="11745" spans="1:2" x14ac:dyDescent="0.25">
      <c r="A11745" s="157">
        <v>39079</v>
      </c>
      <c r="B11745" s="158">
        <v>4.9000000000000004</v>
      </c>
    </row>
    <row r="11746" spans="1:2" x14ac:dyDescent="0.25">
      <c r="A11746" s="157">
        <v>39080</v>
      </c>
      <c r="B11746" s="158">
        <v>4.91</v>
      </c>
    </row>
    <row r="11747" spans="1:2" x14ac:dyDescent="0.25">
      <c r="A11747" s="157">
        <v>39083</v>
      </c>
      <c r="B11747" s="158" t="e">
        <f>NA()</f>
        <v>#N/A</v>
      </c>
    </row>
    <row r="11748" spans="1:2" x14ac:dyDescent="0.25">
      <c r="A11748" s="157">
        <v>39084</v>
      </c>
      <c r="B11748" s="158">
        <v>4.87</v>
      </c>
    </row>
    <row r="11749" spans="1:2" x14ac:dyDescent="0.25">
      <c r="A11749" s="157">
        <v>39085</v>
      </c>
      <c r="B11749" s="158">
        <v>4.8499999999999996</v>
      </c>
    </row>
    <row r="11750" spans="1:2" x14ac:dyDescent="0.25">
      <c r="A11750" s="157">
        <v>39086</v>
      </c>
      <c r="B11750" s="158">
        <v>4.8099999999999996</v>
      </c>
    </row>
    <row r="11751" spans="1:2" x14ac:dyDescent="0.25">
      <c r="A11751" s="157">
        <v>39087</v>
      </c>
      <c r="B11751" s="158">
        <v>4.84</v>
      </c>
    </row>
    <row r="11752" spans="1:2" x14ac:dyDescent="0.25">
      <c r="A11752" s="157">
        <v>39090</v>
      </c>
      <c r="B11752" s="158">
        <v>4.84</v>
      </c>
    </row>
    <row r="11753" spans="1:2" x14ac:dyDescent="0.25">
      <c r="A11753" s="157">
        <v>39091</v>
      </c>
      <c r="B11753" s="158">
        <v>4.83</v>
      </c>
    </row>
    <row r="11754" spans="1:2" x14ac:dyDescent="0.25">
      <c r="A11754" s="157">
        <v>39092</v>
      </c>
      <c r="B11754" s="158">
        <v>4.87</v>
      </c>
    </row>
    <row r="11755" spans="1:2" x14ac:dyDescent="0.25">
      <c r="A11755" s="157">
        <v>39093</v>
      </c>
      <c r="B11755" s="158">
        <v>4.92</v>
      </c>
    </row>
    <row r="11756" spans="1:2" x14ac:dyDescent="0.25">
      <c r="A11756" s="157">
        <v>39094</v>
      </c>
      <c r="B11756" s="158">
        <v>4.96</v>
      </c>
    </row>
    <row r="11757" spans="1:2" x14ac:dyDescent="0.25">
      <c r="A11757" s="157">
        <v>39097</v>
      </c>
      <c r="B11757" s="158" t="e">
        <f>NA()</f>
        <v>#N/A</v>
      </c>
    </row>
    <row r="11758" spans="1:2" x14ac:dyDescent="0.25">
      <c r="A11758" s="157">
        <v>39098</v>
      </c>
      <c r="B11758" s="158">
        <v>4.9400000000000004</v>
      </c>
    </row>
    <row r="11759" spans="1:2" x14ac:dyDescent="0.25">
      <c r="A11759" s="157">
        <v>39099</v>
      </c>
      <c r="B11759" s="158">
        <v>4.9800000000000004</v>
      </c>
    </row>
    <row r="11760" spans="1:2" x14ac:dyDescent="0.25">
      <c r="A11760" s="157">
        <v>39100</v>
      </c>
      <c r="B11760" s="158">
        <v>4.9400000000000004</v>
      </c>
    </row>
    <row r="11761" spans="1:2" x14ac:dyDescent="0.25">
      <c r="A11761" s="157">
        <v>39101</v>
      </c>
      <c r="B11761" s="158">
        <v>4.96</v>
      </c>
    </row>
    <row r="11762" spans="1:2" x14ac:dyDescent="0.25">
      <c r="A11762" s="157">
        <v>39104</v>
      </c>
      <c r="B11762" s="158">
        <v>4.9400000000000004</v>
      </c>
    </row>
    <row r="11763" spans="1:2" x14ac:dyDescent="0.25">
      <c r="A11763" s="157">
        <v>39105</v>
      </c>
      <c r="B11763" s="158">
        <v>5</v>
      </c>
    </row>
    <row r="11764" spans="1:2" x14ac:dyDescent="0.25">
      <c r="A11764" s="157">
        <v>39106</v>
      </c>
      <c r="B11764" s="158">
        <v>5</v>
      </c>
    </row>
    <row r="11765" spans="1:2" x14ac:dyDescent="0.25">
      <c r="A11765" s="157">
        <v>39107</v>
      </c>
      <c r="B11765" s="158">
        <v>5.0599999999999996</v>
      </c>
    </row>
    <row r="11766" spans="1:2" x14ac:dyDescent="0.25">
      <c r="A11766" s="157">
        <v>39108</v>
      </c>
      <c r="B11766" s="158">
        <v>5.07</v>
      </c>
    </row>
    <row r="11767" spans="1:2" x14ac:dyDescent="0.25">
      <c r="A11767" s="157">
        <v>39111</v>
      </c>
      <c r="B11767" s="158">
        <v>5.09</v>
      </c>
    </row>
    <row r="11768" spans="1:2" x14ac:dyDescent="0.25">
      <c r="A11768" s="157">
        <v>39112</v>
      </c>
      <c r="B11768" s="158">
        <v>5.07</v>
      </c>
    </row>
    <row r="11769" spans="1:2" x14ac:dyDescent="0.25">
      <c r="A11769" s="157">
        <v>39113</v>
      </c>
      <c r="B11769" s="158">
        <v>5.0199999999999996</v>
      </c>
    </row>
    <row r="11770" spans="1:2" x14ac:dyDescent="0.25">
      <c r="A11770" s="157">
        <v>39114</v>
      </c>
      <c r="B11770" s="158">
        <v>5.0199999999999996</v>
      </c>
    </row>
    <row r="11771" spans="1:2" x14ac:dyDescent="0.25">
      <c r="A11771" s="157">
        <v>39115</v>
      </c>
      <c r="B11771" s="158">
        <v>5.0199999999999996</v>
      </c>
    </row>
    <row r="11772" spans="1:2" x14ac:dyDescent="0.25">
      <c r="A11772" s="157">
        <v>39118</v>
      </c>
      <c r="B11772" s="158">
        <v>5</v>
      </c>
    </row>
    <row r="11773" spans="1:2" x14ac:dyDescent="0.25">
      <c r="A11773" s="157">
        <v>39119</v>
      </c>
      <c r="B11773" s="158">
        <v>4.96</v>
      </c>
    </row>
    <row r="11774" spans="1:2" x14ac:dyDescent="0.25">
      <c r="A11774" s="157">
        <v>39120</v>
      </c>
      <c r="B11774" s="158">
        <v>4.9400000000000004</v>
      </c>
    </row>
    <row r="11775" spans="1:2" x14ac:dyDescent="0.25">
      <c r="A11775" s="157">
        <v>39121</v>
      </c>
      <c r="B11775" s="158">
        <v>4.93</v>
      </c>
    </row>
    <row r="11776" spans="1:2" x14ac:dyDescent="0.25">
      <c r="A11776" s="157">
        <v>39122</v>
      </c>
      <c r="B11776" s="158">
        <v>4.9800000000000004</v>
      </c>
    </row>
    <row r="11777" spans="1:2" x14ac:dyDescent="0.25">
      <c r="A11777" s="157">
        <v>39125</v>
      </c>
      <c r="B11777" s="158">
        <v>5</v>
      </c>
    </row>
    <row r="11778" spans="1:2" x14ac:dyDescent="0.25">
      <c r="A11778" s="157">
        <v>39126</v>
      </c>
      <c r="B11778" s="158">
        <v>5.0199999999999996</v>
      </c>
    </row>
    <row r="11779" spans="1:2" x14ac:dyDescent="0.25">
      <c r="A11779" s="157">
        <v>39127</v>
      </c>
      <c r="B11779" s="158">
        <v>4.9400000000000004</v>
      </c>
    </row>
    <row r="11780" spans="1:2" x14ac:dyDescent="0.25">
      <c r="A11780" s="157">
        <v>39128</v>
      </c>
      <c r="B11780" s="158">
        <v>4.91</v>
      </c>
    </row>
    <row r="11781" spans="1:2" x14ac:dyDescent="0.25">
      <c r="A11781" s="157">
        <v>39129</v>
      </c>
      <c r="B11781" s="158">
        <v>4.9000000000000004</v>
      </c>
    </row>
    <row r="11782" spans="1:2" x14ac:dyDescent="0.25">
      <c r="A11782" s="157">
        <v>39132</v>
      </c>
      <c r="B11782" s="158" t="e">
        <f>NA()</f>
        <v>#N/A</v>
      </c>
    </row>
    <row r="11783" spans="1:2" x14ac:dyDescent="0.25">
      <c r="A11783" s="157">
        <v>39133</v>
      </c>
      <c r="B11783" s="158">
        <v>4.8899999999999997</v>
      </c>
    </row>
    <row r="11784" spans="1:2" x14ac:dyDescent="0.25">
      <c r="A11784" s="157">
        <v>39134</v>
      </c>
      <c r="B11784" s="158">
        <v>4.9000000000000004</v>
      </c>
    </row>
    <row r="11785" spans="1:2" x14ac:dyDescent="0.25">
      <c r="A11785" s="157">
        <v>39135</v>
      </c>
      <c r="B11785" s="158">
        <v>4.9400000000000004</v>
      </c>
    </row>
    <row r="11786" spans="1:2" x14ac:dyDescent="0.25">
      <c r="A11786" s="157">
        <v>39136</v>
      </c>
      <c r="B11786" s="158">
        <v>4.8899999999999997</v>
      </c>
    </row>
    <row r="11787" spans="1:2" x14ac:dyDescent="0.25">
      <c r="A11787" s="157">
        <v>39139</v>
      </c>
      <c r="B11787" s="158">
        <v>4.84</v>
      </c>
    </row>
    <row r="11788" spans="1:2" x14ac:dyDescent="0.25">
      <c r="A11788" s="157">
        <v>39140</v>
      </c>
      <c r="B11788" s="158">
        <v>4.7300000000000004</v>
      </c>
    </row>
    <row r="11789" spans="1:2" x14ac:dyDescent="0.25">
      <c r="A11789" s="157">
        <v>39141</v>
      </c>
      <c r="B11789" s="158">
        <v>4.78</v>
      </c>
    </row>
    <row r="11790" spans="1:2" x14ac:dyDescent="0.25">
      <c r="A11790" s="157">
        <v>39142</v>
      </c>
      <c r="B11790" s="158">
        <v>4.78</v>
      </c>
    </row>
    <row r="11791" spans="1:2" x14ac:dyDescent="0.25">
      <c r="A11791" s="157">
        <v>39143</v>
      </c>
      <c r="B11791" s="158">
        <v>4.75</v>
      </c>
    </row>
    <row r="11792" spans="1:2" x14ac:dyDescent="0.25">
      <c r="A11792" s="157">
        <v>39146</v>
      </c>
      <c r="B11792" s="158">
        <v>4.74</v>
      </c>
    </row>
    <row r="11793" spans="1:2" x14ac:dyDescent="0.25">
      <c r="A11793" s="157">
        <v>39147</v>
      </c>
      <c r="B11793" s="158">
        <v>4.76</v>
      </c>
    </row>
    <row r="11794" spans="1:2" x14ac:dyDescent="0.25">
      <c r="A11794" s="157">
        <v>39148</v>
      </c>
      <c r="B11794" s="158">
        <v>4.7300000000000004</v>
      </c>
    </row>
    <row r="11795" spans="1:2" x14ac:dyDescent="0.25">
      <c r="A11795" s="157">
        <v>39149</v>
      </c>
      <c r="B11795" s="158">
        <v>4.74</v>
      </c>
    </row>
    <row r="11796" spans="1:2" x14ac:dyDescent="0.25">
      <c r="A11796" s="157">
        <v>39150</v>
      </c>
      <c r="B11796" s="158">
        <v>4.8099999999999996</v>
      </c>
    </row>
    <row r="11797" spans="1:2" x14ac:dyDescent="0.25">
      <c r="A11797" s="157">
        <v>39153</v>
      </c>
      <c r="B11797" s="158">
        <v>4.78</v>
      </c>
    </row>
    <row r="11798" spans="1:2" x14ac:dyDescent="0.25">
      <c r="A11798" s="157">
        <v>39154</v>
      </c>
      <c r="B11798" s="158">
        <v>4.75</v>
      </c>
    </row>
    <row r="11799" spans="1:2" x14ac:dyDescent="0.25">
      <c r="A11799" s="157">
        <v>39155</v>
      </c>
      <c r="B11799" s="158">
        <v>4.78</v>
      </c>
    </row>
    <row r="11800" spans="1:2" x14ac:dyDescent="0.25">
      <c r="A11800" s="157">
        <v>39156</v>
      </c>
      <c r="B11800" s="158">
        <v>4.78</v>
      </c>
    </row>
    <row r="11801" spans="1:2" x14ac:dyDescent="0.25">
      <c r="A11801" s="157">
        <v>39157</v>
      </c>
      <c r="B11801" s="158">
        <v>4.79</v>
      </c>
    </row>
    <row r="11802" spans="1:2" x14ac:dyDescent="0.25">
      <c r="A11802" s="157">
        <v>39160</v>
      </c>
      <c r="B11802" s="158">
        <v>4.8099999999999996</v>
      </c>
    </row>
    <row r="11803" spans="1:2" x14ac:dyDescent="0.25">
      <c r="A11803" s="157">
        <v>39161</v>
      </c>
      <c r="B11803" s="158">
        <v>4.79</v>
      </c>
    </row>
    <row r="11804" spans="1:2" x14ac:dyDescent="0.25">
      <c r="A11804" s="157">
        <v>39162</v>
      </c>
      <c r="B11804" s="158">
        <v>4.78</v>
      </c>
    </row>
    <row r="11805" spans="1:2" x14ac:dyDescent="0.25">
      <c r="A11805" s="157">
        <v>39163</v>
      </c>
      <c r="B11805" s="158">
        <v>4.8600000000000003</v>
      </c>
    </row>
    <row r="11806" spans="1:2" x14ac:dyDescent="0.25">
      <c r="A11806" s="157">
        <v>39164</v>
      </c>
      <c r="B11806" s="158">
        <v>4.88</v>
      </c>
    </row>
    <row r="11807" spans="1:2" x14ac:dyDescent="0.25">
      <c r="A11807" s="157">
        <v>39167</v>
      </c>
      <c r="B11807" s="158">
        <v>4.8600000000000003</v>
      </c>
    </row>
    <row r="11808" spans="1:2" x14ac:dyDescent="0.25">
      <c r="A11808" s="157">
        <v>39168</v>
      </c>
      <c r="B11808" s="158">
        <v>4.8899999999999997</v>
      </c>
    </row>
    <row r="11809" spans="1:2" x14ac:dyDescent="0.25">
      <c r="A11809" s="157">
        <v>39169</v>
      </c>
      <c r="B11809" s="158">
        <v>4.9000000000000004</v>
      </c>
    </row>
    <row r="11810" spans="1:2" x14ac:dyDescent="0.25">
      <c r="A11810" s="157">
        <v>39170</v>
      </c>
      <c r="B11810" s="158">
        <v>4.9000000000000004</v>
      </c>
    </row>
    <row r="11811" spans="1:2" x14ac:dyDescent="0.25">
      <c r="A11811" s="157">
        <v>39171</v>
      </c>
      <c r="B11811" s="158">
        <v>4.92</v>
      </c>
    </row>
    <row r="11812" spans="1:2" x14ac:dyDescent="0.25">
      <c r="A11812" s="157">
        <v>39174</v>
      </c>
      <c r="B11812" s="158">
        <v>4.92</v>
      </c>
    </row>
    <row r="11813" spans="1:2" x14ac:dyDescent="0.25">
      <c r="A11813" s="157">
        <v>39175</v>
      </c>
      <c r="B11813" s="158">
        <v>4.93</v>
      </c>
    </row>
    <row r="11814" spans="1:2" x14ac:dyDescent="0.25">
      <c r="A11814" s="157">
        <v>39176</v>
      </c>
      <c r="B11814" s="158">
        <v>4.92</v>
      </c>
    </row>
    <row r="11815" spans="1:2" x14ac:dyDescent="0.25">
      <c r="A11815" s="157">
        <v>39177</v>
      </c>
      <c r="B11815" s="158">
        <v>4.95</v>
      </c>
    </row>
    <row r="11816" spans="1:2" x14ac:dyDescent="0.25">
      <c r="A11816" s="157">
        <v>39178</v>
      </c>
      <c r="B11816" s="158">
        <v>5</v>
      </c>
    </row>
    <row r="11817" spans="1:2" x14ac:dyDescent="0.25">
      <c r="A11817" s="157">
        <v>39181</v>
      </c>
      <c r="B11817" s="158">
        <v>5</v>
      </c>
    </row>
    <row r="11818" spans="1:2" x14ac:dyDescent="0.25">
      <c r="A11818" s="157">
        <v>39182</v>
      </c>
      <c r="B11818" s="158">
        <v>4.99</v>
      </c>
    </row>
    <row r="11819" spans="1:2" x14ac:dyDescent="0.25">
      <c r="A11819" s="157">
        <v>39183</v>
      </c>
      <c r="B11819" s="158">
        <v>5</v>
      </c>
    </row>
    <row r="11820" spans="1:2" x14ac:dyDescent="0.25">
      <c r="A11820" s="157">
        <v>39184</v>
      </c>
      <c r="B11820" s="158">
        <v>4.99</v>
      </c>
    </row>
    <row r="11821" spans="1:2" x14ac:dyDescent="0.25">
      <c r="A11821" s="157">
        <v>39185</v>
      </c>
      <c r="B11821" s="158">
        <v>5.01</v>
      </c>
    </row>
    <row r="11822" spans="1:2" x14ac:dyDescent="0.25">
      <c r="A11822" s="157">
        <v>39188</v>
      </c>
      <c r="B11822" s="158">
        <v>4.9800000000000004</v>
      </c>
    </row>
    <row r="11823" spans="1:2" x14ac:dyDescent="0.25">
      <c r="A11823" s="157">
        <v>39189</v>
      </c>
      <c r="B11823" s="158">
        <v>4.93</v>
      </c>
    </row>
    <row r="11824" spans="1:2" x14ac:dyDescent="0.25">
      <c r="A11824" s="157">
        <v>39190</v>
      </c>
      <c r="B11824" s="158">
        <v>4.9000000000000004</v>
      </c>
    </row>
    <row r="11825" spans="1:2" x14ac:dyDescent="0.25">
      <c r="A11825" s="157">
        <v>39191</v>
      </c>
      <c r="B11825" s="158">
        <v>4.92</v>
      </c>
    </row>
    <row r="11826" spans="1:2" x14ac:dyDescent="0.25">
      <c r="A11826" s="157">
        <v>39192</v>
      </c>
      <c r="B11826" s="158">
        <v>4.93</v>
      </c>
    </row>
    <row r="11827" spans="1:2" x14ac:dyDescent="0.25">
      <c r="A11827" s="157">
        <v>39195</v>
      </c>
      <c r="B11827" s="158">
        <v>4.91</v>
      </c>
    </row>
    <row r="11828" spans="1:2" x14ac:dyDescent="0.25">
      <c r="A11828" s="157">
        <v>39196</v>
      </c>
      <c r="B11828" s="158">
        <v>4.88</v>
      </c>
    </row>
    <row r="11829" spans="1:2" x14ac:dyDescent="0.25">
      <c r="A11829" s="157">
        <v>39197</v>
      </c>
      <c r="B11829" s="158">
        <v>4.91</v>
      </c>
    </row>
    <row r="11830" spans="1:2" x14ac:dyDescent="0.25">
      <c r="A11830" s="157">
        <v>39198</v>
      </c>
      <c r="B11830" s="158">
        <v>4.95</v>
      </c>
    </row>
    <row r="11831" spans="1:2" x14ac:dyDescent="0.25">
      <c r="A11831" s="157">
        <v>39199</v>
      </c>
      <c r="B11831" s="158">
        <v>4.96</v>
      </c>
    </row>
    <row r="11832" spans="1:2" x14ac:dyDescent="0.25">
      <c r="A11832" s="157">
        <v>39202</v>
      </c>
      <c r="B11832" s="158">
        <v>4.88</v>
      </c>
    </row>
    <row r="11833" spans="1:2" x14ac:dyDescent="0.25">
      <c r="A11833" s="157">
        <v>39203</v>
      </c>
      <c r="B11833" s="158">
        <v>4.8899999999999997</v>
      </c>
    </row>
    <row r="11834" spans="1:2" x14ac:dyDescent="0.25">
      <c r="A11834" s="157">
        <v>39204</v>
      </c>
      <c r="B11834" s="158">
        <v>4.8899999999999997</v>
      </c>
    </row>
    <row r="11835" spans="1:2" x14ac:dyDescent="0.25">
      <c r="A11835" s="157">
        <v>39205</v>
      </c>
      <c r="B11835" s="158">
        <v>4.91</v>
      </c>
    </row>
    <row r="11836" spans="1:2" x14ac:dyDescent="0.25">
      <c r="A11836" s="157">
        <v>39206</v>
      </c>
      <c r="B11836" s="158">
        <v>4.88</v>
      </c>
    </row>
    <row r="11837" spans="1:2" x14ac:dyDescent="0.25">
      <c r="A11837" s="157">
        <v>39209</v>
      </c>
      <c r="B11837" s="158">
        <v>4.8600000000000003</v>
      </c>
    </row>
    <row r="11838" spans="1:2" x14ac:dyDescent="0.25">
      <c r="A11838" s="157">
        <v>39210</v>
      </c>
      <c r="B11838" s="158">
        <v>4.87</v>
      </c>
    </row>
    <row r="11839" spans="1:2" x14ac:dyDescent="0.25">
      <c r="A11839" s="157">
        <v>39211</v>
      </c>
      <c r="B11839" s="158">
        <v>4.91</v>
      </c>
    </row>
    <row r="11840" spans="1:2" x14ac:dyDescent="0.25">
      <c r="A11840" s="157">
        <v>39212</v>
      </c>
      <c r="B11840" s="158">
        <v>4.9000000000000004</v>
      </c>
    </row>
    <row r="11841" spans="1:2" x14ac:dyDescent="0.25">
      <c r="A11841" s="157">
        <v>39213</v>
      </c>
      <c r="B11841" s="158">
        <v>4.92</v>
      </c>
    </row>
    <row r="11842" spans="1:2" x14ac:dyDescent="0.25">
      <c r="A11842" s="157">
        <v>39216</v>
      </c>
      <c r="B11842" s="158">
        <v>4.93</v>
      </c>
    </row>
    <row r="11843" spans="1:2" x14ac:dyDescent="0.25">
      <c r="A11843" s="157">
        <v>39217</v>
      </c>
      <c r="B11843" s="158">
        <v>4.95</v>
      </c>
    </row>
    <row r="11844" spans="1:2" x14ac:dyDescent="0.25">
      <c r="A11844" s="157">
        <v>39218</v>
      </c>
      <c r="B11844" s="158">
        <v>4.95</v>
      </c>
    </row>
    <row r="11845" spans="1:2" x14ac:dyDescent="0.25">
      <c r="A11845" s="157">
        <v>39219</v>
      </c>
      <c r="B11845" s="158">
        <v>4.99</v>
      </c>
    </row>
    <row r="11846" spans="1:2" x14ac:dyDescent="0.25">
      <c r="A11846" s="157">
        <v>39220</v>
      </c>
      <c r="B11846" s="158">
        <v>5.03</v>
      </c>
    </row>
    <row r="11847" spans="1:2" x14ac:dyDescent="0.25">
      <c r="A11847" s="157">
        <v>39223</v>
      </c>
      <c r="B11847" s="158">
        <v>5.0199999999999996</v>
      </c>
    </row>
    <row r="11848" spans="1:2" x14ac:dyDescent="0.25">
      <c r="A11848" s="157">
        <v>39224</v>
      </c>
      <c r="B11848" s="158">
        <v>5.0599999999999996</v>
      </c>
    </row>
    <row r="11849" spans="1:2" x14ac:dyDescent="0.25">
      <c r="A11849" s="157">
        <v>39225</v>
      </c>
      <c r="B11849" s="158">
        <v>5.09</v>
      </c>
    </row>
    <row r="11850" spans="1:2" x14ac:dyDescent="0.25">
      <c r="A11850" s="157">
        <v>39226</v>
      </c>
      <c r="B11850" s="158">
        <v>5.09</v>
      </c>
    </row>
    <row r="11851" spans="1:2" x14ac:dyDescent="0.25">
      <c r="A11851" s="157">
        <v>39227</v>
      </c>
      <c r="B11851" s="158">
        <v>5.09</v>
      </c>
    </row>
    <row r="11852" spans="1:2" x14ac:dyDescent="0.25">
      <c r="A11852" s="157">
        <v>39230</v>
      </c>
      <c r="B11852" s="158" t="e">
        <f>NA()</f>
        <v>#N/A</v>
      </c>
    </row>
    <row r="11853" spans="1:2" x14ac:dyDescent="0.25">
      <c r="A11853" s="157">
        <v>39231</v>
      </c>
      <c r="B11853" s="158">
        <v>5.09</v>
      </c>
    </row>
    <row r="11854" spans="1:2" x14ac:dyDescent="0.25">
      <c r="A11854" s="157">
        <v>39232</v>
      </c>
      <c r="B11854" s="158">
        <v>5.09</v>
      </c>
    </row>
    <row r="11855" spans="1:2" x14ac:dyDescent="0.25">
      <c r="A11855" s="157">
        <v>39233</v>
      </c>
      <c r="B11855" s="158">
        <v>5.0999999999999996</v>
      </c>
    </row>
    <row r="11856" spans="1:2" x14ac:dyDescent="0.25">
      <c r="A11856" s="157">
        <v>39234</v>
      </c>
      <c r="B11856" s="158">
        <v>5.15</v>
      </c>
    </row>
    <row r="11857" spans="1:2" x14ac:dyDescent="0.25">
      <c r="A11857" s="157">
        <v>39237</v>
      </c>
      <c r="B11857" s="158">
        <v>5.1100000000000003</v>
      </c>
    </row>
    <row r="11858" spans="1:2" x14ac:dyDescent="0.25">
      <c r="A11858" s="157">
        <v>39238</v>
      </c>
      <c r="B11858" s="158">
        <v>5.16</v>
      </c>
    </row>
    <row r="11859" spans="1:2" x14ac:dyDescent="0.25">
      <c r="A11859" s="157">
        <v>39239</v>
      </c>
      <c r="B11859" s="158">
        <v>5.17</v>
      </c>
    </row>
    <row r="11860" spans="1:2" x14ac:dyDescent="0.25">
      <c r="A11860" s="157">
        <v>39240</v>
      </c>
      <c r="B11860" s="158">
        <v>5.29</v>
      </c>
    </row>
    <row r="11861" spans="1:2" x14ac:dyDescent="0.25">
      <c r="A11861" s="157">
        <v>39241</v>
      </c>
      <c r="B11861" s="158">
        <v>5.3</v>
      </c>
    </row>
    <row r="11862" spans="1:2" x14ac:dyDescent="0.25">
      <c r="A11862" s="157">
        <v>39244</v>
      </c>
      <c r="B11862" s="158">
        <v>5.32</v>
      </c>
    </row>
    <row r="11863" spans="1:2" x14ac:dyDescent="0.25">
      <c r="A11863" s="157">
        <v>39245</v>
      </c>
      <c r="B11863" s="158">
        <v>5.44</v>
      </c>
    </row>
    <row r="11864" spans="1:2" x14ac:dyDescent="0.25">
      <c r="A11864" s="157">
        <v>39246</v>
      </c>
      <c r="B11864" s="158">
        <v>5.36</v>
      </c>
    </row>
    <row r="11865" spans="1:2" x14ac:dyDescent="0.25">
      <c r="A11865" s="157">
        <v>39247</v>
      </c>
      <c r="B11865" s="158">
        <v>5.39</v>
      </c>
    </row>
    <row r="11866" spans="1:2" x14ac:dyDescent="0.25">
      <c r="A11866" s="157">
        <v>39248</v>
      </c>
      <c r="B11866" s="158">
        <v>5.34</v>
      </c>
    </row>
    <row r="11867" spans="1:2" x14ac:dyDescent="0.25">
      <c r="A11867" s="157">
        <v>39251</v>
      </c>
      <c r="B11867" s="158">
        <v>5.34</v>
      </c>
    </row>
    <row r="11868" spans="1:2" x14ac:dyDescent="0.25">
      <c r="A11868" s="157">
        <v>39252</v>
      </c>
      <c r="B11868" s="158">
        <v>5.28</v>
      </c>
    </row>
    <row r="11869" spans="1:2" x14ac:dyDescent="0.25">
      <c r="A11869" s="157">
        <v>39253</v>
      </c>
      <c r="B11869" s="158">
        <v>5.32</v>
      </c>
    </row>
    <row r="11870" spans="1:2" x14ac:dyDescent="0.25">
      <c r="A11870" s="157">
        <v>39254</v>
      </c>
      <c r="B11870" s="158">
        <v>5.36</v>
      </c>
    </row>
    <row r="11871" spans="1:2" x14ac:dyDescent="0.25">
      <c r="A11871" s="157">
        <v>39255</v>
      </c>
      <c r="B11871" s="158">
        <v>5.34</v>
      </c>
    </row>
    <row r="11872" spans="1:2" x14ac:dyDescent="0.25">
      <c r="A11872" s="157">
        <v>39258</v>
      </c>
      <c r="B11872" s="158">
        <v>5.28</v>
      </c>
    </row>
    <row r="11873" spans="1:2" x14ac:dyDescent="0.25">
      <c r="A11873" s="157">
        <v>39259</v>
      </c>
      <c r="B11873" s="158">
        <v>5.31</v>
      </c>
    </row>
    <row r="11874" spans="1:2" x14ac:dyDescent="0.25">
      <c r="A11874" s="157">
        <v>39260</v>
      </c>
      <c r="B11874" s="158">
        <v>5.28</v>
      </c>
    </row>
    <row r="11875" spans="1:2" x14ac:dyDescent="0.25">
      <c r="A11875" s="157">
        <v>39261</v>
      </c>
      <c r="B11875" s="158">
        <v>5.3</v>
      </c>
    </row>
    <row r="11876" spans="1:2" x14ac:dyDescent="0.25">
      <c r="A11876" s="157">
        <v>39262</v>
      </c>
      <c r="B11876" s="158">
        <v>5.21</v>
      </c>
    </row>
    <row r="11877" spans="1:2" x14ac:dyDescent="0.25">
      <c r="A11877" s="157">
        <v>39265</v>
      </c>
      <c r="B11877" s="158">
        <v>5.18</v>
      </c>
    </row>
    <row r="11878" spans="1:2" x14ac:dyDescent="0.25">
      <c r="A11878" s="157">
        <v>39266</v>
      </c>
      <c r="B11878" s="158">
        <v>5.22</v>
      </c>
    </row>
    <row r="11879" spans="1:2" x14ac:dyDescent="0.25">
      <c r="A11879" s="157">
        <v>39267</v>
      </c>
      <c r="B11879" s="158" t="e">
        <f>NA()</f>
        <v>#N/A</v>
      </c>
    </row>
    <row r="11880" spans="1:2" x14ac:dyDescent="0.25">
      <c r="A11880" s="157">
        <v>39268</v>
      </c>
      <c r="B11880" s="158">
        <v>5.32</v>
      </c>
    </row>
    <row r="11881" spans="1:2" x14ac:dyDescent="0.25">
      <c r="A11881" s="157">
        <v>39269</v>
      </c>
      <c r="B11881" s="158">
        <v>5.36</v>
      </c>
    </row>
    <row r="11882" spans="1:2" x14ac:dyDescent="0.25">
      <c r="A11882" s="157">
        <v>39272</v>
      </c>
      <c r="B11882" s="158">
        <v>5.32</v>
      </c>
    </row>
    <row r="11883" spans="1:2" x14ac:dyDescent="0.25">
      <c r="A11883" s="157">
        <v>39273</v>
      </c>
      <c r="B11883" s="158">
        <v>5.21</v>
      </c>
    </row>
    <row r="11884" spans="1:2" x14ac:dyDescent="0.25">
      <c r="A11884" s="157">
        <v>39274</v>
      </c>
      <c r="B11884" s="158">
        <v>5.26</v>
      </c>
    </row>
    <row r="11885" spans="1:2" x14ac:dyDescent="0.25">
      <c r="A11885" s="157">
        <v>39275</v>
      </c>
      <c r="B11885" s="158">
        <v>5.29</v>
      </c>
    </row>
    <row r="11886" spans="1:2" x14ac:dyDescent="0.25">
      <c r="A11886" s="157">
        <v>39276</v>
      </c>
      <c r="B11886" s="158">
        <v>5.27</v>
      </c>
    </row>
    <row r="11887" spans="1:2" x14ac:dyDescent="0.25">
      <c r="A11887" s="157">
        <v>39279</v>
      </c>
      <c r="B11887" s="158">
        <v>5.21</v>
      </c>
    </row>
    <row r="11888" spans="1:2" x14ac:dyDescent="0.25">
      <c r="A11888" s="157">
        <v>39280</v>
      </c>
      <c r="B11888" s="158">
        <v>5.24</v>
      </c>
    </row>
    <row r="11889" spans="1:2" x14ac:dyDescent="0.25">
      <c r="A11889" s="157">
        <v>39281</v>
      </c>
      <c r="B11889" s="158">
        <v>5.18</v>
      </c>
    </row>
    <row r="11890" spans="1:2" x14ac:dyDescent="0.25">
      <c r="A11890" s="157">
        <v>39282</v>
      </c>
      <c r="B11890" s="158">
        <v>5.2</v>
      </c>
    </row>
    <row r="11891" spans="1:2" x14ac:dyDescent="0.25">
      <c r="A11891" s="157">
        <v>39283</v>
      </c>
      <c r="B11891" s="158">
        <v>5.14</v>
      </c>
    </row>
    <row r="11892" spans="1:2" x14ac:dyDescent="0.25">
      <c r="A11892" s="157">
        <v>39286</v>
      </c>
      <c r="B11892" s="158">
        <v>5.15</v>
      </c>
    </row>
    <row r="11893" spans="1:2" x14ac:dyDescent="0.25">
      <c r="A11893" s="157">
        <v>39287</v>
      </c>
      <c r="B11893" s="158">
        <v>5.13</v>
      </c>
    </row>
    <row r="11894" spans="1:2" x14ac:dyDescent="0.25">
      <c r="A11894" s="157">
        <v>39288</v>
      </c>
      <c r="B11894" s="158">
        <v>5.12</v>
      </c>
    </row>
    <row r="11895" spans="1:2" x14ac:dyDescent="0.25">
      <c r="A11895" s="157">
        <v>39289</v>
      </c>
      <c r="B11895" s="158">
        <v>5.0199999999999996</v>
      </c>
    </row>
    <row r="11896" spans="1:2" x14ac:dyDescent="0.25">
      <c r="A11896" s="157">
        <v>39290</v>
      </c>
      <c r="B11896" s="158">
        <v>5.03</v>
      </c>
    </row>
    <row r="11897" spans="1:2" x14ac:dyDescent="0.25">
      <c r="A11897" s="157">
        <v>39293</v>
      </c>
      <c r="B11897" s="158">
        <v>5.05</v>
      </c>
    </row>
    <row r="11898" spans="1:2" x14ac:dyDescent="0.25">
      <c r="A11898" s="157">
        <v>39294</v>
      </c>
      <c r="B11898" s="158">
        <v>5</v>
      </c>
    </row>
    <row r="11899" spans="1:2" x14ac:dyDescent="0.25">
      <c r="A11899" s="157">
        <v>39295</v>
      </c>
      <c r="B11899" s="158">
        <v>4.99</v>
      </c>
    </row>
    <row r="11900" spans="1:2" x14ac:dyDescent="0.25">
      <c r="A11900" s="157">
        <v>39296</v>
      </c>
      <c r="B11900" s="158">
        <v>5</v>
      </c>
    </row>
    <row r="11901" spans="1:2" x14ac:dyDescent="0.25">
      <c r="A11901" s="157">
        <v>39297</v>
      </c>
      <c r="B11901" s="158">
        <v>4.96</v>
      </c>
    </row>
    <row r="11902" spans="1:2" x14ac:dyDescent="0.25">
      <c r="A11902" s="157">
        <v>39300</v>
      </c>
      <c r="B11902" s="158">
        <v>4.9800000000000004</v>
      </c>
    </row>
    <row r="11903" spans="1:2" x14ac:dyDescent="0.25">
      <c r="A11903" s="157">
        <v>39301</v>
      </c>
      <c r="B11903" s="158">
        <v>5.01</v>
      </c>
    </row>
    <row r="11904" spans="1:2" x14ac:dyDescent="0.25">
      <c r="A11904" s="157">
        <v>39302</v>
      </c>
      <c r="B11904" s="158">
        <v>5.1100000000000003</v>
      </c>
    </row>
    <row r="11905" spans="1:2" x14ac:dyDescent="0.25">
      <c r="A11905" s="157">
        <v>39303</v>
      </c>
      <c r="B11905" s="158">
        <v>5.0999999999999996</v>
      </c>
    </row>
    <row r="11906" spans="1:2" x14ac:dyDescent="0.25">
      <c r="A11906" s="157">
        <v>39304</v>
      </c>
      <c r="B11906" s="158">
        <v>5.1100000000000003</v>
      </c>
    </row>
    <row r="11907" spans="1:2" x14ac:dyDescent="0.25">
      <c r="A11907" s="157">
        <v>39307</v>
      </c>
      <c r="B11907" s="158">
        <v>5.09</v>
      </c>
    </row>
    <row r="11908" spans="1:2" x14ac:dyDescent="0.25">
      <c r="A11908" s="157">
        <v>39308</v>
      </c>
      <c r="B11908" s="158">
        <v>5.0599999999999996</v>
      </c>
    </row>
    <row r="11909" spans="1:2" x14ac:dyDescent="0.25">
      <c r="A11909" s="157">
        <v>39309</v>
      </c>
      <c r="B11909" s="158">
        <v>5.07</v>
      </c>
    </row>
    <row r="11910" spans="1:2" x14ac:dyDescent="0.25">
      <c r="A11910" s="157">
        <v>39310</v>
      </c>
      <c r="B11910" s="158">
        <v>4.99</v>
      </c>
    </row>
    <row r="11911" spans="1:2" x14ac:dyDescent="0.25">
      <c r="A11911" s="157">
        <v>39311</v>
      </c>
      <c r="B11911" s="158">
        <v>5.0599999999999996</v>
      </c>
    </row>
    <row r="11912" spans="1:2" x14ac:dyDescent="0.25">
      <c r="A11912" s="157">
        <v>39314</v>
      </c>
      <c r="B11912" s="158">
        <v>5.04</v>
      </c>
    </row>
    <row r="11913" spans="1:2" x14ac:dyDescent="0.25">
      <c r="A11913" s="157">
        <v>39315</v>
      </c>
      <c r="B11913" s="158">
        <v>5</v>
      </c>
    </row>
    <row r="11914" spans="1:2" x14ac:dyDescent="0.25">
      <c r="A11914" s="157">
        <v>39316</v>
      </c>
      <c r="B11914" s="158">
        <v>5.01</v>
      </c>
    </row>
    <row r="11915" spans="1:2" x14ac:dyDescent="0.25">
      <c r="A11915" s="157">
        <v>39317</v>
      </c>
      <c r="B11915" s="158">
        <v>4.9800000000000004</v>
      </c>
    </row>
    <row r="11916" spans="1:2" x14ac:dyDescent="0.25">
      <c r="A11916" s="157">
        <v>39318</v>
      </c>
      <c r="B11916" s="158">
        <v>4.95</v>
      </c>
    </row>
    <row r="11917" spans="1:2" x14ac:dyDescent="0.25">
      <c r="A11917" s="157">
        <v>39321</v>
      </c>
      <c r="B11917" s="158">
        <v>4.92</v>
      </c>
    </row>
    <row r="11918" spans="1:2" x14ac:dyDescent="0.25">
      <c r="A11918" s="157">
        <v>39322</v>
      </c>
      <c r="B11918" s="158">
        <v>4.9000000000000004</v>
      </c>
    </row>
    <row r="11919" spans="1:2" x14ac:dyDescent="0.25">
      <c r="A11919" s="157">
        <v>39323</v>
      </c>
      <c r="B11919" s="158">
        <v>4.93</v>
      </c>
    </row>
    <row r="11920" spans="1:2" x14ac:dyDescent="0.25">
      <c r="A11920" s="157">
        <v>39324</v>
      </c>
      <c r="B11920" s="158">
        <v>4.87</v>
      </c>
    </row>
    <row r="11921" spans="1:2" x14ac:dyDescent="0.25">
      <c r="A11921" s="157">
        <v>39325</v>
      </c>
      <c r="B11921" s="158">
        <v>4.87</v>
      </c>
    </row>
    <row r="11922" spans="1:2" x14ac:dyDescent="0.25">
      <c r="A11922" s="157">
        <v>39328</v>
      </c>
      <c r="B11922" s="158" t="e">
        <f>NA()</f>
        <v>#N/A</v>
      </c>
    </row>
    <row r="11923" spans="1:2" x14ac:dyDescent="0.25">
      <c r="A11923" s="157">
        <v>39329</v>
      </c>
      <c r="B11923" s="158">
        <v>4.88</v>
      </c>
    </row>
    <row r="11924" spans="1:2" x14ac:dyDescent="0.25">
      <c r="A11924" s="157">
        <v>39330</v>
      </c>
      <c r="B11924" s="158">
        <v>4.82</v>
      </c>
    </row>
    <row r="11925" spans="1:2" x14ac:dyDescent="0.25">
      <c r="A11925" s="157">
        <v>39331</v>
      </c>
      <c r="B11925" s="158">
        <v>4.84</v>
      </c>
    </row>
    <row r="11926" spans="1:2" x14ac:dyDescent="0.25">
      <c r="A11926" s="157">
        <v>39332</v>
      </c>
      <c r="B11926" s="158">
        <v>4.7300000000000004</v>
      </c>
    </row>
    <row r="11927" spans="1:2" x14ac:dyDescent="0.25">
      <c r="A11927" s="157">
        <v>39335</v>
      </c>
      <c r="B11927" s="158">
        <v>4.68</v>
      </c>
    </row>
    <row r="11928" spans="1:2" x14ac:dyDescent="0.25">
      <c r="A11928" s="157">
        <v>39336</v>
      </c>
      <c r="B11928" s="158">
        <v>4.68</v>
      </c>
    </row>
    <row r="11929" spans="1:2" x14ac:dyDescent="0.25">
      <c r="A11929" s="157">
        <v>39337</v>
      </c>
      <c r="B11929" s="158">
        <v>4.72</v>
      </c>
    </row>
    <row r="11930" spans="1:2" x14ac:dyDescent="0.25">
      <c r="A11930" s="157">
        <v>39338</v>
      </c>
      <c r="B11930" s="158">
        <v>4.79</v>
      </c>
    </row>
    <row r="11931" spans="1:2" x14ac:dyDescent="0.25">
      <c r="A11931" s="157">
        <v>39339</v>
      </c>
      <c r="B11931" s="158">
        <v>4.7699999999999996</v>
      </c>
    </row>
    <row r="11932" spans="1:2" x14ac:dyDescent="0.25">
      <c r="A11932" s="157">
        <v>39342</v>
      </c>
      <c r="B11932" s="158">
        <v>4.76</v>
      </c>
    </row>
    <row r="11933" spans="1:2" x14ac:dyDescent="0.25">
      <c r="A11933" s="157">
        <v>39343</v>
      </c>
      <c r="B11933" s="158">
        <v>4.8099999999999996</v>
      </c>
    </row>
    <row r="11934" spans="1:2" x14ac:dyDescent="0.25">
      <c r="A11934" s="157">
        <v>39344</v>
      </c>
      <c r="B11934" s="158">
        <v>4.8600000000000003</v>
      </c>
    </row>
    <row r="11935" spans="1:2" x14ac:dyDescent="0.25">
      <c r="A11935" s="157">
        <v>39345</v>
      </c>
      <c r="B11935" s="158">
        <v>4.99</v>
      </c>
    </row>
    <row r="11936" spans="1:2" x14ac:dyDescent="0.25">
      <c r="A11936" s="157">
        <v>39346</v>
      </c>
      <c r="B11936" s="158">
        <v>4.95</v>
      </c>
    </row>
    <row r="11937" spans="1:2" x14ac:dyDescent="0.25">
      <c r="A11937" s="157">
        <v>39349</v>
      </c>
      <c r="B11937" s="158">
        <v>4.9400000000000004</v>
      </c>
    </row>
    <row r="11938" spans="1:2" x14ac:dyDescent="0.25">
      <c r="A11938" s="157">
        <v>39350</v>
      </c>
      <c r="B11938" s="158">
        <v>4.9400000000000004</v>
      </c>
    </row>
    <row r="11939" spans="1:2" x14ac:dyDescent="0.25">
      <c r="A11939" s="157">
        <v>39351</v>
      </c>
      <c r="B11939" s="158">
        <v>4.95</v>
      </c>
    </row>
    <row r="11940" spans="1:2" x14ac:dyDescent="0.25">
      <c r="A11940" s="157">
        <v>39352</v>
      </c>
      <c r="B11940" s="158">
        <v>4.8899999999999997</v>
      </c>
    </row>
    <row r="11941" spans="1:2" x14ac:dyDescent="0.25">
      <c r="A11941" s="157">
        <v>39353</v>
      </c>
      <c r="B11941" s="158">
        <v>4.8899999999999997</v>
      </c>
    </row>
    <row r="11942" spans="1:2" x14ac:dyDescent="0.25">
      <c r="A11942" s="157">
        <v>39356</v>
      </c>
      <c r="B11942" s="158">
        <v>4.8499999999999996</v>
      </c>
    </row>
    <row r="11943" spans="1:2" x14ac:dyDescent="0.25">
      <c r="A11943" s="157">
        <v>39357</v>
      </c>
      <c r="B11943" s="158">
        <v>4.83</v>
      </c>
    </row>
    <row r="11944" spans="1:2" x14ac:dyDescent="0.25">
      <c r="A11944" s="157">
        <v>39358</v>
      </c>
      <c r="B11944" s="158">
        <v>4.8499999999999996</v>
      </c>
    </row>
    <row r="11945" spans="1:2" x14ac:dyDescent="0.25">
      <c r="A11945" s="157">
        <v>39359</v>
      </c>
      <c r="B11945" s="158">
        <v>4.83</v>
      </c>
    </row>
    <row r="11946" spans="1:2" x14ac:dyDescent="0.25">
      <c r="A11946" s="157">
        <v>39360</v>
      </c>
      <c r="B11946" s="158">
        <v>4.9400000000000004</v>
      </c>
    </row>
    <row r="11947" spans="1:2" x14ac:dyDescent="0.25">
      <c r="A11947" s="157">
        <v>39363</v>
      </c>
      <c r="B11947" s="158" t="e">
        <f>NA()</f>
        <v>#N/A</v>
      </c>
    </row>
    <row r="11948" spans="1:2" x14ac:dyDescent="0.25">
      <c r="A11948" s="157">
        <v>39364</v>
      </c>
      <c r="B11948" s="158">
        <v>4.93</v>
      </c>
    </row>
    <row r="11949" spans="1:2" x14ac:dyDescent="0.25">
      <c r="A11949" s="157">
        <v>39365</v>
      </c>
      <c r="B11949" s="158">
        <v>4.93</v>
      </c>
    </row>
    <row r="11950" spans="1:2" x14ac:dyDescent="0.25">
      <c r="A11950" s="157">
        <v>39366</v>
      </c>
      <c r="B11950" s="158">
        <v>4.95</v>
      </c>
    </row>
    <row r="11951" spans="1:2" x14ac:dyDescent="0.25">
      <c r="A11951" s="157">
        <v>39367</v>
      </c>
      <c r="B11951" s="158">
        <v>4.9800000000000004</v>
      </c>
    </row>
    <row r="11952" spans="1:2" x14ac:dyDescent="0.25">
      <c r="A11952" s="157">
        <v>39370</v>
      </c>
      <c r="B11952" s="158">
        <v>4.9800000000000004</v>
      </c>
    </row>
    <row r="11953" spans="1:2" x14ac:dyDescent="0.25">
      <c r="A11953" s="157">
        <v>39371</v>
      </c>
      <c r="B11953" s="158">
        <v>4.97</v>
      </c>
    </row>
    <row r="11954" spans="1:2" x14ac:dyDescent="0.25">
      <c r="A11954" s="157">
        <v>39372</v>
      </c>
      <c r="B11954" s="158">
        <v>4.88</v>
      </c>
    </row>
    <row r="11955" spans="1:2" x14ac:dyDescent="0.25">
      <c r="A11955" s="157">
        <v>39373</v>
      </c>
      <c r="B11955" s="158">
        <v>4.84</v>
      </c>
    </row>
    <row r="11956" spans="1:2" x14ac:dyDescent="0.25">
      <c r="A11956" s="157">
        <v>39374</v>
      </c>
      <c r="B11956" s="158">
        <v>4.74</v>
      </c>
    </row>
    <row r="11957" spans="1:2" x14ac:dyDescent="0.25">
      <c r="A11957" s="157">
        <v>39377</v>
      </c>
      <c r="B11957" s="158">
        <v>4.7300000000000004</v>
      </c>
    </row>
    <row r="11958" spans="1:2" x14ac:dyDescent="0.25">
      <c r="A11958" s="157">
        <v>39378</v>
      </c>
      <c r="B11958" s="158">
        <v>4.74</v>
      </c>
    </row>
    <row r="11959" spans="1:2" x14ac:dyDescent="0.25">
      <c r="A11959" s="157">
        <v>39379</v>
      </c>
      <c r="B11959" s="158">
        <v>4.6900000000000004</v>
      </c>
    </row>
    <row r="11960" spans="1:2" x14ac:dyDescent="0.25">
      <c r="A11960" s="157">
        <v>39380</v>
      </c>
      <c r="B11960" s="158">
        <v>4.7</v>
      </c>
    </row>
    <row r="11961" spans="1:2" x14ac:dyDescent="0.25">
      <c r="A11961" s="157">
        <v>39381</v>
      </c>
      <c r="B11961" s="158">
        <v>4.7300000000000004</v>
      </c>
    </row>
    <row r="11962" spans="1:2" x14ac:dyDescent="0.25">
      <c r="A11962" s="157">
        <v>39384</v>
      </c>
      <c r="B11962" s="158">
        <v>4.71</v>
      </c>
    </row>
    <row r="11963" spans="1:2" x14ac:dyDescent="0.25">
      <c r="A11963" s="157">
        <v>39385</v>
      </c>
      <c r="B11963" s="158">
        <v>4.72</v>
      </c>
    </row>
    <row r="11964" spans="1:2" x14ac:dyDescent="0.25">
      <c r="A11964" s="157">
        <v>39386</v>
      </c>
      <c r="B11964" s="158">
        <v>4.79</v>
      </c>
    </row>
    <row r="11965" spans="1:2" x14ac:dyDescent="0.25">
      <c r="A11965" s="157">
        <v>39387</v>
      </c>
      <c r="B11965" s="158">
        <v>4.6900000000000004</v>
      </c>
    </row>
    <row r="11966" spans="1:2" x14ac:dyDescent="0.25">
      <c r="A11966" s="157">
        <v>39388</v>
      </c>
      <c r="B11966" s="158">
        <v>4.6500000000000004</v>
      </c>
    </row>
    <row r="11967" spans="1:2" x14ac:dyDescent="0.25">
      <c r="A11967" s="157">
        <v>39391</v>
      </c>
      <c r="B11967" s="158">
        <v>4.67</v>
      </c>
    </row>
    <row r="11968" spans="1:2" x14ac:dyDescent="0.25">
      <c r="A11968" s="157">
        <v>39392</v>
      </c>
      <c r="B11968" s="158">
        <v>4.7</v>
      </c>
    </row>
    <row r="11969" spans="1:2" x14ac:dyDescent="0.25">
      <c r="A11969" s="157">
        <v>39393</v>
      </c>
      <c r="B11969" s="158">
        <v>4.71</v>
      </c>
    </row>
    <row r="11970" spans="1:2" x14ac:dyDescent="0.25">
      <c r="A11970" s="157">
        <v>39394</v>
      </c>
      <c r="B11970" s="158">
        <v>4.7</v>
      </c>
    </row>
    <row r="11971" spans="1:2" x14ac:dyDescent="0.25">
      <c r="A11971" s="157">
        <v>39395</v>
      </c>
      <c r="B11971" s="158">
        <v>4.6399999999999997</v>
      </c>
    </row>
    <row r="11972" spans="1:2" x14ac:dyDescent="0.25">
      <c r="A11972" s="157">
        <v>39398</v>
      </c>
      <c r="B11972" s="158" t="e">
        <f>NA()</f>
        <v>#N/A</v>
      </c>
    </row>
    <row r="11973" spans="1:2" x14ac:dyDescent="0.25">
      <c r="A11973" s="157">
        <v>39399</v>
      </c>
      <c r="B11973" s="158">
        <v>4.6399999999999997</v>
      </c>
    </row>
    <row r="11974" spans="1:2" x14ac:dyDescent="0.25">
      <c r="A11974" s="157">
        <v>39400</v>
      </c>
      <c r="B11974" s="158">
        <v>4.6500000000000004</v>
      </c>
    </row>
    <row r="11975" spans="1:2" x14ac:dyDescent="0.25">
      <c r="A11975" s="157">
        <v>39401</v>
      </c>
      <c r="B11975" s="158">
        <v>4.58</v>
      </c>
    </row>
    <row r="11976" spans="1:2" x14ac:dyDescent="0.25">
      <c r="A11976" s="157">
        <v>39402</v>
      </c>
      <c r="B11976" s="158">
        <v>4.5599999999999996</v>
      </c>
    </row>
    <row r="11977" spans="1:2" x14ac:dyDescent="0.25">
      <c r="A11977" s="157">
        <v>39405</v>
      </c>
      <c r="B11977" s="158">
        <v>4.5</v>
      </c>
    </row>
    <row r="11978" spans="1:2" x14ac:dyDescent="0.25">
      <c r="A11978" s="157">
        <v>39406</v>
      </c>
      <c r="B11978" s="158">
        <v>4.51</v>
      </c>
    </row>
    <row r="11979" spans="1:2" x14ac:dyDescent="0.25">
      <c r="A11979" s="157">
        <v>39407</v>
      </c>
      <c r="B11979" s="158">
        <v>4.49</v>
      </c>
    </row>
    <row r="11980" spans="1:2" x14ac:dyDescent="0.25">
      <c r="A11980" s="157">
        <v>39408</v>
      </c>
      <c r="B11980" s="158" t="e">
        <f>NA()</f>
        <v>#N/A</v>
      </c>
    </row>
    <row r="11981" spans="1:2" x14ac:dyDescent="0.25">
      <c r="A11981" s="157">
        <v>39409</v>
      </c>
      <c r="B11981" s="158">
        <v>4.46</v>
      </c>
    </row>
    <row r="11982" spans="1:2" x14ac:dyDescent="0.25">
      <c r="A11982" s="157">
        <v>39412</v>
      </c>
      <c r="B11982" s="158">
        <v>4.29</v>
      </c>
    </row>
    <row r="11983" spans="1:2" x14ac:dyDescent="0.25">
      <c r="A11983" s="157">
        <v>39413</v>
      </c>
      <c r="B11983" s="158">
        <v>4.4000000000000004</v>
      </c>
    </row>
    <row r="11984" spans="1:2" x14ac:dyDescent="0.25">
      <c r="A11984" s="157">
        <v>39414</v>
      </c>
      <c r="B11984" s="158">
        <v>4.46</v>
      </c>
    </row>
    <row r="11985" spans="1:2" x14ac:dyDescent="0.25">
      <c r="A11985" s="157">
        <v>39415</v>
      </c>
      <c r="B11985" s="158">
        <v>4.3899999999999997</v>
      </c>
    </row>
    <row r="11986" spans="1:2" x14ac:dyDescent="0.25">
      <c r="A11986" s="157">
        <v>39416</v>
      </c>
      <c r="B11986" s="158">
        <v>4.4400000000000004</v>
      </c>
    </row>
    <row r="11987" spans="1:2" x14ac:dyDescent="0.25">
      <c r="A11987" s="157">
        <v>39419</v>
      </c>
      <c r="B11987" s="158">
        <v>4.38</v>
      </c>
    </row>
    <row r="11988" spans="1:2" x14ac:dyDescent="0.25">
      <c r="A11988" s="157">
        <v>39420</v>
      </c>
      <c r="B11988" s="158">
        <v>4.38</v>
      </c>
    </row>
    <row r="11989" spans="1:2" x14ac:dyDescent="0.25">
      <c r="A11989" s="157">
        <v>39421</v>
      </c>
      <c r="B11989" s="158">
        <v>4.42</v>
      </c>
    </row>
    <row r="11990" spans="1:2" x14ac:dyDescent="0.25">
      <c r="A11990" s="157">
        <v>39422</v>
      </c>
      <c r="B11990" s="158">
        <v>4.5199999999999996</v>
      </c>
    </row>
    <row r="11991" spans="1:2" x14ac:dyDescent="0.25">
      <c r="A11991" s="157">
        <v>39423</v>
      </c>
      <c r="B11991" s="158">
        <v>4.62</v>
      </c>
    </row>
    <row r="11992" spans="1:2" x14ac:dyDescent="0.25">
      <c r="A11992" s="157">
        <v>39426</v>
      </c>
      <c r="B11992" s="158">
        <v>4.6399999999999997</v>
      </c>
    </row>
    <row r="11993" spans="1:2" x14ac:dyDescent="0.25">
      <c r="A11993" s="157">
        <v>39427</v>
      </c>
      <c r="B11993" s="158">
        <v>4.51</v>
      </c>
    </row>
    <row r="11994" spans="1:2" x14ac:dyDescent="0.25">
      <c r="A11994" s="157">
        <v>39428</v>
      </c>
      <c r="B11994" s="158">
        <v>4.55</v>
      </c>
    </row>
    <row r="11995" spans="1:2" x14ac:dyDescent="0.25">
      <c r="A11995" s="157">
        <v>39429</v>
      </c>
      <c r="B11995" s="158">
        <v>4.66</v>
      </c>
    </row>
    <row r="11996" spans="1:2" x14ac:dyDescent="0.25">
      <c r="A11996" s="157">
        <v>39430</v>
      </c>
      <c r="B11996" s="158">
        <v>4.71</v>
      </c>
    </row>
    <row r="11997" spans="1:2" x14ac:dyDescent="0.25">
      <c r="A11997" s="157">
        <v>39433</v>
      </c>
      <c r="B11997" s="158">
        <v>4.67</v>
      </c>
    </row>
    <row r="11998" spans="1:2" x14ac:dyDescent="0.25">
      <c r="A11998" s="157">
        <v>39434</v>
      </c>
      <c r="B11998" s="158">
        <v>4.5999999999999996</v>
      </c>
    </row>
    <row r="11999" spans="1:2" x14ac:dyDescent="0.25">
      <c r="A11999" s="157">
        <v>39435</v>
      </c>
      <c r="B11999" s="158">
        <v>4.5199999999999996</v>
      </c>
    </row>
    <row r="12000" spans="1:2" x14ac:dyDescent="0.25">
      <c r="A12000" s="157">
        <v>39436</v>
      </c>
      <c r="B12000" s="158">
        <v>4.5</v>
      </c>
    </row>
    <row r="12001" spans="1:2" x14ac:dyDescent="0.25">
      <c r="A12001" s="157">
        <v>39437</v>
      </c>
      <c r="B12001" s="158">
        <v>4.62</v>
      </c>
    </row>
    <row r="12002" spans="1:2" x14ac:dyDescent="0.25">
      <c r="A12002" s="157">
        <v>39440</v>
      </c>
      <c r="B12002" s="158">
        <v>4.67</v>
      </c>
    </row>
    <row r="12003" spans="1:2" x14ac:dyDescent="0.25">
      <c r="A12003" s="157">
        <v>39441</v>
      </c>
      <c r="B12003" s="158" t="e">
        <f>NA()</f>
        <v>#N/A</v>
      </c>
    </row>
    <row r="12004" spans="1:2" x14ac:dyDescent="0.25">
      <c r="A12004" s="157">
        <v>39442</v>
      </c>
      <c r="B12004" s="158">
        <v>4.7300000000000004</v>
      </c>
    </row>
    <row r="12005" spans="1:2" x14ac:dyDescent="0.25">
      <c r="A12005" s="157">
        <v>39443</v>
      </c>
      <c r="B12005" s="158">
        <v>4.66</v>
      </c>
    </row>
    <row r="12006" spans="1:2" x14ac:dyDescent="0.25">
      <c r="A12006" s="157">
        <v>39444</v>
      </c>
      <c r="B12006" s="158">
        <v>4.5599999999999996</v>
      </c>
    </row>
    <row r="12007" spans="1:2" x14ac:dyDescent="0.25">
      <c r="A12007" s="157">
        <v>39447</v>
      </c>
      <c r="B12007" s="158">
        <v>4.5</v>
      </c>
    </row>
    <row r="12008" spans="1:2" x14ac:dyDescent="0.25">
      <c r="A12008" s="157">
        <v>39448</v>
      </c>
      <c r="B12008" s="158" t="e">
        <f>NA()</f>
        <v>#N/A</v>
      </c>
    </row>
    <row r="12009" spans="1:2" x14ac:dyDescent="0.25">
      <c r="A12009" s="157">
        <v>39449</v>
      </c>
      <c r="B12009" s="158">
        <v>4.3899999999999997</v>
      </c>
    </row>
    <row r="12010" spans="1:2" x14ac:dyDescent="0.25">
      <c r="A12010" s="157">
        <v>39450</v>
      </c>
      <c r="B12010" s="158">
        <v>4.41</v>
      </c>
    </row>
    <row r="12011" spans="1:2" x14ac:dyDescent="0.25">
      <c r="A12011" s="157">
        <v>39451</v>
      </c>
      <c r="B12011" s="158">
        <v>4.4000000000000004</v>
      </c>
    </row>
    <row r="12012" spans="1:2" x14ac:dyDescent="0.25">
      <c r="A12012" s="157">
        <v>39454</v>
      </c>
      <c r="B12012" s="158">
        <v>4.37</v>
      </c>
    </row>
    <row r="12013" spans="1:2" x14ac:dyDescent="0.25">
      <c r="A12013" s="157">
        <v>39455</v>
      </c>
      <c r="B12013" s="158">
        <v>4.3899999999999997</v>
      </c>
    </row>
    <row r="12014" spans="1:2" x14ac:dyDescent="0.25">
      <c r="A12014" s="157">
        <v>39456</v>
      </c>
      <c r="B12014" s="158">
        <v>4.3499999999999996</v>
      </c>
    </row>
    <row r="12015" spans="1:2" x14ac:dyDescent="0.25">
      <c r="A12015" s="157">
        <v>39457</v>
      </c>
      <c r="B12015" s="158">
        <v>4.47</v>
      </c>
    </row>
    <row r="12016" spans="1:2" x14ac:dyDescent="0.25">
      <c r="A12016" s="157">
        <v>39458</v>
      </c>
      <c r="B12016" s="158">
        <v>4.4000000000000004</v>
      </c>
    </row>
    <row r="12017" spans="1:2" x14ac:dyDescent="0.25">
      <c r="A12017" s="157">
        <v>39461</v>
      </c>
      <c r="B12017" s="158">
        <v>4.3899999999999997</v>
      </c>
    </row>
    <row r="12018" spans="1:2" x14ac:dyDescent="0.25">
      <c r="A12018" s="157">
        <v>39462</v>
      </c>
      <c r="B12018" s="158">
        <v>4.3</v>
      </c>
    </row>
    <row r="12019" spans="1:2" x14ac:dyDescent="0.25">
      <c r="A12019" s="157">
        <v>39463</v>
      </c>
      <c r="B12019" s="158">
        <v>4.34</v>
      </c>
    </row>
    <row r="12020" spans="1:2" x14ac:dyDescent="0.25">
      <c r="A12020" s="157">
        <v>39464</v>
      </c>
      <c r="B12020" s="158">
        <v>4.2699999999999996</v>
      </c>
    </row>
    <row r="12021" spans="1:2" x14ac:dyDescent="0.25">
      <c r="A12021" s="157">
        <v>39465</v>
      </c>
      <c r="B12021" s="158">
        <v>4.3</v>
      </c>
    </row>
    <row r="12022" spans="1:2" x14ac:dyDescent="0.25">
      <c r="A12022" s="157">
        <v>39468</v>
      </c>
      <c r="B12022" s="158" t="e">
        <f>NA()</f>
        <v>#N/A</v>
      </c>
    </row>
    <row r="12023" spans="1:2" x14ac:dyDescent="0.25">
      <c r="A12023" s="157">
        <v>39469</v>
      </c>
      <c r="B12023" s="158">
        <v>4.2300000000000004</v>
      </c>
    </row>
    <row r="12024" spans="1:2" x14ac:dyDescent="0.25">
      <c r="A12024" s="157">
        <v>39470</v>
      </c>
      <c r="B12024" s="158">
        <v>4.2300000000000004</v>
      </c>
    </row>
    <row r="12025" spans="1:2" x14ac:dyDescent="0.25">
      <c r="A12025" s="157">
        <v>39471</v>
      </c>
      <c r="B12025" s="158">
        <v>4.37</v>
      </c>
    </row>
    <row r="12026" spans="1:2" x14ac:dyDescent="0.25">
      <c r="A12026" s="157">
        <v>39472</v>
      </c>
      <c r="B12026" s="158">
        <v>4.3</v>
      </c>
    </row>
    <row r="12027" spans="1:2" x14ac:dyDescent="0.25">
      <c r="A12027" s="157">
        <v>39475</v>
      </c>
      <c r="B12027" s="158">
        <v>4.3</v>
      </c>
    </row>
    <row r="12028" spans="1:2" x14ac:dyDescent="0.25">
      <c r="A12028" s="157">
        <v>39476</v>
      </c>
      <c r="B12028" s="158">
        <v>4.3499999999999996</v>
      </c>
    </row>
    <row r="12029" spans="1:2" x14ac:dyDescent="0.25">
      <c r="A12029" s="157">
        <v>39477</v>
      </c>
      <c r="B12029" s="158">
        <v>4.45</v>
      </c>
    </row>
    <row r="12030" spans="1:2" x14ac:dyDescent="0.25">
      <c r="A12030" s="157">
        <v>39478</v>
      </c>
      <c r="B12030" s="158">
        <v>4.3499999999999996</v>
      </c>
    </row>
    <row r="12031" spans="1:2" x14ac:dyDescent="0.25">
      <c r="A12031" s="157">
        <v>39479</v>
      </c>
      <c r="B12031" s="158">
        <v>4.3099999999999996</v>
      </c>
    </row>
    <row r="12032" spans="1:2" x14ac:dyDescent="0.25">
      <c r="A12032" s="157">
        <v>39482</v>
      </c>
      <c r="B12032" s="158">
        <v>4.37</v>
      </c>
    </row>
    <row r="12033" spans="1:2" x14ac:dyDescent="0.25">
      <c r="A12033" s="157">
        <v>39483</v>
      </c>
      <c r="B12033" s="158">
        <v>4.32</v>
      </c>
    </row>
    <row r="12034" spans="1:2" x14ac:dyDescent="0.25">
      <c r="A12034" s="157">
        <v>39484</v>
      </c>
      <c r="B12034" s="158">
        <v>4.3600000000000003</v>
      </c>
    </row>
    <row r="12035" spans="1:2" x14ac:dyDescent="0.25">
      <c r="A12035" s="157">
        <v>39485</v>
      </c>
      <c r="B12035" s="158">
        <v>4.5</v>
      </c>
    </row>
    <row r="12036" spans="1:2" x14ac:dyDescent="0.25">
      <c r="A12036" s="157">
        <v>39486</v>
      </c>
      <c r="B12036" s="158">
        <v>4.41</v>
      </c>
    </row>
    <row r="12037" spans="1:2" x14ac:dyDescent="0.25">
      <c r="A12037" s="157">
        <v>39489</v>
      </c>
      <c r="B12037" s="158">
        <v>4.38</v>
      </c>
    </row>
    <row r="12038" spans="1:2" x14ac:dyDescent="0.25">
      <c r="A12038" s="157">
        <v>39490</v>
      </c>
      <c r="B12038" s="158">
        <v>4.43</v>
      </c>
    </row>
    <row r="12039" spans="1:2" x14ac:dyDescent="0.25">
      <c r="A12039" s="157">
        <v>39491</v>
      </c>
      <c r="B12039" s="158">
        <v>4.4800000000000004</v>
      </c>
    </row>
    <row r="12040" spans="1:2" x14ac:dyDescent="0.25">
      <c r="A12040" s="157">
        <v>39492</v>
      </c>
      <c r="B12040" s="158">
        <v>4.63</v>
      </c>
    </row>
    <row r="12041" spans="1:2" x14ac:dyDescent="0.25">
      <c r="A12041" s="157">
        <v>39493</v>
      </c>
      <c r="B12041" s="158">
        <v>4.55</v>
      </c>
    </row>
    <row r="12042" spans="1:2" x14ac:dyDescent="0.25">
      <c r="A12042" s="157">
        <v>39496</v>
      </c>
      <c r="B12042" s="158" t="e">
        <f>NA()</f>
        <v>#N/A</v>
      </c>
    </row>
    <row r="12043" spans="1:2" x14ac:dyDescent="0.25">
      <c r="A12043" s="157">
        <v>39497</v>
      </c>
      <c r="B12043" s="158">
        <v>4.63</v>
      </c>
    </row>
    <row r="12044" spans="1:2" x14ac:dyDescent="0.25">
      <c r="A12044" s="157">
        <v>39498</v>
      </c>
      <c r="B12044" s="158">
        <v>4.63</v>
      </c>
    </row>
    <row r="12045" spans="1:2" x14ac:dyDescent="0.25">
      <c r="A12045" s="157">
        <v>39499</v>
      </c>
      <c r="B12045" s="158">
        <v>4.5199999999999996</v>
      </c>
    </row>
    <row r="12046" spans="1:2" x14ac:dyDescent="0.25">
      <c r="A12046" s="157">
        <v>39500</v>
      </c>
      <c r="B12046" s="158">
        <v>4.55</v>
      </c>
    </row>
    <row r="12047" spans="1:2" x14ac:dyDescent="0.25">
      <c r="A12047" s="157">
        <v>39503</v>
      </c>
      <c r="B12047" s="158">
        <v>4.6500000000000004</v>
      </c>
    </row>
    <row r="12048" spans="1:2" x14ac:dyDescent="0.25">
      <c r="A12048" s="157">
        <v>39504</v>
      </c>
      <c r="B12048" s="158">
        <v>4.6399999999999997</v>
      </c>
    </row>
    <row r="12049" spans="1:2" x14ac:dyDescent="0.25">
      <c r="A12049" s="157">
        <v>39505</v>
      </c>
      <c r="B12049" s="158">
        <v>4.62</v>
      </c>
    </row>
    <row r="12050" spans="1:2" x14ac:dyDescent="0.25">
      <c r="A12050" s="157">
        <v>39506</v>
      </c>
      <c r="B12050" s="158">
        <v>4.51</v>
      </c>
    </row>
    <row r="12051" spans="1:2" x14ac:dyDescent="0.25">
      <c r="A12051" s="157">
        <v>39507</v>
      </c>
      <c r="B12051" s="158">
        <v>4.37</v>
      </c>
    </row>
    <row r="12052" spans="1:2" x14ac:dyDescent="0.25">
      <c r="A12052" s="157">
        <v>39510</v>
      </c>
      <c r="B12052" s="158">
        <v>4.37</v>
      </c>
    </row>
    <row r="12053" spans="1:2" x14ac:dyDescent="0.25">
      <c r="A12053" s="157">
        <v>39511</v>
      </c>
      <c r="B12053" s="158">
        <v>4.46</v>
      </c>
    </row>
    <row r="12054" spans="1:2" x14ac:dyDescent="0.25">
      <c r="A12054" s="157">
        <v>39512</v>
      </c>
      <c r="B12054" s="158">
        <v>4.55</v>
      </c>
    </row>
    <row r="12055" spans="1:2" x14ac:dyDescent="0.25">
      <c r="A12055" s="157">
        <v>39513</v>
      </c>
      <c r="B12055" s="158">
        <v>4.5199999999999996</v>
      </c>
    </row>
    <row r="12056" spans="1:2" x14ac:dyDescent="0.25">
      <c r="A12056" s="157">
        <v>39514</v>
      </c>
      <c r="B12056" s="158">
        <v>4.49</v>
      </c>
    </row>
    <row r="12057" spans="1:2" x14ac:dyDescent="0.25">
      <c r="A12057" s="157">
        <v>39517</v>
      </c>
      <c r="B12057" s="158">
        <v>4.3899999999999997</v>
      </c>
    </row>
    <row r="12058" spans="1:2" x14ac:dyDescent="0.25">
      <c r="A12058" s="157">
        <v>39518</v>
      </c>
      <c r="B12058" s="158">
        <v>4.4800000000000004</v>
      </c>
    </row>
    <row r="12059" spans="1:2" x14ac:dyDescent="0.25">
      <c r="A12059" s="157">
        <v>39519</v>
      </c>
      <c r="B12059" s="158">
        <v>4.3499999999999996</v>
      </c>
    </row>
    <row r="12060" spans="1:2" x14ac:dyDescent="0.25">
      <c r="A12060" s="157">
        <v>39520</v>
      </c>
      <c r="B12060" s="158">
        <v>4.42</v>
      </c>
    </row>
    <row r="12061" spans="1:2" x14ac:dyDescent="0.25">
      <c r="A12061" s="157">
        <v>39521</v>
      </c>
      <c r="B12061" s="158">
        <v>4.3</v>
      </c>
    </row>
    <row r="12062" spans="1:2" x14ac:dyDescent="0.25">
      <c r="A12062" s="157">
        <v>39524</v>
      </c>
      <c r="B12062" s="158">
        <v>4.24</v>
      </c>
    </row>
    <row r="12063" spans="1:2" x14ac:dyDescent="0.25">
      <c r="A12063" s="157">
        <v>39525</v>
      </c>
      <c r="B12063" s="158">
        <v>4.3</v>
      </c>
    </row>
    <row r="12064" spans="1:2" x14ac:dyDescent="0.25">
      <c r="A12064" s="157">
        <v>39526</v>
      </c>
      <c r="B12064" s="158">
        <v>4.2</v>
      </c>
    </row>
    <row r="12065" spans="1:2" x14ac:dyDescent="0.25">
      <c r="A12065" s="157">
        <v>39527</v>
      </c>
      <c r="B12065" s="158">
        <v>4.1500000000000004</v>
      </c>
    </row>
    <row r="12066" spans="1:2" x14ac:dyDescent="0.25">
      <c r="A12066" s="157">
        <v>39528</v>
      </c>
      <c r="B12066" s="158" t="e">
        <f>NA()</f>
        <v>#N/A</v>
      </c>
    </row>
    <row r="12067" spans="1:2" x14ac:dyDescent="0.25">
      <c r="A12067" s="157">
        <v>39531</v>
      </c>
      <c r="B12067" s="158">
        <v>4.3099999999999996</v>
      </c>
    </row>
    <row r="12068" spans="1:2" x14ac:dyDescent="0.25">
      <c r="A12068" s="157">
        <v>39532</v>
      </c>
      <c r="B12068" s="158">
        <v>4.29</v>
      </c>
    </row>
    <row r="12069" spans="1:2" x14ac:dyDescent="0.25">
      <c r="A12069" s="157">
        <v>39533</v>
      </c>
      <c r="B12069" s="158">
        <v>4.3099999999999996</v>
      </c>
    </row>
    <row r="12070" spans="1:2" x14ac:dyDescent="0.25">
      <c r="A12070" s="157">
        <v>39534</v>
      </c>
      <c r="B12070" s="158">
        <v>4.37</v>
      </c>
    </row>
    <row r="12071" spans="1:2" x14ac:dyDescent="0.25">
      <c r="A12071" s="157">
        <v>39535</v>
      </c>
      <c r="B12071" s="158">
        <v>4.32</v>
      </c>
    </row>
    <row r="12072" spans="1:2" x14ac:dyDescent="0.25">
      <c r="A12072" s="157">
        <v>39538</v>
      </c>
      <c r="B12072" s="158">
        <v>4.3</v>
      </c>
    </row>
    <row r="12073" spans="1:2" x14ac:dyDescent="0.25">
      <c r="A12073" s="157">
        <v>39539</v>
      </c>
      <c r="B12073" s="158">
        <v>4.4000000000000004</v>
      </c>
    </row>
    <row r="12074" spans="1:2" x14ac:dyDescent="0.25">
      <c r="A12074" s="157">
        <v>39540</v>
      </c>
      <c r="B12074" s="158">
        <v>4.4000000000000004</v>
      </c>
    </row>
    <row r="12075" spans="1:2" x14ac:dyDescent="0.25">
      <c r="A12075" s="157">
        <v>39541</v>
      </c>
      <c r="B12075" s="158">
        <v>4.41</v>
      </c>
    </row>
    <row r="12076" spans="1:2" x14ac:dyDescent="0.25">
      <c r="A12076" s="157">
        <v>39542</v>
      </c>
      <c r="B12076" s="158">
        <v>4.32</v>
      </c>
    </row>
    <row r="12077" spans="1:2" x14ac:dyDescent="0.25">
      <c r="A12077" s="157">
        <v>39545</v>
      </c>
      <c r="B12077" s="158">
        <v>4.37</v>
      </c>
    </row>
    <row r="12078" spans="1:2" x14ac:dyDescent="0.25">
      <c r="A12078" s="157">
        <v>39546</v>
      </c>
      <c r="B12078" s="158">
        <v>4.37</v>
      </c>
    </row>
    <row r="12079" spans="1:2" x14ac:dyDescent="0.25">
      <c r="A12079" s="157">
        <v>39547</v>
      </c>
      <c r="B12079" s="158">
        <v>4.3</v>
      </c>
    </row>
    <row r="12080" spans="1:2" x14ac:dyDescent="0.25">
      <c r="A12080" s="157">
        <v>39548</v>
      </c>
      <c r="B12080" s="158">
        <v>4.33</v>
      </c>
    </row>
    <row r="12081" spans="1:2" x14ac:dyDescent="0.25">
      <c r="A12081" s="157">
        <v>39549</v>
      </c>
      <c r="B12081" s="158">
        <v>4.28</v>
      </c>
    </row>
    <row r="12082" spans="1:2" x14ac:dyDescent="0.25">
      <c r="A12082" s="157">
        <v>39552</v>
      </c>
      <c r="B12082" s="158">
        <v>4.32</v>
      </c>
    </row>
    <row r="12083" spans="1:2" x14ac:dyDescent="0.25">
      <c r="A12083" s="157">
        <v>39553</v>
      </c>
      <c r="B12083" s="158">
        <v>4.38</v>
      </c>
    </row>
    <row r="12084" spans="1:2" x14ac:dyDescent="0.25">
      <c r="A12084" s="157">
        <v>39554</v>
      </c>
      <c r="B12084" s="158">
        <v>4.49</v>
      </c>
    </row>
    <row r="12085" spans="1:2" x14ac:dyDescent="0.25">
      <c r="A12085" s="157">
        <v>39555</v>
      </c>
      <c r="B12085" s="158">
        <v>4.5</v>
      </c>
    </row>
    <row r="12086" spans="1:2" x14ac:dyDescent="0.25">
      <c r="A12086" s="157">
        <v>39556</v>
      </c>
      <c r="B12086" s="158">
        <v>4.5199999999999996</v>
      </c>
    </row>
    <row r="12087" spans="1:2" x14ac:dyDescent="0.25">
      <c r="A12087" s="157">
        <v>39559</v>
      </c>
      <c r="B12087" s="158">
        <v>4.4800000000000004</v>
      </c>
    </row>
    <row r="12088" spans="1:2" x14ac:dyDescent="0.25">
      <c r="A12088" s="157">
        <v>39560</v>
      </c>
      <c r="B12088" s="158">
        <v>4.47</v>
      </c>
    </row>
    <row r="12089" spans="1:2" x14ac:dyDescent="0.25">
      <c r="A12089" s="157">
        <v>39561</v>
      </c>
      <c r="B12089" s="158">
        <v>4.49</v>
      </c>
    </row>
    <row r="12090" spans="1:2" x14ac:dyDescent="0.25">
      <c r="A12090" s="157">
        <v>39562</v>
      </c>
      <c r="B12090" s="158">
        <v>4.5599999999999996</v>
      </c>
    </row>
    <row r="12091" spans="1:2" x14ac:dyDescent="0.25">
      <c r="A12091" s="157">
        <v>39563</v>
      </c>
      <c r="B12091" s="158">
        <v>4.6100000000000003</v>
      </c>
    </row>
    <row r="12092" spans="1:2" x14ac:dyDescent="0.25">
      <c r="A12092" s="157">
        <v>39566</v>
      </c>
      <c r="B12092" s="158">
        <v>4.57</v>
      </c>
    </row>
    <row r="12093" spans="1:2" x14ac:dyDescent="0.25">
      <c r="A12093" s="157">
        <v>39567</v>
      </c>
      <c r="B12093" s="158">
        <v>4.5599999999999996</v>
      </c>
    </row>
    <row r="12094" spans="1:2" x14ac:dyDescent="0.25">
      <c r="A12094" s="157">
        <v>39568</v>
      </c>
      <c r="B12094" s="158">
        <v>4.49</v>
      </c>
    </row>
    <row r="12095" spans="1:2" x14ac:dyDescent="0.25">
      <c r="A12095" s="157">
        <v>39569</v>
      </c>
      <c r="B12095" s="158">
        <v>4.49</v>
      </c>
    </row>
    <row r="12096" spans="1:2" x14ac:dyDescent="0.25">
      <c r="A12096" s="157">
        <v>39570</v>
      </c>
      <c r="B12096" s="158">
        <v>4.57</v>
      </c>
    </row>
    <row r="12097" spans="1:2" x14ac:dyDescent="0.25">
      <c r="A12097" s="157">
        <v>39573</v>
      </c>
      <c r="B12097" s="158">
        <v>4.58</v>
      </c>
    </row>
    <row r="12098" spans="1:2" x14ac:dyDescent="0.25">
      <c r="A12098" s="157">
        <v>39574</v>
      </c>
      <c r="B12098" s="158">
        <v>4.6399999999999997</v>
      </c>
    </row>
    <row r="12099" spans="1:2" x14ac:dyDescent="0.25">
      <c r="A12099" s="157">
        <v>39575</v>
      </c>
      <c r="B12099" s="158">
        <v>4.6100000000000003</v>
      </c>
    </row>
    <row r="12100" spans="1:2" x14ac:dyDescent="0.25">
      <c r="A12100" s="157">
        <v>39576</v>
      </c>
      <c r="B12100" s="158">
        <v>4.55</v>
      </c>
    </row>
    <row r="12101" spans="1:2" x14ac:dyDescent="0.25">
      <c r="A12101" s="157">
        <v>39577</v>
      </c>
      <c r="B12101" s="158">
        <v>4.5199999999999996</v>
      </c>
    </row>
    <row r="12102" spans="1:2" x14ac:dyDescent="0.25">
      <c r="A12102" s="157">
        <v>39580</v>
      </c>
      <c r="B12102" s="158">
        <v>4.5199999999999996</v>
      </c>
    </row>
    <row r="12103" spans="1:2" x14ac:dyDescent="0.25">
      <c r="A12103" s="157">
        <v>39581</v>
      </c>
      <c r="B12103" s="158">
        <v>4.6100000000000003</v>
      </c>
    </row>
    <row r="12104" spans="1:2" x14ac:dyDescent="0.25">
      <c r="A12104" s="157">
        <v>39582</v>
      </c>
      <c r="B12104" s="158">
        <v>4.63</v>
      </c>
    </row>
    <row r="12105" spans="1:2" x14ac:dyDescent="0.25">
      <c r="A12105" s="157">
        <v>39583</v>
      </c>
      <c r="B12105" s="158">
        <v>4.55</v>
      </c>
    </row>
    <row r="12106" spans="1:2" x14ac:dyDescent="0.25">
      <c r="A12106" s="157">
        <v>39584</v>
      </c>
      <c r="B12106" s="158">
        <v>4.57</v>
      </c>
    </row>
    <row r="12107" spans="1:2" x14ac:dyDescent="0.25">
      <c r="A12107" s="157">
        <v>39587</v>
      </c>
      <c r="B12107" s="158">
        <v>4.55</v>
      </c>
    </row>
    <row r="12108" spans="1:2" x14ac:dyDescent="0.25">
      <c r="A12108" s="157">
        <v>39588</v>
      </c>
      <c r="B12108" s="158">
        <v>4.5199999999999996</v>
      </c>
    </row>
    <row r="12109" spans="1:2" x14ac:dyDescent="0.25">
      <c r="A12109" s="157">
        <v>39589</v>
      </c>
      <c r="B12109" s="158">
        <v>4.53</v>
      </c>
    </row>
    <row r="12110" spans="1:2" x14ac:dyDescent="0.25">
      <c r="A12110" s="157">
        <v>39590</v>
      </c>
      <c r="B12110" s="158">
        <v>4.62</v>
      </c>
    </row>
    <row r="12111" spans="1:2" x14ac:dyDescent="0.25">
      <c r="A12111" s="157">
        <v>39591</v>
      </c>
      <c r="B12111" s="158">
        <v>4.5599999999999996</v>
      </c>
    </row>
    <row r="12112" spans="1:2" x14ac:dyDescent="0.25">
      <c r="A12112" s="157">
        <v>39594</v>
      </c>
      <c r="B12112" s="158" t="e">
        <f>NA()</f>
        <v>#N/A</v>
      </c>
    </row>
    <row r="12113" spans="1:2" x14ac:dyDescent="0.25">
      <c r="A12113" s="157">
        <v>39595</v>
      </c>
      <c r="B12113" s="158">
        <v>4.6500000000000004</v>
      </c>
    </row>
    <row r="12114" spans="1:2" x14ac:dyDescent="0.25">
      <c r="A12114" s="157">
        <v>39596</v>
      </c>
      <c r="B12114" s="158">
        <v>4.72</v>
      </c>
    </row>
    <row r="12115" spans="1:2" x14ac:dyDescent="0.25">
      <c r="A12115" s="157">
        <v>39597</v>
      </c>
      <c r="B12115" s="158">
        <v>4.7699999999999996</v>
      </c>
    </row>
    <row r="12116" spans="1:2" x14ac:dyDescent="0.25">
      <c r="A12116" s="157">
        <v>39598</v>
      </c>
      <c r="B12116" s="158">
        <v>4.74</v>
      </c>
    </row>
    <row r="12117" spans="1:2" x14ac:dyDescent="0.25">
      <c r="A12117" s="157">
        <v>39601</v>
      </c>
      <c r="B12117" s="158">
        <v>4.6900000000000004</v>
      </c>
    </row>
    <row r="12118" spans="1:2" x14ac:dyDescent="0.25">
      <c r="A12118" s="157">
        <v>39602</v>
      </c>
      <c r="B12118" s="158">
        <v>4.6399999999999997</v>
      </c>
    </row>
    <row r="12119" spans="1:2" x14ac:dyDescent="0.25">
      <c r="A12119" s="157">
        <v>39603</v>
      </c>
      <c r="B12119" s="158">
        <v>4.72</v>
      </c>
    </row>
    <row r="12120" spans="1:2" x14ac:dyDescent="0.25">
      <c r="A12120" s="157">
        <v>39604</v>
      </c>
      <c r="B12120" s="158">
        <v>4.7699999999999996</v>
      </c>
    </row>
    <row r="12121" spans="1:2" x14ac:dyDescent="0.25">
      <c r="A12121" s="157">
        <v>39605</v>
      </c>
      <c r="B12121" s="158">
        <v>4.67</v>
      </c>
    </row>
    <row r="12122" spans="1:2" x14ac:dyDescent="0.25">
      <c r="A12122" s="157">
        <v>39608</v>
      </c>
      <c r="B12122" s="158">
        <v>4.68</v>
      </c>
    </row>
    <row r="12123" spans="1:2" x14ac:dyDescent="0.25">
      <c r="A12123" s="157">
        <v>39609</v>
      </c>
      <c r="B12123" s="158">
        <v>4.76</v>
      </c>
    </row>
    <row r="12124" spans="1:2" x14ac:dyDescent="0.25">
      <c r="A12124" s="157">
        <v>39610</v>
      </c>
      <c r="B12124" s="158">
        <v>4.76</v>
      </c>
    </row>
    <row r="12125" spans="1:2" x14ac:dyDescent="0.25">
      <c r="A12125" s="157">
        <v>39611</v>
      </c>
      <c r="B12125" s="158">
        <v>4.83</v>
      </c>
    </row>
    <row r="12126" spans="1:2" x14ac:dyDescent="0.25">
      <c r="A12126" s="157">
        <v>39612</v>
      </c>
      <c r="B12126" s="158">
        <v>4.8600000000000003</v>
      </c>
    </row>
    <row r="12127" spans="1:2" x14ac:dyDescent="0.25">
      <c r="A12127" s="157">
        <v>39615</v>
      </c>
      <c r="B12127" s="158">
        <v>4.84</v>
      </c>
    </row>
    <row r="12128" spans="1:2" x14ac:dyDescent="0.25">
      <c r="A12128" s="157">
        <v>39616</v>
      </c>
      <c r="B12128" s="158">
        <v>4.8499999999999996</v>
      </c>
    </row>
    <row r="12129" spans="1:2" x14ac:dyDescent="0.25">
      <c r="A12129" s="157">
        <v>39617</v>
      </c>
      <c r="B12129" s="158">
        <v>4.7699999999999996</v>
      </c>
    </row>
    <row r="12130" spans="1:2" x14ac:dyDescent="0.25">
      <c r="A12130" s="157">
        <v>39618</v>
      </c>
      <c r="B12130" s="158">
        <v>4.82</v>
      </c>
    </row>
    <row r="12131" spans="1:2" x14ac:dyDescent="0.25">
      <c r="A12131" s="157">
        <v>39619</v>
      </c>
      <c r="B12131" s="158">
        <v>4.76</v>
      </c>
    </row>
    <row r="12132" spans="1:2" x14ac:dyDescent="0.25">
      <c r="A12132" s="157">
        <v>39622</v>
      </c>
      <c r="B12132" s="158">
        <v>4.7699999999999996</v>
      </c>
    </row>
    <row r="12133" spans="1:2" x14ac:dyDescent="0.25">
      <c r="A12133" s="157">
        <v>39623</v>
      </c>
      <c r="B12133" s="158">
        <v>4.7</v>
      </c>
    </row>
    <row r="12134" spans="1:2" x14ac:dyDescent="0.25">
      <c r="A12134" s="157">
        <v>39624</v>
      </c>
      <c r="B12134" s="158">
        <v>4.72</v>
      </c>
    </row>
    <row r="12135" spans="1:2" x14ac:dyDescent="0.25">
      <c r="A12135" s="157">
        <v>39625</v>
      </c>
      <c r="B12135" s="158">
        <v>4.67</v>
      </c>
    </row>
    <row r="12136" spans="1:2" x14ac:dyDescent="0.25">
      <c r="A12136" s="157">
        <v>39626</v>
      </c>
      <c r="B12136" s="158">
        <v>4.58</v>
      </c>
    </row>
    <row r="12137" spans="1:2" x14ac:dyDescent="0.25">
      <c r="A12137" s="157">
        <v>39629</v>
      </c>
      <c r="B12137" s="158">
        <v>4.59</v>
      </c>
    </row>
    <row r="12138" spans="1:2" x14ac:dyDescent="0.25">
      <c r="A12138" s="157">
        <v>39630</v>
      </c>
      <c r="B12138" s="158">
        <v>4.5999999999999996</v>
      </c>
    </row>
    <row r="12139" spans="1:2" x14ac:dyDescent="0.25">
      <c r="A12139" s="157">
        <v>39631</v>
      </c>
      <c r="B12139" s="158">
        <v>4.57</v>
      </c>
    </row>
    <row r="12140" spans="1:2" x14ac:dyDescent="0.25">
      <c r="A12140" s="157">
        <v>39632</v>
      </c>
      <c r="B12140" s="158">
        <v>4.58</v>
      </c>
    </row>
    <row r="12141" spans="1:2" x14ac:dyDescent="0.25">
      <c r="A12141" s="157">
        <v>39633</v>
      </c>
      <c r="B12141" s="158" t="e">
        <f>NA()</f>
        <v>#N/A</v>
      </c>
    </row>
    <row r="12142" spans="1:2" x14ac:dyDescent="0.25">
      <c r="A12142" s="157">
        <v>39636</v>
      </c>
      <c r="B12142" s="158">
        <v>4.55</v>
      </c>
    </row>
    <row r="12143" spans="1:2" x14ac:dyDescent="0.25">
      <c r="A12143" s="157">
        <v>39637</v>
      </c>
      <c r="B12143" s="158">
        <v>4.51</v>
      </c>
    </row>
    <row r="12144" spans="1:2" x14ac:dyDescent="0.25">
      <c r="A12144" s="157">
        <v>39638</v>
      </c>
      <c r="B12144" s="158">
        <v>4.47</v>
      </c>
    </row>
    <row r="12145" spans="1:2" x14ac:dyDescent="0.25">
      <c r="A12145" s="157">
        <v>39639</v>
      </c>
      <c r="B12145" s="158">
        <v>4.47</v>
      </c>
    </row>
    <row r="12146" spans="1:2" x14ac:dyDescent="0.25">
      <c r="A12146" s="157">
        <v>39640</v>
      </c>
      <c r="B12146" s="158">
        <v>4.57</v>
      </c>
    </row>
    <row r="12147" spans="1:2" x14ac:dyDescent="0.25">
      <c r="A12147" s="157">
        <v>39643</v>
      </c>
      <c r="B12147" s="158">
        <v>4.5199999999999996</v>
      </c>
    </row>
    <row r="12148" spans="1:2" x14ac:dyDescent="0.25">
      <c r="A12148" s="157">
        <v>39644</v>
      </c>
      <c r="B12148" s="158">
        <v>4.5199999999999996</v>
      </c>
    </row>
    <row r="12149" spans="1:2" x14ac:dyDescent="0.25">
      <c r="A12149" s="157">
        <v>39645</v>
      </c>
      <c r="B12149" s="158">
        <v>4.6399999999999997</v>
      </c>
    </row>
    <row r="12150" spans="1:2" x14ac:dyDescent="0.25">
      <c r="A12150" s="157">
        <v>39646</v>
      </c>
      <c r="B12150" s="158">
        <v>4.7</v>
      </c>
    </row>
    <row r="12151" spans="1:2" x14ac:dyDescent="0.25">
      <c r="A12151" s="157">
        <v>39647</v>
      </c>
      <c r="B12151" s="158">
        <v>4.71</v>
      </c>
    </row>
    <row r="12152" spans="1:2" x14ac:dyDescent="0.25">
      <c r="A12152" s="157">
        <v>39650</v>
      </c>
      <c r="B12152" s="158">
        <v>4.6900000000000004</v>
      </c>
    </row>
    <row r="12153" spans="1:2" x14ac:dyDescent="0.25">
      <c r="A12153" s="157">
        <v>39651</v>
      </c>
      <c r="B12153" s="158">
        <v>4.7300000000000004</v>
      </c>
    </row>
    <row r="12154" spans="1:2" x14ac:dyDescent="0.25">
      <c r="A12154" s="157">
        <v>39652</v>
      </c>
      <c r="B12154" s="158">
        <v>4.76</v>
      </c>
    </row>
    <row r="12155" spans="1:2" x14ac:dyDescent="0.25">
      <c r="A12155" s="157">
        <v>39653</v>
      </c>
      <c r="B12155" s="158">
        <v>4.66</v>
      </c>
    </row>
    <row r="12156" spans="1:2" x14ac:dyDescent="0.25">
      <c r="A12156" s="157">
        <v>39654</v>
      </c>
      <c r="B12156" s="158">
        <v>4.75</v>
      </c>
    </row>
    <row r="12157" spans="1:2" x14ac:dyDescent="0.25">
      <c r="A12157" s="157">
        <v>39657</v>
      </c>
      <c r="B12157" s="158">
        <v>4.6900000000000004</v>
      </c>
    </row>
    <row r="12158" spans="1:2" x14ac:dyDescent="0.25">
      <c r="A12158" s="157">
        <v>39658</v>
      </c>
      <c r="B12158" s="158">
        <v>4.7</v>
      </c>
    </row>
    <row r="12159" spans="1:2" x14ac:dyDescent="0.25">
      <c r="A12159" s="157">
        <v>39659</v>
      </c>
      <c r="B12159" s="158">
        <v>4.6900000000000004</v>
      </c>
    </row>
    <row r="12160" spans="1:2" x14ac:dyDescent="0.25">
      <c r="A12160" s="157">
        <v>39660</v>
      </c>
      <c r="B12160" s="158">
        <v>4.63</v>
      </c>
    </row>
    <row r="12161" spans="1:2" x14ac:dyDescent="0.25">
      <c r="A12161" s="157">
        <v>39661</v>
      </c>
      <c r="B12161" s="158">
        <v>4.6100000000000003</v>
      </c>
    </row>
    <row r="12162" spans="1:2" x14ac:dyDescent="0.25">
      <c r="A12162" s="157">
        <v>39664</v>
      </c>
      <c r="B12162" s="158">
        <v>4.62</v>
      </c>
    </row>
    <row r="12163" spans="1:2" x14ac:dyDescent="0.25">
      <c r="A12163" s="157">
        <v>39665</v>
      </c>
      <c r="B12163" s="158">
        <v>4.67</v>
      </c>
    </row>
    <row r="12164" spans="1:2" x14ac:dyDescent="0.25">
      <c r="A12164" s="157">
        <v>39666</v>
      </c>
      <c r="B12164" s="158">
        <v>4.71</v>
      </c>
    </row>
    <row r="12165" spans="1:2" x14ac:dyDescent="0.25">
      <c r="A12165" s="157">
        <v>39667</v>
      </c>
      <c r="B12165" s="158">
        <v>4.58</v>
      </c>
    </row>
    <row r="12166" spans="1:2" x14ac:dyDescent="0.25">
      <c r="A12166" s="157">
        <v>39668</v>
      </c>
      <c r="B12166" s="158">
        <v>4.58</v>
      </c>
    </row>
    <row r="12167" spans="1:2" x14ac:dyDescent="0.25">
      <c r="A12167" s="157">
        <v>39671</v>
      </c>
      <c r="B12167" s="158">
        <v>4.6399999999999997</v>
      </c>
    </row>
    <row r="12168" spans="1:2" x14ac:dyDescent="0.25">
      <c r="A12168" s="157">
        <v>39672</v>
      </c>
      <c r="B12168" s="158">
        <v>4.58</v>
      </c>
    </row>
    <row r="12169" spans="1:2" x14ac:dyDescent="0.25">
      <c r="A12169" s="157">
        <v>39673</v>
      </c>
      <c r="B12169" s="158">
        <v>4.6100000000000003</v>
      </c>
    </row>
    <row r="12170" spans="1:2" x14ac:dyDescent="0.25">
      <c r="A12170" s="157">
        <v>39674</v>
      </c>
      <c r="B12170" s="158">
        <v>4.55</v>
      </c>
    </row>
    <row r="12171" spans="1:2" x14ac:dyDescent="0.25">
      <c r="A12171" s="157">
        <v>39675</v>
      </c>
      <c r="B12171" s="158">
        <v>4.5</v>
      </c>
    </row>
    <row r="12172" spans="1:2" x14ac:dyDescent="0.25">
      <c r="A12172" s="157">
        <v>39678</v>
      </c>
      <c r="B12172" s="158">
        <v>4.47</v>
      </c>
    </row>
    <row r="12173" spans="1:2" x14ac:dyDescent="0.25">
      <c r="A12173" s="157">
        <v>39679</v>
      </c>
      <c r="B12173" s="158">
        <v>4.5</v>
      </c>
    </row>
    <row r="12174" spans="1:2" x14ac:dyDescent="0.25">
      <c r="A12174" s="157">
        <v>39680</v>
      </c>
      <c r="B12174" s="158">
        <v>4.46</v>
      </c>
    </row>
    <row r="12175" spans="1:2" x14ac:dyDescent="0.25">
      <c r="A12175" s="157">
        <v>39681</v>
      </c>
      <c r="B12175" s="158">
        <v>4.49</v>
      </c>
    </row>
    <row r="12176" spans="1:2" x14ac:dyDescent="0.25">
      <c r="A12176" s="157">
        <v>39682</v>
      </c>
      <c r="B12176" s="158">
        <v>4.5</v>
      </c>
    </row>
    <row r="12177" spans="1:2" x14ac:dyDescent="0.25">
      <c r="A12177" s="157">
        <v>39685</v>
      </c>
      <c r="B12177" s="158">
        <v>4.42</v>
      </c>
    </row>
    <row r="12178" spans="1:2" x14ac:dyDescent="0.25">
      <c r="A12178" s="157">
        <v>39686</v>
      </c>
      <c r="B12178" s="158">
        <v>4.43</v>
      </c>
    </row>
    <row r="12179" spans="1:2" x14ac:dyDescent="0.25">
      <c r="A12179" s="157">
        <v>39687</v>
      </c>
      <c r="B12179" s="158">
        <v>4.41</v>
      </c>
    </row>
    <row r="12180" spans="1:2" x14ac:dyDescent="0.25">
      <c r="A12180" s="157">
        <v>39688</v>
      </c>
      <c r="B12180" s="158">
        <v>4.41</v>
      </c>
    </row>
    <row r="12181" spans="1:2" x14ac:dyDescent="0.25">
      <c r="A12181" s="157">
        <v>39689</v>
      </c>
      <c r="B12181" s="158">
        <v>4.47</v>
      </c>
    </row>
    <row r="12182" spans="1:2" x14ac:dyDescent="0.25">
      <c r="A12182" s="157">
        <v>39692</v>
      </c>
      <c r="B12182" s="158" t="e">
        <f>NA()</f>
        <v>#N/A</v>
      </c>
    </row>
    <row r="12183" spans="1:2" x14ac:dyDescent="0.25">
      <c r="A12183" s="157">
        <v>39693</v>
      </c>
      <c r="B12183" s="158">
        <v>4.3899999999999997</v>
      </c>
    </row>
    <row r="12184" spans="1:2" x14ac:dyDescent="0.25">
      <c r="A12184" s="157">
        <v>39694</v>
      </c>
      <c r="B12184" s="158">
        <v>4.3600000000000003</v>
      </c>
    </row>
    <row r="12185" spans="1:2" x14ac:dyDescent="0.25">
      <c r="A12185" s="157">
        <v>39695</v>
      </c>
      <c r="B12185" s="158">
        <v>4.3099999999999996</v>
      </c>
    </row>
    <row r="12186" spans="1:2" x14ac:dyDescent="0.25">
      <c r="A12186" s="157">
        <v>39696</v>
      </c>
      <c r="B12186" s="158">
        <v>4.3099999999999996</v>
      </c>
    </row>
    <row r="12187" spans="1:2" x14ac:dyDescent="0.25">
      <c r="A12187" s="157">
        <v>39699</v>
      </c>
      <c r="B12187" s="158">
        <v>4.3</v>
      </c>
    </row>
    <row r="12188" spans="1:2" x14ac:dyDescent="0.25">
      <c r="A12188" s="157">
        <v>39700</v>
      </c>
      <c r="B12188" s="158">
        <v>4.24</v>
      </c>
    </row>
    <row r="12189" spans="1:2" x14ac:dyDescent="0.25">
      <c r="A12189" s="157">
        <v>39701</v>
      </c>
      <c r="B12189" s="158">
        <v>4.2699999999999996</v>
      </c>
    </row>
    <row r="12190" spans="1:2" x14ac:dyDescent="0.25">
      <c r="A12190" s="157">
        <v>39702</v>
      </c>
      <c r="B12190" s="158">
        <v>4.25</v>
      </c>
    </row>
    <row r="12191" spans="1:2" x14ac:dyDescent="0.25">
      <c r="A12191" s="157">
        <v>39703</v>
      </c>
      <c r="B12191" s="158">
        <v>4.3600000000000003</v>
      </c>
    </row>
    <row r="12192" spans="1:2" x14ac:dyDescent="0.25">
      <c r="A12192" s="157">
        <v>39706</v>
      </c>
      <c r="B12192" s="158">
        <v>4.1399999999999997</v>
      </c>
    </row>
    <row r="12193" spans="1:2" x14ac:dyDescent="0.25">
      <c r="A12193" s="157">
        <v>39707</v>
      </c>
      <c r="B12193" s="158">
        <v>4.12</v>
      </c>
    </row>
    <row r="12194" spans="1:2" x14ac:dyDescent="0.25">
      <c r="A12194" s="157">
        <v>39708</v>
      </c>
      <c r="B12194" s="158">
        <v>4.12</v>
      </c>
    </row>
    <row r="12195" spans="1:2" x14ac:dyDescent="0.25">
      <c r="A12195" s="157">
        <v>39709</v>
      </c>
      <c r="B12195" s="158">
        <v>4.1900000000000004</v>
      </c>
    </row>
    <row r="12196" spans="1:2" x14ac:dyDescent="0.25">
      <c r="A12196" s="157">
        <v>39710</v>
      </c>
      <c r="B12196" s="158">
        <v>4.42</v>
      </c>
    </row>
    <row r="12197" spans="1:2" x14ac:dyDescent="0.25">
      <c r="A12197" s="157">
        <v>39713</v>
      </c>
      <c r="B12197" s="158">
        <v>4.4800000000000004</v>
      </c>
    </row>
    <row r="12198" spans="1:2" x14ac:dyDescent="0.25">
      <c r="A12198" s="157">
        <v>39714</v>
      </c>
      <c r="B12198" s="158">
        <v>4.5</v>
      </c>
    </row>
    <row r="12199" spans="1:2" x14ac:dyDescent="0.25">
      <c r="A12199" s="157">
        <v>39715</v>
      </c>
      <c r="B12199" s="158">
        <v>4.4800000000000004</v>
      </c>
    </row>
    <row r="12200" spans="1:2" x14ac:dyDescent="0.25">
      <c r="A12200" s="157">
        <v>39716</v>
      </c>
      <c r="B12200" s="158">
        <v>4.4800000000000004</v>
      </c>
    </row>
    <row r="12201" spans="1:2" x14ac:dyDescent="0.25">
      <c r="A12201" s="157">
        <v>39717</v>
      </c>
      <c r="B12201" s="158">
        <v>4.4400000000000004</v>
      </c>
    </row>
    <row r="12202" spans="1:2" x14ac:dyDescent="0.25">
      <c r="A12202" s="157">
        <v>39720</v>
      </c>
      <c r="B12202" s="158">
        <v>4.21</v>
      </c>
    </row>
    <row r="12203" spans="1:2" x14ac:dyDescent="0.25">
      <c r="A12203" s="157">
        <v>39721</v>
      </c>
      <c r="B12203" s="158">
        <v>4.43</v>
      </c>
    </row>
    <row r="12204" spans="1:2" x14ac:dyDescent="0.25">
      <c r="A12204" s="157">
        <v>39722</v>
      </c>
      <c r="B12204" s="158">
        <v>4.33</v>
      </c>
    </row>
    <row r="12205" spans="1:2" x14ac:dyDescent="0.25">
      <c r="A12205" s="157">
        <v>39723</v>
      </c>
      <c r="B12205" s="158">
        <v>4.28</v>
      </c>
    </row>
    <row r="12206" spans="1:2" x14ac:dyDescent="0.25">
      <c r="A12206" s="157">
        <v>39724</v>
      </c>
      <c r="B12206" s="158">
        <v>4.26</v>
      </c>
    </row>
    <row r="12207" spans="1:2" x14ac:dyDescent="0.25">
      <c r="A12207" s="157">
        <v>39727</v>
      </c>
      <c r="B12207" s="158">
        <v>4.12</v>
      </c>
    </row>
    <row r="12208" spans="1:2" x14ac:dyDescent="0.25">
      <c r="A12208" s="157">
        <v>39728</v>
      </c>
      <c r="B12208" s="158">
        <v>4.1500000000000004</v>
      </c>
    </row>
    <row r="12209" spans="1:2" x14ac:dyDescent="0.25">
      <c r="A12209" s="157">
        <v>39729</v>
      </c>
      <c r="B12209" s="158">
        <v>4.3099999999999996</v>
      </c>
    </row>
    <row r="12210" spans="1:2" x14ac:dyDescent="0.25">
      <c r="A12210" s="157">
        <v>39730</v>
      </c>
      <c r="B12210" s="158">
        <v>4.41</v>
      </c>
    </row>
    <row r="12211" spans="1:2" x14ac:dyDescent="0.25">
      <c r="A12211" s="157">
        <v>39731</v>
      </c>
      <c r="B12211" s="158">
        <v>4.41</v>
      </c>
    </row>
    <row r="12212" spans="1:2" x14ac:dyDescent="0.25">
      <c r="A12212" s="157">
        <v>39734</v>
      </c>
      <c r="B12212" s="158" t="e">
        <f>NA()</f>
        <v>#N/A</v>
      </c>
    </row>
    <row r="12213" spans="1:2" x14ac:dyDescent="0.25">
      <c r="A12213" s="157">
        <v>39735</v>
      </c>
      <c r="B12213" s="158">
        <v>4.57</v>
      </c>
    </row>
    <row r="12214" spans="1:2" x14ac:dyDescent="0.25">
      <c r="A12214" s="157">
        <v>39736</v>
      </c>
      <c r="B12214" s="158">
        <v>4.57</v>
      </c>
    </row>
    <row r="12215" spans="1:2" x14ac:dyDescent="0.25">
      <c r="A12215" s="157">
        <v>39737</v>
      </c>
      <c r="B12215" s="158">
        <v>4.59</v>
      </c>
    </row>
    <row r="12216" spans="1:2" x14ac:dyDescent="0.25">
      <c r="A12216" s="157">
        <v>39738</v>
      </c>
      <c r="B12216" s="158">
        <v>4.66</v>
      </c>
    </row>
    <row r="12217" spans="1:2" x14ac:dyDescent="0.25">
      <c r="A12217" s="157">
        <v>39741</v>
      </c>
      <c r="B12217" s="158">
        <v>4.5999999999999996</v>
      </c>
    </row>
    <row r="12218" spans="1:2" x14ac:dyDescent="0.25">
      <c r="A12218" s="157">
        <v>39742</v>
      </c>
      <c r="B12218" s="158">
        <v>4.5199999999999996</v>
      </c>
    </row>
    <row r="12219" spans="1:2" x14ac:dyDescent="0.25">
      <c r="A12219" s="157">
        <v>39743</v>
      </c>
      <c r="B12219" s="158">
        <v>4.42</v>
      </c>
    </row>
    <row r="12220" spans="1:2" x14ac:dyDescent="0.25">
      <c r="A12220" s="157">
        <v>39744</v>
      </c>
      <c r="B12220" s="158">
        <v>4.34</v>
      </c>
    </row>
    <row r="12221" spans="1:2" x14ac:dyDescent="0.25">
      <c r="A12221" s="157">
        <v>39745</v>
      </c>
      <c r="B12221" s="158">
        <v>4.4400000000000004</v>
      </c>
    </row>
    <row r="12222" spans="1:2" x14ac:dyDescent="0.25">
      <c r="A12222" s="157">
        <v>39748</v>
      </c>
      <c r="B12222" s="158">
        <v>4.43</v>
      </c>
    </row>
    <row r="12223" spans="1:2" x14ac:dyDescent="0.25">
      <c r="A12223" s="157">
        <v>39749</v>
      </c>
      <c r="B12223" s="158">
        <v>4.51</v>
      </c>
    </row>
    <row r="12224" spans="1:2" x14ac:dyDescent="0.25">
      <c r="A12224" s="157">
        <v>39750</v>
      </c>
      <c r="B12224" s="158">
        <v>4.59</v>
      </c>
    </row>
    <row r="12225" spans="1:2" x14ac:dyDescent="0.25">
      <c r="A12225" s="157">
        <v>39751</v>
      </c>
      <c r="B12225" s="158">
        <v>4.67</v>
      </c>
    </row>
    <row r="12226" spans="1:2" x14ac:dyDescent="0.25">
      <c r="A12226" s="157">
        <v>39752</v>
      </c>
      <c r="B12226" s="158">
        <v>4.74</v>
      </c>
    </row>
    <row r="12227" spans="1:2" x14ac:dyDescent="0.25">
      <c r="A12227" s="157">
        <v>39755</v>
      </c>
      <c r="B12227" s="158">
        <v>4.7300000000000004</v>
      </c>
    </row>
    <row r="12228" spans="1:2" x14ac:dyDescent="0.25">
      <c r="A12228" s="157">
        <v>39756</v>
      </c>
      <c r="B12228" s="158">
        <v>4.58</v>
      </c>
    </row>
    <row r="12229" spans="1:2" x14ac:dyDescent="0.25">
      <c r="A12229" s="157">
        <v>39757</v>
      </c>
      <c r="B12229" s="158">
        <v>4.49</v>
      </c>
    </row>
    <row r="12230" spans="1:2" x14ac:dyDescent="0.25">
      <c r="A12230" s="157">
        <v>39758</v>
      </c>
      <c r="B12230" s="158">
        <v>4.5199999999999996</v>
      </c>
    </row>
    <row r="12231" spans="1:2" x14ac:dyDescent="0.25">
      <c r="A12231" s="157">
        <v>39759</v>
      </c>
      <c r="B12231" s="158">
        <v>4.57</v>
      </c>
    </row>
    <row r="12232" spans="1:2" x14ac:dyDescent="0.25">
      <c r="A12232" s="157">
        <v>39762</v>
      </c>
      <c r="B12232" s="158">
        <v>4.5</v>
      </c>
    </row>
    <row r="12233" spans="1:2" x14ac:dyDescent="0.25">
      <c r="A12233" s="157">
        <v>39763</v>
      </c>
      <c r="B12233" s="158" t="e">
        <f>NA()</f>
        <v>#N/A</v>
      </c>
    </row>
    <row r="12234" spans="1:2" x14ac:dyDescent="0.25">
      <c r="A12234" s="157">
        <v>39764</v>
      </c>
      <c r="B12234" s="158">
        <v>4.4400000000000004</v>
      </c>
    </row>
    <row r="12235" spans="1:2" x14ac:dyDescent="0.25">
      <c r="A12235" s="157">
        <v>39765</v>
      </c>
      <c r="B12235" s="158">
        <v>4.57</v>
      </c>
    </row>
    <row r="12236" spans="1:2" x14ac:dyDescent="0.25">
      <c r="A12236" s="157">
        <v>39766</v>
      </c>
      <c r="B12236" s="158">
        <v>4.43</v>
      </c>
    </row>
    <row r="12237" spans="1:2" x14ac:dyDescent="0.25">
      <c r="A12237" s="157">
        <v>39769</v>
      </c>
      <c r="B12237" s="158">
        <v>4.42</v>
      </c>
    </row>
    <row r="12238" spans="1:2" x14ac:dyDescent="0.25">
      <c r="A12238" s="157">
        <v>39770</v>
      </c>
      <c r="B12238" s="158">
        <v>4.32</v>
      </c>
    </row>
    <row r="12239" spans="1:2" x14ac:dyDescent="0.25">
      <c r="A12239" s="157">
        <v>39771</v>
      </c>
      <c r="B12239" s="158">
        <v>4.17</v>
      </c>
    </row>
    <row r="12240" spans="1:2" x14ac:dyDescent="0.25">
      <c r="A12240" s="157">
        <v>39772</v>
      </c>
      <c r="B12240" s="158">
        <v>3.87</v>
      </c>
    </row>
    <row r="12241" spans="1:2" x14ac:dyDescent="0.25">
      <c r="A12241" s="157">
        <v>39773</v>
      </c>
      <c r="B12241" s="158">
        <v>3.93</v>
      </c>
    </row>
    <row r="12242" spans="1:2" x14ac:dyDescent="0.25">
      <c r="A12242" s="157">
        <v>39776</v>
      </c>
      <c r="B12242" s="158">
        <v>4.01</v>
      </c>
    </row>
    <row r="12243" spans="1:2" x14ac:dyDescent="0.25">
      <c r="A12243" s="157">
        <v>39777</v>
      </c>
      <c r="B12243" s="158">
        <v>3.85</v>
      </c>
    </row>
    <row r="12244" spans="1:2" x14ac:dyDescent="0.25">
      <c r="A12244" s="157">
        <v>39778</v>
      </c>
      <c r="B12244" s="158">
        <v>3.77</v>
      </c>
    </row>
    <row r="12245" spans="1:2" x14ac:dyDescent="0.25">
      <c r="A12245" s="157">
        <v>39779</v>
      </c>
      <c r="B12245" s="158" t="e">
        <f>NA()</f>
        <v>#N/A</v>
      </c>
    </row>
    <row r="12246" spans="1:2" x14ac:dyDescent="0.25">
      <c r="A12246" s="157">
        <v>39780</v>
      </c>
      <c r="B12246" s="158">
        <v>3.71</v>
      </c>
    </row>
    <row r="12247" spans="1:2" x14ac:dyDescent="0.25">
      <c r="A12247" s="157">
        <v>39783</v>
      </c>
      <c r="B12247" s="158">
        <v>3.51</v>
      </c>
    </row>
    <row r="12248" spans="1:2" x14ac:dyDescent="0.25">
      <c r="A12248" s="157">
        <v>39784</v>
      </c>
      <c r="B12248" s="158">
        <v>3.47</v>
      </c>
    </row>
    <row r="12249" spans="1:2" x14ac:dyDescent="0.25">
      <c r="A12249" s="157">
        <v>39785</v>
      </c>
      <c r="B12249" s="158">
        <v>3.45</v>
      </c>
    </row>
    <row r="12250" spans="1:2" x14ac:dyDescent="0.25">
      <c r="A12250" s="157">
        <v>39786</v>
      </c>
      <c r="B12250" s="158">
        <v>3.35</v>
      </c>
    </row>
    <row r="12251" spans="1:2" x14ac:dyDescent="0.25">
      <c r="A12251" s="157">
        <v>39787</v>
      </c>
      <c r="B12251" s="158">
        <v>3.41</v>
      </c>
    </row>
    <row r="12252" spans="1:2" x14ac:dyDescent="0.25">
      <c r="A12252" s="157">
        <v>39790</v>
      </c>
      <c r="B12252" s="158">
        <v>3.45</v>
      </c>
    </row>
    <row r="12253" spans="1:2" x14ac:dyDescent="0.25">
      <c r="A12253" s="157">
        <v>39791</v>
      </c>
      <c r="B12253" s="158">
        <v>3.35</v>
      </c>
    </row>
    <row r="12254" spans="1:2" x14ac:dyDescent="0.25">
      <c r="A12254" s="157">
        <v>39792</v>
      </c>
      <c r="B12254" s="158">
        <v>3.39</v>
      </c>
    </row>
    <row r="12255" spans="1:2" x14ac:dyDescent="0.25">
      <c r="A12255" s="157">
        <v>39793</v>
      </c>
      <c r="B12255" s="158">
        <v>3.35</v>
      </c>
    </row>
    <row r="12256" spans="1:2" x14ac:dyDescent="0.25">
      <c r="A12256" s="157">
        <v>39794</v>
      </c>
      <c r="B12256" s="158">
        <v>3.36</v>
      </c>
    </row>
    <row r="12257" spans="1:2" x14ac:dyDescent="0.25">
      <c r="A12257" s="157">
        <v>39797</v>
      </c>
      <c r="B12257" s="158">
        <v>3.29</v>
      </c>
    </row>
    <row r="12258" spans="1:2" x14ac:dyDescent="0.25">
      <c r="A12258" s="157">
        <v>39798</v>
      </c>
      <c r="B12258" s="158">
        <v>3.16</v>
      </c>
    </row>
    <row r="12259" spans="1:2" x14ac:dyDescent="0.25">
      <c r="A12259" s="157">
        <v>39799</v>
      </c>
      <c r="B12259" s="158">
        <v>3.01</v>
      </c>
    </row>
    <row r="12260" spans="1:2" x14ac:dyDescent="0.25">
      <c r="A12260" s="157">
        <v>39800</v>
      </c>
      <c r="B12260" s="158">
        <v>2.86</v>
      </c>
    </row>
    <row r="12261" spans="1:2" x14ac:dyDescent="0.25">
      <c r="A12261" s="157">
        <v>39801</v>
      </c>
      <c r="B12261" s="158">
        <v>2.89</v>
      </c>
    </row>
    <row r="12262" spans="1:2" x14ac:dyDescent="0.25">
      <c r="A12262" s="157">
        <v>39804</v>
      </c>
      <c r="B12262" s="158">
        <v>2.92</v>
      </c>
    </row>
    <row r="12263" spans="1:2" x14ac:dyDescent="0.25">
      <c r="A12263" s="157">
        <v>39805</v>
      </c>
      <c r="B12263" s="158">
        <v>2.93</v>
      </c>
    </row>
    <row r="12264" spans="1:2" x14ac:dyDescent="0.25">
      <c r="A12264" s="157">
        <v>39806</v>
      </c>
      <c r="B12264" s="158">
        <v>2.94</v>
      </c>
    </row>
    <row r="12265" spans="1:2" x14ac:dyDescent="0.25">
      <c r="A12265" s="157">
        <v>39807</v>
      </c>
      <c r="B12265" s="158" t="e">
        <f>NA()</f>
        <v>#N/A</v>
      </c>
    </row>
    <row r="12266" spans="1:2" x14ac:dyDescent="0.25">
      <c r="A12266" s="157">
        <v>39808</v>
      </c>
      <c r="B12266" s="158">
        <v>2.91</v>
      </c>
    </row>
    <row r="12267" spans="1:2" x14ac:dyDescent="0.25">
      <c r="A12267" s="157">
        <v>39811</v>
      </c>
      <c r="B12267" s="158">
        <v>2.94</v>
      </c>
    </row>
    <row r="12268" spans="1:2" x14ac:dyDescent="0.25">
      <c r="A12268" s="157">
        <v>39812</v>
      </c>
      <c r="B12268" s="158">
        <v>2.88</v>
      </c>
    </row>
    <row r="12269" spans="1:2" x14ac:dyDescent="0.25">
      <c r="A12269" s="157">
        <v>39813</v>
      </c>
      <c r="B12269" s="158">
        <v>3.05</v>
      </c>
    </row>
    <row r="12270" spans="1:2" x14ac:dyDescent="0.25">
      <c r="A12270" s="157">
        <v>39814</v>
      </c>
      <c r="B12270" s="158" t="e">
        <f>NA()</f>
        <v>#N/A</v>
      </c>
    </row>
    <row r="12271" spans="1:2" x14ac:dyDescent="0.25">
      <c r="A12271" s="157">
        <v>39815</v>
      </c>
      <c r="B12271" s="158">
        <v>3.22</v>
      </c>
    </row>
    <row r="12272" spans="1:2" x14ac:dyDescent="0.25">
      <c r="A12272" s="157">
        <v>39818</v>
      </c>
      <c r="B12272" s="158">
        <v>3.37</v>
      </c>
    </row>
    <row r="12273" spans="1:2" x14ac:dyDescent="0.25">
      <c r="A12273" s="157">
        <v>39819</v>
      </c>
      <c r="B12273" s="158">
        <v>3.41</v>
      </c>
    </row>
    <row r="12274" spans="1:2" x14ac:dyDescent="0.25">
      <c r="A12274" s="157">
        <v>39820</v>
      </c>
      <c r="B12274" s="158">
        <v>3.41</v>
      </c>
    </row>
    <row r="12275" spans="1:2" x14ac:dyDescent="0.25">
      <c r="A12275" s="157">
        <v>39821</v>
      </c>
      <c r="B12275" s="158">
        <v>3.4</v>
      </c>
    </row>
    <row r="12276" spans="1:2" x14ac:dyDescent="0.25">
      <c r="A12276" s="157">
        <v>39822</v>
      </c>
      <c r="B12276" s="158">
        <v>3.39</v>
      </c>
    </row>
    <row r="12277" spans="1:2" x14ac:dyDescent="0.25">
      <c r="A12277" s="157">
        <v>39825</v>
      </c>
      <c r="B12277" s="158">
        <v>3.3</v>
      </c>
    </row>
    <row r="12278" spans="1:2" x14ac:dyDescent="0.25">
      <c r="A12278" s="157">
        <v>39826</v>
      </c>
      <c r="B12278" s="158">
        <v>3.3</v>
      </c>
    </row>
    <row r="12279" spans="1:2" x14ac:dyDescent="0.25">
      <c r="A12279" s="157">
        <v>39827</v>
      </c>
      <c r="B12279" s="158">
        <v>3.17</v>
      </c>
    </row>
    <row r="12280" spans="1:2" x14ac:dyDescent="0.25">
      <c r="A12280" s="157">
        <v>39828</v>
      </c>
      <c r="B12280" s="158">
        <v>3.16</v>
      </c>
    </row>
    <row r="12281" spans="1:2" x14ac:dyDescent="0.25">
      <c r="A12281" s="157">
        <v>39829</v>
      </c>
      <c r="B12281" s="158">
        <v>3.22</v>
      </c>
    </row>
    <row r="12282" spans="1:2" x14ac:dyDescent="0.25">
      <c r="A12282" s="157">
        <v>39832</v>
      </c>
      <c r="B12282" s="158" t="e">
        <f>NA()</f>
        <v>#N/A</v>
      </c>
    </row>
    <row r="12283" spans="1:2" x14ac:dyDescent="0.25">
      <c r="A12283" s="157">
        <v>39833</v>
      </c>
      <c r="B12283" s="158">
        <v>3.3</v>
      </c>
    </row>
    <row r="12284" spans="1:2" x14ac:dyDescent="0.25">
      <c r="A12284" s="157">
        <v>39834</v>
      </c>
      <c r="B12284" s="158">
        <v>3.51</v>
      </c>
    </row>
    <row r="12285" spans="1:2" x14ac:dyDescent="0.25">
      <c r="A12285" s="157">
        <v>39835</v>
      </c>
      <c r="B12285" s="158">
        <v>3.61</v>
      </c>
    </row>
    <row r="12286" spans="1:2" x14ac:dyDescent="0.25">
      <c r="A12286" s="157">
        <v>39836</v>
      </c>
      <c r="B12286" s="158">
        <v>3.65</v>
      </c>
    </row>
    <row r="12287" spans="1:2" x14ac:dyDescent="0.25">
      <c r="A12287" s="157">
        <v>39839</v>
      </c>
      <c r="B12287" s="158">
        <v>3.71</v>
      </c>
    </row>
    <row r="12288" spans="1:2" x14ac:dyDescent="0.25">
      <c r="A12288" s="157">
        <v>39840</v>
      </c>
      <c r="B12288" s="158">
        <v>3.57</v>
      </c>
    </row>
    <row r="12289" spans="1:2" x14ac:dyDescent="0.25">
      <c r="A12289" s="157">
        <v>39841</v>
      </c>
      <c r="B12289" s="158">
        <v>3.73</v>
      </c>
    </row>
    <row r="12290" spans="1:2" x14ac:dyDescent="0.25">
      <c r="A12290" s="157">
        <v>39842</v>
      </c>
      <c r="B12290" s="158">
        <v>3.85</v>
      </c>
    </row>
    <row r="12291" spans="1:2" x14ac:dyDescent="0.25">
      <c r="A12291" s="157">
        <v>39843</v>
      </c>
      <c r="B12291" s="158">
        <v>3.86</v>
      </c>
    </row>
    <row r="12292" spans="1:2" x14ac:dyDescent="0.25">
      <c r="A12292" s="157">
        <v>39846</v>
      </c>
      <c r="B12292" s="158">
        <v>3.75</v>
      </c>
    </row>
    <row r="12293" spans="1:2" x14ac:dyDescent="0.25">
      <c r="A12293" s="157">
        <v>39847</v>
      </c>
      <c r="B12293" s="158">
        <v>3.88</v>
      </c>
    </row>
    <row r="12294" spans="1:2" x14ac:dyDescent="0.25">
      <c r="A12294" s="157">
        <v>39848</v>
      </c>
      <c r="B12294" s="158">
        <v>3.88</v>
      </c>
    </row>
    <row r="12295" spans="1:2" x14ac:dyDescent="0.25">
      <c r="A12295" s="157">
        <v>39849</v>
      </c>
      <c r="B12295" s="158">
        <v>3.86</v>
      </c>
    </row>
    <row r="12296" spans="1:2" x14ac:dyDescent="0.25">
      <c r="A12296" s="157">
        <v>39850</v>
      </c>
      <c r="B12296" s="158">
        <v>3.94</v>
      </c>
    </row>
    <row r="12297" spans="1:2" x14ac:dyDescent="0.25">
      <c r="A12297" s="157">
        <v>39853</v>
      </c>
      <c r="B12297" s="158">
        <v>3.91</v>
      </c>
    </row>
    <row r="12298" spans="1:2" x14ac:dyDescent="0.25">
      <c r="A12298" s="157">
        <v>39854</v>
      </c>
      <c r="B12298" s="158">
        <v>3.77</v>
      </c>
    </row>
    <row r="12299" spans="1:2" x14ac:dyDescent="0.25">
      <c r="A12299" s="157">
        <v>39855</v>
      </c>
      <c r="B12299" s="158">
        <v>3.69</v>
      </c>
    </row>
    <row r="12300" spans="1:2" x14ac:dyDescent="0.25">
      <c r="A12300" s="157">
        <v>39856</v>
      </c>
      <c r="B12300" s="158">
        <v>3.71</v>
      </c>
    </row>
    <row r="12301" spans="1:2" x14ac:dyDescent="0.25">
      <c r="A12301" s="157">
        <v>39857</v>
      </c>
      <c r="B12301" s="158">
        <v>3.91</v>
      </c>
    </row>
    <row r="12302" spans="1:2" x14ac:dyDescent="0.25">
      <c r="A12302" s="157">
        <v>39860</v>
      </c>
      <c r="B12302" s="158" t="e">
        <f>NA()</f>
        <v>#N/A</v>
      </c>
    </row>
    <row r="12303" spans="1:2" x14ac:dyDescent="0.25">
      <c r="A12303" s="157">
        <v>39861</v>
      </c>
      <c r="B12303" s="158">
        <v>3.7</v>
      </c>
    </row>
    <row r="12304" spans="1:2" x14ac:dyDescent="0.25">
      <c r="A12304" s="157">
        <v>39862</v>
      </c>
      <c r="B12304" s="158">
        <v>3.77</v>
      </c>
    </row>
    <row r="12305" spans="1:2" x14ac:dyDescent="0.25">
      <c r="A12305" s="157">
        <v>39863</v>
      </c>
      <c r="B12305" s="158">
        <v>3.92</v>
      </c>
    </row>
    <row r="12306" spans="1:2" x14ac:dyDescent="0.25">
      <c r="A12306" s="157">
        <v>39864</v>
      </c>
      <c r="B12306" s="158">
        <v>3.82</v>
      </c>
    </row>
    <row r="12307" spans="1:2" x14ac:dyDescent="0.25">
      <c r="A12307" s="157">
        <v>39867</v>
      </c>
      <c r="B12307" s="158">
        <v>3.79</v>
      </c>
    </row>
    <row r="12308" spans="1:2" x14ac:dyDescent="0.25">
      <c r="A12308" s="157">
        <v>39868</v>
      </c>
      <c r="B12308" s="158">
        <v>3.77</v>
      </c>
    </row>
    <row r="12309" spans="1:2" x14ac:dyDescent="0.25">
      <c r="A12309" s="157">
        <v>39869</v>
      </c>
      <c r="B12309" s="158">
        <v>3.88</v>
      </c>
    </row>
    <row r="12310" spans="1:2" x14ac:dyDescent="0.25">
      <c r="A12310" s="157">
        <v>39870</v>
      </c>
      <c r="B12310" s="158">
        <v>3.93</v>
      </c>
    </row>
    <row r="12311" spans="1:2" x14ac:dyDescent="0.25">
      <c r="A12311" s="157">
        <v>39871</v>
      </c>
      <c r="B12311" s="158">
        <v>3.98</v>
      </c>
    </row>
    <row r="12312" spans="1:2" x14ac:dyDescent="0.25">
      <c r="A12312" s="157">
        <v>39874</v>
      </c>
      <c r="B12312" s="158">
        <v>3.89</v>
      </c>
    </row>
    <row r="12313" spans="1:2" x14ac:dyDescent="0.25">
      <c r="A12313" s="157">
        <v>39875</v>
      </c>
      <c r="B12313" s="158">
        <v>3.92</v>
      </c>
    </row>
    <row r="12314" spans="1:2" x14ac:dyDescent="0.25">
      <c r="A12314" s="157">
        <v>39876</v>
      </c>
      <c r="B12314" s="158">
        <v>3.96</v>
      </c>
    </row>
    <row r="12315" spans="1:2" x14ac:dyDescent="0.25">
      <c r="A12315" s="157">
        <v>39877</v>
      </c>
      <c r="B12315" s="158">
        <v>3.76</v>
      </c>
    </row>
    <row r="12316" spans="1:2" x14ac:dyDescent="0.25">
      <c r="A12316" s="157">
        <v>39878</v>
      </c>
      <c r="B12316" s="158">
        <v>3.74</v>
      </c>
    </row>
    <row r="12317" spans="1:2" x14ac:dyDescent="0.25">
      <c r="A12317" s="157">
        <v>39881</v>
      </c>
      <c r="B12317" s="158">
        <v>3.83</v>
      </c>
    </row>
    <row r="12318" spans="1:2" x14ac:dyDescent="0.25">
      <c r="A12318" s="157">
        <v>39882</v>
      </c>
      <c r="B12318" s="158">
        <v>3.94</v>
      </c>
    </row>
    <row r="12319" spans="1:2" x14ac:dyDescent="0.25">
      <c r="A12319" s="157">
        <v>39883</v>
      </c>
      <c r="B12319" s="158">
        <v>3.88</v>
      </c>
    </row>
    <row r="12320" spans="1:2" x14ac:dyDescent="0.25">
      <c r="A12320" s="157">
        <v>39884</v>
      </c>
      <c r="B12320" s="158">
        <v>3.82</v>
      </c>
    </row>
    <row r="12321" spans="1:2" x14ac:dyDescent="0.25">
      <c r="A12321" s="157">
        <v>39885</v>
      </c>
      <c r="B12321" s="158">
        <v>3.84</v>
      </c>
    </row>
    <row r="12322" spans="1:2" x14ac:dyDescent="0.25">
      <c r="A12322" s="157">
        <v>39888</v>
      </c>
      <c r="B12322" s="158">
        <v>3.93</v>
      </c>
    </row>
    <row r="12323" spans="1:2" x14ac:dyDescent="0.25">
      <c r="A12323" s="157">
        <v>39889</v>
      </c>
      <c r="B12323" s="158">
        <v>3.99</v>
      </c>
    </row>
    <row r="12324" spans="1:2" x14ac:dyDescent="0.25">
      <c r="A12324" s="157">
        <v>39890</v>
      </c>
      <c r="B12324" s="158">
        <v>3.65</v>
      </c>
    </row>
    <row r="12325" spans="1:2" x14ac:dyDescent="0.25">
      <c r="A12325" s="157">
        <v>39891</v>
      </c>
      <c r="B12325" s="158">
        <v>3.64</v>
      </c>
    </row>
    <row r="12326" spans="1:2" x14ac:dyDescent="0.25">
      <c r="A12326" s="157">
        <v>39892</v>
      </c>
      <c r="B12326" s="158">
        <v>3.67</v>
      </c>
    </row>
    <row r="12327" spans="1:2" x14ac:dyDescent="0.25">
      <c r="A12327" s="157">
        <v>39895</v>
      </c>
      <c r="B12327" s="158">
        <v>3.7</v>
      </c>
    </row>
    <row r="12328" spans="1:2" x14ac:dyDescent="0.25">
      <c r="A12328" s="157">
        <v>39896</v>
      </c>
      <c r="B12328" s="158">
        <v>3.64</v>
      </c>
    </row>
    <row r="12329" spans="1:2" x14ac:dyDescent="0.25">
      <c r="A12329" s="157">
        <v>39897</v>
      </c>
      <c r="B12329" s="158">
        <v>3.76</v>
      </c>
    </row>
    <row r="12330" spans="1:2" x14ac:dyDescent="0.25">
      <c r="A12330" s="157">
        <v>39898</v>
      </c>
      <c r="B12330" s="158">
        <v>3.69</v>
      </c>
    </row>
    <row r="12331" spans="1:2" x14ac:dyDescent="0.25">
      <c r="A12331" s="157">
        <v>39899</v>
      </c>
      <c r="B12331" s="158">
        <v>3.66</v>
      </c>
    </row>
    <row r="12332" spans="1:2" x14ac:dyDescent="0.25">
      <c r="A12332" s="157">
        <v>39902</v>
      </c>
      <c r="B12332" s="158">
        <v>3.64</v>
      </c>
    </row>
    <row r="12333" spans="1:2" x14ac:dyDescent="0.25">
      <c r="A12333" s="157">
        <v>39903</v>
      </c>
      <c r="B12333" s="158">
        <v>3.61</v>
      </c>
    </row>
    <row r="12334" spans="1:2" x14ac:dyDescent="0.25">
      <c r="A12334" s="157">
        <v>39904</v>
      </c>
      <c r="B12334" s="158">
        <v>3.54</v>
      </c>
    </row>
    <row r="12335" spans="1:2" x14ac:dyDescent="0.25">
      <c r="A12335" s="157">
        <v>39905</v>
      </c>
      <c r="B12335" s="158">
        <v>3.63</v>
      </c>
    </row>
    <row r="12336" spans="1:2" x14ac:dyDescent="0.25">
      <c r="A12336" s="157">
        <v>39906</v>
      </c>
      <c r="B12336" s="158">
        <v>3.77</v>
      </c>
    </row>
    <row r="12337" spans="1:2" x14ac:dyDescent="0.25">
      <c r="A12337" s="157">
        <v>39909</v>
      </c>
      <c r="B12337" s="158">
        <v>3.82</v>
      </c>
    </row>
    <row r="12338" spans="1:2" x14ac:dyDescent="0.25">
      <c r="A12338" s="157">
        <v>39910</v>
      </c>
      <c r="B12338" s="158">
        <v>3.79</v>
      </c>
    </row>
    <row r="12339" spans="1:2" x14ac:dyDescent="0.25">
      <c r="A12339" s="157">
        <v>39911</v>
      </c>
      <c r="B12339" s="158">
        <v>3.74</v>
      </c>
    </row>
    <row r="12340" spans="1:2" x14ac:dyDescent="0.25">
      <c r="A12340" s="157">
        <v>39912</v>
      </c>
      <c r="B12340" s="158">
        <v>3.85</v>
      </c>
    </row>
    <row r="12341" spans="1:2" x14ac:dyDescent="0.25">
      <c r="A12341" s="157">
        <v>39913</v>
      </c>
      <c r="B12341" s="158" t="e">
        <f>NA()</f>
        <v>#N/A</v>
      </c>
    </row>
    <row r="12342" spans="1:2" x14ac:dyDescent="0.25">
      <c r="A12342" s="157">
        <v>39916</v>
      </c>
      <c r="B12342" s="158">
        <v>3.78</v>
      </c>
    </row>
    <row r="12343" spans="1:2" x14ac:dyDescent="0.25">
      <c r="A12343" s="157">
        <v>39917</v>
      </c>
      <c r="B12343" s="158">
        <v>3.73</v>
      </c>
    </row>
    <row r="12344" spans="1:2" x14ac:dyDescent="0.25">
      <c r="A12344" s="157">
        <v>39918</v>
      </c>
      <c r="B12344" s="158">
        <v>3.75</v>
      </c>
    </row>
    <row r="12345" spans="1:2" x14ac:dyDescent="0.25">
      <c r="A12345" s="157">
        <v>39919</v>
      </c>
      <c r="B12345" s="158">
        <v>3.81</v>
      </c>
    </row>
    <row r="12346" spans="1:2" x14ac:dyDescent="0.25">
      <c r="A12346" s="157">
        <v>39920</v>
      </c>
      <c r="B12346" s="158">
        <v>3.91</v>
      </c>
    </row>
    <row r="12347" spans="1:2" x14ac:dyDescent="0.25">
      <c r="A12347" s="157">
        <v>39923</v>
      </c>
      <c r="B12347" s="158">
        <v>3.8</v>
      </c>
    </row>
    <row r="12348" spans="1:2" x14ac:dyDescent="0.25">
      <c r="A12348" s="157">
        <v>39924</v>
      </c>
      <c r="B12348" s="158">
        <v>3.86</v>
      </c>
    </row>
    <row r="12349" spans="1:2" x14ac:dyDescent="0.25">
      <c r="A12349" s="157">
        <v>39925</v>
      </c>
      <c r="B12349" s="158">
        <v>3.93</v>
      </c>
    </row>
    <row r="12350" spans="1:2" x14ac:dyDescent="0.25">
      <c r="A12350" s="157">
        <v>39926</v>
      </c>
      <c r="B12350" s="158">
        <v>3.9</v>
      </c>
    </row>
    <row r="12351" spans="1:2" x14ac:dyDescent="0.25">
      <c r="A12351" s="157">
        <v>39927</v>
      </c>
      <c r="B12351" s="158">
        <v>3.99</v>
      </c>
    </row>
    <row r="12352" spans="1:2" x14ac:dyDescent="0.25">
      <c r="A12352" s="157">
        <v>39930</v>
      </c>
      <c r="B12352" s="158">
        <v>3.92</v>
      </c>
    </row>
    <row r="12353" spans="1:2" x14ac:dyDescent="0.25">
      <c r="A12353" s="157">
        <v>39931</v>
      </c>
      <c r="B12353" s="158">
        <v>4.03</v>
      </c>
    </row>
    <row r="12354" spans="1:2" x14ac:dyDescent="0.25">
      <c r="A12354" s="157">
        <v>39932</v>
      </c>
      <c r="B12354" s="158">
        <v>4.07</v>
      </c>
    </row>
    <row r="12355" spans="1:2" x14ac:dyDescent="0.25">
      <c r="A12355" s="157">
        <v>39933</v>
      </c>
      <c r="B12355" s="158">
        <v>4.0999999999999996</v>
      </c>
    </row>
    <row r="12356" spans="1:2" x14ac:dyDescent="0.25">
      <c r="A12356" s="157">
        <v>39934</v>
      </c>
      <c r="B12356" s="158">
        <v>4.1399999999999997</v>
      </c>
    </row>
    <row r="12357" spans="1:2" x14ac:dyDescent="0.25">
      <c r="A12357" s="157">
        <v>39937</v>
      </c>
      <c r="B12357" s="158">
        <v>4.1100000000000003</v>
      </c>
    </row>
    <row r="12358" spans="1:2" x14ac:dyDescent="0.25">
      <c r="A12358" s="157">
        <v>39938</v>
      </c>
      <c r="B12358" s="158">
        <v>4.1100000000000003</v>
      </c>
    </row>
    <row r="12359" spans="1:2" x14ac:dyDescent="0.25">
      <c r="A12359" s="157">
        <v>39939</v>
      </c>
      <c r="B12359" s="158">
        <v>4.12</v>
      </c>
    </row>
    <row r="12360" spans="1:2" x14ac:dyDescent="0.25">
      <c r="A12360" s="157">
        <v>39940</v>
      </c>
      <c r="B12360" s="158">
        <v>4.26</v>
      </c>
    </row>
    <row r="12361" spans="1:2" x14ac:dyDescent="0.25">
      <c r="A12361" s="157">
        <v>39941</v>
      </c>
      <c r="B12361" s="158">
        <v>4.25</v>
      </c>
    </row>
    <row r="12362" spans="1:2" x14ac:dyDescent="0.25">
      <c r="A12362" s="157">
        <v>39944</v>
      </c>
      <c r="B12362" s="158">
        <v>4.1500000000000004</v>
      </c>
    </row>
    <row r="12363" spans="1:2" x14ac:dyDescent="0.25">
      <c r="A12363" s="157">
        <v>39945</v>
      </c>
      <c r="B12363" s="158">
        <v>4.13</v>
      </c>
    </row>
    <row r="12364" spans="1:2" x14ac:dyDescent="0.25">
      <c r="A12364" s="157">
        <v>39946</v>
      </c>
      <c r="B12364" s="158">
        <v>4.0599999999999996</v>
      </c>
    </row>
    <row r="12365" spans="1:2" x14ac:dyDescent="0.25">
      <c r="A12365" s="157">
        <v>39947</v>
      </c>
      <c r="B12365" s="158">
        <v>4.04</v>
      </c>
    </row>
    <row r="12366" spans="1:2" x14ac:dyDescent="0.25">
      <c r="A12366" s="157">
        <v>39948</v>
      </c>
      <c r="B12366" s="158">
        <v>4.07</v>
      </c>
    </row>
    <row r="12367" spans="1:2" x14ac:dyDescent="0.25">
      <c r="A12367" s="157">
        <v>39951</v>
      </c>
      <c r="B12367" s="158">
        <v>4.16</v>
      </c>
    </row>
    <row r="12368" spans="1:2" x14ac:dyDescent="0.25">
      <c r="A12368" s="157">
        <v>39952</v>
      </c>
      <c r="B12368" s="158">
        <v>4.1900000000000004</v>
      </c>
    </row>
    <row r="12369" spans="1:2" x14ac:dyDescent="0.25">
      <c r="A12369" s="157">
        <v>39953</v>
      </c>
      <c r="B12369" s="158">
        <v>4.1100000000000003</v>
      </c>
    </row>
    <row r="12370" spans="1:2" x14ac:dyDescent="0.25">
      <c r="A12370" s="157">
        <v>39954</v>
      </c>
      <c r="B12370" s="158">
        <v>4.2699999999999996</v>
      </c>
    </row>
    <row r="12371" spans="1:2" x14ac:dyDescent="0.25">
      <c r="A12371" s="157">
        <v>39955</v>
      </c>
      <c r="B12371" s="158">
        <v>4.3600000000000003</v>
      </c>
    </row>
    <row r="12372" spans="1:2" x14ac:dyDescent="0.25">
      <c r="A12372" s="157">
        <v>39958</v>
      </c>
      <c r="B12372" s="158" t="e">
        <f>NA()</f>
        <v>#N/A</v>
      </c>
    </row>
    <row r="12373" spans="1:2" x14ac:dyDescent="0.25">
      <c r="A12373" s="157">
        <v>39959</v>
      </c>
      <c r="B12373" s="158">
        <v>4.42</v>
      </c>
    </row>
    <row r="12374" spans="1:2" x14ac:dyDescent="0.25">
      <c r="A12374" s="157">
        <v>39960</v>
      </c>
      <c r="B12374" s="158">
        <v>4.58</v>
      </c>
    </row>
    <row r="12375" spans="1:2" x14ac:dyDescent="0.25">
      <c r="A12375" s="157">
        <v>39961</v>
      </c>
      <c r="B12375" s="158">
        <v>4.5199999999999996</v>
      </c>
    </row>
    <row r="12376" spans="1:2" x14ac:dyDescent="0.25">
      <c r="A12376" s="157">
        <v>39962</v>
      </c>
      <c r="B12376" s="158">
        <v>4.34</v>
      </c>
    </row>
    <row r="12377" spans="1:2" x14ac:dyDescent="0.25">
      <c r="A12377" s="157">
        <v>39965</v>
      </c>
      <c r="B12377" s="158">
        <v>4.5599999999999996</v>
      </c>
    </row>
    <row r="12378" spans="1:2" x14ac:dyDescent="0.25">
      <c r="A12378" s="157">
        <v>39966</v>
      </c>
      <c r="B12378" s="158">
        <v>4.51</v>
      </c>
    </row>
    <row r="12379" spans="1:2" x14ac:dyDescent="0.25">
      <c r="A12379" s="157">
        <v>39967</v>
      </c>
      <c r="B12379" s="158">
        <v>4.4400000000000004</v>
      </c>
    </row>
    <row r="12380" spans="1:2" x14ac:dyDescent="0.25">
      <c r="A12380" s="157">
        <v>39968</v>
      </c>
      <c r="B12380" s="158">
        <v>4.58</v>
      </c>
    </row>
    <row r="12381" spans="1:2" x14ac:dyDescent="0.25">
      <c r="A12381" s="157">
        <v>39969</v>
      </c>
      <c r="B12381" s="158">
        <v>4.6399999999999997</v>
      </c>
    </row>
    <row r="12382" spans="1:2" x14ac:dyDescent="0.25">
      <c r="A12382" s="157">
        <v>39972</v>
      </c>
      <c r="B12382" s="158">
        <v>4.66</v>
      </c>
    </row>
    <row r="12383" spans="1:2" x14ac:dyDescent="0.25">
      <c r="A12383" s="157">
        <v>39973</v>
      </c>
      <c r="B12383" s="158">
        <v>4.6500000000000004</v>
      </c>
    </row>
    <row r="12384" spans="1:2" x14ac:dyDescent="0.25">
      <c r="A12384" s="157">
        <v>39974</v>
      </c>
      <c r="B12384" s="158">
        <v>4.75</v>
      </c>
    </row>
    <row r="12385" spans="1:2" x14ac:dyDescent="0.25">
      <c r="A12385" s="157">
        <v>39975</v>
      </c>
      <c r="B12385" s="158">
        <v>4.67</v>
      </c>
    </row>
    <row r="12386" spans="1:2" x14ac:dyDescent="0.25">
      <c r="A12386" s="157">
        <v>39976</v>
      </c>
      <c r="B12386" s="158">
        <v>4.63</v>
      </c>
    </row>
    <row r="12387" spans="1:2" x14ac:dyDescent="0.25">
      <c r="A12387" s="157">
        <v>39979</v>
      </c>
      <c r="B12387" s="158">
        <v>4.58</v>
      </c>
    </row>
    <row r="12388" spans="1:2" x14ac:dyDescent="0.25">
      <c r="A12388" s="157">
        <v>39980</v>
      </c>
      <c r="B12388" s="158">
        <v>4.47</v>
      </c>
    </row>
    <row r="12389" spans="1:2" x14ac:dyDescent="0.25">
      <c r="A12389" s="157">
        <v>39981</v>
      </c>
      <c r="B12389" s="158">
        <v>4.47</v>
      </c>
    </row>
    <row r="12390" spans="1:2" x14ac:dyDescent="0.25">
      <c r="A12390" s="157">
        <v>39982</v>
      </c>
      <c r="B12390" s="158">
        <v>4.62</v>
      </c>
    </row>
    <row r="12391" spans="1:2" x14ac:dyDescent="0.25">
      <c r="A12391" s="157">
        <v>39983</v>
      </c>
      <c r="B12391" s="158">
        <v>4.54</v>
      </c>
    </row>
    <row r="12392" spans="1:2" x14ac:dyDescent="0.25">
      <c r="A12392" s="157">
        <v>39986</v>
      </c>
      <c r="B12392" s="158">
        <v>4.45</v>
      </c>
    </row>
    <row r="12393" spans="1:2" x14ac:dyDescent="0.25">
      <c r="A12393" s="157">
        <v>39987</v>
      </c>
      <c r="B12393" s="158">
        <v>4.3600000000000003</v>
      </c>
    </row>
    <row r="12394" spans="1:2" x14ac:dyDescent="0.25">
      <c r="A12394" s="157">
        <v>39988</v>
      </c>
      <c r="B12394" s="158">
        <v>4.43</v>
      </c>
    </row>
    <row r="12395" spans="1:2" x14ac:dyDescent="0.25">
      <c r="A12395" s="157">
        <v>39989</v>
      </c>
      <c r="B12395" s="158">
        <v>4.3099999999999996</v>
      </c>
    </row>
    <row r="12396" spans="1:2" x14ac:dyDescent="0.25">
      <c r="A12396" s="157">
        <v>39990</v>
      </c>
      <c r="B12396" s="158">
        <v>4.28</v>
      </c>
    </row>
    <row r="12397" spans="1:2" x14ac:dyDescent="0.25">
      <c r="A12397" s="157">
        <v>39993</v>
      </c>
      <c r="B12397" s="158">
        <v>4.29</v>
      </c>
    </row>
    <row r="12398" spans="1:2" x14ac:dyDescent="0.25">
      <c r="A12398" s="157">
        <v>39994</v>
      </c>
      <c r="B12398" s="158">
        <v>4.3</v>
      </c>
    </row>
    <row r="12399" spans="1:2" x14ac:dyDescent="0.25">
      <c r="A12399" s="157">
        <v>39995</v>
      </c>
      <c r="B12399" s="158">
        <v>4.32</v>
      </c>
    </row>
    <row r="12400" spans="1:2" x14ac:dyDescent="0.25">
      <c r="A12400" s="157">
        <v>39996</v>
      </c>
      <c r="B12400" s="158">
        <v>4.28</v>
      </c>
    </row>
    <row r="12401" spans="1:2" x14ac:dyDescent="0.25">
      <c r="A12401" s="157">
        <v>39997</v>
      </c>
      <c r="B12401" s="158" t="e">
        <f>NA()</f>
        <v>#N/A</v>
      </c>
    </row>
    <row r="12402" spans="1:2" x14ac:dyDescent="0.25">
      <c r="A12402" s="157">
        <v>40000</v>
      </c>
      <c r="B12402" s="158">
        <v>4.29</v>
      </c>
    </row>
    <row r="12403" spans="1:2" x14ac:dyDescent="0.25">
      <c r="A12403" s="157">
        <v>40001</v>
      </c>
      <c r="B12403" s="158">
        <v>4.25</v>
      </c>
    </row>
    <row r="12404" spans="1:2" x14ac:dyDescent="0.25">
      <c r="A12404" s="157">
        <v>40002</v>
      </c>
      <c r="B12404" s="158">
        <v>4.13</v>
      </c>
    </row>
    <row r="12405" spans="1:2" x14ac:dyDescent="0.25">
      <c r="A12405" s="157">
        <v>40003</v>
      </c>
      <c r="B12405" s="158">
        <v>4.26</v>
      </c>
    </row>
    <row r="12406" spans="1:2" x14ac:dyDescent="0.25">
      <c r="A12406" s="157">
        <v>40004</v>
      </c>
      <c r="B12406" s="158">
        <v>4.16</v>
      </c>
    </row>
    <row r="12407" spans="1:2" x14ac:dyDescent="0.25">
      <c r="A12407" s="157">
        <v>40007</v>
      </c>
      <c r="B12407" s="158">
        <v>4.21</v>
      </c>
    </row>
    <row r="12408" spans="1:2" x14ac:dyDescent="0.25">
      <c r="A12408" s="157">
        <v>40008</v>
      </c>
      <c r="B12408" s="158">
        <v>4.3499999999999996</v>
      </c>
    </row>
    <row r="12409" spans="1:2" x14ac:dyDescent="0.25">
      <c r="A12409" s="157">
        <v>40009</v>
      </c>
      <c r="B12409" s="158">
        <v>4.46</v>
      </c>
    </row>
    <row r="12410" spans="1:2" x14ac:dyDescent="0.25">
      <c r="A12410" s="157">
        <v>40010</v>
      </c>
      <c r="B12410" s="158">
        <v>4.43</v>
      </c>
    </row>
    <row r="12411" spans="1:2" x14ac:dyDescent="0.25">
      <c r="A12411" s="157">
        <v>40011</v>
      </c>
      <c r="B12411" s="158">
        <v>4.51</v>
      </c>
    </row>
    <row r="12412" spans="1:2" x14ac:dyDescent="0.25">
      <c r="A12412" s="157">
        <v>40014</v>
      </c>
      <c r="B12412" s="158">
        <v>4.45</v>
      </c>
    </row>
    <row r="12413" spans="1:2" x14ac:dyDescent="0.25">
      <c r="A12413" s="157">
        <v>40015</v>
      </c>
      <c r="B12413" s="158">
        <v>4.3499999999999996</v>
      </c>
    </row>
    <row r="12414" spans="1:2" x14ac:dyDescent="0.25">
      <c r="A12414" s="157">
        <v>40016</v>
      </c>
      <c r="B12414" s="158">
        <v>4.42</v>
      </c>
    </row>
    <row r="12415" spans="1:2" x14ac:dyDescent="0.25">
      <c r="A12415" s="157">
        <v>40017</v>
      </c>
      <c r="B12415" s="158">
        <v>4.55</v>
      </c>
    </row>
    <row r="12416" spans="1:2" x14ac:dyDescent="0.25">
      <c r="A12416" s="157">
        <v>40018</v>
      </c>
      <c r="B12416" s="158">
        <v>4.53</v>
      </c>
    </row>
    <row r="12417" spans="1:2" x14ac:dyDescent="0.25">
      <c r="A12417" s="157">
        <v>40021</v>
      </c>
      <c r="B12417" s="158">
        <v>4.5999999999999996</v>
      </c>
    </row>
    <row r="12418" spans="1:2" x14ac:dyDescent="0.25">
      <c r="A12418" s="157">
        <v>40022</v>
      </c>
      <c r="B12418" s="158">
        <v>4.54</v>
      </c>
    </row>
    <row r="12419" spans="1:2" x14ac:dyDescent="0.25">
      <c r="A12419" s="157">
        <v>40023</v>
      </c>
      <c r="B12419" s="158">
        <v>4.49</v>
      </c>
    </row>
    <row r="12420" spans="1:2" x14ac:dyDescent="0.25">
      <c r="A12420" s="157">
        <v>40024</v>
      </c>
      <c r="B12420" s="158">
        <v>4.4400000000000004</v>
      </c>
    </row>
    <row r="12421" spans="1:2" x14ac:dyDescent="0.25">
      <c r="A12421" s="157">
        <v>40025</v>
      </c>
      <c r="B12421" s="158">
        <v>4.29</v>
      </c>
    </row>
    <row r="12422" spans="1:2" x14ac:dyDescent="0.25">
      <c r="A12422" s="157">
        <v>40028</v>
      </c>
      <c r="B12422" s="158">
        <v>4.4000000000000004</v>
      </c>
    </row>
    <row r="12423" spans="1:2" x14ac:dyDescent="0.25">
      <c r="A12423" s="157">
        <v>40029</v>
      </c>
      <c r="B12423" s="158">
        <v>4.4400000000000004</v>
      </c>
    </row>
    <row r="12424" spans="1:2" x14ac:dyDescent="0.25">
      <c r="A12424" s="157">
        <v>40030</v>
      </c>
      <c r="B12424" s="158">
        <v>4.54</v>
      </c>
    </row>
    <row r="12425" spans="1:2" x14ac:dyDescent="0.25">
      <c r="A12425" s="157">
        <v>40031</v>
      </c>
      <c r="B12425" s="158">
        <v>4.51</v>
      </c>
    </row>
    <row r="12426" spans="1:2" x14ac:dyDescent="0.25">
      <c r="A12426" s="157">
        <v>40032</v>
      </c>
      <c r="B12426" s="158">
        <v>4.59</v>
      </c>
    </row>
    <row r="12427" spans="1:2" x14ac:dyDescent="0.25">
      <c r="A12427" s="157">
        <v>40035</v>
      </c>
      <c r="B12427" s="158">
        <v>4.49</v>
      </c>
    </row>
    <row r="12428" spans="1:2" x14ac:dyDescent="0.25">
      <c r="A12428" s="157">
        <v>40036</v>
      </c>
      <c r="B12428" s="158">
        <v>4.4000000000000004</v>
      </c>
    </row>
    <row r="12429" spans="1:2" x14ac:dyDescent="0.25">
      <c r="A12429" s="157">
        <v>40037</v>
      </c>
      <c r="B12429" s="158">
        <v>4.49</v>
      </c>
    </row>
    <row r="12430" spans="1:2" x14ac:dyDescent="0.25">
      <c r="A12430" s="157">
        <v>40038</v>
      </c>
      <c r="B12430" s="158">
        <v>4.37</v>
      </c>
    </row>
    <row r="12431" spans="1:2" x14ac:dyDescent="0.25">
      <c r="A12431" s="157">
        <v>40039</v>
      </c>
      <c r="B12431" s="158">
        <v>4.33</v>
      </c>
    </row>
    <row r="12432" spans="1:2" x14ac:dyDescent="0.25">
      <c r="A12432" s="157">
        <v>40042</v>
      </c>
      <c r="B12432" s="158">
        <v>4.26</v>
      </c>
    </row>
    <row r="12433" spans="1:2" x14ac:dyDescent="0.25">
      <c r="A12433" s="157">
        <v>40043</v>
      </c>
      <c r="B12433" s="158">
        <v>4.29</v>
      </c>
    </row>
    <row r="12434" spans="1:2" x14ac:dyDescent="0.25">
      <c r="A12434" s="157">
        <v>40044</v>
      </c>
      <c r="B12434" s="158">
        <v>4.2300000000000004</v>
      </c>
    </row>
    <row r="12435" spans="1:2" x14ac:dyDescent="0.25">
      <c r="A12435" s="157">
        <v>40045</v>
      </c>
      <c r="B12435" s="158">
        <v>4.18</v>
      </c>
    </row>
    <row r="12436" spans="1:2" x14ac:dyDescent="0.25">
      <c r="A12436" s="157">
        <v>40046</v>
      </c>
      <c r="B12436" s="158">
        <v>4.32</v>
      </c>
    </row>
    <row r="12437" spans="1:2" x14ac:dyDescent="0.25">
      <c r="A12437" s="157">
        <v>40049</v>
      </c>
      <c r="B12437" s="158">
        <v>4.22</v>
      </c>
    </row>
    <row r="12438" spans="1:2" x14ac:dyDescent="0.25">
      <c r="A12438" s="157">
        <v>40050</v>
      </c>
      <c r="B12438" s="158">
        <v>4.17</v>
      </c>
    </row>
    <row r="12439" spans="1:2" x14ac:dyDescent="0.25">
      <c r="A12439" s="157">
        <v>40051</v>
      </c>
      <c r="B12439" s="158">
        <v>4.1500000000000004</v>
      </c>
    </row>
    <row r="12440" spans="1:2" x14ac:dyDescent="0.25">
      <c r="A12440" s="157">
        <v>40052</v>
      </c>
      <c r="B12440" s="158">
        <v>4.1900000000000004</v>
      </c>
    </row>
    <row r="12441" spans="1:2" x14ac:dyDescent="0.25">
      <c r="A12441" s="157">
        <v>40053</v>
      </c>
      <c r="B12441" s="158">
        <v>4.17</v>
      </c>
    </row>
    <row r="12442" spans="1:2" x14ac:dyDescent="0.25">
      <c r="A12442" s="157">
        <v>40056</v>
      </c>
      <c r="B12442" s="158">
        <v>4.1399999999999997</v>
      </c>
    </row>
    <row r="12443" spans="1:2" x14ac:dyDescent="0.25">
      <c r="A12443" s="157">
        <v>40057</v>
      </c>
      <c r="B12443" s="158">
        <v>4.1399999999999997</v>
      </c>
    </row>
    <row r="12444" spans="1:2" x14ac:dyDescent="0.25">
      <c r="A12444" s="157">
        <v>40058</v>
      </c>
      <c r="B12444" s="158">
        <v>4.04</v>
      </c>
    </row>
    <row r="12445" spans="1:2" x14ac:dyDescent="0.25">
      <c r="A12445" s="157">
        <v>40059</v>
      </c>
      <c r="B12445" s="158">
        <v>4.09</v>
      </c>
    </row>
    <row r="12446" spans="1:2" x14ac:dyDescent="0.25">
      <c r="A12446" s="157">
        <v>40060</v>
      </c>
      <c r="B12446" s="158">
        <v>4.21</v>
      </c>
    </row>
    <row r="12447" spans="1:2" x14ac:dyDescent="0.25">
      <c r="A12447" s="157">
        <v>40063</v>
      </c>
      <c r="B12447" s="158" t="e">
        <f>NA()</f>
        <v>#N/A</v>
      </c>
    </row>
    <row r="12448" spans="1:2" x14ac:dyDescent="0.25">
      <c r="A12448" s="157">
        <v>40064</v>
      </c>
      <c r="B12448" s="158">
        <v>4.24</v>
      </c>
    </row>
    <row r="12449" spans="1:2" x14ac:dyDescent="0.25">
      <c r="A12449" s="157">
        <v>40065</v>
      </c>
      <c r="B12449" s="158">
        <v>4.26</v>
      </c>
    </row>
    <row r="12450" spans="1:2" x14ac:dyDescent="0.25">
      <c r="A12450" s="157">
        <v>40066</v>
      </c>
      <c r="B12450" s="158">
        <v>4.1100000000000003</v>
      </c>
    </row>
    <row r="12451" spans="1:2" x14ac:dyDescent="0.25">
      <c r="A12451" s="157">
        <v>40067</v>
      </c>
      <c r="B12451" s="158">
        <v>4.0999999999999996</v>
      </c>
    </row>
    <row r="12452" spans="1:2" x14ac:dyDescent="0.25">
      <c r="A12452" s="157">
        <v>40070</v>
      </c>
      <c r="B12452" s="158">
        <v>4.16</v>
      </c>
    </row>
    <row r="12453" spans="1:2" x14ac:dyDescent="0.25">
      <c r="A12453" s="157">
        <v>40071</v>
      </c>
      <c r="B12453" s="158">
        <v>4.21</v>
      </c>
    </row>
    <row r="12454" spans="1:2" x14ac:dyDescent="0.25">
      <c r="A12454" s="157">
        <v>40072</v>
      </c>
      <c r="B12454" s="158">
        <v>4.22</v>
      </c>
    </row>
    <row r="12455" spans="1:2" x14ac:dyDescent="0.25">
      <c r="A12455" s="157">
        <v>40073</v>
      </c>
      <c r="B12455" s="158">
        <v>4.1399999999999997</v>
      </c>
    </row>
    <row r="12456" spans="1:2" x14ac:dyDescent="0.25">
      <c r="A12456" s="157">
        <v>40074</v>
      </c>
      <c r="B12456" s="158">
        <v>4.2</v>
      </c>
    </row>
    <row r="12457" spans="1:2" x14ac:dyDescent="0.25">
      <c r="A12457" s="157">
        <v>40077</v>
      </c>
      <c r="B12457" s="158">
        <v>4.2</v>
      </c>
    </row>
    <row r="12458" spans="1:2" x14ac:dyDescent="0.25">
      <c r="A12458" s="157">
        <v>40078</v>
      </c>
      <c r="B12458" s="158">
        <v>4.18</v>
      </c>
    </row>
    <row r="12459" spans="1:2" x14ac:dyDescent="0.25">
      <c r="A12459" s="157">
        <v>40079</v>
      </c>
      <c r="B12459" s="158">
        <v>4.18</v>
      </c>
    </row>
    <row r="12460" spans="1:2" x14ac:dyDescent="0.25">
      <c r="A12460" s="157">
        <v>40080</v>
      </c>
      <c r="B12460" s="158">
        <v>4.1399999999999997</v>
      </c>
    </row>
    <row r="12461" spans="1:2" x14ac:dyDescent="0.25">
      <c r="A12461" s="157">
        <v>40081</v>
      </c>
      <c r="B12461" s="158">
        <v>4.07</v>
      </c>
    </row>
    <row r="12462" spans="1:2" x14ac:dyDescent="0.25">
      <c r="A12462" s="157">
        <v>40084</v>
      </c>
      <c r="B12462" s="158">
        <v>4.0199999999999996</v>
      </c>
    </row>
    <row r="12463" spans="1:2" x14ac:dyDescent="0.25">
      <c r="A12463" s="157">
        <v>40085</v>
      </c>
      <c r="B12463" s="158">
        <v>4.0199999999999996</v>
      </c>
    </row>
    <row r="12464" spans="1:2" x14ac:dyDescent="0.25">
      <c r="A12464" s="157">
        <v>40086</v>
      </c>
      <c r="B12464" s="158">
        <v>4.0199999999999996</v>
      </c>
    </row>
    <row r="12465" spans="1:2" x14ac:dyDescent="0.25">
      <c r="A12465" s="157">
        <v>40087</v>
      </c>
      <c r="B12465" s="158">
        <v>3.95</v>
      </c>
    </row>
    <row r="12466" spans="1:2" x14ac:dyDescent="0.25">
      <c r="A12466" s="157">
        <v>40088</v>
      </c>
      <c r="B12466" s="158">
        <v>3.98</v>
      </c>
    </row>
    <row r="12467" spans="1:2" x14ac:dyDescent="0.25">
      <c r="A12467" s="157">
        <v>40091</v>
      </c>
      <c r="B12467" s="158">
        <v>3.98</v>
      </c>
    </row>
    <row r="12468" spans="1:2" x14ac:dyDescent="0.25">
      <c r="A12468" s="157">
        <v>40092</v>
      </c>
      <c r="B12468" s="158">
        <v>4.03</v>
      </c>
    </row>
    <row r="12469" spans="1:2" x14ac:dyDescent="0.25">
      <c r="A12469" s="157">
        <v>40093</v>
      </c>
      <c r="B12469" s="158">
        <v>3.96</v>
      </c>
    </row>
    <row r="12470" spans="1:2" x14ac:dyDescent="0.25">
      <c r="A12470" s="157">
        <v>40094</v>
      </c>
      <c r="B12470" s="158">
        <v>4.05</v>
      </c>
    </row>
    <row r="12471" spans="1:2" x14ac:dyDescent="0.25">
      <c r="A12471" s="157">
        <v>40095</v>
      </c>
      <c r="B12471" s="158">
        <v>4.2</v>
      </c>
    </row>
    <row r="12472" spans="1:2" x14ac:dyDescent="0.25">
      <c r="A12472" s="157">
        <v>40098</v>
      </c>
      <c r="B12472" s="158" t="e">
        <f>NA()</f>
        <v>#N/A</v>
      </c>
    </row>
    <row r="12473" spans="1:2" x14ac:dyDescent="0.25">
      <c r="A12473" s="157">
        <v>40099</v>
      </c>
      <c r="B12473" s="158">
        <v>4.1399999999999997</v>
      </c>
    </row>
    <row r="12474" spans="1:2" x14ac:dyDescent="0.25">
      <c r="A12474" s="157">
        <v>40100</v>
      </c>
      <c r="B12474" s="158">
        <v>4.26</v>
      </c>
    </row>
    <row r="12475" spans="1:2" x14ac:dyDescent="0.25">
      <c r="A12475" s="157">
        <v>40101</v>
      </c>
      <c r="B12475" s="158">
        <v>4.29</v>
      </c>
    </row>
    <row r="12476" spans="1:2" x14ac:dyDescent="0.25">
      <c r="A12476" s="157">
        <v>40102</v>
      </c>
      <c r="B12476" s="158">
        <v>4.22</v>
      </c>
    </row>
    <row r="12477" spans="1:2" x14ac:dyDescent="0.25">
      <c r="A12477" s="157">
        <v>40105</v>
      </c>
      <c r="B12477" s="158">
        <v>4.1900000000000004</v>
      </c>
    </row>
    <row r="12478" spans="1:2" x14ac:dyDescent="0.25">
      <c r="A12478" s="157">
        <v>40106</v>
      </c>
      <c r="B12478" s="158">
        <v>4.1399999999999997</v>
      </c>
    </row>
    <row r="12479" spans="1:2" x14ac:dyDescent="0.25">
      <c r="A12479" s="157">
        <v>40107</v>
      </c>
      <c r="B12479" s="158">
        <v>4.2</v>
      </c>
    </row>
    <row r="12480" spans="1:2" x14ac:dyDescent="0.25">
      <c r="A12480" s="157">
        <v>40108</v>
      </c>
      <c r="B12480" s="158">
        <v>4.22</v>
      </c>
    </row>
    <row r="12481" spans="1:2" x14ac:dyDescent="0.25">
      <c r="A12481" s="157">
        <v>40109</v>
      </c>
      <c r="B12481" s="158">
        <v>4.2699999999999996</v>
      </c>
    </row>
    <row r="12482" spans="1:2" x14ac:dyDescent="0.25">
      <c r="A12482" s="157">
        <v>40112</v>
      </c>
      <c r="B12482" s="158">
        <v>4.3499999999999996</v>
      </c>
    </row>
    <row r="12483" spans="1:2" x14ac:dyDescent="0.25">
      <c r="A12483" s="157">
        <v>40113</v>
      </c>
      <c r="B12483" s="158">
        <v>4.26</v>
      </c>
    </row>
    <row r="12484" spans="1:2" x14ac:dyDescent="0.25">
      <c r="A12484" s="157">
        <v>40114</v>
      </c>
      <c r="B12484" s="158">
        <v>4.22</v>
      </c>
    </row>
    <row r="12485" spans="1:2" x14ac:dyDescent="0.25">
      <c r="A12485" s="157">
        <v>40115</v>
      </c>
      <c r="B12485" s="158">
        <v>4.3099999999999996</v>
      </c>
    </row>
    <row r="12486" spans="1:2" x14ac:dyDescent="0.25">
      <c r="A12486" s="157">
        <v>40116</v>
      </c>
      <c r="B12486" s="158">
        <v>4.1900000000000004</v>
      </c>
    </row>
    <row r="12487" spans="1:2" x14ac:dyDescent="0.25">
      <c r="A12487" s="157">
        <v>40119</v>
      </c>
      <c r="B12487" s="158">
        <v>4.22</v>
      </c>
    </row>
    <row r="12488" spans="1:2" x14ac:dyDescent="0.25">
      <c r="A12488" s="157">
        <v>40120</v>
      </c>
      <c r="B12488" s="158">
        <v>4.29</v>
      </c>
    </row>
    <row r="12489" spans="1:2" x14ac:dyDescent="0.25">
      <c r="A12489" s="157">
        <v>40121</v>
      </c>
      <c r="B12489" s="158">
        <v>4.3600000000000003</v>
      </c>
    </row>
    <row r="12490" spans="1:2" x14ac:dyDescent="0.25">
      <c r="A12490" s="157">
        <v>40122</v>
      </c>
      <c r="B12490" s="158">
        <v>4.3600000000000003</v>
      </c>
    </row>
    <row r="12491" spans="1:2" x14ac:dyDescent="0.25">
      <c r="A12491" s="157">
        <v>40123</v>
      </c>
      <c r="B12491" s="158">
        <v>4.3499999999999996</v>
      </c>
    </row>
    <row r="12492" spans="1:2" x14ac:dyDescent="0.25">
      <c r="A12492" s="157">
        <v>40126</v>
      </c>
      <c r="B12492" s="158">
        <v>4.34</v>
      </c>
    </row>
    <row r="12493" spans="1:2" x14ac:dyDescent="0.25">
      <c r="A12493" s="157">
        <v>40127</v>
      </c>
      <c r="B12493" s="158">
        <v>4.3600000000000003</v>
      </c>
    </row>
    <row r="12494" spans="1:2" x14ac:dyDescent="0.25">
      <c r="A12494" s="157">
        <v>40128</v>
      </c>
      <c r="B12494" s="158" t="e">
        <f>NA()</f>
        <v>#N/A</v>
      </c>
    </row>
    <row r="12495" spans="1:2" x14ac:dyDescent="0.25">
      <c r="A12495" s="157">
        <v>40129</v>
      </c>
      <c r="B12495" s="158">
        <v>4.33</v>
      </c>
    </row>
    <row r="12496" spans="1:2" x14ac:dyDescent="0.25">
      <c r="A12496" s="157">
        <v>40130</v>
      </c>
      <c r="B12496" s="158">
        <v>4.29</v>
      </c>
    </row>
    <row r="12497" spans="1:2" x14ac:dyDescent="0.25">
      <c r="A12497" s="157">
        <v>40133</v>
      </c>
      <c r="B12497" s="158">
        <v>4.18</v>
      </c>
    </row>
    <row r="12498" spans="1:2" x14ac:dyDescent="0.25">
      <c r="A12498" s="157">
        <v>40134</v>
      </c>
      <c r="B12498" s="158">
        <v>4.17</v>
      </c>
    </row>
    <row r="12499" spans="1:2" x14ac:dyDescent="0.25">
      <c r="A12499" s="157">
        <v>40135</v>
      </c>
      <c r="B12499" s="158">
        <v>4.21</v>
      </c>
    </row>
    <row r="12500" spans="1:2" x14ac:dyDescent="0.25">
      <c r="A12500" s="157">
        <v>40136</v>
      </c>
      <c r="B12500" s="158">
        <v>4.1900000000000004</v>
      </c>
    </row>
    <row r="12501" spans="1:2" x14ac:dyDescent="0.25">
      <c r="A12501" s="157">
        <v>40137</v>
      </c>
      <c r="B12501" s="158">
        <v>4.2</v>
      </c>
    </row>
    <row r="12502" spans="1:2" x14ac:dyDescent="0.25">
      <c r="A12502" s="157">
        <v>40140</v>
      </c>
      <c r="B12502" s="158">
        <v>4.2</v>
      </c>
    </row>
    <row r="12503" spans="1:2" x14ac:dyDescent="0.25">
      <c r="A12503" s="157">
        <v>40141</v>
      </c>
      <c r="B12503" s="158">
        <v>4.16</v>
      </c>
    </row>
    <row r="12504" spans="1:2" x14ac:dyDescent="0.25">
      <c r="A12504" s="157">
        <v>40142</v>
      </c>
      <c r="B12504" s="158">
        <v>4.12</v>
      </c>
    </row>
    <row r="12505" spans="1:2" x14ac:dyDescent="0.25">
      <c r="A12505" s="157">
        <v>40143</v>
      </c>
      <c r="B12505" s="158" t="e">
        <f>NA()</f>
        <v>#N/A</v>
      </c>
    </row>
    <row r="12506" spans="1:2" x14ac:dyDescent="0.25">
      <c r="A12506" s="157">
        <v>40144</v>
      </c>
      <c r="B12506" s="158">
        <v>4.07</v>
      </c>
    </row>
    <row r="12507" spans="1:2" x14ac:dyDescent="0.25">
      <c r="A12507" s="157">
        <v>40147</v>
      </c>
      <c r="B12507" s="158">
        <v>4.07</v>
      </c>
    </row>
    <row r="12508" spans="1:2" x14ac:dyDescent="0.25">
      <c r="A12508" s="157">
        <v>40148</v>
      </c>
      <c r="B12508" s="158">
        <v>4.1399999999999997</v>
      </c>
    </row>
    <row r="12509" spans="1:2" x14ac:dyDescent="0.25">
      <c r="A12509" s="157">
        <v>40149</v>
      </c>
      <c r="B12509" s="158">
        <v>4.1399999999999997</v>
      </c>
    </row>
    <row r="12510" spans="1:2" x14ac:dyDescent="0.25">
      <c r="A12510" s="157">
        <v>40150</v>
      </c>
      <c r="B12510" s="158">
        <v>4.2300000000000004</v>
      </c>
    </row>
    <row r="12511" spans="1:2" x14ac:dyDescent="0.25">
      <c r="A12511" s="157">
        <v>40151</v>
      </c>
      <c r="B12511" s="158">
        <v>4.3099999999999996</v>
      </c>
    </row>
    <row r="12512" spans="1:2" x14ac:dyDescent="0.25">
      <c r="A12512" s="157">
        <v>40154</v>
      </c>
      <c r="B12512" s="158">
        <v>4.29</v>
      </c>
    </row>
    <row r="12513" spans="1:2" x14ac:dyDescent="0.25">
      <c r="A12513" s="157">
        <v>40155</v>
      </c>
      <c r="B12513" s="158">
        <v>4.28</v>
      </c>
    </row>
    <row r="12514" spans="1:2" x14ac:dyDescent="0.25">
      <c r="A12514" s="157">
        <v>40156</v>
      </c>
      <c r="B12514" s="158">
        <v>4.3099999999999996</v>
      </c>
    </row>
    <row r="12515" spans="1:2" x14ac:dyDescent="0.25">
      <c r="A12515" s="157">
        <v>40157</v>
      </c>
      <c r="B12515" s="158">
        <v>4.37</v>
      </c>
    </row>
    <row r="12516" spans="1:2" x14ac:dyDescent="0.25">
      <c r="A12516" s="157">
        <v>40158</v>
      </c>
      <c r="B12516" s="158">
        <v>4.3899999999999997</v>
      </c>
    </row>
    <row r="12517" spans="1:2" x14ac:dyDescent="0.25">
      <c r="A12517" s="157">
        <v>40161</v>
      </c>
      <c r="B12517" s="158">
        <v>4.3899999999999997</v>
      </c>
    </row>
    <row r="12518" spans="1:2" x14ac:dyDescent="0.25">
      <c r="A12518" s="157">
        <v>40162</v>
      </c>
      <c r="B12518" s="158">
        <v>4.42</v>
      </c>
    </row>
    <row r="12519" spans="1:2" x14ac:dyDescent="0.25">
      <c r="A12519" s="157">
        <v>40163</v>
      </c>
      <c r="B12519" s="158">
        <v>4.42</v>
      </c>
    </row>
    <row r="12520" spans="1:2" x14ac:dyDescent="0.25">
      <c r="A12520" s="157">
        <v>40164</v>
      </c>
      <c r="B12520" s="158">
        <v>4.3099999999999996</v>
      </c>
    </row>
    <row r="12521" spans="1:2" x14ac:dyDescent="0.25">
      <c r="A12521" s="157">
        <v>40165</v>
      </c>
      <c r="B12521" s="158">
        <v>4.3600000000000003</v>
      </c>
    </row>
    <row r="12522" spans="1:2" x14ac:dyDescent="0.25">
      <c r="A12522" s="157">
        <v>40168</v>
      </c>
      <c r="B12522" s="158">
        <v>4.47</v>
      </c>
    </row>
    <row r="12523" spans="1:2" x14ac:dyDescent="0.25">
      <c r="A12523" s="157">
        <v>40169</v>
      </c>
      <c r="B12523" s="158">
        <v>4.5199999999999996</v>
      </c>
    </row>
    <row r="12524" spans="1:2" x14ac:dyDescent="0.25">
      <c r="A12524" s="157">
        <v>40170</v>
      </c>
      <c r="B12524" s="158">
        <v>4.54</v>
      </c>
    </row>
    <row r="12525" spans="1:2" x14ac:dyDescent="0.25">
      <c r="A12525" s="157">
        <v>40171</v>
      </c>
      <c r="B12525" s="158">
        <v>4.5999999999999996</v>
      </c>
    </row>
    <row r="12526" spans="1:2" x14ac:dyDescent="0.25">
      <c r="A12526" s="157">
        <v>40172</v>
      </c>
      <c r="B12526" s="158" t="e">
        <f>NA()</f>
        <v>#N/A</v>
      </c>
    </row>
    <row r="12527" spans="1:2" x14ac:dyDescent="0.25">
      <c r="A12527" s="157">
        <v>40175</v>
      </c>
      <c r="B12527" s="158">
        <v>4.6100000000000003</v>
      </c>
    </row>
    <row r="12528" spans="1:2" x14ac:dyDescent="0.25">
      <c r="A12528" s="157">
        <v>40176</v>
      </c>
      <c r="B12528" s="158">
        <v>4.57</v>
      </c>
    </row>
    <row r="12529" spans="1:2" x14ac:dyDescent="0.25">
      <c r="A12529" s="157">
        <v>40177</v>
      </c>
      <c r="B12529" s="158">
        <v>4.54</v>
      </c>
    </row>
    <row r="12530" spans="1:2" x14ac:dyDescent="0.25">
      <c r="A12530" s="157">
        <v>40178</v>
      </c>
      <c r="B12530" s="158">
        <v>4.58</v>
      </c>
    </row>
    <row r="12531" spans="1:2" x14ac:dyDescent="0.25">
      <c r="A12531" s="157">
        <v>40179</v>
      </c>
      <c r="B12531" s="158" t="e">
        <f>NA()</f>
        <v>#N/A</v>
      </c>
    </row>
    <row r="12532" spans="1:2" x14ac:dyDescent="0.25">
      <c r="A12532" s="157">
        <v>40182</v>
      </c>
      <c r="B12532" s="158">
        <v>4.5999999999999996</v>
      </c>
    </row>
    <row r="12533" spans="1:2" x14ac:dyDescent="0.25">
      <c r="A12533" s="157">
        <v>40183</v>
      </c>
      <c r="B12533" s="158">
        <v>4.54</v>
      </c>
    </row>
    <row r="12534" spans="1:2" x14ac:dyDescent="0.25">
      <c r="A12534" s="157">
        <v>40184</v>
      </c>
      <c r="B12534" s="158">
        <v>4.63</v>
      </c>
    </row>
    <row r="12535" spans="1:2" x14ac:dyDescent="0.25">
      <c r="A12535" s="157">
        <v>40185</v>
      </c>
      <c r="B12535" s="158">
        <v>4.62</v>
      </c>
    </row>
    <row r="12536" spans="1:2" x14ac:dyDescent="0.25">
      <c r="A12536" s="157">
        <v>40186</v>
      </c>
      <c r="B12536" s="158">
        <v>4.6100000000000003</v>
      </c>
    </row>
    <row r="12537" spans="1:2" x14ac:dyDescent="0.25">
      <c r="A12537" s="157">
        <v>40189</v>
      </c>
      <c r="B12537" s="158">
        <v>4.6399999999999997</v>
      </c>
    </row>
    <row r="12538" spans="1:2" x14ac:dyDescent="0.25">
      <c r="A12538" s="157">
        <v>40190</v>
      </c>
      <c r="B12538" s="158">
        <v>4.5199999999999996</v>
      </c>
    </row>
    <row r="12539" spans="1:2" x14ac:dyDescent="0.25">
      <c r="A12539" s="157">
        <v>40191</v>
      </c>
      <c r="B12539" s="158">
        <v>4.5999999999999996</v>
      </c>
    </row>
    <row r="12540" spans="1:2" x14ac:dyDescent="0.25">
      <c r="A12540" s="157">
        <v>40192</v>
      </c>
      <c r="B12540" s="158">
        <v>4.5199999999999996</v>
      </c>
    </row>
    <row r="12541" spans="1:2" x14ac:dyDescent="0.25">
      <c r="A12541" s="157">
        <v>40193</v>
      </c>
      <c r="B12541" s="158">
        <v>4.4800000000000004</v>
      </c>
    </row>
    <row r="12542" spans="1:2" x14ac:dyDescent="0.25">
      <c r="A12542" s="157">
        <v>40196</v>
      </c>
      <c r="B12542" s="158" t="e">
        <f>NA()</f>
        <v>#N/A</v>
      </c>
    </row>
    <row r="12543" spans="1:2" x14ac:dyDescent="0.25">
      <c r="A12543" s="157">
        <v>40197</v>
      </c>
      <c r="B12543" s="158">
        <v>4.49</v>
      </c>
    </row>
    <row r="12544" spans="1:2" x14ac:dyDescent="0.25">
      <c r="A12544" s="157">
        <v>40198</v>
      </c>
      <c r="B12544" s="158">
        <v>4.43</v>
      </c>
    </row>
    <row r="12545" spans="1:2" x14ac:dyDescent="0.25">
      <c r="A12545" s="157">
        <v>40199</v>
      </c>
      <c r="B12545" s="158">
        <v>4.38</v>
      </c>
    </row>
    <row r="12546" spans="1:2" x14ac:dyDescent="0.25">
      <c r="A12546" s="157">
        <v>40200</v>
      </c>
      <c r="B12546" s="158">
        <v>4.38</v>
      </c>
    </row>
    <row r="12547" spans="1:2" x14ac:dyDescent="0.25">
      <c r="A12547" s="157">
        <v>40203</v>
      </c>
      <c r="B12547" s="158">
        <v>4.42</v>
      </c>
    </row>
    <row r="12548" spans="1:2" x14ac:dyDescent="0.25">
      <c r="A12548" s="157">
        <v>40204</v>
      </c>
      <c r="B12548" s="158">
        <v>4.43</v>
      </c>
    </row>
    <row r="12549" spans="1:2" x14ac:dyDescent="0.25">
      <c r="A12549" s="157">
        <v>40205</v>
      </c>
      <c r="B12549" s="158">
        <v>4.42</v>
      </c>
    </row>
    <row r="12550" spans="1:2" x14ac:dyDescent="0.25">
      <c r="A12550" s="157">
        <v>40206</v>
      </c>
      <c r="B12550" s="158">
        <v>4.4400000000000004</v>
      </c>
    </row>
    <row r="12551" spans="1:2" x14ac:dyDescent="0.25">
      <c r="A12551" s="157">
        <v>40207</v>
      </c>
      <c r="B12551" s="158">
        <v>4.38</v>
      </c>
    </row>
    <row r="12552" spans="1:2" x14ac:dyDescent="0.25">
      <c r="A12552" s="157">
        <v>40210</v>
      </c>
      <c r="B12552" s="158">
        <v>4.43</v>
      </c>
    </row>
    <row r="12553" spans="1:2" x14ac:dyDescent="0.25">
      <c r="A12553" s="157">
        <v>40211</v>
      </c>
      <c r="B12553" s="158">
        <v>4.42</v>
      </c>
    </row>
    <row r="12554" spans="1:2" x14ac:dyDescent="0.25">
      <c r="A12554" s="157">
        <v>40212</v>
      </c>
      <c r="B12554" s="158">
        <v>4.49</v>
      </c>
    </row>
    <row r="12555" spans="1:2" x14ac:dyDescent="0.25">
      <c r="A12555" s="157">
        <v>40213</v>
      </c>
      <c r="B12555" s="158">
        <v>4.3899999999999997</v>
      </c>
    </row>
    <row r="12556" spans="1:2" x14ac:dyDescent="0.25">
      <c r="A12556" s="157">
        <v>40214</v>
      </c>
      <c r="B12556" s="158">
        <v>4.3600000000000003</v>
      </c>
    </row>
    <row r="12557" spans="1:2" x14ac:dyDescent="0.25">
      <c r="A12557" s="157">
        <v>40217</v>
      </c>
      <c r="B12557" s="158">
        <v>4.38</v>
      </c>
    </row>
    <row r="12558" spans="1:2" x14ac:dyDescent="0.25">
      <c r="A12558" s="157">
        <v>40218</v>
      </c>
      <c r="B12558" s="158">
        <v>4.4400000000000004</v>
      </c>
    </row>
    <row r="12559" spans="1:2" x14ac:dyDescent="0.25">
      <c r="A12559" s="157">
        <v>40219</v>
      </c>
      <c r="B12559" s="158">
        <v>4.51</v>
      </c>
    </row>
    <row r="12560" spans="1:2" x14ac:dyDescent="0.25">
      <c r="A12560" s="157">
        <v>40220</v>
      </c>
      <c r="B12560" s="158">
        <v>4.54</v>
      </c>
    </row>
    <row r="12561" spans="1:2" x14ac:dyDescent="0.25">
      <c r="A12561" s="157">
        <v>40221</v>
      </c>
      <c r="B12561" s="158">
        <v>4.5199999999999996</v>
      </c>
    </row>
    <row r="12562" spans="1:2" x14ac:dyDescent="0.25">
      <c r="A12562" s="157">
        <v>40224</v>
      </c>
      <c r="B12562" s="158" t="e">
        <f>NA()</f>
        <v>#N/A</v>
      </c>
    </row>
    <row r="12563" spans="1:2" x14ac:dyDescent="0.25">
      <c r="A12563" s="157">
        <v>40225</v>
      </c>
      <c r="B12563" s="158">
        <v>4.49</v>
      </c>
    </row>
    <row r="12564" spans="1:2" x14ac:dyDescent="0.25">
      <c r="A12564" s="157">
        <v>40226</v>
      </c>
      <c r="B12564" s="158">
        <v>4.5599999999999996</v>
      </c>
    </row>
    <row r="12565" spans="1:2" x14ac:dyDescent="0.25">
      <c r="A12565" s="157">
        <v>40227</v>
      </c>
      <c r="B12565" s="158">
        <v>4.6100000000000003</v>
      </c>
    </row>
    <row r="12566" spans="1:2" x14ac:dyDescent="0.25">
      <c r="A12566" s="157">
        <v>40228</v>
      </c>
      <c r="B12566" s="158">
        <v>4.58</v>
      </c>
    </row>
    <row r="12567" spans="1:2" x14ac:dyDescent="0.25">
      <c r="A12567" s="157">
        <v>40231</v>
      </c>
      <c r="B12567" s="158">
        <v>4.5999999999999996</v>
      </c>
    </row>
    <row r="12568" spans="1:2" x14ac:dyDescent="0.25">
      <c r="A12568" s="157">
        <v>40232</v>
      </c>
      <c r="B12568" s="158">
        <v>4.49</v>
      </c>
    </row>
    <row r="12569" spans="1:2" x14ac:dyDescent="0.25">
      <c r="A12569" s="157">
        <v>40233</v>
      </c>
      <c r="B12569" s="158">
        <v>4.49</v>
      </c>
    </row>
    <row r="12570" spans="1:2" x14ac:dyDescent="0.25">
      <c r="A12570" s="157">
        <v>40234</v>
      </c>
      <c r="B12570" s="158">
        <v>4.4400000000000004</v>
      </c>
    </row>
    <row r="12571" spans="1:2" x14ac:dyDescent="0.25">
      <c r="A12571" s="157">
        <v>40235</v>
      </c>
      <c r="B12571" s="158">
        <v>4.4000000000000004</v>
      </c>
    </row>
    <row r="12572" spans="1:2" x14ac:dyDescent="0.25">
      <c r="A12572" s="157">
        <v>40238</v>
      </c>
      <c r="B12572" s="158">
        <v>4.41</v>
      </c>
    </row>
    <row r="12573" spans="1:2" x14ac:dyDescent="0.25">
      <c r="A12573" s="157">
        <v>40239</v>
      </c>
      <c r="B12573" s="158">
        <v>4.42</v>
      </c>
    </row>
    <row r="12574" spans="1:2" x14ac:dyDescent="0.25">
      <c r="A12574" s="157">
        <v>40240</v>
      </c>
      <c r="B12574" s="158">
        <v>4.43</v>
      </c>
    </row>
    <row r="12575" spans="1:2" x14ac:dyDescent="0.25">
      <c r="A12575" s="157">
        <v>40241</v>
      </c>
      <c r="B12575" s="158">
        <v>4.4000000000000004</v>
      </c>
    </row>
    <row r="12576" spans="1:2" x14ac:dyDescent="0.25">
      <c r="A12576" s="157">
        <v>40242</v>
      </c>
      <c r="B12576" s="158">
        <v>4.49</v>
      </c>
    </row>
    <row r="12577" spans="1:2" x14ac:dyDescent="0.25">
      <c r="A12577" s="157">
        <v>40245</v>
      </c>
      <c r="B12577" s="158">
        <v>4.5199999999999996</v>
      </c>
    </row>
    <row r="12578" spans="1:2" x14ac:dyDescent="0.25">
      <c r="A12578" s="157">
        <v>40246</v>
      </c>
      <c r="B12578" s="158">
        <v>4.53</v>
      </c>
    </row>
    <row r="12579" spans="1:2" x14ac:dyDescent="0.25">
      <c r="A12579" s="157">
        <v>40247</v>
      </c>
      <c r="B12579" s="158">
        <v>4.53</v>
      </c>
    </row>
    <row r="12580" spans="1:2" x14ac:dyDescent="0.25">
      <c r="A12580" s="157">
        <v>40248</v>
      </c>
      <c r="B12580" s="158">
        <v>4.51</v>
      </c>
    </row>
    <row r="12581" spans="1:2" x14ac:dyDescent="0.25">
      <c r="A12581" s="157">
        <v>40249</v>
      </c>
      <c r="B12581" s="158">
        <v>4.47</v>
      </c>
    </row>
    <row r="12582" spans="1:2" x14ac:dyDescent="0.25">
      <c r="A12582" s="157">
        <v>40252</v>
      </c>
      <c r="B12582" s="158">
        <v>4.4800000000000004</v>
      </c>
    </row>
    <row r="12583" spans="1:2" x14ac:dyDescent="0.25">
      <c r="A12583" s="157">
        <v>40253</v>
      </c>
      <c r="B12583" s="158">
        <v>4.43</v>
      </c>
    </row>
    <row r="12584" spans="1:2" x14ac:dyDescent="0.25">
      <c r="A12584" s="157">
        <v>40254</v>
      </c>
      <c r="B12584" s="158">
        <v>4.41</v>
      </c>
    </row>
    <row r="12585" spans="1:2" x14ac:dyDescent="0.25">
      <c r="A12585" s="157">
        <v>40255</v>
      </c>
      <c r="B12585" s="158">
        <v>4.43</v>
      </c>
    </row>
    <row r="12586" spans="1:2" x14ac:dyDescent="0.25">
      <c r="A12586" s="157">
        <v>40256</v>
      </c>
      <c r="B12586" s="158">
        <v>4.41</v>
      </c>
    </row>
    <row r="12587" spans="1:2" x14ac:dyDescent="0.25">
      <c r="A12587" s="157">
        <v>40259</v>
      </c>
      <c r="B12587" s="158">
        <v>4.41</v>
      </c>
    </row>
    <row r="12588" spans="1:2" x14ac:dyDescent="0.25">
      <c r="A12588" s="157">
        <v>40260</v>
      </c>
      <c r="B12588" s="158">
        <v>4.43</v>
      </c>
    </row>
    <row r="12589" spans="1:2" x14ac:dyDescent="0.25">
      <c r="A12589" s="157">
        <v>40261</v>
      </c>
      <c r="B12589" s="158">
        <v>4.5599999999999996</v>
      </c>
    </row>
    <row r="12590" spans="1:2" x14ac:dyDescent="0.25">
      <c r="A12590" s="157">
        <v>40262</v>
      </c>
      <c r="B12590" s="158">
        <v>4.63</v>
      </c>
    </row>
    <row r="12591" spans="1:2" x14ac:dyDescent="0.25">
      <c r="A12591" s="157">
        <v>40263</v>
      </c>
      <c r="B12591" s="158">
        <v>4.5999999999999996</v>
      </c>
    </row>
    <row r="12592" spans="1:2" x14ac:dyDescent="0.25">
      <c r="A12592" s="157">
        <v>40266</v>
      </c>
      <c r="B12592" s="158">
        <v>4.6100000000000003</v>
      </c>
    </row>
    <row r="12593" spans="1:2" x14ac:dyDescent="0.25">
      <c r="A12593" s="157">
        <v>40267</v>
      </c>
      <c r="B12593" s="158">
        <v>4.59</v>
      </c>
    </row>
    <row r="12594" spans="1:2" x14ac:dyDescent="0.25">
      <c r="A12594" s="157">
        <v>40268</v>
      </c>
      <c r="B12594" s="158">
        <v>4.55</v>
      </c>
    </row>
    <row r="12595" spans="1:2" x14ac:dyDescent="0.25">
      <c r="A12595" s="157">
        <v>40269</v>
      </c>
      <c r="B12595" s="158">
        <v>4.58</v>
      </c>
    </row>
    <row r="12596" spans="1:2" x14ac:dyDescent="0.25">
      <c r="A12596" s="157">
        <v>40270</v>
      </c>
      <c r="B12596" s="158">
        <v>4.6500000000000004</v>
      </c>
    </row>
    <row r="12597" spans="1:2" x14ac:dyDescent="0.25">
      <c r="A12597" s="157">
        <v>40273</v>
      </c>
      <c r="B12597" s="158">
        <v>4.6900000000000004</v>
      </c>
    </row>
    <row r="12598" spans="1:2" x14ac:dyDescent="0.25">
      <c r="A12598" s="157">
        <v>40274</v>
      </c>
      <c r="B12598" s="158">
        <v>4.68</v>
      </c>
    </row>
    <row r="12599" spans="1:2" x14ac:dyDescent="0.25">
      <c r="A12599" s="157">
        <v>40275</v>
      </c>
      <c r="B12599" s="158">
        <v>4.58</v>
      </c>
    </row>
    <row r="12600" spans="1:2" x14ac:dyDescent="0.25">
      <c r="A12600" s="157">
        <v>40276</v>
      </c>
      <c r="B12600" s="158">
        <v>4.5999999999999996</v>
      </c>
    </row>
    <row r="12601" spans="1:2" x14ac:dyDescent="0.25">
      <c r="A12601" s="157">
        <v>40277</v>
      </c>
      <c r="B12601" s="158">
        <v>4.58</v>
      </c>
    </row>
    <row r="12602" spans="1:2" x14ac:dyDescent="0.25">
      <c r="A12602" s="157">
        <v>40280</v>
      </c>
      <c r="B12602" s="158">
        <v>4.54</v>
      </c>
    </row>
    <row r="12603" spans="1:2" x14ac:dyDescent="0.25">
      <c r="A12603" s="157">
        <v>40281</v>
      </c>
      <c r="B12603" s="158">
        <v>4.5199999999999996</v>
      </c>
    </row>
    <row r="12604" spans="1:2" x14ac:dyDescent="0.25">
      <c r="A12604" s="157">
        <v>40282</v>
      </c>
      <c r="B12604" s="158">
        <v>4.57</v>
      </c>
    </row>
    <row r="12605" spans="1:2" x14ac:dyDescent="0.25">
      <c r="A12605" s="157">
        <v>40283</v>
      </c>
      <c r="B12605" s="158">
        <v>4.5599999999999996</v>
      </c>
    </row>
    <row r="12606" spans="1:2" x14ac:dyDescent="0.25">
      <c r="A12606" s="157">
        <v>40284</v>
      </c>
      <c r="B12606" s="158">
        <v>4.5</v>
      </c>
    </row>
    <row r="12607" spans="1:2" x14ac:dyDescent="0.25">
      <c r="A12607" s="157">
        <v>40287</v>
      </c>
      <c r="B12607" s="158">
        <v>4.54</v>
      </c>
    </row>
    <row r="12608" spans="1:2" x14ac:dyDescent="0.25">
      <c r="A12608" s="157">
        <v>40288</v>
      </c>
      <c r="B12608" s="158">
        <v>4.51</v>
      </c>
    </row>
    <row r="12609" spans="1:2" x14ac:dyDescent="0.25">
      <c r="A12609" s="157">
        <v>40289</v>
      </c>
      <c r="B12609" s="158">
        <v>4.45</v>
      </c>
    </row>
    <row r="12610" spans="1:2" x14ac:dyDescent="0.25">
      <c r="A12610" s="157">
        <v>40290</v>
      </c>
      <c r="B12610" s="158">
        <v>4.4800000000000004</v>
      </c>
    </row>
    <row r="12611" spans="1:2" x14ac:dyDescent="0.25">
      <c r="A12611" s="157">
        <v>40291</v>
      </c>
      <c r="B12611" s="158">
        <v>4.51</v>
      </c>
    </row>
    <row r="12612" spans="1:2" x14ac:dyDescent="0.25">
      <c r="A12612" s="157">
        <v>40294</v>
      </c>
      <c r="B12612" s="158">
        <v>4.5</v>
      </c>
    </row>
    <row r="12613" spans="1:2" x14ac:dyDescent="0.25">
      <c r="A12613" s="157">
        <v>40295</v>
      </c>
      <c r="B12613" s="158">
        <v>4.4000000000000004</v>
      </c>
    </row>
    <row r="12614" spans="1:2" x14ac:dyDescent="0.25">
      <c r="A12614" s="157">
        <v>40296</v>
      </c>
      <c r="B12614" s="158">
        <v>4.47</v>
      </c>
    </row>
    <row r="12615" spans="1:2" x14ac:dyDescent="0.25">
      <c r="A12615" s="157">
        <v>40297</v>
      </c>
      <c r="B12615" s="158">
        <v>4.42</v>
      </c>
    </row>
    <row r="12616" spans="1:2" x14ac:dyDescent="0.25">
      <c r="A12616" s="157">
        <v>40298</v>
      </c>
      <c r="B12616" s="158">
        <v>4.3600000000000003</v>
      </c>
    </row>
    <row r="12617" spans="1:2" x14ac:dyDescent="0.25">
      <c r="A12617" s="157">
        <v>40301</v>
      </c>
      <c r="B12617" s="158">
        <v>4.37</v>
      </c>
    </row>
    <row r="12618" spans="1:2" x14ac:dyDescent="0.25">
      <c r="A12618" s="157">
        <v>40302</v>
      </c>
      <c r="B12618" s="158">
        <v>4.2699999999999996</v>
      </c>
    </row>
    <row r="12619" spans="1:2" x14ac:dyDescent="0.25">
      <c r="A12619" s="157">
        <v>40303</v>
      </c>
      <c r="B12619" s="158">
        <v>4.2300000000000004</v>
      </c>
    </row>
    <row r="12620" spans="1:2" x14ac:dyDescent="0.25">
      <c r="A12620" s="157">
        <v>40304</v>
      </c>
      <c r="B12620" s="158">
        <v>4.03</v>
      </c>
    </row>
    <row r="12621" spans="1:2" x14ac:dyDescent="0.25">
      <c r="A12621" s="157">
        <v>40305</v>
      </c>
      <c r="B12621" s="158">
        <v>4.1100000000000003</v>
      </c>
    </row>
    <row r="12622" spans="1:2" x14ac:dyDescent="0.25">
      <c r="A12622" s="157">
        <v>40308</v>
      </c>
      <c r="B12622" s="158">
        <v>4.2300000000000004</v>
      </c>
    </row>
    <row r="12623" spans="1:2" x14ac:dyDescent="0.25">
      <c r="A12623" s="157">
        <v>40309</v>
      </c>
      <c r="B12623" s="158">
        <v>4.24</v>
      </c>
    </row>
    <row r="12624" spans="1:2" x14ac:dyDescent="0.25">
      <c r="A12624" s="157">
        <v>40310</v>
      </c>
      <c r="B12624" s="158">
        <v>4.29</v>
      </c>
    </row>
    <row r="12625" spans="1:2" x14ac:dyDescent="0.25">
      <c r="A12625" s="157">
        <v>40311</v>
      </c>
      <c r="B12625" s="158">
        <v>4.26</v>
      </c>
    </row>
    <row r="12626" spans="1:2" x14ac:dyDescent="0.25">
      <c r="A12626" s="157">
        <v>40312</v>
      </c>
      <c r="B12626" s="158">
        <v>4.13</v>
      </c>
    </row>
    <row r="12627" spans="1:2" x14ac:dyDescent="0.25">
      <c r="A12627" s="157">
        <v>40315</v>
      </c>
      <c r="B12627" s="158">
        <v>4.17</v>
      </c>
    </row>
    <row r="12628" spans="1:2" x14ac:dyDescent="0.25">
      <c r="A12628" s="157">
        <v>40316</v>
      </c>
      <c r="B12628" s="158">
        <v>4.08</v>
      </c>
    </row>
    <row r="12629" spans="1:2" x14ac:dyDescent="0.25">
      <c r="A12629" s="157">
        <v>40317</v>
      </c>
      <c r="B12629" s="158">
        <v>4.07</v>
      </c>
    </row>
    <row r="12630" spans="1:2" x14ac:dyDescent="0.25">
      <c r="A12630" s="157">
        <v>40318</v>
      </c>
      <c r="B12630" s="158">
        <v>3.96</v>
      </c>
    </row>
    <row r="12631" spans="1:2" x14ac:dyDescent="0.25">
      <c r="A12631" s="157">
        <v>40319</v>
      </c>
      <c r="B12631" s="158">
        <v>3.91</v>
      </c>
    </row>
    <row r="12632" spans="1:2" x14ac:dyDescent="0.25">
      <c r="A12632" s="157">
        <v>40322</v>
      </c>
      <c r="B12632" s="158">
        <v>3.96</v>
      </c>
    </row>
    <row r="12633" spans="1:2" x14ac:dyDescent="0.25">
      <c r="A12633" s="157">
        <v>40323</v>
      </c>
      <c r="B12633" s="158">
        <v>3.91</v>
      </c>
    </row>
    <row r="12634" spans="1:2" x14ac:dyDescent="0.25">
      <c r="A12634" s="157">
        <v>40324</v>
      </c>
      <c r="B12634" s="158">
        <v>3.94</v>
      </c>
    </row>
    <row r="12635" spans="1:2" x14ac:dyDescent="0.25">
      <c r="A12635" s="157">
        <v>40325</v>
      </c>
      <c r="B12635" s="158">
        <v>4.08</v>
      </c>
    </row>
    <row r="12636" spans="1:2" x14ac:dyDescent="0.25">
      <c r="A12636" s="157">
        <v>40326</v>
      </c>
      <c r="B12636" s="158">
        <v>4.05</v>
      </c>
    </row>
    <row r="12637" spans="1:2" x14ac:dyDescent="0.25">
      <c r="A12637" s="157">
        <v>40329</v>
      </c>
      <c r="B12637" s="158" t="e">
        <f>NA()</f>
        <v>#N/A</v>
      </c>
    </row>
    <row r="12638" spans="1:2" x14ac:dyDescent="0.25">
      <c r="A12638" s="157">
        <v>40330</v>
      </c>
      <c r="B12638" s="158">
        <v>4.03</v>
      </c>
    </row>
    <row r="12639" spans="1:2" x14ac:dyDescent="0.25">
      <c r="A12639" s="157">
        <v>40331</v>
      </c>
      <c r="B12639" s="158">
        <v>4.08</v>
      </c>
    </row>
    <row r="12640" spans="1:2" x14ac:dyDescent="0.25">
      <c r="A12640" s="157">
        <v>40332</v>
      </c>
      <c r="B12640" s="158">
        <v>4.12</v>
      </c>
    </row>
    <row r="12641" spans="1:2" x14ac:dyDescent="0.25">
      <c r="A12641" s="157">
        <v>40333</v>
      </c>
      <c r="B12641" s="158">
        <v>3.95</v>
      </c>
    </row>
    <row r="12642" spans="1:2" x14ac:dyDescent="0.25">
      <c r="A12642" s="157">
        <v>40336</v>
      </c>
      <c r="B12642" s="158">
        <v>3.93</v>
      </c>
    </row>
    <row r="12643" spans="1:2" x14ac:dyDescent="0.25">
      <c r="A12643" s="157">
        <v>40337</v>
      </c>
      <c r="B12643" s="158">
        <v>3.92</v>
      </c>
    </row>
    <row r="12644" spans="1:2" x14ac:dyDescent="0.25">
      <c r="A12644" s="157">
        <v>40338</v>
      </c>
      <c r="B12644" s="158">
        <v>3.94</v>
      </c>
    </row>
    <row r="12645" spans="1:2" x14ac:dyDescent="0.25">
      <c r="A12645" s="157">
        <v>40339</v>
      </c>
      <c r="B12645" s="158">
        <v>4.0599999999999996</v>
      </c>
    </row>
    <row r="12646" spans="1:2" x14ac:dyDescent="0.25">
      <c r="A12646" s="157">
        <v>40340</v>
      </c>
      <c r="B12646" s="158">
        <v>3.97</v>
      </c>
    </row>
    <row r="12647" spans="1:2" x14ac:dyDescent="0.25">
      <c r="A12647" s="157">
        <v>40343</v>
      </c>
      <c r="B12647" s="158">
        <v>4.0199999999999996</v>
      </c>
    </row>
    <row r="12648" spans="1:2" x14ac:dyDescent="0.25">
      <c r="A12648" s="157">
        <v>40344</v>
      </c>
      <c r="B12648" s="158">
        <v>4.0599999999999996</v>
      </c>
    </row>
    <row r="12649" spans="1:2" x14ac:dyDescent="0.25">
      <c r="A12649" s="157">
        <v>40345</v>
      </c>
      <c r="B12649" s="158">
        <v>4</v>
      </c>
    </row>
    <row r="12650" spans="1:2" x14ac:dyDescent="0.25">
      <c r="A12650" s="157">
        <v>40346</v>
      </c>
      <c r="B12650" s="158">
        <v>3.95</v>
      </c>
    </row>
    <row r="12651" spans="1:2" x14ac:dyDescent="0.25">
      <c r="A12651" s="157">
        <v>40347</v>
      </c>
      <c r="B12651" s="158">
        <v>3.97</v>
      </c>
    </row>
    <row r="12652" spans="1:2" x14ac:dyDescent="0.25">
      <c r="A12652" s="157">
        <v>40350</v>
      </c>
      <c r="B12652" s="158">
        <v>3.99</v>
      </c>
    </row>
    <row r="12653" spans="1:2" x14ac:dyDescent="0.25">
      <c r="A12653" s="157">
        <v>40351</v>
      </c>
      <c r="B12653" s="158">
        <v>3.92</v>
      </c>
    </row>
    <row r="12654" spans="1:2" x14ac:dyDescent="0.25">
      <c r="A12654" s="157">
        <v>40352</v>
      </c>
      <c r="B12654" s="158">
        <v>3.87</v>
      </c>
    </row>
    <row r="12655" spans="1:2" x14ac:dyDescent="0.25">
      <c r="A12655" s="157">
        <v>40353</v>
      </c>
      <c r="B12655" s="158">
        <v>3.91</v>
      </c>
    </row>
    <row r="12656" spans="1:2" x14ac:dyDescent="0.25">
      <c r="A12656" s="157">
        <v>40354</v>
      </c>
      <c r="B12656" s="158">
        <v>3.89</v>
      </c>
    </row>
    <row r="12657" spans="1:2" x14ac:dyDescent="0.25">
      <c r="A12657" s="157">
        <v>40357</v>
      </c>
      <c r="B12657" s="158">
        <v>3.82</v>
      </c>
    </row>
    <row r="12658" spans="1:2" x14ac:dyDescent="0.25">
      <c r="A12658" s="157">
        <v>40358</v>
      </c>
      <c r="B12658" s="158">
        <v>3.76</v>
      </c>
    </row>
    <row r="12659" spans="1:2" x14ac:dyDescent="0.25">
      <c r="A12659" s="157">
        <v>40359</v>
      </c>
      <c r="B12659" s="158">
        <v>3.74</v>
      </c>
    </row>
    <row r="12660" spans="1:2" x14ac:dyDescent="0.25">
      <c r="A12660" s="157">
        <v>40360</v>
      </c>
      <c r="B12660" s="158">
        <v>3.71</v>
      </c>
    </row>
    <row r="12661" spans="1:2" x14ac:dyDescent="0.25">
      <c r="A12661" s="157">
        <v>40361</v>
      </c>
      <c r="B12661" s="158">
        <v>3.77</v>
      </c>
    </row>
    <row r="12662" spans="1:2" x14ac:dyDescent="0.25">
      <c r="A12662" s="157">
        <v>40364</v>
      </c>
      <c r="B12662" s="158" t="e">
        <f>NA()</f>
        <v>#N/A</v>
      </c>
    </row>
    <row r="12663" spans="1:2" x14ac:dyDescent="0.25">
      <c r="A12663" s="157">
        <v>40365</v>
      </c>
      <c r="B12663" s="158">
        <v>3.71</v>
      </c>
    </row>
    <row r="12664" spans="1:2" x14ac:dyDescent="0.25">
      <c r="A12664" s="157">
        <v>40366</v>
      </c>
      <c r="B12664" s="158">
        <v>3.78</v>
      </c>
    </row>
    <row r="12665" spans="1:2" x14ac:dyDescent="0.25">
      <c r="A12665" s="157">
        <v>40367</v>
      </c>
      <c r="B12665" s="158">
        <v>3.81</v>
      </c>
    </row>
    <row r="12666" spans="1:2" x14ac:dyDescent="0.25">
      <c r="A12666" s="157">
        <v>40368</v>
      </c>
      <c r="B12666" s="158">
        <v>3.85</v>
      </c>
    </row>
    <row r="12667" spans="1:2" x14ac:dyDescent="0.25">
      <c r="A12667" s="157">
        <v>40371</v>
      </c>
      <c r="B12667" s="158">
        <v>3.86</v>
      </c>
    </row>
    <row r="12668" spans="1:2" x14ac:dyDescent="0.25">
      <c r="A12668" s="157">
        <v>40372</v>
      </c>
      <c r="B12668" s="158">
        <v>3.92</v>
      </c>
    </row>
    <row r="12669" spans="1:2" x14ac:dyDescent="0.25">
      <c r="A12669" s="157">
        <v>40373</v>
      </c>
      <c r="B12669" s="158">
        <v>3.84</v>
      </c>
    </row>
    <row r="12670" spans="1:2" x14ac:dyDescent="0.25">
      <c r="A12670" s="157">
        <v>40374</v>
      </c>
      <c r="B12670" s="158">
        <v>3.77</v>
      </c>
    </row>
    <row r="12671" spans="1:2" x14ac:dyDescent="0.25">
      <c r="A12671" s="157">
        <v>40375</v>
      </c>
      <c r="B12671" s="158">
        <v>3.74</v>
      </c>
    </row>
    <row r="12672" spans="1:2" x14ac:dyDescent="0.25">
      <c r="A12672" s="157">
        <v>40378</v>
      </c>
      <c r="B12672" s="158">
        <v>3.78</v>
      </c>
    </row>
    <row r="12673" spans="1:2" x14ac:dyDescent="0.25">
      <c r="A12673" s="157">
        <v>40379</v>
      </c>
      <c r="B12673" s="158">
        <v>3.78</v>
      </c>
    </row>
    <row r="12674" spans="1:2" x14ac:dyDescent="0.25">
      <c r="A12674" s="157">
        <v>40380</v>
      </c>
      <c r="B12674" s="158">
        <v>3.68</v>
      </c>
    </row>
    <row r="12675" spans="1:2" x14ac:dyDescent="0.25">
      <c r="A12675" s="157">
        <v>40381</v>
      </c>
      <c r="B12675" s="158">
        <v>3.75</v>
      </c>
    </row>
    <row r="12676" spans="1:2" x14ac:dyDescent="0.25">
      <c r="A12676" s="157">
        <v>40382</v>
      </c>
      <c r="B12676" s="158">
        <v>3.81</v>
      </c>
    </row>
    <row r="12677" spans="1:2" x14ac:dyDescent="0.25">
      <c r="A12677" s="157">
        <v>40385</v>
      </c>
      <c r="B12677" s="158">
        <v>3.82</v>
      </c>
    </row>
    <row r="12678" spans="1:2" x14ac:dyDescent="0.25">
      <c r="A12678" s="157">
        <v>40386</v>
      </c>
      <c r="B12678" s="158">
        <v>3.88</v>
      </c>
    </row>
    <row r="12679" spans="1:2" x14ac:dyDescent="0.25">
      <c r="A12679" s="157">
        <v>40387</v>
      </c>
      <c r="B12679" s="158">
        <v>3.86</v>
      </c>
    </row>
    <row r="12680" spans="1:2" x14ac:dyDescent="0.25">
      <c r="A12680" s="157">
        <v>40388</v>
      </c>
      <c r="B12680" s="158">
        <v>3.86</v>
      </c>
    </row>
    <row r="12681" spans="1:2" x14ac:dyDescent="0.25">
      <c r="A12681" s="157">
        <v>40389</v>
      </c>
      <c r="B12681" s="158">
        <v>3.74</v>
      </c>
    </row>
    <row r="12682" spans="1:2" x14ac:dyDescent="0.25">
      <c r="A12682" s="157">
        <v>40392</v>
      </c>
      <c r="B12682" s="158">
        <v>3.82</v>
      </c>
    </row>
    <row r="12683" spans="1:2" x14ac:dyDescent="0.25">
      <c r="A12683" s="157">
        <v>40393</v>
      </c>
      <c r="B12683" s="158">
        <v>3.78</v>
      </c>
    </row>
    <row r="12684" spans="1:2" x14ac:dyDescent="0.25">
      <c r="A12684" s="157">
        <v>40394</v>
      </c>
      <c r="B12684" s="158">
        <v>3.81</v>
      </c>
    </row>
    <row r="12685" spans="1:2" x14ac:dyDescent="0.25">
      <c r="A12685" s="157">
        <v>40395</v>
      </c>
      <c r="B12685" s="158">
        <v>3.78</v>
      </c>
    </row>
    <row r="12686" spans="1:2" x14ac:dyDescent="0.25">
      <c r="A12686" s="157">
        <v>40396</v>
      </c>
      <c r="B12686" s="158">
        <v>3.71</v>
      </c>
    </row>
    <row r="12687" spans="1:2" x14ac:dyDescent="0.25">
      <c r="A12687" s="157">
        <v>40399</v>
      </c>
      <c r="B12687" s="158">
        <v>3.73</v>
      </c>
    </row>
    <row r="12688" spans="1:2" x14ac:dyDescent="0.25">
      <c r="A12688" s="157">
        <v>40400</v>
      </c>
      <c r="B12688" s="158">
        <v>3.7</v>
      </c>
    </row>
    <row r="12689" spans="1:2" x14ac:dyDescent="0.25">
      <c r="A12689" s="157">
        <v>40401</v>
      </c>
      <c r="B12689" s="158">
        <v>3.62</v>
      </c>
    </row>
    <row r="12690" spans="1:2" x14ac:dyDescent="0.25">
      <c r="A12690" s="157">
        <v>40402</v>
      </c>
      <c r="B12690" s="158">
        <v>3.63</v>
      </c>
    </row>
    <row r="12691" spans="1:2" x14ac:dyDescent="0.25">
      <c r="A12691" s="157">
        <v>40403</v>
      </c>
      <c r="B12691" s="158">
        <v>3.56</v>
      </c>
    </row>
    <row r="12692" spans="1:2" x14ac:dyDescent="0.25">
      <c r="A12692" s="157">
        <v>40406</v>
      </c>
      <c r="B12692" s="158">
        <v>3.42</v>
      </c>
    </row>
    <row r="12693" spans="1:2" x14ac:dyDescent="0.25">
      <c r="A12693" s="157">
        <v>40407</v>
      </c>
      <c r="B12693" s="158">
        <v>3.47</v>
      </c>
    </row>
    <row r="12694" spans="1:2" x14ac:dyDescent="0.25">
      <c r="A12694" s="157">
        <v>40408</v>
      </c>
      <c r="B12694" s="158">
        <v>3.44</v>
      </c>
    </row>
    <row r="12695" spans="1:2" x14ac:dyDescent="0.25">
      <c r="A12695" s="157">
        <v>40409</v>
      </c>
      <c r="B12695" s="158">
        <v>3.37</v>
      </c>
    </row>
    <row r="12696" spans="1:2" x14ac:dyDescent="0.25">
      <c r="A12696" s="157">
        <v>40410</v>
      </c>
      <c r="B12696" s="158">
        <v>3.38</v>
      </c>
    </row>
    <row r="12697" spans="1:2" x14ac:dyDescent="0.25">
      <c r="A12697" s="157">
        <v>40413</v>
      </c>
      <c r="B12697" s="158">
        <v>3.37</v>
      </c>
    </row>
    <row r="12698" spans="1:2" x14ac:dyDescent="0.25">
      <c r="A12698" s="157">
        <v>40414</v>
      </c>
      <c r="B12698" s="158">
        <v>3.28</v>
      </c>
    </row>
    <row r="12699" spans="1:2" x14ac:dyDescent="0.25">
      <c r="A12699" s="157">
        <v>40415</v>
      </c>
      <c r="B12699" s="158">
        <v>3.31</v>
      </c>
    </row>
    <row r="12700" spans="1:2" x14ac:dyDescent="0.25">
      <c r="A12700" s="157">
        <v>40416</v>
      </c>
      <c r="B12700" s="158">
        <v>3.25</v>
      </c>
    </row>
    <row r="12701" spans="1:2" x14ac:dyDescent="0.25">
      <c r="A12701" s="157">
        <v>40417</v>
      </c>
      <c r="B12701" s="158">
        <v>3.41</v>
      </c>
    </row>
    <row r="12702" spans="1:2" x14ac:dyDescent="0.25">
      <c r="A12702" s="157">
        <v>40420</v>
      </c>
      <c r="B12702" s="158">
        <v>3.3</v>
      </c>
    </row>
    <row r="12703" spans="1:2" x14ac:dyDescent="0.25">
      <c r="A12703" s="157">
        <v>40421</v>
      </c>
      <c r="B12703" s="158">
        <v>3.23</v>
      </c>
    </row>
    <row r="12704" spans="1:2" x14ac:dyDescent="0.25">
      <c r="A12704" s="157">
        <v>40422</v>
      </c>
      <c r="B12704" s="158">
        <v>3.35</v>
      </c>
    </row>
    <row r="12705" spans="1:2" x14ac:dyDescent="0.25">
      <c r="A12705" s="157">
        <v>40423</v>
      </c>
      <c r="B12705" s="158">
        <v>3.41</v>
      </c>
    </row>
    <row r="12706" spans="1:2" x14ac:dyDescent="0.25">
      <c r="A12706" s="157">
        <v>40424</v>
      </c>
      <c r="B12706" s="158">
        <v>3.49</v>
      </c>
    </row>
    <row r="12707" spans="1:2" x14ac:dyDescent="0.25">
      <c r="A12707" s="157">
        <v>40427</v>
      </c>
      <c r="B12707" s="158" t="e">
        <f>NA()</f>
        <v>#N/A</v>
      </c>
    </row>
    <row r="12708" spans="1:2" x14ac:dyDescent="0.25">
      <c r="A12708" s="157">
        <v>40428</v>
      </c>
      <c r="B12708" s="158">
        <v>3.37</v>
      </c>
    </row>
    <row r="12709" spans="1:2" x14ac:dyDescent="0.25">
      <c r="A12709" s="157">
        <v>40429</v>
      </c>
      <c r="B12709" s="158">
        <v>3.42</v>
      </c>
    </row>
    <row r="12710" spans="1:2" x14ac:dyDescent="0.25">
      <c r="A12710" s="157">
        <v>40430</v>
      </c>
      <c r="B12710" s="158">
        <v>3.54</v>
      </c>
    </row>
    <row r="12711" spans="1:2" x14ac:dyDescent="0.25">
      <c r="A12711" s="157">
        <v>40431</v>
      </c>
      <c r="B12711" s="158">
        <v>3.58</v>
      </c>
    </row>
    <row r="12712" spans="1:2" x14ac:dyDescent="0.25">
      <c r="A12712" s="157">
        <v>40434</v>
      </c>
      <c r="B12712" s="158">
        <v>3.52</v>
      </c>
    </row>
    <row r="12713" spans="1:2" x14ac:dyDescent="0.25">
      <c r="A12713" s="157">
        <v>40435</v>
      </c>
      <c r="B12713" s="158">
        <v>3.48</v>
      </c>
    </row>
    <row r="12714" spans="1:2" x14ac:dyDescent="0.25">
      <c r="A12714" s="157">
        <v>40436</v>
      </c>
      <c r="B12714" s="158">
        <v>3.55</v>
      </c>
    </row>
    <row r="12715" spans="1:2" x14ac:dyDescent="0.25">
      <c r="A12715" s="157">
        <v>40437</v>
      </c>
      <c r="B12715" s="158">
        <v>3.61</v>
      </c>
    </row>
    <row r="12716" spans="1:2" x14ac:dyDescent="0.25">
      <c r="A12716" s="157">
        <v>40438</v>
      </c>
      <c r="B12716" s="158">
        <v>3.6</v>
      </c>
    </row>
    <row r="12717" spans="1:2" x14ac:dyDescent="0.25">
      <c r="A12717" s="157">
        <v>40441</v>
      </c>
      <c r="B12717" s="158">
        <v>3.57</v>
      </c>
    </row>
    <row r="12718" spans="1:2" x14ac:dyDescent="0.25">
      <c r="A12718" s="157">
        <v>40442</v>
      </c>
      <c r="B12718" s="158">
        <v>3.49</v>
      </c>
    </row>
    <row r="12719" spans="1:2" x14ac:dyDescent="0.25">
      <c r="A12719" s="157">
        <v>40443</v>
      </c>
      <c r="B12719" s="158">
        <v>3.43</v>
      </c>
    </row>
    <row r="12720" spans="1:2" x14ac:dyDescent="0.25">
      <c r="A12720" s="157">
        <v>40444</v>
      </c>
      <c r="B12720" s="158">
        <v>3.43</v>
      </c>
    </row>
    <row r="12721" spans="1:2" x14ac:dyDescent="0.25">
      <c r="A12721" s="157">
        <v>40445</v>
      </c>
      <c r="B12721" s="158">
        <v>3.5</v>
      </c>
    </row>
    <row r="12722" spans="1:2" x14ac:dyDescent="0.25">
      <c r="A12722" s="157">
        <v>40448</v>
      </c>
      <c r="B12722" s="158">
        <v>3.4</v>
      </c>
    </row>
    <row r="12723" spans="1:2" x14ac:dyDescent="0.25">
      <c r="A12723" s="157">
        <v>40449</v>
      </c>
      <c r="B12723" s="158">
        <v>3.35</v>
      </c>
    </row>
    <row r="12724" spans="1:2" x14ac:dyDescent="0.25">
      <c r="A12724" s="157">
        <v>40450</v>
      </c>
      <c r="B12724" s="158">
        <v>3.38</v>
      </c>
    </row>
    <row r="12725" spans="1:2" x14ac:dyDescent="0.25">
      <c r="A12725" s="157">
        <v>40451</v>
      </c>
      <c r="B12725" s="158">
        <v>3.38</v>
      </c>
    </row>
    <row r="12726" spans="1:2" x14ac:dyDescent="0.25">
      <c r="A12726" s="157">
        <v>40452</v>
      </c>
      <c r="B12726" s="158">
        <v>3.4</v>
      </c>
    </row>
    <row r="12727" spans="1:2" x14ac:dyDescent="0.25">
      <c r="A12727" s="157">
        <v>40455</v>
      </c>
      <c r="B12727" s="158">
        <v>3.39</v>
      </c>
    </row>
    <row r="12728" spans="1:2" x14ac:dyDescent="0.25">
      <c r="A12728" s="157">
        <v>40456</v>
      </c>
      <c r="B12728" s="158">
        <v>3.41</v>
      </c>
    </row>
    <row r="12729" spans="1:2" x14ac:dyDescent="0.25">
      <c r="A12729" s="157">
        <v>40457</v>
      </c>
      <c r="B12729" s="158">
        <v>3.34</v>
      </c>
    </row>
    <row r="12730" spans="1:2" x14ac:dyDescent="0.25">
      <c r="A12730" s="157">
        <v>40458</v>
      </c>
      <c r="B12730" s="158">
        <v>3.38</v>
      </c>
    </row>
    <row r="12731" spans="1:2" x14ac:dyDescent="0.25">
      <c r="A12731" s="157">
        <v>40459</v>
      </c>
      <c r="B12731" s="158">
        <v>3.39</v>
      </c>
    </row>
    <row r="12732" spans="1:2" x14ac:dyDescent="0.25">
      <c r="A12732" s="157">
        <v>40462</v>
      </c>
      <c r="B12732" s="158" t="e">
        <f>NA()</f>
        <v>#N/A</v>
      </c>
    </row>
    <row r="12733" spans="1:2" x14ac:dyDescent="0.25">
      <c r="A12733" s="157">
        <v>40463</v>
      </c>
      <c r="B12733" s="158">
        <v>3.44</v>
      </c>
    </row>
    <row r="12734" spans="1:2" x14ac:dyDescent="0.25">
      <c r="A12734" s="157">
        <v>40464</v>
      </c>
      <c r="B12734" s="158">
        <v>3.48</v>
      </c>
    </row>
    <row r="12735" spans="1:2" x14ac:dyDescent="0.25">
      <c r="A12735" s="157">
        <v>40465</v>
      </c>
      <c r="B12735" s="158">
        <v>3.54</v>
      </c>
    </row>
    <row r="12736" spans="1:2" x14ac:dyDescent="0.25">
      <c r="A12736" s="157">
        <v>40466</v>
      </c>
      <c r="B12736" s="158">
        <v>3.62</v>
      </c>
    </row>
    <row r="12737" spans="1:2" x14ac:dyDescent="0.25">
      <c r="A12737" s="157">
        <v>40469</v>
      </c>
      <c r="B12737" s="158">
        <v>3.57</v>
      </c>
    </row>
    <row r="12738" spans="1:2" x14ac:dyDescent="0.25">
      <c r="A12738" s="157">
        <v>40470</v>
      </c>
      <c r="B12738" s="158">
        <v>3.53</v>
      </c>
    </row>
    <row r="12739" spans="1:2" x14ac:dyDescent="0.25">
      <c r="A12739" s="157">
        <v>40471</v>
      </c>
      <c r="B12739" s="158">
        <v>3.53</v>
      </c>
    </row>
    <row r="12740" spans="1:2" x14ac:dyDescent="0.25">
      <c r="A12740" s="157">
        <v>40472</v>
      </c>
      <c r="B12740" s="158">
        <v>3.59</v>
      </c>
    </row>
    <row r="12741" spans="1:2" x14ac:dyDescent="0.25">
      <c r="A12741" s="157">
        <v>40473</v>
      </c>
      <c r="B12741" s="158">
        <v>3.59</v>
      </c>
    </row>
    <row r="12742" spans="1:2" x14ac:dyDescent="0.25">
      <c r="A12742" s="157">
        <v>40476</v>
      </c>
      <c r="B12742" s="158">
        <v>3.56</v>
      </c>
    </row>
    <row r="12743" spans="1:2" x14ac:dyDescent="0.25">
      <c r="A12743" s="157">
        <v>40477</v>
      </c>
      <c r="B12743" s="158">
        <v>3.66</v>
      </c>
    </row>
    <row r="12744" spans="1:2" x14ac:dyDescent="0.25">
      <c r="A12744" s="157">
        <v>40478</v>
      </c>
      <c r="B12744" s="158">
        <v>3.72</v>
      </c>
    </row>
    <row r="12745" spans="1:2" x14ac:dyDescent="0.25">
      <c r="A12745" s="157">
        <v>40479</v>
      </c>
      <c r="B12745" s="158">
        <v>3.7</v>
      </c>
    </row>
    <row r="12746" spans="1:2" x14ac:dyDescent="0.25">
      <c r="A12746" s="157">
        <v>40480</v>
      </c>
      <c r="B12746" s="158">
        <v>3.64</v>
      </c>
    </row>
    <row r="12747" spans="1:2" x14ac:dyDescent="0.25">
      <c r="A12747" s="157">
        <v>40483</v>
      </c>
      <c r="B12747" s="158">
        <v>3.66</v>
      </c>
    </row>
    <row r="12748" spans="1:2" x14ac:dyDescent="0.25">
      <c r="A12748" s="157">
        <v>40484</v>
      </c>
      <c r="B12748" s="158">
        <v>3.58</v>
      </c>
    </row>
    <row r="12749" spans="1:2" x14ac:dyDescent="0.25">
      <c r="A12749" s="157">
        <v>40485</v>
      </c>
      <c r="B12749" s="158">
        <v>3.71</v>
      </c>
    </row>
    <row r="12750" spans="1:2" x14ac:dyDescent="0.25">
      <c r="A12750" s="157">
        <v>40486</v>
      </c>
      <c r="B12750" s="158">
        <v>3.62</v>
      </c>
    </row>
    <row r="12751" spans="1:2" x14ac:dyDescent="0.25">
      <c r="A12751" s="157">
        <v>40487</v>
      </c>
      <c r="B12751" s="158">
        <v>3.69</v>
      </c>
    </row>
    <row r="12752" spans="1:2" x14ac:dyDescent="0.25">
      <c r="A12752" s="157">
        <v>40490</v>
      </c>
      <c r="B12752" s="158">
        <v>3.7</v>
      </c>
    </row>
    <row r="12753" spans="1:2" x14ac:dyDescent="0.25">
      <c r="A12753" s="157">
        <v>40491</v>
      </c>
      <c r="B12753" s="158">
        <v>3.83</v>
      </c>
    </row>
    <row r="12754" spans="1:2" x14ac:dyDescent="0.25">
      <c r="A12754" s="157">
        <v>40492</v>
      </c>
      <c r="B12754" s="158">
        <v>3.83</v>
      </c>
    </row>
    <row r="12755" spans="1:2" x14ac:dyDescent="0.25">
      <c r="A12755" s="157">
        <v>40493</v>
      </c>
      <c r="B12755" s="158" t="e">
        <f>NA()</f>
        <v>#N/A</v>
      </c>
    </row>
    <row r="12756" spans="1:2" x14ac:dyDescent="0.25">
      <c r="A12756" s="157">
        <v>40494</v>
      </c>
      <c r="B12756" s="158">
        <v>3.88</v>
      </c>
    </row>
    <row r="12757" spans="1:2" x14ac:dyDescent="0.25">
      <c r="A12757" s="157">
        <v>40497</v>
      </c>
      <c r="B12757" s="158">
        <v>4.01</v>
      </c>
    </row>
    <row r="12758" spans="1:2" x14ac:dyDescent="0.25">
      <c r="A12758" s="157">
        <v>40498</v>
      </c>
      <c r="B12758" s="158">
        <v>3.9</v>
      </c>
    </row>
    <row r="12759" spans="1:2" x14ac:dyDescent="0.25">
      <c r="A12759" s="157">
        <v>40499</v>
      </c>
      <c r="B12759" s="158">
        <v>3.95</v>
      </c>
    </row>
    <row r="12760" spans="1:2" x14ac:dyDescent="0.25">
      <c r="A12760" s="157">
        <v>40500</v>
      </c>
      <c r="B12760" s="158">
        <v>3.95</v>
      </c>
    </row>
    <row r="12761" spans="1:2" x14ac:dyDescent="0.25">
      <c r="A12761" s="157">
        <v>40501</v>
      </c>
      <c r="B12761" s="158">
        <v>3.91</v>
      </c>
    </row>
    <row r="12762" spans="1:2" x14ac:dyDescent="0.25">
      <c r="A12762" s="157">
        <v>40504</v>
      </c>
      <c r="B12762" s="158">
        <v>3.85</v>
      </c>
    </row>
    <row r="12763" spans="1:2" x14ac:dyDescent="0.25">
      <c r="A12763" s="157">
        <v>40505</v>
      </c>
      <c r="B12763" s="158">
        <v>3.82</v>
      </c>
    </row>
    <row r="12764" spans="1:2" x14ac:dyDescent="0.25">
      <c r="A12764" s="157">
        <v>40506</v>
      </c>
      <c r="B12764" s="158">
        <v>3.96</v>
      </c>
    </row>
    <row r="12765" spans="1:2" x14ac:dyDescent="0.25">
      <c r="A12765" s="157">
        <v>40507</v>
      </c>
      <c r="B12765" s="158" t="e">
        <f>NA()</f>
        <v>#N/A</v>
      </c>
    </row>
    <row r="12766" spans="1:2" x14ac:dyDescent="0.25">
      <c r="A12766" s="157">
        <v>40508</v>
      </c>
      <c r="B12766" s="158">
        <v>3.88</v>
      </c>
    </row>
    <row r="12767" spans="1:2" x14ac:dyDescent="0.25">
      <c r="A12767" s="157">
        <v>40511</v>
      </c>
      <c r="B12767" s="158">
        <v>3.83</v>
      </c>
    </row>
    <row r="12768" spans="1:2" x14ac:dyDescent="0.25">
      <c r="A12768" s="157">
        <v>40512</v>
      </c>
      <c r="B12768" s="158">
        <v>3.8</v>
      </c>
    </row>
    <row r="12769" spans="1:2" x14ac:dyDescent="0.25">
      <c r="A12769" s="157">
        <v>40513</v>
      </c>
      <c r="B12769" s="158">
        <v>3.95</v>
      </c>
    </row>
    <row r="12770" spans="1:2" x14ac:dyDescent="0.25">
      <c r="A12770" s="157">
        <v>40514</v>
      </c>
      <c r="B12770" s="158">
        <v>3.97</v>
      </c>
    </row>
    <row r="12771" spans="1:2" x14ac:dyDescent="0.25">
      <c r="A12771" s="157">
        <v>40515</v>
      </c>
      <c r="B12771" s="158">
        <v>4.01</v>
      </c>
    </row>
    <row r="12772" spans="1:2" x14ac:dyDescent="0.25">
      <c r="A12772" s="157">
        <v>40518</v>
      </c>
      <c r="B12772" s="158">
        <v>3.94</v>
      </c>
    </row>
    <row r="12773" spans="1:2" x14ac:dyDescent="0.25">
      <c r="A12773" s="157">
        <v>40519</v>
      </c>
      <c r="B12773" s="158">
        <v>4.1100000000000003</v>
      </c>
    </row>
    <row r="12774" spans="1:2" x14ac:dyDescent="0.25">
      <c r="A12774" s="157">
        <v>40520</v>
      </c>
      <c r="B12774" s="158">
        <v>4.18</v>
      </c>
    </row>
    <row r="12775" spans="1:2" x14ac:dyDescent="0.25">
      <c r="A12775" s="157">
        <v>40521</v>
      </c>
      <c r="B12775" s="158">
        <v>4.1500000000000004</v>
      </c>
    </row>
    <row r="12776" spans="1:2" x14ac:dyDescent="0.25">
      <c r="A12776" s="157">
        <v>40522</v>
      </c>
      <c r="B12776" s="158">
        <v>4.1900000000000004</v>
      </c>
    </row>
    <row r="12777" spans="1:2" x14ac:dyDescent="0.25">
      <c r="A12777" s="157">
        <v>40525</v>
      </c>
      <c r="B12777" s="158">
        <v>4.1500000000000004</v>
      </c>
    </row>
    <row r="12778" spans="1:2" x14ac:dyDescent="0.25">
      <c r="A12778" s="157">
        <v>40526</v>
      </c>
      <c r="B12778" s="158">
        <v>4.32</v>
      </c>
    </row>
    <row r="12779" spans="1:2" x14ac:dyDescent="0.25">
      <c r="A12779" s="157">
        <v>40527</v>
      </c>
      <c r="B12779" s="158">
        <v>4.37</v>
      </c>
    </row>
    <row r="12780" spans="1:2" x14ac:dyDescent="0.25">
      <c r="A12780" s="157">
        <v>40528</v>
      </c>
      <c r="B12780" s="158">
        <v>4.32</v>
      </c>
    </row>
    <row r="12781" spans="1:2" x14ac:dyDescent="0.25">
      <c r="A12781" s="157">
        <v>40529</v>
      </c>
      <c r="B12781" s="158">
        <v>4.1900000000000004</v>
      </c>
    </row>
    <row r="12782" spans="1:2" x14ac:dyDescent="0.25">
      <c r="A12782" s="157">
        <v>40532</v>
      </c>
      <c r="B12782" s="158">
        <v>4.21</v>
      </c>
    </row>
    <row r="12783" spans="1:2" x14ac:dyDescent="0.25">
      <c r="A12783" s="157">
        <v>40533</v>
      </c>
      <c r="B12783" s="158">
        <v>4.21</v>
      </c>
    </row>
    <row r="12784" spans="1:2" x14ac:dyDescent="0.25">
      <c r="A12784" s="157">
        <v>40534</v>
      </c>
      <c r="B12784" s="158">
        <v>4.2300000000000004</v>
      </c>
    </row>
    <row r="12785" spans="1:2" x14ac:dyDescent="0.25">
      <c r="A12785" s="157">
        <v>40535</v>
      </c>
      <c r="B12785" s="158">
        <v>4.26</v>
      </c>
    </row>
    <row r="12786" spans="1:2" x14ac:dyDescent="0.25">
      <c r="A12786" s="157">
        <v>40536</v>
      </c>
      <c r="B12786" s="158" t="e">
        <f>NA()</f>
        <v>#N/A</v>
      </c>
    </row>
    <row r="12787" spans="1:2" x14ac:dyDescent="0.25">
      <c r="A12787" s="157">
        <v>40539</v>
      </c>
      <c r="B12787" s="158">
        <v>4.2</v>
      </c>
    </row>
    <row r="12788" spans="1:2" x14ac:dyDescent="0.25">
      <c r="A12788" s="157">
        <v>40540</v>
      </c>
      <c r="B12788" s="158">
        <v>4.33</v>
      </c>
    </row>
    <row r="12789" spans="1:2" x14ac:dyDescent="0.25">
      <c r="A12789" s="157">
        <v>40541</v>
      </c>
      <c r="B12789" s="158">
        <v>4.1900000000000004</v>
      </c>
    </row>
    <row r="12790" spans="1:2" x14ac:dyDescent="0.25">
      <c r="A12790" s="157">
        <v>40542</v>
      </c>
      <c r="B12790" s="158">
        <v>4.21</v>
      </c>
    </row>
    <row r="12791" spans="1:2" x14ac:dyDescent="0.25">
      <c r="A12791" s="157">
        <v>40543</v>
      </c>
      <c r="B12791" s="158">
        <v>4.13</v>
      </c>
    </row>
    <row r="12792" spans="1:2" x14ac:dyDescent="0.25">
      <c r="A12792" s="157">
        <v>40546</v>
      </c>
      <c r="B12792" s="158">
        <v>4.18</v>
      </c>
    </row>
    <row r="12793" spans="1:2" x14ac:dyDescent="0.25">
      <c r="A12793" s="157">
        <v>40547</v>
      </c>
      <c r="B12793" s="158">
        <v>4.21</v>
      </c>
    </row>
    <row r="12794" spans="1:2" x14ac:dyDescent="0.25">
      <c r="A12794" s="157">
        <v>40548</v>
      </c>
      <c r="B12794" s="158">
        <v>4.34</v>
      </c>
    </row>
    <row r="12795" spans="1:2" x14ac:dyDescent="0.25">
      <c r="A12795" s="157">
        <v>40549</v>
      </c>
      <c r="B12795" s="158">
        <v>4.3099999999999996</v>
      </c>
    </row>
    <row r="12796" spans="1:2" x14ac:dyDescent="0.25">
      <c r="A12796" s="157">
        <v>40550</v>
      </c>
      <c r="B12796" s="158">
        <v>4.25</v>
      </c>
    </row>
    <row r="12797" spans="1:2" x14ac:dyDescent="0.25">
      <c r="A12797" s="157">
        <v>40553</v>
      </c>
      <c r="B12797" s="158">
        <v>4.2300000000000004</v>
      </c>
    </row>
    <row r="12798" spans="1:2" x14ac:dyDescent="0.25">
      <c r="A12798" s="157">
        <v>40554</v>
      </c>
      <c r="B12798" s="158">
        <v>4.26</v>
      </c>
    </row>
    <row r="12799" spans="1:2" x14ac:dyDescent="0.25">
      <c r="A12799" s="157">
        <v>40555</v>
      </c>
      <c r="B12799" s="158">
        <v>4.28</v>
      </c>
    </row>
    <row r="12800" spans="1:2" x14ac:dyDescent="0.25">
      <c r="A12800" s="157">
        <v>40556</v>
      </c>
      <c r="B12800" s="158">
        <v>4.24</v>
      </c>
    </row>
    <row r="12801" spans="1:2" x14ac:dyDescent="0.25">
      <c r="A12801" s="157">
        <v>40557</v>
      </c>
      <c r="B12801" s="158">
        <v>4.2699999999999996</v>
      </c>
    </row>
    <row r="12802" spans="1:2" x14ac:dyDescent="0.25">
      <c r="A12802" s="157">
        <v>40560</v>
      </c>
      <c r="B12802" s="158" t="e">
        <f>NA()</f>
        <v>#N/A</v>
      </c>
    </row>
    <row r="12803" spans="1:2" x14ac:dyDescent="0.25">
      <c r="A12803" s="157">
        <v>40561</v>
      </c>
      <c r="B12803" s="158">
        <v>4.3099999999999996</v>
      </c>
    </row>
    <row r="12804" spans="1:2" x14ac:dyDescent="0.25">
      <c r="A12804" s="157">
        <v>40562</v>
      </c>
      <c r="B12804" s="158">
        <v>4.2699999999999996</v>
      </c>
    </row>
    <row r="12805" spans="1:2" x14ac:dyDescent="0.25">
      <c r="A12805" s="157">
        <v>40563</v>
      </c>
      <c r="B12805" s="158">
        <v>4.3600000000000003</v>
      </c>
    </row>
    <row r="12806" spans="1:2" x14ac:dyDescent="0.25">
      <c r="A12806" s="157">
        <v>40564</v>
      </c>
      <c r="B12806" s="158">
        <v>4.33</v>
      </c>
    </row>
    <row r="12807" spans="1:2" x14ac:dyDescent="0.25">
      <c r="A12807" s="157">
        <v>40567</v>
      </c>
      <c r="B12807" s="158">
        <v>4.3099999999999996</v>
      </c>
    </row>
    <row r="12808" spans="1:2" x14ac:dyDescent="0.25">
      <c r="A12808" s="157">
        <v>40568</v>
      </c>
      <c r="B12808" s="158">
        <v>4.2300000000000004</v>
      </c>
    </row>
    <row r="12809" spans="1:2" x14ac:dyDescent="0.25">
      <c r="A12809" s="157">
        <v>40569</v>
      </c>
      <c r="B12809" s="158">
        <v>4.34</v>
      </c>
    </row>
    <row r="12810" spans="1:2" x14ac:dyDescent="0.25">
      <c r="A12810" s="157">
        <v>40570</v>
      </c>
      <c r="B12810" s="158">
        <v>4.3099999999999996</v>
      </c>
    </row>
    <row r="12811" spans="1:2" x14ac:dyDescent="0.25">
      <c r="A12811" s="157">
        <v>40571</v>
      </c>
      <c r="B12811" s="158">
        <v>4.26</v>
      </c>
    </row>
    <row r="12812" spans="1:2" x14ac:dyDescent="0.25">
      <c r="A12812" s="157">
        <v>40574</v>
      </c>
      <c r="B12812" s="158">
        <v>4.33</v>
      </c>
    </row>
    <row r="12813" spans="1:2" x14ac:dyDescent="0.25">
      <c r="A12813" s="157">
        <v>40575</v>
      </c>
      <c r="B12813" s="158">
        <v>4.37</v>
      </c>
    </row>
    <row r="12814" spans="1:2" x14ac:dyDescent="0.25">
      <c r="A12814" s="157">
        <v>40576</v>
      </c>
      <c r="B12814" s="158">
        <v>4.3899999999999997</v>
      </c>
    </row>
    <row r="12815" spans="1:2" x14ac:dyDescent="0.25">
      <c r="A12815" s="157">
        <v>40577</v>
      </c>
      <c r="B12815" s="158">
        <v>4.43</v>
      </c>
    </row>
    <row r="12816" spans="1:2" x14ac:dyDescent="0.25">
      <c r="A12816" s="157">
        <v>40578</v>
      </c>
      <c r="B12816" s="158">
        <v>4.51</v>
      </c>
    </row>
    <row r="12817" spans="1:2" x14ac:dyDescent="0.25">
      <c r="A12817" s="157">
        <v>40581</v>
      </c>
      <c r="B12817" s="158">
        <v>4.5</v>
      </c>
    </row>
    <row r="12818" spans="1:2" x14ac:dyDescent="0.25">
      <c r="A12818" s="157">
        <v>40582</v>
      </c>
      <c r="B12818" s="158">
        <v>4.5599999999999996</v>
      </c>
    </row>
    <row r="12819" spans="1:2" x14ac:dyDescent="0.25">
      <c r="A12819" s="157">
        <v>40583</v>
      </c>
      <c r="B12819" s="158">
        <v>4.49</v>
      </c>
    </row>
    <row r="12820" spans="1:2" x14ac:dyDescent="0.25">
      <c r="A12820" s="157">
        <v>40584</v>
      </c>
      <c r="B12820" s="158">
        <v>4.55</v>
      </c>
    </row>
    <row r="12821" spans="1:2" x14ac:dyDescent="0.25">
      <c r="A12821" s="157">
        <v>40585</v>
      </c>
      <c r="B12821" s="158">
        <v>4.49</v>
      </c>
    </row>
    <row r="12822" spans="1:2" x14ac:dyDescent="0.25">
      <c r="A12822" s="157">
        <v>40588</v>
      </c>
      <c r="B12822" s="158">
        <v>4.46</v>
      </c>
    </row>
    <row r="12823" spans="1:2" x14ac:dyDescent="0.25">
      <c r="A12823" s="157">
        <v>40589</v>
      </c>
      <c r="B12823" s="158">
        <v>4.45</v>
      </c>
    </row>
    <row r="12824" spans="1:2" x14ac:dyDescent="0.25">
      <c r="A12824" s="157">
        <v>40590</v>
      </c>
      <c r="B12824" s="158">
        <v>4.46</v>
      </c>
    </row>
    <row r="12825" spans="1:2" x14ac:dyDescent="0.25">
      <c r="A12825" s="157">
        <v>40591</v>
      </c>
      <c r="B12825" s="158">
        <v>4.4400000000000004</v>
      </c>
    </row>
    <row r="12826" spans="1:2" x14ac:dyDescent="0.25">
      <c r="A12826" s="157">
        <v>40592</v>
      </c>
      <c r="B12826" s="158">
        <v>4.46</v>
      </c>
    </row>
    <row r="12827" spans="1:2" x14ac:dyDescent="0.25">
      <c r="A12827" s="157">
        <v>40595</v>
      </c>
      <c r="B12827" s="158" t="e">
        <f>NA()</f>
        <v>#N/A</v>
      </c>
    </row>
    <row r="12828" spans="1:2" x14ac:dyDescent="0.25">
      <c r="A12828" s="157">
        <v>40596</v>
      </c>
      <c r="B12828" s="158">
        <v>4.3499999999999996</v>
      </c>
    </row>
    <row r="12829" spans="1:2" x14ac:dyDescent="0.25">
      <c r="A12829" s="157">
        <v>40597</v>
      </c>
      <c r="B12829" s="158">
        <v>4.34</v>
      </c>
    </row>
    <row r="12830" spans="1:2" x14ac:dyDescent="0.25">
      <c r="A12830" s="157">
        <v>40598</v>
      </c>
      <c r="B12830" s="158">
        <v>4.29</v>
      </c>
    </row>
    <row r="12831" spans="1:2" x14ac:dyDescent="0.25">
      <c r="A12831" s="157">
        <v>40599</v>
      </c>
      <c r="B12831" s="158">
        <v>4.26</v>
      </c>
    </row>
    <row r="12832" spans="1:2" x14ac:dyDescent="0.25">
      <c r="A12832" s="157">
        <v>40602</v>
      </c>
      <c r="B12832" s="158">
        <v>4.25</v>
      </c>
    </row>
    <row r="12833" spans="1:2" x14ac:dyDescent="0.25">
      <c r="A12833" s="157">
        <v>40603</v>
      </c>
      <c r="B12833" s="158">
        <v>4.24</v>
      </c>
    </row>
    <row r="12834" spans="1:2" x14ac:dyDescent="0.25">
      <c r="A12834" s="157">
        <v>40604</v>
      </c>
      <c r="B12834" s="158">
        <v>4.3</v>
      </c>
    </row>
    <row r="12835" spans="1:2" x14ac:dyDescent="0.25">
      <c r="A12835" s="157">
        <v>40605</v>
      </c>
      <c r="B12835" s="158">
        <v>4.4000000000000004</v>
      </c>
    </row>
    <row r="12836" spans="1:2" x14ac:dyDescent="0.25">
      <c r="A12836" s="157">
        <v>40606</v>
      </c>
      <c r="B12836" s="158">
        <v>4.34</v>
      </c>
    </row>
    <row r="12837" spans="1:2" x14ac:dyDescent="0.25">
      <c r="A12837" s="157">
        <v>40609</v>
      </c>
      <c r="B12837" s="158">
        <v>4.3600000000000003</v>
      </c>
    </row>
    <row r="12838" spans="1:2" x14ac:dyDescent="0.25">
      <c r="A12838" s="157">
        <v>40610</v>
      </c>
      <c r="B12838" s="158">
        <v>4.41</v>
      </c>
    </row>
    <row r="12839" spans="1:2" x14ac:dyDescent="0.25">
      <c r="A12839" s="157">
        <v>40611</v>
      </c>
      <c r="B12839" s="158">
        <v>4.3499999999999996</v>
      </c>
    </row>
    <row r="12840" spans="1:2" x14ac:dyDescent="0.25">
      <c r="A12840" s="157">
        <v>40612</v>
      </c>
      <c r="B12840" s="158">
        <v>4.25</v>
      </c>
    </row>
    <row r="12841" spans="1:2" x14ac:dyDescent="0.25">
      <c r="A12841" s="157">
        <v>40613</v>
      </c>
      <c r="B12841" s="158">
        <v>4.29</v>
      </c>
    </row>
    <row r="12842" spans="1:2" x14ac:dyDescent="0.25">
      <c r="A12842" s="157">
        <v>40616</v>
      </c>
      <c r="B12842" s="158">
        <v>4.25</v>
      </c>
    </row>
    <row r="12843" spans="1:2" x14ac:dyDescent="0.25">
      <c r="A12843" s="157">
        <v>40617</v>
      </c>
      <c r="B12843" s="158">
        <v>4.21</v>
      </c>
    </row>
    <row r="12844" spans="1:2" x14ac:dyDescent="0.25">
      <c r="A12844" s="157">
        <v>40618</v>
      </c>
      <c r="B12844" s="158">
        <v>4.1100000000000003</v>
      </c>
    </row>
    <row r="12845" spans="1:2" x14ac:dyDescent="0.25">
      <c r="A12845" s="157">
        <v>40619</v>
      </c>
      <c r="B12845" s="158">
        <v>4.1500000000000004</v>
      </c>
    </row>
    <row r="12846" spans="1:2" x14ac:dyDescent="0.25">
      <c r="A12846" s="157">
        <v>40620</v>
      </c>
      <c r="B12846" s="158">
        <v>4.17</v>
      </c>
    </row>
    <row r="12847" spans="1:2" x14ac:dyDescent="0.25">
      <c r="A12847" s="157">
        <v>40623</v>
      </c>
      <c r="B12847" s="158">
        <v>4.2</v>
      </c>
    </row>
    <row r="12848" spans="1:2" x14ac:dyDescent="0.25">
      <c r="A12848" s="157">
        <v>40624</v>
      </c>
      <c r="B12848" s="158">
        <v>4.1900000000000004</v>
      </c>
    </row>
    <row r="12849" spans="1:2" x14ac:dyDescent="0.25">
      <c r="A12849" s="157">
        <v>40625</v>
      </c>
      <c r="B12849" s="158">
        <v>4.2</v>
      </c>
    </row>
    <row r="12850" spans="1:2" x14ac:dyDescent="0.25">
      <c r="A12850" s="157">
        <v>40626</v>
      </c>
      <c r="B12850" s="158">
        <v>4.25</v>
      </c>
    </row>
    <row r="12851" spans="1:2" x14ac:dyDescent="0.25">
      <c r="A12851" s="157">
        <v>40627</v>
      </c>
      <c r="B12851" s="158">
        <v>4.28</v>
      </c>
    </row>
    <row r="12852" spans="1:2" x14ac:dyDescent="0.25">
      <c r="A12852" s="157">
        <v>40630</v>
      </c>
      <c r="B12852" s="158">
        <v>4.28</v>
      </c>
    </row>
    <row r="12853" spans="1:2" x14ac:dyDescent="0.25">
      <c r="A12853" s="157">
        <v>40631</v>
      </c>
      <c r="B12853" s="158">
        <v>4.3099999999999996</v>
      </c>
    </row>
    <row r="12854" spans="1:2" x14ac:dyDescent="0.25">
      <c r="A12854" s="157">
        <v>40632</v>
      </c>
      <c r="B12854" s="158">
        <v>4.29</v>
      </c>
    </row>
    <row r="12855" spans="1:2" x14ac:dyDescent="0.25">
      <c r="A12855" s="157">
        <v>40633</v>
      </c>
      <c r="B12855" s="158">
        <v>4.29</v>
      </c>
    </row>
    <row r="12856" spans="1:2" x14ac:dyDescent="0.25">
      <c r="A12856" s="157">
        <v>40634</v>
      </c>
      <c r="B12856" s="158">
        <v>4.2699999999999996</v>
      </c>
    </row>
    <row r="12857" spans="1:2" x14ac:dyDescent="0.25">
      <c r="A12857" s="157">
        <v>40637</v>
      </c>
      <c r="B12857" s="158">
        <v>4.2699999999999996</v>
      </c>
    </row>
    <row r="12858" spans="1:2" x14ac:dyDescent="0.25">
      <c r="A12858" s="157">
        <v>40638</v>
      </c>
      <c r="B12858" s="158">
        <v>4.3</v>
      </c>
    </row>
    <row r="12859" spans="1:2" x14ac:dyDescent="0.25">
      <c r="A12859" s="157">
        <v>40639</v>
      </c>
      <c r="B12859" s="158">
        <v>4.37</v>
      </c>
    </row>
    <row r="12860" spans="1:2" x14ac:dyDescent="0.25">
      <c r="A12860" s="157">
        <v>40640</v>
      </c>
      <c r="B12860" s="158">
        <v>4.41</v>
      </c>
    </row>
    <row r="12861" spans="1:2" x14ac:dyDescent="0.25">
      <c r="A12861" s="157">
        <v>40641</v>
      </c>
      <c r="B12861" s="158">
        <v>4.41</v>
      </c>
    </row>
    <row r="12862" spans="1:2" x14ac:dyDescent="0.25">
      <c r="A12862" s="157">
        <v>40644</v>
      </c>
      <c r="B12862" s="158">
        <v>4.42</v>
      </c>
    </row>
    <row r="12863" spans="1:2" x14ac:dyDescent="0.25">
      <c r="A12863" s="157">
        <v>40645</v>
      </c>
      <c r="B12863" s="158">
        <v>4.3499999999999996</v>
      </c>
    </row>
    <row r="12864" spans="1:2" x14ac:dyDescent="0.25">
      <c r="A12864" s="157">
        <v>40646</v>
      </c>
      <c r="B12864" s="158">
        <v>4.33</v>
      </c>
    </row>
    <row r="12865" spans="1:2" x14ac:dyDescent="0.25">
      <c r="A12865" s="157">
        <v>40647</v>
      </c>
      <c r="B12865" s="158">
        <v>4.32</v>
      </c>
    </row>
    <row r="12866" spans="1:2" x14ac:dyDescent="0.25">
      <c r="A12866" s="157">
        <v>40648</v>
      </c>
      <c r="B12866" s="158">
        <v>4.25</v>
      </c>
    </row>
    <row r="12867" spans="1:2" x14ac:dyDescent="0.25">
      <c r="A12867" s="157">
        <v>40651</v>
      </c>
      <c r="B12867" s="158">
        <v>4.22</v>
      </c>
    </row>
    <row r="12868" spans="1:2" x14ac:dyDescent="0.25">
      <c r="A12868" s="157">
        <v>40652</v>
      </c>
      <c r="B12868" s="158">
        <v>4.2</v>
      </c>
    </row>
    <row r="12869" spans="1:2" x14ac:dyDescent="0.25">
      <c r="A12869" s="157">
        <v>40653</v>
      </c>
      <c r="B12869" s="158">
        <v>4.24</v>
      </c>
    </row>
    <row r="12870" spans="1:2" x14ac:dyDescent="0.25">
      <c r="A12870" s="157">
        <v>40654</v>
      </c>
      <c r="B12870" s="158">
        <v>4.24</v>
      </c>
    </row>
    <row r="12871" spans="1:2" x14ac:dyDescent="0.25">
      <c r="A12871" s="157">
        <v>40655</v>
      </c>
      <c r="B12871" s="158" t="e">
        <f>NA()</f>
        <v>#N/A</v>
      </c>
    </row>
    <row r="12872" spans="1:2" x14ac:dyDescent="0.25">
      <c r="A12872" s="157">
        <v>40658</v>
      </c>
      <c r="B12872" s="158">
        <v>4.22</v>
      </c>
    </row>
    <row r="12873" spans="1:2" x14ac:dyDescent="0.25">
      <c r="A12873" s="157">
        <v>40659</v>
      </c>
      <c r="B12873" s="158">
        <v>4.16</v>
      </c>
    </row>
    <row r="12874" spans="1:2" x14ac:dyDescent="0.25">
      <c r="A12874" s="157">
        <v>40660</v>
      </c>
      <c r="B12874" s="158">
        <v>4.21</v>
      </c>
    </row>
    <row r="12875" spans="1:2" x14ac:dyDescent="0.25">
      <c r="A12875" s="157">
        <v>40661</v>
      </c>
      <c r="B12875" s="158">
        <v>4.18</v>
      </c>
    </row>
    <row r="12876" spans="1:2" x14ac:dyDescent="0.25">
      <c r="A12876" s="157">
        <v>40662</v>
      </c>
      <c r="B12876" s="158">
        <v>4.1500000000000004</v>
      </c>
    </row>
    <row r="12877" spans="1:2" x14ac:dyDescent="0.25">
      <c r="A12877" s="157">
        <v>40665</v>
      </c>
      <c r="B12877" s="158">
        <v>4.1399999999999997</v>
      </c>
    </row>
    <row r="12878" spans="1:2" x14ac:dyDescent="0.25">
      <c r="A12878" s="157">
        <v>40666</v>
      </c>
      <c r="B12878" s="158">
        <v>4.1100000000000003</v>
      </c>
    </row>
    <row r="12879" spans="1:2" x14ac:dyDescent="0.25">
      <c r="A12879" s="157">
        <v>40667</v>
      </c>
      <c r="B12879" s="158">
        <v>4.08</v>
      </c>
    </row>
    <row r="12880" spans="1:2" x14ac:dyDescent="0.25">
      <c r="A12880" s="157">
        <v>40668</v>
      </c>
      <c r="B12880" s="158">
        <v>4</v>
      </c>
    </row>
    <row r="12881" spans="1:2" x14ac:dyDescent="0.25">
      <c r="A12881" s="157">
        <v>40669</v>
      </c>
      <c r="B12881" s="158">
        <v>4.03</v>
      </c>
    </row>
    <row r="12882" spans="1:2" x14ac:dyDescent="0.25">
      <c r="A12882" s="157">
        <v>40672</v>
      </c>
      <c r="B12882" s="158">
        <v>4.03</v>
      </c>
    </row>
    <row r="12883" spans="1:2" x14ac:dyDescent="0.25">
      <c r="A12883" s="157">
        <v>40673</v>
      </c>
      <c r="B12883" s="158">
        <v>4.07</v>
      </c>
    </row>
    <row r="12884" spans="1:2" x14ac:dyDescent="0.25">
      <c r="A12884" s="157">
        <v>40674</v>
      </c>
      <c r="B12884" s="158">
        <v>4.04</v>
      </c>
    </row>
    <row r="12885" spans="1:2" x14ac:dyDescent="0.25">
      <c r="A12885" s="157">
        <v>40675</v>
      </c>
      <c r="B12885" s="158">
        <v>4.07</v>
      </c>
    </row>
    <row r="12886" spans="1:2" x14ac:dyDescent="0.25">
      <c r="A12886" s="157">
        <v>40676</v>
      </c>
      <c r="B12886" s="158">
        <v>4.03</v>
      </c>
    </row>
    <row r="12887" spans="1:2" x14ac:dyDescent="0.25">
      <c r="A12887" s="157">
        <v>40679</v>
      </c>
      <c r="B12887" s="158">
        <v>3.99</v>
      </c>
    </row>
    <row r="12888" spans="1:2" x14ac:dyDescent="0.25">
      <c r="A12888" s="157">
        <v>40680</v>
      </c>
      <c r="B12888" s="158">
        <v>3.94</v>
      </c>
    </row>
    <row r="12889" spans="1:2" x14ac:dyDescent="0.25">
      <c r="A12889" s="157">
        <v>40681</v>
      </c>
      <c r="B12889" s="158">
        <v>4</v>
      </c>
    </row>
    <row r="12890" spans="1:2" x14ac:dyDescent="0.25">
      <c r="A12890" s="157">
        <v>40682</v>
      </c>
      <c r="B12890" s="158">
        <v>4.01</v>
      </c>
    </row>
    <row r="12891" spans="1:2" x14ac:dyDescent="0.25">
      <c r="A12891" s="157">
        <v>40683</v>
      </c>
      <c r="B12891" s="158">
        <v>4</v>
      </c>
    </row>
    <row r="12892" spans="1:2" x14ac:dyDescent="0.25">
      <c r="A12892" s="157">
        <v>40686</v>
      </c>
      <c r="B12892" s="158">
        <v>3.97</v>
      </c>
    </row>
    <row r="12893" spans="1:2" x14ac:dyDescent="0.25">
      <c r="A12893" s="157">
        <v>40687</v>
      </c>
      <c r="B12893" s="158">
        <v>3.96</v>
      </c>
    </row>
    <row r="12894" spans="1:2" x14ac:dyDescent="0.25">
      <c r="A12894" s="157">
        <v>40688</v>
      </c>
      <c r="B12894" s="158">
        <v>3.99</v>
      </c>
    </row>
    <row r="12895" spans="1:2" x14ac:dyDescent="0.25">
      <c r="A12895" s="157">
        <v>40689</v>
      </c>
      <c r="B12895" s="158">
        <v>3.93</v>
      </c>
    </row>
    <row r="12896" spans="1:2" x14ac:dyDescent="0.25">
      <c r="A12896" s="157">
        <v>40690</v>
      </c>
      <c r="B12896" s="158">
        <v>3.94</v>
      </c>
    </row>
    <row r="12897" spans="1:2" x14ac:dyDescent="0.25">
      <c r="A12897" s="157">
        <v>40693</v>
      </c>
      <c r="B12897" s="158" t="e">
        <f>NA()</f>
        <v>#N/A</v>
      </c>
    </row>
    <row r="12898" spans="1:2" x14ac:dyDescent="0.25">
      <c r="A12898" s="157">
        <v>40694</v>
      </c>
      <c r="B12898" s="158">
        <v>3.91</v>
      </c>
    </row>
    <row r="12899" spans="1:2" x14ac:dyDescent="0.25">
      <c r="A12899" s="157">
        <v>40695</v>
      </c>
      <c r="B12899" s="158">
        <v>3.83</v>
      </c>
    </row>
    <row r="12900" spans="1:2" x14ac:dyDescent="0.25">
      <c r="A12900" s="157">
        <v>40696</v>
      </c>
      <c r="B12900" s="158">
        <v>3.92</v>
      </c>
    </row>
    <row r="12901" spans="1:2" x14ac:dyDescent="0.25">
      <c r="A12901" s="157">
        <v>40697</v>
      </c>
      <c r="B12901" s="158">
        <v>3.9</v>
      </c>
    </row>
    <row r="12902" spans="1:2" x14ac:dyDescent="0.25">
      <c r="A12902" s="157">
        <v>40700</v>
      </c>
      <c r="B12902" s="158">
        <v>3.92</v>
      </c>
    </row>
    <row r="12903" spans="1:2" x14ac:dyDescent="0.25">
      <c r="A12903" s="157">
        <v>40701</v>
      </c>
      <c r="B12903" s="158">
        <v>3.94</v>
      </c>
    </row>
    <row r="12904" spans="1:2" x14ac:dyDescent="0.25">
      <c r="A12904" s="157">
        <v>40702</v>
      </c>
      <c r="B12904" s="158">
        <v>3.88</v>
      </c>
    </row>
    <row r="12905" spans="1:2" x14ac:dyDescent="0.25">
      <c r="A12905" s="157">
        <v>40703</v>
      </c>
      <c r="B12905" s="158">
        <v>3.91</v>
      </c>
    </row>
    <row r="12906" spans="1:2" x14ac:dyDescent="0.25">
      <c r="A12906" s="157">
        <v>40704</v>
      </c>
      <c r="B12906" s="158">
        <v>3.87</v>
      </c>
    </row>
    <row r="12907" spans="1:2" x14ac:dyDescent="0.25">
      <c r="A12907" s="157">
        <v>40707</v>
      </c>
      <c r="B12907" s="158">
        <v>3.89</v>
      </c>
    </row>
    <row r="12908" spans="1:2" x14ac:dyDescent="0.25">
      <c r="A12908" s="157">
        <v>40708</v>
      </c>
      <c r="B12908" s="158">
        <v>4</v>
      </c>
    </row>
    <row r="12909" spans="1:2" x14ac:dyDescent="0.25">
      <c r="A12909" s="157">
        <v>40709</v>
      </c>
      <c r="B12909" s="158">
        <v>3.89</v>
      </c>
    </row>
    <row r="12910" spans="1:2" x14ac:dyDescent="0.25">
      <c r="A12910" s="157">
        <v>40710</v>
      </c>
      <c r="B12910" s="158">
        <v>3.84</v>
      </c>
    </row>
    <row r="12911" spans="1:2" x14ac:dyDescent="0.25">
      <c r="A12911" s="157">
        <v>40711</v>
      </c>
      <c r="B12911" s="158">
        <v>3.86</v>
      </c>
    </row>
    <row r="12912" spans="1:2" x14ac:dyDescent="0.25">
      <c r="A12912" s="157">
        <v>40714</v>
      </c>
      <c r="B12912" s="158">
        <v>3.87</v>
      </c>
    </row>
    <row r="12913" spans="1:2" x14ac:dyDescent="0.25">
      <c r="A12913" s="157">
        <v>40715</v>
      </c>
      <c r="B12913" s="158">
        <v>3.9</v>
      </c>
    </row>
    <row r="12914" spans="1:2" x14ac:dyDescent="0.25">
      <c r="A12914" s="157">
        <v>40716</v>
      </c>
      <c r="B12914" s="158">
        <v>3.91</v>
      </c>
    </row>
    <row r="12915" spans="1:2" x14ac:dyDescent="0.25">
      <c r="A12915" s="157">
        <v>40717</v>
      </c>
      <c r="B12915" s="158">
        <v>3.84</v>
      </c>
    </row>
    <row r="12916" spans="1:2" x14ac:dyDescent="0.25">
      <c r="A12916" s="157">
        <v>40718</v>
      </c>
      <c r="B12916" s="158">
        <v>3.83</v>
      </c>
    </row>
    <row r="12917" spans="1:2" x14ac:dyDescent="0.25">
      <c r="A12917" s="157">
        <v>40721</v>
      </c>
      <c r="B12917" s="158">
        <v>3.94</v>
      </c>
    </row>
    <row r="12918" spans="1:2" x14ac:dyDescent="0.25">
      <c r="A12918" s="157">
        <v>40722</v>
      </c>
      <c r="B12918" s="158">
        <v>4.01</v>
      </c>
    </row>
    <row r="12919" spans="1:2" x14ac:dyDescent="0.25">
      <c r="A12919" s="157">
        <v>40723</v>
      </c>
      <c r="B12919" s="158">
        <v>4.08</v>
      </c>
    </row>
    <row r="12920" spans="1:2" x14ac:dyDescent="0.25">
      <c r="A12920" s="157">
        <v>40724</v>
      </c>
      <c r="B12920" s="158">
        <v>4.09</v>
      </c>
    </row>
    <row r="12921" spans="1:2" x14ac:dyDescent="0.25">
      <c r="A12921" s="157">
        <v>40725</v>
      </c>
      <c r="B12921" s="158">
        <v>4.12</v>
      </c>
    </row>
    <row r="12922" spans="1:2" x14ac:dyDescent="0.25">
      <c r="A12922" s="157">
        <v>40728</v>
      </c>
      <c r="B12922" s="158" t="e">
        <f>NA()</f>
        <v>#N/A</v>
      </c>
    </row>
    <row r="12923" spans="1:2" x14ac:dyDescent="0.25">
      <c r="A12923" s="157">
        <v>40729</v>
      </c>
      <c r="B12923" s="158">
        <v>4.09</v>
      </c>
    </row>
    <row r="12924" spans="1:2" x14ac:dyDescent="0.25">
      <c r="A12924" s="157">
        <v>40730</v>
      </c>
      <c r="B12924" s="158">
        <v>4.05</v>
      </c>
    </row>
    <row r="12925" spans="1:2" x14ac:dyDescent="0.25">
      <c r="A12925" s="157">
        <v>40731</v>
      </c>
      <c r="B12925" s="158">
        <v>4.08</v>
      </c>
    </row>
    <row r="12926" spans="1:2" x14ac:dyDescent="0.25">
      <c r="A12926" s="157">
        <v>40732</v>
      </c>
      <c r="B12926" s="158">
        <v>3.97</v>
      </c>
    </row>
    <row r="12927" spans="1:2" x14ac:dyDescent="0.25">
      <c r="A12927" s="157">
        <v>40735</v>
      </c>
      <c r="B12927" s="158">
        <v>3.88</v>
      </c>
    </row>
    <row r="12928" spans="1:2" x14ac:dyDescent="0.25">
      <c r="A12928" s="157">
        <v>40736</v>
      </c>
      <c r="B12928" s="158">
        <v>3.86</v>
      </c>
    </row>
    <row r="12929" spans="1:2" x14ac:dyDescent="0.25">
      <c r="A12929" s="157">
        <v>40737</v>
      </c>
      <c r="B12929" s="158">
        <v>3.85</v>
      </c>
    </row>
    <row r="12930" spans="1:2" x14ac:dyDescent="0.25">
      <c r="A12930" s="157">
        <v>40738</v>
      </c>
      <c r="B12930" s="158">
        <v>3.92</v>
      </c>
    </row>
    <row r="12931" spans="1:2" x14ac:dyDescent="0.25">
      <c r="A12931" s="157">
        <v>40739</v>
      </c>
      <c r="B12931" s="158">
        <v>3.92</v>
      </c>
    </row>
    <row r="12932" spans="1:2" x14ac:dyDescent="0.25">
      <c r="A12932" s="157">
        <v>40742</v>
      </c>
      <c r="B12932" s="158">
        <v>3.95</v>
      </c>
    </row>
    <row r="12933" spans="1:2" x14ac:dyDescent="0.25">
      <c r="A12933" s="157">
        <v>40743</v>
      </c>
      <c r="B12933" s="158">
        <v>3.86</v>
      </c>
    </row>
    <row r="12934" spans="1:2" x14ac:dyDescent="0.25">
      <c r="A12934" s="157">
        <v>40744</v>
      </c>
      <c r="B12934" s="158">
        <v>3.92</v>
      </c>
    </row>
    <row r="12935" spans="1:2" x14ac:dyDescent="0.25">
      <c r="A12935" s="157">
        <v>40745</v>
      </c>
      <c r="B12935" s="158">
        <v>3.98</v>
      </c>
    </row>
    <row r="12936" spans="1:2" x14ac:dyDescent="0.25">
      <c r="A12936" s="157">
        <v>40746</v>
      </c>
      <c r="B12936" s="158">
        <v>3.93</v>
      </c>
    </row>
    <row r="12937" spans="1:2" x14ac:dyDescent="0.25">
      <c r="A12937" s="157">
        <v>40749</v>
      </c>
      <c r="B12937" s="158">
        <v>3.98</v>
      </c>
    </row>
    <row r="12938" spans="1:2" x14ac:dyDescent="0.25">
      <c r="A12938" s="157">
        <v>40750</v>
      </c>
      <c r="B12938" s="158">
        <v>3.94</v>
      </c>
    </row>
    <row r="12939" spans="1:2" x14ac:dyDescent="0.25">
      <c r="A12939" s="157">
        <v>40751</v>
      </c>
      <c r="B12939" s="158">
        <v>3.95</v>
      </c>
    </row>
    <row r="12940" spans="1:2" x14ac:dyDescent="0.25">
      <c r="A12940" s="157">
        <v>40752</v>
      </c>
      <c r="B12940" s="158">
        <v>3.93</v>
      </c>
    </row>
    <row r="12941" spans="1:2" x14ac:dyDescent="0.25">
      <c r="A12941" s="157">
        <v>40753</v>
      </c>
      <c r="B12941" s="158">
        <v>3.77</v>
      </c>
    </row>
    <row r="12942" spans="1:2" x14ac:dyDescent="0.25">
      <c r="A12942" s="157">
        <v>40756</v>
      </c>
      <c r="B12942" s="158">
        <v>3.72</v>
      </c>
    </row>
    <row r="12943" spans="1:2" x14ac:dyDescent="0.25">
      <c r="A12943" s="157">
        <v>40757</v>
      </c>
      <c r="B12943" s="158">
        <v>3.59</v>
      </c>
    </row>
    <row r="12944" spans="1:2" x14ac:dyDescent="0.25">
      <c r="A12944" s="157">
        <v>40758</v>
      </c>
      <c r="B12944" s="158">
        <v>3.55</v>
      </c>
    </row>
    <row r="12945" spans="1:2" x14ac:dyDescent="0.25">
      <c r="A12945" s="157">
        <v>40759</v>
      </c>
      <c r="B12945" s="158">
        <v>3.37</v>
      </c>
    </row>
    <row r="12946" spans="1:2" x14ac:dyDescent="0.25">
      <c r="A12946" s="157">
        <v>40760</v>
      </c>
      <c r="B12946" s="158">
        <v>3.49</v>
      </c>
    </row>
    <row r="12947" spans="1:2" x14ac:dyDescent="0.25">
      <c r="A12947" s="157">
        <v>40763</v>
      </c>
      <c r="B12947" s="158">
        <v>3.31</v>
      </c>
    </row>
    <row r="12948" spans="1:2" x14ac:dyDescent="0.25">
      <c r="A12948" s="157">
        <v>40764</v>
      </c>
      <c r="B12948" s="158">
        <v>3.17</v>
      </c>
    </row>
    <row r="12949" spans="1:2" x14ac:dyDescent="0.25">
      <c r="A12949" s="157">
        <v>40765</v>
      </c>
      <c r="B12949" s="158">
        <v>3.08</v>
      </c>
    </row>
    <row r="12950" spans="1:2" x14ac:dyDescent="0.25">
      <c r="A12950" s="157">
        <v>40766</v>
      </c>
      <c r="B12950" s="158">
        <v>3.34</v>
      </c>
    </row>
    <row r="12951" spans="1:2" x14ac:dyDescent="0.25">
      <c r="A12951" s="157">
        <v>40767</v>
      </c>
      <c r="B12951" s="158">
        <v>3.24</v>
      </c>
    </row>
    <row r="12952" spans="1:2" x14ac:dyDescent="0.25">
      <c r="A12952" s="157">
        <v>40770</v>
      </c>
      <c r="B12952" s="158">
        <v>3.29</v>
      </c>
    </row>
    <row r="12953" spans="1:2" x14ac:dyDescent="0.25">
      <c r="A12953" s="157">
        <v>40771</v>
      </c>
      <c r="B12953" s="158">
        <v>3.23</v>
      </c>
    </row>
    <row r="12954" spans="1:2" x14ac:dyDescent="0.25">
      <c r="A12954" s="157">
        <v>40772</v>
      </c>
      <c r="B12954" s="158">
        <v>3.14</v>
      </c>
    </row>
    <row r="12955" spans="1:2" x14ac:dyDescent="0.25">
      <c r="A12955" s="157">
        <v>40773</v>
      </c>
      <c r="B12955" s="158">
        <v>3.02</v>
      </c>
    </row>
    <row r="12956" spans="1:2" x14ac:dyDescent="0.25">
      <c r="A12956" s="157">
        <v>40774</v>
      </c>
      <c r="B12956" s="158">
        <v>2.97</v>
      </c>
    </row>
    <row r="12957" spans="1:2" x14ac:dyDescent="0.25">
      <c r="A12957" s="157">
        <v>40777</v>
      </c>
      <c r="B12957" s="158">
        <v>3</v>
      </c>
    </row>
    <row r="12958" spans="1:2" x14ac:dyDescent="0.25">
      <c r="A12958" s="157">
        <v>40778</v>
      </c>
      <c r="B12958" s="158">
        <v>3.06</v>
      </c>
    </row>
    <row r="12959" spans="1:2" x14ac:dyDescent="0.25">
      <c r="A12959" s="157">
        <v>40779</v>
      </c>
      <c r="B12959" s="158">
        <v>3.23</v>
      </c>
    </row>
    <row r="12960" spans="1:2" x14ac:dyDescent="0.25">
      <c r="A12960" s="157">
        <v>40780</v>
      </c>
      <c r="B12960" s="158">
        <v>3.17</v>
      </c>
    </row>
    <row r="12961" spans="1:2" x14ac:dyDescent="0.25">
      <c r="A12961" s="157">
        <v>40781</v>
      </c>
      <c r="B12961" s="158">
        <v>3.13</v>
      </c>
    </row>
    <row r="12962" spans="1:2" x14ac:dyDescent="0.25">
      <c r="A12962" s="157">
        <v>40784</v>
      </c>
      <c r="B12962" s="158">
        <v>3.22</v>
      </c>
    </row>
    <row r="12963" spans="1:2" x14ac:dyDescent="0.25">
      <c r="A12963" s="157">
        <v>40785</v>
      </c>
      <c r="B12963" s="158">
        <v>3.12</v>
      </c>
    </row>
    <row r="12964" spans="1:2" x14ac:dyDescent="0.25">
      <c r="A12964" s="157">
        <v>40786</v>
      </c>
      <c r="B12964" s="158">
        <v>3.19</v>
      </c>
    </row>
    <row r="12965" spans="1:2" x14ac:dyDescent="0.25">
      <c r="A12965" s="157">
        <v>40787</v>
      </c>
      <c r="B12965" s="158">
        <v>3.1</v>
      </c>
    </row>
    <row r="12966" spans="1:2" x14ac:dyDescent="0.25">
      <c r="A12966" s="157">
        <v>40788</v>
      </c>
      <c r="B12966" s="158">
        <v>2.92</v>
      </c>
    </row>
    <row r="12967" spans="1:2" x14ac:dyDescent="0.25">
      <c r="A12967" s="157">
        <v>40791</v>
      </c>
      <c r="B12967" s="158" t="e">
        <f>NA()</f>
        <v>#N/A</v>
      </c>
    </row>
    <row r="12968" spans="1:2" x14ac:dyDescent="0.25">
      <c r="A12968" s="157">
        <v>40792</v>
      </c>
      <c r="B12968" s="158">
        <v>2.86</v>
      </c>
    </row>
    <row r="12969" spans="1:2" x14ac:dyDescent="0.25">
      <c r="A12969" s="157">
        <v>40793</v>
      </c>
      <c r="B12969" s="158">
        <v>2.96</v>
      </c>
    </row>
    <row r="12970" spans="1:2" x14ac:dyDescent="0.25">
      <c r="A12970" s="157">
        <v>40794</v>
      </c>
      <c r="B12970" s="158">
        <v>2.92</v>
      </c>
    </row>
    <row r="12971" spans="1:2" x14ac:dyDescent="0.25">
      <c r="A12971" s="157">
        <v>40795</v>
      </c>
      <c r="B12971" s="158">
        <v>2.86</v>
      </c>
    </row>
    <row r="12972" spans="1:2" x14ac:dyDescent="0.25">
      <c r="A12972" s="157">
        <v>40798</v>
      </c>
      <c r="B12972" s="158">
        <v>2.84</v>
      </c>
    </row>
    <row r="12973" spans="1:2" x14ac:dyDescent="0.25">
      <c r="A12973" s="157">
        <v>40799</v>
      </c>
      <c r="B12973" s="158">
        <v>2.92</v>
      </c>
    </row>
    <row r="12974" spans="1:2" x14ac:dyDescent="0.25">
      <c r="A12974" s="157">
        <v>40800</v>
      </c>
      <c r="B12974" s="158">
        <v>2.92</v>
      </c>
    </row>
    <row r="12975" spans="1:2" x14ac:dyDescent="0.25">
      <c r="A12975" s="157">
        <v>40801</v>
      </c>
      <c r="B12975" s="158">
        <v>2.97</v>
      </c>
    </row>
    <row r="12976" spans="1:2" x14ac:dyDescent="0.25">
      <c r="A12976" s="157">
        <v>40802</v>
      </c>
      <c r="B12976" s="158">
        <v>2.96</v>
      </c>
    </row>
    <row r="12977" spans="1:2" x14ac:dyDescent="0.25">
      <c r="A12977" s="157">
        <v>40805</v>
      </c>
      <c r="B12977" s="158">
        <v>2.84</v>
      </c>
    </row>
    <row r="12978" spans="1:2" x14ac:dyDescent="0.25">
      <c r="A12978" s="157">
        <v>40806</v>
      </c>
      <c r="B12978" s="158">
        <v>2.82</v>
      </c>
    </row>
    <row r="12979" spans="1:2" x14ac:dyDescent="0.25">
      <c r="A12979" s="157">
        <v>40807</v>
      </c>
      <c r="B12979" s="158">
        <v>2.69</v>
      </c>
    </row>
    <row r="12980" spans="1:2" x14ac:dyDescent="0.25">
      <c r="A12980" s="157">
        <v>40808</v>
      </c>
      <c r="B12980" s="158">
        <v>2.48</v>
      </c>
    </row>
    <row r="12981" spans="1:2" x14ac:dyDescent="0.25">
      <c r="A12981" s="157">
        <v>40809</v>
      </c>
      <c r="B12981" s="158">
        <v>2.59</v>
      </c>
    </row>
    <row r="12982" spans="1:2" x14ac:dyDescent="0.25">
      <c r="A12982" s="157">
        <v>40812</v>
      </c>
      <c r="B12982" s="158">
        <v>2.69</v>
      </c>
    </row>
    <row r="12983" spans="1:2" x14ac:dyDescent="0.25">
      <c r="A12983" s="157">
        <v>40813</v>
      </c>
      <c r="B12983" s="158">
        <v>2.79</v>
      </c>
    </row>
    <row r="12984" spans="1:2" x14ac:dyDescent="0.25">
      <c r="A12984" s="157">
        <v>40814</v>
      </c>
      <c r="B12984" s="158">
        <v>2.82</v>
      </c>
    </row>
    <row r="12985" spans="1:2" x14ac:dyDescent="0.25">
      <c r="A12985" s="157">
        <v>40815</v>
      </c>
      <c r="B12985" s="158">
        <v>2.76</v>
      </c>
    </row>
    <row r="12986" spans="1:2" x14ac:dyDescent="0.25">
      <c r="A12986" s="157">
        <v>40816</v>
      </c>
      <c r="B12986" s="158">
        <v>2.66</v>
      </c>
    </row>
    <row r="12987" spans="1:2" x14ac:dyDescent="0.25">
      <c r="A12987" s="157">
        <v>40819</v>
      </c>
      <c r="B12987" s="158">
        <v>2.5099999999999998</v>
      </c>
    </row>
    <row r="12988" spans="1:2" x14ac:dyDescent="0.25">
      <c r="A12988" s="157">
        <v>40820</v>
      </c>
      <c r="B12988" s="158">
        <v>2.5299999999999998</v>
      </c>
    </row>
    <row r="12989" spans="1:2" x14ac:dyDescent="0.25">
      <c r="A12989" s="157">
        <v>40821</v>
      </c>
      <c r="B12989" s="158">
        <v>2.62</v>
      </c>
    </row>
    <row r="12990" spans="1:2" x14ac:dyDescent="0.25">
      <c r="A12990" s="157">
        <v>40822</v>
      </c>
      <c r="B12990" s="158">
        <v>2.71</v>
      </c>
    </row>
    <row r="12991" spans="1:2" x14ac:dyDescent="0.25">
      <c r="A12991" s="157">
        <v>40823</v>
      </c>
      <c r="B12991" s="158">
        <v>2.78</v>
      </c>
    </row>
    <row r="12992" spans="1:2" x14ac:dyDescent="0.25">
      <c r="A12992" s="157">
        <v>40826</v>
      </c>
      <c r="B12992" s="158" t="e">
        <f>NA()</f>
        <v>#N/A</v>
      </c>
    </row>
    <row r="12993" spans="1:2" x14ac:dyDescent="0.25">
      <c r="A12993" s="157">
        <v>40827</v>
      </c>
      <c r="B12993" s="158">
        <v>2.87</v>
      </c>
    </row>
    <row r="12994" spans="1:2" x14ac:dyDescent="0.25">
      <c r="A12994" s="157">
        <v>40828</v>
      </c>
      <c r="B12994" s="158">
        <v>2.94</v>
      </c>
    </row>
    <row r="12995" spans="1:2" x14ac:dyDescent="0.25">
      <c r="A12995" s="157">
        <v>40829</v>
      </c>
      <c r="B12995" s="158">
        <v>2.9</v>
      </c>
    </row>
    <row r="12996" spans="1:2" x14ac:dyDescent="0.25">
      <c r="A12996" s="157">
        <v>40830</v>
      </c>
      <c r="B12996" s="158">
        <v>2.97</v>
      </c>
    </row>
    <row r="12997" spans="1:2" x14ac:dyDescent="0.25">
      <c r="A12997" s="157">
        <v>40833</v>
      </c>
      <c r="B12997" s="158">
        <v>2.88</v>
      </c>
    </row>
    <row r="12998" spans="1:2" x14ac:dyDescent="0.25">
      <c r="A12998" s="157">
        <v>40834</v>
      </c>
      <c r="B12998" s="158">
        <v>2.91</v>
      </c>
    </row>
    <row r="12999" spans="1:2" x14ac:dyDescent="0.25">
      <c r="A12999" s="157">
        <v>40835</v>
      </c>
      <c r="B12999" s="158">
        <v>2.9</v>
      </c>
    </row>
    <row r="13000" spans="1:2" x14ac:dyDescent="0.25">
      <c r="A13000" s="157">
        <v>40836</v>
      </c>
      <c r="B13000" s="158">
        <v>2.92</v>
      </c>
    </row>
    <row r="13001" spans="1:2" x14ac:dyDescent="0.25">
      <c r="A13001" s="157">
        <v>40837</v>
      </c>
      <c r="B13001" s="158">
        <v>2.98</v>
      </c>
    </row>
    <row r="13002" spans="1:2" x14ac:dyDescent="0.25">
      <c r="A13002" s="157">
        <v>40840</v>
      </c>
      <c r="B13002" s="158">
        <v>3</v>
      </c>
    </row>
    <row r="13003" spans="1:2" x14ac:dyDescent="0.25">
      <c r="A13003" s="157">
        <v>40841</v>
      </c>
      <c r="B13003" s="158">
        <v>2.86</v>
      </c>
    </row>
    <row r="13004" spans="1:2" x14ac:dyDescent="0.25">
      <c r="A13004" s="157">
        <v>40842</v>
      </c>
      <c r="B13004" s="158">
        <v>2.95</v>
      </c>
    </row>
    <row r="13005" spans="1:2" x14ac:dyDescent="0.25">
      <c r="A13005" s="157">
        <v>40843</v>
      </c>
      <c r="B13005" s="158">
        <v>3.18</v>
      </c>
    </row>
    <row r="13006" spans="1:2" x14ac:dyDescent="0.25">
      <c r="A13006" s="157">
        <v>40844</v>
      </c>
      <c r="B13006" s="158">
        <v>3.09</v>
      </c>
    </row>
    <row r="13007" spans="1:2" x14ac:dyDescent="0.25">
      <c r="A13007" s="157">
        <v>40847</v>
      </c>
      <c r="B13007" s="158">
        <v>2.89</v>
      </c>
    </row>
    <row r="13008" spans="1:2" x14ac:dyDescent="0.25">
      <c r="A13008" s="157">
        <v>40848</v>
      </c>
      <c r="B13008" s="158">
        <v>2.73</v>
      </c>
    </row>
    <row r="13009" spans="1:2" x14ac:dyDescent="0.25">
      <c r="A13009" s="157">
        <v>40849</v>
      </c>
      <c r="B13009" s="158">
        <v>2.75</v>
      </c>
    </row>
    <row r="13010" spans="1:2" x14ac:dyDescent="0.25">
      <c r="A13010" s="157">
        <v>40850</v>
      </c>
      <c r="B13010" s="158">
        <v>2.83</v>
      </c>
    </row>
    <row r="13011" spans="1:2" x14ac:dyDescent="0.25">
      <c r="A13011" s="157">
        <v>40851</v>
      </c>
      <c r="B13011" s="158">
        <v>2.81</v>
      </c>
    </row>
    <row r="13012" spans="1:2" x14ac:dyDescent="0.25">
      <c r="A13012" s="157">
        <v>40854</v>
      </c>
      <c r="B13012" s="158">
        <v>2.77</v>
      </c>
    </row>
    <row r="13013" spans="1:2" x14ac:dyDescent="0.25">
      <c r="A13013" s="157">
        <v>40855</v>
      </c>
      <c r="B13013" s="158">
        <v>2.84</v>
      </c>
    </row>
    <row r="13014" spans="1:2" x14ac:dyDescent="0.25">
      <c r="A13014" s="157">
        <v>40856</v>
      </c>
      <c r="B13014" s="158">
        <v>2.73</v>
      </c>
    </row>
    <row r="13015" spans="1:2" x14ac:dyDescent="0.25">
      <c r="A13015" s="157">
        <v>40857</v>
      </c>
      <c r="B13015" s="158">
        <v>2.8</v>
      </c>
    </row>
    <row r="13016" spans="1:2" x14ac:dyDescent="0.25">
      <c r="A13016" s="157">
        <v>40858</v>
      </c>
      <c r="B13016" s="158" t="e">
        <f>NA()</f>
        <v>#N/A</v>
      </c>
    </row>
    <row r="13017" spans="1:2" x14ac:dyDescent="0.25">
      <c r="A13017" s="157">
        <v>40861</v>
      </c>
      <c r="B13017" s="158">
        <v>2.77</v>
      </c>
    </row>
    <row r="13018" spans="1:2" x14ac:dyDescent="0.25">
      <c r="A13018" s="157">
        <v>40862</v>
      </c>
      <c r="B13018" s="158">
        <v>2.79</v>
      </c>
    </row>
    <row r="13019" spans="1:2" x14ac:dyDescent="0.25">
      <c r="A13019" s="157">
        <v>40863</v>
      </c>
      <c r="B13019" s="158">
        <v>2.73</v>
      </c>
    </row>
    <row r="13020" spans="1:2" x14ac:dyDescent="0.25">
      <c r="A13020" s="157">
        <v>40864</v>
      </c>
      <c r="B13020" s="158">
        <v>2.66</v>
      </c>
    </row>
    <row r="13021" spans="1:2" x14ac:dyDescent="0.25">
      <c r="A13021" s="157">
        <v>40865</v>
      </c>
      <c r="B13021" s="158">
        <v>2.69</v>
      </c>
    </row>
    <row r="13022" spans="1:2" x14ac:dyDescent="0.25">
      <c r="A13022" s="157">
        <v>40868</v>
      </c>
      <c r="B13022" s="158">
        <v>2.65</v>
      </c>
    </row>
    <row r="13023" spans="1:2" x14ac:dyDescent="0.25">
      <c r="A13023" s="157">
        <v>40869</v>
      </c>
      <c r="B13023" s="158">
        <v>2.6</v>
      </c>
    </row>
    <row r="13024" spans="1:2" x14ac:dyDescent="0.25">
      <c r="A13024" s="157">
        <v>40870</v>
      </c>
      <c r="B13024" s="158">
        <v>2.5299999999999998</v>
      </c>
    </row>
    <row r="13025" spans="1:2" x14ac:dyDescent="0.25">
      <c r="A13025" s="157">
        <v>40871</v>
      </c>
      <c r="B13025" s="158" t="e">
        <f>NA()</f>
        <v>#N/A</v>
      </c>
    </row>
    <row r="13026" spans="1:2" x14ac:dyDescent="0.25">
      <c r="A13026" s="157">
        <v>40872</v>
      </c>
      <c r="B13026" s="158">
        <v>2.62</v>
      </c>
    </row>
    <row r="13027" spans="1:2" x14ac:dyDescent="0.25">
      <c r="A13027" s="157">
        <v>40875</v>
      </c>
      <c r="B13027" s="158">
        <v>2.63</v>
      </c>
    </row>
    <row r="13028" spans="1:2" x14ac:dyDescent="0.25">
      <c r="A13028" s="157">
        <v>40876</v>
      </c>
      <c r="B13028" s="158">
        <v>2.66</v>
      </c>
    </row>
    <row r="13029" spans="1:2" x14ac:dyDescent="0.25">
      <c r="A13029" s="157">
        <v>40877</v>
      </c>
      <c r="B13029" s="158">
        <v>2.77</v>
      </c>
    </row>
    <row r="13030" spans="1:2" x14ac:dyDescent="0.25">
      <c r="A13030" s="157">
        <v>40878</v>
      </c>
      <c r="B13030" s="158">
        <v>2.82</v>
      </c>
    </row>
    <row r="13031" spans="1:2" x14ac:dyDescent="0.25">
      <c r="A13031" s="157">
        <v>40879</v>
      </c>
      <c r="B13031" s="158">
        <v>2.74</v>
      </c>
    </row>
    <row r="13032" spans="1:2" x14ac:dyDescent="0.25">
      <c r="A13032" s="157">
        <v>40882</v>
      </c>
      <c r="B13032" s="158">
        <v>2.73</v>
      </c>
    </row>
    <row r="13033" spans="1:2" x14ac:dyDescent="0.25">
      <c r="A13033" s="157">
        <v>40883</v>
      </c>
      <c r="B13033" s="158">
        <v>2.74</v>
      </c>
    </row>
    <row r="13034" spans="1:2" x14ac:dyDescent="0.25">
      <c r="A13034" s="157">
        <v>40884</v>
      </c>
      <c r="B13034" s="158">
        <v>2.74</v>
      </c>
    </row>
    <row r="13035" spans="1:2" x14ac:dyDescent="0.25">
      <c r="A13035" s="157">
        <v>40885</v>
      </c>
      <c r="B13035" s="158">
        <v>2.7</v>
      </c>
    </row>
    <row r="13036" spans="1:2" x14ac:dyDescent="0.25">
      <c r="A13036" s="157">
        <v>40886</v>
      </c>
      <c r="B13036" s="158">
        <v>2.79</v>
      </c>
    </row>
    <row r="13037" spans="1:2" x14ac:dyDescent="0.25">
      <c r="A13037" s="157">
        <v>40889</v>
      </c>
      <c r="B13037" s="158">
        <v>2.75</v>
      </c>
    </row>
    <row r="13038" spans="1:2" x14ac:dyDescent="0.25">
      <c r="A13038" s="157">
        <v>40890</v>
      </c>
      <c r="B13038" s="158">
        <v>2.66</v>
      </c>
    </row>
    <row r="13039" spans="1:2" x14ac:dyDescent="0.25">
      <c r="A13039" s="157">
        <v>40891</v>
      </c>
      <c r="B13039" s="158">
        <v>2.59</v>
      </c>
    </row>
    <row r="13040" spans="1:2" x14ac:dyDescent="0.25">
      <c r="A13040" s="157">
        <v>40892</v>
      </c>
      <c r="B13040" s="158">
        <v>2.6</v>
      </c>
    </row>
    <row r="13041" spans="1:2" x14ac:dyDescent="0.25">
      <c r="A13041" s="157">
        <v>40893</v>
      </c>
      <c r="B13041" s="158">
        <v>2.54</v>
      </c>
    </row>
    <row r="13042" spans="1:2" x14ac:dyDescent="0.25">
      <c r="A13042" s="157">
        <v>40896</v>
      </c>
      <c r="B13042" s="158">
        <v>2.48</v>
      </c>
    </row>
    <row r="13043" spans="1:2" x14ac:dyDescent="0.25">
      <c r="A13043" s="157">
        <v>40897</v>
      </c>
      <c r="B13043" s="158">
        <v>2.61</v>
      </c>
    </row>
    <row r="13044" spans="1:2" x14ac:dyDescent="0.25">
      <c r="A13044" s="157">
        <v>40898</v>
      </c>
      <c r="B13044" s="158">
        <v>2.67</v>
      </c>
    </row>
    <row r="13045" spans="1:2" x14ac:dyDescent="0.25">
      <c r="A13045" s="157">
        <v>40899</v>
      </c>
      <c r="B13045" s="158">
        <v>2.67</v>
      </c>
    </row>
    <row r="13046" spans="1:2" x14ac:dyDescent="0.25">
      <c r="A13046" s="157">
        <v>40900</v>
      </c>
      <c r="B13046" s="158">
        <v>2.73</v>
      </c>
    </row>
    <row r="13047" spans="1:2" x14ac:dyDescent="0.25">
      <c r="A13047" s="157">
        <v>40903</v>
      </c>
      <c r="B13047" s="158" t="e">
        <f>NA()</f>
        <v>#N/A</v>
      </c>
    </row>
    <row r="13048" spans="1:2" x14ac:dyDescent="0.25">
      <c r="A13048" s="157">
        <v>40904</v>
      </c>
      <c r="B13048" s="158">
        <v>2.72</v>
      </c>
    </row>
    <row r="13049" spans="1:2" x14ac:dyDescent="0.25">
      <c r="A13049" s="157">
        <v>40905</v>
      </c>
      <c r="B13049" s="158">
        <v>2.59</v>
      </c>
    </row>
    <row r="13050" spans="1:2" x14ac:dyDescent="0.25">
      <c r="A13050" s="157">
        <v>40906</v>
      </c>
      <c r="B13050" s="158">
        <v>2.58</v>
      </c>
    </row>
    <row r="13051" spans="1:2" x14ac:dyDescent="0.25">
      <c r="A13051" s="157">
        <v>40907</v>
      </c>
      <c r="B13051" s="158">
        <v>2.57</v>
      </c>
    </row>
    <row r="13052" spans="1:2" x14ac:dyDescent="0.25">
      <c r="A13052" s="157">
        <v>40910</v>
      </c>
      <c r="B13052" s="158" t="e">
        <f>NA()</f>
        <v>#N/A</v>
      </c>
    </row>
    <row r="13053" spans="1:2" x14ac:dyDescent="0.25">
      <c r="A13053" s="157">
        <v>40911</v>
      </c>
      <c r="B13053" s="158">
        <v>2.67</v>
      </c>
    </row>
    <row r="13054" spans="1:2" x14ac:dyDescent="0.25">
      <c r="A13054" s="157">
        <v>40912</v>
      </c>
      <c r="B13054" s="158">
        <v>2.71</v>
      </c>
    </row>
    <row r="13055" spans="1:2" x14ac:dyDescent="0.25">
      <c r="A13055" s="157">
        <v>40913</v>
      </c>
      <c r="B13055" s="158">
        <v>2.74</v>
      </c>
    </row>
    <row r="13056" spans="1:2" x14ac:dyDescent="0.25">
      <c r="A13056" s="157">
        <v>40914</v>
      </c>
      <c r="B13056" s="158">
        <v>2.7</v>
      </c>
    </row>
    <row r="13057" spans="1:2" x14ac:dyDescent="0.25">
      <c r="A13057" s="157">
        <v>40917</v>
      </c>
      <c r="B13057" s="158">
        <v>2.7</v>
      </c>
    </row>
    <row r="13058" spans="1:2" x14ac:dyDescent="0.25">
      <c r="A13058" s="157">
        <v>40918</v>
      </c>
      <c r="B13058" s="158">
        <v>2.71</v>
      </c>
    </row>
    <row r="13059" spans="1:2" x14ac:dyDescent="0.25">
      <c r="A13059" s="157">
        <v>40919</v>
      </c>
      <c r="B13059" s="158">
        <v>2.63</v>
      </c>
    </row>
    <row r="13060" spans="1:2" x14ac:dyDescent="0.25">
      <c r="A13060" s="157">
        <v>40920</v>
      </c>
      <c r="B13060" s="158">
        <v>2.65</v>
      </c>
    </row>
    <row r="13061" spans="1:2" x14ac:dyDescent="0.25">
      <c r="A13061" s="157">
        <v>40921</v>
      </c>
      <c r="B13061" s="158">
        <v>2.59</v>
      </c>
    </row>
    <row r="13062" spans="1:2" x14ac:dyDescent="0.25">
      <c r="A13062" s="157">
        <v>40924</v>
      </c>
      <c r="B13062" s="158" t="e">
        <f>NA()</f>
        <v>#N/A</v>
      </c>
    </row>
    <row r="13063" spans="1:2" x14ac:dyDescent="0.25">
      <c r="A13063" s="157">
        <v>40925</v>
      </c>
      <c r="B13063" s="158">
        <v>2.57</v>
      </c>
    </row>
    <row r="13064" spans="1:2" x14ac:dyDescent="0.25">
      <c r="A13064" s="157">
        <v>40926</v>
      </c>
      <c r="B13064" s="158">
        <v>2.63</v>
      </c>
    </row>
    <row r="13065" spans="1:2" x14ac:dyDescent="0.25">
      <c r="A13065" s="157">
        <v>40927</v>
      </c>
      <c r="B13065" s="158">
        <v>2.72</v>
      </c>
    </row>
    <row r="13066" spans="1:2" x14ac:dyDescent="0.25">
      <c r="A13066" s="157">
        <v>40928</v>
      </c>
      <c r="B13066" s="158">
        <v>2.78</v>
      </c>
    </row>
    <row r="13067" spans="1:2" x14ac:dyDescent="0.25">
      <c r="A13067" s="157">
        <v>40931</v>
      </c>
      <c r="B13067" s="158">
        <v>2.82</v>
      </c>
    </row>
    <row r="13068" spans="1:2" x14ac:dyDescent="0.25">
      <c r="A13068" s="157">
        <v>40932</v>
      </c>
      <c r="B13068" s="158">
        <v>2.82</v>
      </c>
    </row>
    <row r="13069" spans="1:2" x14ac:dyDescent="0.25">
      <c r="A13069" s="157">
        <v>40933</v>
      </c>
      <c r="B13069" s="158">
        <v>2.78</v>
      </c>
    </row>
    <row r="13070" spans="1:2" x14ac:dyDescent="0.25">
      <c r="A13070" s="157">
        <v>40934</v>
      </c>
      <c r="B13070" s="158">
        <v>2.74</v>
      </c>
    </row>
    <row r="13071" spans="1:2" x14ac:dyDescent="0.25">
      <c r="A13071" s="157">
        <v>40935</v>
      </c>
      <c r="B13071" s="158">
        <v>2.71</v>
      </c>
    </row>
    <row r="13072" spans="1:2" x14ac:dyDescent="0.25">
      <c r="A13072" s="157">
        <v>40938</v>
      </c>
      <c r="B13072" s="158">
        <v>2.64</v>
      </c>
    </row>
    <row r="13073" spans="1:2" x14ac:dyDescent="0.25">
      <c r="A13073" s="157">
        <v>40939</v>
      </c>
      <c r="B13073" s="158">
        <v>2.59</v>
      </c>
    </row>
    <row r="13074" spans="1:2" x14ac:dyDescent="0.25">
      <c r="A13074" s="157">
        <v>40940</v>
      </c>
      <c r="B13074" s="158">
        <v>2.65</v>
      </c>
    </row>
    <row r="13075" spans="1:2" x14ac:dyDescent="0.25">
      <c r="A13075" s="157">
        <v>40941</v>
      </c>
      <c r="B13075" s="158">
        <v>2.64</v>
      </c>
    </row>
    <row r="13076" spans="1:2" x14ac:dyDescent="0.25">
      <c r="A13076" s="157">
        <v>40942</v>
      </c>
      <c r="B13076" s="158">
        <v>2.76</v>
      </c>
    </row>
    <row r="13077" spans="1:2" x14ac:dyDescent="0.25">
      <c r="A13077" s="157">
        <v>40945</v>
      </c>
      <c r="B13077" s="158">
        <v>2.71</v>
      </c>
    </row>
    <row r="13078" spans="1:2" x14ac:dyDescent="0.25">
      <c r="A13078" s="157">
        <v>40946</v>
      </c>
      <c r="B13078" s="158">
        <v>2.78</v>
      </c>
    </row>
    <row r="13079" spans="1:2" x14ac:dyDescent="0.25">
      <c r="A13079" s="157">
        <v>40947</v>
      </c>
      <c r="B13079" s="158">
        <v>2.78</v>
      </c>
    </row>
    <row r="13080" spans="1:2" x14ac:dyDescent="0.25">
      <c r="A13080" s="157">
        <v>40948</v>
      </c>
      <c r="B13080" s="158">
        <v>2.83</v>
      </c>
    </row>
    <row r="13081" spans="1:2" x14ac:dyDescent="0.25">
      <c r="A13081" s="157">
        <v>40949</v>
      </c>
      <c r="B13081" s="158">
        <v>2.75</v>
      </c>
    </row>
    <row r="13082" spans="1:2" x14ac:dyDescent="0.25">
      <c r="A13082" s="157">
        <v>40952</v>
      </c>
      <c r="B13082" s="158">
        <v>2.78</v>
      </c>
    </row>
    <row r="13083" spans="1:2" x14ac:dyDescent="0.25">
      <c r="A13083" s="157">
        <v>40953</v>
      </c>
      <c r="B13083" s="158">
        <v>2.7</v>
      </c>
    </row>
    <row r="13084" spans="1:2" x14ac:dyDescent="0.25">
      <c r="A13084" s="157">
        <v>40954</v>
      </c>
      <c r="B13084" s="158">
        <v>2.72</v>
      </c>
    </row>
    <row r="13085" spans="1:2" x14ac:dyDescent="0.25">
      <c r="A13085" s="157">
        <v>40955</v>
      </c>
      <c r="B13085" s="158">
        <v>2.78</v>
      </c>
    </row>
    <row r="13086" spans="1:2" x14ac:dyDescent="0.25">
      <c r="A13086" s="157">
        <v>40956</v>
      </c>
      <c r="B13086" s="158">
        <v>2.8</v>
      </c>
    </row>
    <row r="13087" spans="1:2" x14ac:dyDescent="0.25">
      <c r="A13087" s="157">
        <v>40959</v>
      </c>
      <c r="B13087" s="158" t="e">
        <f>NA()</f>
        <v>#N/A</v>
      </c>
    </row>
    <row r="13088" spans="1:2" x14ac:dyDescent="0.25">
      <c r="A13088" s="157">
        <v>40960</v>
      </c>
      <c r="B13088" s="158">
        <v>2.84</v>
      </c>
    </row>
    <row r="13089" spans="1:2" x14ac:dyDescent="0.25">
      <c r="A13089" s="157">
        <v>40961</v>
      </c>
      <c r="B13089" s="158">
        <v>2.79</v>
      </c>
    </row>
    <row r="13090" spans="1:2" x14ac:dyDescent="0.25">
      <c r="A13090" s="157">
        <v>40962</v>
      </c>
      <c r="B13090" s="158">
        <v>2.77</v>
      </c>
    </row>
    <row r="13091" spans="1:2" x14ac:dyDescent="0.25">
      <c r="A13091" s="157">
        <v>40963</v>
      </c>
      <c r="B13091" s="158">
        <v>2.75</v>
      </c>
    </row>
    <row r="13092" spans="1:2" x14ac:dyDescent="0.25">
      <c r="A13092" s="157">
        <v>40966</v>
      </c>
      <c r="B13092" s="158">
        <v>2.69</v>
      </c>
    </row>
    <row r="13093" spans="1:2" x14ac:dyDescent="0.25">
      <c r="A13093" s="157">
        <v>40967</v>
      </c>
      <c r="B13093" s="158">
        <v>2.71</v>
      </c>
    </row>
    <row r="13094" spans="1:2" x14ac:dyDescent="0.25">
      <c r="A13094" s="157">
        <v>40968</v>
      </c>
      <c r="B13094" s="158">
        <v>2.73</v>
      </c>
    </row>
    <row r="13095" spans="1:2" x14ac:dyDescent="0.25">
      <c r="A13095" s="157">
        <v>40969</v>
      </c>
      <c r="B13095" s="158">
        <v>2.8</v>
      </c>
    </row>
    <row r="13096" spans="1:2" x14ac:dyDescent="0.25">
      <c r="A13096" s="157">
        <v>40970</v>
      </c>
      <c r="B13096" s="158">
        <v>2.77</v>
      </c>
    </row>
    <row r="13097" spans="1:2" x14ac:dyDescent="0.25">
      <c r="A13097" s="157">
        <v>40973</v>
      </c>
      <c r="B13097" s="158">
        <v>2.78</v>
      </c>
    </row>
    <row r="13098" spans="1:2" x14ac:dyDescent="0.25">
      <c r="A13098" s="157">
        <v>40974</v>
      </c>
      <c r="B13098" s="158">
        <v>2.73</v>
      </c>
    </row>
    <row r="13099" spans="1:2" x14ac:dyDescent="0.25">
      <c r="A13099" s="157">
        <v>40975</v>
      </c>
      <c r="B13099" s="158">
        <v>2.76</v>
      </c>
    </row>
    <row r="13100" spans="1:2" x14ac:dyDescent="0.25">
      <c r="A13100" s="157">
        <v>40976</v>
      </c>
      <c r="B13100" s="158">
        <v>2.82</v>
      </c>
    </row>
    <row r="13101" spans="1:2" x14ac:dyDescent="0.25">
      <c r="A13101" s="157">
        <v>40977</v>
      </c>
      <c r="B13101" s="158">
        <v>2.83</v>
      </c>
    </row>
    <row r="13102" spans="1:2" x14ac:dyDescent="0.25">
      <c r="A13102" s="157">
        <v>40980</v>
      </c>
      <c r="B13102" s="158">
        <v>2.82</v>
      </c>
    </row>
    <row r="13103" spans="1:2" x14ac:dyDescent="0.25">
      <c r="A13103" s="157">
        <v>40981</v>
      </c>
      <c r="B13103" s="158">
        <v>2.92</v>
      </c>
    </row>
    <row r="13104" spans="1:2" x14ac:dyDescent="0.25">
      <c r="A13104" s="157">
        <v>40982</v>
      </c>
      <c r="B13104" s="158">
        <v>3.08</v>
      </c>
    </row>
    <row r="13105" spans="1:2" x14ac:dyDescent="0.25">
      <c r="A13105" s="157">
        <v>40983</v>
      </c>
      <c r="B13105" s="158">
        <v>3.08</v>
      </c>
    </row>
    <row r="13106" spans="1:2" x14ac:dyDescent="0.25">
      <c r="A13106" s="157">
        <v>40984</v>
      </c>
      <c r="B13106" s="158">
        <v>3.08</v>
      </c>
    </row>
    <row r="13107" spans="1:2" x14ac:dyDescent="0.25">
      <c r="A13107" s="157">
        <v>40987</v>
      </c>
      <c r="B13107" s="158">
        <v>3.14</v>
      </c>
    </row>
    <row r="13108" spans="1:2" x14ac:dyDescent="0.25">
      <c r="A13108" s="157">
        <v>40988</v>
      </c>
      <c r="B13108" s="158">
        <v>3.13</v>
      </c>
    </row>
    <row r="13109" spans="1:2" x14ac:dyDescent="0.25">
      <c r="A13109" s="157">
        <v>40989</v>
      </c>
      <c r="B13109" s="158">
        <v>3.06</v>
      </c>
    </row>
    <row r="13110" spans="1:2" x14ac:dyDescent="0.25">
      <c r="A13110" s="157">
        <v>40990</v>
      </c>
      <c r="B13110" s="158">
        <v>3.04</v>
      </c>
    </row>
    <row r="13111" spans="1:2" x14ac:dyDescent="0.25">
      <c r="A13111" s="157">
        <v>40991</v>
      </c>
      <c r="B13111" s="158">
        <v>2.99</v>
      </c>
    </row>
    <row r="13112" spans="1:2" x14ac:dyDescent="0.25">
      <c r="A13112" s="157">
        <v>40994</v>
      </c>
      <c r="B13112" s="158">
        <v>3</v>
      </c>
    </row>
    <row r="13113" spans="1:2" x14ac:dyDescent="0.25">
      <c r="A13113" s="157">
        <v>40995</v>
      </c>
      <c r="B13113" s="158">
        <v>2.96</v>
      </c>
    </row>
    <row r="13114" spans="1:2" x14ac:dyDescent="0.25">
      <c r="A13114" s="157">
        <v>40996</v>
      </c>
      <c r="B13114" s="158">
        <v>2.97</v>
      </c>
    </row>
    <row r="13115" spans="1:2" x14ac:dyDescent="0.25">
      <c r="A13115" s="157">
        <v>40997</v>
      </c>
      <c r="B13115" s="158">
        <v>2.93</v>
      </c>
    </row>
    <row r="13116" spans="1:2" x14ac:dyDescent="0.25">
      <c r="A13116" s="157">
        <v>40998</v>
      </c>
      <c r="B13116" s="158">
        <v>3</v>
      </c>
    </row>
    <row r="13117" spans="1:2" x14ac:dyDescent="0.25">
      <c r="A13117" s="157">
        <v>41001</v>
      </c>
      <c r="B13117" s="158">
        <v>3</v>
      </c>
    </row>
    <row r="13118" spans="1:2" x14ac:dyDescent="0.25">
      <c r="A13118" s="157">
        <v>41002</v>
      </c>
      <c r="B13118" s="158">
        <v>3.07</v>
      </c>
    </row>
    <row r="13119" spans="1:2" x14ac:dyDescent="0.25">
      <c r="A13119" s="157">
        <v>41003</v>
      </c>
      <c r="B13119" s="158">
        <v>3.02</v>
      </c>
    </row>
    <row r="13120" spans="1:2" x14ac:dyDescent="0.25">
      <c r="A13120" s="157">
        <v>41004</v>
      </c>
      <c r="B13120" s="158">
        <v>2.97</v>
      </c>
    </row>
    <row r="13121" spans="1:2" x14ac:dyDescent="0.25">
      <c r="A13121" s="157">
        <v>41005</v>
      </c>
      <c r="B13121" s="158">
        <v>2.85</v>
      </c>
    </row>
    <row r="13122" spans="1:2" x14ac:dyDescent="0.25">
      <c r="A13122" s="157">
        <v>41008</v>
      </c>
      <c r="B13122" s="158">
        <v>2.82</v>
      </c>
    </row>
    <row r="13123" spans="1:2" x14ac:dyDescent="0.25">
      <c r="A13123" s="157">
        <v>41009</v>
      </c>
      <c r="B13123" s="158">
        <v>2.77</v>
      </c>
    </row>
    <row r="13124" spans="1:2" x14ac:dyDescent="0.25">
      <c r="A13124" s="157">
        <v>41010</v>
      </c>
      <c r="B13124" s="158">
        <v>2.82</v>
      </c>
    </row>
    <row r="13125" spans="1:2" x14ac:dyDescent="0.25">
      <c r="A13125" s="157">
        <v>41011</v>
      </c>
      <c r="B13125" s="158">
        <v>2.85</v>
      </c>
    </row>
    <row r="13126" spans="1:2" x14ac:dyDescent="0.25">
      <c r="A13126" s="157">
        <v>41012</v>
      </c>
      <c r="B13126" s="158">
        <v>2.77</v>
      </c>
    </row>
    <row r="13127" spans="1:2" x14ac:dyDescent="0.25">
      <c r="A13127" s="157">
        <v>41015</v>
      </c>
      <c r="B13127" s="158">
        <v>2.75</v>
      </c>
    </row>
    <row r="13128" spans="1:2" x14ac:dyDescent="0.25">
      <c r="A13128" s="157">
        <v>41016</v>
      </c>
      <c r="B13128" s="158">
        <v>2.79</v>
      </c>
    </row>
    <row r="13129" spans="1:2" x14ac:dyDescent="0.25">
      <c r="A13129" s="157">
        <v>41017</v>
      </c>
      <c r="B13129" s="158">
        <v>2.76</v>
      </c>
    </row>
    <row r="13130" spans="1:2" x14ac:dyDescent="0.25">
      <c r="A13130" s="157">
        <v>41018</v>
      </c>
      <c r="B13130" s="158">
        <v>2.74</v>
      </c>
    </row>
    <row r="13131" spans="1:2" x14ac:dyDescent="0.25">
      <c r="A13131" s="157">
        <v>41019</v>
      </c>
      <c r="B13131" s="158">
        <v>2.75</v>
      </c>
    </row>
    <row r="13132" spans="1:2" x14ac:dyDescent="0.25">
      <c r="A13132" s="157">
        <v>41022</v>
      </c>
      <c r="B13132" s="158">
        <v>2.71</v>
      </c>
    </row>
    <row r="13133" spans="1:2" x14ac:dyDescent="0.25">
      <c r="A13133" s="157">
        <v>41023</v>
      </c>
      <c r="B13133" s="158">
        <v>2.75</v>
      </c>
    </row>
    <row r="13134" spans="1:2" x14ac:dyDescent="0.25">
      <c r="A13134" s="157">
        <v>41024</v>
      </c>
      <c r="B13134" s="158">
        <v>2.76</v>
      </c>
    </row>
    <row r="13135" spans="1:2" x14ac:dyDescent="0.25">
      <c r="A13135" s="157">
        <v>41025</v>
      </c>
      <c r="B13135" s="158">
        <v>2.74</v>
      </c>
    </row>
    <row r="13136" spans="1:2" x14ac:dyDescent="0.25">
      <c r="A13136" s="157">
        <v>41026</v>
      </c>
      <c r="B13136" s="158">
        <v>2.73</v>
      </c>
    </row>
    <row r="13137" spans="1:2" x14ac:dyDescent="0.25">
      <c r="A13137" s="157">
        <v>41029</v>
      </c>
      <c r="B13137" s="158">
        <v>2.73</v>
      </c>
    </row>
    <row r="13138" spans="1:2" x14ac:dyDescent="0.25">
      <c r="A13138" s="157">
        <v>41030</v>
      </c>
      <c r="B13138" s="158">
        <v>2.76</v>
      </c>
    </row>
    <row r="13139" spans="1:2" x14ac:dyDescent="0.25">
      <c r="A13139" s="157">
        <v>41031</v>
      </c>
      <c r="B13139" s="158">
        <v>2.72</v>
      </c>
    </row>
    <row r="13140" spans="1:2" x14ac:dyDescent="0.25">
      <c r="A13140" s="157">
        <v>41032</v>
      </c>
      <c r="B13140" s="158">
        <v>2.72</v>
      </c>
    </row>
    <row r="13141" spans="1:2" x14ac:dyDescent="0.25">
      <c r="A13141" s="157">
        <v>41033</v>
      </c>
      <c r="B13141" s="158">
        <v>2.67</v>
      </c>
    </row>
    <row r="13142" spans="1:2" x14ac:dyDescent="0.25">
      <c r="A13142" s="157">
        <v>41036</v>
      </c>
      <c r="B13142" s="158">
        <v>2.67</v>
      </c>
    </row>
    <row r="13143" spans="1:2" x14ac:dyDescent="0.25">
      <c r="A13143" s="157">
        <v>41037</v>
      </c>
      <c r="B13143" s="158">
        <v>2.63</v>
      </c>
    </row>
    <row r="13144" spans="1:2" x14ac:dyDescent="0.25">
      <c r="A13144" s="157">
        <v>41038</v>
      </c>
      <c r="B13144" s="158">
        <v>2.63</v>
      </c>
    </row>
    <row r="13145" spans="1:2" x14ac:dyDescent="0.25">
      <c r="A13145" s="157">
        <v>41039</v>
      </c>
      <c r="B13145" s="158">
        <v>2.64</v>
      </c>
    </row>
    <row r="13146" spans="1:2" x14ac:dyDescent="0.25">
      <c r="A13146" s="157">
        <v>41040</v>
      </c>
      <c r="B13146" s="158">
        <v>2.59</v>
      </c>
    </row>
    <row r="13147" spans="1:2" x14ac:dyDescent="0.25">
      <c r="A13147" s="157">
        <v>41043</v>
      </c>
      <c r="B13147" s="158">
        <v>2.5299999999999998</v>
      </c>
    </row>
    <row r="13148" spans="1:2" x14ac:dyDescent="0.25">
      <c r="A13148" s="157">
        <v>41044</v>
      </c>
      <c r="B13148" s="158">
        <v>2.5</v>
      </c>
    </row>
    <row r="13149" spans="1:2" x14ac:dyDescent="0.25">
      <c r="A13149" s="157">
        <v>41045</v>
      </c>
      <c r="B13149" s="158">
        <v>2.48</v>
      </c>
    </row>
    <row r="13150" spans="1:2" x14ac:dyDescent="0.25">
      <c r="A13150" s="157">
        <v>41046</v>
      </c>
      <c r="B13150" s="158">
        <v>2.39</v>
      </c>
    </row>
    <row r="13151" spans="1:2" x14ac:dyDescent="0.25">
      <c r="A13151" s="157">
        <v>41047</v>
      </c>
      <c r="B13151" s="158">
        <v>2.4</v>
      </c>
    </row>
    <row r="13152" spans="1:2" x14ac:dyDescent="0.25">
      <c r="A13152" s="157">
        <v>41050</v>
      </c>
      <c r="B13152" s="158">
        <v>2.42</v>
      </c>
    </row>
    <row r="13153" spans="1:2" x14ac:dyDescent="0.25">
      <c r="A13153" s="157">
        <v>41051</v>
      </c>
      <c r="B13153" s="158">
        <v>2.48</v>
      </c>
    </row>
    <row r="13154" spans="1:2" x14ac:dyDescent="0.25">
      <c r="A13154" s="157">
        <v>41052</v>
      </c>
      <c r="B13154" s="158">
        <v>2.41</v>
      </c>
    </row>
    <row r="13155" spans="1:2" x14ac:dyDescent="0.25">
      <c r="A13155" s="157">
        <v>41053</v>
      </c>
      <c r="B13155" s="158">
        <v>2.46</v>
      </c>
    </row>
    <row r="13156" spans="1:2" x14ac:dyDescent="0.25">
      <c r="A13156" s="157">
        <v>41054</v>
      </c>
      <c r="B13156" s="158">
        <v>2.44</v>
      </c>
    </row>
    <row r="13157" spans="1:2" x14ac:dyDescent="0.25">
      <c r="A13157" s="157">
        <v>41057</v>
      </c>
      <c r="B13157" s="158" t="e">
        <f>NA()</f>
        <v>#N/A</v>
      </c>
    </row>
    <row r="13158" spans="1:2" x14ac:dyDescent="0.25">
      <c r="A13158" s="157">
        <v>41058</v>
      </c>
      <c r="B13158" s="158">
        <v>2.44</v>
      </c>
    </row>
    <row r="13159" spans="1:2" x14ac:dyDescent="0.25">
      <c r="A13159" s="157">
        <v>41059</v>
      </c>
      <c r="B13159" s="158">
        <v>2.3199999999999998</v>
      </c>
    </row>
    <row r="13160" spans="1:2" x14ac:dyDescent="0.25">
      <c r="A13160" s="157">
        <v>41060</v>
      </c>
      <c r="B13160" s="158">
        <v>2.27</v>
      </c>
    </row>
    <row r="13161" spans="1:2" x14ac:dyDescent="0.25">
      <c r="A13161" s="157">
        <v>41061</v>
      </c>
      <c r="B13161" s="158">
        <v>2.13</v>
      </c>
    </row>
    <row r="13162" spans="1:2" x14ac:dyDescent="0.25">
      <c r="A13162" s="157">
        <v>41064</v>
      </c>
      <c r="B13162" s="158">
        <v>2.17</v>
      </c>
    </row>
    <row r="13163" spans="1:2" x14ac:dyDescent="0.25">
      <c r="A13163" s="157">
        <v>41065</v>
      </c>
      <c r="B13163" s="158">
        <v>2.23</v>
      </c>
    </row>
    <row r="13164" spans="1:2" x14ac:dyDescent="0.25">
      <c r="A13164" s="157">
        <v>41066</v>
      </c>
      <c r="B13164" s="158">
        <v>2.34</v>
      </c>
    </row>
    <row r="13165" spans="1:2" x14ac:dyDescent="0.25">
      <c r="A13165" s="157">
        <v>41067</v>
      </c>
      <c r="B13165" s="158">
        <v>2.35</v>
      </c>
    </row>
    <row r="13166" spans="1:2" x14ac:dyDescent="0.25">
      <c r="A13166" s="157">
        <v>41068</v>
      </c>
      <c r="B13166" s="158">
        <v>2.36</v>
      </c>
    </row>
    <row r="13167" spans="1:2" x14ac:dyDescent="0.25">
      <c r="A13167" s="157">
        <v>41071</v>
      </c>
      <c r="B13167" s="158">
        <v>2.2999999999999998</v>
      </c>
    </row>
    <row r="13168" spans="1:2" x14ac:dyDescent="0.25">
      <c r="A13168" s="157">
        <v>41072</v>
      </c>
      <c r="B13168" s="158">
        <v>2.37</v>
      </c>
    </row>
    <row r="13169" spans="1:2" x14ac:dyDescent="0.25">
      <c r="A13169" s="157">
        <v>41073</v>
      </c>
      <c r="B13169" s="158">
        <v>2.2999999999999998</v>
      </c>
    </row>
    <row r="13170" spans="1:2" x14ac:dyDescent="0.25">
      <c r="A13170" s="157">
        <v>41074</v>
      </c>
      <c r="B13170" s="158">
        <v>2.33</v>
      </c>
    </row>
    <row r="13171" spans="1:2" x14ac:dyDescent="0.25">
      <c r="A13171" s="157">
        <v>41075</v>
      </c>
      <c r="B13171" s="158">
        <v>2.2999999999999998</v>
      </c>
    </row>
    <row r="13172" spans="1:2" x14ac:dyDescent="0.25">
      <c r="A13172" s="157">
        <v>41078</v>
      </c>
      <c r="B13172" s="158">
        <v>2.2799999999999998</v>
      </c>
    </row>
    <row r="13173" spans="1:2" x14ac:dyDescent="0.25">
      <c r="A13173" s="157">
        <v>41079</v>
      </c>
      <c r="B13173" s="158">
        <v>2.33</v>
      </c>
    </row>
    <row r="13174" spans="1:2" x14ac:dyDescent="0.25">
      <c r="A13174" s="157">
        <v>41080</v>
      </c>
      <c r="B13174" s="158">
        <v>2.34</v>
      </c>
    </row>
    <row r="13175" spans="1:2" x14ac:dyDescent="0.25">
      <c r="A13175" s="157">
        <v>41081</v>
      </c>
      <c r="B13175" s="158">
        <v>2.2999999999999998</v>
      </c>
    </row>
    <row r="13176" spans="1:2" x14ac:dyDescent="0.25">
      <c r="A13176" s="157">
        <v>41082</v>
      </c>
      <c r="B13176" s="158">
        <v>2.37</v>
      </c>
    </row>
    <row r="13177" spans="1:2" x14ac:dyDescent="0.25">
      <c r="A13177" s="157">
        <v>41085</v>
      </c>
      <c r="B13177" s="158">
        <v>2.31</v>
      </c>
    </row>
    <row r="13178" spans="1:2" x14ac:dyDescent="0.25">
      <c r="A13178" s="157">
        <v>41086</v>
      </c>
      <c r="B13178" s="158">
        <v>2.34</v>
      </c>
    </row>
    <row r="13179" spans="1:2" x14ac:dyDescent="0.25">
      <c r="A13179" s="157">
        <v>41087</v>
      </c>
      <c r="B13179" s="158">
        <v>2.3199999999999998</v>
      </c>
    </row>
    <row r="13180" spans="1:2" x14ac:dyDescent="0.25">
      <c r="A13180" s="157">
        <v>41088</v>
      </c>
      <c r="B13180" s="158">
        <v>2.2799999999999998</v>
      </c>
    </row>
    <row r="13181" spans="1:2" x14ac:dyDescent="0.25">
      <c r="A13181" s="157">
        <v>41089</v>
      </c>
      <c r="B13181" s="158">
        <v>2.38</v>
      </c>
    </row>
    <row r="13182" spans="1:2" x14ac:dyDescent="0.25">
      <c r="A13182" s="157">
        <v>41092</v>
      </c>
      <c r="B13182" s="158">
        <v>2.2999999999999998</v>
      </c>
    </row>
    <row r="13183" spans="1:2" x14ac:dyDescent="0.25">
      <c r="A13183" s="157">
        <v>41093</v>
      </c>
      <c r="B13183" s="158">
        <v>2.36</v>
      </c>
    </row>
    <row r="13184" spans="1:2" x14ac:dyDescent="0.25">
      <c r="A13184" s="157">
        <v>41094</v>
      </c>
      <c r="B13184" s="158" t="e">
        <f>NA()</f>
        <v>#N/A</v>
      </c>
    </row>
    <row r="13185" spans="1:2" x14ac:dyDescent="0.25">
      <c r="A13185" s="157">
        <v>41095</v>
      </c>
      <c r="B13185" s="158">
        <v>2.34</v>
      </c>
    </row>
    <row r="13186" spans="1:2" x14ac:dyDescent="0.25">
      <c r="A13186" s="157">
        <v>41096</v>
      </c>
      <c r="B13186" s="158">
        <v>2.2799999999999998</v>
      </c>
    </row>
    <row r="13187" spans="1:2" x14ac:dyDescent="0.25">
      <c r="A13187" s="157">
        <v>41099</v>
      </c>
      <c r="B13187" s="158">
        <v>2.2400000000000002</v>
      </c>
    </row>
    <row r="13188" spans="1:2" x14ac:dyDescent="0.25">
      <c r="A13188" s="157">
        <v>41100</v>
      </c>
      <c r="B13188" s="158">
        <v>2.2200000000000002</v>
      </c>
    </row>
    <row r="13189" spans="1:2" x14ac:dyDescent="0.25">
      <c r="A13189" s="157">
        <v>41101</v>
      </c>
      <c r="B13189" s="158">
        <v>2.2200000000000002</v>
      </c>
    </row>
    <row r="13190" spans="1:2" x14ac:dyDescent="0.25">
      <c r="A13190" s="157">
        <v>41102</v>
      </c>
      <c r="B13190" s="158">
        <v>2.1800000000000002</v>
      </c>
    </row>
    <row r="13191" spans="1:2" x14ac:dyDescent="0.25">
      <c r="A13191" s="157">
        <v>41103</v>
      </c>
      <c r="B13191" s="158">
        <v>2.2000000000000002</v>
      </c>
    </row>
    <row r="13192" spans="1:2" x14ac:dyDescent="0.25">
      <c r="A13192" s="157">
        <v>41106</v>
      </c>
      <c r="B13192" s="158">
        <v>2.1800000000000002</v>
      </c>
    </row>
    <row r="13193" spans="1:2" x14ac:dyDescent="0.25">
      <c r="A13193" s="157">
        <v>41107</v>
      </c>
      <c r="B13193" s="158">
        <v>2.2200000000000002</v>
      </c>
    </row>
    <row r="13194" spans="1:2" x14ac:dyDescent="0.25">
      <c r="A13194" s="157">
        <v>41108</v>
      </c>
      <c r="B13194" s="158">
        <v>2.21</v>
      </c>
    </row>
    <row r="13195" spans="1:2" x14ac:dyDescent="0.25">
      <c r="A13195" s="157">
        <v>41109</v>
      </c>
      <c r="B13195" s="158">
        <v>2.2400000000000002</v>
      </c>
    </row>
    <row r="13196" spans="1:2" x14ac:dyDescent="0.25">
      <c r="A13196" s="157">
        <v>41110</v>
      </c>
      <c r="B13196" s="158">
        <v>2.17</v>
      </c>
    </row>
    <row r="13197" spans="1:2" x14ac:dyDescent="0.25">
      <c r="A13197" s="157">
        <v>41113</v>
      </c>
      <c r="B13197" s="158">
        <v>2.15</v>
      </c>
    </row>
    <row r="13198" spans="1:2" x14ac:dyDescent="0.25">
      <c r="A13198" s="157">
        <v>41114</v>
      </c>
      <c r="B13198" s="158">
        <v>2.11</v>
      </c>
    </row>
    <row r="13199" spans="1:2" x14ac:dyDescent="0.25">
      <c r="A13199" s="157">
        <v>41115</v>
      </c>
      <c r="B13199" s="158">
        <v>2.11</v>
      </c>
    </row>
    <row r="13200" spans="1:2" x14ac:dyDescent="0.25">
      <c r="A13200" s="157">
        <v>41116</v>
      </c>
      <c r="B13200" s="158">
        <v>2.13</v>
      </c>
    </row>
    <row r="13201" spans="1:2" x14ac:dyDescent="0.25">
      <c r="A13201" s="157">
        <v>41117</v>
      </c>
      <c r="B13201" s="158">
        <v>2.27</v>
      </c>
    </row>
    <row r="13202" spans="1:2" x14ac:dyDescent="0.25">
      <c r="A13202" s="157">
        <v>41120</v>
      </c>
      <c r="B13202" s="158">
        <v>2.2200000000000002</v>
      </c>
    </row>
    <row r="13203" spans="1:2" x14ac:dyDescent="0.25">
      <c r="A13203" s="157">
        <v>41121</v>
      </c>
      <c r="B13203" s="158">
        <v>2.21</v>
      </c>
    </row>
    <row r="13204" spans="1:2" x14ac:dyDescent="0.25">
      <c r="A13204" s="157">
        <v>41122</v>
      </c>
      <c r="B13204" s="158">
        <v>2.25</v>
      </c>
    </row>
    <row r="13205" spans="1:2" x14ac:dyDescent="0.25">
      <c r="A13205" s="157">
        <v>41123</v>
      </c>
      <c r="B13205" s="158">
        <v>2.2000000000000002</v>
      </c>
    </row>
    <row r="13206" spans="1:2" x14ac:dyDescent="0.25">
      <c r="A13206" s="157">
        <v>41124</v>
      </c>
      <c r="B13206" s="158">
        <v>2.2999999999999998</v>
      </c>
    </row>
    <row r="13207" spans="1:2" x14ac:dyDescent="0.25">
      <c r="A13207" s="157">
        <v>41127</v>
      </c>
      <c r="B13207" s="158">
        <v>2.29</v>
      </c>
    </row>
    <row r="13208" spans="1:2" x14ac:dyDescent="0.25">
      <c r="A13208" s="157">
        <v>41128</v>
      </c>
      <c r="B13208" s="158">
        <v>2.37</v>
      </c>
    </row>
    <row r="13209" spans="1:2" x14ac:dyDescent="0.25">
      <c r="A13209" s="157">
        <v>41129</v>
      </c>
      <c r="B13209" s="158">
        <v>2.39</v>
      </c>
    </row>
    <row r="13210" spans="1:2" x14ac:dyDescent="0.25">
      <c r="A13210" s="157">
        <v>41130</v>
      </c>
      <c r="B13210" s="158">
        <v>2.4</v>
      </c>
    </row>
    <row r="13211" spans="1:2" x14ac:dyDescent="0.25">
      <c r="A13211" s="157">
        <v>41131</v>
      </c>
      <c r="B13211" s="158">
        <v>2.37</v>
      </c>
    </row>
    <row r="13212" spans="1:2" x14ac:dyDescent="0.25">
      <c r="A13212" s="157">
        <v>41134</v>
      </c>
      <c r="B13212" s="158">
        <v>2.37</v>
      </c>
    </row>
    <row r="13213" spans="1:2" x14ac:dyDescent="0.25">
      <c r="A13213" s="157">
        <v>41135</v>
      </c>
      <c r="B13213" s="158">
        <v>2.4500000000000002</v>
      </c>
    </row>
    <row r="13214" spans="1:2" x14ac:dyDescent="0.25">
      <c r="A13214" s="157">
        <v>41136</v>
      </c>
      <c r="B13214" s="158">
        <v>2.5299999999999998</v>
      </c>
    </row>
    <row r="13215" spans="1:2" x14ac:dyDescent="0.25">
      <c r="A13215" s="157">
        <v>41137</v>
      </c>
      <c r="B13215" s="158">
        <v>2.57</v>
      </c>
    </row>
    <row r="13216" spans="1:2" x14ac:dyDescent="0.25">
      <c r="A13216" s="157">
        <v>41138</v>
      </c>
      <c r="B13216" s="158">
        <v>2.5499999999999998</v>
      </c>
    </row>
    <row r="13217" spans="1:2" x14ac:dyDescent="0.25">
      <c r="A13217" s="157">
        <v>41141</v>
      </c>
      <c r="B13217" s="158">
        <v>2.5499999999999998</v>
      </c>
    </row>
    <row r="13218" spans="1:2" x14ac:dyDescent="0.25">
      <c r="A13218" s="157">
        <v>41142</v>
      </c>
      <c r="B13218" s="158">
        <v>2.5299999999999998</v>
      </c>
    </row>
    <row r="13219" spans="1:2" x14ac:dyDescent="0.25">
      <c r="A13219" s="157">
        <v>41143</v>
      </c>
      <c r="B13219" s="158">
        <v>2.44</v>
      </c>
    </row>
    <row r="13220" spans="1:2" x14ac:dyDescent="0.25">
      <c r="A13220" s="157">
        <v>41144</v>
      </c>
      <c r="B13220" s="158">
        <v>2.41</v>
      </c>
    </row>
    <row r="13221" spans="1:2" x14ac:dyDescent="0.25">
      <c r="A13221" s="157">
        <v>41145</v>
      </c>
      <c r="B13221" s="158">
        <v>2.41</v>
      </c>
    </row>
    <row r="13222" spans="1:2" x14ac:dyDescent="0.25">
      <c r="A13222" s="157">
        <v>41148</v>
      </c>
      <c r="B13222" s="158">
        <v>2.38</v>
      </c>
    </row>
    <row r="13223" spans="1:2" x14ac:dyDescent="0.25">
      <c r="A13223" s="157">
        <v>41149</v>
      </c>
      <c r="B13223" s="158">
        <v>2.36</v>
      </c>
    </row>
    <row r="13224" spans="1:2" x14ac:dyDescent="0.25">
      <c r="A13224" s="157">
        <v>41150</v>
      </c>
      <c r="B13224" s="158">
        <v>2.38</v>
      </c>
    </row>
    <row r="13225" spans="1:2" x14ac:dyDescent="0.25">
      <c r="A13225" s="157">
        <v>41151</v>
      </c>
      <c r="B13225" s="158">
        <v>2.36</v>
      </c>
    </row>
    <row r="13226" spans="1:2" x14ac:dyDescent="0.25">
      <c r="A13226" s="157">
        <v>41152</v>
      </c>
      <c r="B13226" s="158">
        <v>2.29</v>
      </c>
    </row>
    <row r="13227" spans="1:2" x14ac:dyDescent="0.25">
      <c r="A13227" s="157">
        <v>41155</v>
      </c>
      <c r="B13227" s="158" t="e">
        <f>NA()</f>
        <v>#N/A</v>
      </c>
    </row>
    <row r="13228" spans="1:2" x14ac:dyDescent="0.25">
      <c r="A13228" s="157">
        <v>41156</v>
      </c>
      <c r="B13228" s="158">
        <v>2.2999999999999998</v>
      </c>
    </row>
    <row r="13229" spans="1:2" x14ac:dyDescent="0.25">
      <c r="A13229" s="157">
        <v>41157</v>
      </c>
      <c r="B13229" s="158">
        <v>2.3199999999999998</v>
      </c>
    </row>
    <row r="13230" spans="1:2" x14ac:dyDescent="0.25">
      <c r="A13230" s="157">
        <v>41158</v>
      </c>
      <c r="B13230" s="158">
        <v>2.41</v>
      </c>
    </row>
    <row r="13231" spans="1:2" x14ac:dyDescent="0.25">
      <c r="A13231" s="157">
        <v>41159</v>
      </c>
      <c r="B13231" s="158">
        <v>2.42</v>
      </c>
    </row>
    <row r="13232" spans="1:2" x14ac:dyDescent="0.25">
      <c r="A13232" s="157">
        <v>41162</v>
      </c>
      <c r="B13232" s="158">
        <v>2.4300000000000002</v>
      </c>
    </row>
    <row r="13233" spans="1:2" x14ac:dyDescent="0.25">
      <c r="A13233" s="157">
        <v>41163</v>
      </c>
      <c r="B13233" s="158">
        <v>2.44</v>
      </c>
    </row>
    <row r="13234" spans="1:2" x14ac:dyDescent="0.25">
      <c r="A13234" s="157">
        <v>41164</v>
      </c>
      <c r="B13234" s="158">
        <v>2.52</v>
      </c>
    </row>
    <row r="13235" spans="1:2" x14ac:dyDescent="0.25">
      <c r="A13235" s="157">
        <v>41165</v>
      </c>
      <c r="B13235" s="158">
        <v>2.5299999999999998</v>
      </c>
    </row>
    <row r="13236" spans="1:2" x14ac:dyDescent="0.25">
      <c r="A13236" s="157">
        <v>41166</v>
      </c>
      <c r="B13236" s="158">
        <v>2.68</v>
      </c>
    </row>
    <row r="13237" spans="1:2" x14ac:dyDescent="0.25">
      <c r="A13237" s="157">
        <v>41169</v>
      </c>
      <c r="B13237" s="158">
        <v>2.64</v>
      </c>
    </row>
    <row r="13238" spans="1:2" x14ac:dyDescent="0.25">
      <c r="A13238" s="157">
        <v>41170</v>
      </c>
      <c r="B13238" s="158">
        <v>2.61</v>
      </c>
    </row>
    <row r="13239" spans="1:2" x14ac:dyDescent="0.25">
      <c r="A13239" s="157">
        <v>41171</v>
      </c>
      <c r="B13239" s="158">
        <v>2.58</v>
      </c>
    </row>
    <row r="13240" spans="1:2" x14ac:dyDescent="0.25">
      <c r="A13240" s="157">
        <v>41172</v>
      </c>
      <c r="B13240" s="158">
        <v>2.58</v>
      </c>
    </row>
    <row r="13241" spans="1:2" x14ac:dyDescent="0.25">
      <c r="A13241" s="157">
        <v>41173</v>
      </c>
      <c r="B13241" s="158">
        <v>2.57</v>
      </c>
    </row>
    <row r="13242" spans="1:2" x14ac:dyDescent="0.25">
      <c r="A13242" s="157">
        <v>41176</v>
      </c>
      <c r="B13242" s="158">
        <v>2.5299999999999998</v>
      </c>
    </row>
    <row r="13243" spans="1:2" x14ac:dyDescent="0.25">
      <c r="A13243" s="157">
        <v>41177</v>
      </c>
      <c r="B13243" s="158">
        <v>2.4700000000000002</v>
      </c>
    </row>
    <row r="13244" spans="1:2" x14ac:dyDescent="0.25">
      <c r="A13244" s="157">
        <v>41178</v>
      </c>
      <c r="B13244" s="158">
        <v>2.4</v>
      </c>
    </row>
    <row r="13245" spans="1:2" x14ac:dyDescent="0.25">
      <c r="A13245" s="157">
        <v>41179</v>
      </c>
      <c r="B13245" s="158">
        <v>2.4300000000000002</v>
      </c>
    </row>
    <row r="13246" spans="1:2" x14ac:dyDescent="0.25">
      <c r="A13246" s="157">
        <v>41180</v>
      </c>
      <c r="B13246" s="158">
        <v>2.42</v>
      </c>
    </row>
    <row r="13247" spans="1:2" x14ac:dyDescent="0.25">
      <c r="A13247" s="157">
        <v>41183</v>
      </c>
      <c r="B13247" s="158">
        <v>2.41</v>
      </c>
    </row>
    <row r="13248" spans="1:2" x14ac:dyDescent="0.25">
      <c r="A13248" s="157">
        <v>41184</v>
      </c>
      <c r="B13248" s="158">
        <v>2.41</v>
      </c>
    </row>
    <row r="13249" spans="1:2" x14ac:dyDescent="0.25">
      <c r="A13249" s="157">
        <v>41185</v>
      </c>
      <c r="B13249" s="158">
        <v>2.42</v>
      </c>
    </row>
    <row r="13250" spans="1:2" x14ac:dyDescent="0.25">
      <c r="A13250" s="157">
        <v>41186</v>
      </c>
      <c r="B13250" s="158">
        <v>2.48</v>
      </c>
    </row>
    <row r="13251" spans="1:2" x14ac:dyDescent="0.25">
      <c r="A13251" s="157">
        <v>41187</v>
      </c>
      <c r="B13251" s="158">
        <v>2.5499999999999998</v>
      </c>
    </row>
    <row r="13252" spans="1:2" x14ac:dyDescent="0.25">
      <c r="A13252" s="157">
        <v>41190</v>
      </c>
      <c r="B13252" s="158" t="e">
        <f>NA()</f>
        <v>#N/A</v>
      </c>
    </row>
    <row r="13253" spans="1:2" x14ac:dyDescent="0.25">
      <c r="A13253" s="157">
        <v>41191</v>
      </c>
      <c r="B13253" s="158">
        <v>2.52</v>
      </c>
    </row>
    <row r="13254" spans="1:2" x14ac:dyDescent="0.25">
      <c r="A13254" s="157">
        <v>41192</v>
      </c>
      <c r="B13254" s="158">
        <v>2.48</v>
      </c>
    </row>
    <row r="13255" spans="1:2" x14ac:dyDescent="0.25">
      <c r="A13255" s="157">
        <v>41193</v>
      </c>
      <c r="B13255" s="158">
        <v>2.4500000000000002</v>
      </c>
    </row>
    <row r="13256" spans="1:2" x14ac:dyDescent="0.25">
      <c r="A13256" s="157">
        <v>41194</v>
      </c>
      <c r="B13256" s="158">
        <v>2.44</v>
      </c>
    </row>
    <row r="13257" spans="1:2" x14ac:dyDescent="0.25">
      <c r="A13257" s="157">
        <v>41197</v>
      </c>
      <c r="B13257" s="158">
        <v>2.4500000000000002</v>
      </c>
    </row>
    <row r="13258" spans="1:2" x14ac:dyDescent="0.25">
      <c r="A13258" s="157">
        <v>41198</v>
      </c>
      <c r="B13258" s="158">
        <v>2.5099999999999998</v>
      </c>
    </row>
    <row r="13259" spans="1:2" x14ac:dyDescent="0.25">
      <c r="A13259" s="157">
        <v>41199</v>
      </c>
      <c r="B13259" s="158">
        <v>2.6</v>
      </c>
    </row>
    <row r="13260" spans="1:2" x14ac:dyDescent="0.25">
      <c r="A13260" s="157">
        <v>41200</v>
      </c>
      <c r="B13260" s="158">
        <v>2.63</v>
      </c>
    </row>
    <row r="13261" spans="1:2" x14ac:dyDescent="0.25">
      <c r="A13261" s="157">
        <v>41201</v>
      </c>
      <c r="B13261" s="158">
        <v>2.5499999999999998</v>
      </c>
    </row>
    <row r="13262" spans="1:2" x14ac:dyDescent="0.25">
      <c r="A13262" s="157">
        <v>41204</v>
      </c>
      <c r="B13262" s="158">
        <v>2.57</v>
      </c>
    </row>
    <row r="13263" spans="1:2" x14ac:dyDescent="0.25">
      <c r="A13263" s="157">
        <v>41205</v>
      </c>
      <c r="B13263" s="158">
        <v>2.5299999999999998</v>
      </c>
    </row>
    <row r="13264" spans="1:2" x14ac:dyDescent="0.25">
      <c r="A13264" s="157">
        <v>41206</v>
      </c>
      <c r="B13264" s="158">
        <v>2.5499999999999998</v>
      </c>
    </row>
    <row r="13265" spans="1:2" x14ac:dyDescent="0.25">
      <c r="A13265" s="157">
        <v>41207</v>
      </c>
      <c r="B13265" s="158">
        <v>2.6</v>
      </c>
    </row>
    <row r="13266" spans="1:2" x14ac:dyDescent="0.25">
      <c r="A13266" s="157">
        <v>41208</v>
      </c>
      <c r="B13266" s="158">
        <v>2.5299999999999998</v>
      </c>
    </row>
    <row r="13267" spans="1:2" x14ac:dyDescent="0.25">
      <c r="A13267" s="157">
        <v>41211</v>
      </c>
      <c r="B13267" s="158">
        <v>2.48</v>
      </c>
    </row>
    <row r="13268" spans="1:2" x14ac:dyDescent="0.25">
      <c r="A13268" s="157">
        <v>41212</v>
      </c>
      <c r="B13268" s="158" t="e">
        <f>NA()</f>
        <v>#N/A</v>
      </c>
    </row>
    <row r="13269" spans="1:2" x14ac:dyDescent="0.25">
      <c r="A13269" s="157">
        <v>41213</v>
      </c>
      <c r="B13269" s="158">
        <v>2.46</v>
      </c>
    </row>
    <row r="13270" spans="1:2" x14ac:dyDescent="0.25">
      <c r="A13270" s="157">
        <v>41214</v>
      </c>
      <c r="B13270" s="158">
        <v>2.5</v>
      </c>
    </row>
    <row r="13271" spans="1:2" x14ac:dyDescent="0.25">
      <c r="A13271" s="157">
        <v>41215</v>
      </c>
      <c r="B13271" s="158">
        <v>2.5099999999999998</v>
      </c>
    </row>
    <row r="13272" spans="1:2" x14ac:dyDescent="0.25">
      <c r="A13272" s="157">
        <v>41218</v>
      </c>
      <c r="B13272" s="158">
        <v>2.4700000000000002</v>
      </c>
    </row>
    <row r="13273" spans="1:2" x14ac:dyDescent="0.25">
      <c r="A13273" s="157">
        <v>41219</v>
      </c>
      <c r="B13273" s="158">
        <v>2.52</v>
      </c>
    </row>
    <row r="13274" spans="1:2" x14ac:dyDescent="0.25">
      <c r="A13274" s="157">
        <v>41220</v>
      </c>
      <c r="B13274" s="158">
        <v>2.42</v>
      </c>
    </row>
    <row r="13275" spans="1:2" x14ac:dyDescent="0.25">
      <c r="A13275" s="157">
        <v>41221</v>
      </c>
      <c r="B13275" s="158">
        <v>2.35</v>
      </c>
    </row>
    <row r="13276" spans="1:2" x14ac:dyDescent="0.25">
      <c r="A13276" s="157">
        <v>41222</v>
      </c>
      <c r="B13276" s="158">
        <v>2.34</v>
      </c>
    </row>
    <row r="13277" spans="1:2" x14ac:dyDescent="0.25">
      <c r="A13277" s="157">
        <v>41225</v>
      </c>
      <c r="B13277" s="158" t="e">
        <f>NA()</f>
        <v>#N/A</v>
      </c>
    </row>
    <row r="13278" spans="1:2" x14ac:dyDescent="0.25">
      <c r="A13278" s="157">
        <v>41226</v>
      </c>
      <c r="B13278" s="158">
        <v>2.31</v>
      </c>
    </row>
    <row r="13279" spans="1:2" x14ac:dyDescent="0.25">
      <c r="A13279" s="157">
        <v>41227</v>
      </c>
      <c r="B13279" s="158">
        <v>2.31</v>
      </c>
    </row>
    <row r="13280" spans="1:2" x14ac:dyDescent="0.25">
      <c r="A13280" s="157">
        <v>41228</v>
      </c>
      <c r="B13280" s="158">
        <v>2.2999999999999998</v>
      </c>
    </row>
    <row r="13281" spans="1:2" x14ac:dyDescent="0.25">
      <c r="A13281" s="157">
        <v>41229</v>
      </c>
      <c r="B13281" s="158">
        <v>2.31</v>
      </c>
    </row>
    <row r="13282" spans="1:2" x14ac:dyDescent="0.25">
      <c r="A13282" s="157">
        <v>41232</v>
      </c>
      <c r="B13282" s="158">
        <v>2.34</v>
      </c>
    </row>
    <row r="13283" spans="1:2" x14ac:dyDescent="0.25">
      <c r="A13283" s="157">
        <v>41233</v>
      </c>
      <c r="B13283" s="158">
        <v>2.4</v>
      </c>
    </row>
    <row r="13284" spans="1:2" x14ac:dyDescent="0.25">
      <c r="A13284" s="157">
        <v>41234</v>
      </c>
      <c r="B13284" s="158">
        <v>2.42</v>
      </c>
    </row>
    <row r="13285" spans="1:2" x14ac:dyDescent="0.25">
      <c r="A13285" s="157">
        <v>41235</v>
      </c>
      <c r="B13285" s="158" t="e">
        <f>NA()</f>
        <v>#N/A</v>
      </c>
    </row>
    <row r="13286" spans="1:2" x14ac:dyDescent="0.25">
      <c r="A13286" s="157">
        <v>41236</v>
      </c>
      <c r="B13286" s="158">
        <v>2.42</v>
      </c>
    </row>
    <row r="13287" spans="1:2" x14ac:dyDescent="0.25">
      <c r="A13287" s="157">
        <v>41239</v>
      </c>
      <c r="B13287" s="158">
        <v>2.39</v>
      </c>
    </row>
    <row r="13288" spans="1:2" x14ac:dyDescent="0.25">
      <c r="A13288" s="157">
        <v>41240</v>
      </c>
      <c r="B13288" s="158">
        <v>2.38</v>
      </c>
    </row>
    <row r="13289" spans="1:2" x14ac:dyDescent="0.25">
      <c r="A13289" s="157">
        <v>41241</v>
      </c>
      <c r="B13289" s="158">
        <v>2.36</v>
      </c>
    </row>
    <row r="13290" spans="1:2" x14ac:dyDescent="0.25">
      <c r="A13290" s="157">
        <v>41242</v>
      </c>
      <c r="B13290" s="158">
        <v>2.37</v>
      </c>
    </row>
    <row r="13291" spans="1:2" x14ac:dyDescent="0.25">
      <c r="A13291" s="157">
        <v>41243</v>
      </c>
      <c r="B13291" s="158">
        <v>2.37</v>
      </c>
    </row>
    <row r="13292" spans="1:2" x14ac:dyDescent="0.25">
      <c r="A13292" s="157">
        <v>41246</v>
      </c>
      <c r="B13292" s="158">
        <v>2.37</v>
      </c>
    </row>
    <row r="13293" spans="1:2" x14ac:dyDescent="0.25">
      <c r="A13293" s="157">
        <v>41247</v>
      </c>
      <c r="B13293" s="158">
        <v>2.36</v>
      </c>
    </row>
    <row r="13294" spans="1:2" x14ac:dyDescent="0.25">
      <c r="A13294" s="157">
        <v>41248</v>
      </c>
      <c r="B13294" s="158">
        <v>2.35</v>
      </c>
    </row>
    <row r="13295" spans="1:2" x14ac:dyDescent="0.25">
      <c r="A13295" s="157">
        <v>41249</v>
      </c>
      <c r="B13295" s="158">
        <v>2.33</v>
      </c>
    </row>
    <row r="13296" spans="1:2" x14ac:dyDescent="0.25">
      <c r="A13296" s="157">
        <v>41250</v>
      </c>
      <c r="B13296" s="158">
        <v>2.39</v>
      </c>
    </row>
    <row r="13297" spans="1:2" x14ac:dyDescent="0.25">
      <c r="A13297" s="157">
        <v>41253</v>
      </c>
      <c r="B13297" s="158">
        <v>2.38</v>
      </c>
    </row>
    <row r="13298" spans="1:2" x14ac:dyDescent="0.25">
      <c r="A13298" s="157">
        <v>41254</v>
      </c>
      <c r="B13298" s="158">
        <v>2.41</v>
      </c>
    </row>
    <row r="13299" spans="1:2" x14ac:dyDescent="0.25">
      <c r="A13299" s="157">
        <v>41255</v>
      </c>
      <c r="B13299" s="158">
        <v>2.48</v>
      </c>
    </row>
    <row r="13300" spans="1:2" x14ac:dyDescent="0.25">
      <c r="A13300" s="157">
        <v>41256</v>
      </c>
      <c r="B13300" s="158">
        <v>2.4900000000000002</v>
      </c>
    </row>
    <row r="13301" spans="1:2" x14ac:dyDescent="0.25">
      <c r="A13301" s="157">
        <v>41257</v>
      </c>
      <c r="B13301" s="158">
        <v>2.46</v>
      </c>
    </row>
    <row r="13302" spans="1:2" x14ac:dyDescent="0.25">
      <c r="A13302" s="157">
        <v>41260</v>
      </c>
      <c r="B13302" s="158">
        <v>2.5299999999999998</v>
      </c>
    </row>
    <row r="13303" spans="1:2" x14ac:dyDescent="0.25">
      <c r="A13303" s="157">
        <v>41261</v>
      </c>
      <c r="B13303" s="158">
        <v>2.59</v>
      </c>
    </row>
    <row r="13304" spans="1:2" x14ac:dyDescent="0.25">
      <c r="A13304" s="157">
        <v>41262</v>
      </c>
      <c r="B13304" s="158">
        <v>2.58</v>
      </c>
    </row>
    <row r="13305" spans="1:2" x14ac:dyDescent="0.25">
      <c r="A13305" s="157">
        <v>41263</v>
      </c>
      <c r="B13305" s="158">
        <v>2.57</v>
      </c>
    </row>
    <row r="13306" spans="1:2" x14ac:dyDescent="0.25">
      <c r="A13306" s="157">
        <v>41264</v>
      </c>
      <c r="B13306" s="158">
        <v>2.52</v>
      </c>
    </row>
    <row r="13307" spans="1:2" x14ac:dyDescent="0.25">
      <c r="A13307" s="157">
        <v>41267</v>
      </c>
      <c r="B13307" s="158">
        <v>2.5299999999999998</v>
      </c>
    </row>
    <row r="13308" spans="1:2" x14ac:dyDescent="0.25">
      <c r="A13308" s="157">
        <v>41268</v>
      </c>
      <c r="B13308" s="158" t="e">
        <f>NA()</f>
        <v>#N/A</v>
      </c>
    </row>
    <row r="13309" spans="1:2" x14ac:dyDescent="0.25">
      <c r="A13309" s="157">
        <v>41269</v>
      </c>
      <c r="B13309" s="158">
        <v>2.52</v>
      </c>
    </row>
    <row r="13310" spans="1:2" x14ac:dyDescent="0.25">
      <c r="A13310" s="157">
        <v>41270</v>
      </c>
      <c r="B13310" s="158">
        <v>2.48</v>
      </c>
    </row>
    <row r="13311" spans="1:2" x14ac:dyDescent="0.25">
      <c r="A13311" s="157">
        <v>41271</v>
      </c>
      <c r="B13311" s="158">
        <v>2.4700000000000002</v>
      </c>
    </row>
    <row r="13312" spans="1:2" x14ac:dyDescent="0.25">
      <c r="A13312" s="157">
        <v>41274</v>
      </c>
      <c r="B13312" s="158">
        <v>2.54</v>
      </c>
    </row>
    <row r="13313" spans="1:2" x14ac:dyDescent="0.25">
      <c r="A13313" s="157">
        <v>41275</v>
      </c>
      <c r="B13313" s="158" t="e">
        <f>NA()</f>
        <v>#N/A</v>
      </c>
    </row>
    <row r="13314" spans="1:2" x14ac:dyDescent="0.25">
      <c r="A13314" s="157">
        <v>41276</v>
      </c>
      <c r="B13314" s="158">
        <v>2.63</v>
      </c>
    </row>
    <row r="13315" spans="1:2" x14ac:dyDescent="0.25">
      <c r="A13315" s="157">
        <v>41277</v>
      </c>
      <c r="B13315" s="158">
        <v>2.7</v>
      </c>
    </row>
    <row r="13316" spans="1:2" x14ac:dyDescent="0.25">
      <c r="A13316" s="157">
        <v>41278</v>
      </c>
      <c r="B13316" s="158">
        <v>2.7</v>
      </c>
    </row>
    <row r="13317" spans="1:2" x14ac:dyDescent="0.25">
      <c r="A13317" s="157">
        <v>41281</v>
      </c>
      <c r="B13317" s="158">
        <v>2.7</v>
      </c>
    </row>
    <row r="13318" spans="1:2" x14ac:dyDescent="0.25">
      <c r="A13318" s="157">
        <v>41282</v>
      </c>
      <c r="B13318" s="158">
        <v>2.66</v>
      </c>
    </row>
    <row r="13319" spans="1:2" x14ac:dyDescent="0.25">
      <c r="A13319" s="157">
        <v>41283</v>
      </c>
      <c r="B13319" s="158">
        <v>2.65</v>
      </c>
    </row>
    <row r="13320" spans="1:2" x14ac:dyDescent="0.25">
      <c r="A13320" s="157">
        <v>41284</v>
      </c>
      <c r="B13320" s="158">
        <v>2.68</v>
      </c>
    </row>
    <row r="13321" spans="1:2" x14ac:dyDescent="0.25">
      <c r="A13321" s="157">
        <v>41285</v>
      </c>
      <c r="B13321" s="158">
        <v>2.65</v>
      </c>
    </row>
    <row r="13322" spans="1:2" x14ac:dyDescent="0.25">
      <c r="A13322" s="157">
        <v>41288</v>
      </c>
      <c r="B13322" s="158">
        <v>2.65</v>
      </c>
    </row>
    <row r="13323" spans="1:2" x14ac:dyDescent="0.25">
      <c r="A13323" s="157">
        <v>41289</v>
      </c>
      <c r="B13323" s="158">
        <v>2.62</v>
      </c>
    </row>
    <row r="13324" spans="1:2" x14ac:dyDescent="0.25">
      <c r="A13324" s="157">
        <v>41290</v>
      </c>
      <c r="B13324" s="158">
        <v>2.61</v>
      </c>
    </row>
    <row r="13325" spans="1:2" x14ac:dyDescent="0.25">
      <c r="A13325" s="157">
        <v>41291</v>
      </c>
      <c r="B13325" s="158">
        <v>2.66</v>
      </c>
    </row>
    <row r="13326" spans="1:2" x14ac:dyDescent="0.25">
      <c r="A13326" s="157">
        <v>41292</v>
      </c>
      <c r="B13326" s="158">
        <v>2.63</v>
      </c>
    </row>
    <row r="13327" spans="1:2" x14ac:dyDescent="0.25">
      <c r="A13327" s="157">
        <v>41295</v>
      </c>
      <c r="B13327" s="158" t="e">
        <f>NA()</f>
        <v>#N/A</v>
      </c>
    </row>
    <row r="13328" spans="1:2" x14ac:dyDescent="0.25">
      <c r="A13328" s="157">
        <v>41296</v>
      </c>
      <c r="B13328" s="158">
        <v>2.62</v>
      </c>
    </row>
    <row r="13329" spans="1:2" x14ac:dyDescent="0.25">
      <c r="A13329" s="157">
        <v>41297</v>
      </c>
      <c r="B13329" s="158">
        <v>2.62</v>
      </c>
    </row>
    <row r="13330" spans="1:2" x14ac:dyDescent="0.25">
      <c r="A13330" s="157">
        <v>41298</v>
      </c>
      <c r="B13330" s="158">
        <v>2.64</v>
      </c>
    </row>
    <row r="13331" spans="1:2" x14ac:dyDescent="0.25">
      <c r="A13331" s="157">
        <v>41299</v>
      </c>
      <c r="B13331" s="158">
        <v>2.75</v>
      </c>
    </row>
    <row r="13332" spans="1:2" x14ac:dyDescent="0.25">
      <c r="A13332" s="157">
        <v>41302</v>
      </c>
      <c r="B13332" s="158">
        <v>2.76</v>
      </c>
    </row>
    <row r="13333" spans="1:2" x14ac:dyDescent="0.25">
      <c r="A13333" s="157">
        <v>41303</v>
      </c>
      <c r="B13333" s="158">
        <v>2.79</v>
      </c>
    </row>
    <row r="13334" spans="1:2" x14ac:dyDescent="0.25">
      <c r="A13334" s="157">
        <v>41304</v>
      </c>
      <c r="B13334" s="158">
        <v>2.8</v>
      </c>
    </row>
    <row r="13335" spans="1:2" x14ac:dyDescent="0.25">
      <c r="A13335" s="157">
        <v>41305</v>
      </c>
      <c r="B13335" s="158">
        <v>2.79</v>
      </c>
    </row>
    <row r="13336" spans="1:2" x14ac:dyDescent="0.25">
      <c r="A13336" s="157">
        <v>41306</v>
      </c>
      <c r="B13336" s="158">
        <v>2.83</v>
      </c>
    </row>
    <row r="13337" spans="1:2" x14ac:dyDescent="0.25">
      <c r="A13337" s="157">
        <v>41309</v>
      </c>
      <c r="B13337" s="158">
        <v>2.79</v>
      </c>
    </row>
    <row r="13338" spans="1:2" x14ac:dyDescent="0.25">
      <c r="A13338" s="157">
        <v>41310</v>
      </c>
      <c r="B13338" s="158">
        <v>2.83</v>
      </c>
    </row>
    <row r="13339" spans="1:2" x14ac:dyDescent="0.25">
      <c r="A13339" s="157">
        <v>41311</v>
      </c>
      <c r="B13339" s="158">
        <v>2.79</v>
      </c>
    </row>
    <row r="13340" spans="1:2" x14ac:dyDescent="0.25">
      <c r="A13340" s="157">
        <v>41312</v>
      </c>
      <c r="B13340" s="158">
        <v>2.78</v>
      </c>
    </row>
    <row r="13341" spans="1:2" x14ac:dyDescent="0.25">
      <c r="A13341" s="157">
        <v>41313</v>
      </c>
      <c r="B13341" s="158">
        <v>2.79</v>
      </c>
    </row>
    <row r="13342" spans="1:2" x14ac:dyDescent="0.25">
      <c r="A13342" s="157">
        <v>41316</v>
      </c>
      <c r="B13342" s="158">
        <v>2.78</v>
      </c>
    </row>
    <row r="13343" spans="1:2" x14ac:dyDescent="0.25">
      <c r="A13343" s="157">
        <v>41317</v>
      </c>
      <c r="B13343" s="158">
        <v>2.81</v>
      </c>
    </row>
    <row r="13344" spans="1:2" x14ac:dyDescent="0.25">
      <c r="A13344" s="157">
        <v>41318</v>
      </c>
      <c r="B13344" s="158">
        <v>2.86</v>
      </c>
    </row>
    <row r="13345" spans="1:2" x14ac:dyDescent="0.25">
      <c r="A13345" s="157">
        <v>41319</v>
      </c>
      <c r="B13345" s="158">
        <v>2.79</v>
      </c>
    </row>
    <row r="13346" spans="1:2" x14ac:dyDescent="0.25">
      <c r="A13346" s="157">
        <v>41320</v>
      </c>
      <c r="B13346" s="158">
        <v>2.8</v>
      </c>
    </row>
    <row r="13347" spans="1:2" x14ac:dyDescent="0.25">
      <c r="A13347" s="157">
        <v>41323</v>
      </c>
      <c r="B13347" s="158" t="e">
        <f>NA()</f>
        <v>#N/A</v>
      </c>
    </row>
    <row r="13348" spans="1:2" x14ac:dyDescent="0.25">
      <c r="A13348" s="157">
        <v>41324</v>
      </c>
      <c r="B13348" s="158">
        <v>2.83</v>
      </c>
    </row>
    <row r="13349" spans="1:2" x14ac:dyDescent="0.25">
      <c r="A13349" s="157">
        <v>41325</v>
      </c>
      <c r="B13349" s="158">
        <v>2.82</v>
      </c>
    </row>
    <row r="13350" spans="1:2" x14ac:dyDescent="0.25">
      <c r="A13350" s="157">
        <v>41326</v>
      </c>
      <c r="B13350" s="158">
        <v>2.79</v>
      </c>
    </row>
    <row r="13351" spans="1:2" x14ac:dyDescent="0.25">
      <c r="A13351" s="157">
        <v>41327</v>
      </c>
      <c r="B13351" s="158">
        <v>2.77</v>
      </c>
    </row>
    <row r="13352" spans="1:2" x14ac:dyDescent="0.25">
      <c r="A13352" s="157">
        <v>41330</v>
      </c>
      <c r="B13352" s="158">
        <v>2.69</v>
      </c>
    </row>
    <row r="13353" spans="1:2" x14ac:dyDescent="0.25">
      <c r="A13353" s="157">
        <v>41331</v>
      </c>
      <c r="B13353" s="158">
        <v>2.69</v>
      </c>
    </row>
    <row r="13354" spans="1:2" x14ac:dyDescent="0.25">
      <c r="A13354" s="157">
        <v>41332</v>
      </c>
      <c r="B13354" s="158">
        <v>2.72</v>
      </c>
    </row>
    <row r="13355" spans="1:2" x14ac:dyDescent="0.25">
      <c r="A13355" s="157">
        <v>41333</v>
      </c>
      <c r="B13355" s="158">
        <v>2.71</v>
      </c>
    </row>
    <row r="13356" spans="1:2" x14ac:dyDescent="0.25">
      <c r="A13356" s="157">
        <v>41334</v>
      </c>
      <c r="B13356" s="158">
        <v>2.68</v>
      </c>
    </row>
    <row r="13357" spans="1:2" x14ac:dyDescent="0.25">
      <c r="A13357" s="157">
        <v>41337</v>
      </c>
      <c r="B13357" s="158">
        <v>2.7</v>
      </c>
    </row>
    <row r="13358" spans="1:2" x14ac:dyDescent="0.25">
      <c r="A13358" s="157">
        <v>41338</v>
      </c>
      <c r="B13358" s="158">
        <v>2.72</v>
      </c>
    </row>
    <row r="13359" spans="1:2" x14ac:dyDescent="0.25">
      <c r="A13359" s="157">
        <v>41339</v>
      </c>
      <c r="B13359" s="158">
        <v>2.77</v>
      </c>
    </row>
    <row r="13360" spans="1:2" x14ac:dyDescent="0.25">
      <c r="A13360" s="157">
        <v>41340</v>
      </c>
      <c r="B13360" s="158">
        <v>2.82</v>
      </c>
    </row>
    <row r="13361" spans="1:2" x14ac:dyDescent="0.25">
      <c r="A13361" s="157">
        <v>41341</v>
      </c>
      <c r="B13361" s="158">
        <v>2.89</v>
      </c>
    </row>
    <row r="13362" spans="1:2" x14ac:dyDescent="0.25">
      <c r="A13362" s="157">
        <v>41344</v>
      </c>
      <c r="B13362" s="158">
        <v>2.89</v>
      </c>
    </row>
    <row r="13363" spans="1:2" x14ac:dyDescent="0.25">
      <c r="A13363" s="157">
        <v>41345</v>
      </c>
      <c r="B13363" s="158">
        <v>2.85</v>
      </c>
    </row>
    <row r="13364" spans="1:2" x14ac:dyDescent="0.25">
      <c r="A13364" s="157">
        <v>41346</v>
      </c>
      <c r="B13364" s="158">
        <v>2.85</v>
      </c>
    </row>
    <row r="13365" spans="1:2" x14ac:dyDescent="0.25">
      <c r="A13365" s="157">
        <v>41347</v>
      </c>
      <c r="B13365" s="158">
        <v>2.87</v>
      </c>
    </row>
    <row r="13366" spans="1:2" x14ac:dyDescent="0.25">
      <c r="A13366" s="157">
        <v>41348</v>
      </c>
      <c r="B13366" s="158">
        <v>2.85</v>
      </c>
    </row>
    <row r="13367" spans="1:2" x14ac:dyDescent="0.25">
      <c r="A13367" s="157">
        <v>41351</v>
      </c>
      <c r="B13367" s="158">
        <v>2.79</v>
      </c>
    </row>
    <row r="13368" spans="1:2" x14ac:dyDescent="0.25">
      <c r="A13368" s="157">
        <v>41352</v>
      </c>
      <c r="B13368" s="158">
        <v>2.75</v>
      </c>
    </row>
    <row r="13369" spans="1:2" x14ac:dyDescent="0.25">
      <c r="A13369" s="157">
        <v>41353</v>
      </c>
      <c r="B13369" s="158">
        <v>2.8</v>
      </c>
    </row>
    <row r="13370" spans="1:2" x14ac:dyDescent="0.25">
      <c r="A13370" s="157">
        <v>41354</v>
      </c>
      <c r="B13370" s="158">
        <v>2.77</v>
      </c>
    </row>
    <row r="13371" spans="1:2" x14ac:dyDescent="0.25">
      <c r="A13371" s="157">
        <v>41355</v>
      </c>
      <c r="B13371" s="158">
        <v>2.75</v>
      </c>
    </row>
    <row r="13372" spans="1:2" x14ac:dyDescent="0.25">
      <c r="A13372" s="157">
        <v>41358</v>
      </c>
      <c r="B13372" s="158">
        <v>2.76</v>
      </c>
    </row>
    <row r="13373" spans="1:2" x14ac:dyDescent="0.25">
      <c r="A13373" s="157">
        <v>41359</v>
      </c>
      <c r="B13373" s="158">
        <v>2.75</v>
      </c>
    </row>
    <row r="13374" spans="1:2" x14ac:dyDescent="0.25">
      <c r="A13374" s="157">
        <v>41360</v>
      </c>
      <c r="B13374" s="158">
        <v>2.71</v>
      </c>
    </row>
    <row r="13375" spans="1:2" x14ac:dyDescent="0.25">
      <c r="A13375" s="157">
        <v>41361</v>
      </c>
      <c r="B13375" s="158">
        <v>2.71</v>
      </c>
    </row>
    <row r="13376" spans="1:2" x14ac:dyDescent="0.25">
      <c r="A13376" s="157">
        <v>41362</v>
      </c>
      <c r="B13376" s="158" t="e">
        <f>NA()</f>
        <v>#N/A</v>
      </c>
    </row>
    <row r="13377" spans="1:2" x14ac:dyDescent="0.25">
      <c r="A13377" s="157">
        <v>41365</v>
      </c>
      <c r="B13377" s="158">
        <v>2.7</v>
      </c>
    </row>
    <row r="13378" spans="1:2" x14ac:dyDescent="0.25">
      <c r="A13378" s="157">
        <v>41366</v>
      </c>
      <c r="B13378" s="158">
        <v>2.72</v>
      </c>
    </row>
    <row r="13379" spans="1:2" x14ac:dyDescent="0.25">
      <c r="A13379" s="157">
        <v>41367</v>
      </c>
      <c r="B13379" s="158">
        <v>2.66</v>
      </c>
    </row>
    <row r="13380" spans="1:2" x14ac:dyDescent="0.25">
      <c r="A13380" s="157">
        <v>41368</v>
      </c>
      <c r="B13380" s="158">
        <v>2.6</v>
      </c>
    </row>
    <row r="13381" spans="1:2" x14ac:dyDescent="0.25">
      <c r="A13381" s="157">
        <v>41369</v>
      </c>
      <c r="B13381" s="158">
        <v>2.5</v>
      </c>
    </row>
    <row r="13382" spans="1:2" x14ac:dyDescent="0.25">
      <c r="A13382" s="157">
        <v>41372</v>
      </c>
      <c r="B13382" s="158">
        <v>2.54</v>
      </c>
    </row>
    <row r="13383" spans="1:2" x14ac:dyDescent="0.25">
      <c r="A13383" s="157">
        <v>41373</v>
      </c>
      <c r="B13383" s="158">
        <v>2.57</v>
      </c>
    </row>
    <row r="13384" spans="1:2" x14ac:dyDescent="0.25">
      <c r="A13384" s="157">
        <v>41374</v>
      </c>
      <c r="B13384" s="158">
        <v>2.63</v>
      </c>
    </row>
    <row r="13385" spans="1:2" x14ac:dyDescent="0.25">
      <c r="A13385" s="157">
        <v>41375</v>
      </c>
      <c r="B13385" s="158">
        <v>2.62</v>
      </c>
    </row>
    <row r="13386" spans="1:2" x14ac:dyDescent="0.25">
      <c r="A13386" s="157">
        <v>41376</v>
      </c>
      <c r="B13386" s="158">
        <v>2.54</v>
      </c>
    </row>
    <row r="13387" spans="1:2" x14ac:dyDescent="0.25">
      <c r="A13387" s="157">
        <v>41379</v>
      </c>
      <c r="B13387" s="158">
        <v>2.5</v>
      </c>
    </row>
    <row r="13388" spans="1:2" x14ac:dyDescent="0.25">
      <c r="A13388" s="157">
        <v>41380</v>
      </c>
      <c r="B13388" s="158">
        <v>2.5299999999999998</v>
      </c>
    </row>
    <row r="13389" spans="1:2" x14ac:dyDescent="0.25">
      <c r="A13389" s="157">
        <v>41381</v>
      </c>
      <c r="B13389" s="158">
        <v>2.5099999999999998</v>
      </c>
    </row>
    <row r="13390" spans="1:2" x14ac:dyDescent="0.25">
      <c r="A13390" s="157">
        <v>41382</v>
      </c>
      <c r="B13390" s="158">
        <v>2.4900000000000002</v>
      </c>
    </row>
    <row r="13391" spans="1:2" x14ac:dyDescent="0.25">
      <c r="A13391" s="157">
        <v>41383</v>
      </c>
      <c r="B13391" s="158">
        <v>2.5</v>
      </c>
    </row>
    <row r="13392" spans="1:2" x14ac:dyDescent="0.25">
      <c r="A13392" s="157">
        <v>41386</v>
      </c>
      <c r="B13392" s="158">
        <v>2.5</v>
      </c>
    </row>
    <row r="13393" spans="1:2" x14ac:dyDescent="0.25">
      <c r="A13393" s="157">
        <v>41387</v>
      </c>
      <c r="B13393" s="158">
        <v>2.52</v>
      </c>
    </row>
    <row r="13394" spans="1:2" x14ac:dyDescent="0.25">
      <c r="A13394" s="157">
        <v>41388</v>
      </c>
      <c r="B13394" s="158">
        <v>2.5</v>
      </c>
    </row>
    <row r="13395" spans="1:2" x14ac:dyDescent="0.25">
      <c r="A13395" s="157">
        <v>41389</v>
      </c>
      <c r="B13395" s="158">
        <v>2.52</v>
      </c>
    </row>
    <row r="13396" spans="1:2" x14ac:dyDescent="0.25">
      <c r="A13396" s="157">
        <v>41390</v>
      </c>
      <c r="B13396" s="158">
        <v>2.4700000000000002</v>
      </c>
    </row>
    <row r="13397" spans="1:2" x14ac:dyDescent="0.25">
      <c r="A13397" s="157">
        <v>41393</v>
      </c>
      <c r="B13397" s="158">
        <v>2.4900000000000002</v>
      </c>
    </row>
    <row r="13398" spans="1:2" x14ac:dyDescent="0.25">
      <c r="A13398" s="157">
        <v>41394</v>
      </c>
      <c r="B13398" s="158">
        <v>2.4900000000000002</v>
      </c>
    </row>
    <row r="13399" spans="1:2" x14ac:dyDescent="0.25">
      <c r="A13399" s="157">
        <v>41395</v>
      </c>
      <c r="B13399" s="158">
        <v>2.44</v>
      </c>
    </row>
    <row r="13400" spans="1:2" x14ac:dyDescent="0.25">
      <c r="A13400" s="157">
        <v>41396</v>
      </c>
      <c r="B13400" s="158">
        <v>2.44</v>
      </c>
    </row>
    <row r="13401" spans="1:2" x14ac:dyDescent="0.25">
      <c r="A13401" s="157">
        <v>41397</v>
      </c>
      <c r="B13401" s="158">
        <v>2.58</v>
      </c>
    </row>
    <row r="13402" spans="1:2" x14ac:dyDescent="0.25">
      <c r="A13402" s="157">
        <v>41400</v>
      </c>
      <c r="B13402" s="158">
        <v>2.6</v>
      </c>
    </row>
    <row r="13403" spans="1:2" x14ac:dyDescent="0.25">
      <c r="A13403" s="157">
        <v>41401</v>
      </c>
      <c r="B13403" s="158">
        <v>2.62</v>
      </c>
    </row>
    <row r="13404" spans="1:2" x14ac:dyDescent="0.25">
      <c r="A13404" s="157">
        <v>41402</v>
      </c>
      <c r="B13404" s="158">
        <v>2.61</v>
      </c>
    </row>
    <row r="13405" spans="1:2" x14ac:dyDescent="0.25">
      <c r="A13405" s="157">
        <v>41403</v>
      </c>
      <c r="B13405" s="158">
        <v>2.6</v>
      </c>
    </row>
    <row r="13406" spans="1:2" x14ac:dyDescent="0.25">
      <c r="A13406" s="157">
        <v>41404</v>
      </c>
      <c r="B13406" s="158">
        <v>2.7</v>
      </c>
    </row>
    <row r="13407" spans="1:2" x14ac:dyDescent="0.25">
      <c r="A13407" s="157">
        <v>41407</v>
      </c>
      <c r="B13407" s="158">
        <v>2.73</v>
      </c>
    </row>
    <row r="13408" spans="1:2" x14ac:dyDescent="0.25">
      <c r="A13408" s="157">
        <v>41408</v>
      </c>
      <c r="B13408" s="158">
        <v>2.77</v>
      </c>
    </row>
    <row r="13409" spans="1:2" x14ac:dyDescent="0.25">
      <c r="A13409" s="157">
        <v>41409</v>
      </c>
      <c r="B13409" s="158">
        <v>2.76</v>
      </c>
    </row>
    <row r="13410" spans="1:2" x14ac:dyDescent="0.25">
      <c r="A13410" s="157">
        <v>41410</v>
      </c>
      <c r="B13410" s="158">
        <v>2.69</v>
      </c>
    </row>
    <row r="13411" spans="1:2" x14ac:dyDescent="0.25">
      <c r="A13411" s="157">
        <v>41411</v>
      </c>
      <c r="B13411" s="158">
        <v>2.77</v>
      </c>
    </row>
    <row r="13412" spans="1:2" x14ac:dyDescent="0.25">
      <c r="A13412" s="157">
        <v>41414</v>
      </c>
      <c r="B13412" s="158">
        <v>2.79</v>
      </c>
    </row>
    <row r="13413" spans="1:2" x14ac:dyDescent="0.25">
      <c r="A13413" s="157">
        <v>41415</v>
      </c>
      <c r="B13413" s="158">
        <v>2.75</v>
      </c>
    </row>
    <row r="13414" spans="1:2" x14ac:dyDescent="0.25">
      <c r="A13414" s="157">
        <v>41416</v>
      </c>
      <c r="B13414" s="158">
        <v>2.83</v>
      </c>
    </row>
    <row r="13415" spans="1:2" x14ac:dyDescent="0.25">
      <c r="A13415" s="157">
        <v>41417</v>
      </c>
      <c r="B13415" s="158">
        <v>2.82</v>
      </c>
    </row>
    <row r="13416" spans="1:2" x14ac:dyDescent="0.25">
      <c r="A13416" s="157">
        <v>41418</v>
      </c>
      <c r="B13416" s="158">
        <v>2.8</v>
      </c>
    </row>
    <row r="13417" spans="1:2" x14ac:dyDescent="0.25">
      <c r="A13417" s="157">
        <v>41421</v>
      </c>
      <c r="B13417" s="158" t="e">
        <f>NA()</f>
        <v>#N/A</v>
      </c>
    </row>
    <row r="13418" spans="1:2" x14ac:dyDescent="0.25">
      <c r="A13418" s="157">
        <v>41422</v>
      </c>
      <c r="B13418" s="158">
        <v>2.95</v>
      </c>
    </row>
    <row r="13419" spans="1:2" x14ac:dyDescent="0.25">
      <c r="A13419" s="157">
        <v>41423</v>
      </c>
      <c r="B13419" s="158">
        <v>2.91</v>
      </c>
    </row>
    <row r="13420" spans="1:2" x14ac:dyDescent="0.25">
      <c r="A13420" s="157">
        <v>41424</v>
      </c>
      <c r="B13420" s="158">
        <v>2.92</v>
      </c>
    </row>
    <row r="13421" spans="1:2" x14ac:dyDescent="0.25">
      <c r="A13421" s="157">
        <v>41425</v>
      </c>
      <c r="B13421" s="158">
        <v>2.95</v>
      </c>
    </row>
    <row r="13422" spans="1:2" x14ac:dyDescent="0.25">
      <c r="A13422" s="157">
        <v>41428</v>
      </c>
      <c r="B13422" s="158">
        <v>2.92</v>
      </c>
    </row>
    <row r="13423" spans="1:2" x14ac:dyDescent="0.25">
      <c r="A13423" s="157">
        <v>41429</v>
      </c>
      <c r="B13423" s="158">
        <v>2.95</v>
      </c>
    </row>
    <row r="13424" spans="1:2" x14ac:dyDescent="0.25">
      <c r="A13424" s="157">
        <v>41430</v>
      </c>
      <c r="B13424" s="158">
        <v>2.9</v>
      </c>
    </row>
    <row r="13425" spans="1:2" x14ac:dyDescent="0.25">
      <c r="A13425" s="157">
        <v>41431</v>
      </c>
      <c r="B13425" s="158">
        <v>2.89</v>
      </c>
    </row>
    <row r="13426" spans="1:2" x14ac:dyDescent="0.25">
      <c r="A13426" s="157">
        <v>41432</v>
      </c>
      <c r="B13426" s="158">
        <v>2.98</v>
      </c>
    </row>
    <row r="13427" spans="1:2" x14ac:dyDescent="0.25">
      <c r="A13427" s="157">
        <v>41435</v>
      </c>
      <c r="B13427" s="158">
        <v>3.03</v>
      </c>
    </row>
    <row r="13428" spans="1:2" x14ac:dyDescent="0.25">
      <c r="A13428" s="157">
        <v>41436</v>
      </c>
      <c r="B13428" s="158">
        <v>3</v>
      </c>
    </row>
    <row r="13429" spans="1:2" x14ac:dyDescent="0.25">
      <c r="A13429" s="157">
        <v>41437</v>
      </c>
      <c r="B13429" s="158">
        <v>3.04</v>
      </c>
    </row>
    <row r="13430" spans="1:2" x14ac:dyDescent="0.25">
      <c r="A13430" s="157">
        <v>41438</v>
      </c>
      <c r="B13430" s="158">
        <v>2.99</v>
      </c>
    </row>
    <row r="13431" spans="1:2" x14ac:dyDescent="0.25">
      <c r="A13431" s="157">
        <v>41439</v>
      </c>
      <c r="B13431" s="158">
        <v>2.95</v>
      </c>
    </row>
    <row r="13432" spans="1:2" x14ac:dyDescent="0.25">
      <c r="A13432" s="157">
        <v>41442</v>
      </c>
      <c r="B13432" s="158">
        <v>3.01</v>
      </c>
    </row>
    <row r="13433" spans="1:2" x14ac:dyDescent="0.25">
      <c r="A13433" s="157">
        <v>41443</v>
      </c>
      <c r="B13433" s="158">
        <v>3</v>
      </c>
    </row>
    <row r="13434" spans="1:2" x14ac:dyDescent="0.25">
      <c r="A13434" s="157">
        <v>41444</v>
      </c>
      <c r="B13434" s="158">
        <v>3.09</v>
      </c>
    </row>
    <row r="13435" spans="1:2" x14ac:dyDescent="0.25">
      <c r="A13435" s="157">
        <v>41445</v>
      </c>
      <c r="B13435" s="158">
        <v>3.18</v>
      </c>
    </row>
    <row r="13436" spans="1:2" x14ac:dyDescent="0.25">
      <c r="A13436" s="157">
        <v>41446</v>
      </c>
      <c r="B13436" s="158">
        <v>3.26</v>
      </c>
    </row>
    <row r="13437" spans="1:2" x14ac:dyDescent="0.25">
      <c r="A13437" s="157">
        <v>41449</v>
      </c>
      <c r="B13437" s="158">
        <v>3.27</v>
      </c>
    </row>
    <row r="13438" spans="1:2" x14ac:dyDescent="0.25">
      <c r="A13438" s="157">
        <v>41450</v>
      </c>
      <c r="B13438" s="158">
        <v>3.31</v>
      </c>
    </row>
    <row r="13439" spans="1:2" x14ac:dyDescent="0.25">
      <c r="A13439" s="157">
        <v>41451</v>
      </c>
      <c r="B13439" s="158">
        <v>3.27</v>
      </c>
    </row>
    <row r="13440" spans="1:2" x14ac:dyDescent="0.25">
      <c r="A13440" s="157">
        <v>41452</v>
      </c>
      <c r="B13440" s="158">
        <v>3.22</v>
      </c>
    </row>
    <row r="13441" spans="1:2" x14ac:dyDescent="0.25">
      <c r="A13441" s="157">
        <v>41453</v>
      </c>
      <c r="B13441" s="158">
        <v>3.22</v>
      </c>
    </row>
    <row r="13442" spans="1:2" x14ac:dyDescent="0.25">
      <c r="A13442" s="157">
        <v>41456</v>
      </c>
      <c r="B13442" s="158">
        <v>3.19</v>
      </c>
    </row>
    <row r="13443" spans="1:2" x14ac:dyDescent="0.25">
      <c r="A13443" s="157">
        <v>41457</v>
      </c>
      <c r="B13443" s="158">
        <v>3.18</v>
      </c>
    </row>
    <row r="13444" spans="1:2" x14ac:dyDescent="0.25">
      <c r="A13444" s="157">
        <v>41458</v>
      </c>
      <c r="B13444" s="158">
        <v>3.22</v>
      </c>
    </row>
    <row r="13445" spans="1:2" x14ac:dyDescent="0.25">
      <c r="A13445" s="157">
        <v>41459</v>
      </c>
      <c r="B13445" s="158" t="e">
        <f>NA()</f>
        <v>#N/A</v>
      </c>
    </row>
    <row r="13446" spans="1:2" x14ac:dyDescent="0.25">
      <c r="A13446" s="157">
        <v>41460</v>
      </c>
      <c r="B13446" s="158">
        <v>3.41</v>
      </c>
    </row>
    <row r="13447" spans="1:2" x14ac:dyDescent="0.25">
      <c r="A13447" s="157">
        <v>41463</v>
      </c>
      <c r="B13447" s="158">
        <v>3.35</v>
      </c>
    </row>
    <row r="13448" spans="1:2" x14ac:dyDescent="0.25">
      <c r="A13448" s="157">
        <v>41464</v>
      </c>
      <c r="B13448" s="158">
        <v>3.36</v>
      </c>
    </row>
    <row r="13449" spans="1:2" x14ac:dyDescent="0.25">
      <c r="A13449" s="157">
        <v>41465</v>
      </c>
      <c r="B13449" s="158">
        <v>3.4</v>
      </c>
    </row>
    <row r="13450" spans="1:2" x14ac:dyDescent="0.25">
      <c r="A13450" s="157">
        <v>41466</v>
      </c>
      <c r="B13450" s="158">
        <v>3.33</v>
      </c>
    </row>
    <row r="13451" spans="1:2" x14ac:dyDescent="0.25">
      <c r="A13451" s="157">
        <v>41467</v>
      </c>
      <c r="B13451" s="158">
        <v>3.34</v>
      </c>
    </row>
    <row r="13452" spans="1:2" x14ac:dyDescent="0.25">
      <c r="A13452" s="157">
        <v>41470</v>
      </c>
      <c r="B13452" s="158">
        <v>3.3</v>
      </c>
    </row>
    <row r="13453" spans="1:2" x14ac:dyDescent="0.25">
      <c r="A13453" s="157">
        <v>41471</v>
      </c>
      <c r="B13453" s="158">
        <v>3.28</v>
      </c>
    </row>
    <row r="13454" spans="1:2" x14ac:dyDescent="0.25">
      <c r="A13454" s="157">
        <v>41472</v>
      </c>
      <c r="B13454" s="158">
        <v>3.27</v>
      </c>
    </row>
    <row r="13455" spans="1:2" x14ac:dyDescent="0.25">
      <c r="A13455" s="157">
        <v>41473</v>
      </c>
      <c r="B13455" s="158">
        <v>3.32</v>
      </c>
    </row>
    <row r="13456" spans="1:2" x14ac:dyDescent="0.25">
      <c r="A13456" s="157">
        <v>41474</v>
      </c>
      <c r="B13456" s="158">
        <v>3.25</v>
      </c>
    </row>
    <row r="13457" spans="1:2" x14ac:dyDescent="0.25">
      <c r="A13457" s="157">
        <v>41477</v>
      </c>
      <c r="B13457" s="158">
        <v>3.25</v>
      </c>
    </row>
    <row r="13458" spans="1:2" x14ac:dyDescent="0.25">
      <c r="A13458" s="157">
        <v>41478</v>
      </c>
      <c r="B13458" s="158">
        <v>3.27</v>
      </c>
    </row>
    <row r="13459" spans="1:2" x14ac:dyDescent="0.25">
      <c r="A13459" s="157">
        <v>41479</v>
      </c>
      <c r="B13459" s="158">
        <v>3.34</v>
      </c>
    </row>
    <row r="13460" spans="1:2" x14ac:dyDescent="0.25">
      <c r="A13460" s="157">
        <v>41480</v>
      </c>
      <c r="B13460" s="158">
        <v>3.34</v>
      </c>
    </row>
    <row r="13461" spans="1:2" x14ac:dyDescent="0.25">
      <c r="A13461" s="157">
        <v>41481</v>
      </c>
      <c r="B13461" s="158">
        <v>3.31</v>
      </c>
    </row>
    <row r="13462" spans="1:2" x14ac:dyDescent="0.25">
      <c r="A13462" s="157">
        <v>41484</v>
      </c>
      <c r="B13462" s="158">
        <v>3.35</v>
      </c>
    </row>
    <row r="13463" spans="1:2" x14ac:dyDescent="0.25">
      <c r="A13463" s="157">
        <v>41485</v>
      </c>
      <c r="B13463" s="158">
        <v>3.36</v>
      </c>
    </row>
    <row r="13464" spans="1:2" x14ac:dyDescent="0.25">
      <c r="A13464" s="157">
        <v>41486</v>
      </c>
      <c r="B13464" s="158">
        <v>3.34</v>
      </c>
    </row>
    <row r="13465" spans="1:2" x14ac:dyDescent="0.25">
      <c r="A13465" s="157">
        <v>41487</v>
      </c>
      <c r="B13465" s="158">
        <v>3.48</v>
      </c>
    </row>
    <row r="13466" spans="1:2" x14ac:dyDescent="0.25">
      <c r="A13466" s="157">
        <v>41488</v>
      </c>
      <c r="B13466" s="158">
        <v>3.39</v>
      </c>
    </row>
    <row r="13467" spans="1:2" x14ac:dyDescent="0.25">
      <c r="A13467" s="157">
        <v>41491</v>
      </c>
      <c r="B13467" s="158">
        <v>3.42</v>
      </c>
    </row>
    <row r="13468" spans="1:2" x14ac:dyDescent="0.25">
      <c r="A13468" s="157">
        <v>41492</v>
      </c>
      <c r="B13468" s="158">
        <v>3.42</v>
      </c>
    </row>
    <row r="13469" spans="1:2" x14ac:dyDescent="0.25">
      <c r="A13469" s="157">
        <v>41493</v>
      </c>
      <c r="B13469" s="158">
        <v>3.37</v>
      </c>
    </row>
    <row r="13470" spans="1:2" x14ac:dyDescent="0.25">
      <c r="A13470" s="157">
        <v>41494</v>
      </c>
      <c r="B13470" s="158">
        <v>3.37</v>
      </c>
    </row>
    <row r="13471" spans="1:2" x14ac:dyDescent="0.25">
      <c r="A13471" s="157">
        <v>41495</v>
      </c>
      <c r="B13471" s="158">
        <v>3.36</v>
      </c>
    </row>
    <row r="13472" spans="1:2" x14ac:dyDescent="0.25">
      <c r="A13472" s="157">
        <v>41498</v>
      </c>
      <c r="B13472" s="158">
        <v>3.39</v>
      </c>
    </row>
    <row r="13473" spans="1:2" x14ac:dyDescent="0.25">
      <c r="A13473" s="157">
        <v>41499</v>
      </c>
      <c r="B13473" s="158">
        <v>3.48</v>
      </c>
    </row>
    <row r="13474" spans="1:2" x14ac:dyDescent="0.25">
      <c r="A13474" s="157">
        <v>41500</v>
      </c>
      <c r="B13474" s="158">
        <v>3.48</v>
      </c>
    </row>
    <row r="13475" spans="1:2" x14ac:dyDescent="0.25">
      <c r="A13475" s="157">
        <v>41501</v>
      </c>
      <c r="B13475" s="158">
        <v>3.54</v>
      </c>
    </row>
    <row r="13476" spans="1:2" x14ac:dyDescent="0.25">
      <c r="A13476" s="157">
        <v>41502</v>
      </c>
      <c r="B13476" s="158">
        <v>3.61</v>
      </c>
    </row>
    <row r="13477" spans="1:2" x14ac:dyDescent="0.25">
      <c r="A13477" s="157">
        <v>41505</v>
      </c>
      <c r="B13477" s="158">
        <v>3.64</v>
      </c>
    </row>
    <row r="13478" spans="1:2" x14ac:dyDescent="0.25">
      <c r="A13478" s="157">
        <v>41506</v>
      </c>
      <c r="B13478" s="158">
        <v>3.59</v>
      </c>
    </row>
    <row r="13479" spans="1:2" x14ac:dyDescent="0.25">
      <c r="A13479" s="157">
        <v>41507</v>
      </c>
      <c r="B13479" s="158">
        <v>3.64</v>
      </c>
    </row>
    <row r="13480" spans="1:2" x14ac:dyDescent="0.25">
      <c r="A13480" s="157">
        <v>41508</v>
      </c>
      <c r="B13480" s="158">
        <v>3.63</v>
      </c>
    </row>
    <row r="13481" spans="1:2" x14ac:dyDescent="0.25">
      <c r="A13481" s="157">
        <v>41509</v>
      </c>
      <c r="B13481" s="158">
        <v>3.55</v>
      </c>
    </row>
    <row r="13482" spans="1:2" x14ac:dyDescent="0.25">
      <c r="A13482" s="157">
        <v>41512</v>
      </c>
      <c r="B13482" s="158">
        <v>3.52</v>
      </c>
    </row>
    <row r="13483" spans="1:2" x14ac:dyDescent="0.25">
      <c r="A13483" s="157">
        <v>41513</v>
      </c>
      <c r="B13483" s="158">
        <v>3.45</v>
      </c>
    </row>
    <row r="13484" spans="1:2" x14ac:dyDescent="0.25">
      <c r="A13484" s="157">
        <v>41514</v>
      </c>
      <c r="B13484" s="158">
        <v>3.5</v>
      </c>
    </row>
    <row r="13485" spans="1:2" x14ac:dyDescent="0.25">
      <c r="A13485" s="157">
        <v>41515</v>
      </c>
      <c r="B13485" s="158">
        <v>3.45</v>
      </c>
    </row>
    <row r="13486" spans="1:2" x14ac:dyDescent="0.25">
      <c r="A13486" s="157">
        <v>41516</v>
      </c>
      <c r="B13486" s="158">
        <v>3.46</v>
      </c>
    </row>
    <row r="13487" spans="1:2" x14ac:dyDescent="0.25">
      <c r="A13487" s="157">
        <v>41519</v>
      </c>
      <c r="B13487" s="158" t="e">
        <f>NA()</f>
        <v>#N/A</v>
      </c>
    </row>
    <row r="13488" spans="1:2" x14ac:dyDescent="0.25">
      <c r="A13488" s="157">
        <v>41520</v>
      </c>
      <c r="B13488" s="158">
        <v>3.54</v>
      </c>
    </row>
    <row r="13489" spans="1:2" x14ac:dyDescent="0.25">
      <c r="A13489" s="157">
        <v>41521</v>
      </c>
      <c r="B13489" s="158">
        <v>3.56</v>
      </c>
    </row>
    <row r="13490" spans="1:2" x14ac:dyDescent="0.25">
      <c r="A13490" s="157">
        <v>41522</v>
      </c>
      <c r="B13490" s="158">
        <v>3.64</v>
      </c>
    </row>
    <row r="13491" spans="1:2" x14ac:dyDescent="0.25">
      <c r="A13491" s="157">
        <v>41523</v>
      </c>
      <c r="B13491" s="158">
        <v>3.62</v>
      </c>
    </row>
    <row r="13492" spans="1:2" x14ac:dyDescent="0.25">
      <c r="A13492" s="157">
        <v>41526</v>
      </c>
      <c r="B13492" s="158">
        <v>3.6</v>
      </c>
    </row>
    <row r="13493" spans="1:2" x14ac:dyDescent="0.25">
      <c r="A13493" s="157">
        <v>41527</v>
      </c>
      <c r="B13493" s="158">
        <v>3.65</v>
      </c>
    </row>
    <row r="13494" spans="1:2" x14ac:dyDescent="0.25">
      <c r="A13494" s="157">
        <v>41528</v>
      </c>
      <c r="B13494" s="158">
        <v>3.61</v>
      </c>
    </row>
    <row r="13495" spans="1:2" x14ac:dyDescent="0.25">
      <c r="A13495" s="157">
        <v>41529</v>
      </c>
      <c r="B13495" s="158">
        <v>3.6</v>
      </c>
    </row>
    <row r="13496" spans="1:2" x14ac:dyDescent="0.25">
      <c r="A13496" s="157">
        <v>41530</v>
      </c>
      <c r="B13496" s="158">
        <v>3.59</v>
      </c>
    </row>
    <row r="13497" spans="1:2" x14ac:dyDescent="0.25">
      <c r="A13497" s="157">
        <v>41533</v>
      </c>
      <c r="B13497" s="158">
        <v>3.61</v>
      </c>
    </row>
    <row r="13498" spans="1:2" x14ac:dyDescent="0.25">
      <c r="A13498" s="157">
        <v>41534</v>
      </c>
      <c r="B13498" s="158">
        <v>3.57</v>
      </c>
    </row>
    <row r="13499" spans="1:2" x14ac:dyDescent="0.25">
      <c r="A13499" s="157">
        <v>41535</v>
      </c>
      <c r="B13499" s="158">
        <v>3.46</v>
      </c>
    </row>
    <row r="13500" spans="1:2" x14ac:dyDescent="0.25">
      <c r="A13500" s="157">
        <v>41536</v>
      </c>
      <c r="B13500" s="158">
        <v>3.52</v>
      </c>
    </row>
    <row r="13501" spans="1:2" x14ac:dyDescent="0.25">
      <c r="A13501" s="157">
        <v>41537</v>
      </c>
      <c r="B13501" s="158">
        <v>3.5</v>
      </c>
    </row>
    <row r="13502" spans="1:2" x14ac:dyDescent="0.25">
      <c r="A13502" s="157">
        <v>41540</v>
      </c>
      <c r="B13502" s="158">
        <v>3.46</v>
      </c>
    </row>
    <row r="13503" spans="1:2" x14ac:dyDescent="0.25">
      <c r="A13503" s="157">
        <v>41541</v>
      </c>
      <c r="B13503" s="158">
        <v>3.4</v>
      </c>
    </row>
    <row r="13504" spans="1:2" x14ac:dyDescent="0.25">
      <c r="A13504" s="157">
        <v>41542</v>
      </c>
      <c r="B13504" s="158">
        <v>3.37</v>
      </c>
    </row>
    <row r="13505" spans="1:2" x14ac:dyDescent="0.25">
      <c r="A13505" s="157">
        <v>41543</v>
      </c>
      <c r="B13505" s="158">
        <v>3.41</v>
      </c>
    </row>
    <row r="13506" spans="1:2" x14ac:dyDescent="0.25">
      <c r="A13506" s="157">
        <v>41544</v>
      </c>
      <c r="B13506" s="158">
        <v>3.4</v>
      </c>
    </row>
    <row r="13507" spans="1:2" x14ac:dyDescent="0.25">
      <c r="A13507" s="157">
        <v>41547</v>
      </c>
      <c r="B13507" s="158">
        <v>3.41</v>
      </c>
    </row>
    <row r="13508" spans="1:2" x14ac:dyDescent="0.25">
      <c r="A13508" s="157">
        <v>41548</v>
      </c>
      <c r="B13508" s="158">
        <v>3.43</v>
      </c>
    </row>
    <row r="13509" spans="1:2" x14ac:dyDescent="0.25">
      <c r="A13509" s="157">
        <v>41549</v>
      </c>
      <c r="B13509" s="158">
        <v>3.41</v>
      </c>
    </row>
    <row r="13510" spans="1:2" x14ac:dyDescent="0.25">
      <c r="A13510" s="157">
        <v>41550</v>
      </c>
      <c r="B13510" s="158">
        <v>3.4</v>
      </c>
    </row>
    <row r="13511" spans="1:2" x14ac:dyDescent="0.25">
      <c r="A13511" s="157">
        <v>41551</v>
      </c>
      <c r="B13511" s="158">
        <v>3.43</v>
      </c>
    </row>
    <row r="13512" spans="1:2" x14ac:dyDescent="0.25">
      <c r="A13512" s="157">
        <v>41554</v>
      </c>
      <c r="B13512" s="158">
        <v>3.41</v>
      </c>
    </row>
    <row r="13513" spans="1:2" x14ac:dyDescent="0.25">
      <c r="A13513" s="157">
        <v>41555</v>
      </c>
      <c r="B13513" s="158">
        <v>3.41</v>
      </c>
    </row>
    <row r="13514" spans="1:2" x14ac:dyDescent="0.25">
      <c r="A13514" s="157">
        <v>41556</v>
      </c>
      <c r="B13514" s="158">
        <v>3.43</v>
      </c>
    </row>
    <row r="13515" spans="1:2" x14ac:dyDescent="0.25">
      <c r="A13515" s="157">
        <v>41557</v>
      </c>
      <c r="B13515" s="158">
        <v>3.46</v>
      </c>
    </row>
    <row r="13516" spans="1:2" x14ac:dyDescent="0.25">
      <c r="A13516" s="157">
        <v>41558</v>
      </c>
      <c r="B13516" s="158">
        <v>3.45</v>
      </c>
    </row>
    <row r="13517" spans="1:2" x14ac:dyDescent="0.25">
      <c r="A13517" s="157">
        <v>41561</v>
      </c>
      <c r="B13517" s="158" t="e">
        <f>NA()</f>
        <v>#N/A</v>
      </c>
    </row>
    <row r="13518" spans="1:2" x14ac:dyDescent="0.25">
      <c r="A13518" s="157">
        <v>41562</v>
      </c>
      <c r="B13518" s="158">
        <v>3.5</v>
      </c>
    </row>
    <row r="13519" spans="1:2" x14ac:dyDescent="0.25">
      <c r="A13519" s="157">
        <v>41563</v>
      </c>
      <c r="B13519" s="158">
        <v>3.43</v>
      </c>
    </row>
    <row r="13520" spans="1:2" x14ac:dyDescent="0.25">
      <c r="A13520" s="157">
        <v>41564</v>
      </c>
      <c r="B13520" s="158">
        <v>3.36</v>
      </c>
    </row>
    <row r="13521" spans="1:2" x14ac:dyDescent="0.25">
      <c r="A13521" s="157">
        <v>41565</v>
      </c>
      <c r="B13521" s="158">
        <v>3.36</v>
      </c>
    </row>
    <row r="13522" spans="1:2" x14ac:dyDescent="0.25">
      <c r="A13522" s="157">
        <v>41568</v>
      </c>
      <c r="B13522" s="158">
        <v>3.39</v>
      </c>
    </row>
    <row r="13523" spans="1:2" x14ac:dyDescent="0.25">
      <c r="A13523" s="157">
        <v>41569</v>
      </c>
      <c r="B13523" s="158">
        <v>3.31</v>
      </c>
    </row>
    <row r="13524" spans="1:2" x14ac:dyDescent="0.25">
      <c r="A13524" s="157">
        <v>41570</v>
      </c>
      <c r="B13524" s="158">
        <v>3.29</v>
      </c>
    </row>
    <row r="13525" spans="1:2" x14ac:dyDescent="0.25">
      <c r="A13525" s="157">
        <v>41571</v>
      </c>
      <c r="B13525" s="158">
        <v>3.3</v>
      </c>
    </row>
    <row r="13526" spans="1:2" x14ac:dyDescent="0.25">
      <c r="A13526" s="157">
        <v>41572</v>
      </c>
      <c r="B13526" s="158">
        <v>3.3</v>
      </c>
    </row>
    <row r="13527" spans="1:2" x14ac:dyDescent="0.25">
      <c r="A13527" s="157">
        <v>41575</v>
      </c>
      <c r="B13527" s="158">
        <v>3.31</v>
      </c>
    </row>
    <row r="13528" spans="1:2" x14ac:dyDescent="0.25">
      <c r="A13528" s="157">
        <v>41576</v>
      </c>
      <c r="B13528" s="158">
        <v>3.31</v>
      </c>
    </row>
    <row r="13529" spans="1:2" x14ac:dyDescent="0.25">
      <c r="A13529" s="157">
        <v>41577</v>
      </c>
      <c r="B13529" s="158">
        <v>3.33</v>
      </c>
    </row>
    <row r="13530" spans="1:2" x14ac:dyDescent="0.25">
      <c r="A13530" s="157">
        <v>41578</v>
      </c>
      <c r="B13530" s="158">
        <v>3.33</v>
      </c>
    </row>
    <row r="13531" spans="1:2" x14ac:dyDescent="0.25">
      <c r="A13531" s="157">
        <v>41579</v>
      </c>
      <c r="B13531" s="158">
        <v>3.4</v>
      </c>
    </row>
    <row r="13532" spans="1:2" x14ac:dyDescent="0.25">
      <c r="A13532" s="157">
        <v>41582</v>
      </c>
      <c r="B13532" s="158">
        <v>3.4</v>
      </c>
    </row>
    <row r="13533" spans="1:2" x14ac:dyDescent="0.25">
      <c r="A13533" s="157">
        <v>41583</v>
      </c>
      <c r="B13533" s="158">
        <v>3.46</v>
      </c>
    </row>
    <row r="13534" spans="1:2" x14ac:dyDescent="0.25">
      <c r="A13534" s="157">
        <v>41584</v>
      </c>
      <c r="B13534" s="158">
        <v>3.46</v>
      </c>
    </row>
    <row r="13535" spans="1:2" x14ac:dyDescent="0.25">
      <c r="A13535" s="157">
        <v>41585</v>
      </c>
      <c r="B13535" s="158">
        <v>3.41</v>
      </c>
    </row>
    <row r="13536" spans="1:2" x14ac:dyDescent="0.25">
      <c r="A13536" s="157">
        <v>41586</v>
      </c>
      <c r="B13536" s="158">
        <v>3.55</v>
      </c>
    </row>
    <row r="13537" spans="1:2" x14ac:dyDescent="0.25">
      <c r="A13537" s="157">
        <v>41589</v>
      </c>
      <c r="B13537" s="158" t="e">
        <f>NA()</f>
        <v>#N/A</v>
      </c>
    </row>
    <row r="13538" spans="1:2" x14ac:dyDescent="0.25">
      <c r="A13538" s="157">
        <v>41590</v>
      </c>
      <c r="B13538" s="158">
        <v>3.57</v>
      </c>
    </row>
    <row r="13539" spans="1:2" x14ac:dyDescent="0.25">
      <c r="A13539" s="157">
        <v>41591</v>
      </c>
      <c r="B13539" s="158">
        <v>3.54</v>
      </c>
    </row>
    <row r="13540" spans="1:2" x14ac:dyDescent="0.25">
      <c r="A13540" s="157">
        <v>41592</v>
      </c>
      <c r="B13540" s="158">
        <v>3.49</v>
      </c>
    </row>
    <row r="13541" spans="1:2" x14ac:dyDescent="0.25">
      <c r="A13541" s="157">
        <v>41593</v>
      </c>
      <c r="B13541" s="158">
        <v>3.5</v>
      </c>
    </row>
    <row r="13542" spans="1:2" x14ac:dyDescent="0.25">
      <c r="A13542" s="157">
        <v>41596</v>
      </c>
      <c r="B13542" s="158">
        <v>3.46</v>
      </c>
    </row>
    <row r="13543" spans="1:2" x14ac:dyDescent="0.25">
      <c r="A13543" s="157">
        <v>41597</v>
      </c>
      <c r="B13543" s="158">
        <v>3.5</v>
      </c>
    </row>
    <row r="13544" spans="1:2" x14ac:dyDescent="0.25">
      <c r="A13544" s="157">
        <v>41598</v>
      </c>
      <c r="B13544" s="158">
        <v>3.61</v>
      </c>
    </row>
    <row r="13545" spans="1:2" x14ac:dyDescent="0.25">
      <c r="A13545" s="157">
        <v>41599</v>
      </c>
      <c r="B13545" s="158">
        <v>3.59</v>
      </c>
    </row>
    <row r="13546" spans="1:2" x14ac:dyDescent="0.25">
      <c r="A13546" s="157">
        <v>41600</v>
      </c>
      <c r="B13546" s="158">
        <v>3.54</v>
      </c>
    </row>
    <row r="13547" spans="1:2" x14ac:dyDescent="0.25">
      <c r="A13547" s="157">
        <v>41603</v>
      </c>
      <c r="B13547" s="158">
        <v>3.53</v>
      </c>
    </row>
    <row r="13548" spans="1:2" x14ac:dyDescent="0.25">
      <c r="A13548" s="157">
        <v>41604</v>
      </c>
      <c r="B13548" s="158">
        <v>3.5</v>
      </c>
    </row>
    <row r="13549" spans="1:2" x14ac:dyDescent="0.25">
      <c r="A13549" s="157">
        <v>41605</v>
      </c>
      <c r="B13549" s="158">
        <v>3.52</v>
      </c>
    </row>
    <row r="13550" spans="1:2" x14ac:dyDescent="0.25">
      <c r="A13550" s="157">
        <v>41606</v>
      </c>
      <c r="B13550" s="158" t="e">
        <f>NA()</f>
        <v>#N/A</v>
      </c>
    </row>
    <row r="13551" spans="1:2" x14ac:dyDescent="0.25">
      <c r="A13551" s="157">
        <v>41607</v>
      </c>
      <c r="B13551" s="158">
        <v>3.54</v>
      </c>
    </row>
    <row r="13552" spans="1:2" x14ac:dyDescent="0.25">
      <c r="A13552" s="157">
        <v>41610</v>
      </c>
      <c r="B13552" s="158">
        <v>3.58</v>
      </c>
    </row>
    <row r="13553" spans="1:2" x14ac:dyDescent="0.25">
      <c r="A13553" s="157">
        <v>41611</v>
      </c>
      <c r="B13553" s="158">
        <v>3.56</v>
      </c>
    </row>
    <row r="13554" spans="1:2" x14ac:dyDescent="0.25">
      <c r="A13554" s="157">
        <v>41612</v>
      </c>
      <c r="B13554" s="158">
        <v>3.63</v>
      </c>
    </row>
    <row r="13555" spans="1:2" x14ac:dyDescent="0.25">
      <c r="A13555" s="157">
        <v>41613</v>
      </c>
      <c r="B13555" s="158">
        <v>3.65</v>
      </c>
    </row>
    <row r="13556" spans="1:2" x14ac:dyDescent="0.25">
      <c r="A13556" s="157">
        <v>41614</v>
      </c>
      <c r="B13556" s="158">
        <v>3.63</v>
      </c>
    </row>
    <row r="13557" spans="1:2" x14ac:dyDescent="0.25">
      <c r="A13557" s="157">
        <v>41617</v>
      </c>
      <c r="B13557" s="158">
        <v>3.61</v>
      </c>
    </row>
    <row r="13558" spans="1:2" x14ac:dyDescent="0.25">
      <c r="A13558" s="157">
        <v>41618</v>
      </c>
      <c r="B13558" s="158">
        <v>3.56</v>
      </c>
    </row>
    <row r="13559" spans="1:2" x14ac:dyDescent="0.25">
      <c r="A13559" s="157">
        <v>41619</v>
      </c>
      <c r="B13559" s="158">
        <v>3.61</v>
      </c>
    </row>
    <row r="13560" spans="1:2" x14ac:dyDescent="0.25">
      <c r="A13560" s="157">
        <v>41620</v>
      </c>
      <c r="B13560" s="158">
        <v>3.63</v>
      </c>
    </row>
    <row r="13561" spans="1:2" x14ac:dyDescent="0.25">
      <c r="A13561" s="157">
        <v>41621</v>
      </c>
      <c r="B13561" s="158">
        <v>3.61</v>
      </c>
    </row>
    <row r="13562" spans="1:2" x14ac:dyDescent="0.25">
      <c r="A13562" s="157">
        <v>41624</v>
      </c>
      <c r="B13562" s="158">
        <v>3.63</v>
      </c>
    </row>
    <row r="13563" spans="1:2" x14ac:dyDescent="0.25">
      <c r="A13563" s="157">
        <v>41625</v>
      </c>
      <c r="B13563" s="158">
        <v>3.6</v>
      </c>
    </row>
    <row r="13564" spans="1:2" x14ac:dyDescent="0.25">
      <c r="A13564" s="157">
        <v>41626</v>
      </c>
      <c r="B13564" s="158">
        <v>3.63</v>
      </c>
    </row>
    <row r="13565" spans="1:2" x14ac:dyDescent="0.25">
      <c r="A13565" s="157">
        <v>41627</v>
      </c>
      <c r="B13565" s="158">
        <v>3.64</v>
      </c>
    </row>
    <row r="13566" spans="1:2" x14ac:dyDescent="0.25">
      <c r="A13566" s="157">
        <v>41628</v>
      </c>
      <c r="B13566" s="158">
        <v>3.57</v>
      </c>
    </row>
    <row r="13567" spans="1:2" x14ac:dyDescent="0.25">
      <c r="A13567" s="157">
        <v>41631</v>
      </c>
      <c r="B13567" s="158">
        <v>3.6</v>
      </c>
    </row>
    <row r="13568" spans="1:2" x14ac:dyDescent="0.25">
      <c r="A13568" s="157">
        <v>41632</v>
      </c>
      <c r="B13568" s="158">
        <v>3.66</v>
      </c>
    </row>
    <row r="13569" spans="1:2" x14ac:dyDescent="0.25">
      <c r="A13569" s="157">
        <v>41633</v>
      </c>
      <c r="B13569" s="158" t="e">
        <f>NA()</f>
        <v>#N/A</v>
      </c>
    </row>
    <row r="13570" spans="1:2" x14ac:dyDescent="0.25">
      <c r="A13570" s="157">
        <v>41634</v>
      </c>
      <c r="B13570" s="158">
        <v>3.68</v>
      </c>
    </row>
    <row r="13571" spans="1:2" x14ac:dyDescent="0.25">
      <c r="A13571" s="157">
        <v>41635</v>
      </c>
      <c r="B13571" s="158">
        <v>3.7</v>
      </c>
    </row>
    <row r="13572" spans="1:2" x14ac:dyDescent="0.25">
      <c r="A13572" s="157">
        <v>41638</v>
      </c>
      <c r="B13572" s="158">
        <v>3.66</v>
      </c>
    </row>
    <row r="13573" spans="1:2" x14ac:dyDescent="0.25">
      <c r="A13573" s="157">
        <v>41639</v>
      </c>
      <c r="B13573" s="158">
        <v>3.72</v>
      </c>
    </row>
    <row r="13574" spans="1:2" x14ac:dyDescent="0.25">
      <c r="A13574" s="157">
        <v>41640</v>
      </c>
      <c r="B13574" s="158" t="e">
        <f>NA()</f>
        <v>#N/A</v>
      </c>
    </row>
    <row r="13575" spans="1:2" x14ac:dyDescent="0.25">
      <c r="A13575" s="157">
        <v>41641</v>
      </c>
      <c r="B13575" s="158">
        <v>3.68</v>
      </c>
    </row>
    <row r="13576" spans="1:2" x14ac:dyDescent="0.25">
      <c r="A13576" s="157">
        <v>41642</v>
      </c>
      <c r="B13576" s="158">
        <v>3.69</v>
      </c>
    </row>
    <row r="13577" spans="1:2" x14ac:dyDescent="0.25">
      <c r="A13577" s="157">
        <v>41645</v>
      </c>
      <c r="B13577" s="158">
        <v>3.66</v>
      </c>
    </row>
    <row r="13578" spans="1:2" x14ac:dyDescent="0.25">
      <c r="A13578" s="157">
        <v>41646</v>
      </c>
      <c r="B13578" s="158">
        <v>3.64</v>
      </c>
    </row>
    <row r="13579" spans="1:2" x14ac:dyDescent="0.25">
      <c r="A13579" s="157">
        <v>41647</v>
      </c>
      <c r="B13579" s="158">
        <v>3.67</v>
      </c>
    </row>
    <row r="13580" spans="1:2" x14ac:dyDescent="0.25">
      <c r="A13580" s="157">
        <v>41648</v>
      </c>
      <c r="B13580" s="158">
        <v>3.62</v>
      </c>
    </row>
    <row r="13581" spans="1:2" x14ac:dyDescent="0.25">
      <c r="A13581" s="157">
        <v>41649</v>
      </c>
      <c r="B13581" s="158">
        <v>3.54</v>
      </c>
    </row>
    <row r="13582" spans="1:2" x14ac:dyDescent="0.25">
      <c r="A13582" s="157">
        <v>41652</v>
      </c>
      <c r="B13582" s="158">
        <v>3.52</v>
      </c>
    </row>
    <row r="13583" spans="1:2" x14ac:dyDescent="0.25">
      <c r="A13583" s="157">
        <v>41653</v>
      </c>
      <c r="B13583" s="158">
        <v>3.54</v>
      </c>
    </row>
    <row r="13584" spans="1:2" x14ac:dyDescent="0.25">
      <c r="A13584" s="157">
        <v>41654</v>
      </c>
      <c r="B13584" s="158">
        <v>3.55</v>
      </c>
    </row>
    <row r="13585" spans="1:2" x14ac:dyDescent="0.25">
      <c r="A13585" s="157">
        <v>41655</v>
      </c>
      <c r="B13585" s="158">
        <v>3.52</v>
      </c>
    </row>
    <row r="13586" spans="1:2" x14ac:dyDescent="0.25">
      <c r="A13586" s="157">
        <v>41656</v>
      </c>
      <c r="B13586" s="158">
        <v>3.5</v>
      </c>
    </row>
    <row r="13587" spans="1:2" x14ac:dyDescent="0.25">
      <c r="A13587" s="157">
        <v>41659</v>
      </c>
      <c r="B13587" s="158" t="e">
        <f>NA()</f>
        <v>#N/A</v>
      </c>
    </row>
    <row r="13588" spans="1:2" x14ac:dyDescent="0.25">
      <c r="A13588" s="157">
        <v>41660</v>
      </c>
      <c r="B13588" s="158">
        <v>3.5</v>
      </c>
    </row>
    <row r="13589" spans="1:2" x14ac:dyDescent="0.25">
      <c r="A13589" s="157">
        <v>41661</v>
      </c>
      <c r="B13589" s="158">
        <v>3.52</v>
      </c>
    </row>
    <row r="13590" spans="1:2" x14ac:dyDescent="0.25">
      <c r="A13590" s="157">
        <v>41662</v>
      </c>
      <c r="B13590" s="158">
        <v>3.44</v>
      </c>
    </row>
    <row r="13591" spans="1:2" x14ac:dyDescent="0.25">
      <c r="A13591" s="157">
        <v>41663</v>
      </c>
      <c r="B13591" s="158">
        <v>3.4</v>
      </c>
    </row>
    <row r="13592" spans="1:2" x14ac:dyDescent="0.25">
      <c r="A13592" s="157">
        <v>41666</v>
      </c>
      <c r="B13592" s="158">
        <v>3.43</v>
      </c>
    </row>
    <row r="13593" spans="1:2" x14ac:dyDescent="0.25">
      <c r="A13593" s="157">
        <v>41667</v>
      </c>
      <c r="B13593" s="158">
        <v>3.43</v>
      </c>
    </row>
    <row r="13594" spans="1:2" x14ac:dyDescent="0.25">
      <c r="A13594" s="157">
        <v>41668</v>
      </c>
      <c r="B13594" s="158">
        <v>3.36</v>
      </c>
    </row>
    <row r="13595" spans="1:2" x14ac:dyDescent="0.25">
      <c r="A13595" s="157">
        <v>41669</v>
      </c>
      <c r="B13595" s="158">
        <v>3.4</v>
      </c>
    </row>
    <row r="13596" spans="1:2" x14ac:dyDescent="0.25">
      <c r="A13596" s="157">
        <v>41670</v>
      </c>
      <c r="B13596" s="158">
        <v>3.35</v>
      </c>
    </row>
    <row r="13597" spans="1:2" x14ac:dyDescent="0.25">
      <c r="A13597" s="157">
        <v>41673</v>
      </c>
      <c r="B13597" s="158">
        <v>3.29</v>
      </c>
    </row>
    <row r="13598" spans="1:2" x14ac:dyDescent="0.25">
      <c r="A13598" s="157">
        <v>41674</v>
      </c>
      <c r="B13598" s="158">
        <v>3.33</v>
      </c>
    </row>
    <row r="13599" spans="1:2" x14ac:dyDescent="0.25">
      <c r="A13599" s="157">
        <v>41675</v>
      </c>
      <c r="B13599" s="158">
        <v>3.4</v>
      </c>
    </row>
    <row r="13600" spans="1:2" x14ac:dyDescent="0.25">
      <c r="A13600" s="157">
        <v>41676</v>
      </c>
      <c r="B13600" s="158">
        <v>3.42</v>
      </c>
    </row>
    <row r="13601" spans="1:2" x14ac:dyDescent="0.25">
      <c r="A13601" s="157">
        <v>41677</v>
      </c>
      <c r="B13601" s="158">
        <v>3.39</v>
      </c>
    </row>
    <row r="13602" spans="1:2" x14ac:dyDescent="0.25">
      <c r="A13602" s="157">
        <v>41680</v>
      </c>
      <c r="B13602" s="158">
        <v>3.38</v>
      </c>
    </row>
    <row r="13603" spans="1:2" x14ac:dyDescent="0.25">
      <c r="A13603" s="157">
        <v>41681</v>
      </c>
      <c r="B13603" s="158">
        <v>3.42</v>
      </c>
    </row>
    <row r="13604" spans="1:2" x14ac:dyDescent="0.25">
      <c r="A13604" s="157">
        <v>41682</v>
      </c>
      <c r="B13604" s="158">
        <v>3.45</v>
      </c>
    </row>
    <row r="13605" spans="1:2" x14ac:dyDescent="0.25">
      <c r="A13605" s="157">
        <v>41683</v>
      </c>
      <c r="B13605" s="158">
        <v>3.4</v>
      </c>
    </row>
    <row r="13606" spans="1:2" x14ac:dyDescent="0.25">
      <c r="A13606" s="157">
        <v>41684</v>
      </c>
      <c r="B13606" s="158">
        <v>3.41</v>
      </c>
    </row>
    <row r="13607" spans="1:2" x14ac:dyDescent="0.25">
      <c r="A13607" s="157">
        <v>41687</v>
      </c>
      <c r="B13607" s="158" t="e">
        <f>NA()</f>
        <v>#N/A</v>
      </c>
    </row>
    <row r="13608" spans="1:2" x14ac:dyDescent="0.25">
      <c r="A13608" s="157">
        <v>41688</v>
      </c>
      <c r="B13608" s="158">
        <v>3.4</v>
      </c>
    </row>
    <row r="13609" spans="1:2" x14ac:dyDescent="0.25">
      <c r="A13609" s="157">
        <v>41689</v>
      </c>
      <c r="B13609" s="158">
        <v>3.42</v>
      </c>
    </row>
    <row r="13610" spans="1:2" x14ac:dyDescent="0.25">
      <c r="A13610" s="157">
        <v>41690</v>
      </c>
      <c r="B13610" s="158">
        <v>3.44</v>
      </c>
    </row>
    <row r="13611" spans="1:2" x14ac:dyDescent="0.25">
      <c r="A13611" s="157">
        <v>41691</v>
      </c>
      <c r="B13611" s="158">
        <v>3.41</v>
      </c>
    </row>
    <row r="13612" spans="1:2" x14ac:dyDescent="0.25">
      <c r="A13612" s="157">
        <v>41694</v>
      </c>
      <c r="B13612" s="158">
        <v>3.42</v>
      </c>
    </row>
    <row r="13613" spans="1:2" x14ac:dyDescent="0.25">
      <c r="A13613" s="157">
        <v>41695</v>
      </c>
      <c r="B13613" s="158">
        <v>3.37</v>
      </c>
    </row>
    <row r="13614" spans="1:2" x14ac:dyDescent="0.25">
      <c r="A13614" s="157">
        <v>41696</v>
      </c>
      <c r="B13614" s="158">
        <v>3.34</v>
      </c>
    </row>
    <row r="13615" spans="1:2" x14ac:dyDescent="0.25">
      <c r="A13615" s="157">
        <v>41697</v>
      </c>
      <c r="B13615" s="158">
        <v>3.31</v>
      </c>
    </row>
    <row r="13616" spans="1:2" x14ac:dyDescent="0.25">
      <c r="A13616" s="157">
        <v>41698</v>
      </c>
      <c r="B13616" s="158">
        <v>3.31</v>
      </c>
    </row>
    <row r="13617" spans="1:2" x14ac:dyDescent="0.25">
      <c r="A13617" s="157">
        <v>41701</v>
      </c>
      <c r="B13617" s="158">
        <v>3.27</v>
      </c>
    </row>
    <row r="13618" spans="1:2" x14ac:dyDescent="0.25">
      <c r="A13618" s="157">
        <v>41702</v>
      </c>
      <c r="B13618" s="158">
        <v>3.36</v>
      </c>
    </row>
    <row r="13619" spans="1:2" x14ac:dyDescent="0.25">
      <c r="A13619" s="157">
        <v>41703</v>
      </c>
      <c r="B13619" s="158">
        <v>3.36</v>
      </c>
    </row>
    <row r="13620" spans="1:2" x14ac:dyDescent="0.25">
      <c r="A13620" s="157">
        <v>41704</v>
      </c>
      <c r="B13620" s="158">
        <v>3.4</v>
      </c>
    </row>
    <row r="13621" spans="1:2" x14ac:dyDescent="0.25">
      <c r="A13621" s="157">
        <v>41705</v>
      </c>
      <c r="B13621" s="158">
        <v>3.45</v>
      </c>
    </row>
    <row r="13622" spans="1:2" x14ac:dyDescent="0.25">
      <c r="A13622" s="157">
        <v>41708</v>
      </c>
      <c r="B13622" s="158">
        <v>3.45</v>
      </c>
    </row>
    <row r="13623" spans="1:2" x14ac:dyDescent="0.25">
      <c r="A13623" s="157">
        <v>41709</v>
      </c>
      <c r="B13623" s="158">
        <v>3.43</v>
      </c>
    </row>
    <row r="13624" spans="1:2" x14ac:dyDescent="0.25">
      <c r="A13624" s="157">
        <v>41710</v>
      </c>
      <c r="B13624" s="158">
        <v>3.38</v>
      </c>
    </row>
    <row r="13625" spans="1:2" x14ac:dyDescent="0.25">
      <c r="A13625" s="157">
        <v>41711</v>
      </c>
      <c r="B13625" s="158">
        <v>3.31</v>
      </c>
    </row>
    <row r="13626" spans="1:2" x14ac:dyDescent="0.25">
      <c r="A13626" s="157">
        <v>41712</v>
      </c>
      <c r="B13626" s="158">
        <v>3.3</v>
      </c>
    </row>
    <row r="13627" spans="1:2" x14ac:dyDescent="0.25">
      <c r="A13627" s="157">
        <v>41715</v>
      </c>
      <c r="B13627" s="158">
        <v>3.34</v>
      </c>
    </row>
    <row r="13628" spans="1:2" x14ac:dyDescent="0.25">
      <c r="A13628" s="157">
        <v>41716</v>
      </c>
      <c r="B13628" s="158">
        <v>3.33</v>
      </c>
    </row>
    <row r="13629" spans="1:2" x14ac:dyDescent="0.25">
      <c r="A13629" s="157">
        <v>41717</v>
      </c>
      <c r="B13629" s="158">
        <v>3.39</v>
      </c>
    </row>
    <row r="13630" spans="1:2" x14ac:dyDescent="0.25">
      <c r="A13630" s="157">
        <v>41718</v>
      </c>
      <c r="B13630" s="158">
        <v>3.4</v>
      </c>
    </row>
    <row r="13631" spans="1:2" x14ac:dyDescent="0.25">
      <c r="A13631" s="157">
        <v>41719</v>
      </c>
      <c r="B13631" s="158">
        <v>3.34</v>
      </c>
    </row>
    <row r="13632" spans="1:2" x14ac:dyDescent="0.25">
      <c r="A13632" s="157">
        <v>41722</v>
      </c>
      <c r="B13632" s="158">
        <v>3.31</v>
      </c>
    </row>
    <row r="13633" spans="1:2" x14ac:dyDescent="0.25">
      <c r="A13633" s="157">
        <v>41723</v>
      </c>
      <c r="B13633" s="158">
        <v>3.32</v>
      </c>
    </row>
    <row r="13634" spans="1:2" x14ac:dyDescent="0.25">
      <c r="A13634" s="157">
        <v>41724</v>
      </c>
      <c r="B13634" s="158">
        <v>3.29</v>
      </c>
    </row>
    <row r="13635" spans="1:2" x14ac:dyDescent="0.25">
      <c r="A13635" s="157">
        <v>41725</v>
      </c>
      <c r="B13635" s="158">
        <v>3.25</v>
      </c>
    </row>
    <row r="13636" spans="1:2" x14ac:dyDescent="0.25">
      <c r="A13636" s="157">
        <v>41726</v>
      </c>
      <c r="B13636" s="158">
        <v>3.29</v>
      </c>
    </row>
    <row r="13637" spans="1:2" x14ac:dyDescent="0.25">
      <c r="A13637" s="157">
        <v>41729</v>
      </c>
      <c r="B13637" s="158">
        <v>3.31</v>
      </c>
    </row>
    <row r="13638" spans="1:2" x14ac:dyDescent="0.25">
      <c r="A13638" s="157">
        <v>41730</v>
      </c>
      <c r="B13638" s="158">
        <v>3.35</v>
      </c>
    </row>
    <row r="13639" spans="1:2" x14ac:dyDescent="0.25">
      <c r="A13639" s="157">
        <v>41731</v>
      </c>
      <c r="B13639" s="158">
        <v>3.4</v>
      </c>
    </row>
    <row r="13640" spans="1:2" x14ac:dyDescent="0.25">
      <c r="A13640" s="157">
        <v>41732</v>
      </c>
      <c r="B13640" s="158">
        <v>3.38</v>
      </c>
    </row>
    <row r="13641" spans="1:2" x14ac:dyDescent="0.25">
      <c r="A13641" s="157">
        <v>41733</v>
      </c>
      <c r="B13641" s="158">
        <v>3.33</v>
      </c>
    </row>
    <row r="13642" spans="1:2" x14ac:dyDescent="0.25">
      <c r="A13642" s="157">
        <v>41736</v>
      </c>
      <c r="B13642" s="158">
        <v>3.3</v>
      </c>
    </row>
    <row r="13643" spans="1:2" x14ac:dyDescent="0.25">
      <c r="A13643" s="157">
        <v>41737</v>
      </c>
      <c r="B13643" s="158">
        <v>3.28</v>
      </c>
    </row>
    <row r="13644" spans="1:2" x14ac:dyDescent="0.25">
      <c r="A13644" s="157">
        <v>41738</v>
      </c>
      <c r="B13644" s="158">
        <v>3.31</v>
      </c>
    </row>
    <row r="13645" spans="1:2" x14ac:dyDescent="0.25">
      <c r="A13645" s="157">
        <v>41739</v>
      </c>
      <c r="B13645" s="158">
        <v>3.24</v>
      </c>
    </row>
    <row r="13646" spans="1:2" x14ac:dyDescent="0.25">
      <c r="A13646" s="157">
        <v>41740</v>
      </c>
      <c r="B13646" s="158">
        <v>3.22</v>
      </c>
    </row>
    <row r="13647" spans="1:2" x14ac:dyDescent="0.25">
      <c r="A13647" s="157">
        <v>41743</v>
      </c>
      <c r="B13647" s="158">
        <v>3.23</v>
      </c>
    </row>
    <row r="13648" spans="1:2" x14ac:dyDescent="0.25">
      <c r="A13648" s="157">
        <v>41744</v>
      </c>
      <c r="B13648" s="158">
        <v>3.2</v>
      </c>
    </row>
    <row r="13649" spans="1:2" x14ac:dyDescent="0.25">
      <c r="A13649" s="157">
        <v>41745</v>
      </c>
      <c r="B13649" s="158">
        <v>3.2</v>
      </c>
    </row>
    <row r="13650" spans="1:2" x14ac:dyDescent="0.25">
      <c r="A13650" s="157">
        <v>41746</v>
      </c>
      <c r="B13650" s="158">
        <v>3.27</v>
      </c>
    </row>
    <row r="13651" spans="1:2" x14ac:dyDescent="0.25">
      <c r="A13651" s="157">
        <v>41747</v>
      </c>
      <c r="B13651" s="158" t="e">
        <f>NA()</f>
        <v>#N/A</v>
      </c>
    </row>
    <row r="13652" spans="1:2" x14ac:dyDescent="0.25">
      <c r="A13652" s="157">
        <v>41750</v>
      </c>
      <c r="B13652" s="158">
        <v>3.27</v>
      </c>
    </row>
    <row r="13653" spans="1:2" x14ac:dyDescent="0.25">
      <c r="A13653" s="157">
        <v>41751</v>
      </c>
      <c r="B13653" s="158">
        <v>3.25</v>
      </c>
    </row>
    <row r="13654" spans="1:2" x14ac:dyDescent="0.25">
      <c r="A13654" s="157">
        <v>41752</v>
      </c>
      <c r="B13654" s="158">
        <v>3.22</v>
      </c>
    </row>
    <row r="13655" spans="1:2" x14ac:dyDescent="0.25">
      <c r="A13655" s="157">
        <v>41753</v>
      </c>
      <c r="B13655" s="158">
        <v>3.22</v>
      </c>
    </row>
    <row r="13656" spans="1:2" x14ac:dyDescent="0.25">
      <c r="A13656" s="157">
        <v>41754</v>
      </c>
      <c r="B13656" s="158">
        <v>3.2</v>
      </c>
    </row>
    <row r="13657" spans="1:2" x14ac:dyDescent="0.25">
      <c r="A13657" s="157">
        <v>41757</v>
      </c>
      <c r="B13657" s="158">
        <v>3.23</v>
      </c>
    </row>
    <row r="13658" spans="1:2" x14ac:dyDescent="0.25">
      <c r="A13658" s="157">
        <v>41758</v>
      </c>
      <c r="B13658" s="158">
        <v>3.25</v>
      </c>
    </row>
    <row r="13659" spans="1:2" x14ac:dyDescent="0.25">
      <c r="A13659" s="157">
        <v>41759</v>
      </c>
      <c r="B13659" s="158">
        <v>3.22</v>
      </c>
    </row>
    <row r="13660" spans="1:2" x14ac:dyDescent="0.25">
      <c r="A13660" s="157">
        <v>41760</v>
      </c>
      <c r="B13660" s="158">
        <v>3.16</v>
      </c>
    </row>
    <row r="13661" spans="1:2" x14ac:dyDescent="0.25">
      <c r="A13661" s="157">
        <v>41761</v>
      </c>
      <c r="B13661" s="158">
        <v>3.12</v>
      </c>
    </row>
    <row r="13662" spans="1:2" x14ac:dyDescent="0.25">
      <c r="A13662" s="157">
        <v>41764</v>
      </c>
      <c r="B13662" s="158">
        <v>3.16</v>
      </c>
    </row>
    <row r="13663" spans="1:2" x14ac:dyDescent="0.25">
      <c r="A13663" s="157">
        <v>41765</v>
      </c>
      <c r="B13663" s="158">
        <v>3.13</v>
      </c>
    </row>
    <row r="13664" spans="1:2" x14ac:dyDescent="0.25">
      <c r="A13664" s="157">
        <v>41766</v>
      </c>
      <c r="B13664" s="158">
        <v>3.12</v>
      </c>
    </row>
    <row r="13665" spans="1:2" x14ac:dyDescent="0.25">
      <c r="A13665" s="157">
        <v>41767</v>
      </c>
      <c r="B13665" s="158">
        <v>3.17</v>
      </c>
    </row>
    <row r="13666" spans="1:2" x14ac:dyDescent="0.25">
      <c r="A13666" s="157">
        <v>41768</v>
      </c>
      <c r="B13666" s="158">
        <v>3.18</v>
      </c>
    </row>
    <row r="13667" spans="1:2" x14ac:dyDescent="0.25">
      <c r="A13667" s="157">
        <v>41771</v>
      </c>
      <c r="B13667" s="158">
        <v>3.21</v>
      </c>
    </row>
    <row r="13668" spans="1:2" x14ac:dyDescent="0.25">
      <c r="A13668" s="157">
        <v>41772</v>
      </c>
      <c r="B13668" s="158">
        <v>3.17</v>
      </c>
    </row>
    <row r="13669" spans="1:2" x14ac:dyDescent="0.25">
      <c r="A13669" s="157">
        <v>41773</v>
      </c>
      <c r="B13669" s="158">
        <v>3.09</v>
      </c>
    </row>
    <row r="13670" spans="1:2" x14ac:dyDescent="0.25">
      <c r="A13670" s="157">
        <v>41774</v>
      </c>
      <c r="B13670" s="158">
        <v>3.05</v>
      </c>
    </row>
    <row r="13671" spans="1:2" x14ac:dyDescent="0.25">
      <c r="A13671" s="157">
        <v>41775</v>
      </c>
      <c r="B13671" s="158">
        <v>3.07</v>
      </c>
    </row>
    <row r="13672" spans="1:2" x14ac:dyDescent="0.25">
      <c r="A13672" s="157">
        <v>41778</v>
      </c>
      <c r="B13672" s="158">
        <v>3.11</v>
      </c>
    </row>
    <row r="13673" spans="1:2" x14ac:dyDescent="0.25">
      <c r="A13673" s="157">
        <v>41779</v>
      </c>
      <c r="B13673" s="158">
        <v>3.1</v>
      </c>
    </row>
    <row r="13674" spans="1:2" x14ac:dyDescent="0.25">
      <c r="A13674" s="157">
        <v>41780</v>
      </c>
      <c r="B13674" s="158">
        <v>3.13</v>
      </c>
    </row>
    <row r="13675" spans="1:2" x14ac:dyDescent="0.25">
      <c r="A13675" s="157">
        <v>41781</v>
      </c>
      <c r="B13675" s="158">
        <v>3.15</v>
      </c>
    </row>
    <row r="13676" spans="1:2" x14ac:dyDescent="0.25">
      <c r="A13676" s="157">
        <v>41782</v>
      </c>
      <c r="B13676" s="158">
        <v>3.12</v>
      </c>
    </row>
    <row r="13677" spans="1:2" x14ac:dyDescent="0.25">
      <c r="A13677" s="157">
        <v>41785</v>
      </c>
      <c r="B13677" s="158" t="e">
        <f>NA()</f>
        <v>#N/A</v>
      </c>
    </row>
    <row r="13678" spans="1:2" x14ac:dyDescent="0.25">
      <c r="A13678" s="157">
        <v>41786</v>
      </c>
      <c r="B13678" s="158">
        <v>3.09</v>
      </c>
    </row>
    <row r="13679" spans="1:2" x14ac:dyDescent="0.25">
      <c r="A13679" s="157">
        <v>41787</v>
      </c>
      <c r="B13679" s="158">
        <v>3.01</v>
      </c>
    </row>
    <row r="13680" spans="1:2" x14ac:dyDescent="0.25">
      <c r="A13680" s="157">
        <v>41788</v>
      </c>
      <c r="B13680" s="158">
        <v>3.03</v>
      </c>
    </row>
    <row r="13681" spans="1:2" x14ac:dyDescent="0.25">
      <c r="A13681" s="157">
        <v>41789</v>
      </c>
      <c r="B13681" s="158">
        <v>3.05</v>
      </c>
    </row>
    <row r="13682" spans="1:2" x14ac:dyDescent="0.25">
      <c r="A13682" s="157">
        <v>41792</v>
      </c>
      <c r="B13682" s="158">
        <v>3.1</v>
      </c>
    </row>
    <row r="13683" spans="1:2" x14ac:dyDescent="0.25">
      <c r="A13683" s="157">
        <v>41793</v>
      </c>
      <c r="B13683" s="158">
        <v>3.17</v>
      </c>
    </row>
    <row r="13684" spans="1:2" x14ac:dyDescent="0.25">
      <c r="A13684" s="157">
        <v>41794</v>
      </c>
      <c r="B13684" s="158">
        <v>3.18</v>
      </c>
    </row>
    <row r="13685" spans="1:2" x14ac:dyDescent="0.25">
      <c r="A13685" s="157">
        <v>41795</v>
      </c>
      <c r="B13685" s="158">
        <v>3.17</v>
      </c>
    </row>
    <row r="13686" spans="1:2" x14ac:dyDescent="0.25">
      <c r="A13686" s="157">
        <v>41796</v>
      </c>
      <c r="B13686" s="158">
        <v>3.17</v>
      </c>
    </row>
    <row r="13687" spans="1:2" x14ac:dyDescent="0.25">
      <c r="A13687" s="157">
        <v>41799</v>
      </c>
      <c r="B13687" s="158">
        <v>3.18</v>
      </c>
    </row>
    <row r="13688" spans="1:2" x14ac:dyDescent="0.25">
      <c r="A13688" s="157">
        <v>41800</v>
      </c>
      <c r="B13688" s="158">
        <v>3.2</v>
      </c>
    </row>
    <row r="13689" spans="1:2" x14ac:dyDescent="0.25">
      <c r="A13689" s="157">
        <v>41801</v>
      </c>
      <c r="B13689" s="158">
        <v>3.2</v>
      </c>
    </row>
    <row r="13690" spans="1:2" x14ac:dyDescent="0.25">
      <c r="A13690" s="157">
        <v>41802</v>
      </c>
      <c r="B13690" s="158">
        <v>3.14</v>
      </c>
    </row>
    <row r="13691" spans="1:2" x14ac:dyDescent="0.25">
      <c r="A13691" s="157">
        <v>41803</v>
      </c>
      <c r="B13691" s="158">
        <v>3.14</v>
      </c>
    </row>
    <row r="13692" spans="1:2" x14ac:dyDescent="0.25">
      <c r="A13692" s="157">
        <v>41806</v>
      </c>
      <c r="B13692" s="158">
        <v>3.14</v>
      </c>
    </row>
    <row r="13693" spans="1:2" x14ac:dyDescent="0.25">
      <c r="A13693" s="157">
        <v>41807</v>
      </c>
      <c r="B13693" s="158">
        <v>3.19</v>
      </c>
    </row>
    <row r="13694" spans="1:2" x14ac:dyDescent="0.25">
      <c r="A13694" s="157">
        <v>41808</v>
      </c>
      <c r="B13694" s="158">
        <v>3.16</v>
      </c>
    </row>
    <row r="13695" spans="1:2" x14ac:dyDescent="0.25">
      <c r="A13695" s="157">
        <v>41809</v>
      </c>
      <c r="B13695" s="158">
        <v>3.2</v>
      </c>
    </row>
    <row r="13696" spans="1:2" x14ac:dyDescent="0.25">
      <c r="A13696" s="157">
        <v>41810</v>
      </c>
      <c r="B13696" s="158">
        <v>3.18</v>
      </c>
    </row>
    <row r="13697" spans="1:2" x14ac:dyDescent="0.25">
      <c r="A13697" s="157">
        <v>41813</v>
      </c>
      <c r="B13697" s="158">
        <v>3.18</v>
      </c>
    </row>
    <row r="13698" spans="1:2" x14ac:dyDescent="0.25">
      <c r="A13698" s="157">
        <v>41814</v>
      </c>
      <c r="B13698" s="158">
        <v>3.14</v>
      </c>
    </row>
    <row r="13699" spans="1:2" x14ac:dyDescent="0.25">
      <c r="A13699" s="157">
        <v>41815</v>
      </c>
      <c r="B13699" s="158">
        <v>3.12</v>
      </c>
    </row>
    <row r="13700" spans="1:2" x14ac:dyDescent="0.25">
      <c r="A13700" s="157">
        <v>41816</v>
      </c>
      <c r="B13700" s="158">
        <v>3.08</v>
      </c>
    </row>
    <row r="13701" spans="1:2" x14ac:dyDescent="0.25">
      <c r="A13701" s="157">
        <v>41817</v>
      </c>
      <c r="B13701" s="158">
        <v>3.1</v>
      </c>
    </row>
    <row r="13702" spans="1:2" x14ac:dyDescent="0.25">
      <c r="A13702" s="157">
        <v>41820</v>
      </c>
      <c r="B13702" s="158">
        <v>3.08</v>
      </c>
    </row>
    <row r="13703" spans="1:2" x14ac:dyDescent="0.25">
      <c r="A13703" s="157">
        <v>41821</v>
      </c>
      <c r="B13703" s="158">
        <v>3.13</v>
      </c>
    </row>
    <row r="13704" spans="1:2" x14ac:dyDescent="0.25">
      <c r="A13704" s="157">
        <v>41822</v>
      </c>
      <c r="B13704" s="158">
        <v>3.2</v>
      </c>
    </row>
    <row r="13705" spans="1:2" x14ac:dyDescent="0.25">
      <c r="A13705" s="157">
        <v>41823</v>
      </c>
      <c r="B13705" s="158">
        <v>3.21</v>
      </c>
    </row>
    <row r="13706" spans="1:2" x14ac:dyDescent="0.25">
      <c r="A13706" s="157">
        <v>41824</v>
      </c>
      <c r="B13706" s="158" t="e">
        <f>NA()</f>
        <v>#N/A</v>
      </c>
    </row>
    <row r="13707" spans="1:2" x14ac:dyDescent="0.25">
      <c r="A13707" s="157">
        <v>41827</v>
      </c>
      <c r="B13707" s="158">
        <v>3.17</v>
      </c>
    </row>
    <row r="13708" spans="1:2" x14ac:dyDescent="0.25">
      <c r="A13708" s="157">
        <v>41828</v>
      </c>
      <c r="B13708" s="158">
        <v>3.12</v>
      </c>
    </row>
    <row r="13709" spans="1:2" x14ac:dyDescent="0.25">
      <c r="A13709" s="157">
        <v>41829</v>
      </c>
      <c r="B13709" s="158">
        <v>3.1</v>
      </c>
    </row>
    <row r="13710" spans="1:2" x14ac:dyDescent="0.25">
      <c r="A13710" s="157">
        <v>41830</v>
      </c>
      <c r="B13710" s="158">
        <v>3.1</v>
      </c>
    </row>
    <row r="13711" spans="1:2" x14ac:dyDescent="0.25">
      <c r="A13711" s="157">
        <v>41831</v>
      </c>
      <c r="B13711" s="158">
        <v>3.07</v>
      </c>
    </row>
    <row r="13712" spans="1:2" x14ac:dyDescent="0.25">
      <c r="A13712" s="157">
        <v>41834</v>
      </c>
      <c r="B13712" s="158">
        <v>3.1</v>
      </c>
    </row>
    <row r="13713" spans="1:2" x14ac:dyDescent="0.25">
      <c r="A13713" s="157">
        <v>41835</v>
      </c>
      <c r="B13713" s="158">
        <v>3.1</v>
      </c>
    </row>
    <row r="13714" spans="1:2" x14ac:dyDescent="0.25">
      <c r="A13714" s="157">
        <v>41836</v>
      </c>
      <c r="B13714" s="158">
        <v>3.08</v>
      </c>
    </row>
    <row r="13715" spans="1:2" x14ac:dyDescent="0.25">
      <c r="A13715" s="157">
        <v>41837</v>
      </c>
      <c r="B13715" s="158">
        <v>3.01</v>
      </c>
    </row>
    <row r="13716" spans="1:2" x14ac:dyDescent="0.25">
      <c r="A13716" s="157">
        <v>41838</v>
      </c>
      <c r="B13716" s="158">
        <v>3.03</v>
      </c>
    </row>
    <row r="13717" spans="1:2" x14ac:dyDescent="0.25">
      <c r="A13717" s="157">
        <v>41841</v>
      </c>
      <c r="B13717" s="158">
        <v>3.01</v>
      </c>
    </row>
    <row r="13718" spans="1:2" x14ac:dyDescent="0.25">
      <c r="A13718" s="157">
        <v>41842</v>
      </c>
      <c r="B13718" s="158">
        <v>3</v>
      </c>
    </row>
    <row r="13719" spans="1:2" x14ac:dyDescent="0.25">
      <c r="A13719" s="157">
        <v>41843</v>
      </c>
      <c r="B13719" s="158">
        <v>3</v>
      </c>
    </row>
    <row r="13720" spans="1:2" x14ac:dyDescent="0.25">
      <c r="A13720" s="157">
        <v>41844</v>
      </c>
      <c r="B13720" s="158">
        <v>3.04</v>
      </c>
    </row>
    <row r="13721" spans="1:2" x14ac:dyDescent="0.25">
      <c r="A13721" s="157">
        <v>41845</v>
      </c>
      <c r="B13721" s="158">
        <v>2.99</v>
      </c>
    </row>
    <row r="13722" spans="1:2" x14ac:dyDescent="0.25">
      <c r="A13722" s="157">
        <v>41848</v>
      </c>
      <c r="B13722" s="158">
        <v>3.01</v>
      </c>
    </row>
    <row r="13723" spans="1:2" x14ac:dyDescent="0.25">
      <c r="A13723" s="157">
        <v>41849</v>
      </c>
      <c r="B13723" s="158">
        <v>2.97</v>
      </c>
    </row>
    <row r="13724" spans="1:2" x14ac:dyDescent="0.25">
      <c r="A13724" s="157">
        <v>41850</v>
      </c>
      <c r="B13724" s="158">
        <v>3.06</v>
      </c>
    </row>
    <row r="13725" spans="1:2" x14ac:dyDescent="0.25">
      <c r="A13725" s="157">
        <v>41851</v>
      </c>
      <c r="B13725" s="158">
        <v>3.07</v>
      </c>
    </row>
    <row r="13726" spans="1:2" x14ac:dyDescent="0.25">
      <c r="A13726" s="157">
        <v>41852</v>
      </c>
      <c r="B13726" s="158">
        <v>3.03</v>
      </c>
    </row>
    <row r="13727" spans="1:2" x14ac:dyDescent="0.25">
      <c r="A13727" s="157">
        <v>41855</v>
      </c>
      <c r="B13727" s="158">
        <v>3.04</v>
      </c>
    </row>
    <row r="13728" spans="1:2" x14ac:dyDescent="0.25">
      <c r="A13728" s="157">
        <v>41856</v>
      </c>
      <c r="B13728" s="158">
        <v>3.02</v>
      </c>
    </row>
    <row r="13729" spans="1:2" x14ac:dyDescent="0.25">
      <c r="A13729" s="157">
        <v>41857</v>
      </c>
      <c r="B13729" s="158">
        <v>3.01</v>
      </c>
    </row>
    <row r="13730" spans="1:2" x14ac:dyDescent="0.25">
      <c r="A13730" s="157">
        <v>41858</v>
      </c>
      <c r="B13730" s="158">
        <v>2.97</v>
      </c>
    </row>
    <row r="13731" spans="1:2" x14ac:dyDescent="0.25">
      <c r="A13731" s="157">
        <v>41859</v>
      </c>
      <c r="B13731" s="158">
        <v>2.97</v>
      </c>
    </row>
    <row r="13732" spans="1:2" x14ac:dyDescent="0.25">
      <c r="A13732" s="157">
        <v>41862</v>
      </c>
      <c r="B13732" s="158">
        <v>2.97</v>
      </c>
    </row>
    <row r="13733" spans="1:2" x14ac:dyDescent="0.25">
      <c r="A13733" s="157">
        <v>41863</v>
      </c>
      <c r="B13733" s="158">
        <v>3</v>
      </c>
    </row>
    <row r="13734" spans="1:2" x14ac:dyDescent="0.25">
      <c r="A13734" s="157">
        <v>41864</v>
      </c>
      <c r="B13734" s="158">
        <v>2.97</v>
      </c>
    </row>
    <row r="13735" spans="1:2" x14ac:dyDescent="0.25">
      <c r="A13735" s="157">
        <v>41865</v>
      </c>
      <c r="B13735" s="158">
        <v>2.93</v>
      </c>
    </row>
    <row r="13736" spans="1:2" x14ac:dyDescent="0.25">
      <c r="A13736" s="157">
        <v>41866</v>
      </c>
      <c r="B13736" s="158">
        <v>2.86</v>
      </c>
    </row>
    <row r="13737" spans="1:2" x14ac:dyDescent="0.25">
      <c r="A13737" s="157">
        <v>41869</v>
      </c>
      <c r="B13737" s="158">
        <v>2.92</v>
      </c>
    </row>
    <row r="13738" spans="1:2" x14ac:dyDescent="0.25">
      <c r="A13738" s="157">
        <v>41870</v>
      </c>
      <c r="B13738" s="158">
        <v>2.94</v>
      </c>
    </row>
    <row r="13739" spans="1:2" x14ac:dyDescent="0.25">
      <c r="A13739" s="157">
        <v>41871</v>
      </c>
      <c r="B13739" s="158">
        <v>2.95</v>
      </c>
    </row>
    <row r="13740" spans="1:2" x14ac:dyDescent="0.25">
      <c r="A13740" s="157">
        <v>41872</v>
      </c>
      <c r="B13740" s="158">
        <v>2.92</v>
      </c>
    </row>
    <row r="13741" spans="1:2" x14ac:dyDescent="0.25">
      <c r="A13741" s="157">
        <v>41873</v>
      </c>
      <c r="B13741" s="158">
        <v>2.9</v>
      </c>
    </row>
    <row r="13742" spans="1:2" x14ac:dyDescent="0.25">
      <c r="A13742" s="157">
        <v>41876</v>
      </c>
      <c r="B13742" s="158">
        <v>2.88</v>
      </c>
    </row>
    <row r="13743" spans="1:2" x14ac:dyDescent="0.25">
      <c r="A13743" s="157">
        <v>41877</v>
      </c>
      <c r="B13743" s="158">
        <v>2.89</v>
      </c>
    </row>
    <row r="13744" spans="1:2" x14ac:dyDescent="0.25">
      <c r="A13744" s="157">
        <v>41878</v>
      </c>
      <c r="B13744" s="158">
        <v>2.85</v>
      </c>
    </row>
    <row r="13745" spans="1:2" x14ac:dyDescent="0.25">
      <c r="A13745" s="157">
        <v>41879</v>
      </c>
      <c r="B13745" s="158">
        <v>2.82</v>
      </c>
    </row>
    <row r="13746" spans="1:2" x14ac:dyDescent="0.25">
      <c r="A13746" s="157">
        <v>41880</v>
      </c>
      <c r="B13746" s="158">
        <v>2.83</v>
      </c>
    </row>
    <row r="13747" spans="1:2" x14ac:dyDescent="0.25">
      <c r="A13747" s="157">
        <v>41883</v>
      </c>
      <c r="B13747" s="158" t="e">
        <f>NA()</f>
        <v>#N/A</v>
      </c>
    </row>
    <row r="13748" spans="1:2" x14ac:dyDescent="0.25">
      <c r="A13748" s="157">
        <v>41884</v>
      </c>
      <c r="B13748" s="158">
        <v>2.91</v>
      </c>
    </row>
    <row r="13749" spans="1:2" x14ac:dyDescent="0.25">
      <c r="A13749" s="157">
        <v>41885</v>
      </c>
      <c r="B13749" s="158">
        <v>2.9</v>
      </c>
    </row>
    <row r="13750" spans="1:2" x14ac:dyDescent="0.25">
      <c r="A13750" s="157">
        <v>41886</v>
      </c>
      <c r="B13750" s="158">
        <v>2.95</v>
      </c>
    </row>
    <row r="13751" spans="1:2" x14ac:dyDescent="0.25">
      <c r="A13751" s="157">
        <v>41887</v>
      </c>
      <c r="B13751" s="158">
        <v>2.97</v>
      </c>
    </row>
    <row r="13752" spans="1:2" x14ac:dyDescent="0.25">
      <c r="A13752" s="157">
        <v>41890</v>
      </c>
      <c r="B13752" s="158">
        <v>2.97</v>
      </c>
    </row>
    <row r="13753" spans="1:2" x14ac:dyDescent="0.25">
      <c r="A13753" s="157">
        <v>41891</v>
      </c>
      <c r="B13753" s="158">
        <v>2.97</v>
      </c>
    </row>
    <row r="13754" spans="1:2" x14ac:dyDescent="0.25">
      <c r="A13754" s="157">
        <v>41892</v>
      </c>
      <c r="B13754" s="158">
        <v>3.01</v>
      </c>
    </row>
    <row r="13755" spans="1:2" x14ac:dyDescent="0.25">
      <c r="A13755" s="157">
        <v>41893</v>
      </c>
      <c r="B13755" s="158">
        <v>3.02</v>
      </c>
    </row>
    <row r="13756" spans="1:2" x14ac:dyDescent="0.25">
      <c r="A13756" s="157">
        <v>41894</v>
      </c>
      <c r="B13756" s="158">
        <v>3.1</v>
      </c>
    </row>
    <row r="13757" spans="1:2" x14ac:dyDescent="0.25">
      <c r="A13757" s="157">
        <v>41897</v>
      </c>
      <c r="B13757" s="158">
        <v>3.09</v>
      </c>
    </row>
    <row r="13758" spans="1:2" x14ac:dyDescent="0.25">
      <c r="A13758" s="157">
        <v>41898</v>
      </c>
      <c r="B13758" s="158">
        <v>3.11</v>
      </c>
    </row>
    <row r="13759" spans="1:2" x14ac:dyDescent="0.25">
      <c r="A13759" s="157">
        <v>41899</v>
      </c>
      <c r="B13759" s="158">
        <v>3.12</v>
      </c>
    </row>
    <row r="13760" spans="1:2" x14ac:dyDescent="0.25">
      <c r="A13760" s="157">
        <v>41900</v>
      </c>
      <c r="B13760" s="158">
        <v>3.12</v>
      </c>
    </row>
    <row r="13761" spans="1:2" x14ac:dyDescent="0.25">
      <c r="A13761" s="157">
        <v>41901</v>
      </c>
      <c r="B13761" s="158">
        <v>3.05</v>
      </c>
    </row>
    <row r="13762" spans="1:2" x14ac:dyDescent="0.25">
      <c r="A13762" s="157">
        <v>41904</v>
      </c>
      <c r="B13762" s="158">
        <v>3.04</v>
      </c>
    </row>
    <row r="13763" spans="1:2" x14ac:dyDescent="0.25">
      <c r="A13763" s="157">
        <v>41905</v>
      </c>
      <c r="B13763" s="158">
        <v>3.01</v>
      </c>
    </row>
    <row r="13764" spans="1:2" x14ac:dyDescent="0.25">
      <c r="A13764" s="157">
        <v>41906</v>
      </c>
      <c r="B13764" s="158">
        <v>3.04</v>
      </c>
    </row>
    <row r="13765" spans="1:2" x14ac:dyDescent="0.25">
      <c r="A13765" s="157">
        <v>41907</v>
      </c>
      <c r="B13765" s="158">
        <v>2.98</v>
      </c>
    </row>
    <row r="13766" spans="1:2" x14ac:dyDescent="0.25">
      <c r="A13766" s="157">
        <v>41908</v>
      </c>
      <c r="B13766" s="158">
        <v>2.99</v>
      </c>
    </row>
    <row r="13767" spans="1:2" x14ac:dyDescent="0.25">
      <c r="A13767" s="157">
        <v>41911</v>
      </c>
      <c r="B13767" s="158">
        <v>2.95</v>
      </c>
    </row>
    <row r="13768" spans="1:2" x14ac:dyDescent="0.25">
      <c r="A13768" s="157">
        <v>41912</v>
      </c>
      <c r="B13768" s="158">
        <v>2.98</v>
      </c>
    </row>
    <row r="13769" spans="1:2" x14ac:dyDescent="0.25">
      <c r="A13769" s="157">
        <v>41913</v>
      </c>
      <c r="B13769" s="158">
        <v>2.87</v>
      </c>
    </row>
    <row r="13770" spans="1:2" x14ac:dyDescent="0.25">
      <c r="A13770" s="157">
        <v>41914</v>
      </c>
      <c r="B13770" s="158">
        <v>2.9</v>
      </c>
    </row>
    <row r="13771" spans="1:2" x14ac:dyDescent="0.25">
      <c r="A13771" s="157">
        <v>41915</v>
      </c>
      <c r="B13771" s="158">
        <v>2.89</v>
      </c>
    </row>
    <row r="13772" spans="1:2" x14ac:dyDescent="0.25">
      <c r="A13772" s="157">
        <v>41918</v>
      </c>
      <c r="B13772" s="158">
        <v>2.88</v>
      </c>
    </row>
    <row r="13773" spans="1:2" x14ac:dyDescent="0.25">
      <c r="A13773" s="157">
        <v>41919</v>
      </c>
      <c r="B13773" s="158">
        <v>2.81</v>
      </c>
    </row>
    <row r="13774" spans="1:2" x14ac:dyDescent="0.25">
      <c r="A13774" s="157">
        <v>41920</v>
      </c>
      <c r="B13774" s="158">
        <v>2.82</v>
      </c>
    </row>
    <row r="13775" spans="1:2" x14ac:dyDescent="0.25">
      <c r="A13775" s="157">
        <v>41921</v>
      </c>
      <c r="B13775" s="158">
        <v>2.81</v>
      </c>
    </row>
    <row r="13776" spans="1:2" x14ac:dyDescent="0.25">
      <c r="A13776" s="157">
        <v>41922</v>
      </c>
      <c r="B13776" s="158">
        <v>2.77</v>
      </c>
    </row>
    <row r="13777" spans="1:2" x14ac:dyDescent="0.25">
      <c r="A13777" s="157">
        <v>41925</v>
      </c>
      <c r="B13777" s="158" t="e">
        <f>NA()</f>
        <v>#N/A</v>
      </c>
    </row>
    <row r="13778" spans="1:2" x14ac:dyDescent="0.25">
      <c r="A13778" s="157">
        <v>41926</v>
      </c>
      <c r="B13778" s="158">
        <v>2.68</v>
      </c>
    </row>
    <row r="13779" spans="1:2" x14ac:dyDescent="0.25">
      <c r="A13779" s="157">
        <v>41927</v>
      </c>
      <c r="B13779" s="158">
        <v>2.64</v>
      </c>
    </row>
    <row r="13780" spans="1:2" x14ac:dyDescent="0.25">
      <c r="A13780" s="157">
        <v>41928</v>
      </c>
      <c r="B13780" s="158">
        <v>2.66</v>
      </c>
    </row>
    <row r="13781" spans="1:2" x14ac:dyDescent="0.25">
      <c r="A13781" s="157">
        <v>41929</v>
      </c>
      <c r="B13781" s="158">
        <v>2.7</v>
      </c>
    </row>
    <row r="13782" spans="1:2" x14ac:dyDescent="0.25">
      <c r="A13782" s="157">
        <v>41932</v>
      </c>
      <c r="B13782" s="158">
        <v>2.68</v>
      </c>
    </row>
    <row r="13783" spans="1:2" x14ac:dyDescent="0.25">
      <c r="A13783" s="157">
        <v>41933</v>
      </c>
      <c r="B13783" s="158">
        <v>2.72</v>
      </c>
    </row>
    <row r="13784" spans="1:2" x14ac:dyDescent="0.25">
      <c r="A13784" s="157">
        <v>41934</v>
      </c>
      <c r="B13784" s="158">
        <v>2.73</v>
      </c>
    </row>
    <row r="13785" spans="1:2" x14ac:dyDescent="0.25">
      <c r="A13785" s="157">
        <v>41935</v>
      </c>
      <c r="B13785" s="158">
        <v>2.77</v>
      </c>
    </row>
    <row r="13786" spans="1:2" x14ac:dyDescent="0.25">
      <c r="A13786" s="157">
        <v>41936</v>
      </c>
      <c r="B13786" s="158">
        <v>2.77</v>
      </c>
    </row>
    <row r="13787" spans="1:2" x14ac:dyDescent="0.25">
      <c r="A13787" s="157">
        <v>41939</v>
      </c>
      <c r="B13787" s="158">
        <v>2.75</v>
      </c>
    </row>
    <row r="13788" spans="1:2" x14ac:dyDescent="0.25">
      <c r="A13788" s="157">
        <v>41940</v>
      </c>
      <c r="B13788" s="158">
        <v>2.79</v>
      </c>
    </row>
    <row r="13789" spans="1:2" x14ac:dyDescent="0.25">
      <c r="A13789" s="157">
        <v>41941</v>
      </c>
      <c r="B13789" s="158">
        <v>2.79</v>
      </c>
    </row>
    <row r="13790" spans="1:2" x14ac:dyDescent="0.25">
      <c r="A13790" s="157">
        <v>41942</v>
      </c>
      <c r="B13790" s="158">
        <v>2.77</v>
      </c>
    </row>
    <row r="13791" spans="1:2" x14ac:dyDescent="0.25">
      <c r="A13791" s="157">
        <v>41943</v>
      </c>
      <c r="B13791" s="158">
        <v>2.81</v>
      </c>
    </row>
    <row r="13792" spans="1:2" x14ac:dyDescent="0.25">
      <c r="A13792" s="157">
        <v>41946</v>
      </c>
      <c r="B13792" s="158">
        <v>2.8</v>
      </c>
    </row>
    <row r="13793" spans="1:2" x14ac:dyDescent="0.25">
      <c r="A13793" s="157">
        <v>41947</v>
      </c>
      <c r="B13793" s="158">
        <v>2.78</v>
      </c>
    </row>
    <row r="13794" spans="1:2" x14ac:dyDescent="0.25">
      <c r="A13794" s="157">
        <v>41948</v>
      </c>
      <c r="B13794" s="158">
        <v>2.79</v>
      </c>
    </row>
    <row r="13795" spans="1:2" x14ac:dyDescent="0.25">
      <c r="A13795" s="157">
        <v>41949</v>
      </c>
      <c r="B13795" s="158">
        <v>2.83</v>
      </c>
    </row>
    <row r="13796" spans="1:2" x14ac:dyDescent="0.25">
      <c r="A13796" s="157">
        <v>41950</v>
      </c>
      <c r="B13796" s="158">
        <v>2.76</v>
      </c>
    </row>
    <row r="13797" spans="1:2" x14ac:dyDescent="0.25">
      <c r="A13797" s="157">
        <v>41953</v>
      </c>
      <c r="B13797" s="158">
        <v>2.81</v>
      </c>
    </row>
    <row r="13798" spans="1:2" x14ac:dyDescent="0.25">
      <c r="A13798" s="157">
        <v>41954</v>
      </c>
      <c r="B13798" s="158" t="e">
        <f>NA()</f>
        <v>#N/A</v>
      </c>
    </row>
    <row r="13799" spans="1:2" x14ac:dyDescent="0.25">
      <c r="A13799" s="157">
        <v>41955</v>
      </c>
      <c r="B13799" s="158">
        <v>2.81</v>
      </c>
    </row>
    <row r="13800" spans="1:2" x14ac:dyDescent="0.25">
      <c r="A13800" s="157">
        <v>41956</v>
      </c>
      <c r="B13800" s="158">
        <v>2.8</v>
      </c>
    </row>
    <row r="13801" spans="1:2" x14ac:dyDescent="0.25">
      <c r="A13801" s="157">
        <v>41957</v>
      </c>
      <c r="B13801" s="158">
        <v>2.77</v>
      </c>
    </row>
    <row r="13802" spans="1:2" x14ac:dyDescent="0.25">
      <c r="A13802" s="157">
        <v>41960</v>
      </c>
      <c r="B13802" s="158">
        <v>2.79</v>
      </c>
    </row>
    <row r="13803" spans="1:2" x14ac:dyDescent="0.25">
      <c r="A13803" s="157">
        <v>41961</v>
      </c>
      <c r="B13803" s="158">
        <v>2.77</v>
      </c>
    </row>
    <row r="13804" spans="1:2" x14ac:dyDescent="0.25">
      <c r="A13804" s="157">
        <v>41962</v>
      </c>
      <c r="B13804" s="158">
        <v>2.8</v>
      </c>
    </row>
    <row r="13805" spans="1:2" x14ac:dyDescent="0.25">
      <c r="A13805" s="157">
        <v>41963</v>
      </c>
      <c r="B13805" s="158">
        <v>2.78</v>
      </c>
    </row>
    <row r="13806" spans="1:2" x14ac:dyDescent="0.25">
      <c r="A13806" s="157">
        <v>41964</v>
      </c>
      <c r="B13806" s="158">
        <v>2.75</v>
      </c>
    </row>
    <row r="13807" spans="1:2" x14ac:dyDescent="0.25">
      <c r="A13807" s="157">
        <v>41967</v>
      </c>
      <c r="B13807" s="158">
        <v>2.74</v>
      </c>
    </row>
    <row r="13808" spans="1:2" x14ac:dyDescent="0.25">
      <c r="A13808" s="157">
        <v>41968</v>
      </c>
      <c r="B13808" s="158">
        <v>2.69</v>
      </c>
    </row>
    <row r="13809" spans="1:2" x14ac:dyDescent="0.25">
      <c r="A13809" s="157">
        <v>41969</v>
      </c>
      <c r="B13809" s="158">
        <v>2.67</v>
      </c>
    </row>
    <row r="13810" spans="1:2" x14ac:dyDescent="0.25">
      <c r="A13810" s="157">
        <v>41970</v>
      </c>
      <c r="B13810" s="158" t="e">
        <f>NA()</f>
        <v>#N/A</v>
      </c>
    </row>
    <row r="13811" spans="1:2" x14ac:dyDescent="0.25">
      <c r="A13811" s="157">
        <v>41971</v>
      </c>
      <c r="B13811" s="158">
        <v>2.62</v>
      </c>
    </row>
    <row r="13812" spans="1:2" x14ac:dyDescent="0.25">
      <c r="A13812" s="157">
        <v>41974</v>
      </c>
      <c r="B13812" s="158">
        <v>2.66</v>
      </c>
    </row>
    <row r="13813" spans="1:2" x14ac:dyDescent="0.25">
      <c r="A13813" s="157">
        <v>41975</v>
      </c>
      <c r="B13813" s="158">
        <v>2.72</v>
      </c>
    </row>
    <row r="13814" spans="1:2" x14ac:dyDescent="0.25">
      <c r="A13814" s="157">
        <v>41976</v>
      </c>
      <c r="B13814" s="158">
        <v>2.71</v>
      </c>
    </row>
    <row r="13815" spans="1:2" x14ac:dyDescent="0.25">
      <c r="A13815" s="157">
        <v>41977</v>
      </c>
      <c r="B13815" s="158">
        <v>2.66</v>
      </c>
    </row>
    <row r="13816" spans="1:2" x14ac:dyDescent="0.25">
      <c r="A13816" s="157">
        <v>41978</v>
      </c>
      <c r="B13816" s="158">
        <v>2.69</v>
      </c>
    </row>
    <row r="13817" spans="1:2" x14ac:dyDescent="0.25">
      <c r="A13817" s="157">
        <v>41981</v>
      </c>
      <c r="B13817" s="158">
        <v>2.62</v>
      </c>
    </row>
    <row r="13818" spans="1:2" x14ac:dyDescent="0.25">
      <c r="A13818" s="157">
        <v>41982</v>
      </c>
      <c r="B13818" s="158">
        <v>2.58</v>
      </c>
    </row>
    <row r="13819" spans="1:2" x14ac:dyDescent="0.25">
      <c r="A13819" s="157">
        <v>41983</v>
      </c>
      <c r="B13819" s="158">
        <v>2.54</v>
      </c>
    </row>
    <row r="13820" spans="1:2" x14ac:dyDescent="0.25">
      <c r="A13820" s="157">
        <v>41984</v>
      </c>
      <c r="B13820" s="158">
        <v>2.54</v>
      </c>
    </row>
    <row r="13821" spans="1:2" x14ac:dyDescent="0.25">
      <c r="A13821" s="157">
        <v>41985</v>
      </c>
      <c r="B13821" s="158">
        <v>2.4500000000000002</v>
      </c>
    </row>
    <row r="13822" spans="1:2" x14ac:dyDescent="0.25">
      <c r="A13822" s="157">
        <v>41988</v>
      </c>
      <c r="B13822" s="158">
        <v>2.4500000000000002</v>
      </c>
    </row>
    <row r="13823" spans="1:2" x14ac:dyDescent="0.25">
      <c r="A13823" s="157">
        <v>41989</v>
      </c>
      <c r="B13823" s="158">
        <v>2.4</v>
      </c>
    </row>
    <row r="13824" spans="1:2" x14ac:dyDescent="0.25">
      <c r="A13824" s="157">
        <v>41990</v>
      </c>
      <c r="B13824" s="158">
        <v>2.46</v>
      </c>
    </row>
    <row r="13825" spans="1:2" x14ac:dyDescent="0.25">
      <c r="A13825" s="157">
        <v>41991</v>
      </c>
      <c r="B13825" s="158">
        <v>2.54</v>
      </c>
    </row>
    <row r="13826" spans="1:2" x14ac:dyDescent="0.25">
      <c r="A13826" s="157">
        <v>41992</v>
      </c>
      <c r="B13826" s="158">
        <v>2.48</v>
      </c>
    </row>
    <row r="13827" spans="1:2" x14ac:dyDescent="0.25">
      <c r="A13827" s="157">
        <v>41995</v>
      </c>
      <c r="B13827" s="158">
        <v>2.4700000000000002</v>
      </c>
    </row>
    <row r="13828" spans="1:2" x14ac:dyDescent="0.25">
      <c r="A13828" s="157">
        <v>41996</v>
      </c>
      <c r="B13828" s="158">
        <v>2.57</v>
      </c>
    </row>
    <row r="13829" spans="1:2" x14ac:dyDescent="0.25">
      <c r="A13829" s="157">
        <v>41997</v>
      </c>
      <c r="B13829" s="158">
        <v>2.56</v>
      </c>
    </row>
    <row r="13830" spans="1:2" x14ac:dyDescent="0.25">
      <c r="A13830" s="157">
        <v>41998</v>
      </c>
      <c r="B13830" s="158" t="e">
        <f>NA()</f>
        <v>#N/A</v>
      </c>
    </row>
    <row r="13831" spans="1:2" x14ac:dyDescent="0.25">
      <c r="A13831" s="157">
        <v>41999</v>
      </c>
      <c r="B13831" s="158">
        <v>2.54</v>
      </c>
    </row>
    <row r="13832" spans="1:2" x14ac:dyDescent="0.25">
      <c r="A13832" s="157">
        <v>42002</v>
      </c>
      <c r="B13832" s="158">
        <v>2.5099999999999998</v>
      </c>
    </row>
    <row r="13833" spans="1:2" x14ac:dyDescent="0.25">
      <c r="A13833" s="157">
        <v>42003</v>
      </c>
      <c r="B13833" s="158">
        <v>2.4900000000000002</v>
      </c>
    </row>
    <row r="13834" spans="1:2" x14ac:dyDescent="0.25">
      <c r="A13834" s="157">
        <v>42004</v>
      </c>
      <c r="B13834" s="158">
        <v>2.4700000000000002</v>
      </c>
    </row>
    <row r="13835" spans="1:2" x14ac:dyDescent="0.25">
      <c r="A13835" s="157">
        <v>42005</v>
      </c>
      <c r="B13835" s="158" t="e">
        <f>NA()</f>
        <v>#N/A</v>
      </c>
    </row>
    <row r="13836" spans="1:2" x14ac:dyDescent="0.25">
      <c r="A13836" s="157">
        <v>42006</v>
      </c>
      <c r="B13836" s="158">
        <v>2.41</v>
      </c>
    </row>
    <row r="13837" spans="1:2" x14ac:dyDescent="0.25">
      <c r="A13837" s="157">
        <v>42009</v>
      </c>
      <c r="B13837" s="158">
        <v>2.3199999999999998</v>
      </c>
    </row>
    <row r="13838" spans="1:2" x14ac:dyDescent="0.25">
      <c r="A13838" s="157">
        <v>42010</v>
      </c>
      <c r="B13838" s="158">
        <v>2.25</v>
      </c>
    </row>
    <row r="13839" spans="1:2" x14ac:dyDescent="0.25">
      <c r="A13839" s="157">
        <v>42011</v>
      </c>
      <c r="B13839" s="158">
        <v>2.25</v>
      </c>
    </row>
    <row r="13840" spans="1:2" x14ac:dyDescent="0.25">
      <c r="A13840" s="157">
        <v>42012</v>
      </c>
      <c r="B13840" s="158">
        <v>2.33</v>
      </c>
    </row>
    <row r="13841" spans="1:2" x14ac:dyDescent="0.25">
      <c r="A13841" s="157">
        <v>42013</v>
      </c>
      <c r="B13841" s="158">
        <v>2.29</v>
      </c>
    </row>
    <row r="13842" spans="1:2" x14ac:dyDescent="0.25">
      <c r="A13842" s="157">
        <v>42016</v>
      </c>
      <c r="B13842" s="158">
        <v>2.23</v>
      </c>
    </row>
    <row r="13843" spans="1:2" x14ac:dyDescent="0.25">
      <c r="A13843" s="157">
        <v>42017</v>
      </c>
      <c r="B13843" s="158">
        <v>2.2400000000000002</v>
      </c>
    </row>
    <row r="13844" spans="1:2" x14ac:dyDescent="0.25">
      <c r="A13844" s="157">
        <v>42018</v>
      </c>
      <c r="B13844" s="158">
        <v>2.2000000000000002</v>
      </c>
    </row>
    <row r="13845" spans="1:2" x14ac:dyDescent="0.25">
      <c r="A13845" s="157">
        <v>42019</v>
      </c>
      <c r="B13845" s="158">
        <v>2.12</v>
      </c>
    </row>
    <row r="13846" spans="1:2" x14ac:dyDescent="0.25">
      <c r="A13846" s="157">
        <v>42020</v>
      </c>
      <c r="B13846" s="158">
        <v>2.17</v>
      </c>
    </row>
    <row r="13847" spans="1:2" x14ac:dyDescent="0.25">
      <c r="A13847" s="157">
        <v>42023</v>
      </c>
      <c r="B13847" s="158" t="e">
        <f>NA()</f>
        <v>#N/A</v>
      </c>
    </row>
    <row r="13848" spans="1:2" x14ac:dyDescent="0.25">
      <c r="A13848" s="157">
        <v>42024</v>
      </c>
      <c r="B13848" s="158">
        <v>2.15</v>
      </c>
    </row>
    <row r="13849" spans="1:2" x14ac:dyDescent="0.25">
      <c r="A13849" s="157">
        <v>42025</v>
      </c>
      <c r="B13849" s="158">
        <v>2.2000000000000002</v>
      </c>
    </row>
    <row r="13850" spans="1:2" x14ac:dyDescent="0.25">
      <c r="A13850" s="157">
        <v>42026</v>
      </c>
      <c r="B13850" s="158">
        <v>2.21</v>
      </c>
    </row>
    <row r="13851" spans="1:2" x14ac:dyDescent="0.25">
      <c r="A13851" s="157">
        <v>42027</v>
      </c>
      <c r="B13851" s="158">
        <v>2.12</v>
      </c>
    </row>
    <row r="13852" spans="1:2" x14ac:dyDescent="0.25">
      <c r="A13852" s="157">
        <v>42030</v>
      </c>
      <c r="B13852" s="158">
        <v>2.14</v>
      </c>
    </row>
    <row r="13853" spans="1:2" x14ac:dyDescent="0.25">
      <c r="A13853" s="157">
        <v>42031</v>
      </c>
      <c r="B13853" s="158">
        <v>2.15</v>
      </c>
    </row>
    <row r="13854" spans="1:2" x14ac:dyDescent="0.25">
      <c r="A13854" s="157">
        <v>42032</v>
      </c>
      <c r="B13854" s="158">
        <v>2.0499999999999998</v>
      </c>
    </row>
    <row r="13855" spans="1:2" x14ac:dyDescent="0.25">
      <c r="A13855" s="157">
        <v>42033</v>
      </c>
      <c r="B13855" s="158">
        <v>2.11</v>
      </c>
    </row>
    <row r="13856" spans="1:2" x14ac:dyDescent="0.25">
      <c r="A13856" s="157">
        <v>42034</v>
      </c>
      <c r="B13856" s="158">
        <v>2.04</v>
      </c>
    </row>
    <row r="13857" spans="1:2" x14ac:dyDescent="0.25">
      <c r="A13857" s="157">
        <v>42037</v>
      </c>
      <c r="B13857" s="158">
        <v>2.0699999999999998</v>
      </c>
    </row>
    <row r="13858" spans="1:2" x14ac:dyDescent="0.25">
      <c r="A13858" s="157">
        <v>42038</v>
      </c>
      <c r="B13858" s="158">
        <v>2.16</v>
      </c>
    </row>
    <row r="13859" spans="1:2" x14ac:dyDescent="0.25">
      <c r="A13859" s="157">
        <v>42039</v>
      </c>
      <c r="B13859" s="158">
        <v>2.17</v>
      </c>
    </row>
    <row r="13860" spans="1:2" x14ac:dyDescent="0.25">
      <c r="A13860" s="157">
        <v>42040</v>
      </c>
      <c r="B13860" s="158">
        <v>2.2000000000000002</v>
      </c>
    </row>
    <row r="13861" spans="1:2" x14ac:dyDescent="0.25">
      <c r="A13861" s="157">
        <v>42041</v>
      </c>
      <c r="B13861" s="158">
        <v>2.2799999999999998</v>
      </c>
    </row>
    <row r="13862" spans="1:2" x14ac:dyDescent="0.25">
      <c r="A13862" s="157">
        <v>42044</v>
      </c>
      <c r="B13862" s="158">
        <v>2.2799999999999998</v>
      </c>
    </row>
    <row r="13863" spans="1:2" x14ac:dyDescent="0.25">
      <c r="A13863" s="157">
        <v>42045</v>
      </c>
      <c r="B13863" s="158">
        <v>2.33</v>
      </c>
    </row>
    <row r="13864" spans="1:2" x14ac:dyDescent="0.25">
      <c r="A13864" s="157">
        <v>42046</v>
      </c>
      <c r="B13864" s="158">
        <v>2.33</v>
      </c>
    </row>
    <row r="13865" spans="1:2" x14ac:dyDescent="0.25">
      <c r="A13865" s="157">
        <v>42047</v>
      </c>
      <c r="B13865" s="158">
        <v>2.33</v>
      </c>
    </row>
    <row r="13866" spans="1:2" x14ac:dyDescent="0.25">
      <c r="A13866" s="157">
        <v>42048</v>
      </c>
      <c r="B13866" s="158">
        <v>2.39</v>
      </c>
    </row>
    <row r="13867" spans="1:2" x14ac:dyDescent="0.25">
      <c r="A13867" s="157">
        <v>42051</v>
      </c>
      <c r="B13867" s="158" t="e">
        <f>NA()</f>
        <v>#N/A</v>
      </c>
    </row>
    <row r="13868" spans="1:2" x14ac:dyDescent="0.25">
      <c r="A13868" s="157">
        <v>42052</v>
      </c>
      <c r="B13868" s="158">
        <v>2.4900000000000002</v>
      </c>
    </row>
    <row r="13869" spans="1:2" x14ac:dyDescent="0.25">
      <c r="A13869" s="157">
        <v>42053</v>
      </c>
      <c r="B13869" s="158">
        <v>2.46</v>
      </c>
    </row>
    <row r="13870" spans="1:2" x14ac:dyDescent="0.25">
      <c r="A13870" s="157">
        <v>42054</v>
      </c>
      <c r="B13870" s="158">
        <v>2.5</v>
      </c>
    </row>
    <row r="13871" spans="1:2" x14ac:dyDescent="0.25">
      <c r="A13871" s="157">
        <v>42055</v>
      </c>
      <c r="B13871" s="158">
        <v>2.5</v>
      </c>
    </row>
    <row r="13872" spans="1:2" x14ac:dyDescent="0.25">
      <c r="A13872" s="157">
        <v>42058</v>
      </c>
      <c r="B13872" s="158">
        <v>2.44</v>
      </c>
    </row>
    <row r="13873" spans="1:2" x14ac:dyDescent="0.25">
      <c r="A13873" s="157">
        <v>42059</v>
      </c>
      <c r="B13873" s="158">
        <v>2.38</v>
      </c>
    </row>
    <row r="13874" spans="1:2" x14ac:dyDescent="0.25">
      <c r="A13874" s="157">
        <v>42060</v>
      </c>
      <c r="B13874" s="158">
        <v>2.35</v>
      </c>
    </row>
    <row r="13875" spans="1:2" x14ac:dyDescent="0.25">
      <c r="A13875" s="157">
        <v>42061</v>
      </c>
      <c r="B13875" s="158">
        <v>2.39</v>
      </c>
    </row>
    <row r="13876" spans="1:2" x14ac:dyDescent="0.25">
      <c r="A13876" s="157">
        <v>42062</v>
      </c>
      <c r="B13876" s="158">
        <v>2.38</v>
      </c>
    </row>
    <row r="13877" spans="1:2" x14ac:dyDescent="0.25">
      <c r="A13877" s="157">
        <v>42065</v>
      </c>
      <c r="B13877" s="158">
        <v>2.46</v>
      </c>
    </row>
    <row r="13878" spans="1:2" x14ac:dyDescent="0.25">
      <c r="A13878" s="157">
        <v>42066</v>
      </c>
      <c r="B13878" s="158">
        <v>2.4900000000000002</v>
      </c>
    </row>
    <row r="13879" spans="1:2" x14ac:dyDescent="0.25">
      <c r="A13879" s="157">
        <v>42067</v>
      </c>
      <c r="B13879" s="158">
        <v>2.4900000000000002</v>
      </c>
    </row>
    <row r="13880" spans="1:2" x14ac:dyDescent="0.25">
      <c r="A13880" s="157">
        <v>42068</v>
      </c>
      <c r="B13880" s="158">
        <v>2.4900000000000002</v>
      </c>
    </row>
    <row r="13881" spans="1:2" x14ac:dyDescent="0.25">
      <c r="A13881" s="157">
        <v>42069</v>
      </c>
      <c r="B13881" s="158">
        <v>2.63</v>
      </c>
    </row>
    <row r="13882" spans="1:2" x14ac:dyDescent="0.25">
      <c r="A13882" s="157">
        <v>42072</v>
      </c>
      <c r="B13882" s="158">
        <v>2.58</v>
      </c>
    </row>
    <row r="13883" spans="1:2" x14ac:dyDescent="0.25">
      <c r="A13883" s="157">
        <v>42073</v>
      </c>
      <c r="B13883" s="158">
        <v>2.5099999999999998</v>
      </c>
    </row>
    <row r="13884" spans="1:2" x14ac:dyDescent="0.25">
      <c r="A13884" s="157">
        <v>42074</v>
      </c>
      <c r="B13884" s="158">
        <v>2.4700000000000002</v>
      </c>
    </row>
    <row r="13885" spans="1:2" x14ac:dyDescent="0.25">
      <c r="A13885" s="157">
        <v>42075</v>
      </c>
      <c r="B13885" s="158">
        <v>2.4700000000000002</v>
      </c>
    </row>
    <row r="13886" spans="1:2" x14ac:dyDescent="0.25">
      <c r="A13886" s="157">
        <v>42076</v>
      </c>
      <c r="B13886" s="158">
        <v>2.48</v>
      </c>
    </row>
    <row r="13887" spans="1:2" x14ac:dyDescent="0.25">
      <c r="A13887" s="157">
        <v>42079</v>
      </c>
      <c r="B13887" s="158">
        <v>2.4500000000000002</v>
      </c>
    </row>
    <row r="13888" spans="1:2" x14ac:dyDescent="0.25">
      <c r="A13888" s="157">
        <v>42080</v>
      </c>
      <c r="B13888" s="158">
        <v>2.4</v>
      </c>
    </row>
    <row r="13889" spans="1:2" x14ac:dyDescent="0.25">
      <c r="A13889" s="157">
        <v>42081</v>
      </c>
      <c r="B13889" s="158">
        <v>2.31</v>
      </c>
    </row>
    <row r="13890" spans="1:2" x14ac:dyDescent="0.25">
      <c r="A13890" s="157">
        <v>42082</v>
      </c>
      <c r="B13890" s="158">
        <v>2.33</v>
      </c>
    </row>
    <row r="13891" spans="1:2" x14ac:dyDescent="0.25">
      <c r="A13891" s="157">
        <v>42083</v>
      </c>
      <c r="B13891" s="158">
        <v>2.29</v>
      </c>
    </row>
    <row r="13892" spans="1:2" x14ac:dyDescent="0.25">
      <c r="A13892" s="157">
        <v>42086</v>
      </c>
      <c r="B13892" s="158">
        <v>2.29</v>
      </c>
    </row>
    <row r="13893" spans="1:2" x14ac:dyDescent="0.25">
      <c r="A13893" s="157">
        <v>42087</v>
      </c>
      <c r="B13893" s="158">
        <v>2.2400000000000002</v>
      </c>
    </row>
    <row r="13894" spans="1:2" x14ac:dyDescent="0.25">
      <c r="A13894" s="157">
        <v>42088</v>
      </c>
      <c r="B13894" s="158">
        <v>2.2799999999999998</v>
      </c>
    </row>
    <row r="13895" spans="1:2" x14ac:dyDescent="0.25">
      <c r="A13895" s="157">
        <v>42089</v>
      </c>
      <c r="B13895" s="158">
        <v>2.37</v>
      </c>
    </row>
    <row r="13896" spans="1:2" x14ac:dyDescent="0.25">
      <c r="A13896" s="157">
        <v>42090</v>
      </c>
      <c r="B13896" s="158">
        <v>2.29</v>
      </c>
    </row>
    <row r="13897" spans="1:2" x14ac:dyDescent="0.25">
      <c r="A13897" s="157">
        <v>42093</v>
      </c>
      <c r="B13897" s="158">
        <v>2.3199999999999998</v>
      </c>
    </row>
    <row r="13898" spans="1:2" x14ac:dyDescent="0.25">
      <c r="A13898" s="157">
        <v>42094</v>
      </c>
      <c r="B13898" s="158">
        <v>2.31</v>
      </c>
    </row>
    <row r="13899" spans="1:2" x14ac:dyDescent="0.25">
      <c r="A13899" s="157">
        <v>42095</v>
      </c>
      <c r="B13899" s="158">
        <v>2.23</v>
      </c>
    </row>
    <row r="13900" spans="1:2" x14ac:dyDescent="0.25">
      <c r="A13900" s="157">
        <v>42096</v>
      </c>
      <c r="B13900" s="158">
        <v>2.29</v>
      </c>
    </row>
    <row r="13901" spans="1:2" x14ac:dyDescent="0.25">
      <c r="A13901" s="157">
        <v>42097</v>
      </c>
      <c r="B13901" s="158">
        <v>2.2400000000000002</v>
      </c>
    </row>
    <row r="13902" spans="1:2" x14ac:dyDescent="0.25">
      <c r="A13902" s="157">
        <v>42100</v>
      </c>
      <c r="B13902" s="158">
        <v>2.31</v>
      </c>
    </row>
    <row r="13903" spans="1:2" x14ac:dyDescent="0.25">
      <c r="A13903" s="157">
        <v>42101</v>
      </c>
      <c r="B13903" s="158">
        <v>2.27</v>
      </c>
    </row>
    <row r="13904" spans="1:2" x14ac:dyDescent="0.25">
      <c r="A13904" s="157">
        <v>42102</v>
      </c>
      <c r="B13904" s="158">
        <v>2.2799999999999998</v>
      </c>
    </row>
    <row r="13905" spans="1:2" x14ac:dyDescent="0.25">
      <c r="A13905" s="157">
        <v>42103</v>
      </c>
      <c r="B13905" s="158">
        <v>2.35</v>
      </c>
    </row>
    <row r="13906" spans="1:2" x14ac:dyDescent="0.25">
      <c r="A13906" s="157">
        <v>42104</v>
      </c>
      <c r="B13906" s="158">
        <v>2.33</v>
      </c>
    </row>
    <row r="13907" spans="1:2" x14ac:dyDescent="0.25">
      <c r="A13907" s="157">
        <v>42107</v>
      </c>
      <c r="B13907" s="158">
        <v>2.33</v>
      </c>
    </row>
    <row r="13908" spans="1:2" x14ac:dyDescent="0.25">
      <c r="A13908" s="157">
        <v>42108</v>
      </c>
      <c r="B13908" s="158">
        <v>2.29</v>
      </c>
    </row>
    <row r="13909" spans="1:2" x14ac:dyDescent="0.25">
      <c r="A13909" s="157">
        <v>42109</v>
      </c>
      <c r="B13909" s="158">
        <v>2.2999999999999998</v>
      </c>
    </row>
    <row r="13910" spans="1:2" x14ac:dyDescent="0.25">
      <c r="A13910" s="157">
        <v>42110</v>
      </c>
      <c r="B13910" s="158">
        <v>2.31</v>
      </c>
    </row>
    <row r="13911" spans="1:2" x14ac:dyDescent="0.25">
      <c r="A13911" s="157">
        <v>42111</v>
      </c>
      <c r="B13911" s="158">
        <v>2.2599999999999998</v>
      </c>
    </row>
    <row r="13912" spans="1:2" x14ac:dyDescent="0.25">
      <c r="A13912" s="157">
        <v>42114</v>
      </c>
      <c r="B13912" s="158">
        <v>2.31</v>
      </c>
    </row>
    <row r="13913" spans="1:2" x14ac:dyDescent="0.25">
      <c r="A13913" s="157">
        <v>42115</v>
      </c>
      <c r="B13913" s="158">
        <v>2.33</v>
      </c>
    </row>
    <row r="13914" spans="1:2" x14ac:dyDescent="0.25">
      <c r="A13914" s="157">
        <v>42116</v>
      </c>
      <c r="B13914" s="158">
        <v>2.42</v>
      </c>
    </row>
    <row r="13915" spans="1:2" x14ac:dyDescent="0.25">
      <c r="A13915" s="157">
        <v>42117</v>
      </c>
      <c r="B13915" s="158">
        <v>2.38</v>
      </c>
    </row>
    <row r="13916" spans="1:2" x14ac:dyDescent="0.25">
      <c r="A13916" s="157">
        <v>42118</v>
      </c>
      <c r="B13916" s="158">
        <v>2.36</v>
      </c>
    </row>
    <row r="13917" spans="1:2" x14ac:dyDescent="0.25">
      <c r="A13917" s="157">
        <v>42121</v>
      </c>
      <c r="B13917" s="158">
        <v>2.36</v>
      </c>
    </row>
    <row r="13918" spans="1:2" x14ac:dyDescent="0.25">
      <c r="A13918" s="157">
        <v>42122</v>
      </c>
      <c r="B13918" s="158">
        <v>2.42</v>
      </c>
    </row>
    <row r="13919" spans="1:2" x14ac:dyDescent="0.25">
      <c r="A13919" s="157">
        <v>42123</v>
      </c>
      <c r="B13919" s="158">
        <v>2.4900000000000002</v>
      </c>
    </row>
    <row r="13920" spans="1:2" x14ac:dyDescent="0.25">
      <c r="A13920" s="157">
        <v>42124</v>
      </c>
      <c r="B13920" s="158">
        <v>2.4900000000000002</v>
      </c>
    </row>
    <row r="13921" spans="1:2" x14ac:dyDescent="0.25">
      <c r="A13921" s="157">
        <v>42125</v>
      </c>
      <c r="B13921" s="158">
        <v>2.57</v>
      </c>
    </row>
    <row r="13922" spans="1:2" x14ac:dyDescent="0.25">
      <c r="A13922" s="157">
        <v>42128</v>
      </c>
      <c r="B13922" s="158">
        <v>2.62</v>
      </c>
    </row>
    <row r="13923" spans="1:2" x14ac:dyDescent="0.25">
      <c r="A13923" s="157">
        <v>42129</v>
      </c>
      <c r="B13923" s="158">
        <v>2.64</v>
      </c>
    </row>
    <row r="13924" spans="1:2" x14ac:dyDescent="0.25">
      <c r="A13924" s="157">
        <v>42130</v>
      </c>
      <c r="B13924" s="158">
        <v>2.72</v>
      </c>
    </row>
    <row r="13925" spans="1:2" x14ac:dyDescent="0.25">
      <c r="A13925" s="157">
        <v>42131</v>
      </c>
      <c r="B13925" s="158">
        <v>2.63</v>
      </c>
    </row>
    <row r="13926" spans="1:2" x14ac:dyDescent="0.25">
      <c r="A13926" s="157">
        <v>42132</v>
      </c>
      <c r="B13926" s="158">
        <v>2.63</v>
      </c>
    </row>
    <row r="13927" spans="1:2" x14ac:dyDescent="0.25">
      <c r="A13927" s="157">
        <v>42135</v>
      </c>
      <c r="B13927" s="158">
        <v>2.76</v>
      </c>
    </row>
    <row r="13928" spans="1:2" x14ac:dyDescent="0.25">
      <c r="A13928" s="157">
        <v>42136</v>
      </c>
      <c r="B13928" s="158">
        <v>2.75</v>
      </c>
    </row>
    <row r="13929" spans="1:2" x14ac:dyDescent="0.25">
      <c r="A13929" s="157">
        <v>42137</v>
      </c>
      <c r="B13929" s="158">
        <v>2.79</v>
      </c>
    </row>
    <row r="13930" spans="1:2" x14ac:dyDescent="0.25">
      <c r="A13930" s="157">
        <v>42138</v>
      </c>
      <c r="B13930" s="158">
        <v>2.76</v>
      </c>
    </row>
    <row r="13931" spans="1:2" x14ac:dyDescent="0.25">
      <c r="A13931" s="157">
        <v>42139</v>
      </c>
      <c r="B13931" s="158">
        <v>2.66</v>
      </c>
    </row>
    <row r="13932" spans="1:2" x14ac:dyDescent="0.25">
      <c r="A13932" s="157">
        <v>42142</v>
      </c>
      <c r="B13932" s="158">
        <v>2.75</v>
      </c>
    </row>
    <row r="13933" spans="1:2" x14ac:dyDescent="0.25">
      <c r="A13933" s="157">
        <v>42143</v>
      </c>
      <c r="B13933" s="158">
        <v>2.79</v>
      </c>
    </row>
    <row r="13934" spans="1:2" x14ac:dyDescent="0.25">
      <c r="A13934" s="157">
        <v>42144</v>
      </c>
      <c r="B13934" s="158">
        <v>2.79</v>
      </c>
    </row>
    <row r="13935" spans="1:2" x14ac:dyDescent="0.25">
      <c r="A13935" s="157">
        <v>42145</v>
      </c>
      <c r="B13935" s="158">
        <v>2.71</v>
      </c>
    </row>
    <row r="13936" spans="1:2" x14ac:dyDescent="0.25">
      <c r="A13936" s="157">
        <v>42146</v>
      </c>
      <c r="B13936" s="158">
        <v>2.73</v>
      </c>
    </row>
    <row r="13937" spans="1:2" x14ac:dyDescent="0.25">
      <c r="A13937" s="157">
        <v>42149</v>
      </c>
      <c r="B13937" s="158" t="e">
        <f>NA()</f>
        <v>#N/A</v>
      </c>
    </row>
    <row r="13938" spans="1:2" x14ac:dyDescent="0.25">
      <c r="A13938" s="157">
        <v>42150</v>
      </c>
      <c r="B13938" s="158">
        <v>2.64</v>
      </c>
    </row>
    <row r="13939" spans="1:2" x14ac:dyDescent="0.25">
      <c r="A13939" s="157">
        <v>42151</v>
      </c>
      <c r="B13939" s="158">
        <v>2.63</v>
      </c>
    </row>
    <row r="13940" spans="1:2" x14ac:dyDescent="0.25">
      <c r="A13940" s="157">
        <v>42152</v>
      </c>
      <c r="B13940" s="158">
        <v>2.64</v>
      </c>
    </row>
    <row r="13941" spans="1:2" x14ac:dyDescent="0.25">
      <c r="A13941" s="157">
        <v>42153</v>
      </c>
      <c r="B13941" s="158">
        <v>2.63</v>
      </c>
    </row>
    <row r="13942" spans="1:2" x14ac:dyDescent="0.25">
      <c r="A13942" s="157">
        <v>42156</v>
      </c>
      <c r="B13942" s="158">
        <v>2.69</v>
      </c>
    </row>
    <row r="13943" spans="1:2" x14ac:dyDescent="0.25">
      <c r="A13943" s="157">
        <v>42157</v>
      </c>
      <c r="B13943" s="158">
        <v>2.77</v>
      </c>
    </row>
    <row r="13944" spans="1:2" x14ac:dyDescent="0.25">
      <c r="A13944" s="157">
        <v>42158</v>
      </c>
      <c r="B13944" s="158">
        <v>2.87</v>
      </c>
    </row>
    <row r="13945" spans="1:2" x14ac:dyDescent="0.25">
      <c r="A13945" s="157">
        <v>42159</v>
      </c>
      <c r="B13945" s="158">
        <v>2.78</v>
      </c>
    </row>
    <row r="13946" spans="1:2" x14ac:dyDescent="0.25">
      <c r="A13946" s="157">
        <v>42160</v>
      </c>
      <c r="B13946" s="158">
        <v>2.87</v>
      </c>
    </row>
    <row r="13947" spans="1:2" x14ac:dyDescent="0.25">
      <c r="A13947" s="157">
        <v>42163</v>
      </c>
      <c r="B13947" s="158">
        <v>2.86</v>
      </c>
    </row>
    <row r="13948" spans="1:2" x14ac:dyDescent="0.25">
      <c r="A13948" s="157">
        <v>42164</v>
      </c>
      <c r="B13948" s="158">
        <v>2.89</v>
      </c>
    </row>
    <row r="13949" spans="1:2" x14ac:dyDescent="0.25">
      <c r="A13949" s="157">
        <v>42165</v>
      </c>
      <c r="B13949" s="158">
        <v>2.96</v>
      </c>
    </row>
    <row r="13950" spans="1:2" x14ac:dyDescent="0.25">
      <c r="A13950" s="157">
        <v>42166</v>
      </c>
      <c r="B13950" s="158">
        <v>2.84</v>
      </c>
    </row>
    <row r="13951" spans="1:2" x14ac:dyDescent="0.25">
      <c r="A13951" s="157">
        <v>42167</v>
      </c>
      <c r="B13951" s="158">
        <v>2.84</v>
      </c>
    </row>
    <row r="13952" spans="1:2" x14ac:dyDescent="0.25">
      <c r="A13952" s="157">
        <v>42170</v>
      </c>
      <c r="B13952" s="158">
        <v>2.83</v>
      </c>
    </row>
    <row r="13953" spans="1:2" x14ac:dyDescent="0.25">
      <c r="A13953" s="157">
        <v>42171</v>
      </c>
      <c r="B13953" s="158">
        <v>2.79</v>
      </c>
    </row>
    <row r="13954" spans="1:2" x14ac:dyDescent="0.25">
      <c r="A13954" s="157">
        <v>42172</v>
      </c>
      <c r="B13954" s="158">
        <v>2.82</v>
      </c>
    </row>
    <row r="13955" spans="1:2" x14ac:dyDescent="0.25">
      <c r="A13955" s="157">
        <v>42173</v>
      </c>
      <c r="B13955" s="158">
        <v>2.86</v>
      </c>
    </row>
    <row r="13956" spans="1:2" x14ac:dyDescent="0.25">
      <c r="A13956" s="157">
        <v>42174</v>
      </c>
      <c r="B13956" s="158">
        <v>2.76</v>
      </c>
    </row>
    <row r="13957" spans="1:2" x14ac:dyDescent="0.25">
      <c r="A13957" s="157">
        <v>42177</v>
      </c>
      <c r="B13957" s="158">
        <v>2.87</v>
      </c>
    </row>
    <row r="13958" spans="1:2" x14ac:dyDescent="0.25">
      <c r="A13958" s="157">
        <v>42178</v>
      </c>
      <c r="B13958" s="158">
        <v>2.92</v>
      </c>
    </row>
    <row r="13959" spans="1:2" x14ac:dyDescent="0.25">
      <c r="A13959" s="157">
        <v>42179</v>
      </c>
      <c r="B13959" s="158">
        <v>2.87</v>
      </c>
    </row>
    <row r="13960" spans="1:2" x14ac:dyDescent="0.25">
      <c r="A13960" s="157">
        <v>42180</v>
      </c>
      <c r="B13960" s="158">
        <v>2.88</v>
      </c>
    </row>
    <row r="13961" spans="1:2" x14ac:dyDescent="0.25">
      <c r="A13961" s="157">
        <v>42181</v>
      </c>
      <c r="B13961" s="158">
        <v>2.98</v>
      </c>
    </row>
    <row r="13962" spans="1:2" x14ac:dyDescent="0.25">
      <c r="A13962" s="157">
        <v>42184</v>
      </c>
      <c r="B13962" s="158">
        <v>2.82</v>
      </c>
    </row>
    <row r="13963" spans="1:2" x14ac:dyDescent="0.25">
      <c r="A13963" s="157">
        <v>42185</v>
      </c>
      <c r="B13963" s="158">
        <v>2.83</v>
      </c>
    </row>
    <row r="13964" spans="1:2" x14ac:dyDescent="0.25">
      <c r="A13964" s="157">
        <v>42186</v>
      </c>
      <c r="B13964" s="158">
        <v>2.92</v>
      </c>
    </row>
    <row r="13965" spans="1:2" x14ac:dyDescent="0.25">
      <c r="A13965" s="157">
        <v>42187</v>
      </c>
      <c r="B13965" s="158">
        <v>2.9</v>
      </c>
    </row>
    <row r="13966" spans="1:2" x14ac:dyDescent="0.25">
      <c r="A13966" s="157">
        <v>42188</v>
      </c>
      <c r="B13966" s="158" t="e">
        <f>NA()</f>
        <v>#N/A</v>
      </c>
    </row>
    <row r="13967" spans="1:2" x14ac:dyDescent="0.25">
      <c r="A13967" s="157">
        <v>42191</v>
      </c>
      <c r="B13967" s="158">
        <v>2.78</v>
      </c>
    </row>
    <row r="13968" spans="1:2" x14ac:dyDescent="0.25">
      <c r="A13968" s="157">
        <v>42192</v>
      </c>
      <c r="B13968" s="158">
        <v>2.74</v>
      </c>
    </row>
    <row r="13969" spans="1:2" x14ac:dyDescent="0.25">
      <c r="A13969" s="157">
        <v>42193</v>
      </c>
      <c r="B13969" s="158">
        <v>2.69</v>
      </c>
    </row>
    <row r="13970" spans="1:2" x14ac:dyDescent="0.25">
      <c r="A13970" s="157">
        <v>42194</v>
      </c>
      <c r="B13970" s="158">
        <v>2.8</v>
      </c>
    </row>
    <row r="13971" spans="1:2" x14ac:dyDescent="0.25">
      <c r="A13971" s="157">
        <v>42195</v>
      </c>
      <c r="B13971" s="158">
        <v>2.91</v>
      </c>
    </row>
    <row r="13972" spans="1:2" x14ac:dyDescent="0.25">
      <c r="A13972" s="157">
        <v>42198</v>
      </c>
      <c r="B13972" s="158">
        <v>2.92</v>
      </c>
    </row>
    <row r="13973" spans="1:2" x14ac:dyDescent="0.25">
      <c r="A13973" s="157">
        <v>42199</v>
      </c>
      <c r="B13973" s="158">
        <v>2.9</v>
      </c>
    </row>
    <row r="13974" spans="1:2" x14ac:dyDescent="0.25">
      <c r="A13974" s="157">
        <v>42200</v>
      </c>
      <c r="B13974" s="158">
        <v>2.83</v>
      </c>
    </row>
    <row r="13975" spans="1:2" x14ac:dyDescent="0.25">
      <c r="A13975" s="157">
        <v>42201</v>
      </c>
      <c r="B13975" s="158">
        <v>2.81</v>
      </c>
    </row>
    <row r="13976" spans="1:2" x14ac:dyDescent="0.25">
      <c r="A13976" s="157">
        <v>42202</v>
      </c>
      <c r="B13976" s="158">
        <v>2.77</v>
      </c>
    </row>
    <row r="13977" spans="1:2" x14ac:dyDescent="0.25">
      <c r="A13977" s="157">
        <v>42205</v>
      </c>
      <c r="B13977" s="158">
        <v>2.79</v>
      </c>
    </row>
    <row r="13978" spans="1:2" x14ac:dyDescent="0.25">
      <c r="A13978" s="157">
        <v>42206</v>
      </c>
      <c r="B13978" s="158">
        <v>2.77</v>
      </c>
    </row>
    <row r="13979" spans="1:2" x14ac:dyDescent="0.25">
      <c r="A13979" s="157">
        <v>42207</v>
      </c>
      <c r="B13979" s="158">
        <v>2.73</v>
      </c>
    </row>
    <row r="13980" spans="1:2" x14ac:dyDescent="0.25">
      <c r="A13980" s="157">
        <v>42208</v>
      </c>
      <c r="B13980" s="158">
        <v>2.67</v>
      </c>
    </row>
    <row r="13981" spans="1:2" x14ac:dyDescent="0.25">
      <c r="A13981" s="157">
        <v>42209</v>
      </c>
      <c r="B13981" s="158">
        <v>2.67</v>
      </c>
    </row>
    <row r="13982" spans="1:2" x14ac:dyDescent="0.25">
      <c r="A13982" s="157">
        <v>42212</v>
      </c>
      <c r="B13982" s="158">
        <v>2.64</v>
      </c>
    </row>
    <row r="13983" spans="1:2" x14ac:dyDescent="0.25">
      <c r="A13983" s="157">
        <v>42213</v>
      </c>
      <c r="B13983" s="158">
        <v>2.66</v>
      </c>
    </row>
    <row r="13984" spans="1:2" x14ac:dyDescent="0.25">
      <c r="A13984" s="157">
        <v>42214</v>
      </c>
      <c r="B13984" s="158">
        <v>2.69</v>
      </c>
    </row>
    <row r="13985" spans="1:2" x14ac:dyDescent="0.25">
      <c r="A13985" s="157">
        <v>42215</v>
      </c>
      <c r="B13985" s="158">
        <v>2.66</v>
      </c>
    </row>
    <row r="13986" spans="1:2" x14ac:dyDescent="0.25">
      <c r="A13986" s="157">
        <v>42216</v>
      </c>
      <c r="B13986" s="158">
        <v>2.61</v>
      </c>
    </row>
    <row r="13987" spans="1:2" x14ac:dyDescent="0.25">
      <c r="A13987" s="157">
        <v>42219</v>
      </c>
      <c r="B13987" s="158">
        <v>2.5499999999999998</v>
      </c>
    </row>
    <row r="13988" spans="1:2" x14ac:dyDescent="0.25">
      <c r="A13988" s="157">
        <v>42220</v>
      </c>
      <c r="B13988" s="158">
        <v>2.59</v>
      </c>
    </row>
    <row r="13989" spans="1:2" x14ac:dyDescent="0.25">
      <c r="A13989" s="157">
        <v>42221</v>
      </c>
      <c r="B13989" s="158">
        <v>2.64</v>
      </c>
    </row>
    <row r="13990" spans="1:2" x14ac:dyDescent="0.25">
      <c r="A13990" s="157">
        <v>42222</v>
      </c>
      <c r="B13990" s="158">
        <v>2.59</v>
      </c>
    </row>
    <row r="13991" spans="1:2" x14ac:dyDescent="0.25">
      <c r="A13991" s="157">
        <v>42223</v>
      </c>
      <c r="B13991" s="158">
        <v>2.52</v>
      </c>
    </row>
    <row r="13992" spans="1:2" x14ac:dyDescent="0.25">
      <c r="A13992" s="157">
        <v>42226</v>
      </c>
      <c r="B13992" s="158">
        <v>2.58</v>
      </c>
    </row>
    <row r="13993" spans="1:2" x14ac:dyDescent="0.25">
      <c r="A13993" s="157">
        <v>42227</v>
      </c>
      <c r="B13993" s="158">
        <v>2.5</v>
      </c>
    </row>
    <row r="13994" spans="1:2" x14ac:dyDescent="0.25">
      <c r="A13994" s="157">
        <v>42228</v>
      </c>
      <c r="B13994" s="158">
        <v>2.52</v>
      </c>
    </row>
    <row r="13995" spans="1:2" x14ac:dyDescent="0.25">
      <c r="A13995" s="157">
        <v>42229</v>
      </c>
      <c r="B13995" s="158">
        <v>2.54</v>
      </c>
    </row>
    <row r="13996" spans="1:2" x14ac:dyDescent="0.25">
      <c r="A13996" s="157">
        <v>42230</v>
      </c>
      <c r="B13996" s="158">
        <v>2.54</v>
      </c>
    </row>
    <row r="13997" spans="1:2" x14ac:dyDescent="0.25">
      <c r="A13997" s="157">
        <v>42233</v>
      </c>
      <c r="B13997" s="158">
        <v>2.5099999999999998</v>
      </c>
    </row>
    <row r="13998" spans="1:2" x14ac:dyDescent="0.25">
      <c r="A13998" s="157">
        <v>42234</v>
      </c>
      <c r="B13998" s="158">
        <v>2.56</v>
      </c>
    </row>
    <row r="13999" spans="1:2" x14ac:dyDescent="0.25">
      <c r="A13999" s="157">
        <v>42235</v>
      </c>
      <c r="B13999" s="158">
        <v>2.4900000000000002</v>
      </c>
    </row>
    <row r="14000" spans="1:2" x14ac:dyDescent="0.25">
      <c r="A14000" s="157">
        <v>42236</v>
      </c>
      <c r="B14000" s="158">
        <v>2.4500000000000002</v>
      </c>
    </row>
    <row r="14001" spans="1:2" x14ac:dyDescent="0.25">
      <c r="A14001" s="157">
        <v>42237</v>
      </c>
      <c r="B14001" s="158">
        <v>2.44</v>
      </c>
    </row>
    <row r="14002" spans="1:2" x14ac:dyDescent="0.25">
      <c r="A14002" s="157">
        <v>42240</v>
      </c>
      <c r="B14002" s="158">
        <v>2.42</v>
      </c>
    </row>
    <row r="14003" spans="1:2" x14ac:dyDescent="0.25">
      <c r="A14003" s="157">
        <v>42241</v>
      </c>
      <c r="B14003" s="158">
        <v>2.54</v>
      </c>
    </row>
    <row r="14004" spans="1:2" x14ac:dyDescent="0.25">
      <c r="A14004" s="157">
        <v>42242</v>
      </c>
      <c r="B14004" s="158">
        <v>2.64</v>
      </c>
    </row>
    <row r="14005" spans="1:2" x14ac:dyDescent="0.25">
      <c r="A14005" s="157">
        <v>42243</v>
      </c>
      <c r="B14005" s="158">
        <v>2.61</v>
      </c>
    </row>
    <row r="14006" spans="1:2" x14ac:dyDescent="0.25">
      <c r="A14006" s="157">
        <v>42244</v>
      </c>
      <c r="B14006" s="158">
        <v>2.61</v>
      </c>
    </row>
    <row r="14007" spans="1:2" x14ac:dyDescent="0.25">
      <c r="A14007" s="157">
        <v>42247</v>
      </c>
      <c r="B14007" s="158">
        <v>2.64</v>
      </c>
    </row>
    <row r="14008" spans="1:2" x14ac:dyDescent="0.25">
      <c r="A14008" s="157">
        <v>42248</v>
      </c>
      <c r="B14008" s="158">
        <v>2.62</v>
      </c>
    </row>
    <row r="14009" spans="1:2" x14ac:dyDescent="0.25">
      <c r="A14009" s="157">
        <v>42249</v>
      </c>
      <c r="B14009" s="158">
        <v>2.66</v>
      </c>
    </row>
    <row r="14010" spans="1:2" x14ac:dyDescent="0.25">
      <c r="A14010" s="157">
        <v>42250</v>
      </c>
      <c r="B14010" s="158">
        <v>2.64</v>
      </c>
    </row>
    <row r="14011" spans="1:2" x14ac:dyDescent="0.25">
      <c r="A14011" s="157">
        <v>42251</v>
      </c>
      <c r="B14011" s="158">
        <v>2.58</v>
      </c>
    </row>
    <row r="14012" spans="1:2" x14ac:dyDescent="0.25">
      <c r="A14012" s="157">
        <v>42254</v>
      </c>
      <c r="B14012" s="158" t="e">
        <f>NA()</f>
        <v>#N/A</v>
      </c>
    </row>
    <row r="14013" spans="1:2" x14ac:dyDescent="0.25">
      <c r="A14013" s="157">
        <v>42255</v>
      </c>
      <c r="B14013" s="158">
        <v>2.66</v>
      </c>
    </row>
    <row r="14014" spans="1:2" x14ac:dyDescent="0.25">
      <c r="A14014" s="157">
        <v>42256</v>
      </c>
      <c r="B14014" s="158">
        <v>2.64</v>
      </c>
    </row>
    <row r="14015" spans="1:2" x14ac:dyDescent="0.25">
      <c r="A14015" s="157">
        <v>42257</v>
      </c>
      <c r="B14015" s="158">
        <v>2.66</v>
      </c>
    </row>
    <row r="14016" spans="1:2" x14ac:dyDescent="0.25">
      <c r="A14016" s="157">
        <v>42258</v>
      </c>
      <c r="B14016" s="158">
        <v>2.63</v>
      </c>
    </row>
    <row r="14017" spans="1:2" x14ac:dyDescent="0.25">
      <c r="A14017" s="157">
        <v>42261</v>
      </c>
      <c r="B14017" s="158">
        <v>2.62</v>
      </c>
    </row>
    <row r="14018" spans="1:2" x14ac:dyDescent="0.25">
      <c r="A14018" s="157">
        <v>42262</v>
      </c>
      <c r="B14018" s="158">
        <v>2.73</v>
      </c>
    </row>
    <row r="14019" spans="1:2" x14ac:dyDescent="0.25">
      <c r="A14019" s="157">
        <v>42263</v>
      </c>
      <c r="B14019" s="158">
        <v>2.75</v>
      </c>
    </row>
    <row r="14020" spans="1:2" x14ac:dyDescent="0.25">
      <c r="A14020" s="157">
        <v>42264</v>
      </c>
      <c r="B14020" s="158">
        <v>2.69</v>
      </c>
    </row>
    <row r="14021" spans="1:2" x14ac:dyDescent="0.25">
      <c r="A14021" s="157">
        <v>42265</v>
      </c>
      <c r="B14021" s="158">
        <v>2.58</v>
      </c>
    </row>
    <row r="14022" spans="1:2" x14ac:dyDescent="0.25">
      <c r="A14022" s="157">
        <v>42268</v>
      </c>
      <c r="B14022" s="158">
        <v>2.67</v>
      </c>
    </row>
    <row r="14023" spans="1:2" x14ac:dyDescent="0.25">
      <c r="A14023" s="157">
        <v>42269</v>
      </c>
      <c r="B14023" s="158">
        <v>2.6</v>
      </c>
    </row>
    <row r="14024" spans="1:2" x14ac:dyDescent="0.25">
      <c r="A14024" s="157">
        <v>42270</v>
      </c>
      <c r="B14024" s="158">
        <v>2.6</v>
      </c>
    </row>
    <row r="14025" spans="1:2" x14ac:dyDescent="0.25">
      <c r="A14025" s="157">
        <v>42271</v>
      </c>
      <c r="B14025" s="158">
        <v>2.5499999999999998</v>
      </c>
    </row>
    <row r="14026" spans="1:2" x14ac:dyDescent="0.25">
      <c r="A14026" s="157">
        <v>42272</v>
      </c>
      <c r="B14026" s="158">
        <v>2.6</v>
      </c>
    </row>
    <row r="14027" spans="1:2" x14ac:dyDescent="0.25">
      <c r="A14027" s="157">
        <v>42275</v>
      </c>
      <c r="B14027" s="158">
        <v>2.5099999999999998</v>
      </c>
    </row>
    <row r="14028" spans="1:2" x14ac:dyDescent="0.25">
      <c r="A14028" s="157">
        <v>42276</v>
      </c>
      <c r="B14028" s="158">
        <v>2.48</v>
      </c>
    </row>
    <row r="14029" spans="1:2" x14ac:dyDescent="0.25">
      <c r="A14029" s="157">
        <v>42277</v>
      </c>
      <c r="B14029" s="158">
        <v>2.5099999999999998</v>
      </c>
    </row>
    <row r="14030" spans="1:2" x14ac:dyDescent="0.25">
      <c r="A14030" s="157">
        <v>42278</v>
      </c>
      <c r="B14030" s="158">
        <v>2.4900000000000002</v>
      </c>
    </row>
    <row r="14031" spans="1:2" x14ac:dyDescent="0.25">
      <c r="A14031" s="157">
        <v>42279</v>
      </c>
      <c r="B14031" s="158">
        <v>2.44</v>
      </c>
    </row>
    <row r="14032" spans="1:2" x14ac:dyDescent="0.25">
      <c r="A14032" s="157">
        <v>42282</v>
      </c>
      <c r="B14032" s="158">
        <v>2.52</v>
      </c>
    </row>
    <row r="14033" spans="1:2" x14ac:dyDescent="0.25">
      <c r="A14033" s="157">
        <v>42283</v>
      </c>
      <c r="B14033" s="158">
        <v>2.5</v>
      </c>
    </row>
    <row r="14034" spans="1:2" x14ac:dyDescent="0.25">
      <c r="A14034" s="157">
        <v>42284</v>
      </c>
      <c r="B14034" s="158">
        <v>2.5099999999999998</v>
      </c>
    </row>
    <row r="14035" spans="1:2" x14ac:dyDescent="0.25">
      <c r="A14035" s="157">
        <v>42285</v>
      </c>
      <c r="B14035" s="158">
        <v>2.56</v>
      </c>
    </row>
    <row r="14036" spans="1:2" x14ac:dyDescent="0.25">
      <c r="A14036" s="157">
        <v>42286</v>
      </c>
      <c r="B14036" s="158">
        <v>2.5499999999999998</v>
      </c>
    </row>
    <row r="14037" spans="1:2" x14ac:dyDescent="0.25">
      <c r="A14037" s="157">
        <v>42289</v>
      </c>
      <c r="B14037" s="158" t="e">
        <f>NA()</f>
        <v>#N/A</v>
      </c>
    </row>
    <row r="14038" spans="1:2" x14ac:dyDescent="0.25">
      <c r="A14038" s="157">
        <v>42290</v>
      </c>
      <c r="B14038" s="158">
        <v>2.4900000000000002</v>
      </c>
    </row>
    <row r="14039" spans="1:2" x14ac:dyDescent="0.25">
      <c r="A14039" s="157">
        <v>42291</v>
      </c>
      <c r="B14039" s="158">
        <v>2.42</v>
      </c>
    </row>
    <row r="14040" spans="1:2" x14ac:dyDescent="0.25">
      <c r="A14040" s="157">
        <v>42292</v>
      </c>
      <c r="B14040" s="158">
        <v>2.46</v>
      </c>
    </row>
    <row r="14041" spans="1:2" x14ac:dyDescent="0.25">
      <c r="A14041" s="157">
        <v>42293</v>
      </c>
      <c r="B14041" s="158">
        <v>2.46</v>
      </c>
    </row>
    <row r="14042" spans="1:2" x14ac:dyDescent="0.25">
      <c r="A14042" s="157">
        <v>42296</v>
      </c>
      <c r="B14042" s="158">
        <v>2.48</v>
      </c>
    </row>
    <row r="14043" spans="1:2" x14ac:dyDescent="0.25">
      <c r="A14043" s="157">
        <v>42297</v>
      </c>
      <c r="B14043" s="158">
        <v>2.5299999999999998</v>
      </c>
    </row>
    <row r="14044" spans="1:2" x14ac:dyDescent="0.25">
      <c r="A14044" s="157">
        <v>42298</v>
      </c>
      <c r="B14044" s="158">
        <v>2.48</v>
      </c>
    </row>
    <row r="14045" spans="1:2" x14ac:dyDescent="0.25">
      <c r="A14045" s="157">
        <v>42299</v>
      </c>
      <c r="B14045" s="158">
        <v>2.48</v>
      </c>
    </row>
    <row r="14046" spans="1:2" x14ac:dyDescent="0.25">
      <c r="A14046" s="157">
        <v>42300</v>
      </c>
      <c r="B14046" s="158">
        <v>2.54</v>
      </c>
    </row>
    <row r="14047" spans="1:2" x14ac:dyDescent="0.25">
      <c r="A14047" s="157">
        <v>42303</v>
      </c>
      <c r="B14047" s="158">
        <v>2.5</v>
      </c>
    </row>
    <row r="14048" spans="1:2" x14ac:dyDescent="0.25">
      <c r="A14048" s="157">
        <v>42304</v>
      </c>
      <c r="B14048" s="158">
        <v>2.48</v>
      </c>
    </row>
    <row r="14049" spans="1:2" x14ac:dyDescent="0.25">
      <c r="A14049" s="157">
        <v>42305</v>
      </c>
      <c r="B14049" s="158">
        <v>2.5</v>
      </c>
    </row>
    <row r="14050" spans="1:2" x14ac:dyDescent="0.25">
      <c r="A14050" s="157">
        <v>42306</v>
      </c>
      <c r="B14050" s="158">
        <v>2.6</v>
      </c>
    </row>
    <row r="14051" spans="1:2" x14ac:dyDescent="0.25">
      <c r="A14051" s="157">
        <v>42307</v>
      </c>
      <c r="B14051" s="158">
        <v>2.57</v>
      </c>
    </row>
    <row r="14052" spans="1:2" x14ac:dyDescent="0.25">
      <c r="A14052" s="157">
        <v>42310</v>
      </c>
      <c r="B14052" s="158">
        <v>2.6</v>
      </c>
    </row>
    <row r="14053" spans="1:2" x14ac:dyDescent="0.25">
      <c r="A14053" s="157">
        <v>42311</v>
      </c>
      <c r="B14053" s="158">
        <v>2.65</v>
      </c>
    </row>
    <row r="14054" spans="1:2" x14ac:dyDescent="0.25">
      <c r="A14054" s="157">
        <v>42312</v>
      </c>
      <c r="B14054" s="158">
        <v>2.66</v>
      </c>
    </row>
    <row r="14055" spans="1:2" x14ac:dyDescent="0.25">
      <c r="A14055" s="157">
        <v>42313</v>
      </c>
      <c r="B14055" s="158">
        <v>2.68</v>
      </c>
    </row>
    <row r="14056" spans="1:2" x14ac:dyDescent="0.25">
      <c r="A14056" s="157">
        <v>42314</v>
      </c>
      <c r="B14056" s="158">
        <v>2.76</v>
      </c>
    </row>
    <row r="14057" spans="1:2" x14ac:dyDescent="0.25">
      <c r="A14057" s="157">
        <v>42317</v>
      </c>
      <c r="B14057" s="158">
        <v>2.79</v>
      </c>
    </row>
    <row r="14058" spans="1:2" x14ac:dyDescent="0.25">
      <c r="A14058" s="157">
        <v>42318</v>
      </c>
      <c r="B14058" s="158">
        <v>2.76</v>
      </c>
    </row>
    <row r="14059" spans="1:2" x14ac:dyDescent="0.25">
      <c r="A14059" s="157">
        <v>42319</v>
      </c>
      <c r="B14059" s="158" t="e">
        <f>NA()</f>
        <v>#N/A</v>
      </c>
    </row>
    <row r="14060" spans="1:2" x14ac:dyDescent="0.25">
      <c r="A14060" s="157">
        <v>42320</v>
      </c>
      <c r="B14060" s="158">
        <v>2.75</v>
      </c>
    </row>
    <row r="14061" spans="1:2" x14ac:dyDescent="0.25">
      <c r="A14061" s="157">
        <v>42321</v>
      </c>
      <c r="B14061" s="158">
        <v>2.72</v>
      </c>
    </row>
    <row r="14062" spans="1:2" x14ac:dyDescent="0.25">
      <c r="A14062" s="157">
        <v>42324</v>
      </c>
      <c r="B14062" s="158">
        <v>2.72</v>
      </c>
    </row>
    <row r="14063" spans="1:2" x14ac:dyDescent="0.25">
      <c r="A14063" s="157">
        <v>42325</v>
      </c>
      <c r="B14063" s="158">
        <v>2.69</v>
      </c>
    </row>
    <row r="14064" spans="1:2" x14ac:dyDescent="0.25">
      <c r="A14064" s="157">
        <v>42326</v>
      </c>
      <c r="B14064" s="158">
        <v>2.7</v>
      </c>
    </row>
    <row r="14065" spans="1:2" x14ac:dyDescent="0.25">
      <c r="A14065" s="157">
        <v>42327</v>
      </c>
      <c r="B14065" s="158">
        <v>2.66</v>
      </c>
    </row>
    <row r="14066" spans="1:2" x14ac:dyDescent="0.25">
      <c r="A14066" s="157">
        <v>42328</v>
      </c>
      <c r="B14066" s="158">
        <v>2.68</v>
      </c>
    </row>
    <row r="14067" spans="1:2" x14ac:dyDescent="0.25">
      <c r="A14067" s="157">
        <v>42331</v>
      </c>
      <c r="B14067" s="158">
        <v>2.66</v>
      </c>
    </row>
    <row r="14068" spans="1:2" x14ac:dyDescent="0.25">
      <c r="A14068" s="157">
        <v>42332</v>
      </c>
      <c r="B14068" s="158">
        <v>2.65</v>
      </c>
    </row>
    <row r="14069" spans="1:2" x14ac:dyDescent="0.25">
      <c r="A14069" s="157">
        <v>42333</v>
      </c>
      <c r="B14069" s="158">
        <v>2.64</v>
      </c>
    </row>
    <row r="14070" spans="1:2" x14ac:dyDescent="0.25">
      <c r="A14070" s="157">
        <v>42334</v>
      </c>
      <c r="B14070" s="158" t="e">
        <f>NA()</f>
        <v>#N/A</v>
      </c>
    </row>
    <row r="14071" spans="1:2" x14ac:dyDescent="0.25">
      <c r="A14071" s="157">
        <v>42335</v>
      </c>
      <c r="B14071" s="158">
        <v>2.64</v>
      </c>
    </row>
    <row r="14072" spans="1:2" x14ac:dyDescent="0.25">
      <c r="A14072" s="157">
        <v>42338</v>
      </c>
      <c r="B14072" s="158">
        <v>2.63</v>
      </c>
    </row>
    <row r="14073" spans="1:2" x14ac:dyDescent="0.25">
      <c r="A14073" s="157">
        <v>42339</v>
      </c>
      <c r="B14073" s="158">
        <v>2.5499999999999998</v>
      </c>
    </row>
    <row r="14074" spans="1:2" x14ac:dyDescent="0.25">
      <c r="A14074" s="157">
        <v>42340</v>
      </c>
      <c r="B14074" s="158">
        <v>2.5499999999999998</v>
      </c>
    </row>
    <row r="14075" spans="1:2" x14ac:dyDescent="0.25">
      <c r="A14075" s="157">
        <v>42341</v>
      </c>
      <c r="B14075" s="158">
        <v>2.72</v>
      </c>
    </row>
    <row r="14076" spans="1:2" x14ac:dyDescent="0.25">
      <c r="A14076" s="157">
        <v>42342</v>
      </c>
      <c r="B14076" s="158">
        <v>2.65</v>
      </c>
    </row>
    <row r="14077" spans="1:2" x14ac:dyDescent="0.25">
      <c r="A14077" s="157">
        <v>42345</v>
      </c>
      <c r="B14077" s="158">
        <v>2.59</v>
      </c>
    </row>
    <row r="14078" spans="1:2" x14ac:dyDescent="0.25">
      <c r="A14078" s="157">
        <v>42346</v>
      </c>
      <c r="B14078" s="158">
        <v>2.61</v>
      </c>
    </row>
    <row r="14079" spans="1:2" x14ac:dyDescent="0.25">
      <c r="A14079" s="157">
        <v>42347</v>
      </c>
      <c r="B14079" s="158">
        <v>2.59</v>
      </c>
    </row>
    <row r="14080" spans="1:2" x14ac:dyDescent="0.25">
      <c r="A14080" s="157">
        <v>42348</v>
      </c>
      <c r="B14080" s="158">
        <v>2.6</v>
      </c>
    </row>
    <row r="14081" spans="1:2" x14ac:dyDescent="0.25">
      <c r="A14081" s="157">
        <v>42349</v>
      </c>
      <c r="B14081" s="158">
        <v>2.4900000000000002</v>
      </c>
    </row>
    <row r="14082" spans="1:2" x14ac:dyDescent="0.25">
      <c r="A14082" s="157">
        <v>42352</v>
      </c>
      <c r="B14082" s="158">
        <v>2.59</v>
      </c>
    </row>
    <row r="14083" spans="1:2" x14ac:dyDescent="0.25">
      <c r="A14083" s="157">
        <v>42353</v>
      </c>
      <c r="B14083" s="158">
        <v>2.62</v>
      </c>
    </row>
    <row r="14084" spans="1:2" x14ac:dyDescent="0.25">
      <c r="A14084" s="157">
        <v>42354</v>
      </c>
      <c r="B14084" s="158">
        <v>2.65</v>
      </c>
    </row>
    <row r="14085" spans="1:2" x14ac:dyDescent="0.25">
      <c r="A14085" s="157">
        <v>42355</v>
      </c>
      <c r="B14085" s="158">
        <v>2.57</v>
      </c>
    </row>
    <row r="14086" spans="1:2" x14ac:dyDescent="0.25">
      <c r="A14086" s="157">
        <v>42356</v>
      </c>
      <c r="B14086" s="158">
        <v>2.54</v>
      </c>
    </row>
    <row r="14087" spans="1:2" x14ac:dyDescent="0.25">
      <c r="A14087" s="157">
        <v>42359</v>
      </c>
      <c r="B14087" s="158">
        <v>2.5499999999999998</v>
      </c>
    </row>
    <row r="14088" spans="1:2" x14ac:dyDescent="0.25">
      <c r="A14088" s="157">
        <v>42360</v>
      </c>
      <c r="B14088" s="158">
        <v>2.6</v>
      </c>
    </row>
    <row r="14089" spans="1:2" x14ac:dyDescent="0.25">
      <c r="A14089" s="157">
        <v>42361</v>
      </c>
      <c r="B14089" s="158">
        <v>2.64</v>
      </c>
    </row>
    <row r="14090" spans="1:2" x14ac:dyDescent="0.25">
      <c r="A14090" s="157">
        <v>42362</v>
      </c>
      <c r="B14090" s="158">
        <v>2.61</v>
      </c>
    </row>
    <row r="14091" spans="1:2" x14ac:dyDescent="0.25">
      <c r="A14091" s="157">
        <v>42363</v>
      </c>
      <c r="B14091" s="158" t="e">
        <f>NA()</f>
        <v>#N/A</v>
      </c>
    </row>
    <row r="14092" spans="1:2" x14ac:dyDescent="0.25">
      <c r="A14092" s="157">
        <v>42366</v>
      </c>
      <c r="B14092" s="158">
        <v>2.59</v>
      </c>
    </row>
    <row r="14093" spans="1:2" x14ac:dyDescent="0.25">
      <c r="A14093" s="157">
        <v>42367</v>
      </c>
      <c r="B14093" s="158">
        <v>2.69</v>
      </c>
    </row>
    <row r="14094" spans="1:2" x14ac:dyDescent="0.25">
      <c r="A14094" s="157">
        <v>42368</v>
      </c>
      <c r="B14094" s="158">
        <v>2.69</v>
      </c>
    </row>
    <row r="14095" spans="1:2" x14ac:dyDescent="0.25">
      <c r="A14095" s="157">
        <v>42369</v>
      </c>
      <c r="B14095" s="158">
        <v>2.67</v>
      </c>
    </row>
    <row r="14096" spans="1:2" x14ac:dyDescent="0.25">
      <c r="A14096" s="157">
        <v>42370</v>
      </c>
      <c r="B14096" s="158" t="e">
        <f>NA()</f>
        <v>#N/A</v>
      </c>
    </row>
    <row r="14097" spans="1:2" x14ac:dyDescent="0.25">
      <c r="A14097" s="157">
        <v>42373</v>
      </c>
      <c r="B14097" s="158">
        <v>2.64</v>
      </c>
    </row>
    <row r="14098" spans="1:2" x14ac:dyDescent="0.25">
      <c r="A14098" s="157">
        <v>42374</v>
      </c>
      <c r="B14098" s="158">
        <v>2.67</v>
      </c>
    </row>
    <row r="14099" spans="1:2" x14ac:dyDescent="0.25">
      <c r="A14099" s="157">
        <v>42375</v>
      </c>
      <c r="B14099" s="158">
        <v>2.59</v>
      </c>
    </row>
    <row r="14100" spans="1:2" x14ac:dyDescent="0.25">
      <c r="A14100" s="157">
        <v>42376</v>
      </c>
      <c r="B14100" s="158">
        <v>2.56</v>
      </c>
    </row>
    <row r="14101" spans="1:2" x14ac:dyDescent="0.25">
      <c r="A14101" s="157">
        <v>42377</v>
      </c>
      <c r="B14101" s="158">
        <v>2.5499999999999998</v>
      </c>
    </row>
    <row r="14102" spans="1:2" x14ac:dyDescent="0.25">
      <c r="A14102" s="157">
        <v>42380</v>
      </c>
      <c r="B14102" s="158">
        <v>2.59</v>
      </c>
    </row>
    <row r="14103" spans="1:2" x14ac:dyDescent="0.25">
      <c r="A14103" s="157">
        <v>42381</v>
      </c>
      <c r="B14103" s="158">
        <v>2.5099999999999998</v>
      </c>
    </row>
    <row r="14104" spans="1:2" x14ac:dyDescent="0.25">
      <c r="A14104" s="157">
        <v>42382</v>
      </c>
      <c r="B14104" s="158">
        <v>2.4700000000000002</v>
      </c>
    </row>
    <row r="14105" spans="1:2" x14ac:dyDescent="0.25">
      <c r="A14105" s="157">
        <v>42383</v>
      </c>
      <c r="B14105" s="158">
        <v>2.5099999999999998</v>
      </c>
    </row>
    <row r="14106" spans="1:2" x14ac:dyDescent="0.25">
      <c r="A14106" s="157">
        <v>42384</v>
      </c>
      <c r="B14106" s="158">
        <v>2.44</v>
      </c>
    </row>
    <row r="14107" spans="1:2" x14ac:dyDescent="0.25">
      <c r="A14107" s="157">
        <v>42387</v>
      </c>
      <c r="B14107" s="158" t="e">
        <f>NA()</f>
        <v>#N/A</v>
      </c>
    </row>
    <row r="14108" spans="1:2" x14ac:dyDescent="0.25">
      <c r="A14108" s="157">
        <v>42388</v>
      </c>
      <c r="B14108" s="158">
        <v>2.4500000000000002</v>
      </c>
    </row>
    <row r="14109" spans="1:2" x14ac:dyDescent="0.25">
      <c r="A14109" s="157">
        <v>42389</v>
      </c>
      <c r="B14109" s="158">
        <v>2.41</v>
      </c>
    </row>
    <row r="14110" spans="1:2" x14ac:dyDescent="0.25">
      <c r="A14110" s="157">
        <v>42390</v>
      </c>
      <c r="B14110" s="158">
        <v>2.42</v>
      </c>
    </row>
    <row r="14111" spans="1:2" x14ac:dyDescent="0.25">
      <c r="A14111" s="157">
        <v>42391</v>
      </c>
      <c r="B14111" s="158">
        <v>2.46</v>
      </c>
    </row>
    <row r="14112" spans="1:2" x14ac:dyDescent="0.25">
      <c r="A14112" s="157">
        <v>42394</v>
      </c>
      <c r="B14112" s="158">
        <v>2.42</v>
      </c>
    </row>
    <row r="14113" spans="1:2" x14ac:dyDescent="0.25">
      <c r="A14113" s="157">
        <v>42395</v>
      </c>
      <c r="B14113" s="158">
        <v>2.41</v>
      </c>
    </row>
    <row r="14114" spans="1:2" x14ac:dyDescent="0.25">
      <c r="A14114" s="157">
        <v>42396</v>
      </c>
      <c r="B14114" s="158">
        <v>2.42</v>
      </c>
    </row>
    <row r="14115" spans="1:2" x14ac:dyDescent="0.25">
      <c r="A14115" s="157">
        <v>42397</v>
      </c>
      <c r="B14115" s="158">
        <v>2.41</v>
      </c>
    </row>
    <row r="14116" spans="1:2" x14ac:dyDescent="0.25">
      <c r="A14116" s="157">
        <v>42398</v>
      </c>
      <c r="B14116" s="158">
        <v>2.36</v>
      </c>
    </row>
    <row r="14117" spans="1:2" x14ac:dyDescent="0.25">
      <c r="A14117" s="157">
        <v>42401</v>
      </c>
      <c r="B14117" s="158">
        <v>2.38</v>
      </c>
    </row>
    <row r="14118" spans="1:2" x14ac:dyDescent="0.25">
      <c r="A14118" s="157">
        <v>42402</v>
      </c>
      <c r="B14118" s="158">
        <v>2.27</v>
      </c>
    </row>
    <row r="14119" spans="1:2" x14ac:dyDescent="0.25">
      <c r="A14119" s="157">
        <v>42403</v>
      </c>
      <c r="B14119" s="158">
        <v>2.2999999999999998</v>
      </c>
    </row>
    <row r="14120" spans="1:2" x14ac:dyDescent="0.25">
      <c r="A14120" s="157">
        <v>42404</v>
      </c>
      <c r="B14120" s="158">
        <v>2.29</v>
      </c>
    </row>
    <row r="14121" spans="1:2" x14ac:dyDescent="0.25">
      <c r="A14121" s="157">
        <v>42405</v>
      </c>
      <c r="B14121" s="158">
        <v>2.27</v>
      </c>
    </row>
    <row r="14122" spans="1:2" x14ac:dyDescent="0.25">
      <c r="A14122" s="157">
        <v>42408</v>
      </c>
      <c r="B14122" s="158">
        <v>2.17</v>
      </c>
    </row>
    <row r="14123" spans="1:2" x14ac:dyDescent="0.25">
      <c r="A14123" s="157">
        <v>42409</v>
      </c>
      <c r="B14123" s="158">
        <v>2.16</v>
      </c>
    </row>
    <row r="14124" spans="1:2" x14ac:dyDescent="0.25">
      <c r="A14124" s="157">
        <v>42410</v>
      </c>
      <c r="B14124" s="158">
        <v>2.13</v>
      </c>
    </row>
    <row r="14125" spans="1:2" x14ac:dyDescent="0.25">
      <c r="A14125" s="157">
        <v>42411</v>
      </c>
      <c r="B14125" s="158">
        <v>2.06</v>
      </c>
    </row>
    <row r="14126" spans="1:2" x14ac:dyDescent="0.25">
      <c r="A14126" s="157">
        <v>42412</v>
      </c>
      <c r="B14126" s="158">
        <v>2.15</v>
      </c>
    </row>
    <row r="14127" spans="1:2" x14ac:dyDescent="0.25">
      <c r="A14127" s="157">
        <v>42415</v>
      </c>
      <c r="B14127" s="158" t="e">
        <f>NA()</f>
        <v>#N/A</v>
      </c>
    </row>
    <row r="14128" spans="1:2" x14ac:dyDescent="0.25">
      <c r="A14128" s="157">
        <v>42416</v>
      </c>
      <c r="B14128" s="158">
        <v>2.19</v>
      </c>
    </row>
    <row r="14129" spans="1:2" x14ac:dyDescent="0.25">
      <c r="A14129" s="157">
        <v>42417</v>
      </c>
      <c r="B14129" s="158">
        <v>2.2400000000000002</v>
      </c>
    </row>
    <row r="14130" spans="1:2" x14ac:dyDescent="0.25">
      <c r="A14130" s="157">
        <v>42418</v>
      </c>
      <c r="B14130" s="158">
        <v>2.17</v>
      </c>
    </row>
    <row r="14131" spans="1:2" x14ac:dyDescent="0.25">
      <c r="A14131" s="157">
        <v>42419</v>
      </c>
      <c r="B14131" s="158">
        <v>2.17</v>
      </c>
    </row>
    <row r="14132" spans="1:2" x14ac:dyDescent="0.25">
      <c r="A14132" s="157">
        <v>42422</v>
      </c>
      <c r="B14132" s="158">
        <v>2.1800000000000002</v>
      </c>
    </row>
    <row r="14133" spans="1:2" x14ac:dyDescent="0.25">
      <c r="A14133" s="157">
        <v>42423</v>
      </c>
      <c r="B14133" s="158">
        <v>2.16</v>
      </c>
    </row>
    <row r="14134" spans="1:2" x14ac:dyDescent="0.25">
      <c r="A14134" s="157">
        <v>42424</v>
      </c>
      <c r="B14134" s="158">
        <v>2.16</v>
      </c>
    </row>
    <row r="14135" spans="1:2" x14ac:dyDescent="0.25">
      <c r="A14135" s="157">
        <v>42425</v>
      </c>
      <c r="B14135" s="158">
        <v>2.14</v>
      </c>
    </row>
    <row r="14136" spans="1:2" x14ac:dyDescent="0.25">
      <c r="A14136" s="157">
        <v>42426</v>
      </c>
      <c r="B14136" s="158">
        <v>2.2000000000000002</v>
      </c>
    </row>
    <row r="14137" spans="1:2" x14ac:dyDescent="0.25">
      <c r="A14137" s="157">
        <v>42429</v>
      </c>
      <c r="B14137" s="158">
        <v>2.19</v>
      </c>
    </row>
    <row r="14138" spans="1:2" x14ac:dyDescent="0.25">
      <c r="A14138" s="157">
        <v>42430</v>
      </c>
      <c r="B14138" s="158">
        <v>2.2799999999999998</v>
      </c>
    </row>
    <row r="14139" spans="1:2" x14ac:dyDescent="0.25">
      <c r="A14139" s="157">
        <v>42431</v>
      </c>
      <c r="B14139" s="158">
        <v>2.27</v>
      </c>
    </row>
    <row r="14140" spans="1:2" x14ac:dyDescent="0.25">
      <c r="A14140" s="157">
        <v>42432</v>
      </c>
      <c r="B14140" s="158">
        <v>2.23</v>
      </c>
    </row>
    <row r="14141" spans="1:2" x14ac:dyDescent="0.25">
      <c r="A14141" s="157">
        <v>42433</v>
      </c>
      <c r="B14141" s="158">
        <v>2.29</v>
      </c>
    </row>
    <row r="14142" spans="1:2" x14ac:dyDescent="0.25">
      <c r="A14142" s="157">
        <v>42436</v>
      </c>
      <c r="B14142" s="158">
        <v>2.2999999999999998</v>
      </c>
    </row>
    <row r="14143" spans="1:2" x14ac:dyDescent="0.25">
      <c r="A14143" s="157">
        <v>42437</v>
      </c>
      <c r="B14143" s="158">
        <v>2.2200000000000002</v>
      </c>
    </row>
    <row r="14144" spans="1:2" x14ac:dyDescent="0.25">
      <c r="A14144" s="157">
        <v>42438</v>
      </c>
      <c r="B14144" s="158">
        <v>2.27</v>
      </c>
    </row>
    <row r="14145" spans="1:2" x14ac:dyDescent="0.25">
      <c r="A14145" s="157">
        <v>42439</v>
      </c>
      <c r="B14145" s="158">
        <v>2.29</v>
      </c>
    </row>
    <row r="14146" spans="1:2" x14ac:dyDescent="0.25">
      <c r="A14146" s="157">
        <v>42440</v>
      </c>
      <c r="B14146" s="158">
        <v>2.34</v>
      </c>
    </row>
    <row r="14147" spans="1:2" x14ac:dyDescent="0.25">
      <c r="A14147" s="157">
        <v>42443</v>
      </c>
      <c r="B14147" s="158">
        <v>2.33</v>
      </c>
    </row>
    <row r="14148" spans="1:2" x14ac:dyDescent="0.25">
      <c r="A14148" s="157">
        <v>42444</v>
      </c>
      <c r="B14148" s="158">
        <v>2.33</v>
      </c>
    </row>
    <row r="14149" spans="1:2" x14ac:dyDescent="0.25">
      <c r="A14149" s="157">
        <v>42445</v>
      </c>
      <c r="B14149" s="158">
        <v>2.3199999999999998</v>
      </c>
    </row>
    <row r="14150" spans="1:2" x14ac:dyDescent="0.25">
      <c r="A14150" s="157">
        <v>42446</v>
      </c>
      <c r="B14150" s="158">
        <v>2.2799999999999998</v>
      </c>
    </row>
    <row r="14151" spans="1:2" x14ac:dyDescent="0.25">
      <c r="A14151" s="157">
        <v>42447</v>
      </c>
      <c r="B14151" s="158">
        <v>2.2599999999999998</v>
      </c>
    </row>
    <row r="14152" spans="1:2" x14ac:dyDescent="0.25">
      <c r="A14152" s="157">
        <v>42450</v>
      </c>
      <c r="B14152" s="158">
        <v>2.31</v>
      </c>
    </row>
    <row r="14153" spans="1:2" x14ac:dyDescent="0.25">
      <c r="A14153" s="157">
        <v>42451</v>
      </c>
      <c r="B14153" s="158">
        <v>2.3199999999999998</v>
      </c>
    </row>
    <row r="14154" spans="1:2" x14ac:dyDescent="0.25">
      <c r="A14154" s="157">
        <v>42452</v>
      </c>
      <c r="B14154" s="158">
        <v>2.25</v>
      </c>
    </row>
    <row r="14155" spans="1:2" x14ac:dyDescent="0.25">
      <c r="A14155" s="157">
        <v>42453</v>
      </c>
      <c r="B14155" s="158">
        <v>2.2799999999999998</v>
      </c>
    </row>
    <row r="14156" spans="1:2" x14ac:dyDescent="0.25">
      <c r="A14156" s="157">
        <v>42454</v>
      </c>
      <c r="B14156" s="158" t="e">
        <f>NA()</f>
        <v>#N/A</v>
      </c>
    </row>
    <row r="14157" spans="1:2" x14ac:dyDescent="0.25">
      <c r="A14157" s="157">
        <v>42457</v>
      </c>
      <c r="B14157" s="158">
        <v>2.2599999999999998</v>
      </c>
    </row>
    <row r="14158" spans="1:2" x14ac:dyDescent="0.25">
      <c r="A14158" s="157">
        <v>42458</v>
      </c>
      <c r="B14158" s="158">
        <v>2.2000000000000002</v>
      </c>
    </row>
    <row r="14159" spans="1:2" x14ac:dyDescent="0.25">
      <c r="A14159" s="157">
        <v>42459</v>
      </c>
      <c r="B14159" s="158">
        <v>2.2400000000000002</v>
      </c>
    </row>
    <row r="14160" spans="1:2" x14ac:dyDescent="0.25">
      <c r="A14160" s="157">
        <v>42460</v>
      </c>
      <c r="B14160" s="158">
        <v>2.2000000000000002</v>
      </c>
    </row>
    <row r="14161" spans="1:2" x14ac:dyDescent="0.25">
      <c r="A14161" s="157">
        <v>42461</v>
      </c>
      <c r="B14161" s="158">
        <v>2.2000000000000002</v>
      </c>
    </row>
    <row r="14162" spans="1:2" x14ac:dyDescent="0.25">
      <c r="A14162" s="157">
        <v>42464</v>
      </c>
      <c r="B14162" s="158">
        <v>2.19</v>
      </c>
    </row>
    <row r="14163" spans="1:2" x14ac:dyDescent="0.25">
      <c r="A14163" s="157">
        <v>42465</v>
      </c>
      <c r="B14163" s="158">
        <v>2.13</v>
      </c>
    </row>
    <row r="14164" spans="1:2" x14ac:dyDescent="0.25">
      <c r="A14164" s="157">
        <v>42466</v>
      </c>
      <c r="B14164" s="158">
        <v>2.17</v>
      </c>
    </row>
    <row r="14165" spans="1:2" x14ac:dyDescent="0.25">
      <c r="A14165" s="157">
        <v>42467</v>
      </c>
      <c r="B14165" s="158">
        <v>2.1</v>
      </c>
    </row>
    <row r="14166" spans="1:2" x14ac:dyDescent="0.25">
      <c r="A14166" s="157">
        <v>42468</v>
      </c>
      <c r="B14166" s="158">
        <v>2.13</v>
      </c>
    </row>
    <row r="14167" spans="1:2" x14ac:dyDescent="0.25">
      <c r="A14167" s="157">
        <v>42471</v>
      </c>
      <c r="B14167" s="158">
        <v>2.14</v>
      </c>
    </row>
    <row r="14168" spans="1:2" x14ac:dyDescent="0.25">
      <c r="A14168" s="157">
        <v>42472</v>
      </c>
      <c r="B14168" s="158">
        <v>2.1800000000000002</v>
      </c>
    </row>
    <row r="14169" spans="1:2" x14ac:dyDescent="0.25">
      <c r="A14169" s="157">
        <v>42473</v>
      </c>
      <c r="B14169" s="158">
        <v>2.16</v>
      </c>
    </row>
    <row r="14170" spans="1:2" x14ac:dyDescent="0.25">
      <c r="A14170" s="157">
        <v>42474</v>
      </c>
      <c r="B14170" s="158">
        <v>2.1800000000000002</v>
      </c>
    </row>
    <row r="14171" spans="1:2" x14ac:dyDescent="0.25">
      <c r="A14171" s="157">
        <v>42475</v>
      </c>
      <c r="B14171" s="158">
        <v>2.14</v>
      </c>
    </row>
    <row r="14172" spans="1:2" x14ac:dyDescent="0.25">
      <c r="A14172" s="157">
        <v>42478</v>
      </c>
      <c r="B14172" s="158">
        <v>2.17</v>
      </c>
    </row>
    <row r="14173" spans="1:2" x14ac:dyDescent="0.25">
      <c r="A14173" s="157">
        <v>42479</v>
      </c>
      <c r="B14173" s="158">
        <v>2.19</v>
      </c>
    </row>
    <row r="14174" spans="1:2" x14ac:dyDescent="0.25">
      <c r="A14174" s="157">
        <v>42480</v>
      </c>
      <c r="B14174" s="158">
        <v>2.25</v>
      </c>
    </row>
    <row r="14175" spans="1:2" x14ac:dyDescent="0.25">
      <c r="A14175" s="157">
        <v>42481</v>
      </c>
      <c r="B14175" s="158">
        <v>2.29</v>
      </c>
    </row>
    <row r="14176" spans="1:2" x14ac:dyDescent="0.25">
      <c r="A14176" s="157">
        <v>42482</v>
      </c>
      <c r="B14176" s="158">
        <v>2.2999999999999998</v>
      </c>
    </row>
    <row r="14177" spans="1:2" x14ac:dyDescent="0.25">
      <c r="A14177" s="157">
        <v>42485</v>
      </c>
      <c r="B14177" s="158">
        <v>2.3199999999999998</v>
      </c>
    </row>
    <row r="14178" spans="1:2" x14ac:dyDescent="0.25">
      <c r="A14178" s="157">
        <v>42486</v>
      </c>
      <c r="B14178" s="158">
        <v>2.35</v>
      </c>
    </row>
    <row r="14179" spans="1:2" x14ac:dyDescent="0.25">
      <c r="A14179" s="157">
        <v>42487</v>
      </c>
      <c r="B14179" s="158">
        <v>2.2999999999999998</v>
      </c>
    </row>
    <row r="14180" spans="1:2" x14ac:dyDescent="0.25">
      <c r="A14180" s="157">
        <v>42488</v>
      </c>
      <c r="B14180" s="158">
        <v>2.27</v>
      </c>
    </row>
    <row r="14181" spans="1:2" x14ac:dyDescent="0.25">
      <c r="A14181" s="157">
        <v>42489</v>
      </c>
      <c r="B14181" s="158">
        <v>2.2599999999999998</v>
      </c>
    </row>
    <row r="14182" spans="1:2" x14ac:dyDescent="0.25">
      <c r="A14182" s="157">
        <v>42492</v>
      </c>
      <c r="B14182" s="158">
        <v>2.31</v>
      </c>
    </row>
    <row r="14183" spans="1:2" x14ac:dyDescent="0.25">
      <c r="A14183" s="157">
        <v>42493</v>
      </c>
      <c r="B14183" s="158">
        <v>2.2400000000000002</v>
      </c>
    </row>
    <row r="14184" spans="1:2" x14ac:dyDescent="0.25">
      <c r="A14184" s="157">
        <v>42494</v>
      </c>
      <c r="B14184" s="158">
        <v>2.2200000000000002</v>
      </c>
    </row>
    <row r="14185" spans="1:2" x14ac:dyDescent="0.25">
      <c r="A14185" s="157">
        <v>42495</v>
      </c>
      <c r="B14185" s="158">
        <v>2.17</v>
      </c>
    </row>
    <row r="14186" spans="1:2" x14ac:dyDescent="0.25">
      <c r="A14186" s="157">
        <v>42496</v>
      </c>
      <c r="B14186" s="158">
        <v>2.2000000000000002</v>
      </c>
    </row>
    <row r="14187" spans="1:2" x14ac:dyDescent="0.25">
      <c r="A14187" s="157">
        <v>42499</v>
      </c>
      <c r="B14187" s="158">
        <v>2.1800000000000002</v>
      </c>
    </row>
    <row r="14188" spans="1:2" x14ac:dyDescent="0.25">
      <c r="A14188" s="157">
        <v>42500</v>
      </c>
      <c r="B14188" s="158">
        <v>2.1800000000000002</v>
      </c>
    </row>
    <row r="14189" spans="1:2" x14ac:dyDescent="0.25">
      <c r="A14189" s="157">
        <v>42501</v>
      </c>
      <c r="B14189" s="158">
        <v>2.15</v>
      </c>
    </row>
    <row r="14190" spans="1:2" x14ac:dyDescent="0.25">
      <c r="A14190" s="157">
        <v>42502</v>
      </c>
      <c r="B14190" s="158">
        <v>2.1800000000000002</v>
      </c>
    </row>
    <row r="14191" spans="1:2" x14ac:dyDescent="0.25">
      <c r="A14191" s="157">
        <v>42503</v>
      </c>
      <c r="B14191" s="158">
        <v>2.14</v>
      </c>
    </row>
    <row r="14192" spans="1:2" x14ac:dyDescent="0.25">
      <c r="A14192" s="157">
        <v>42506</v>
      </c>
      <c r="B14192" s="158">
        <v>2.1800000000000002</v>
      </c>
    </row>
    <row r="14193" spans="1:2" x14ac:dyDescent="0.25">
      <c r="A14193" s="157">
        <v>42507</v>
      </c>
      <c r="B14193" s="158">
        <v>2.1800000000000002</v>
      </c>
    </row>
    <row r="14194" spans="1:2" x14ac:dyDescent="0.25">
      <c r="A14194" s="157">
        <v>42508</v>
      </c>
      <c r="B14194" s="158">
        <v>2.27</v>
      </c>
    </row>
    <row r="14195" spans="1:2" x14ac:dyDescent="0.25">
      <c r="A14195" s="157">
        <v>42509</v>
      </c>
      <c r="B14195" s="158">
        <v>2.2400000000000002</v>
      </c>
    </row>
    <row r="14196" spans="1:2" x14ac:dyDescent="0.25">
      <c r="A14196" s="157">
        <v>42510</v>
      </c>
      <c r="B14196" s="158">
        <v>2.2400000000000002</v>
      </c>
    </row>
    <row r="14197" spans="1:2" x14ac:dyDescent="0.25">
      <c r="A14197" s="157">
        <v>42513</v>
      </c>
      <c r="B14197" s="158">
        <v>2.23</v>
      </c>
    </row>
    <row r="14198" spans="1:2" x14ac:dyDescent="0.25">
      <c r="A14198" s="157">
        <v>42514</v>
      </c>
      <c r="B14198" s="158">
        <v>2.25</v>
      </c>
    </row>
    <row r="14199" spans="1:2" x14ac:dyDescent="0.25">
      <c r="A14199" s="157">
        <v>42515</v>
      </c>
      <c r="B14199" s="158">
        <v>2.27</v>
      </c>
    </row>
    <row r="14200" spans="1:2" x14ac:dyDescent="0.25">
      <c r="A14200" s="157">
        <v>42516</v>
      </c>
      <c r="B14200" s="158">
        <v>2.2400000000000002</v>
      </c>
    </row>
    <row r="14201" spans="1:2" x14ac:dyDescent="0.25">
      <c r="A14201" s="157">
        <v>42517</v>
      </c>
      <c r="B14201" s="158">
        <v>2.25</v>
      </c>
    </row>
    <row r="14202" spans="1:2" x14ac:dyDescent="0.25">
      <c r="A14202" s="157">
        <v>42520</v>
      </c>
      <c r="B14202" s="158" t="e">
        <f>NA()</f>
        <v>#N/A</v>
      </c>
    </row>
    <row r="14203" spans="1:2" x14ac:dyDescent="0.25">
      <c r="A14203" s="157">
        <v>42521</v>
      </c>
      <c r="B14203" s="158">
        <v>2.23</v>
      </c>
    </row>
    <row r="14204" spans="1:2" x14ac:dyDescent="0.25">
      <c r="A14204" s="157">
        <v>42522</v>
      </c>
      <c r="B14204" s="158">
        <v>2.2200000000000002</v>
      </c>
    </row>
    <row r="14205" spans="1:2" x14ac:dyDescent="0.25">
      <c r="A14205" s="157">
        <v>42523</v>
      </c>
      <c r="B14205" s="158">
        <v>2.17</v>
      </c>
    </row>
    <row r="14206" spans="1:2" x14ac:dyDescent="0.25">
      <c r="A14206" s="157">
        <v>42524</v>
      </c>
      <c r="B14206" s="158">
        <v>2.09</v>
      </c>
    </row>
    <row r="14207" spans="1:2" x14ac:dyDescent="0.25">
      <c r="A14207" s="157">
        <v>42527</v>
      </c>
      <c r="B14207" s="158">
        <v>2.12</v>
      </c>
    </row>
    <row r="14208" spans="1:2" x14ac:dyDescent="0.25">
      <c r="A14208" s="157">
        <v>42528</v>
      </c>
      <c r="B14208" s="158">
        <v>2.1</v>
      </c>
    </row>
    <row r="14209" spans="1:2" x14ac:dyDescent="0.25">
      <c r="A14209" s="157">
        <v>42529</v>
      </c>
      <c r="B14209" s="158">
        <v>2.08</v>
      </c>
    </row>
    <row r="14210" spans="1:2" x14ac:dyDescent="0.25">
      <c r="A14210" s="157">
        <v>42530</v>
      </c>
      <c r="B14210" s="158">
        <v>2.0499999999999998</v>
      </c>
    </row>
    <row r="14211" spans="1:2" x14ac:dyDescent="0.25">
      <c r="A14211" s="157">
        <v>42531</v>
      </c>
      <c r="B14211" s="158">
        <v>2.02</v>
      </c>
    </row>
    <row r="14212" spans="1:2" x14ac:dyDescent="0.25">
      <c r="A14212" s="157">
        <v>42534</v>
      </c>
      <c r="B14212" s="158">
        <v>2.0099999999999998</v>
      </c>
    </row>
    <row r="14213" spans="1:2" x14ac:dyDescent="0.25">
      <c r="A14213" s="157">
        <v>42535</v>
      </c>
      <c r="B14213" s="158">
        <v>2</v>
      </c>
    </row>
    <row r="14214" spans="1:2" x14ac:dyDescent="0.25">
      <c r="A14214" s="157">
        <v>42536</v>
      </c>
      <c r="B14214" s="158">
        <v>1.99</v>
      </c>
    </row>
    <row r="14215" spans="1:2" x14ac:dyDescent="0.25">
      <c r="A14215" s="157">
        <v>42537</v>
      </c>
      <c r="B14215" s="158">
        <v>1.96</v>
      </c>
    </row>
    <row r="14216" spans="1:2" x14ac:dyDescent="0.25">
      <c r="A14216" s="157">
        <v>42538</v>
      </c>
      <c r="B14216" s="158">
        <v>1.99</v>
      </c>
    </row>
    <row r="14217" spans="1:2" x14ac:dyDescent="0.25">
      <c r="A14217" s="157">
        <v>42541</v>
      </c>
      <c r="B14217" s="158">
        <v>2.0299999999999998</v>
      </c>
    </row>
    <row r="14218" spans="1:2" x14ac:dyDescent="0.25">
      <c r="A14218" s="157">
        <v>42542</v>
      </c>
      <c r="B14218" s="158">
        <v>2.0699999999999998</v>
      </c>
    </row>
    <row r="14219" spans="1:2" x14ac:dyDescent="0.25">
      <c r="A14219" s="157">
        <v>42543</v>
      </c>
      <c r="B14219" s="158">
        <v>2.06</v>
      </c>
    </row>
    <row r="14220" spans="1:2" x14ac:dyDescent="0.25">
      <c r="A14220" s="157">
        <v>42544</v>
      </c>
      <c r="B14220" s="158">
        <v>2.12</v>
      </c>
    </row>
    <row r="14221" spans="1:2" x14ac:dyDescent="0.25">
      <c r="A14221" s="157">
        <v>42545</v>
      </c>
      <c r="B14221" s="158">
        <v>1.96</v>
      </c>
    </row>
    <row r="14222" spans="1:2" x14ac:dyDescent="0.25">
      <c r="A14222" s="157">
        <v>42548</v>
      </c>
      <c r="B14222" s="158">
        <v>1.83</v>
      </c>
    </row>
    <row r="14223" spans="1:2" x14ac:dyDescent="0.25">
      <c r="A14223" s="157">
        <v>42549</v>
      </c>
      <c r="B14223" s="158">
        <v>1.83</v>
      </c>
    </row>
    <row r="14224" spans="1:2" x14ac:dyDescent="0.25">
      <c r="A14224" s="157">
        <v>42550</v>
      </c>
      <c r="B14224" s="158">
        <v>1.86</v>
      </c>
    </row>
    <row r="14225" spans="1:2" x14ac:dyDescent="0.25">
      <c r="A14225" s="157">
        <v>42551</v>
      </c>
      <c r="B14225" s="158">
        <v>1.86</v>
      </c>
    </row>
    <row r="14226" spans="1:2" x14ac:dyDescent="0.25">
      <c r="A14226" s="157">
        <v>42552</v>
      </c>
      <c r="B14226" s="158">
        <v>1.81</v>
      </c>
    </row>
    <row r="14227" spans="1:2" x14ac:dyDescent="0.25">
      <c r="A14227" s="157">
        <v>42555</v>
      </c>
      <c r="B14227" s="158" t="e">
        <f>NA()</f>
        <v>#N/A</v>
      </c>
    </row>
    <row r="14228" spans="1:2" x14ac:dyDescent="0.25">
      <c r="A14228" s="157">
        <v>42556</v>
      </c>
      <c r="B14228" s="158">
        <v>1.72</v>
      </c>
    </row>
    <row r="14229" spans="1:2" x14ac:dyDescent="0.25">
      <c r="A14229" s="157">
        <v>42557</v>
      </c>
      <c r="B14229" s="158">
        <v>1.72</v>
      </c>
    </row>
    <row r="14230" spans="1:2" x14ac:dyDescent="0.25">
      <c r="A14230" s="157">
        <v>42558</v>
      </c>
      <c r="B14230" s="158">
        <v>1.72</v>
      </c>
    </row>
    <row r="14231" spans="1:2" x14ac:dyDescent="0.25">
      <c r="A14231" s="157">
        <v>42559</v>
      </c>
      <c r="B14231" s="158">
        <v>1.69</v>
      </c>
    </row>
    <row r="14232" spans="1:2" x14ac:dyDescent="0.25">
      <c r="A14232" s="157">
        <v>42562</v>
      </c>
      <c r="B14232" s="158">
        <v>1.73</v>
      </c>
    </row>
    <row r="14233" spans="1:2" x14ac:dyDescent="0.25">
      <c r="A14233" s="157">
        <v>42563</v>
      </c>
      <c r="B14233" s="158">
        <v>1.82</v>
      </c>
    </row>
    <row r="14234" spans="1:2" x14ac:dyDescent="0.25">
      <c r="A14234" s="157">
        <v>42564</v>
      </c>
      <c r="B14234" s="158">
        <v>1.77</v>
      </c>
    </row>
    <row r="14235" spans="1:2" x14ac:dyDescent="0.25">
      <c r="A14235" s="157">
        <v>42565</v>
      </c>
      <c r="B14235" s="158">
        <v>1.84</v>
      </c>
    </row>
    <row r="14236" spans="1:2" x14ac:dyDescent="0.25">
      <c r="A14236" s="157">
        <v>42566</v>
      </c>
      <c r="B14236" s="158">
        <v>1.9</v>
      </c>
    </row>
    <row r="14237" spans="1:2" x14ac:dyDescent="0.25">
      <c r="A14237" s="157">
        <v>42569</v>
      </c>
      <c r="B14237" s="158">
        <v>1.9</v>
      </c>
    </row>
    <row r="14238" spans="1:2" x14ac:dyDescent="0.25">
      <c r="A14238" s="157">
        <v>42570</v>
      </c>
      <c r="B14238" s="158">
        <v>1.88</v>
      </c>
    </row>
    <row r="14239" spans="1:2" x14ac:dyDescent="0.25">
      <c r="A14239" s="157">
        <v>42571</v>
      </c>
      <c r="B14239" s="158">
        <v>1.91</v>
      </c>
    </row>
    <row r="14240" spans="1:2" x14ac:dyDescent="0.25">
      <c r="A14240" s="157">
        <v>42572</v>
      </c>
      <c r="B14240" s="158">
        <v>1.9</v>
      </c>
    </row>
    <row r="14241" spans="1:2" x14ac:dyDescent="0.25">
      <c r="A14241" s="157">
        <v>42573</v>
      </c>
      <c r="B14241" s="158">
        <v>1.9</v>
      </c>
    </row>
    <row r="14242" spans="1:2" x14ac:dyDescent="0.25">
      <c r="A14242" s="157">
        <v>42576</v>
      </c>
      <c r="B14242" s="158">
        <v>1.9</v>
      </c>
    </row>
    <row r="14243" spans="1:2" x14ac:dyDescent="0.25">
      <c r="A14243" s="157">
        <v>42577</v>
      </c>
      <c r="B14243" s="158">
        <v>1.89</v>
      </c>
    </row>
    <row r="14244" spans="1:2" x14ac:dyDescent="0.25">
      <c r="A14244" s="157">
        <v>42578</v>
      </c>
      <c r="B14244" s="158">
        <v>1.84</v>
      </c>
    </row>
    <row r="14245" spans="1:2" x14ac:dyDescent="0.25">
      <c r="A14245" s="157">
        <v>42579</v>
      </c>
      <c r="B14245" s="158">
        <v>1.83</v>
      </c>
    </row>
    <row r="14246" spans="1:2" x14ac:dyDescent="0.25">
      <c r="A14246" s="157">
        <v>42580</v>
      </c>
      <c r="B14246" s="158">
        <v>1.78</v>
      </c>
    </row>
    <row r="14247" spans="1:2" x14ac:dyDescent="0.25">
      <c r="A14247" s="157">
        <v>42583</v>
      </c>
      <c r="B14247" s="158">
        <v>1.84</v>
      </c>
    </row>
    <row r="14248" spans="1:2" x14ac:dyDescent="0.25">
      <c r="A14248" s="157">
        <v>42584</v>
      </c>
      <c r="B14248" s="158">
        <v>1.88</v>
      </c>
    </row>
    <row r="14249" spans="1:2" x14ac:dyDescent="0.25">
      <c r="A14249" s="157">
        <v>42585</v>
      </c>
      <c r="B14249" s="158">
        <v>1.88</v>
      </c>
    </row>
    <row r="14250" spans="1:2" x14ac:dyDescent="0.25">
      <c r="A14250" s="157">
        <v>42586</v>
      </c>
      <c r="B14250" s="158">
        <v>1.84</v>
      </c>
    </row>
    <row r="14251" spans="1:2" x14ac:dyDescent="0.25">
      <c r="A14251" s="157">
        <v>42587</v>
      </c>
      <c r="B14251" s="158">
        <v>1.91</v>
      </c>
    </row>
    <row r="14252" spans="1:2" x14ac:dyDescent="0.25">
      <c r="A14252" s="157">
        <v>42590</v>
      </c>
      <c r="B14252" s="158">
        <v>1.91</v>
      </c>
    </row>
    <row r="14253" spans="1:2" x14ac:dyDescent="0.25">
      <c r="A14253" s="157">
        <v>42591</v>
      </c>
      <c r="B14253" s="158">
        <v>1.86</v>
      </c>
    </row>
    <row r="14254" spans="1:2" x14ac:dyDescent="0.25">
      <c r="A14254" s="157">
        <v>42592</v>
      </c>
      <c r="B14254" s="158">
        <v>1.83</v>
      </c>
    </row>
    <row r="14255" spans="1:2" x14ac:dyDescent="0.25">
      <c r="A14255" s="157">
        <v>42593</v>
      </c>
      <c r="B14255" s="158">
        <v>1.89</v>
      </c>
    </row>
    <row r="14256" spans="1:2" x14ac:dyDescent="0.25">
      <c r="A14256" s="157">
        <v>42594</v>
      </c>
      <c r="B14256" s="158">
        <v>1.85</v>
      </c>
    </row>
    <row r="14257" spans="1:2" x14ac:dyDescent="0.25">
      <c r="A14257" s="157">
        <v>42597</v>
      </c>
      <c r="B14257" s="158">
        <v>1.9</v>
      </c>
    </row>
    <row r="14258" spans="1:2" x14ac:dyDescent="0.25">
      <c r="A14258" s="157">
        <v>42598</v>
      </c>
      <c r="B14258" s="158">
        <v>1.92</v>
      </c>
    </row>
    <row r="14259" spans="1:2" x14ac:dyDescent="0.25">
      <c r="A14259" s="157">
        <v>42599</v>
      </c>
      <c r="B14259" s="158">
        <v>1.9</v>
      </c>
    </row>
    <row r="14260" spans="1:2" x14ac:dyDescent="0.25">
      <c r="A14260" s="157">
        <v>42600</v>
      </c>
      <c r="B14260" s="158">
        <v>1.89</v>
      </c>
    </row>
    <row r="14261" spans="1:2" x14ac:dyDescent="0.25">
      <c r="A14261" s="157">
        <v>42601</v>
      </c>
      <c r="B14261" s="158">
        <v>1.93</v>
      </c>
    </row>
    <row r="14262" spans="1:2" x14ac:dyDescent="0.25">
      <c r="A14262" s="157">
        <v>42604</v>
      </c>
      <c r="B14262" s="158">
        <v>1.88</v>
      </c>
    </row>
    <row r="14263" spans="1:2" x14ac:dyDescent="0.25">
      <c r="A14263" s="157">
        <v>42605</v>
      </c>
      <c r="B14263" s="158">
        <v>1.88</v>
      </c>
    </row>
    <row r="14264" spans="1:2" x14ac:dyDescent="0.25">
      <c r="A14264" s="157">
        <v>42606</v>
      </c>
      <c r="B14264" s="158">
        <v>1.89</v>
      </c>
    </row>
    <row r="14265" spans="1:2" x14ac:dyDescent="0.25">
      <c r="A14265" s="157">
        <v>42607</v>
      </c>
      <c r="B14265" s="158">
        <v>1.91</v>
      </c>
    </row>
    <row r="14266" spans="1:2" x14ac:dyDescent="0.25">
      <c r="A14266" s="157">
        <v>42608</v>
      </c>
      <c r="B14266" s="158">
        <v>1.96</v>
      </c>
    </row>
    <row r="14267" spans="1:2" x14ac:dyDescent="0.25">
      <c r="A14267" s="157">
        <v>42611</v>
      </c>
      <c r="B14267" s="158">
        <v>1.9</v>
      </c>
    </row>
    <row r="14268" spans="1:2" x14ac:dyDescent="0.25">
      <c r="A14268" s="157">
        <v>42612</v>
      </c>
      <c r="B14268" s="158">
        <v>1.91</v>
      </c>
    </row>
    <row r="14269" spans="1:2" x14ac:dyDescent="0.25">
      <c r="A14269" s="157">
        <v>42613</v>
      </c>
      <c r="B14269" s="158">
        <v>1.9</v>
      </c>
    </row>
    <row r="14270" spans="1:2" x14ac:dyDescent="0.25">
      <c r="A14270" s="157">
        <v>42614</v>
      </c>
      <c r="B14270" s="158">
        <v>1.9</v>
      </c>
    </row>
    <row r="14271" spans="1:2" x14ac:dyDescent="0.25">
      <c r="A14271" s="157">
        <v>42615</v>
      </c>
      <c r="B14271" s="158">
        <v>1.95</v>
      </c>
    </row>
    <row r="14272" spans="1:2" x14ac:dyDescent="0.25">
      <c r="A14272" s="157">
        <v>42618</v>
      </c>
      <c r="B14272" s="158" t="e">
        <f>NA()</f>
        <v>#N/A</v>
      </c>
    </row>
    <row r="14273" spans="1:2" x14ac:dyDescent="0.25">
      <c r="A14273" s="157">
        <v>42619</v>
      </c>
      <c r="B14273" s="158">
        <v>1.9</v>
      </c>
    </row>
    <row r="14274" spans="1:2" x14ac:dyDescent="0.25">
      <c r="A14274" s="157">
        <v>42620</v>
      </c>
      <c r="B14274" s="158">
        <v>1.89</v>
      </c>
    </row>
    <row r="14275" spans="1:2" x14ac:dyDescent="0.25">
      <c r="A14275" s="157">
        <v>42621</v>
      </c>
      <c r="B14275" s="158">
        <v>1.98</v>
      </c>
    </row>
    <row r="14276" spans="1:2" x14ac:dyDescent="0.25">
      <c r="A14276" s="157">
        <v>42622</v>
      </c>
      <c r="B14276" s="158">
        <v>2.0499999999999998</v>
      </c>
    </row>
    <row r="14277" spans="1:2" x14ac:dyDescent="0.25">
      <c r="A14277" s="157">
        <v>42625</v>
      </c>
      <c r="B14277" s="158">
        <v>2.0499999999999998</v>
      </c>
    </row>
    <row r="14278" spans="1:2" x14ac:dyDescent="0.25">
      <c r="A14278" s="157">
        <v>42626</v>
      </c>
      <c r="B14278" s="158">
        <v>2.12</v>
      </c>
    </row>
    <row r="14279" spans="1:2" x14ac:dyDescent="0.25">
      <c r="A14279" s="157">
        <v>42627</v>
      </c>
      <c r="B14279" s="158">
        <v>2.1</v>
      </c>
    </row>
    <row r="14280" spans="1:2" x14ac:dyDescent="0.25">
      <c r="A14280" s="157">
        <v>42628</v>
      </c>
      <c r="B14280" s="158">
        <v>2.13</v>
      </c>
    </row>
    <row r="14281" spans="1:2" x14ac:dyDescent="0.25">
      <c r="A14281" s="157">
        <v>42629</v>
      </c>
      <c r="B14281" s="158">
        <v>2.1</v>
      </c>
    </row>
    <row r="14282" spans="1:2" x14ac:dyDescent="0.25">
      <c r="A14282" s="157">
        <v>42632</v>
      </c>
      <c r="B14282" s="158">
        <v>2.1</v>
      </c>
    </row>
    <row r="14283" spans="1:2" x14ac:dyDescent="0.25">
      <c r="A14283" s="157">
        <v>42633</v>
      </c>
      <c r="B14283" s="158">
        <v>2.09</v>
      </c>
    </row>
    <row r="14284" spans="1:2" x14ac:dyDescent="0.25">
      <c r="A14284" s="157">
        <v>42634</v>
      </c>
      <c r="B14284" s="158">
        <v>2.06</v>
      </c>
    </row>
    <row r="14285" spans="1:2" x14ac:dyDescent="0.25">
      <c r="A14285" s="157">
        <v>42635</v>
      </c>
      <c r="B14285" s="158">
        <v>2.02</v>
      </c>
    </row>
    <row r="14286" spans="1:2" x14ac:dyDescent="0.25">
      <c r="A14286" s="157">
        <v>42636</v>
      </c>
      <c r="B14286" s="158">
        <v>2.02</v>
      </c>
    </row>
    <row r="14287" spans="1:2" x14ac:dyDescent="0.25">
      <c r="A14287" s="157">
        <v>42639</v>
      </c>
      <c r="B14287" s="158">
        <v>2</v>
      </c>
    </row>
    <row r="14288" spans="1:2" x14ac:dyDescent="0.25">
      <c r="A14288" s="157">
        <v>42640</v>
      </c>
      <c r="B14288" s="158">
        <v>1.96</v>
      </c>
    </row>
    <row r="14289" spans="1:2" x14ac:dyDescent="0.25">
      <c r="A14289" s="157">
        <v>42641</v>
      </c>
      <c r="B14289" s="158">
        <v>1.96</v>
      </c>
    </row>
    <row r="14290" spans="1:2" x14ac:dyDescent="0.25">
      <c r="A14290" s="157">
        <v>42642</v>
      </c>
      <c r="B14290" s="158">
        <v>1.95</v>
      </c>
    </row>
    <row r="14291" spans="1:2" x14ac:dyDescent="0.25">
      <c r="A14291" s="157">
        <v>42643</v>
      </c>
      <c r="B14291" s="158">
        <v>1.99</v>
      </c>
    </row>
    <row r="14292" spans="1:2" x14ac:dyDescent="0.25">
      <c r="A14292" s="157">
        <v>42646</v>
      </c>
      <c r="B14292" s="158">
        <v>2.0099999999999998</v>
      </c>
    </row>
    <row r="14293" spans="1:2" x14ac:dyDescent="0.25">
      <c r="A14293" s="157">
        <v>42647</v>
      </c>
      <c r="B14293" s="158">
        <v>2.08</v>
      </c>
    </row>
    <row r="14294" spans="1:2" x14ac:dyDescent="0.25">
      <c r="A14294" s="157">
        <v>42648</v>
      </c>
      <c r="B14294" s="158">
        <v>2.11</v>
      </c>
    </row>
    <row r="14295" spans="1:2" x14ac:dyDescent="0.25">
      <c r="A14295" s="157">
        <v>42649</v>
      </c>
      <c r="B14295" s="158">
        <v>2.14</v>
      </c>
    </row>
    <row r="14296" spans="1:2" x14ac:dyDescent="0.25">
      <c r="A14296" s="157">
        <v>42650</v>
      </c>
      <c r="B14296" s="158">
        <v>2.14</v>
      </c>
    </row>
    <row r="14297" spans="1:2" x14ac:dyDescent="0.25">
      <c r="A14297" s="157">
        <v>42653</v>
      </c>
      <c r="B14297" s="158" t="e">
        <f>NA()</f>
        <v>#N/A</v>
      </c>
    </row>
    <row r="14298" spans="1:2" x14ac:dyDescent="0.25">
      <c r="A14298" s="157">
        <v>42654</v>
      </c>
      <c r="B14298" s="158">
        <v>2.17</v>
      </c>
    </row>
    <row r="14299" spans="1:2" x14ac:dyDescent="0.25">
      <c r="A14299" s="157">
        <v>42655</v>
      </c>
      <c r="B14299" s="158">
        <v>2.19</v>
      </c>
    </row>
    <row r="14300" spans="1:2" x14ac:dyDescent="0.25">
      <c r="A14300" s="157">
        <v>42656</v>
      </c>
      <c r="B14300" s="158">
        <v>2.15</v>
      </c>
    </row>
    <row r="14301" spans="1:2" x14ac:dyDescent="0.25">
      <c r="A14301" s="157">
        <v>42657</v>
      </c>
      <c r="B14301" s="158">
        <v>2.2200000000000002</v>
      </c>
    </row>
    <row r="14302" spans="1:2" x14ac:dyDescent="0.25">
      <c r="A14302" s="157">
        <v>42660</v>
      </c>
      <c r="B14302" s="158">
        <v>2.19</v>
      </c>
    </row>
    <row r="14303" spans="1:2" x14ac:dyDescent="0.25">
      <c r="A14303" s="157">
        <v>42661</v>
      </c>
      <c r="B14303" s="158">
        <v>2.1800000000000002</v>
      </c>
    </row>
    <row r="14304" spans="1:2" x14ac:dyDescent="0.25">
      <c r="A14304" s="157">
        <v>42662</v>
      </c>
      <c r="B14304" s="158">
        <v>2.1800000000000002</v>
      </c>
    </row>
    <row r="14305" spans="1:2" x14ac:dyDescent="0.25">
      <c r="A14305" s="157">
        <v>42663</v>
      </c>
      <c r="B14305" s="158">
        <v>2.17</v>
      </c>
    </row>
    <row r="14306" spans="1:2" x14ac:dyDescent="0.25">
      <c r="A14306" s="157">
        <v>42664</v>
      </c>
      <c r="B14306" s="158">
        <v>2.15</v>
      </c>
    </row>
    <row r="14307" spans="1:2" x14ac:dyDescent="0.25">
      <c r="A14307" s="157">
        <v>42667</v>
      </c>
      <c r="B14307" s="158">
        <v>2.1800000000000002</v>
      </c>
    </row>
    <row r="14308" spans="1:2" x14ac:dyDescent="0.25">
      <c r="A14308" s="157">
        <v>42668</v>
      </c>
      <c r="B14308" s="158">
        <v>2.17</v>
      </c>
    </row>
    <row r="14309" spans="1:2" x14ac:dyDescent="0.25">
      <c r="A14309" s="157">
        <v>42669</v>
      </c>
      <c r="B14309" s="158">
        <v>2.2000000000000002</v>
      </c>
    </row>
    <row r="14310" spans="1:2" x14ac:dyDescent="0.25">
      <c r="A14310" s="157">
        <v>42670</v>
      </c>
      <c r="B14310" s="158">
        <v>2.2599999999999998</v>
      </c>
    </row>
    <row r="14311" spans="1:2" x14ac:dyDescent="0.25">
      <c r="A14311" s="157">
        <v>42671</v>
      </c>
      <c r="B14311" s="158">
        <v>2.27</v>
      </c>
    </row>
    <row r="14312" spans="1:2" x14ac:dyDescent="0.25">
      <c r="A14312" s="157">
        <v>42674</v>
      </c>
      <c r="B14312" s="158">
        <v>2.25</v>
      </c>
    </row>
    <row r="14313" spans="1:2" x14ac:dyDescent="0.25">
      <c r="A14313" s="157">
        <v>42675</v>
      </c>
      <c r="B14313" s="158">
        <v>2.2400000000000002</v>
      </c>
    </row>
    <row r="14314" spans="1:2" x14ac:dyDescent="0.25">
      <c r="A14314" s="157">
        <v>42676</v>
      </c>
      <c r="B14314" s="158">
        <v>2.2200000000000002</v>
      </c>
    </row>
    <row r="14315" spans="1:2" x14ac:dyDescent="0.25">
      <c r="A14315" s="157">
        <v>42677</v>
      </c>
      <c r="B14315" s="158">
        <v>2.25</v>
      </c>
    </row>
    <row r="14316" spans="1:2" x14ac:dyDescent="0.25">
      <c r="A14316" s="157">
        <v>42678</v>
      </c>
      <c r="B14316" s="158">
        <v>2.2200000000000002</v>
      </c>
    </row>
    <row r="14317" spans="1:2" x14ac:dyDescent="0.25">
      <c r="A14317" s="157">
        <v>42681</v>
      </c>
      <c r="B14317" s="158">
        <v>2.2599999999999998</v>
      </c>
    </row>
    <row r="14318" spans="1:2" x14ac:dyDescent="0.25">
      <c r="A14318" s="157">
        <v>42682</v>
      </c>
      <c r="B14318" s="158">
        <v>2.29</v>
      </c>
    </row>
    <row r="14319" spans="1:2" x14ac:dyDescent="0.25">
      <c r="A14319" s="157">
        <v>42683</v>
      </c>
      <c r="B14319" s="158">
        <v>2.52</v>
      </c>
    </row>
    <row r="14320" spans="1:2" x14ac:dyDescent="0.25">
      <c r="A14320" s="157">
        <v>42684</v>
      </c>
      <c r="B14320" s="158">
        <v>2.58</v>
      </c>
    </row>
    <row r="14321" spans="1:2" x14ac:dyDescent="0.25">
      <c r="A14321" s="157">
        <v>42685</v>
      </c>
      <c r="B14321" s="158" t="e">
        <f>NA()</f>
        <v>#N/A</v>
      </c>
    </row>
    <row r="14322" spans="1:2" x14ac:dyDescent="0.25">
      <c r="A14322" s="157">
        <v>42688</v>
      </c>
      <c r="B14322" s="158">
        <v>2.65</v>
      </c>
    </row>
    <row r="14323" spans="1:2" x14ac:dyDescent="0.25">
      <c r="A14323" s="157">
        <v>42689</v>
      </c>
      <c r="B14323" s="158">
        <v>2.64</v>
      </c>
    </row>
    <row r="14324" spans="1:2" x14ac:dyDescent="0.25">
      <c r="A14324" s="157">
        <v>42690</v>
      </c>
      <c r="B14324" s="158">
        <v>2.61</v>
      </c>
    </row>
    <row r="14325" spans="1:2" x14ac:dyDescent="0.25">
      <c r="A14325" s="157">
        <v>42691</v>
      </c>
      <c r="B14325" s="158">
        <v>2.69</v>
      </c>
    </row>
    <row r="14326" spans="1:2" x14ac:dyDescent="0.25">
      <c r="A14326" s="157">
        <v>42692</v>
      </c>
      <c r="B14326" s="158">
        <v>2.7</v>
      </c>
    </row>
    <row r="14327" spans="1:2" x14ac:dyDescent="0.25">
      <c r="A14327" s="157">
        <v>42695</v>
      </c>
      <c r="B14327" s="158">
        <v>2.69</v>
      </c>
    </row>
    <row r="14328" spans="1:2" x14ac:dyDescent="0.25">
      <c r="A14328" s="157">
        <v>42696</v>
      </c>
      <c r="B14328" s="158">
        <v>2.69</v>
      </c>
    </row>
    <row r="14329" spans="1:2" x14ac:dyDescent="0.25">
      <c r="A14329" s="157">
        <v>42697</v>
      </c>
      <c r="B14329" s="158">
        <v>2.71</v>
      </c>
    </row>
    <row r="14330" spans="1:2" x14ac:dyDescent="0.25">
      <c r="A14330" s="157">
        <v>42698</v>
      </c>
      <c r="B14330" s="158" t="e">
        <f>NA()</f>
        <v>#N/A</v>
      </c>
    </row>
    <row r="14331" spans="1:2" x14ac:dyDescent="0.25">
      <c r="A14331" s="157">
        <v>42699</v>
      </c>
      <c r="B14331" s="158">
        <v>2.71</v>
      </c>
    </row>
    <row r="14332" spans="1:2" x14ac:dyDescent="0.25">
      <c r="A14332" s="157">
        <v>42702</v>
      </c>
      <c r="B14332" s="158">
        <v>2.68</v>
      </c>
    </row>
    <row r="14333" spans="1:2" x14ac:dyDescent="0.25">
      <c r="A14333" s="157">
        <v>42703</v>
      </c>
      <c r="B14333" s="158">
        <v>2.66</v>
      </c>
    </row>
    <row r="14334" spans="1:2" x14ac:dyDescent="0.25">
      <c r="A14334" s="157">
        <v>42704</v>
      </c>
      <c r="B14334" s="158">
        <v>2.73</v>
      </c>
    </row>
    <row r="14335" spans="1:2" x14ac:dyDescent="0.25">
      <c r="A14335" s="157">
        <v>42705</v>
      </c>
      <c r="B14335" s="158">
        <v>2.82</v>
      </c>
    </row>
    <row r="14336" spans="1:2" x14ac:dyDescent="0.25">
      <c r="A14336" s="157">
        <v>42706</v>
      </c>
      <c r="B14336" s="158">
        <v>2.78</v>
      </c>
    </row>
    <row r="14337" spans="1:2" x14ac:dyDescent="0.25">
      <c r="A14337" s="157">
        <v>42709</v>
      </c>
      <c r="B14337" s="158">
        <v>2.76</v>
      </c>
    </row>
    <row r="14338" spans="1:2" x14ac:dyDescent="0.25">
      <c r="A14338" s="157">
        <v>42710</v>
      </c>
      <c r="B14338" s="158">
        <v>2.77</v>
      </c>
    </row>
    <row r="14339" spans="1:2" x14ac:dyDescent="0.25">
      <c r="A14339" s="157">
        <v>42711</v>
      </c>
      <c r="B14339" s="158">
        <v>2.73</v>
      </c>
    </row>
    <row r="14340" spans="1:2" x14ac:dyDescent="0.25">
      <c r="A14340" s="157">
        <v>42712</v>
      </c>
      <c r="B14340" s="158">
        <v>2.81</v>
      </c>
    </row>
    <row r="14341" spans="1:2" x14ac:dyDescent="0.25">
      <c r="A14341" s="157">
        <v>42713</v>
      </c>
      <c r="B14341" s="158">
        <v>2.87</v>
      </c>
    </row>
    <row r="14342" spans="1:2" x14ac:dyDescent="0.25">
      <c r="A14342" s="157">
        <v>42716</v>
      </c>
      <c r="B14342" s="158">
        <v>2.86</v>
      </c>
    </row>
    <row r="14343" spans="1:2" x14ac:dyDescent="0.25">
      <c r="A14343" s="157">
        <v>42717</v>
      </c>
      <c r="B14343" s="158">
        <v>2.85</v>
      </c>
    </row>
    <row r="14344" spans="1:2" x14ac:dyDescent="0.25">
      <c r="A14344" s="157">
        <v>42718</v>
      </c>
      <c r="B14344" s="158">
        <v>2.86</v>
      </c>
    </row>
    <row r="14345" spans="1:2" x14ac:dyDescent="0.25">
      <c r="A14345" s="157">
        <v>42719</v>
      </c>
      <c r="B14345" s="158">
        <v>2.89</v>
      </c>
    </row>
    <row r="14346" spans="1:2" x14ac:dyDescent="0.25">
      <c r="A14346" s="157">
        <v>42720</v>
      </c>
      <c r="B14346" s="158">
        <v>2.91</v>
      </c>
    </row>
    <row r="14347" spans="1:2" x14ac:dyDescent="0.25">
      <c r="A14347" s="157">
        <v>42723</v>
      </c>
      <c r="B14347" s="158">
        <v>2.85</v>
      </c>
    </row>
    <row r="14348" spans="1:2" x14ac:dyDescent="0.25">
      <c r="A14348" s="157">
        <v>42724</v>
      </c>
      <c r="B14348" s="158">
        <v>2.88</v>
      </c>
    </row>
    <row r="14349" spans="1:2" x14ac:dyDescent="0.25">
      <c r="A14349" s="157">
        <v>42725</v>
      </c>
      <c r="B14349" s="158">
        <v>2.86</v>
      </c>
    </row>
    <row r="14350" spans="1:2" x14ac:dyDescent="0.25">
      <c r="A14350" s="157">
        <v>42726</v>
      </c>
      <c r="B14350" s="158">
        <v>2.86</v>
      </c>
    </row>
    <row r="14351" spans="1:2" x14ac:dyDescent="0.25">
      <c r="A14351" s="157">
        <v>42727</v>
      </c>
      <c r="B14351" s="158">
        <v>2.86</v>
      </c>
    </row>
    <row r="14352" spans="1:2" x14ac:dyDescent="0.25">
      <c r="A14352" s="157">
        <v>42730</v>
      </c>
      <c r="B14352" s="158" t="e">
        <f>NA()</f>
        <v>#N/A</v>
      </c>
    </row>
    <row r="14353" spans="1:2" x14ac:dyDescent="0.25">
      <c r="A14353" s="157">
        <v>42731</v>
      </c>
      <c r="B14353" s="158">
        <v>2.88</v>
      </c>
    </row>
    <row r="14354" spans="1:2" x14ac:dyDescent="0.25">
      <c r="A14354" s="157">
        <v>42732</v>
      </c>
      <c r="B14354" s="158">
        <v>2.83</v>
      </c>
    </row>
    <row r="14355" spans="1:2" x14ac:dyDescent="0.25">
      <c r="A14355" s="157">
        <v>42733</v>
      </c>
      <c r="B14355" s="158">
        <v>2.82</v>
      </c>
    </row>
    <row r="14356" spans="1:2" x14ac:dyDescent="0.25">
      <c r="A14356" s="157">
        <v>42734</v>
      </c>
      <c r="B14356" s="158">
        <v>2.79</v>
      </c>
    </row>
    <row r="14357" spans="1:2" x14ac:dyDescent="0.25">
      <c r="A14357" s="157">
        <v>42737</v>
      </c>
      <c r="B14357" s="158" t="e">
        <f>NA()</f>
        <v>#N/A</v>
      </c>
    </row>
    <row r="14358" spans="1:2" x14ac:dyDescent="0.25">
      <c r="A14358" s="157">
        <v>42738</v>
      </c>
      <c r="B14358" s="158">
        <v>2.78</v>
      </c>
    </row>
    <row r="14359" spans="1:2" x14ac:dyDescent="0.25">
      <c r="A14359" s="157">
        <v>42739</v>
      </c>
      <c r="B14359" s="158">
        <v>2.78</v>
      </c>
    </row>
    <row r="14360" spans="1:2" x14ac:dyDescent="0.25">
      <c r="A14360" s="157">
        <v>42740</v>
      </c>
      <c r="B14360" s="158">
        <v>2.69</v>
      </c>
    </row>
    <row r="14361" spans="1:2" x14ac:dyDescent="0.25">
      <c r="A14361" s="157">
        <v>42741</v>
      </c>
      <c r="B14361" s="158">
        <v>2.73</v>
      </c>
    </row>
    <row r="14362" spans="1:2" x14ac:dyDescent="0.25">
      <c r="A14362" s="157">
        <v>42744</v>
      </c>
      <c r="B14362" s="158">
        <v>2.69</v>
      </c>
    </row>
    <row r="14363" spans="1:2" x14ac:dyDescent="0.25">
      <c r="A14363" s="157">
        <v>42745</v>
      </c>
      <c r="B14363" s="158">
        <v>2.69</v>
      </c>
    </row>
    <row r="14364" spans="1:2" x14ac:dyDescent="0.25">
      <c r="A14364" s="157">
        <v>42746</v>
      </c>
      <c r="B14364" s="158">
        <v>2.68</v>
      </c>
    </row>
    <row r="14365" spans="1:2" x14ac:dyDescent="0.25">
      <c r="A14365" s="157">
        <v>42747</v>
      </c>
      <c r="B14365" s="158">
        <v>2.68</v>
      </c>
    </row>
    <row r="14366" spans="1:2" x14ac:dyDescent="0.25">
      <c r="A14366" s="157">
        <v>42748</v>
      </c>
      <c r="B14366" s="158">
        <v>2.71</v>
      </c>
    </row>
    <row r="14367" spans="1:2" x14ac:dyDescent="0.25">
      <c r="A14367" s="157">
        <v>42751</v>
      </c>
      <c r="B14367" s="158" t="e">
        <f>NA()</f>
        <v>#N/A</v>
      </c>
    </row>
    <row r="14368" spans="1:2" x14ac:dyDescent="0.25">
      <c r="A14368" s="157">
        <v>42752</v>
      </c>
      <c r="B14368" s="158">
        <v>2.66</v>
      </c>
    </row>
    <row r="14369" spans="1:2" x14ac:dyDescent="0.25">
      <c r="A14369" s="157">
        <v>42753</v>
      </c>
      <c r="B14369" s="158">
        <v>2.74</v>
      </c>
    </row>
    <row r="14370" spans="1:2" x14ac:dyDescent="0.25">
      <c r="A14370" s="157">
        <v>42754</v>
      </c>
      <c r="B14370" s="158">
        <v>2.77</v>
      </c>
    </row>
    <row r="14371" spans="1:2" x14ac:dyDescent="0.25">
      <c r="A14371" s="157">
        <v>42755</v>
      </c>
      <c r="B14371" s="158">
        <v>2.79</v>
      </c>
    </row>
    <row r="14372" spans="1:2" x14ac:dyDescent="0.25">
      <c r="A14372" s="157">
        <v>42758</v>
      </c>
      <c r="B14372" s="158">
        <v>2.72</v>
      </c>
    </row>
    <row r="14373" spans="1:2" x14ac:dyDescent="0.25">
      <c r="A14373" s="157">
        <v>42759</v>
      </c>
      <c r="B14373" s="158">
        <v>2.78</v>
      </c>
    </row>
    <row r="14374" spans="1:2" x14ac:dyDescent="0.25">
      <c r="A14374" s="157">
        <v>42760</v>
      </c>
      <c r="B14374" s="158">
        <v>2.84</v>
      </c>
    </row>
    <row r="14375" spans="1:2" x14ac:dyDescent="0.25">
      <c r="A14375" s="157">
        <v>42761</v>
      </c>
      <c r="B14375" s="158">
        <v>2.82</v>
      </c>
    </row>
    <row r="14376" spans="1:2" x14ac:dyDescent="0.25">
      <c r="A14376" s="157">
        <v>42762</v>
      </c>
      <c r="B14376" s="158">
        <v>2.8</v>
      </c>
    </row>
    <row r="14377" spans="1:2" x14ac:dyDescent="0.25">
      <c r="A14377" s="157">
        <v>42765</v>
      </c>
      <c r="B14377" s="158">
        <v>2.82</v>
      </c>
    </row>
    <row r="14378" spans="1:2" x14ac:dyDescent="0.25">
      <c r="A14378" s="157">
        <v>42766</v>
      </c>
      <c r="B14378" s="158">
        <v>2.78</v>
      </c>
    </row>
    <row r="14379" spans="1:2" x14ac:dyDescent="0.25">
      <c r="A14379" s="157">
        <v>42767</v>
      </c>
      <c r="B14379" s="158">
        <v>2.8</v>
      </c>
    </row>
    <row r="14380" spans="1:2" x14ac:dyDescent="0.25">
      <c r="A14380" s="157">
        <v>42768</v>
      </c>
      <c r="B14380" s="158">
        <v>2.8</v>
      </c>
    </row>
    <row r="14381" spans="1:2" x14ac:dyDescent="0.25">
      <c r="A14381" s="157">
        <v>42769</v>
      </c>
      <c r="B14381" s="158">
        <v>2.82</v>
      </c>
    </row>
    <row r="14382" spans="1:2" x14ac:dyDescent="0.25">
      <c r="A14382" s="157">
        <v>42772</v>
      </c>
      <c r="B14382" s="158">
        <v>2.76</v>
      </c>
    </row>
    <row r="14383" spans="1:2" x14ac:dyDescent="0.25">
      <c r="A14383" s="157">
        <v>42773</v>
      </c>
      <c r="B14383" s="158">
        <v>2.74</v>
      </c>
    </row>
    <row r="14384" spans="1:2" x14ac:dyDescent="0.25">
      <c r="A14384" s="157">
        <v>42774</v>
      </c>
      <c r="B14384" s="158">
        <v>2.68</v>
      </c>
    </row>
    <row r="14385" spans="1:2" x14ac:dyDescent="0.25">
      <c r="A14385" s="157">
        <v>42775</v>
      </c>
      <c r="B14385" s="158">
        <v>2.74</v>
      </c>
    </row>
    <row r="14386" spans="1:2" x14ac:dyDescent="0.25">
      <c r="A14386" s="157">
        <v>42776</v>
      </c>
      <c r="B14386" s="158">
        <v>2.75</v>
      </c>
    </row>
    <row r="14387" spans="1:2" x14ac:dyDescent="0.25">
      <c r="A14387" s="157">
        <v>42779</v>
      </c>
      <c r="B14387" s="158">
        <v>2.77</v>
      </c>
    </row>
    <row r="14388" spans="1:2" x14ac:dyDescent="0.25">
      <c r="A14388" s="157">
        <v>42780</v>
      </c>
      <c r="B14388" s="158">
        <v>2.81</v>
      </c>
    </row>
    <row r="14389" spans="1:2" x14ac:dyDescent="0.25">
      <c r="A14389" s="157">
        <v>42781</v>
      </c>
      <c r="B14389" s="158">
        <v>2.84</v>
      </c>
    </row>
    <row r="14390" spans="1:2" x14ac:dyDescent="0.25">
      <c r="A14390" s="157">
        <v>42782</v>
      </c>
      <c r="B14390" s="158">
        <v>2.8</v>
      </c>
    </row>
    <row r="14391" spans="1:2" x14ac:dyDescent="0.25">
      <c r="A14391" s="157">
        <v>42783</v>
      </c>
      <c r="B14391" s="158">
        <v>2.78</v>
      </c>
    </row>
    <row r="14392" spans="1:2" x14ac:dyDescent="0.25">
      <c r="A14392" s="157">
        <v>42786</v>
      </c>
      <c r="B14392" s="158" t="e">
        <f>NA()</f>
        <v>#N/A</v>
      </c>
    </row>
    <row r="14393" spans="1:2" x14ac:dyDescent="0.25">
      <c r="A14393" s="157">
        <v>42787</v>
      </c>
      <c r="B14393" s="158">
        <v>2.78</v>
      </c>
    </row>
    <row r="14394" spans="1:2" x14ac:dyDescent="0.25">
      <c r="A14394" s="157">
        <v>42788</v>
      </c>
      <c r="B14394" s="158">
        <v>2.78</v>
      </c>
    </row>
    <row r="14395" spans="1:2" x14ac:dyDescent="0.25">
      <c r="A14395" s="157">
        <v>42789</v>
      </c>
      <c r="B14395" s="158">
        <v>2.75</v>
      </c>
    </row>
    <row r="14396" spans="1:2" x14ac:dyDescent="0.25">
      <c r="A14396" s="157">
        <v>42790</v>
      </c>
      <c r="B14396" s="158">
        <v>2.69</v>
      </c>
    </row>
    <row r="14397" spans="1:2" x14ac:dyDescent="0.25">
      <c r="A14397" s="157">
        <v>42793</v>
      </c>
      <c r="B14397" s="158">
        <v>2.72</v>
      </c>
    </row>
    <row r="14398" spans="1:2" x14ac:dyDescent="0.25">
      <c r="A14398" s="157">
        <v>42794</v>
      </c>
      <c r="B14398" s="158">
        <v>2.7</v>
      </c>
    </row>
    <row r="14399" spans="1:2" x14ac:dyDescent="0.25">
      <c r="A14399" s="157">
        <v>42795</v>
      </c>
      <c r="B14399" s="158">
        <v>2.81</v>
      </c>
    </row>
    <row r="14400" spans="1:2" x14ac:dyDescent="0.25">
      <c r="A14400" s="157">
        <v>42796</v>
      </c>
      <c r="B14400" s="158">
        <v>2.84</v>
      </c>
    </row>
    <row r="14401" spans="1:2" x14ac:dyDescent="0.25">
      <c r="A14401" s="157">
        <v>42797</v>
      </c>
      <c r="B14401" s="158">
        <v>2.83</v>
      </c>
    </row>
    <row r="14402" spans="1:2" x14ac:dyDescent="0.25">
      <c r="A14402" s="157">
        <v>42800</v>
      </c>
      <c r="B14402" s="158">
        <v>2.84</v>
      </c>
    </row>
    <row r="14403" spans="1:2" x14ac:dyDescent="0.25">
      <c r="A14403" s="157">
        <v>42801</v>
      </c>
      <c r="B14403" s="158">
        <v>2.85</v>
      </c>
    </row>
    <row r="14404" spans="1:2" x14ac:dyDescent="0.25">
      <c r="A14404" s="157">
        <v>42802</v>
      </c>
      <c r="B14404" s="158">
        <v>2.89</v>
      </c>
    </row>
    <row r="14405" spans="1:2" x14ac:dyDescent="0.25">
      <c r="A14405" s="157">
        <v>42803</v>
      </c>
      <c r="B14405" s="158">
        <v>2.94</v>
      </c>
    </row>
    <row r="14406" spans="1:2" x14ac:dyDescent="0.25">
      <c r="A14406" s="157">
        <v>42804</v>
      </c>
      <c r="B14406" s="158">
        <v>2.94</v>
      </c>
    </row>
    <row r="14407" spans="1:2" x14ac:dyDescent="0.25">
      <c r="A14407" s="157">
        <v>42807</v>
      </c>
      <c r="B14407" s="158">
        <v>2.97</v>
      </c>
    </row>
    <row r="14408" spans="1:2" x14ac:dyDescent="0.25">
      <c r="A14408" s="157">
        <v>42808</v>
      </c>
      <c r="B14408" s="158">
        <v>2.94</v>
      </c>
    </row>
    <row r="14409" spans="1:2" x14ac:dyDescent="0.25">
      <c r="A14409" s="157">
        <v>42809</v>
      </c>
      <c r="B14409" s="158">
        <v>2.87</v>
      </c>
    </row>
    <row r="14410" spans="1:2" x14ac:dyDescent="0.25">
      <c r="A14410" s="157">
        <v>42810</v>
      </c>
      <c r="B14410" s="158">
        <v>2.89</v>
      </c>
    </row>
    <row r="14411" spans="1:2" x14ac:dyDescent="0.25">
      <c r="A14411" s="157">
        <v>42811</v>
      </c>
      <c r="B14411" s="158">
        <v>2.86</v>
      </c>
    </row>
    <row r="14412" spans="1:2" x14ac:dyDescent="0.25">
      <c r="A14412" s="157">
        <v>42814</v>
      </c>
      <c r="B14412" s="158">
        <v>2.83</v>
      </c>
    </row>
    <row r="14413" spans="1:2" x14ac:dyDescent="0.25">
      <c r="A14413" s="157">
        <v>42815</v>
      </c>
      <c r="B14413" s="158">
        <v>2.79</v>
      </c>
    </row>
    <row r="14414" spans="1:2" x14ac:dyDescent="0.25">
      <c r="A14414" s="157">
        <v>42816</v>
      </c>
      <c r="B14414" s="158">
        <v>2.76</v>
      </c>
    </row>
    <row r="14415" spans="1:2" x14ac:dyDescent="0.25">
      <c r="A14415" s="157">
        <v>42817</v>
      </c>
      <c r="B14415" s="158">
        <v>2.76</v>
      </c>
    </row>
    <row r="14416" spans="1:2" x14ac:dyDescent="0.25">
      <c r="A14416" s="157">
        <v>42818</v>
      </c>
      <c r="B14416" s="158">
        <v>2.74</v>
      </c>
    </row>
    <row r="14417" spans="1:2" x14ac:dyDescent="0.25">
      <c r="A14417" s="157">
        <v>42821</v>
      </c>
      <c r="B14417" s="158">
        <v>2.73</v>
      </c>
    </row>
    <row r="14418" spans="1:2" x14ac:dyDescent="0.25">
      <c r="A14418" s="157">
        <v>42822</v>
      </c>
      <c r="B14418" s="158">
        <v>2.77</v>
      </c>
    </row>
    <row r="14419" spans="1:2" x14ac:dyDescent="0.25">
      <c r="A14419" s="157">
        <v>42823</v>
      </c>
      <c r="B14419" s="158">
        <v>2.74</v>
      </c>
    </row>
    <row r="14420" spans="1:2" x14ac:dyDescent="0.25">
      <c r="A14420" s="157">
        <v>42824</v>
      </c>
      <c r="B14420" s="158">
        <v>2.78</v>
      </c>
    </row>
    <row r="14421" spans="1:2" x14ac:dyDescent="0.25">
      <c r="A14421" s="157">
        <v>42825</v>
      </c>
      <c r="B14421" s="158">
        <v>2.76</v>
      </c>
    </row>
    <row r="14422" spans="1:2" x14ac:dyDescent="0.25">
      <c r="A14422" s="157">
        <v>42828</v>
      </c>
      <c r="B14422" s="158">
        <v>2.71</v>
      </c>
    </row>
    <row r="14423" spans="1:2" x14ac:dyDescent="0.25">
      <c r="A14423" s="157">
        <v>42829</v>
      </c>
      <c r="B14423" s="158">
        <v>2.72</v>
      </c>
    </row>
    <row r="14424" spans="1:2" x14ac:dyDescent="0.25">
      <c r="A14424" s="157">
        <v>42830</v>
      </c>
      <c r="B14424" s="158">
        <v>2.71</v>
      </c>
    </row>
    <row r="14425" spans="1:2" x14ac:dyDescent="0.25">
      <c r="A14425" s="157">
        <v>42831</v>
      </c>
      <c r="B14425" s="158">
        <v>2.72</v>
      </c>
    </row>
    <row r="14426" spans="1:2" x14ac:dyDescent="0.25">
      <c r="A14426" s="157">
        <v>42832</v>
      </c>
      <c r="B14426" s="158">
        <v>2.74</v>
      </c>
    </row>
    <row r="14427" spans="1:2" x14ac:dyDescent="0.25">
      <c r="A14427" s="157">
        <v>42835</v>
      </c>
      <c r="B14427" s="158">
        <v>2.72</v>
      </c>
    </row>
    <row r="14428" spans="1:2" x14ac:dyDescent="0.25">
      <c r="A14428" s="157">
        <v>42836</v>
      </c>
      <c r="B14428" s="158">
        <v>2.67</v>
      </c>
    </row>
    <row r="14429" spans="1:2" x14ac:dyDescent="0.25">
      <c r="A14429" s="157">
        <v>42837</v>
      </c>
      <c r="B14429" s="158">
        <v>2.65</v>
      </c>
    </row>
    <row r="14430" spans="1:2" x14ac:dyDescent="0.25">
      <c r="A14430" s="157">
        <v>42838</v>
      </c>
      <c r="B14430" s="158">
        <v>2.62</v>
      </c>
    </row>
    <row r="14431" spans="1:2" x14ac:dyDescent="0.25">
      <c r="A14431" s="157">
        <v>42839</v>
      </c>
      <c r="B14431" s="158" t="e">
        <f>NA()</f>
        <v>#N/A</v>
      </c>
    </row>
    <row r="14432" spans="1:2" x14ac:dyDescent="0.25">
      <c r="A14432" s="157">
        <v>42842</v>
      </c>
      <c r="B14432" s="158">
        <v>2.65</v>
      </c>
    </row>
    <row r="14433" spans="1:2" x14ac:dyDescent="0.25">
      <c r="A14433" s="157">
        <v>42843</v>
      </c>
      <c r="B14433" s="158">
        <v>2.56</v>
      </c>
    </row>
    <row r="14434" spans="1:2" x14ac:dyDescent="0.25">
      <c r="A14434" s="157">
        <v>42844</v>
      </c>
      <c r="B14434" s="158">
        <v>2.59</v>
      </c>
    </row>
    <row r="14435" spans="1:2" x14ac:dyDescent="0.25">
      <c r="A14435" s="157">
        <v>42845</v>
      </c>
      <c r="B14435" s="158">
        <v>2.61</v>
      </c>
    </row>
    <row r="14436" spans="1:2" x14ac:dyDescent="0.25">
      <c r="A14436" s="157">
        <v>42846</v>
      </c>
      <c r="B14436" s="158">
        <v>2.61</v>
      </c>
    </row>
    <row r="14437" spans="1:2" x14ac:dyDescent="0.25">
      <c r="A14437" s="157">
        <v>42849</v>
      </c>
      <c r="B14437" s="158">
        <v>2.65</v>
      </c>
    </row>
    <row r="14438" spans="1:2" x14ac:dyDescent="0.25">
      <c r="A14438" s="157">
        <v>42850</v>
      </c>
      <c r="B14438" s="158">
        <v>2.71</v>
      </c>
    </row>
    <row r="14439" spans="1:2" x14ac:dyDescent="0.25">
      <c r="A14439" s="157">
        <v>42851</v>
      </c>
      <c r="B14439" s="158">
        <v>2.69</v>
      </c>
    </row>
    <row r="14440" spans="1:2" x14ac:dyDescent="0.25">
      <c r="A14440" s="157">
        <v>42852</v>
      </c>
      <c r="B14440" s="158">
        <v>2.68</v>
      </c>
    </row>
    <row r="14441" spans="1:2" x14ac:dyDescent="0.25">
      <c r="A14441" s="157">
        <v>42853</v>
      </c>
      <c r="B14441" s="158">
        <v>2.67</v>
      </c>
    </row>
    <row r="14442" spans="1:2" x14ac:dyDescent="0.25">
      <c r="A14442" s="157">
        <v>42856</v>
      </c>
      <c r="B14442" s="158">
        <v>2.71</v>
      </c>
    </row>
    <row r="14443" spans="1:2" x14ac:dyDescent="0.25">
      <c r="A14443" s="157">
        <v>42857</v>
      </c>
      <c r="B14443" s="158">
        <v>2.68</v>
      </c>
    </row>
    <row r="14444" spans="1:2" x14ac:dyDescent="0.25">
      <c r="A14444" s="157">
        <v>42858</v>
      </c>
      <c r="B14444" s="158">
        <v>2.7</v>
      </c>
    </row>
    <row r="14445" spans="1:2" x14ac:dyDescent="0.25">
      <c r="A14445" s="157">
        <v>42859</v>
      </c>
      <c r="B14445" s="158">
        <v>2.73</v>
      </c>
    </row>
    <row r="14446" spans="1:2" x14ac:dyDescent="0.25">
      <c r="A14446" s="157">
        <v>42860</v>
      </c>
      <c r="B14446" s="158">
        <v>2.73</v>
      </c>
    </row>
    <row r="14447" spans="1:2" x14ac:dyDescent="0.25">
      <c r="A14447" s="157">
        <v>42863</v>
      </c>
      <c r="B14447" s="158">
        <v>2.76</v>
      </c>
    </row>
    <row r="14448" spans="1:2" x14ac:dyDescent="0.25">
      <c r="A14448" s="157">
        <v>42864</v>
      </c>
      <c r="B14448" s="158">
        <v>2.79</v>
      </c>
    </row>
    <row r="14449" spans="1:2" x14ac:dyDescent="0.25">
      <c r="A14449" s="157">
        <v>42865</v>
      </c>
      <c r="B14449" s="158">
        <v>2.79</v>
      </c>
    </row>
    <row r="14450" spans="1:2" x14ac:dyDescent="0.25">
      <c r="A14450" s="157">
        <v>42866</v>
      </c>
      <c r="B14450" s="158">
        <v>2.78</v>
      </c>
    </row>
    <row r="14451" spans="1:2" x14ac:dyDescent="0.25">
      <c r="A14451" s="157">
        <v>42867</v>
      </c>
      <c r="B14451" s="158">
        <v>2.74</v>
      </c>
    </row>
    <row r="14452" spans="1:2" x14ac:dyDescent="0.25">
      <c r="A14452" s="157">
        <v>42870</v>
      </c>
      <c r="B14452" s="158">
        <v>2.76</v>
      </c>
    </row>
    <row r="14453" spans="1:2" x14ac:dyDescent="0.25">
      <c r="A14453" s="157">
        <v>42871</v>
      </c>
      <c r="B14453" s="158">
        <v>2.74</v>
      </c>
    </row>
    <row r="14454" spans="1:2" x14ac:dyDescent="0.25">
      <c r="A14454" s="157">
        <v>42872</v>
      </c>
      <c r="B14454" s="158">
        <v>2.65</v>
      </c>
    </row>
    <row r="14455" spans="1:2" x14ac:dyDescent="0.25">
      <c r="A14455" s="157">
        <v>42873</v>
      </c>
      <c r="B14455" s="158">
        <v>2.64</v>
      </c>
    </row>
    <row r="14456" spans="1:2" x14ac:dyDescent="0.25">
      <c r="A14456" s="157">
        <v>42874</v>
      </c>
      <c r="B14456" s="158">
        <v>2.63</v>
      </c>
    </row>
    <row r="14457" spans="1:2" x14ac:dyDescent="0.25">
      <c r="A14457" s="157">
        <v>42877</v>
      </c>
      <c r="B14457" s="158">
        <v>2.64</v>
      </c>
    </row>
    <row r="14458" spans="1:2" x14ac:dyDescent="0.25">
      <c r="A14458" s="157">
        <v>42878</v>
      </c>
      <c r="B14458" s="158">
        <v>2.68</v>
      </c>
    </row>
    <row r="14459" spans="1:2" x14ac:dyDescent="0.25">
      <c r="A14459" s="157">
        <v>42879</v>
      </c>
      <c r="B14459" s="158">
        <v>2.65</v>
      </c>
    </row>
    <row r="14460" spans="1:2" x14ac:dyDescent="0.25">
      <c r="A14460" s="157">
        <v>42880</v>
      </c>
      <c r="B14460" s="158">
        <v>2.65</v>
      </c>
    </row>
    <row r="14461" spans="1:2" x14ac:dyDescent="0.25">
      <c r="A14461" s="157">
        <v>42881</v>
      </c>
      <c r="B14461" s="158">
        <v>2.65</v>
      </c>
    </row>
    <row r="14462" spans="1:2" x14ac:dyDescent="0.25">
      <c r="A14462" s="157">
        <v>42884</v>
      </c>
      <c r="B14462" s="158" t="e">
        <f>NA()</f>
        <v>#N/A</v>
      </c>
    </row>
    <row r="14463" spans="1:2" x14ac:dyDescent="0.25">
      <c r="A14463" s="157">
        <v>42885</v>
      </c>
      <c r="B14463" s="158">
        <v>2.61</v>
      </c>
    </row>
    <row r="14464" spans="1:2" x14ac:dyDescent="0.25">
      <c r="A14464" s="157">
        <v>42886</v>
      </c>
      <c r="B14464" s="158">
        <v>2.6</v>
      </c>
    </row>
    <row r="14465" spans="1:2" x14ac:dyDescent="0.25">
      <c r="A14465" s="157">
        <v>42887</v>
      </c>
      <c r="B14465" s="158">
        <v>2.6</v>
      </c>
    </row>
    <row r="14466" spans="1:2" x14ac:dyDescent="0.25">
      <c r="A14466" s="157">
        <v>42888</v>
      </c>
      <c r="B14466" s="158">
        <v>2.5299999999999998</v>
      </c>
    </row>
    <row r="14467" spans="1:2" x14ac:dyDescent="0.25">
      <c r="A14467" s="157">
        <v>42891</v>
      </c>
      <c r="B14467" s="158">
        <v>2.56</v>
      </c>
    </row>
    <row r="14468" spans="1:2" x14ac:dyDescent="0.25">
      <c r="A14468" s="157">
        <v>42892</v>
      </c>
      <c r="B14468" s="158">
        <v>2.5299999999999998</v>
      </c>
    </row>
    <row r="14469" spans="1:2" x14ac:dyDescent="0.25">
      <c r="A14469" s="157">
        <v>42893</v>
      </c>
      <c r="B14469" s="158">
        <v>2.56</v>
      </c>
    </row>
    <row r="14470" spans="1:2" x14ac:dyDescent="0.25">
      <c r="A14470" s="157">
        <v>42894</v>
      </c>
      <c r="B14470" s="158">
        <v>2.57</v>
      </c>
    </row>
    <row r="14471" spans="1:2" x14ac:dyDescent="0.25">
      <c r="A14471" s="157">
        <v>42895</v>
      </c>
      <c r="B14471" s="158">
        <v>2.59</v>
      </c>
    </row>
    <row r="14472" spans="1:2" x14ac:dyDescent="0.25">
      <c r="A14472" s="157">
        <v>42898</v>
      </c>
      <c r="B14472" s="158">
        <v>2.59</v>
      </c>
    </row>
    <row r="14473" spans="1:2" x14ac:dyDescent="0.25">
      <c r="A14473" s="157">
        <v>42899</v>
      </c>
      <c r="B14473" s="158">
        <v>2.6</v>
      </c>
    </row>
    <row r="14474" spans="1:2" x14ac:dyDescent="0.25">
      <c r="A14474" s="157">
        <v>42900</v>
      </c>
      <c r="B14474" s="158">
        <v>2.5299999999999998</v>
      </c>
    </row>
    <row r="14475" spans="1:2" x14ac:dyDescent="0.25">
      <c r="A14475" s="157">
        <v>42901</v>
      </c>
      <c r="B14475" s="158">
        <v>2.52</v>
      </c>
    </row>
    <row r="14476" spans="1:2" x14ac:dyDescent="0.25">
      <c r="A14476" s="157">
        <v>42902</v>
      </c>
      <c r="B14476" s="158">
        <v>2.52</v>
      </c>
    </row>
    <row r="14477" spans="1:2" x14ac:dyDescent="0.25">
      <c r="A14477" s="157">
        <v>42905</v>
      </c>
      <c r="B14477" s="158">
        <v>2.5299999999999998</v>
      </c>
    </row>
    <row r="14478" spans="1:2" x14ac:dyDescent="0.25">
      <c r="A14478" s="157">
        <v>42906</v>
      </c>
      <c r="B14478" s="158">
        <v>2.4900000000000002</v>
      </c>
    </row>
    <row r="14479" spans="1:2" x14ac:dyDescent="0.25">
      <c r="A14479" s="157">
        <v>42907</v>
      </c>
      <c r="B14479" s="158">
        <v>2.48</v>
      </c>
    </row>
    <row r="14480" spans="1:2" x14ac:dyDescent="0.25">
      <c r="A14480" s="157">
        <v>42908</v>
      </c>
      <c r="B14480" s="158">
        <v>2.4700000000000002</v>
      </c>
    </row>
    <row r="14481" spans="1:2" x14ac:dyDescent="0.25">
      <c r="A14481" s="157">
        <v>42909</v>
      </c>
      <c r="B14481" s="158">
        <v>2.48</v>
      </c>
    </row>
    <row r="14482" spans="1:2" x14ac:dyDescent="0.25">
      <c r="A14482" s="157">
        <v>42912</v>
      </c>
      <c r="B14482" s="158">
        <v>2.46</v>
      </c>
    </row>
    <row r="14483" spans="1:2" x14ac:dyDescent="0.25">
      <c r="A14483" s="157">
        <v>42913</v>
      </c>
      <c r="B14483" s="158">
        <v>2.52</v>
      </c>
    </row>
    <row r="14484" spans="1:2" x14ac:dyDescent="0.25">
      <c r="A14484" s="157">
        <v>42914</v>
      </c>
      <c r="B14484" s="158">
        <v>2.5499999999999998</v>
      </c>
    </row>
    <row r="14485" spans="1:2" x14ac:dyDescent="0.25">
      <c r="A14485" s="157">
        <v>42915</v>
      </c>
      <c r="B14485" s="158">
        <v>2.59</v>
      </c>
    </row>
    <row r="14486" spans="1:2" x14ac:dyDescent="0.25">
      <c r="A14486" s="157">
        <v>42916</v>
      </c>
      <c r="B14486" s="158">
        <v>2.61</v>
      </c>
    </row>
    <row r="14487" spans="1:2" x14ac:dyDescent="0.25">
      <c r="A14487" s="157">
        <v>42919</v>
      </c>
      <c r="B14487" s="158">
        <v>2.65</v>
      </c>
    </row>
    <row r="14488" spans="1:2" x14ac:dyDescent="0.25">
      <c r="A14488" s="157">
        <v>42920</v>
      </c>
      <c r="B14488" s="158" t="e">
        <f>NA()</f>
        <v>#N/A</v>
      </c>
    </row>
    <row r="14489" spans="1:2" x14ac:dyDescent="0.25">
      <c r="A14489" s="157">
        <v>42921</v>
      </c>
      <c r="B14489" s="158">
        <v>2.63</v>
      </c>
    </row>
    <row r="14490" spans="1:2" x14ac:dyDescent="0.25">
      <c r="A14490" s="157">
        <v>42922</v>
      </c>
      <c r="B14490" s="158">
        <v>2.68</v>
      </c>
    </row>
    <row r="14491" spans="1:2" x14ac:dyDescent="0.25">
      <c r="A14491" s="157">
        <v>42923</v>
      </c>
      <c r="B14491" s="158">
        <v>2.71</v>
      </c>
    </row>
    <row r="14492" spans="1:2" x14ac:dyDescent="0.25">
      <c r="A14492" s="157">
        <v>42926</v>
      </c>
      <c r="B14492" s="158">
        <v>2.7</v>
      </c>
    </row>
    <row r="14493" spans="1:2" x14ac:dyDescent="0.25">
      <c r="A14493" s="157">
        <v>42927</v>
      </c>
      <c r="B14493" s="158">
        <v>2.69</v>
      </c>
    </row>
    <row r="14494" spans="1:2" x14ac:dyDescent="0.25">
      <c r="A14494" s="157">
        <v>42928</v>
      </c>
      <c r="B14494" s="158">
        <v>2.65</v>
      </c>
    </row>
    <row r="14495" spans="1:2" x14ac:dyDescent="0.25">
      <c r="A14495" s="157">
        <v>42929</v>
      </c>
      <c r="B14495" s="158">
        <v>2.69</v>
      </c>
    </row>
    <row r="14496" spans="1:2" x14ac:dyDescent="0.25">
      <c r="A14496" s="157">
        <v>42930</v>
      </c>
      <c r="B14496" s="158">
        <v>2.67</v>
      </c>
    </row>
    <row r="14497" spans="1:2" x14ac:dyDescent="0.25">
      <c r="A14497" s="157">
        <v>42933</v>
      </c>
      <c r="B14497" s="158">
        <v>2.65</v>
      </c>
    </row>
    <row r="14498" spans="1:2" x14ac:dyDescent="0.25">
      <c r="A14498" s="157">
        <v>42934</v>
      </c>
      <c r="B14498" s="158">
        <v>2.61</v>
      </c>
    </row>
    <row r="14499" spans="1:2" x14ac:dyDescent="0.25">
      <c r="A14499" s="157">
        <v>42935</v>
      </c>
      <c r="B14499" s="158">
        <v>2.61</v>
      </c>
    </row>
    <row r="14500" spans="1:2" x14ac:dyDescent="0.25">
      <c r="A14500" s="157">
        <v>42936</v>
      </c>
      <c r="B14500" s="158">
        <v>2.6</v>
      </c>
    </row>
    <row r="14501" spans="1:2" x14ac:dyDescent="0.25">
      <c r="A14501" s="157">
        <v>42937</v>
      </c>
      <c r="B14501" s="158">
        <v>2.57</v>
      </c>
    </row>
    <row r="14502" spans="1:2" x14ac:dyDescent="0.25">
      <c r="A14502" s="157">
        <v>42940</v>
      </c>
      <c r="B14502" s="158">
        <v>2.59</v>
      </c>
    </row>
    <row r="14503" spans="1:2" x14ac:dyDescent="0.25">
      <c r="A14503" s="157">
        <v>42941</v>
      </c>
      <c r="B14503" s="158">
        <v>2.67</v>
      </c>
    </row>
    <row r="14504" spans="1:2" x14ac:dyDescent="0.25">
      <c r="A14504" s="157">
        <v>42942</v>
      </c>
      <c r="B14504" s="158">
        <v>2.65</v>
      </c>
    </row>
    <row r="14505" spans="1:2" x14ac:dyDescent="0.25">
      <c r="A14505" s="157">
        <v>42943</v>
      </c>
      <c r="B14505" s="158">
        <v>2.68</v>
      </c>
    </row>
    <row r="14506" spans="1:2" x14ac:dyDescent="0.25">
      <c r="A14506" s="157">
        <v>42944</v>
      </c>
      <c r="B14506" s="158">
        <v>2.65</v>
      </c>
    </row>
    <row r="14507" spans="1:2" x14ac:dyDescent="0.25">
      <c r="A14507" s="157">
        <v>42947</v>
      </c>
      <c r="B14507" s="158">
        <v>2.66</v>
      </c>
    </row>
    <row r="14508" spans="1:2" x14ac:dyDescent="0.25">
      <c r="A14508" s="157">
        <v>42948</v>
      </c>
      <c r="B14508" s="158">
        <v>2.61</v>
      </c>
    </row>
    <row r="14509" spans="1:2" x14ac:dyDescent="0.25">
      <c r="A14509" s="157">
        <v>42949</v>
      </c>
      <c r="B14509" s="158">
        <v>2.6</v>
      </c>
    </row>
    <row r="14510" spans="1:2" x14ac:dyDescent="0.25">
      <c r="A14510" s="157">
        <v>42950</v>
      </c>
      <c r="B14510" s="158">
        <v>2.56</v>
      </c>
    </row>
    <row r="14511" spans="1:2" x14ac:dyDescent="0.25">
      <c r="A14511" s="157">
        <v>42951</v>
      </c>
      <c r="B14511" s="158">
        <v>2.61</v>
      </c>
    </row>
    <row r="14512" spans="1:2" x14ac:dyDescent="0.25">
      <c r="A14512" s="157">
        <v>42954</v>
      </c>
      <c r="B14512" s="158">
        <v>2.6</v>
      </c>
    </row>
    <row r="14513" spans="1:2" x14ac:dyDescent="0.25">
      <c r="A14513" s="157">
        <v>42955</v>
      </c>
      <c r="B14513" s="158">
        <v>2.63</v>
      </c>
    </row>
    <row r="14514" spans="1:2" x14ac:dyDescent="0.25">
      <c r="A14514" s="157">
        <v>42956</v>
      </c>
      <c r="B14514" s="158">
        <v>2.59</v>
      </c>
    </row>
    <row r="14515" spans="1:2" x14ac:dyDescent="0.25">
      <c r="A14515" s="157">
        <v>42957</v>
      </c>
      <c r="B14515" s="158">
        <v>2.5499999999999998</v>
      </c>
    </row>
    <row r="14516" spans="1:2" x14ac:dyDescent="0.25">
      <c r="A14516" s="157">
        <v>42958</v>
      </c>
      <c r="B14516" s="158">
        <v>2.5499999999999998</v>
      </c>
    </row>
    <row r="14517" spans="1:2" x14ac:dyDescent="0.25">
      <c r="A14517" s="157">
        <v>42961</v>
      </c>
      <c r="B14517" s="158">
        <v>2.57</v>
      </c>
    </row>
    <row r="14518" spans="1:2" x14ac:dyDescent="0.25">
      <c r="A14518" s="157">
        <v>42962</v>
      </c>
      <c r="B14518" s="158">
        <v>2.6</v>
      </c>
    </row>
    <row r="14519" spans="1:2" x14ac:dyDescent="0.25">
      <c r="A14519" s="157">
        <v>42963</v>
      </c>
      <c r="B14519" s="158">
        <v>2.58</v>
      </c>
    </row>
    <row r="14520" spans="1:2" x14ac:dyDescent="0.25">
      <c r="A14520" s="157">
        <v>42964</v>
      </c>
      <c r="B14520" s="158">
        <v>2.54</v>
      </c>
    </row>
    <row r="14521" spans="1:2" x14ac:dyDescent="0.25">
      <c r="A14521" s="157">
        <v>42965</v>
      </c>
      <c r="B14521" s="158">
        <v>2.54</v>
      </c>
    </row>
    <row r="14522" spans="1:2" x14ac:dyDescent="0.25">
      <c r="A14522" s="157">
        <v>42968</v>
      </c>
      <c r="B14522" s="158">
        <v>2.52</v>
      </c>
    </row>
    <row r="14523" spans="1:2" x14ac:dyDescent="0.25">
      <c r="A14523" s="157">
        <v>42969</v>
      </c>
      <c r="B14523" s="158">
        <v>2.5499999999999998</v>
      </c>
    </row>
    <row r="14524" spans="1:2" x14ac:dyDescent="0.25">
      <c r="A14524" s="157">
        <v>42970</v>
      </c>
      <c r="B14524" s="158">
        <v>2.5099999999999998</v>
      </c>
    </row>
    <row r="14525" spans="1:2" x14ac:dyDescent="0.25">
      <c r="A14525" s="157">
        <v>42971</v>
      </c>
      <c r="B14525" s="158">
        <v>2.5299999999999998</v>
      </c>
    </row>
    <row r="14526" spans="1:2" x14ac:dyDescent="0.25">
      <c r="A14526" s="157">
        <v>42972</v>
      </c>
      <c r="B14526" s="158">
        <v>2.5099999999999998</v>
      </c>
    </row>
    <row r="14527" spans="1:2" x14ac:dyDescent="0.25">
      <c r="A14527" s="157">
        <v>42975</v>
      </c>
      <c r="B14527" s="158">
        <v>2.5099999999999998</v>
      </c>
    </row>
    <row r="14528" spans="1:2" x14ac:dyDescent="0.25">
      <c r="A14528" s="157">
        <v>42976</v>
      </c>
      <c r="B14528" s="158">
        <v>2.48</v>
      </c>
    </row>
    <row r="14529" spans="1:2" x14ac:dyDescent="0.25">
      <c r="A14529" s="157">
        <v>42977</v>
      </c>
      <c r="B14529" s="158">
        <v>2.4900000000000002</v>
      </c>
    </row>
    <row r="14530" spans="1:2" x14ac:dyDescent="0.25">
      <c r="A14530" s="157">
        <v>42978</v>
      </c>
      <c r="B14530" s="158">
        <v>2.4700000000000002</v>
      </c>
    </row>
    <row r="14531" spans="1:2" x14ac:dyDescent="0.25">
      <c r="A14531" s="157">
        <v>42979</v>
      </c>
      <c r="B14531" s="158">
        <v>2.5099999999999998</v>
      </c>
    </row>
    <row r="14532" spans="1:2" x14ac:dyDescent="0.25">
      <c r="A14532" s="157">
        <v>42982</v>
      </c>
      <c r="B14532" s="158" t="e">
        <f>NA()</f>
        <v>#N/A</v>
      </c>
    </row>
    <row r="14533" spans="1:2" x14ac:dyDescent="0.25">
      <c r="A14533" s="157">
        <v>42983</v>
      </c>
      <c r="B14533" s="158">
        <v>2.4300000000000002</v>
      </c>
    </row>
    <row r="14534" spans="1:2" x14ac:dyDescent="0.25">
      <c r="A14534" s="157">
        <v>42984</v>
      </c>
      <c r="B14534" s="158">
        <v>2.46</v>
      </c>
    </row>
    <row r="14535" spans="1:2" x14ac:dyDescent="0.25">
      <c r="A14535" s="157">
        <v>42985</v>
      </c>
      <c r="B14535" s="158">
        <v>2.4</v>
      </c>
    </row>
    <row r="14536" spans="1:2" x14ac:dyDescent="0.25">
      <c r="A14536" s="157">
        <v>42986</v>
      </c>
      <c r="B14536" s="158">
        <v>2.41</v>
      </c>
    </row>
    <row r="14537" spans="1:2" x14ac:dyDescent="0.25">
      <c r="A14537" s="157">
        <v>42989</v>
      </c>
      <c r="B14537" s="158">
        <v>2.4900000000000002</v>
      </c>
    </row>
    <row r="14538" spans="1:2" x14ac:dyDescent="0.25">
      <c r="A14538" s="157">
        <v>42990</v>
      </c>
      <c r="B14538" s="158">
        <v>2.52</v>
      </c>
    </row>
    <row r="14539" spans="1:2" x14ac:dyDescent="0.25">
      <c r="A14539" s="157">
        <v>42991</v>
      </c>
      <c r="B14539" s="158">
        <v>2.5299999999999998</v>
      </c>
    </row>
    <row r="14540" spans="1:2" x14ac:dyDescent="0.25">
      <c r="A14540" s="157">
        <v>42992</v>
      </c>
      <c r="B14540" s="158">
        <v>2.52</v>
      </c>
    </row>
    <row r="14541" spans="1:2" x14ac:dyDescent="0.25">
      <c r="A14541" s="157">
        <v>42993</v>
      </c>
      <c r="B14541" s="158">
        <v>2.52</v>
      </c>
    </row>
    <row r="14542" spans="1:2" x14ac:dyDescent="0.25">
      <c r="A14542" s="157">
        <v>42996</v>
      </c>
      <c r="B14542" s="158">
        <v>2.56</v>
      </c>
    </row>
    <row r="14543" spans="1:2" x14ac:dyDescent="0.25">
      <c r="A14543" s="157">
        <v>42997</v>
      </c>
      <c r="B14543" s="158">
        <v>2.57</v>
      </c>
    </row>
    <row r="14544" spans="1:2" x14ac:dyDescent="0.25">
      <c r="A14544" s="157">
        <v>42998</v>
      </c>
      <c r="B14544" s="158">
        <v>2.59</v>
      </c>
    </row>
    <row r="14545" spans="1:2" x14ac:dyDescent="0.25">
      <c r="A14545" s="157">
        <v>42999</v>
      </c>
      <c r="B14545" s="158">
        <v>2.57</v>
      </c>
    </row>
    <row r="14546" spans="1:2" x14ac:dyDescent="0.25">
      <c r="A14546" s="157">
        <v>43000</v>
      </c>
      <c r="B14546" s="158">
        <v>2.57</v>
      </c>
    </row>
    <row r="14547" spans="1:2" x14ac:dyDescent="0.25">
      <c r="A14547" s="157">
        <v>43003</v>
      </c>
      <c r="B14547" s="158">
        <v>2.5299999999999998</v>
      </c>
    </row>
    <row r="14548" spans="1:2" x14ac:dyDescent="0.25">
      <c r="A14548" s="157">
        <v>43004</v>
      </c>
      <c r="B14548" s="158">
        <v>2.54</v>
      </c>
    </row>
    <row r="14549" spans="1:2" x14ac:dyDescent="0.25">
      <c r="A14549" s="157">
        <v>43005</v>
      </c>
      <c r="B14549" s="158">
        <v>2.62</v>
      </c>
    </row>
    <row r="14550" spans="1:2" x14ac:dyDescent="0.25">
      <c r="A14550" s="157">
        <v>43006</v>
      </c>
      <c r="B14550" s="158">
        <v>2.63</v>
      </c>
    </row>
    <row r="14551" spans="1:2" x14ac:dyDescent="0.25">
      <c r="A14551" s="157">
        <v>43007</v>
      </c>
      <c r="B14551" s="158">
        <v>2.63</v>
      </c>
    </row>
    <row r="14552" spans="1:2" x14ac:dyDescent="0.25">
      <c r="A14552" s="157">
        <v>43010</v>
      </c>
      <c r="B14552" s="158">
        <v>2.64</v>
      </c>
    </row>
    <row r="14553" spans="1:2" x14ac:dyDescent="0.25">
      <c r="A14553" s="157">
        <v>43011</v>
      </c>
      <c r="B14553" s="158">
        <v>2.63</v>
      </c>
    </row>
    <row r="14554" spans="1:2" x14ac:dyDescent="0.25">
      <c r="A14554" s="157">
        <v>43012</v>
      </c>
      <c r="B14554" s="158">
        <v>2.64</v>
      </c>
    </row>
    <row r="14555" spans="1:2" x14ac:dyDescent="0.25">
      <c r="A14555" s="157">
        <v>43013</v>
      </c>
      <c r="B14555" s="158">
        <v>2.65</v>
      </c>
    </row>
    <row r="14556" spans="1:2" x14ac:dyDescent="0.25">
      <c r="A14556" s="157">
        <v>43014</v>
      </c>
      <c r="B14556" s="158">
        <v>2.68</v>
      </c>
    </row>
    <row r="14557" spans="1:2" x14ac:dyDescent="0.25">
      <c r="A14557" s="157">
        <v>43017</v>
      </c>
      <c r="B14557" s="158" t="e">
        <f>NA()</f>
        <v>#N/A</v>
      </c>
    </row>
    <row r="14558" spans="1:2" x14ac:dyDescent="0.25">
      <c r="A14558" s="157">
        <v>43018</v>
      </c>
      <c r="B14558" s="158">
        <v>2.65</v>
      </c>
    </row>
    <row r="14559" spans="1:2" x14ac:dyDescent="0.25">
      <c r="A14559" s="157">
        <v>43019</v>
      </c>
      <c r="B14559" s="158">
        <v>2.64</v>
      </c>
    </row>
    <row r="14560" spans="1:2" x14ac:dyDescent="0.25">
      <c r="A14560" s="157">
        <v>43020</v>
      </c>
      <c r="B14560" s="158">
        <v>2.62</v>
      </c>
    </row>
    <row r="14561" spans="1:2" x14ac:dyDescent="0.25">
      <c r="A14561" s="157">
        <v>43021</v>
      </c>
      <c r="B14561" s="158">
        <v>2.58</v>
      </c>
    </row>
    <row r="14562" spans="1:2" x14ac:dyDescent="0.25">
      <c r="A14562" s="157">
        <v>43024</v>
      </c>
      <c r="B14562" s="158">
        <v>2.58</v>
      </c>
    </row>
    <row r="14563" spans="1:2" x14ac:dyDescent="0.25">
      <c r="A14563" s="157">
        <v>43025</v>
      </c>
      <c r="B14563" s="158">
        <v>2.58</v>
      </c>
    </row>
    <row r="14564" spans="1:2" x14ac:dyDescent="0.25">
      <c r="A14564" s="157">
        <v>43026</v>
      </c>
      <c r="B14564" s="158">
        <v>2.62</v>
      </c>
    </row>
    <row r="14565" spans="1:2" x14ac:dyDescent="0.25">
      <c r="A14565" s="157">
        <v>43027</v>
      </c>
      <c r="B14565" s="158">
        <v>2.6</v>
      </c>
    </row>
    <row r="14566" spans="1:2" x14ac:dyDescent="0.25">
      <c r="A14566" s="157">
        <v>43028</v>
      </c>
      <c r="B14566" s="158">
        <v>2.67</v>
      </c>
    </row>
    <row r="14567" spans="1:2" x14ac:dyDescent="0.25">
      <c r="A14567" s="157">
        <v>43031</v>
      </c>
      <c r="B14567" s="158">
        <v>2.66</v>
      </c>
    </row>
    <row r="14568" spans="1:2" x14ac:dyDescent="0.25">
      <c r="A14568" s="157">
        <v>43032</v>
      </c>
      <c r="B14568" s="158">
        <v>2.7</v>
      </c>
    </row>
    <row r="14569" spans="1:2" x14ac:dyDescent="0.25">
      <c r="A14569" s="157">
        <v>43033</v>
      </c>
      <c r="B14569" s="158">
        <v>2.72</v>
      </c>
    </row>
    <row r="14570" spans="1:2" x14ac:dyDescent="0.25">
      <c r="A14570" s="157">
        <v>43034</v>
      </c>
      <c r="B14570" s="158">
        <v>2.74</v>
      </c>
    </row>
    <row r="14571" spans="1:2" x14ac:dyDescent="0.25">
      <c r="A14571" s="157">
        <v>43035</v>
      </c>
      <c r="B14571" s="158">
        <v>2.71</v>
      </c>
    </row>
    <row r="14572" spans="1:2" x14ac:dyDescent="0.25">
      <c r="A14572" s="157">
        <v>43038</v>
      </c>
      <c r="B14572" s="158">
        <v>2.66</v>
      </c>
    </row>
    <row r="14573" spans="1:2" x14ac:dyDescent="0.25">
      <c r="A14573" s="157">
        <v>43039</v>
      </c>
      <c r="B14573" s="158">
        <v>2.66</v>
      </c>
    </row>
    <row r="14574" spans="1:2" x14ac:dyDescent="0.25">
      <c r="A14574" s="157">
        <v>43040</v>
      </c>
      <c r="B14574" s="158">
        <v>2.63</v>
      </c>
    </row>
    <row r="14575" spans="1:2" x14ac:dyDescent="0.25">
      <c r="A14575" s="157">
        <v>43041</v>
      </c>
      <c r="B14575" s="158">
        <v>2.61</v>
      </c>
    </row>
    <row r="14576" spans="1:2" x14ac:dyDescent="0.25">
      <c r="A14576" s="157">
        <v>43042</v>
      </c>
      <c r="B14576" s="158">
        <v>2.59</v>
      </c>
    </row>
    <row r="14577" spans="1:2" x14ac:dyDescent="0.25">
      <c r="A14577" s="157">
        <v>43045</v>
      </c>
      <c r="B14577" s="158">
        <v>2.58</v>
      </c>
    </row>
    <row r="14578" spans="1:2" x14ac:dyDescent="0.25">
      <c r="A14578" s="157">
        <v>43046</v>
      </c>
      <c r="B14578" s="158">
        <v>2.56</v>
      </c>
    </row>
    <row r="14579" spans="1:2" x14ac:dyDescent="0.25">
      <c r="A14579" s="157">
        <v>43047</v>
      </c>
      <c r="B14579" s="158">
        <v>2.57</v>
      </c>
    </row>
    <row r="14580" spans="1:2" x14ac:dyDescent="0.25">
      <c r="A14580" s="157">
        <v>43048</v>
      </c>
      <c r="B14580" s="158">
        <v>2.59</v>
      </c>
    </row>
    <row r="14581" spans="1:2" x14ac:dyDescent="0.25">
      <c r="A14581" s="157">
        <v>43049</v>
      </c>
      <c r="B14581" s="158">
        <v>2.67</v>
      </c>
    </row>
    <row r="14582" spans="1:2" x14ac:dyDescent="0.25">
      <c r="A14582" s="157">
        <v>43052</v>
      </c>
      <c r="B14582" s="158">
        <v>2.67</v>
      </c>
    </row>
    <row r="14583" spans="1:2" x14ac:dyDescent="0.25">
      <c r="A14583" s="157">
        <v>43053</v>
      </c>
      <c r="B14583" s="158">
        <v>2.64</v>
      </c>
    </row>
    <row r="14584" spans="1:2" x14ac:dyDescent="0.25">
      <c r="A14584" s="157">
        <v>43054</v>
      </c>
      <c r="B14584" s="158">
        <v>2.58</v>
      </c>
    </row>
    <row r="14585" spans="1:2" x14ac:dyDescent="0.25">
      <c r="A14585" s="157">
        <v>43055</v>
      </c>
      <c r="B14585" s="158">
        <v>2.62</v>
      </c>
    </row>
    <row r="14586" spans="1:2" x14ac:dyDescent="0.25">
      <c r="A14586" s="157">
        <v>43056</v>
      </c>
      <c r="B14586" s="158">
        <v>2.59</v>
      </c>
    </row>
    <row r="14587" spans="1:2" x14ac:dyDescent="0.25">
      <c r="A14587" s="157">
        <v>43059</v>
      </c>
      <c r="B14587" s="158">
        <v>2.6</v>
      </c>
    </row>
    <row r="14588" spans="1:2" x14ac:dyDescent="0.25">
      <c r="A14588" s="157">
        <v>43060</v>
      </c>
      <c r="B14588" s="158">
        <v>2.58</v>
      </c>
    </row>
    <row r="14589" spans="1:2" x14ac:dyDescent="0.25">
      <c r="A14589" s="157">
        <v>43061</v>
      </c>
      <c r="B14589" s="158">
        <v>2.57</v>
      </c>
    </row>
    <row r="14590" spans="1:2" x14ac:dyDescent="0.25">
      <c r="A14590" s="157">
        <v>43062</v>
      </c>
      <c r="B14590" s="158" t="e">
        <f>NA()</f>
        <v>#N/A</v>
      </c>
    </row>
    <row r="14591" spans="1:2" x14ac:dyDescent="0.25">
      <c r="A14591" s="157">
        <v>43063</v>
      </c>
      <c r="B14591" s="158">
        <v>2.58</v>
      </c>
    </row>
    <row r="14592" spans="1:2" x14ac:dyDescent="0.25">
      <c r="A14592" s="157">
        <v>43066</v>
      </c>
      <c r="B14592" s="158">
        <v>2.57</v>
      </c>
    </row>
    <row r="14593" spans="1:2" x14ac:dyDescent="0.25">
      <c r="A14593" s="157">
        <v>43067</v>
      </c>
      <c r="B14593" s="158">
        <v>2.58</v>
      </c>
    </row>
    <row r="14594" spans="1:2" x14ac:dyDescent="0.25">
      <c r="A14594" s="157">
        <v>43068</v>
      </c>
      <c r="B14594" s="158">
        <v>2.62</v>
      </c>
    </row>
    <row r="14595" spans="1:2" x14ac:dyDescent="0.25">
      <c r="A14595" s="157">
        <v>43069</v>
      </c>
      <c r="B14595" s="158">
        <v>2.65</v>
      </c>
    </row>
    <row r="14596" spans="1:2" x14ac:dyDescent="0.25">
      <c r="A14596" s="157">
        <v>43070</v>
      </c>
      <c r="B14596" s="158">
        <v>2.58</v>
      </c>
    </row>
    <row r="14597" spans="1:2" x14ac:dyDescent="0.25">
      <c r="A14597" s="157">
        <v>43073</v>
      </c>
      <c r="B14597" s="158">
        <v>2.58</v>
      </c>
    </row>
    <row r="14598" spans="1:2" x14ac:dyDescent="0.25">
      <c r="A14598" s="157">
        <v>43074</v>
      </c>
      <c r="B14598" s="158">
        <v>2.5499999999999998</v>
      </c>
    </row>
    <row r="14599" spans="1:2" x14ac:dyDescent="0.25">
      <c r="A14599" s="157">
        <v>43075</v>
      </c>
      <c r="B14599" s="158">
        <v>2.5299999999999998</v>
      </c>
    </row>
    <row r="14600" spans="1:2" x14ac:dyDescent="0.25">
      <c r="A14600" s="157">
        <v>43076</v>
      </c>
      <c r="B14600" s="158">
        <v>2.58</v>
      </c>
    </row>
    <row r="14601" spans="1:2" x14ac:dyDescent="0.25">
      <c r="A14601" s="157">
        <v>43077</v>
      </c>
      <c r="B14601" s="158">
        <v>2.59</v>
      </c>
    </row>
    <row r="14602" spans="1:2" x14ac:dyDescent="0.25">
      <c r="A14602" s="157">
        <v>43080</v>
      </c>
      <c r="B14602" s="158">
        <v>2.59</v>
      </c>
    </row>
    <row r="14603" spans="1:2" x14ac:dyDescent="0.25">
      <c r="A14603" s="157">
        <v>43081</v>
      </c>
      <c r="B14603" s="158">
        <v>2.6</v>
      </c>
    </row>
    <row r="14604" spans="1:2" x14ac:dyDescent="0.25">
      <c r="A14604" s="157">
        <v>43082</v>
      </c>
      <c r="B14604" s="158">
        <v>2.56</v>
      </c>
    </row>
    <row r="14605" spans="1:2" x14ac:dyDescent="0.25">
      <c r="A14605" s="157">
        <v>43083</v>
      </c>
      <c r="B14605" s="158">
        <v>2.5299999999999998</v>
      </c>
    </row>
    <row r="14606" spans="1:2" x14ac:dyDescent="0.25">
      <c r="A14606" s="157">
        <v>43084</v>
      </c>
      <c r="B14606" s="158">
        <v>2.52</v>
      </c>
    </row>
    <row r="14607" spans="1:2" x14ac:dyDescent="0.25">
      <c r="A14607" s="157">
        <v>43087</v>
      </c>
      <c r="B14607" s="158">
        <v>2.57</v>
      </c>
    </row>
    <row r="14608" spans="1:2" x14ac:dyDescent="0.25">
      <c r="A14608" s="157">
        <v>43088</v>
      </c>
      <c r="B14608" s="158">
        <v>2.66</v>
      </c>
    </row>
    <row r="14609" spans="1:2" x14ac:dyDescent="0.25">
      <c r="A14609" s="157">
        <v>43089</v>
      </c>
      <c r="B14609" s="158">
        <v>2.71</v>
      </c>
    </row>
    <row r="14610" spans="1:2" x14ac:dyDescent="0.25">
      <c r="A14610" s="157">
        <v>43090</v>
      </c>
      <c r="B14610" s="158">
        <v>2.68</v>
      </c>
    </row>
    <row r="14611" spans="1:2" x14ac:dyDescent="0.25">
      <c r="A14611" s="157">
        <v>43091</v>
      </c>
      <c r="B14611" s="158">
        <v>2.68</v>
      </c>
    </row>
    <row r="14612" spans="1:2" x14ac:dyDescent="0.25">
      <c r="A14612" s="157">
        <v>43094</v>
      </c>
      <c r="B14612" s="158" t="e">
        <f>NA()</f>
        <v>#N/A</v>
      </c>
    </row>
    <row r="14613" spans="1:2" x14ac:dyDescent="0.25">
      <c r="A14613" s="157">
        <v>43095</v>
      </c>
      <c r="B14613" s="158">
        <v>2.66</v>
      </c>
    </row>
    <row r="14614" spans="1:2" x14ac:dyDescent="0.25">
      <c r="A14614" s="157">
        <v>43096</v>
      </c>
      <c r="B14614" s="158">
        <v>2.59</v>
      </c>
    </row>
    <row r="14615" spans="1:2" x14ac:dyDescent="0.25">
      <c r="A14615" s="157">
        <v>43097</v>
      </c>
      <c r="B14615" s="158">
        <v>2.6</v>
      </c>
    </row>
    <row r="14616" spans="1:2" x14ac:dyDescent="0.25">
      <c r="A14616" s="157">
        <v>43098</v>
      </c>
      <c r="B14616" s="158">
        <v>2.58</v>
      </c>
    </row>
    <row r="14617" spans="1:2" x14ac:dyDescent="0.25">
      <c r="A14617" s="157">
        <v>43101</v>
      </c>
      <c r="B14617" s="158" t="e">
        <f>NA()</f>
        <v>#N/A</v>
      </c>
    </row>
    <row r="14618" spans="1:2" x14ac:dyDescent="0.25">
      <c r="A14618" s="157">
        <v>43102</v>
      </c>
      <c r="B14618" s="158">
        <v>2.64</v>
      </c>
    </row>
    <row r="14619" spans="1:2" x14ac:dyDescent="0.25">
      <c r="A14619" s="157">
        <v>43103</v>
      </c>
      <c r="B14619" s="158">
        <v>2.62</v>
      </c>
    </row>
    <row r="14620" spans="1:2" x14ac:dyDescent="0.25">
      <c r="A14620" s="157">
        <v>43104</v>
      </c>
      <c r="B14620" s="158">
        <v>2.62</v>
      </c>
    </row>
    <row r="14621" spans="1:2" x14ac:dyDescent="0.25">
      <c r="A14621" s="157">
        <v>43105</v>
      </c>
      <c r="B14621" s="158">
        <v>2.64</v>
      </c>
    </row>
    <row r="14622" spans="1:2" x14ac:dyDescent="0.25">
      <c r="A14622" s="157">
        <v>43108</v>
      </c>
      <c r="B14622" s="158">
        <v>2.65</v>
      </c>
    </row>
    <row r="14623" spans="1:2" x14ac:dyDescent="0.25">
      <c r="A14623" s="157">
        <v>43109</v>
      </c>
      <c r="B14623" s="158">
        <v>2.72</v>
      </c>
    </row>
    <row r="14624" spans="1:2" x14ac:dyDescent="0.25">
      <c r="A14624" s="157">
        <v>43110</v>
      </c>
      <c r="B14624" s="158">
        <v>2.73</v>
      </c>
    </row>
    <row r="14625" spans="1:2" x14ac:dyDescent="0.25">
      <c r="A14625" s="157">
        <v>43111</v>
      </c>
      <c r="B14625" s="158">
        <v>2.72</v>
      </c>
    </row>
    <row r="14626" spans="1:2" x14ac:dyDescent="0.25">
      <c r="A14626" s="157">
        <v>43112</v>
      </c>
      <c r="B14626" s="158">
        <v>2.71</v>
      </c>
    </row>
    <row r="14627" spans="1:2" x14ac:dyDescent="0.25">
      <c r="A14627" s="157">
        <v>43115</v>
      </c>
      <c r="B14627" s="158" t="e">
        <f>NA()</f>
        <v>#N/A</v>
      </c>
    </row>
    <row r="14628" spans="1:2" x14ac:dyDescent="0.25">
      <c r="A14628" s="157">
        <v>43116</v>
      </c>
      <c r="B14628" s="158">
        <v>2.69</v>
      </c>
    </row>
    <row r="14629" spans="1:2" x14ac:dyDescent="0.25">
      <c r="A14629" s="157">
        <v>43117</v>
      </c>
      <c r="B14629" s="158">
        <v>2.71</v>
      </c>
    </row>
    <row r="14630" spans="1:2" x14ac:dyDescent="0.25">
      <c r="A14630" s="157">
        <v>43118</v>
      </c>
      <c r="B14630" s="158">
        <v>2.77</v>
      </c>
    </row>
    <row r="14631" spans="1:2" x14ac:dyDescent="0.25">
      <c r="A14631" s="157">
        <v>43119</v>
      </c>
      <c r="B14631" s="158">
        <v>2.78</v>
      </c>
    </row>
    <row r="14632" spans="1:2" x14ac:dyDescent="0.25">
      <c r="A14632" s="157">
        <v>43122</v>
      </c>
      <c r="B14632" s="158">
        <v>2.79</v>
      </c>
    </row>
    <row r="14633" spans="1:2" x14ac:dyDescent="0.25">
      <c r="A14633" s="157">
        <v>43123</v>
      </c>
      <c r="B14633" s="158">
        <v>2.77</v>
      </c>
    </row>
    <row r="14634" spans="1:2" x14ac:dyDescent="0.25">
      <c r="A14634" s="157">
        <v>43124</v>
      </c>
      <c r="B14634" s="158">
        <v>2.8</v>
      </c>
    </row>
    <row r="14635" spans="1:2" x14ac:dyDescent="0.25">
      <c r="A14635" s="157">
        <v>43125</v>
      </c>
      <c r="B14635" s="158">
        <v>2.76</v>
      </c>
    </row>
    <row r="14636" spans="1:2" x14ac:dyDescent="0.25">
      <c r="A14636" s="157">
        <v>43126</v>
      </c>
      <c r="B14636" s="158">
        <v>2.79</v>
      </c>
    </row>
    <row r="14637" spans="1:2" x14ac:dyDescent="0.25">
      <c r="A14637" s="157">
        <v>43129</v>
      </c>
      <c r="B14637" s="158">
        <v>2.82</v>
      </c>
    </row>
    <row r="14638" spans="1:2" x14ac:dyDescent="0.25">
      <c r="A14638" s="157">
        <v>43130</v>
      </c>
      <c r="B14638" s="158">
        <v>2.86</v>
      </c>
    </row>
    <row r="14639" spans="1:2" x14ac:dyDescent="0.25">
      <c r="A14639" s="157">
        <v>43131</v>
      </c>
      <c r="B14639" s="158">
        <v>2.83</v>
      </c>
    </row>
    <row r="14640" spans="1:2" x14ac:dyDescent="0.25">
      <c r="A14640" s="157">
        <v>43132</v>
      </c>
      <c r="B14640" s="158">
        <v>2.9</v>
      </c>
    </row>
    <row r="14641" spans="1:2" x14ac:dyDescent="0.25">
      <c r="A14641" s="157">
        <v>43133</v>
      </c>
      <c r="B14641" s="158">
        <v>2.97</v>
      </c>
    </row>
    <row r="14642" spans="1:2" x14ac:dyDescent="0.25">
      <c r="A14642" s="157">
        <v>43136</v>
      </c>
      <c r="B14642" s="158">
        <v>2.92</v>
      </c>
    </row>
    <row r="14643" spans="1:2" x14ac:dyDescent="0.25">
      <c r="A14643" s="157">
        <v>43137</v>
      </c>
      <c r="B14643" s="158">
        <v>2.94</v>
      </c>
    </row>
    <row r="14644" spans="1:2" x14ac:dyDescent="0.25">
      <c r="A14644" s="157">
        <v>43138</v>
      </c>
      <c r="B14644" s="158">
        <v>3.01</v>
      </c>
    </row>
    <row r="14645" spans="1:2" x14ac:dyDescent="0.25">
      <c r="A14645" s="157">
        <v>43139</v>
      </c>
      <c r="B14645" s="158">
        <v>3.03</v>
      </c>
    </row>
    <row r="14646" spans="1:2" x14ac:dyDescent="0.25">
      <c r="A14646" s="157">
        <v>43140</v>
      </c>
      <c r="B14646" s="158">
        <v>3.02</v>
      </c>
    </row>
    <row r="14647" spans="1:2" x14ac:dyDescent="0.25">
      <c r="A14647" s="157">
        <v>43143</v>
      </c>
      <c r="B14647" s="158">
        <v>3.02</v>
      </c>
    </row>
    <row r="14648" spans="1:2" x14ac:dyDescent="0.25">
      <c r="A14648" s="157">
        <v>43144</v>
      </c>
      <c r="B14648" s="158">
        <v>2.99</v>
      </c>
    </row>
    <row r="14649" spans="1:2" x14ac:dyDescent="0.25">
      <c r="A14649" s="157">
        <v>43145</v>
      </c>
      <c r="B14649" s="158">
        <v>3.07</v>
      </c>
    </row>
    <row r="14650" spans="1:2" x14ac:dyDescent="0.25">
      <c r="A14650" s="157">
        <v>43146</v>
      </c>
      <c r="B14650" s="158">
        <v>3.04</v>
      </c>
    </row>
    <row r="14651" spans="1:2" x14ac:dyDescent="0.25">
      <c r="A14651" s="157">
        <v>43147</v>
      </c>
      <c r="B14651" s="158">
        <v>3.02</v>
      </c>
    </row>
    <row r="14652" spans="1:2" x14ac:dyDescent="0.25">
      <c r="A14652" s="157">
        <v>43150</v>
      </c>
      <c r="B14652" s="158" t="e">
        <f>NA()</f>
        <v>#N/A</v>
      </c>
    </row>
    <row r="14653" spans="1:2" x14ac:dyDescent="0.25">
      <c r="A14653" s="157">
        <v>43151</v>
      </c>
      <c r="B14653" s="158">
        <v>3.04</v>
      </c>
    </row>
    <row r="14654" spans="1:2" x14ac:dyDescent="0.25">
      <c r="A14654" s="157">
        <v>43152</v>
      </c>
      <c r="B14654" s="158">
        <v>3.11</v>
      </c>
    </row>
    <row r="14655" spans="1:2" x14ac:dyDescent="0.25">
      <c r="A14655" s="157">
        <v>43153</v>
      </c>
      <c r="B14655" s="158">
        <v>3.09</v>
      </c>
    </row>
    <row r="14656" spans="1:2" x14ac:dyDescent="0.25">
      <c r="A14656" s="157">
        <v>43154</v>
      </c>
      <c r="B14656" s="158">
        <v>3.04</v>
      </c>
    </row>
    <row r="14657" spans="1:2" x14ac:dyDescent="0.25">
      <c r="A14657" s="157">
        <v>43157</v>
      </c>
      <c r="B14657" s="158">
        <v>3.03</v>
      </c>
    </row>
    <row r="14658" spans="1:2" x14ac:dyDescent="0.25">
      <c r="A14658" s="157">
        <v>43158</v>
      </c>
      <c r="B14658" s="158">
        <v>3.06</v>
      </c>
    </row>
    <row r="14659" spans="1:2" x14ac:dyDescent="0.25">
      <c r="A14659" s="157">
        <v>43159</v>
      </c>
      <c r="B14659" s="158">
        <v>3.02</v>
      </c>
    </row>
    <row r="14660" spans="1:2" x14ac:dyDescent="0.25">
      <c r="A14660" s="157">
        <v>43160</v>
      </c>
      <c r="B14660" s="158">
        <v>2.97</v>
      </c>
    </row>
    <row r="14661" spans="1:2" x14ac:dyDescent="0.25">
      <c r="A14661" s="157">
        <v>43161</v>
      </c>
      <c r="B14661" s="158">
        <v>3.02</v>
      </c>
    </row>
    <row r="14662" spans="1:2" x14ac:dyDescent="0.25">
      <c r="A14662" s="157">
        <v>43164</v>
      </c>
      <c r="B14662" s="158">
        <v>3.04</v>
      </c>
    </row>
    <row r="14663" spans="1:2" x14ac:dyDescent="0.25">
      <c r="A14663" s="157">
        <v>43165</v>
      </c>
      <c r="B14663" s="158">
        <v>3.03</v>
      </c>
    </row>
    <row r="14664" spans="1:2" x14ac:dyDescent="0.25">
      <c r="A14664" s="157">
        <v>43166</v>
      </c>
      <c r="B14664" s="158">
        <v>3.04</v>
      </c>
    </row>
    <row r="14665" spans="1:2" x14ac:dyDescent="0.25">
      <c r="A14665" s="157">
        <v>43167</v>
      </c>
      <c r="B14665" s="158">
        <v>3.01</v>
      </c>
    </row>
    <row r="14666" spans="1:2" x14ac:dyDescent="0.25">
      <c r="A14666" s="157">
        <v>43168</v>
      </c>
      <c r="B14666" s="158">
        <v>3.04</v>
      </c>
    </row>
    <row r="14667" spans="1:2" x14ac:dyDescent="0.25">
      <c r="A14667" s="157">
        <v>43171</v>
      </c>
      <c r="B14667" s="158">
        <v>3</v>
      </c>
    </row>
    <row r="14668" spans="1:2" x14ac:dyDescent="0.25">
      <c r="A14668" s="157">
        <v>43172</v>
      </c>
      <c r="B14668" s="158">
        <v>2.98</v>
      </c>
    </row>
    <row r="14669" spans="1:2" x14ac:dyDescent="0.25">
      <c r="A14669" s="157">
        <v>43173</v>
      </c>
      <c r="B14669" s="158">
        <v>2.94</v>
      </c>
    </row>
    <row r="14670" spans="1:2" x14ac:dyDescent="0.25">
      <c r="A14670" s="157">
        <v>43174</v>
      </c>
      <c r="B14670" s="158">
        <v>2.94</v>
      </c>
    </row>
    <row r="14671" spans="1:2" x14ac:dyDescent="0.25">
      <c r="A14671" s="157">
        <v>43175</v>
      </c>
      <c r="B14671" s="158">
        <v>2.96</v>
      </c>
    </row>
    <row r="14672" spans="1:2" x14ac:dyDescent="0.25">
      <c r="A14672" s="157">
        <v>43178</v>
      </c>
      <c r="B14672" s="158">
        <v>2.97</v>
      </c>
    </row>
    <row r="14673" spans="1:2" x14ac:dyDescent="0.25">
      <c r="A14673" s="157">
        <v>43179</v>
      </c>
      <c r="B14673" s="158">
        <v>3.01</v>
      </c>
    </row>
    <row r="14674" spans="1:2" x14ac:dyDescent="0.25">
      <c r="A14674" s="157">
        <v>43180</v>
      </c>
      <c r="B14674" s="158">
        <v>3.01</v>
      </c>
    </row>
    <row r="14675" spans="1:2" x14ac:dyDescent="0.25">
      <c r="A14675" s="157">
        <v>43181</v>
      </c>
      <c r="B14675" s="158">
        <v>2.94</v>
      </c>
    </row>
    <row r="14676" spans="1:2" x14ac:dyDescent="0.25">
      <c r="A14676" s="157">
        <v>43182</v>
      </c>
      <c r="B14676" s="158">
        <v>2.94</v>
      </c>
    </row>
    <row r="14677" spans="1:2" x14ac:dyDescent="0.25">
      <c r="A14677" s="157">
        <v>43185</v>
      </c>
      <c r="B14677" s="158">
        <v>2.96</v>
      </c>
    </row>
    <row r="14678" spans="1:2" x14ac:dyDescent="0.25">
      <c r="A14678" s="157">
        <v>43186</v>
      </c>
      <c r="B14678" s="158">
        <v>2.9</v>
      </c>
    </row>
    <row r="14679" spans="1:2" x14ac:dyDescent="0.25">
      <c r="A14679" s="157">
        <v>43187</v>
      </c>
      <c r="B14679" s="158">
        <v>2.89</v>
      </c>
    </row>
    <row r="14680" spans="1:2" x14ac:dyDescent="0.25">
      <c r="A14680" s="157">
        <v>43188</v>
      </c>
      <c r="B14680" s="158">
        <v>2.85</v>
      </c>
    </row>
    <row r="14681" spans="1:2" x14ac:dyDescent="0.25">
      <c r="A14681" s="157">
        <v>43189</v>
      </c>
      <c r="B14681" s="158" t="e">
        <f>NA()</f>
        <v>#N/A</v>
      </c>
    </row>
    <row r="14682" spans="1:2" x14ac:dyDescent="0.25">
      <c r="A14682" s="157">
        <v>43192</v>
      </c>
      <c r="B14682" s="158">
        <v>2.85</v>
      </c>
    </row>
    <row r="14683" spans="1:2" x14ac:dyDescent="0.25">
      <c r="A14683" s="157">
        <v>43193</v>
      </c>
      <c r="B14683" s="158">
        <v>2.9</v>
      </c>
    </row>
    <row r="14684" spans="1:2" x14ac:dyDescent="0.25">
      <c r="A14684" s="157">
        <v>43194</v>
      </c>
      <c r="B14684" s="158">
        <v>2.91</v>
      </c>
    </row>
    <row r="14685" spans="1:2" x14ac:dyDescent="0.25">
      <c r="A14685" s="157">
        <v>43195</v>
      </c>
      <c r="B14685" s="158">
        <v>2.95</v>
      </c>
    </row>
    <row r="14686" spans="1:2" x14ac:dyDescent="0.25">
      <c r="A14686" s="157">
        <v>43196</v>
      </c>
      <c r="B14686" s="158">
        <v>2.89</v>
      </c>
    </row>
    <row r="14687" spans="1:2" x14ac:dyDescent="0.25">
      <c r="A14687" s="157">
        <v>43199</v>
      </c>
      <c r="B14687" s="158">
        <v>2.89</v>
      </c>
    </row>
    <row r="14688" spans="1:2" x14ac:dyDescent="0.25">
      <c r="A14688" s="157">
        <v>43200</v>
      </c>
      <c r="B14688" s="158">
        <v>2.89</v>
      </c>
    </row>
    <row r="14689" spans="1:2" x14ac:dyDescent="0.25">
      <c r="A14689" s="157">
        <v>43201</v>
      </c>
      <c r="B14689" s="158">
        <v>2.87</v>
      </c>
    </row>
    <row r="14690" spans="1:2" x14ac:dyDescent="0.25">
      <c r="A14690" s="157">
        <v>43202</v>
      </c>
      <c r="B14690" s="158">
        <v>2.92</v>
      </c>
    </row>
    <row r="14691" spans="1:2" x14ac:dyDescent="0.25">
      <c r="A14691" s="157">
        <v>43203</v>
      </c>
      <c r="B14691" s="158">
        <v>2.91</v>
      </c>
    </row>
    <row r="14692" spans="1:2" x14ac:dyDescent="0.25">
      <c r="A14692" s="157">
        <v>43206</v>
      </c>
      <c r="B14692" s="158">
        <v>2.91</v>
      </c>
    </row>
    <row r="14693" spans="1:2" x14ac:dyDescent="0.25">
      <c r="A14693" s="157">
        <v>43207</v>
      </c>
      <c r="B14693" s="158">
        <v>2.89</v>
      </c>
    </row>
    <row r="14694" spans="1:2" x14ac:dyDescent="0.25">
      <c r="A14694" s="157">
        <v>43208</v>
      </c>
      <c r="B14694" s="158">
        <v>2.95</v>
      </c>
    </row>
    <row r="14695" spans="1:2" x14ac:dyDescent="0.25">
      <c r="A14695" s="157">
        <v>43209</v>
      </c>
      <c r="B14695" s="158">
        <v>3.01</v>
      </c>
    </row>
    <row r="14696" spans="1:2" x14ac:dyDescent="0.25">
      <c r="A14696" s="157">
        <v>43210</v>
      </c>
      <c r="B14696" s="158">
        <v>3.04</v>
      </c>
    </row>
    <row r="14697" spans="1:2" x14ac:dyDescent="0.25">
      <c r="A14697" s="157">
        <v>43213</v>
      </c>
      <c r="B14697" s="158">
        <v>3.05</v>
      </c>
    </row>
    <row r="14698" spans="1:2" x14ac:dyDescent="0.25">
      <c r="A14698" s="157">
        <v>43214</v>
      </c>
      <c r="B14698" s="158">
        <v>3.08</v>
      </c>
    </row>
    <row r="14699" spans="1:2" x14ac:dyDescent="0.25">
      <c r="A14699" s="157">
        <v>43215</v>
      </c>
      <c r="B14699" s="158">
        <v>3.12</v>
      </c>
    </row>
    <row r="14700" spans="1:2" x14ac:dyDescent="0.25">
      <c r="A14700" s="157">
        <v>43216</v>
      </c>
      <c r="B14700" s="158">
        <v>3.08</v>
      </c>
    </row>
    <row r="14701" spans="1:2" x14ac:dyDescent="0.25">
      <c r="A14701" s="157">
        <v>43217</v>
      </c>
      <c r="B14701" s="158">
        <v>3.03</v>
      </c>
    </row>
    <row r="14702" spans="1:2" x14ac:dyDescent="0.25">
      <c r="A14702" s="157">
        <v>43220</v>
      </c>
      <c r="B14702" s="158">
        <v>3.01</v>
      </c>
    </row>
    <row r="14703" spans="1:2" x14ac:dyDescent="0.25">
      <c r="A14703" s="157">
        <v>43221</v>
      </c>
      <c r="B14703" s="158">
        <v>3.03</v>
      </c>
    </row>
    <row r="14704" spans="1:2" x14ac:dyDescent="0.25">
      <c r="A14704" s="157">
        <v>43222</v>
      </c>
      <c r="B14704" s="158">
        <v>3.04</v>
      </c>
    </row>
    <row r="14705" spans="1:2" x14ac:dyDescent="0.25">
      <c r="A14705" s="157">
        <v>43223</v>
      </c>
      <c r="B14705" s="158">
        <v>3.02</v>
      </c>
    </row>
    <row r="14706" spans="1:2" x14ac:dyDescent="0.25">
      <c r="A14706" s="157">
        <v>43224</v>
      </c>
      <c r="B14706" s="158">
        <v>3.02</v>
      </c>
    </row>
    <row r="14707" spans="1:2" x14ac:dyDescent="0.25">
      <c r="A14707" s="157">
        <v>43227</v>
      </c>
      <c r="B14707" s="158">
        <v>3.02</v>
      </c>
    </row>
    <row r="14708" spans="1:2" x14ac:dyDescent="0.25">
      <c r="A14708" s="157">
        <v>43228</v>
      </c>
      <c r="B14708" s="158">
        <v>3.04</v>
      </c>
    </row>
    <row r="14709" spans="1:2" x14ac:dyDescent="0.25">
      <c r="A14709" s="157">
        <v>43229</v>
      </c>
      <c r="B14709" s="158">
        <v>3.07</v>
      </c>
    </row>
    <row r="14710" spans="1:2" x14ac:dyDescent="0.25">
      <c r="A14710" s="157">
        <v>43230</v>
      </c>
      <c r="B14710" s="158">
        <v>3.04</v>
      </c>
    </row>
    <row r="14711" spans="1:2" x14ac:dyDescent="0.25">
      <c r="A14711" s="157">
        <v>43231</v>
      </c>
      <c r="B14711" s="158">
        <v>3.03</v>
      </c>
    </row>
    <row r="14712" spans="1:2" x14ac:dyDescent="0.25">
      <c r="A14712" s="157">
        <v>43234</v>
      </c>
      <c r="B14712" s="158">
        <v>3.06</v>
      </c>
    </row>
    <row r="14713" spans="1:2" x14ac:dyDescent="0.25">
      <c r="A14713" s="157">
        <v>43235</v>
      </c>
      <c r="B14713" s="158">
        <v>3.14</v>
      </c>
    </row>
    <row r="14714" spans="1:2" x14ac:dyDescent="0.25">
      <c r="A14714" s="157">
        <v>43236</v>
      </c>
      <c r="B14714" s="158">
        <v>3.16</v>
      </c>
    </row>
    <row r="14715" spans="1:2" x14ac:dyDescent="0.25">
      <c r="A14715" s="157">
        <v>43237</v>
      </c>
      <c r="B14715" s="158">
        <v>3.19</v>
      </c>
    </row>
    <row r="14716" spans="1:2" x14ac:dyDescent="0.25">
      <c r="A14716" s="157">
        <v>43238</v>
      </c>
      <c r="B14716" s="158">
        <v>3.14</v>
      </c>
    </row>
    <row r="14717" spans="1:2" x14ac:dyDescent="0.25">
      <c r="A14717" s="157">
        <v>43241</v>
      </c>
      <c r="B14717" s="158">
        <v>3.13</v>
      </c>
    </row>
    <row r="14718" spans="1:2" x14ac:dyDescent="0.25">
      <c r="A14718" s="157">
        <v>43242</v>
      </c>
      <c r="B14718" s="158">
        <v>3.14</v>
      </c>
    </row>
    <row r="14719" spans="1:2" x14ac:dyDescent="0.25">
      <c r="A14719" s="157">
        <v>43243</v>
      </c>
      <c r="B14719" s="158">
        <v>3.09</v>
      </c>
    </row>
    <row r="14720" spans="1:2" x14ac:dyDescent="0.25">
      <c r="A14720" s="157">
        <v>43244</v>
      </c>
      <c r="B14720" s="158">
        <v>3.06</v>
      </c>
    </row>
    <row r="14721" spans="1:2" x14ac:dyDescent="0.25">
      <c r="A14721" s="157">
        <v>43245</v>
      </c>
      <c r="B14721" s="158">
        <v>3.01</v>
      </c>
    </row>
    <row r="14722" spans="1:2" x14ac:dyDescent="0.25">
      <c r="A14722" s="157">
        <v>43248</v>
      </c>
      <c r="B14722" s="158" t="e">
        <f>NA()</f>
        <v>#N/A</v>
      </c>
    </row>
    <row r="14723" spans="1:2" x14ac:dyDescent="0.25">
      <c r="A14723" s="157">
        <v>43249</v>
      </c>
      <c r="B14723" s="158">
        <v>2.87</v>
      </c>
    </row>
    <row r="14724" spans="1:2" x14ac:dyDescent="0.25">
      <c r="A14724" s="157">
        <v>43250</v>
      </c>
      <c r="B14724" s="158">
        <v>2.93</v>
      </c>
    </row>
    <row r="14725" spans="1:2" x14ac:dyDescent="0.25">
      <c r="A14725" s="157">
        <v>43251</v>
      </c>
      <c r="B14725" s="158">
        <v>2.91</v>
      </c>
    </row>
    <row r="14726" spans="1:2" x14ac:dyDescent="0.25">
      <c r="A14726" s="157">
        <v>43252</v>
      </c>
      <c r="B14726" s="158">
        <v>2.96</v>
      </c>
    </row>
    <row r="14727" spans="1:2" x14ac:dyDescent="0.25">
      <c r="A14727" s="157">
        <v>43255</v>
      </c>
      <c r="B14727" s="158">
        <v>3</v>
      </c>
    </row>
    <row r="14728" spans="1:2" x14ac:dyDescent="0.25">
      <c r="A14728" s="157">
        <v>43256</v>
      </c>
      <c r="B14728" s="158">
        <v>2.99</v>
      </c>
    </row>
    <row r="14729" spans="1:2" x14ac:dyDescent="0.25">
      <c r="A14729" s="157">
        <v>43257</v>
      </c>
      <c r="B14729" s="158">
        <v>3.05</v>
      </c>
    </row>
    <row r="14730" spans="1:2" x14ac:dyDescent="0.25">
      <c r="A14730" s="157">
        <v>43258</v>
      </c>
      <c r="B14730" s="158">
        <v>3</v>
      </c>
    </row>
    <row r="14731" spans="1:2" x14ac:dyDescent="0.25">
      <c r="A14731" s="157">
        <v>43259</v>
      </c>
      <c r="B14731" s="158">
        <v>3</v>
      </c>
    </row>
    <row r="14732" spans="1:2" x14ac:dyDescent="0.25">
      <c r="A14732" s="157">
        <v>43262</v>
      </c>
      <c r="B14732" s="158">
        <v>3.02</v>
      </c>
    </row>
    <row r="14733" spans="1:2" x14ac:dyDescent="0.25">
      <c r="A14733" s="157">
        <v>43263</v>
      </c>
      <c r="B14733" s="158">
        <v>3.02</v>
      </c>
    </row>
    <row r="14734" spans="1:2" x14ac:dyDescent="0.25">
      <c r="A14734" s="157">
        <v>43264</v>
      </c>
      <c r="B14734" s="158">
        <v>3.04</v>
      </c>
    </row>
    <row r="14735" spans="1:2" x14ac:dyDescent="0.25">
      <c r="A14735" s="157">
        <v>43265</v>
      </c>
      <c r="B14735" s="158">
        <v>2.99</v>
      </c>
    </row>
    <row r="14736" spans="1:2" x14ac:dyDescent="0.25">
      <c r="A14736" s="157">
        <v>43266</v>
      </c>
      <c r="B14736" s="158">
        <v>2.98</v>
      </c>
    </row>
    <row r="14737" spans="1:2" x14ac:dyDescent="0.25">
      <c r="A14737" s="157">
        <v>43269</v>
      </c>
      <c r="B14737" s="158">
        <v>2.98</v>
      </c>
    </row>
    <row r="14738" spans="1:2" x14ac:dyDescent="0.25">
      <c r="A14738" s="157">
        <v>43270</v>
      </c>
      <c r="B14738" s="158">
        <v>2.95</v>
      </c>
    </row>
    <row r="14739" spans="1:2" x14ac:dyDescent="0.25">
      <c r="A14739" s="157">
        <v>43271</v>
      </c>
      <c r="B14739" s="158">
        <v>2.99</v>
      </c>
    </row>
    <row r="14740" spans="1:2" x14ac:dyDescent="0.25">
      <c r="A14740" s="157">
        <v>43272</v>
      </c>
      <c r="B14740" s="158">
        <v>2.97</v>
      </c>
    </row>
    <row r="14741" spans="1:2" x14ac:dyDescent="0.25">
      <c r="A14741" s="157">
        <v>43273</v>
      </c>
      <c r="B14741" s="158">
        <v>2.97</v>
      </c>
    </row>
    <row r="14742" spans="1:2" x14ac:dyDescent="0.25">
      <c r="A14742" s="157">
        <v>43276</v>
      </c>
      <c r="B14742" s="158">
        <v>2.95</v>
      </c>
    </row>
    <row r="14743" spans="1:2" x14ac:dyDescent="0.25">
      <c r="A14743" s="157">
        <v>43277</v>
      </c>
      <c r="B14743" s="158">
        <v>2.95</v>
      </c>
    </row>
    <row r="14744" spans="1:2" x14ac:dyDescent="0.25">
      <c r="A14744" s="157">
        <v>43278</v>
      </c>
      <c r="B14744" s="158">
        <v>2.9</v>
      </c>
    </row>
    <row r="14745" spans="1:2" x14ac:dyDescent="0.25">
      <c r="A14745" s="157">
        <v>43279</v>
      </c>
      <c r="B14745" s="158">
        <v>2.91</v>
      </c>
    </row>
    <row r="14746" spans="1:2" x14ac:dyDescent="0.25">
      <c r="A14746" s="157">
        <v>43280</v>
      </c>
      <c r="B14746" s="158">
        <v>2.91</v>
      </c>
    </row>
    <row r="14747" spans="1:2" x14ac:dyDescent="0.25">
      <c r="A14747" s="157">
        <v>43283</v>
      </c>
      <c r="B14747" s="158">
        <v>2.92</v>
      </c>
    </row>
    <row r="14748" spans="1:2" x14ac:dyDescent="0.25">
      <c r="A14748" s="157">
        <v>43284</v>
      </c>
      <c r="B14748" s="158">
        <v>2.89</v>
      </c>
    </row>
    <row r="14749" spans="1:2" x14ac:dyDescent="0.25">
      <c r="A14749" s="157">
        <v>43285</v>
      </c>
      <c r="B14749" s="158" t="e">
        <f>NA()</f>
        <v>#N/A</v>
      </c>
    </row>
    <row r="14750" spans="1:2" x14ac:dyDescent="0.25">
      <c r="A14750" s="157">
        <v>43286</v>
      </c>
      <c r="B14750" s="158">
        <v>2.88</v>
      </c>
    </row>
    <row r="14751" spans="1:2" x14ac:dyDescent="0.25">
      <c r="A14751" s="157">
        <v>43287</v>
      </c>
      <c r="B14751" s="158">
        <v>2.87</v>
      </c>
    </row>
    <row r="14752" spans="1:2" x14ac:dyDescent="0.25">
      <c r="A14752" s="157">
        <v>43290</v>
      </c>
      <c r="B14752" s="158">
        <v>2.9</v>
      </c>
    </row>
    <row r="14753" spans="1:2" x14ac:dyDescent="0.25">
      <c r="A14753" s="157">
        <v>43291</v>
      </c>
      <c r="B14753" s="158">
        <v>2.91</v>
      </c>
    </row>
    <row r="14754" spans="1:2" x14ac:dyDescent="0.25">
      <c r="A14754" s="157">
        <v>43292</v>
      </c>
      <c r="B14754" s="158">
        <v>2.89</v>
      </c>
    </row>
    <row r="14755" spans="1:2" x14ac:dyDescent="0.25">
      <c r="A14755" s="157">
        <v>43293</v>
      </c>
      <c r="B14755" s="158">
        <v>2.89</v>
      </c>
    </row>
    <row r="14756" spans="1:2" x14ac:dyDescent="0.25">
      <c r="A14756" s="157">
        <v>43294</v>
      </c>
      <c r="B14756" s="158">
        <v>2.87</v>
      </c>
    </row>
    <row r="14757" spans="1:2" x14ac:dyDescent="0.25">
      <c r="A14757" s="157">
        <v>43297</v>
      </c>
      <c r="B14757" s="158">
        <v>2.9</v>
      </c>
    </row>
    <row r="14758" spans="1:2" x14ac:dyDescent="0.25">
      <c r="A14758" s="157">
        <v>43298</v>
      </c>
      <c r="B14758" s="158">
        <v>2.91</v>
      </c>
    </row>
    <row r="14759" spans="1:2" x14ac:dyDescent="0.25">
      <c r="A14759" s="157">
        <v>43299</v>
      </c>
      <c r="B14759" s="158">
        <v>2.93</v>
      </c>
    </row>
    <row r="14760" spans="1:2" x14ac:dyDescent="0.25">
      <c r="A14760" s="157">
        <v>43300</v>
      </c>
      <c r="B14760" s="158">
        <v>2.9</v>
      </c>
    </row>
    <row r="14761" spans="1:2" x14ac:dyDescent="0.25">
      <c r="A14761" s="157">
        <v>43301</v>
      </c>
      <c r="B14761" s="158">
        <v>2.96</v>
      </c>
    </row>
    <row r="14762" spans="1:2" x14ac:dyDescent="0.25">
      <c r="A14762" s="157">
        <v>43304</v>
      </c>
      <c r="B14762" s="158">
        <v>3.04</v>
      </c>
    </row>
    <row r="14763" spans="1:2" x14ac:dyDescent="0.25">
      <c r="A14763" s="157">
        <v>43305</v>
      </c>
      <c r="B14763" s="158">
        <v>3.02</v>
      </c>
    </row>
    <row r="14764" spans="1:2" x14ac:dyDescent="0.25">
      <c r="A14764" s="157">
        <v>43306</v>
      </c>
      <c r="B14764" s="158">
        <v>3</v>
      </c>
    </row>
    <row r="14765" spans="1:2" x14ac:dyDescent="0.25">
      <c r="A14765" s="157">
        <v>43307</v>
      </c>
      <c r="B14765" s="158">
        <v>3.05</v>
      </c>
    </row>
    <row r="14766" spans="1:2" x14ac:dyDescent="0.25">
      <c r="A14766" s="157">
        <v>43308</v>
      </c>
      <c r="B14766" s="158">
        <v>3.03</v>
      </c>
    </row>
    <row r="14767" spans="1:2" x14ac:dyDescent="0.25">
      <c r="A14767" s="157">
        <v>43311</v>
      </c>
      <c r="B14767" s="158">
        <v>3.05</v>
      </c>
    </row>
    <row r="14768" spans="1:2" x14ac:dyDescent="0.25">
      <c r="A14768" s="157">
        <v>43312</v>
      </c>
      <c r="B14768" s="158">
        <v>3.03</v>
      </c>
    </row>
    <row r="14769" spans="1:2" x14ac:dyDescent="0.25">
      <c r="A14769" s="157">
        <v>43313</v>
      </c>
      <c r="B14769" s="158">
        <v>3.07</v>
      </c>
    </row>
    <row r="14770" spans="1:2" x14ac:dyDescent="0.25">
      <c r="A14770" s="157">
        <v>43314</v>
      </c>
      <c r="B14770" s="158">
        <v>3.06</v>
      </c>
    </row>
    <row r="14771" spans="1:2" x14ac:dyDescent="0.25">
      <c r="A14771" s="157">
        <v>43315</v>
      </c>
      <c r="B14771" s="158">
        <v>3.03</v>
      </c>
    </row>
    <row r="14772" spans="1:2" x14ac:dyDescent="0.25">
      <c r="A14772" s="157">
        <v>43318</v>
      </c>
      <c r="B14772" s="158">
        <v>3.02</v>
      </c>
    </row>
    <row r="14773" spans="1:2" x14ac:dyDescent="0.25">
      <c r="A14773" s="157">
        <v>43319</v>
      </c>
      <c r="B14773" s="158">
        <v>3.06</v>
      </c>
    </row>
    <row r="14774" spans="1:2" x14ac:dyDescent="0.25">
      <c r="A14774" s="157">
        <v>43320</v>
      </c>
      <c r="B14774" s="158">
        <v>3.05</v>
      </c>
    </row>
    <row r="14775" spans="1:2" x14ac:dyDescent="0.25">
      <c r="A14775" s="157">
        <v>43321</v>
      </c>
      <c r="B14775" s="158">
        <v>3.01</v>
      </c>
    </row>
    <row r="14776" spans="1:2" x14ac:dyDescent="0.25">
      <c r="A14776" s="157">
        <v>43322</v>
      </c>
      <c r="B14776" s="158">
        <v>2.96</v>
      </c>
    </row>
    <row r="14777" spans="1:2" x14ac:dyDescent="0.25">
      <c r="A14777" s="157">
        <v>43325</v>
      </c>
      <c r="B14777" s="158">
        <v>2.97</v>
      </c>
    </row>
    <row r="14778" spans="1:2" x14ac:dyDescent="0.25">
      <c r="A14778" s="157">
        <v>43326</v>
      </c>
      <c r="B14778" s="158">
        <v>2.98</v>
      </c>
    </row>
    <row r="14779" spans="1:2" x14ac:dyDescent="0.25">
      <c r="A14779" s="157">
        <v>43327</v>
      </c>
      <c r="B14779" s="158">
        <v>2.95</v>
      </c>
    </row>
    <row r="14780" spans="1:2" x14ac:dyDescent="0.25">
      <c r="A14780" s="157">
        <v>43328</v>
      </c>
      <c r="B14780" s="158">
        <v>2.95</v>
      </c>
    </row>
    <row r="14781" spans="1:2" x14ac:dyDescent="0.25">
      <c r="A14781" s="157">
        <v>43329</v>
      </c>
      <c r="B14781" s="158">
        <v>2.95</v>
      </c>
    </row>
    <row r="14782" spans="1:2" x14ac:dyDescent="0.25">
      <c r="A14782" s="157">
        <v>43332</v>
      </c>
      <c r="B14782" s="158">
        <v>2.91</v>
      </c>
    </row>
    <row r="14783" spans="1:2" x14ac:dyDescent="0.25">
      <c r="A14783" s="157">
        <v>43333</v>
      </c>
      <c r="B14783" s="158">
        <v>2.93</v>
      </c>
    </row>
    <row r="14784" spans="1:2" x14ac:dyDescent="0.25">
      <c r="A14784" s="157">
        <v>43334</v>
      </c>
      <c r="B14784" s="158">
        <v>2.91</v>
      </c>
    </row>
    <row r="14785" spans="1:2" x14ac:dyDescent="0.25">
      <c r="A14785" s="157">
        <v>43335</v>
      </c>
      <c r="B14785" s="158">
        <v>2.9</v>
      </c>
    </row>
    <row r="14786" spans="1:2" x14ac:dyDescent="0.25">
      <c r="A14786" s="157">
        <v>43336</v>
      </c>
      <c r="B14786" s="158">
        <v>2.89</v>
      </c>
    </row>
    <row r="14787" spans="1:2" x14ac:dyDescent="0.25">
      <c r="A14787" s="157">
        <v>43339</v>
      </c>
      <c r="B14787" s="158">
        <v>2.92</v>
      </c>
    </row>
    <row r="14788" spans="1:2" x14ac:dyDescent="0.25">
      <c r="A14788" s="157">
        <v>43340</v>
      </c>
      <c r="B14788" s="158">
        <v>2.96</v>
      </c>
    </row>
    <row r="14789" spans="1:2" x14ac:dyDescent="0.25">
      <c r="A14789" s="157">
        <v>43341</v>
      </c>
      <c r="B14789" s="158">
        <v>2.96</v>
      </c>
    </row>
    <row r="14790" spans="1:2" x14ac:dyDescent="0.25">
      <c r="A14790" s="157">
        <v>43342</v>
      </c>
      <c r="B14790" s="158">
        <v>2.93</v>
      </c>
    </row>
    <row r="14791" spans="1:2" x14ac:dyDescent="0.25">
      <c r="A14791" s="157">
        <v>43343</v>
      </c>
      <c r="B14791" s="158">
        <v>2.95</v>
      </c>
    </row>
    <row r="14792" spans="1:2" x14ac:dyDescent="0.25">
      <c r="A14792" s="157">
        <v>43346</v>
      </c>
      <c r="B14792" s="158" t="e">
        <f>NA()</f>
        <v>#N/A</v>
      </c>
    </row>
    <row r="14793" spans="1:2" x14ac:dyDescent="0.25">
      <c r="A14793" s="157">
        <v>43347</v>
      </c>
      <c r="B14793" s="158">
        <v>2.99</v>
      </c>
    </row>
    <row r="14794" spans="1:2" x14ac:dyDescent="0.25">
      <c r="A14794" s="157">
        <v>43348</v>
      </c>
      <c r="B14794" s="158">
        <v>3</v>
      </c>
    </row>
    <row r="14795" spans="1:2" x14ac:dyDescent="0.25">
      <c r="A14795" s="157">
        <v>43349</v>
      </c>
      <c r="B14795" s="158">
        <v>2.98</v>
      </c>
    </row>
    <row r="14796" spans="1:2" x14ac:dyDescent="0.25">
      <c r="A14796" s="157">
        <v>43350</v>
      </c>
      <c r="B14796" s="158">
        <v>3.03</v>
      </c>
    </row>
    <row r="14797" spans="1:2" x14ac:dyDescent="0.25">
      <c r="A14797" s="157">
        <v>43353</v>
      </c>
      <c r="B14797" s="158">
        <v>3.02</v>
      </c>
    </row>
    <row r="14798" spans="1:2" x14ac:dyDescent="0.25">
      <c r="A14798" s="157">
        <v>43354</v>
      </c>
      <c r="B14798" s="158">
        <v>3.06</v>
      </c>
    </row>
    <row r="14799" spans="1:2" x14ac:dyDescent="0.25">
      <c r="A14799" s="157">
        <v>43355</v>
      </c>
      <c r="B14799" s="158">
        <v>3.04</v>
      </c>
    </row>
    <row r="14800" spans="1:2" x14ac:dyDescent="0.25">
      <c r="A14800" s="157">
        <v>43356</v>
      </c>
      <c r="B14800" s="158">
        <v>3.04</v>
      </c>
    </row>
    <row r="14801" spans="1:2" x14ac:dyDescent="0.25">
      <c r="A14801" s="157">
        <v>43357</v>
      </c>
      <c r="B14801" s="158">
        <v>3.07</v>
      </c>
    </row>
    <row r="14802" spans="1:2" x14ac:dyDescent="0.25">
      <c r="A14802" s="157">
        <v>43360</v>
      </c>
      <c r="B14802" s="158">
        <v>3.07</v>
      </c>
    </row>
    <row r="14803" spans="1:2" x14ac:dyDescent="0.25">
      <c r="A14803" s="157">
        <v>43361</v>
      </c>
      <c r="B14803" s="158">
        <v>3.14</v>
      </c>
    </row>
    <row r="14804" spans="1:2" x14ac:dyDescent="0.25">
      <c r="A14804" s="157">
        <v>43362</v>
      </c>
      <c r="B14804" s="158">
        <v>3.16</v>
      </c>
    </row>
    <row r="14805" spans="1:2" x14ac:dyDescent="0.25">
      <c r="A14805" s="157">
        <v>43363</v>
      </c>
      <c r="B14805" s="158">
        <v>3.15</v>
      </c>
    </row>
    <row r="14806" spans="1:2" x14ac:dyDescent="0.25">
      <c r="A14806" s="157">
        <v>43364</v>
      </c>
      <c r="B14806" s="158">
        <v>3.14</v>
      </c>
    </row>
    <row r="14807" spans="1:2" x14ac:dyDescent="0.25">
      <c r="A14807" s="157">
        <v>43367</v>
      </c>
      <c r="B14807" s="158">
        <v>3.15</v>
      </c>
    </row>
    <row r="14808" spans="1:2" x14ac:dyDescent="0.25">
      <c r="A14808" s="157">
        <v>43368</v>
      </c>
      <c r="B14808" s="158">
        <v>3.17</v>
      </c>
    </row>
    <row r="14809" spans="1:2" x14ac:dyDescent="0.25">
      <c r="A14809" s="157">
        <v>43369</v>
      </c>
      <c r="B14809" s="158">
        <v>3.14</v>
      </c>
    </row>
    <row r="14810" spans="1:2" x14ac:dyDescent="0.25">
      <c r="A14810" s="157">
        <v>43370</v>
      </c>
      <c r="B14810" s="158">
        <v>3.13</v>
      </c>
    </row>
    <row r="14811" spans="1:2" x14ac:dyDescent="0.25">
      <c r="A14811" s="157">
        <v>43371</v>
      </c>
      <c r="B14811" s="158">
        <v>3.13</v>
      </c>
    </row>
    <row r="14812" spans="1:2" x14ac:dyDescent="0.25">
      <c r="A14812" s="157">
        <v>43374</v>
      </c>
      <c r="B14812" s="158">
        <v>3.18</v>
      </c>
    </row>
    <row r="14813" spans="1:2" x14ac:dyDescent="0.25">
      <c r="A14813" s="157">
        <v>43375</v>
      </c>
      <c r="B14813" s="158">
        <v>3.14</v>
      </c>
    </row>
    <row r="14814" spans="1:2" x14ac:dyDescent="0.25">
      <c r="A14814" s="157">
        <v>43376</v>
      </c>
      <c r="B14814" s="158">
        <v>3.24</v>
      </c>
    </row>
    <row r="14815" spans="1:2" x14ac:dyDescent="0.25">
      <c r="A14815" s="157">
        <v>43377</v>
      </c>
      <c r="B14815" s="158">
        <v>3.29</v>
      </c>
    </row>
    <row r="14816" spans="1:2" x14ac:dyDescent="0.25">
      <c r="A14816" s="157">
        <v>43378</v>
      </c>
      <c r="B14816" s="158">
        <v>3.34</v>
      </c>
    </row>
    <row r="14817" spans="1:2" x14ac:dyDescent="0.25">
      <c r="A14817" s="157">
        <v>43381</v>
      </c>
      <c r="B14817" s="158" t="e">
        <f>NA()</f>
        <v>#N/A</v>
      </c>
    </row>
    <row r="14818" spans="1:2" x14ac:dyDescent="0.25">
      <c r="A14818" s="157">
        <v>43382</v>
      </c>
      <c r="B14818" s="158">
        <v>3.3</v>
      </c>
    </row>
    <row r="14819" spans="1:2" x14ac:dyDescent="0.25">
      <c r="A14819" s="157">
        <v>43383</v>
      </c>
      <c r="B14819" s="158">
        <v>3.33</v>
      </c>
    </row>
    <row r="14820" spans="1:2" x14ac:dyDescent="0.25">
      <c r="A14820" s="157">
        <v>43384</v>
      </c>
      <c r="B14820" s="158">
        <v>3.25</v>
      </c>
    </row>
    <row r="14821" spans="1:2" x14ac:dyDescent="0.25">
      <c r="A14821" s="157">
        <v>43385</v>
      </c>
      <c r="B14821" s="158">
        <v>3.25</v>
      </c>
    </row>
    <row r="14822" spans="1:2" x14ac:dyDescent="0.25">
      <c r="A14822" s="157">
        <v>43388</v>
      </c>
      <c r="B14822" s="158">
        <v>3.27</v>
      </c>
    </row>
    <row r="14823" spans="1:2" x14ac:dyDescent="0.25">
      <c r="A14823" s="157">
        <v>43389</v>
      </c>
      <c r="B14823" s="158">
        <v>3.26</v>
      </c>
    </row>
    <row r="14824" spans="1:2" x14ac:dyDescent="0.25">
      <c r="A14824" s="157">
        <v>43390</v>
      </c>
      <c r="B14824" s="158">
        <v>3.29</v>
      </c>
    </row>
    <row r="14825" spans="1:2" x14ac:dyDescent="0.25">
      <c r="A14825" s="157">
        <v>43391</v>
      </c>
      <c r="B14825" s="158">
        <v>3.28</v>
      </c>
    </row>
    <row r="14826" spans="1:2" x14ac:dyDescent="0.25">
      <c r="A14826" s="157">
        <v>43392</v>
      </c>
      <c r="B14826" s="158">
        <v>3.31</v>
      </c>
    </row>
    <row r="14827" spans="1:2" x14ac:dyDescent="0.25">
      <c r="A14827" s="157">
        <v>43395</v>
      </c>
      <c r="B14827" s="158">
        <v>3.31</v>
      </c>
    </row>
    <row r="14828" spans="1:2" x14ac:dyDescent="0.25">
      <c r="A14828" s="157">
        <v>43396</v>
      </c>
      <c r="B14828" s="158">
        <v>3.29</v>
      </c>
    </row>
    <row r="14829" spans="1:2" x14ac:dyDescent="0.25">
      <c r="A14829" s="157">
        <v>43397</v>
      </c>
      <c r="B14829" s="158">
        <v>3.24</v>
      </c>
    </row>
    <row r="14830" spans="1:2" x14ac:dyDescent="0.25">
      <c r="A14830" s="157">
        <v>43398</v>
      </c>
      <c r="B14830" s="158">
        <v>3.27</v>
      </c>
    </row>
    <row r="14831" spans="1:2" x14ac:dyDescent="0.25">
      <c r="A14831" s="157">
        <v>43399</v>
      </c>
      <c r="B14831" s="158">
        <v>3.23</v>
      </c>
    </row>
    <row r="14832" spans="1:2" x14ac:dyDescent="0.25">
      <c r="A14832" s="157">
        <v>43402</v>
      </c>
      <c r="B14832" s="158">
        <v>3.23</v>
      </c>
    </row>
    <row r="14833" spans="1:2" x14ac:dyDescent="0.25">
      <c r="A14833" s="157">
        <v>43403</v>
      </c>
      <c r="B14833" s="158">
        <v>3.26</v>
      </c>
    </row>
    <row r="14834" spans="1:2" x14ac:dyDescent="0.25">
      <c r="A14834" s="157">
        <v>43404</v>
      </c>
      <c r="B14834" s="158">
        <v>3.3</v>
      </c>
    </row>
    <row r="14835" spans="1:2" x14ac:dyDescent="0.25">
      <c r="A14835" s="157">
        <v>43405</v>
      </c>
      <c r="B14835" s="158">
        <v>3.29</v>
      </c>
    </row>
    <row r="14836" spans="1:2" x14ac:dyDescent="0.25">
      <c r="A14836" s="157">
        <v>43406</v>
      </c>
      <c r="B14836" s="158">
        <v>3.37</v>
      </c>
    </row>
    <row r="14837" spans="1:2" x14ac:dyDescent="0.25">
      <c r="A14837" s="157">
        <v>43409</v>
      </c>
      <c r="B14837" s="158">
        <v>3.34</v>
      </c>
    </row>
    <row r="14838" spans="1:2" x14ac:dyDescent="0.25">
      <c r="A14838" s="157">
        <v>43410</v>
      </c>
      <c r="B14838" s="158">
        <v>3.35</v>
      </c>
    </row>
    <row r="14839" spans="1:2" x14ac:dyDescent="0.25">
      <c r="A14839" s="157">
        <v>43411</v>
      </c>
      <c r="B14839" s="158">
        <v>3.35</v>
      </c>
    </row>
    <row r="14840" spans="1:2" x14ac:dyDescent="0.25">
      <c r="A14840" s="157">
        <v>43412</v>
      </c>
      <c r="B14840" s="158">
        <v>3.36</v>
      </c>
    </row>
    <row r="14841" spans="1:2" x14ac:dyDescent="0.25">
      <c r="A14841" s="157">
        <v>43413</v>
      </c>
      <c r="B14841" s="158">
        <v>3.32</v>
      </c>
    </row>
    <row r="14842" spans="1:2" x14ac:dyDescent="0.25">
      <c r="A14842" s="157">
        <v>43416</v>
      </c>
      <c r="B14842" s="158" t="e">
        <f>NA()</f>
        <v>#N/A</v>
      </c>
    </row>
    <row r="14843" spans="1:2" x14ac:dyDescent="0.25">
      <c r="A14843" s="157">
        <v>43417</v>
      </c>
      <c r="B14843" s="158">
        <v>3.28</v>
      </c>
    </row>
    <row r="14844" spans="1:2" x14ac:dyDescent="0.25">
      <c r="A14844" s="157">
        <v>43418</v>
      </c>
      <c r="B14844" s="158">
        <v>3.26</v>
      </c>
    </row>
    <row r="14845" spans="1:2" x14ac:dyDescent="0.25">
      <c r="A14845" s="157">
        <v>43419</v>
      </c>
      <c r="B14845" s="158">
        <v>3.27</v>
      </c>
    </row>
    <row r="14846" spans="1:2" x14ac:dyDescent="0.25">
      <c r="A14846" s="157">
        <v>43420</v>
      </c>
      <c r="B14846" s="158">
        <v>3.23</v>
      </c>
    </row>
    <row r="14847" spans="1:2" x14ac:dyDescent="0.25">
      <c r="A14847" s="157">
        <v>43423</v>
      </c>
      <c r="B14847" s="158">
        <v>3.22</v>
      </c>
    </row>
    <row r="14848" spans="1:2" x14ac:dyDescent="0.25">
      <c r="A14848" s="157">
        <v>43424</v>
      </c>
      <c r="B14848" s="158">
        <v>3.22</v>
      </c>
    </row>
    <row r="14849" spans="1:2" x14ac:dyDescent="0.25">
      <c r="A14849" s="157">
        <v>43425</v>
      </c>
      <c r="B14849" s="158">
        <v>3.22</v>
      </c>
    </row>
    <row r="14850" spans="1:2" x14ac:dyDescent="0.25">
      <c r="A14850" s="157">
        <v>43426</v>
      </c>
      <c r="B14850" s="158" t="e">
        <f>NA()</f>
        <v>#N/A</v>
      </c>
    </row>
    <row r="14851" spans="1:2" x14ac:dyDescent="0.25">
      <c r="A14851" s="157">
        <v>43427</v>
      </c>
      <c r="B14851" s="158">
        <v>3.21</v>
      </c>
    </row>
    <row r="14852" spans="1:2" x14ac:dyDescent="0.25">
      <c r="A14852" s="157">
        <v>43430</v>
      </c>
      <c r="B14852" s="158">
        <v>3.22</v>
      </c>
    </row>
    <row r="14853" spans="1:2" x14ac:dyDescent="0.25">
      <c r="A14853" s="157">
        <v>43431</v>
      </c>
      <c r="B14853" s="158">
        <v>3.22</v>
      </c>
    </row>
    <row r="14854" spans="1:2" x14ac:dyDescent="0.25">
      <c r="A14854" s="157">
        <v>43432</v>
      </c>
      <c r="B14854" s="158">
        <v>3.23</v>
      </c>
    </row>
    <row r="14855" spans="1:2" x14ac:dyDescent="0.25">
      <c r="A14855" s="157">
        <v>43433</v>
      </c>
      <c r="B14855" s="158">
        <v>3.21</v>
      </c>
    </row>
    <row r="14856" spans="1:2" x14ac:dyDescent="0.25">
      <c r="A14856" s="157">
        <v>43434</v>
      </c>
      <c r="B14856" s="158">
        <v>3.19</v>
      </c>
    </row>
    <row r="14857" spans="1:2" x14ac:dyDescent="0.25">
      <c r="A14857" s="157">
        <v>43437</v>
      </c>
      <c r="B14857" s="158">
        <v>3.15</v>
      </c>
    </row>
    <row r="14858" spans="1:2" x14ac:dyDescent="0.25">
      <c r="A14858" s="157">
        <v>43438</v>
      </c>
      <c r="B14858" s="158">
        <v>3.05</v>
      </c>
    </row>
    <row r="14859" spans="1:2" x14ac:dyDescent="0.25">
      <c r="A14859" s="157">
        <v>43439</v>
      </c>
      <c r="B14859" s="158" t="e">
        <f>NA()</f>
        <v>#N/A</v>
      </c>
    </row>
    <row r="14860" spans="1:2" x14ac:dyDescent="0.25">
      <c r="A14860" s="157">
        <v>43440</v>
      </c>
      <c r="B14860" s="158">
        <v>3.01</v>
      </c>
    </row>
    <row r="14861" spans="1:2" x14ac:dyDescent="0.25">
      <c r="A14861" s="157">
        <v>43441</v>
      </c>
      <c r="B14861" s="158">
        <v>3.01</v>
      </c>
    </row>
    <row r="14862" spans="1:2" x14ac:dyDescent="0.25">
      <c r="A14862" s="157">
        <v>43444</v>
      </c>
      <c r="B14862" s="158">
        <v>3</v>
      </c>
    </row>
    <row r="14863" spans="1:2" x14ac:dyDescent="0.25">
      <c r="A14863" s="157">
        <v>43445</v>
      </c>
      <c r="B14863" s="158">
        <v>3.02</v>
      </c>
    </row>
    <row r="14864" spans="1:2" x14ac:dyDescent="0.25">
      <c r="A14864" s="157">
        <v>43446</v>
      </c>
      <c r="B14864" s="158">
        <v>3.04</v>
      </c>
    </row>
    <row r="14865" spans="1:2" x14ac:dyDescent="0.25">
      <c r="A14865" s="157">
        <v>43447</v>
      </c>
      <c r="B14865" s="158">
        <v>3.05</v>
      </c>
    </row>
    <row r="14866" spans="1:2" x14ac:dyDescent="0.25">
      <c r="A14866" s="157">
        <v>43448</v>
      </c>
      <c r="B14866" s="158">
        <v>3.03</v>
      </c>
    </row>
    <row r="14867" spans="1:2" x14ac:dyDescent="0.25">
      <c r="A14867" s="157">
        <v>43451</v>
      </c>
      <c r="B14867" s="158">
        <v>3</v>
      </c>
    </row>
    <row r="14868" spans="1:2" x14ac:dyDescent="0.25">
      <c r="A14868" s="157">
        <v>43452</v>
      </c>
      <c r="B14868" s="158">
        <v>2.96</v>
      </c>
    </row>
    <row r="14869" spans="1:2" x14ac:dyDescent="0.25">
      <c r="A14869" s="157">
        <v>43453</v>
      </c>
      <c r="B14869" s="158">
        <v>2.89</v>
      </c>
    </row>
    <row r="14870" spans="1:2" x14ac:dyDescent="0.25">
      <c r="A14870" s="157">
        <v>43454</v>
      </c>
      <c r="B14870" s="158">
        <v>2.92</v>
      </c>
    </row>
    <row r="14871" spans="1:2" x14ac:dyDescent="0.25">
      <c r="A14871" s="157">
        <v>43455</v>
      </c>
      <c r="B14871" s="158">
        <v>2.92</v>
      </c>
    </row>
    <row r="14872" spans="1:2" x14ac:dyDescent="0.25">
      <c r="A14872" s="157">
        <v>43458</v>
      </c>
      <c r="B14872" s="158">
        <v>2.88</v>
      </c>
    </row>
    <row r="14873" spans="1:2" x14ac:dyDescent="0.25">
      <c r="A14873" s="157">
        <v>43459</v>
      </c>
      <c r="B14873" s="158" t="e">
        <f>NA()</f>
        <v>#N/A</v>
      </c>
    </row>
    <row r="14874" spans="1:2" x14ac:dyDescent="0.25">
      <c r="A14874" s="157">
        <v>43460</v>
      </c>
      <c r="B14874" s="158">
        <v>2.94</v>
      </c>
    </row>
    <row r="14875" spans="1:2" x14ac:dyDescent="0.25">
      <c r="A14875" s="157">
        <v>43461</v>
      </c>
      <c r="B14875" s="158">
        <v>2.92</v>
      </c>
    </row>
    <row r="14876" spans="1:2" x14ac:dyDescent="0.25">
      <c r="A14876" s="157">
        <v>43462</v>
      </c>
      <c r="B14876" s="158">
        <v>2.89</v>
      </c>
    </row>
    <row r="14877" spans="1:2" x14ac:dyDescent="0.25">
      <c r="A14877" s="157">
        <v>43465</v>
      </c>
      <c r="B14877" s="158">
        <v>2.87</v>
      </c>
    </row>
    <row r="14878" spans="1:2" x14ac:dyDescent="0.25">
      <c r="A14878" s="157">
        <v>43466</v>
      </c>
      <c r="B14878" s="158" t="e">
        <f>NA()</f>
        <v>#N/A</v>
      </c>
    </row>
    <row r="14879" spans="1:2" x14ac:dyDescent="0.25">
      <c r="A14879" s="157">
        <v>43467</v>
      </c>
      <c r="B14879" s="158">
        <v>2.83</v>
      </c>
    </row>
    <row r="14880" spans="1:2" x14ac:dyDescent="0.25">
      <c r="A14880" s="157">
        <v>43468</v>
      </c>
      <c r="B14880" s="158">
        <v>2.75</v>
      </c>
    </row>
    <row r="14881" spans="1:2" x14ac:dyDescent="0.25">
      <c r="A14881" s="157">
        <v>43469</v>
      </c>
      <c r="B14881" s="158">
        <v>2.83</v>
      </c>
    </row>
    <row r="14882" spans="1:2" x14ac:dyDescent="0.25">
      <c r="A14882" s="157">
        <v>43472</v>
      </c>
      <c r="B14882" s="158">
        <v>2.86</v>
      </c>
    </row>
    <row r="14883" spans="1:2" x14ac:dyDescent="0.25">
      <c r="A14883" s="157">
        <v>43473</v>
      </c>
      <c r="B14883" s="158">
        <v>2.88</v>
      </c>
    </row>
    <row r="14884" spans="1:2" x14ac:dyDescent="0.25">
      <c r="A14884" s="157">
        <v>43474</v>
      </c>
      <c r="B14884" s="158">
        <v>2.9</v>
      </c>
    </row>
    <row r="14885" spans="1:2" x14ac:dyDescent="0.25">
      <c r="A14885" s="157">
        <v>43475</v>
      </c>
      <c r="B14885" s="158">
        <v>2.92</v>
      </c>
    </row>
    <row r="14886" spans="1:2" x14ac:dyDescent="0.25">
      <c r="A14886" s="157">
        <v>43476</v>
      </c>
      <c r="B14886" s="158">
        <v>2.9</v>
      </c>
    </row>
    <row r="14887" spans="1:2" x14ac:dyDescent="0.25">
      <c r="A14887" s="157">
        <v>43479</v>
      </c>
      <c r="B14887" s="158">
        <v>2.91</v>
      </c>
    </row>
    <row r="14888" spans="1:2" x14ac:dyDescent="0.25">
      <c r="A14888" s="157">
        <v>43480</v>
      </c>
      <c r="B14888" s="158">
        <v>2.92</v>
      </c>
    </row>
    <row r="14889" spans="1:2" x14ac:dyDescent="0.25">
      <c r="A14889" s="157">
        <v>43481</v>
      </c>
      <c r="B14889" s="158">
        <v>2.92</v>
      </c>
    </row>
    <row r="14890" spans="1:2" x14ac:dyDescent="0.25">
      <c r="A14890" s="157">
        <v>43482</v>
      </c>
      <c r="B14890" s="158">
        <v>2.93</v>
      </c>
    </row>
    <row r="14891" spans="1:2" x14ac:dyDescent="0.25">
      <c r="A14891" s="157">
        <v>43483</v>
      </c>
      <c r="B14891" s="158">
        <v>2.95</v>
      </c>
    </row>
    <row r="14892" spans="1:2" x14ac:dyDescent="0.25">
      <c r="A14892" s="157">
        <v>43486</v>
      </c>
      <c r="B14892" s="158" t="e">
        <f>NA()</f>
        <v>#N/A</v>
      </c>
    </row>
    <row r="14893" spans="1:2" x14ac:dyDescent="0.25">
      <c r="A14893" s="157">
        <v>43487</v>
      </c>
      <c r="B14893" s="158">
        <v>2.91</v>
      </c>
    </row>
    <row r="14894" spans="1:2" x14ac:dyDescent="0.25">
      <c r="A14894" s="157">
        <v>43488</v>
      </c>
      <c r="B14894" s="158">
        <v>2.93</v>
      </c>
    </row>
    <row r="14895" spans="1:2" x14ac:dyDescent="0.25">
      <c r="A14895" s="157">
        <v>43489</v>
      </c>
      <c r="B14895" s="158">
        <v>2.89</v>
      </c>
    </row>
    <row r="14896" spans="1:2" x14ac:dyDescent="0.25">
      <c r="A14896" s="157">
        <v>43490</v>
      </c>
      <c r="B14896" s="158">
        <v>2.92</v>
      </c>
    </row>
    <row r="14897" spans="1:2" x14ac:dyDescent="0.25">
      <c r="A14897" s="157">
        <v>43493</v>
      </c>
      <c r="B14897" s="158">
        <v>2.92</v>
      </c>
    </row>
    <row r="14898" spans="1:2" x14ac:dyDescent="0.25">
      <c r="A14898" s="157">
        <v>43494</v>
      </c>
      <c r="B14898" s="158">
        <v>2.9</v>
      </c>
    </row>
    <row r="14899" spans="1:2" x14ac:dyDescent="0.25">
      <c r="A14899" s="157">
        <v>43495</v>
      </c>
      <c r="B14899" s="158">
        <v>2.9</v>
      </c>
    </row>
    <row r="14900" spans="1:2" x14ac:dyDescent="0.25">
      <c r="A14900" s="157">
        <v>43496</v>
      </c>
      <c r="B14900" s="158">
        <v>2.83</v>
      </c>
    </row>
    <row r="14901" spans="1:2" x14ac:dyDescent="0.25">
      <c r="A14901" s="157">
        <v>43497</v>
      </c>
      <c r="B14901" s="158">
        <v>2.88</v>
      </c>
    </row>
    <row r="14902" spans="1:2" x14ac:dyDescent="0.25">
      <c r="A14902" s="157">
        <v>43500</v>
      </c>
      <c r="B14902" s="158">
        <v>2.92</v>
      </c>
    </row>
    <row r="14903" spans="1:2" x14ac:dyDescent="0.25">
      <c r="A14903" s="157">
        <v>43501</v>
      </c>
      <c r="B14903" s="158">
        <v>2.89</v>
      </c>
    </row>
    <row r="14904" spans="1:2" x14ac:dyDescent="0.25">
      <c r="A14904" s="157">
        <v>43502</v>
      </c>
      <c r="B14904" s="158">
        <v>2.88</v>
      </c>
    </row>
    <row r="14905" spans="1:2" x14ac:dyDescent="0.25">
      <c r="A14905" s="157">
        <v>43503</v>
      </c>
      <c r="B14905" s="158">
        <v>2.85</v>
      </c>
    </row>
    <row r="14906" spans="1:2" x14ac:dyDescent="0.25">
      <c r="A14906" s="157">
        <v>43504</v>
      </c>
      <c r="B14906" s="158">
        <v>2.82</v>
      </c>
    </row>
    <row r="14907" spans="1:2" x14ac:dyDescent="0.25">
      <c r="A14907" s="157">
        <v>43507</v>
      </c>
      <c r="B14907" s="158">
        <v>2.85</v>
      </c>
    </row>
    <row r="14908" spans="1:2" x14ac:dyDescent="0.25">
      <c r="A14908" s="157">
        <v>43508</v>
      </c>
      <c r="B14908" s="158">
        <v>2.87</v>
      </c>
    </row>
    <row r="14909" spans="1:2" x14ac:dyDescent="0.25">
      <c r="A14909" s="157">
        <v>43509</v>
      </c>
      <c r="B14909" s="158">
        <v>2.89</v>
      </c>
    </row>
    <row r="14910" spans="1:2" x14ac:dyDescent="0.25">
      <c r="A14910" s="157">
        <v>43510</v>
      </c>
      <c r="B14910" s="158">
        <v>2.85</v>
      </c>
    </row>
    <row r="14911" spans="1:2" x14ac:dyDescent="0.25">
      <c r="A14911" s="157">
        <v>43511</v>
      </c>
      <c r="B14911" s="158">
        <v>2.84</v>
      </c>
    </row>
    <row r="14912" spans="1:2" x14ac:dyDescent="0.25">
      <c r="A14912" s="157">
        <v>43514</v>
      </c>
      <c r="B14912" s="158" t="e">
        <f>NA()</f>
        <v>#N/A</v>
      </c>
    </row>
    <row r="14913" spans="1:2" x14ac:dyDescent="0.25">
      <c r="A14913" s="157">
        <v>43515</v>
      </c>
      <c r="B14913" s="158">
        <v>2.84</v>
      </c>
    </row>
    <row r="14914" spans="1:2" x14ac:dyDescent="0.25">
      <c r="A14914" s="157">
        <v>43516</v>
      </c>
      <c r="B14914" s="158">
        <v>2.84</v>
      </c>
    </row>
    <row r="14915" spans="1:2" x14ac:dyDescent="0.25">
      <c r="A14915" s="157">
        <v>43517</v>
      </c>
      <c r="B14915" s="158">
        <v>2.89</v>
      </c>
    </row>
    <row r="14916" spans="1:2" x14ac:dyDescent="0.25">
      <c r="A14916" s="157">
        <v>43518</v>
      </c>
      <c r="B14916" s="158">
        <v>2.86</v>
      </c>
    </row>
    <row r="14917" spans="1:2" x14ac:dyDescent="0.25">
      <c r="A14917" s="157">
        <v>43521</v>
      </c>
      <c r="B14917" s="158">
        <v>2.87</v>
      </c>
    </row>
    <row r="14918" spans="1:2" x14ac:dyDescent="0.25">
      <c r="A14918" s="157">
        <v>43522</v>
      </c>
      <c r="B14918" s="158">
        <v>2.84</v>
      </c>
    </row>
    <row r="14919" spans="1:2" x14ac:dyDescent="0.25">
      <c r="A14919" s="157">
        <v>43523</v>
      </c>
      <c r="B14919" s="158">
        <v>2.91</v>
      </c>
    </row>
    <row r="14920" spans="1:2" x14ac:dyDescent="0.25">
      <c r="A14920" s="157">
        <v>43524</v>
      </c>
      <c r="B14920" s="158">
        <v>2.94</v>
      </c>
    </row>
    <row r="14921" spans="1:2" x14ac:dyDescent="0.25">
      <c r="A14921" s="157">
        <v>43525</v>
      </c>
      <c r="B14921" s="158">
        <v>2.97</v>
      </c>
    </row>
    <row r="14922" spans="1:2" x14ac:dyDescent="0.25">
      <c r="A14922" s="157">
        <v>43528</v>
      </c>
      <c r="B14922" s="158">
        <v>2.93</v>
      </c>
    </row>
    <row r="14923" spans="1:2" x14ac:dyDescent="0.25">
      <c r="A14923" s="157">
        <v>43529</v>
      </c>
      <c r="B14923" s="158">
        <v>2.93</v>
      </c>
    </row>
    <row r="14924" spans="1:2" x14ac:dyDescent="0.25">
      <c r="A14924" s="157">
        <v>43530</v>
      </c>
      <c r="B14924" s="158">
        <v>2.9</v>
      </c>
    </row>
    <row r="14925" spans="1:2" x14ac:dyDescent="0.25">
      <c r="A14925" s="157">
        <v>43531</v>
      </c>
      <c r="B14925" s="158">
        <v>2.86</v>
      </c>
    </row>
    <row r="14926" spans="1:2" x14ac:dyDescent="0.25">
      <c r="A14926" s="157">
        <v>43532</v>
      </c>
      <c r="B14926" s="158">
        <v>2.83</v>
      </c>
    </row>
    <row r="14927" spans="1:2" x14ac:dyDescent="0.25">
      <c r="A14927" s="157">
        <v>43535</v>
      </c>
      <c r="B14927" s="158">
        <v>2.86</v>
      </c>
    </row>
    <row r="14928" spans="1:2" x14ac:dyDescent="0.25">
      <c r="A14928" s="157">
        <v>43536</v>
      </c>
      <c r="B14928" s="158">
        <v>2.82</v>
      </c>
    </row>
    <row r="14929" spans="1:2" x14ac:dyDescent="0.25">
      <c r="A14929" s="157">
        <v>43537</v>
      </c>
      <c r="B14929" s="158">
        <v>2.82</v>
      </c>
    </row>
    <row r="14930" spans="1:2" x14ac:dyDescent="0.25">
      <c r="A14930" s="157">
        <v>43538</v>
      </c>
      <c r="B14930" s="158">
        <v>2.86</v>
      </c>
    </row>
    <row r="14931" spans="1:2" x14ac:dyDescent="0.25">
      <c r="A14931" s="157">
        <v>43539</v>
      </c>
      <c r="B14931" s="158">
        <v>2.83</v>
      </c>
    </row>
    <row r="14932" spans="1:2" x14ac:dyDescent="0.25">
      <c r="A14932" s="157">
        <v>43542</v>
      </c>
      <c r="B14932" s="158">
        <v>2.83</v>
      </c>
    </row>
    <row r="14933" spans="1:2" x14ac:dyDescent="0.25">
      <c r="A14933" s="157">
        <v>43543</v>
      </c>
      <c r="B14933" s="158">
        <v>2.84</v>
      </c>
    </row>
    <row r="14934" spans="1:2" x14ac:dyDescent="0.25">
      <c r="A14934" s="157">
        <v>43544</v>
      </c>
      <c r="B14934" s="158">
        <v>2.79</v>
      </c>
    </row>
    <row r="14935" spans="1:2" x14ac:dyDescent="0.25">
      <c r="A14935" s="157">
        <v>43545</v>
      </c>
      <c r="B14935" s="158">
        <v>2.78</v>
      </c>
    </row>
    <row r="14936" spans="1:2" x14ac:dyDescent="0.25">
      <c r="A14936" s="157">
        <v>43546</v>
      </c>
      <c r="B14936" s="158">
        <v>2.69</v>
      </c>
    </row>
    <row r="14937" spans="1:2" x14ac:dyDescent="0.25">
      <c r="A14937" s="157">
        <v>43549</v>
      </c>
      <c r="B14937" s="158">
        <v>2.68</v>
      </c>
    </row>
    <row r="14938" spans="1:2" x14ac:dyDescent="0.25">
      <c r="A14938" s="157">
        <v>43550</v>
      </c>
      <c r="B14938" s="158">
        <v>2.67</v>
      </c>
    </row>
    <row r="14939" spans="1:2" x14ac:dyDescent="0.25">
      <c r="A14939" s="157">
        <v>43551</v>
      </c>
      <c r="B14939" s="158">
        <v>2.63</v>
      </c>
    </row>
    <row r="14940" spans="1:2" x14ac:dyDescent="0.25">
      <c r="A14940" s="157">
        <v>43552</v>
      </c>
      <c r="B14940" s="158">
        <v>2.62</v>
      </c>
    </row>
    <row r="14941" spans="1:2" x14ac:dyDescent="0.25">
      <c r="A14941" s="157">
        <v>43553</v>
      </c>
      <c r="B14941" s="158">
        <v>2.63</v>
      </c>
    </row>
    <row r="14942" spans="1:2" x14ac:dyDescent="0.25">
      <c r="A14942" s="157">
        <v>43556</v>
      </c>
      <c r="B14942" s="158">
        <v>2.71</v>
      </c>
    </row>
    <row r="14943" spans="1:2" x14ac:dyDescent="0.25">
      <c r="A14943" s="157">
        <v>43557</v>
      </c>
      <c r="B14943" s="158">
        <v>2.7</v>
      </c>
    </row>
    <row r="14944" spans="1:2" x14ac:dyDescent="0.25">
      <c r="A14944" s="157">
        <v>43558</v>
      </c>
      <c r="B14944" s="158">
        <v>2.75</v>
      </c>
    </row>
    <row r="14945" spans="1:2" x14ac:dyDescent="0.25">
      <c r="A14945" s="157">
        <v>43559</v>
      </c>
      <c r="B14945" s="158">
        <v>2.74</v>
      </c>
    </row>
    <row r="14946" spans="1:2" x14ac:dyDescent="0.25">
      <c r="A14946" s="157">
        <v>43560</v>
      </c>
      <c r="B14946" s="158">
        <v>2.72</v>
      </c>
    </row>
    <row r="14947" spans="1:2" x14ac:dyDescent="0.25">
      <c r="A14947" s="157">
        <v>43563</v>
      </c>
      <c r="B14947" s="158">
        <v>2.74</v>
      </c>
    </row>
    <row r="14948" spans="1:2" x14ac:dyDescent="0.25">
      <c r="A14948" s="157">
        <v>43564</v>
      </c>
      <c r="B14948" s="158">
        <v>2.73</v>
      </c>
    </row>
    <row r="14949" spans="1:2" x14ac:dyDescent="0.25">
      <c r="A14949" s="157">
        <v>43565</v>
      </c>
      <c r="B14949" s="158">
        <v>2.71</v>
      </c>
    </row>
    <row r="14950" spans="1:2" x14ac:dyDescent="0.25">
      <c r="A14950" s="157">
        <v>43566</v>
      </c>
      <c r="B14950" s="158">
        <v>2.74</v>
      </c>
    </row>
    <row r="14951" spans="1:2" x14ac:dyDescent="0.25">
      <c r="A14951" s="157">
        <v>43567</v>
      </c>
      <c r="B14951" s="158">
        <v>2.78</v>
      </c>
    </row>
    <row r="14952" spans="1:2" x14ac:dyDescent="0.25">
      <c r="A14952" s="157">
        <v>43570</v>
      </c>
      <c r="B14952" s="158">
        <v>2.77</v>
      </c>
    </row>
    <row r="14953" spans="1:2" x14ac:dyDescent="0.25">
      <c r="A14953" s="157">
        <v>43571</v>
      </c>
      <c r="B14953" s="158">
        <v>2.81</v>
      </c>
    </row>
    <row r="14954" spans="1:2" x14ac:dyDescent="0.25">
      <c r="A14954" s="157">
        <v>43572</v>
      </c>
      <c r="B14954" s="158">
        <v>2.81</v>
      </c>
    </row>
    <row r="14955" spans="1:2" x14ac:dyDescent="0.25">
      <c r="A14955" s="157">
        <v>43573</v>
      </c>
      <c r="B14955" s="158">
        <v>2.78</v>
      </c>
    </row>
    <row r="14956" spans="1:2" x14ac:dyDescent="0.25">
      <c r="A14956" s="157">
        <v>43574</v>
      </c>
      <c r="B14956" s="158" t="e">
        <f>NA()</f>
        <v>#N/A</v>
      </c>
    </row>
    <row r="14957" spans="1:2" x14ac:dyDescent="0.25">
      <c r="A14957" s="157">
        <v>43577</v>
      </c>
      <c r="B14957" s="158">
        <v>2.82</v>
      </c>
    </row>
    <row r="14958" spans="1:2" x14ac:dyDescent="0.25">
      <c r="A14958" s="157">
        <v>43578</v>
      </c>
      <c r="B14958" s="158">
        <v>2.81</v>
      </c>
    </row>
    <row r="14959" spans="1:2" x14ac:dyDescent="0.25">
      <c r="A14959" s="157">
        <v>43579</v>
      </c>
      <c r="B14959" s="158">
        <v>2.76</v>
      </c>
    </row>
    <row r="14960" spans="1:2" x14ac:dyDescent="0.25">
      <c r="A14960" s="157">
        <v>43580</v>
      </c>
      <c r="B14960" s="158">
        <v>2.76</v>
      </c>
    </row>
    <row r="14961" spans="1:2" x14ac:dyDescent="0.25">
      <c r="A14961" s="157">
        <v>43581</v>
      </c>
      <c r="B14961" s="158">
        <v>2.74</v>
      </c>
    </row>
    <row r="14962" spans="1:2" x14ac:dyDescent="0.25">
      <c r="A14962" s="157">
        <v>43584</v>
      </c>
      <c r="B14962" s="158">
        <v>2.78</v>
      </c>
    </row>
    <row r="14963" spans="1:2" x14ac:dyDescent="0.25">
      <c r="A14963" s="157">
        <v>43585</v>
      </c>
      <c r="B14963" s="158">
        <v>2.75</v>
      </c>
    </row>
    <row r="14964" spans="1:2" x14ac:dyDescent="0.25">
      <c r="A14964" s="157">
        <v>43586</v>
      </c>
      <c r="B14964" s="158">
        <v>2.74</v>
      </c>
    </row>
    <row r="14965" spans="1:2" x14ac:dyDescent="0.25">
      <c r="A14965" s="157">
        <v>43587</v>
      </c>
      <c r="B14965" s="158">
        <v>2.77</v>
      </c>
    </row>
    <row r="14966" spans="1:2" x14ac:dyDescent="0.25">
      <c r="A14966" s="157">
        <v>43588</v>
      </c>
      <c r="B14966" s="158">
        <v>2.75</v>
      </c>
    </row>
    <row r="14967" spans="1:2" x14ac:dyDescent="0.25">
      <c r="A14967" s="157">
        <v>43591</v>
      </c>
      <c r="B14967" s="158">
        <v>2.73</v>
      </c>
    </row>
    <row r="14968" spans="1:2" x14ac:dyDescent="0.25">
      <c r="A14968" s="157">
        <v>43592</v>
      </c>
      <c r="B14968" s="158">
        <v>2.68</v>
      </c>
    </row>
    <row r="14969" spans="1:2" x14ac:dyDescent="0.25">
      <c r="A14969" s="157">
        <v>43593</v>
      </c>
      <c r="B14969" s="158">
        <v>2.71</v>
      </c>
    </row>
    <row r="14970" spans="1:2" x14ac:dyDescent="0.25">
      <c r="A14970" s="157">
        <v>43594</v>
      </c>
      <c r="B14970" s="158">
        <v>2.69</v>
      </c>
    </row>
    <row r="14971" spans="1:2" x14ac:dyDescent="0.25">
      <c r="A14971" s="157">
        <v>43595</v>
      </c>
      <c r="B14971" s="158">
        <v>2.7</v>
      </c>
    </row>
    <row r="14972" spans="1:2" x14ac:dyDescent="0.25">
      <c r="A14972" s="157">
        <v>43598</v>
      </c>
      <c r="B14972" s="158">
        <v>2.65</v>
      </c>
    </row>
    <row r="14973" spans="1:2" x14ac:dyDescent="0.25">
      <c r="A14973" s="157">
        <v>43599</v>
      </c>
      <c r="B14973" s="158">
        <v>2.67</v>
      </c>
    </row>
    <row r="14974" spans="1:2" x14ac:dyDescent="0.25">
      <c r="A14974" s="157">
        <v>43600</v>
      </c>
      <c r="B14974" s="158">
        <v>2.63</v>
      </c>
    </row>
    <row r="14975" spans="1:2" x14ac:dyDescent="0.25">
      <c r="A14975" s="157">
        <v>43601</v>
      </c>
      <c r="B14975" s="158">
        <v>2.65</v>
      </c>
    </row>
    <row r="14976" spans="1:2" x14ac:dyDescent="0.25">
      <c r="A14976" s="157">
        <v>43602</v>
      </c>
      <c r="B14976" s="158">
        <v>2.63</v>
      </c>
    </row>
    <row r="14977" spans="1:2" x14ac:dyDescent="0.25">
      <c r="A14977" s="157">
        <v>43605</v>
      </c>
      <c r="B14977" s="158">
        <v>2.65</v>
      </c>
    </row>
    <row r="14978" spans="1:2" x14ac:dyDescent="0.25">
      <c r="A14978" s="157">
        <v>43606</v>
      </c>
      <c r="B14978" s="158">
        <v>2.67</v>
      </c>
    </row>
    <row r="14979" spans="1:2" x14ac:dyDescent="0.25">
      <c r="A14979" s="157">
        <v>43607</v>
      </c>
      <c r="B14979" s="158">
        <v>2.64</v>
      </c>
    </row>
    <row r="14980" spans="1:2" x14ac:dyDescent="0.25">
      <c r="A14980" s="157">
        <v>43608</v>
      </c>
      <c r="B14980" s="158">
        <v>2.56</v>
      </c>
    </row>
    <row r="14981" spans="1:2" x14ac:dyDescent="0.25">
      <c r="A14981" s="157">
        <v>43609</v>
      </c>
      <c r="B14981" s="158">
        <v>2.57</v>
      </c>
    </row>
    <row r="14982" spans="1:2" x14ac:dyDescent="0.25">
      <c r="A14982" s="157">
        <v>43612</v>
      </c>
      <c r="B14982" s="158" t="e">
        <f>NA()</f>
        <v>#N/A</v>
      </c>
    </row>
    <row r="14983" spans="1:2" x14ac:dyDescent="0.25">
      <c r="A14983" s="157">
        <v>43613</v>
      </c>
      <c r="B14983" s="158">
        <v>2.52</v>
      </c>
    </row>
    <row r="14984" spans="1:2" x14ac:dyDescent="0.25">
      <c r="A14984" s="157">
        <v>43614</v>
      </c>
      <c r="B14984" s="158">
        <v>2.5</v>
      </c>
    </row>
    <row r="14985" spans="1:2" x14ac:dyDescent="0.25">
      <c r="A14985" s="157">
        <v>43615</v>
      </c>
      <c r="B14985" s="158">
        <v>2.46</v>
      </c>
    </row>
    <row r="14986" spans="1:2" x14ac:dyDescent="0.25">
      <c r="A14986" s="157">
        <v>43616</v>
      </c>
      <c r="B14986" s="158">
        <v>2.39</v>
      </c>
    </row>
    <row r="14987" spans="1:2" x14ac:dyDescent="0.25">
      <c r="A14987" s="157">
        <v>43619</v>
      </c>
      <c r="B14987" s="158">
        <v>2.34</v>
      </c>
    </row>
    <row r="14988" spans="1:2" x14ac:dyDescent="0.25">
      <c r="A14988" s="157">
        <v>43620</v>
      </c>
      <c r="B14988" s="158">
        <v>2.41</v>
      </c>
    </row>
    <row r="14989" spans="1:2" x14ac:dyDescent="0.25">
      <c r="A14989" s="157">
        <v>43621</v>
      </c>
      <c r="B14989" s="158">
        <v>2.42</v>
      </c>
    </row>
    <row r="14990" spans="1:2" x14ac:dyDescent="0.25">
      <c r="A14990" s="157">
        <v>43622</v>
      </c>
      <c r="B14990" s="158">
        <v>2.42</v>
      </c>
    </row>
    <row r="14991" spans="1:2" x14ac:dyDescent="0.25">
      <c r="A14991" s="157">
        <v>43623</v>
      </c>
      <c r="B14991" s="158">
        <v>2.36</v>
      </c>
    </row>
    <row r="14992" spans="1:2" x14ac:dyDescent="0.25">
      <c r="A14992" s="157">
        <v>43626</v>
      </c>
      <c r="B14992" s="158">
        <v>2.42</v>
      </c>
    </row>
    <row r="14993" spans="1:2" x14ac:dyDescent="0.25">
      <c r="A14993" s="157">
        <v>43627</v>
      </c>
      <c r="B14993" s="158">
        <v>2.42</v>
      </c>
    </row>
    <row r="14994" spans="1:2" x14ac:dyDescent="0.25">
      <c r="A14994" s="157">
        <v>43628</v>
      </c>
      <c r="B14994" s="158">
        <v>2.41</v>
      </c>
    </row>
    <row r="14995" spans="1:2" x14ac:dyDescent="0.25">
      <c r="A14995" s="157">
        <v>43629</v>
      </c>
      <c r="B14995" s="158">
        <v>2.39</v>
      </c>
    </row>
    <row r="14996" spans="1:2" x14ac:dyDescent="0.25">
      <c r="A14996" s="157">
        <v>43630</v>
      </c>
      <c r="B14996" s="158">
        <v>2.38</v>
      </c>
    </row>
    <row r="14997" spans="1:2" x14ac:dyDescent="0.25">
      <c r="A14997" s="157">
        <v>43633</v>
      </c>
      <c r="B14997" s="158">
        <v>2.37</v>
      </c>
    </row>
    <row r="14998" spans="1:2" x14ac:dyDescent="0.25">
      <c r="A14998" s="157">
        <v>43634</v>
      </c>
      <c r="B14998" s="158">
        <v>2.34</v>
      </c>
    </row>
    <row r="14999" spans="1:2" x14ac:dyDescent="0.25">
      <c r="A14999" s="157">
        <v>43635</v>
      </c>
      <c r="B14999" s="158">
        <v>2.3199999999999998</v>
      </c>
    </row>
    <row r="15000" spans="1:2" x14ac:dyDescent="0.25">
      <c r="A15000" s="157">
        <v>43636</v>
      </c>
      <c r="B15000" s="158">
        <v>2.31</v>
      </c>
    </row>
    <row r="15001" spans="1:2" x14ac:dyDescent="0.25">
      <c r="A15001" s="157">
        <v>43637</v>
      </c>
      <c r="B15001" s="158">
        <v>2.37</v>
      </c>
    </row>
    <row r="15002" spans="1:2" x14ac:dyDescent="0.25">
      <c r="A15002" s="157">
        <v>43640</v>
      </c>
      <c r="B15002" s="158">
        <v>2.33</v>
      </c>
    </row>
    <row r="15003" spans="1:2" x14ac:dyDescent="0.25">
      <c r="A15003" s="157">
        <v>43641</v>
      </c>
      <c r="B15003" s="158">
        <v>2.31</v>
      </c>
    </row>
    <row r="15004" spans="1:2" x14ac:dyDescent="0.25">
      <c r="A15004" s="157">
        <v>43642</v>
      </c>
      <c r="B15004" s="158">
        <v>2.35</v>
      </c>
    </row>
    <row r="15005" spans="1:2" x14ac:dyDescent="0.25">
      <c r="A15005" s="157">
        <v>43643</v>
      </c>
      <c r="B15005" s="158">
        <v>2.31</v>
      </c>
    </row>
    <row r="15006" spans="1:2" x14ac:dyDescent="0.25">
      <c r="A15006" s="157">
        <v>43644</v>
      </c>
      <c r="B15006" s="158">
        <v>2.31</v>
      </c>
    </row>
    <row r="15007" spans="1:2" x14ac:dyDescent="0.25">
      <c r="A15007" s="157">
        <v>43647</v>
      </c>
      <c r="B15007" s="158">
        <v>2.34</v>
      </c>
    </row>
    <row r="15008" spans="1:2" x14ac:dyDescent="0.25">
      <c r="A15008" s="157">
        <v>43648</v>
      </c>
      <c r="B15008" s="158">
        <v>2.29</v>
      </c>
    </row>
    <row r="15009" spans="1:2" x14ac:dyDescent="0.25">
      <c r="A15009" s="157">
        <v>43649</v>
      </c>
      <c r="B15009" s="158">
        <v>2.25</v>
      </c>
    </row>
    <row r="15010" spans="1:2" x14ac:dyDescent="0.25">
      <c r="A15010" s="157">
        <v>43650</v>
      </c>
      <c r="B15010" s="158" t="e">
        <f>NA()</f>
        <v>#N/A</v>
      </c>
    </row>
    <row r="15011" spans="1:2" x14ac:dyDescent="0.25">
      <c r="A15011" s="157">
        <v>43651</v>
      </c>
      <c r="B15011" s="158">
        <v>2.34</v>
      </c>
    </row>
    <row r="15012" spans="1:2" x14ac:dyDescent="0.25">
      <c r="A15012" s="157">
        <v>43654</v>
      </c>
      <c r="B15012" s="158">
        <v>2.3199999999999998</v>
      </c>
    </row>
    <row r="15013" spans="1:2" x14ac:dyDescent="0.25">
      <c r="A15013" s="157">
        <v>43655</v>
      </c>
      <c r="B15013" s="158">
        <v>2.34</v>
      </c>
    </row>
    <row r="15014" spans="1:2" x14ac:dyDescent="0.25">
      <c r="A15014" s="157">
        <v>43656</v>
      </c>
      <c r="B15014" s="158">
        <v>2.36</v>
      </c>
    </row>
    <row r="15015" spans="1:2" x14ac:dyDescent="0.25">
      <c r="A15015" s="157">
        <v>43657</v>
      </c>
      <c r="B15015" s="158">
        <v>2.42</v>
      </c>
    </row>
    <row r="15016" spans="1:2" x14ac:dyDescent="0.25">
      <c r="A15016" s="157">
        <v>43658</v>
      </c>
      <c r="B15016" s="158">
        <v>2.42</v>
      </c>
    </row>
    <row r="15017" spans="1:2" x14ac:dyDescent="0.25">
      <c r="A15017" s="157">
        <v>43661</v>
      </c>
      <c r="B15017" s="158">
        <v>2.39</v>
      </c>
    </row>
    <row r="15018" spans="1:2" x14ac:dyDescent="0.25">
      <c r="A15018" s="157">
        <v>43662</v>
      </c>
      <c r="B15018" s="158">
        <v>2.42</v>
      </c>
    </row>
    <row r="15019" spans="1:2" x14ac:dyDescent="0.25">
      <c r="A15019" s="157">
        <v>43663</v>
      </c>
      <c r="B15019" s="158">
        <v>2.35</v>
      </c>
    </row>
    <row r="15020" spans="1:2" x14ac:dyDescent="0.25">
      <c r="A15020" s="157">
        <v>43664</v>
      </c>
      <c r="B15020" s="158">
        <v>2.34</v>
      </c>
    </row>
    <row r="15021" spans="1:2" x14ac:dyDescent="0.25">
      <c r="A15021" s="157">
        <v>43665</v>
      </c>
      <c r="B15021" s="158">
        <v>2.35</v>
      </c>
    </row>
    <row r="15022" spans="1:2" x14ac:dyDescent="0.25">
      <c r="A15022" s="157">
        <v>43668</v>
      </c>
      <c r="B15022" s="158">
        <v>2.36</v>
      </c>
    </row>
    <row r="15023" spans="1:2" x14ac:dyDescent="0.25">
      <c r="A15023" s="157">
        <v>43669</v>
      </c>
      <c r="B15023" s="158">
        <v>2.38</v>
      </c>
    </row>
    <row r="15024" spans="1:2" x14ac:dyDescent="0.25">
      <c r="A15024" s="157">
        <v>43670</v>
      </c>
      <c r="B15024" s="158">
        <v>2.36</v>
      </c>
    </row>
    <row r="15025" spans="1:2" x14ac:dyDescent="0.25">
      <c r="A15025" s="157">
        <v>43671</v>
      </c>
      <c r="B15025" s="158">
        <v>2.38</v>
      </c>
    </row>
    <row r="15026" spans="1:2" x14ac:dyDescent="0.25">
      <c r="A15026" s="157">
        <v>43672</v>
      </c>
      <c r="B15026" s="158">
        <v>2.38</v>
      </c>
    </row>
    <row r="15027" spans="1:2" x14ac:dyDescent="0.25">
      <c r="A15027" s="157">
        <v>43675</v>
      </c>
      <c r="B15027" s="158">
        <v>2.37</v>
      </c>
    </row>
    <row r="15028" spans="1:2" x14ac:dyDescent="0.25">
      <c r="A15028" s="157">
        <v>43676</v>
      </c>
      <c r="B15028" s="158">
        <v>2.36</v>
      </c>
    </row>
    <row r="15029" spans="1:2" x14ac:dyDescent="0.25">
      <c r="A15029" s="157">
        <v>43677</v>
      </c>
      <c r="B15029" s="158">
        <v>2.31</v>
      </c>
    </row>
    <row r="15030" spans="1:2" x14ac:dyDescent="0.25">
      <c r="A15030" s="157">
        <v>43678</v>
      </c>
      <c r="B15030" s="158">
        <v>2.21</v>
      </c>
    </row>
    <row r="15031" spans="1:2" x14ac:dyDescent="0.25">
      <c r="A15031" s="157">
        <v>43679</v>
      </c>
      <c r="B15031" s="158">
        <v>2.16</v>
      </c>
    </row>
    <row r="15032" spans="1:2" x14ac:dyDescent="0.25">
      <c r="A15032" s="157">
        <v>43682</v>
      </c>
      <c r="B15032" s="158">
        <v>2.0699999999999998</v>
      </c>
    </row>
    <row r="15033" spans="1:2" x14ac:dyDescent="0.25">
      <c r="A15033" s="157">
        <v>43683</v>
      </c>
      <c r="B15033" s="158">
        <v>2.0299999999999998</v>
      </c>
    </row>
    <row r="15034" spans="1:2" x14ac:dyDescent="0.25">
      <c r="A15034" s="157">
        <v>43684</v>
      </c>
      <c r="B15034" s="158">
        <v>2.0099999999999998</v>
      </c>
    </row>
    <row r="15035" spans="1:2" x14ac:dyDescent="0.25">
      <c r="A15035" s="157">
        <v>43685</v>
      </c>
      <c r="B15035" s="158">
        <v>2.02</v>
      </c>
    </row>
    <row r="15036" spans="1:2" x14ac:dyDescent="0.25">
      <c r="A15036" s="157">
        <v>43686</v>
      </c>
      <c r="B15036" s="158">
        <v>2.0299999999999998</v>
      </c>
    </row>
    <row r="15037" spans="1:2" x14ac:dyDescent="0.25">
      <c r="A15037" s="157">
        <v>43689</v>
      </c>
      <c r="B15037" s="158">
        <v>1.92</v>
      </c>
    </row>
    <row r="15038" spans="1:2" x14ac:dyDescent="0.25">
      <c r="A15038" s="157">
        <v>43690</v>
      </c>
      <c r="B15038" s="158">
        <v>1.94</v>
      </c>
    </row>
    <row r="15039" spans="1:2" x14ac:dyDescent="0.25">
      <c r="A15039" s="157">
        <v>43691</v>
      </c>
      <c r="B15039" s="158">
        <v>1.84</v>
      </c>
    </row>
    <row r="15040" spans="1:2" x14ac:dyDescent="0.25">
      <c r="A15040" s="157">
        <v>43692</v>
      </c>
      <c r="B15040" s="158">
        <v>1.8</v>
      </c>
    </row>
    <row r="15041" spans="1:2" x14ac:dyDescent="0.25">
      <c r="A15041" s="157">
        <v>43693</v>
      </c>
      <c r="B15041" s="158">
        <v>1.82</v>
      </c>
    </row>
    <row r="15042" spans="1:2" x14ac:dyDescent="0.25">
      <c r="A15042" s="157">
        <v>43696</v>
      </c>
      <c r="B15042" s="158">
        <v>1.88</v>
      </c>
    </row>
    <row r="15043" spans="1:2" x14ac:dyDescent="0.25">
      <c r="A15043" s="157">
        <v>43697</v>
      </c>
      <c r="B15043" s="158">
        <v>1.84</v>
      </c>
    </row>
    <row r="15044" spans="1:2" x14ac:dyDescent="0.25">
      <c r="A15044" s="157">
        <v>43698</v>
      </c>
      <c r="B15044" s="158">
        <v>1.87</v>
      </c>
    </row>
    <row r="15045" spans="1:2" x14ac:dyDescent="0.25">
      <c r="A15045" s="157">
        <v>43699</v>
      </c>
      <c r="B15045" s="158">
        <v>1.9</v>
      </c>
    </row>
    <row r="15046" spans="1:2" x14ac:dyDescent="0.25">
      <c r="A15046" s="157">
        <v>43700</v>
      </c>
      <c r="B15046" s="158">
        <v>1.82</v>
      </c>
    </row>
    <row r="15047" spans="1:2" x14ac:dyDescent="0.25">
      <c r="A15047" s="157">
        <v>43703</v>
      </c>
      <c r="B15047" s="158">
        <v>1.84</v>
      </c>
    </row>
    <row r="15048" spans="1:2" x14ac:dyDescent="0.25">
      <c r="A15048" s="157">
        <v>43704</v>
      </c>
      <c r="B15048" s="158">
        <v>1.77</v>
      </c>
    </row>
    <row r="15049" spans="1:2" x14ac:dyDescent="0.25">
      <c r="A15049" s="157">
        <v>43705</v>
      </c>
      <c r="B15049" s="158">
        <v>1.76</v>
      </c>
    </row>
    <row r="15050" spans="1:2" x14ac:dyDescent="0.25">
      <c r="A15050" s="157">
        <v>43706</v>
      </c>
      <c r="B15050" s="158">
        <v>1.78</v>
      </c>
    </row>
    <row r="15051" spans="1:2" x14ac:dyDescent="0.25">
      <c r="A15051" s="157">
        <v>43707</v>
      </c>
      <c r="B15051" s="158">
        <v>1.78</v>
      </c>
    </row>
    <row r="15052" spans="1:2" x14ac:dyDescent="0.25">
      <c r="A15052" s="157">
        <v>43710</v>
      </c>
      <c r="B15052" s="158" t="e">
        <f>NA()</f>
        <v>#N/A</v>
      </c>
    </row>
    <row r="15053" spans="1:2" x14ac:dyDescent="0.25">
      <c r="A15053" s="157">
        <v>43711</v>
      </c>
      <c r="B15053" s="158">
        <v>1.77</v>
      </c>
    </row>
    <row r="15054" spans="1:2" x14ac:dyDescent="0.25">
      <c r="A15054" s="157">
        <v>43712</v>
      </c>
      <c r="B15054" s="158">
        <v>1.77</v>
      </c>
    </row>
    <row r="15055" spans="1:2" x14ac:dyDescent="0.25">
      <c r="A15055" s="157">
        <v>43713</v>
      </c>
      <c r="B15055" s="158">
        <v>1.86</v>
      </c>
    </row>
    <row r="15056" spans="1:2" x14ac:dyDescent="0.25">
      <c r="A15056" s="157">
        <v>43714</v>
      </c>
      <c r="B15056" s="158">
        <v>1.83</v>
      </c>
    </row>
    <row r="15057" spans="1:2" x14ac:dyDescent="0.25">
      <c r="A15057" s="157">
        <v>43717</v>
      </c>
      <c r="B15057" s="158">
        <v>1.91</v>
      </c>
    </row>
    <row r="15058" spans="1:2" x14ac:dyDescent="0.25">
      <c r="A15058" s="157">
        <v>43718</v>
      </c>
      <c r="B15058" s="158">
        <v>2</v>
      </c>
    </row>
    <row r="15059" spans="1:2" x14ac:dyDescent="0.25">
      <c r="A15059" s="157">
        <v>43719</v>
      </c>
      <c r="B15059" s="158">
        <v>2.02</v>
      </c>
    </row>
    <row r="15060" spans="1:2" x14ac:dyDescent="0.25">
      <c r="A15060" s="157">
        <v>43720</v>
      </c>
      <c r="B15060" s="158">
        <v>2.06</v>
      </c>
    </row>
    <row r="15061" spans="1:2" x14ac:dyDescent="0.25">
      <c r="A15061" s="157">
        <v>43721</v>
      </c>
      <c r="B15061" s="158">
        <v>2.17</v>
      </c>
    </row>
    <row r="15062" spans="1:2" x14ac:dyDescent="0.25">
      <c r="A15062" s="157">
        <v>43724</v>
      </c>
      <c r="B15062" s="158">
        <v>2.11</v>
      </c>
    </row>
    <row r="15063" spans="1:2" x14ac:dyDescent="0.25">
      <c r="A15063" s="157">
        <v>43725</v>
      </c>
      <c r="B15063" s="158">
        <v>2.08</v>
      </c>
    </row>
    <row r="15064" spans="1:2" x14ac:dyDescent="0.25">
      <c r="A15064" s="157">
        <v>43726</v>
      </c>
      <c r="B15064" s="158">
        <v>2.06</v>
      </c>
    </row>
    <row r="15065" spans="1:2" x14ac:dyDescent="0.25">
      <c r="A15065" s="157">
        <v>43727</v>
      </c>
      <c r="B15065" s="158">
        <v>2.04</v>
      </c>
    </row>
    <row r="15066" spans="1:2" x14ac:dyDescent="0.25">
      <c r="A15066" s="157">
        <v>43728</v>
      </c>
      <c r="B15066" s="158">
        <v>1.99</v>
      </c>
    </row>
    <row r="15067" spans="1:2" x14ac:dyDescent="0.25">
      <c r="A15067" s="157">
        <v>43731</v>
      </c>
      <c r="B15067" s="158">
        <v>1.98</v>
      </c>
    </row>
    <row r="15068" spans="1:2" x14ac:dyDescent="0.25">
      <c r="A15068" s="157">
        <v>43732</v>
      </c>
      <c r="B15068" s="158">
        <v>1.91</v>
      </c>
    </row>
    <row r="15069" spans="1:2" x14ac:dyDescent="0.25">
      <c r="A15069" s="157">
        <v>43733</v>
      </c>
      <c r="B15069" s="158">
        <v>1.99</v>
      </c>
    </row>
    <row r="15070" spans="1:2" x14ac:dyDescent="0.25">
      <c r="A15070" s="157">
        <v>43734</v>
      </c>
      <c r="B15070" s="158">
        <v>1.96</v>
      </c>
    </row>
    <row r="15071" spans="1:2" x14ac:dyDescent="0.25">
      <c r="A15071" s="157">
        <v>43735</v>
      </c>
      <c r="B15071" s="158">
        <v>1.95</v>
      </c>
    </row>
    <row r="15072" spans="1:2" x14ac:dyDescent="0.25">
      <c r="A15072" s="157">
        <v>43738</v>
      </c>
      <c r="B15072" s="158">
        <v>1.94</v>
      </c>
    </row>
    <row r="15073" spans="1:2" x14ac:dyDescent="0.25">
      <c r="A15073" s="157">
        <v>43739</v>
      </c>
      <c r="B15073" s="158">
        <v>1.93</v>
      </c>
    </row>
    <row r="15074" spans="1:2" x14ac:dyDescent="0.25">
      <c r="A15074" s="157">
        <v>43740</v>
      </c>
      <c r="B15074" s="158">
        <v>1.9</v>
      </c>
    </row>
    <row r="15075" spans="1:2" x14ac:dyDescent="0.25">
      <c r="A15075" s="157">
        <v>43741</v>
      </c>
      <c r="B15075" s="158">
        <v>1.85</v>
      </c>
    </row>
    <row r="15076" spans="1:2" x14ac:dyDescent="0.25">
      <c r="A15076" s="157">
        <v>43742</v>
      </c>
      <c r="B15076" s="158">
        <v>1.81</v>
      </c>
    </row>
    <row r="15077" spans="1:2" x14ac:dyDescent="0.25">
      <c r="A15077" s="157">
        <v>43745</v>
      </c>
      <c r="B15077" s="158">
        <v>1.85</v>
      </c>
    </row>
    <row r="15078" spans="1:2" x14ac:dyDescent="0.25">
      <c r="A15078" s="157">
        <v>43746</v>
      </c>
      <c r="B15078" s="158">
        <v>1.84</v>
      </c>
    </row>
    <row r="15079" spans="1:2" x14ac:dyDescent="0.25">
      <c r="A15079" s="157">
        <v>43747</v>
      </c>
      <c r="B15079" s="158">
        <v>1.88</v>
      </c>
    </row>
    <row r="15080" spans="1:2" x14ac:dyDescent="0.25">
      <c r="A15080" s="157">
        <v>43748</v>
      </c>
      <c r="B15080" s="158">
        <v>1.96</v>
      </c>
    </row>
    <row r="15081" spans="1:2" x14ac:dyDescent="0.25">
      <c r="A15081" s="157">
        <v>43749</v>
      </c>
      <c r="B15081" s="158">
        <v>2.04</v>
      </c>
    </row>
    <row r="15082" spans="1:2" x14ac:dyDescent="0.25">
      <c r="A15082" s="157">
        <v>43752</v>
      </c>
      <c r="B15082" s="158" t="e">
        <f>NA()</f>
        <v>#N/A</v>
      </c>
    </row>
    <row r="15083" spans="1:2" x14ac:dyDescent="0.25">
      <c r="A15083" s="157">
        <v>43753</v>
      </c>
      <c r="B15083" s="158">
        <v>2.06</v>
      </c>
    </row>
    <row r="15084" spans="1:2" x14ac:dyDescent="0.25">
      <c r="A15084" s="157">
        <v>43754</v>
      </c>
      <c r="B15084" s="158">
        <v>2.0499999999999998</v>
      </c>
    </row>
    <row r="15085" spans="1:2" x14ac:dyDescent="0.25">
      <c r="A15085" s="157">
        <v>43755</v>
      </c>
      <c r="B15085" s="158">
        <v>2.0499999999999998</v>
      </c>
    </row>
    <row r="15086" spans="1:2" x14ac:dyDescent="0.25">
      <c r="A15086" s="157">
        <v>43756</v>
      </c>
      <c r="B15086" s="158">
        <v>2.06</v>
      </c>
    </row>
    <row r="15087" spans="1:2" x14ac:dyDescent="0.25">
      <c r="A15087" s="157">
        <v>43759</v>
      </c>
      <c r="B15087" s="158">
        <v>2.1</v>
      </c>
    </row>
    <row r="15088" spans="1:2" x14ac:dyDescent="0.25">
      <c r="A15088" s="157">
        <v>43760</v>
      </c>
      <c r="B15088" s="158">
        <v>2.0699999999999998</v>
      </c>
    </row>
    <row r="15089" spans="1:2" x14ac:dyDescent="0.25">
      <c r="A15089" s="157">
        <v>43761</v>
      </c>
      <c r="B15089" s="158">
        <v>2.06</v>
      </c>
    </row>
    <row r="15090" spans="1:2" x14ac:dyDescent="0.25">
      <c r="A15090" s="157">
        <v>43762</v>
      </c>
      <c r="B15090" s="158">
        <v>2.08</v>
      </c>
    </row>
    <row r="15091" spans="1:2" x14ac:dyDescent="0.25">
      <c r="A15091" s="157">
        <v>43763</v>
      </c>
      <c r="B15091" s="158">
        <v>2.1</v>
      </c>
    </row>
    <row r="15092" spans="1:2" x14ac:dyDescent="0.25">
      <c r="A15092" s="157">
        <v>43766</v>
      </c>
      <c r="B15092" s="158">
        <v>2.16</v>
      </c>
    </row>
    <row r="15093" spans="1:2" x14ac:dyDescent="0.25">
      <c r="A15093" s="157">
        <v>43767</v>
      </c>
      <c r="B15093" s="158">
        <v>2.15</v>
      </c>
    </row>
    <row r="15094" spans="1:2" x14ac:dyDescent="0.25">
      <c r="A15094" s="157">
        <v>43768</v>
      </c>
      <c r="B15094" s="158">
        <v>2.08</v>
      </c>
    </row>
    <row r="15095" spans="1:2" x14ac:dyDescent="0.25">
      <c r="A15095" s="157">
        <v>43769</v>
      </c>
      <c r="B15095" s="158">
        <v>2</v>
      </c>
    </row>
    <row r="15096" spans="1:2" x14ac:dyDescent="0.25">
      <c r="A15096" s="157">
        <v>43770</v>
      </c>
      <c r="B15096" s="158">
        <v>2.0299999999999998</v>
      </c>
    </row>
    <row r="15097" spans="1:2" x14ac:dyDescent="0.25">
      <c r="A15097" s="157">
        <v>43773</v>
      </c>
      <c r="B15097" s="158">
        <v>2.1</v>
      </c>
    </row>
    <row r="15098" spans="1:2" x14ac:dyDescent="0.25">
      <c r="A15098" s="157">
        <v>43774</v>
      </c>
      <c r="B15098" s="158">
        <v>2.17</v>
      </c>
    </row>
    <row r="15099" spans="1:2" x14ac:dyDescent="0.25">
      <c r="A15099" s="157">
        <v>43775</v>
      </c>
      <c r="B15099" s="158">
        <v>2.13</v>
      </c>
    </row>
    <row r="15100" spans="1:2" x14ac:dyDescent="0.25">
      <c r="A15100" s="157">
        <v>43776</v>
      </c>
      <c r="B15100" s="158">
        <v>2.2400000000000002</v>
      </c>
    </row>
    <row r="15101" spans="1:2" x14ac:dyDescent="0.25">
      <c r="A15101" s="157">
        <v>43777</v>
      </c>
      <c r="B15101" s="158">
        <v>2.27</v>
      </c>
    </row>
    <row r="15102" spans="1:2" x14ac:dyDescent="0.25">
      <c r="A15102" s="157">
        <v>43780</v>
      </c>
      <c r="B15102" s="158" t="e">
        <f>NA()</f>
        <v>#N/A</v>
      </c>
    </row>
    <row r="15103" spans="1:2" x14ac:dyDescent="0.25">
      <c r="A15103" s="157">
        <v>43781</v>
      </c>
      <c r="B15103" s="158">
        <v>2.2400000000000002</v>
      </c>
    </row>
    <row r="15104" spans="1:2" x14ac:dyDescent="0.25">
      <c r="A15104" s="157">
        <v>43782</v>
      </c>
      <c r="B15104" s="158">
        <v>2.2000000000000002</v>
      </c>
    </row>
    <row r="15105" spans="1:2" x14ac:dyDescent="0.25">
      <c r="A15105" s="157">
        <v>43783</v>
      </c>
      <c r="B15105" s="158">
        <v>2.15</v>
      </c>
    </row>
    <row r="15106" spans="1:2" x14ac:dyDescent="0.25">
      <c r="A15106" s="157">
        <v>43784</v>
      </c>
      <c r="B15106" s="158">
        <v>2.16</v>
      </c>
    </row>
    <row r="15107" spans="1:2" x14ac:dyDescent="0.25">
      <c r="A15107" s="157">
        <v>43787</v>
      </c>
      <c r="B15107" s="158">
        <v>2.14</v>
      </c>
    </row>
    <row r="15108" spans="1:2" x14ac:dyDescent="0.25">
      <c r="A15108" s="157">
        <v>43788</v>
      </c>
      <c r="B15108" s="158">
        <v>2.11</v>
      </c>
    </row>
    <row r="15109" spans="1:2" x14ac:dyDescent="0.25">
      <c r="A15109" s="157">
        <v>43789</v>
      </c>
      <c r="B15109" s="158">
        <v>2.0499999999999998</v>
      </c>
    </row>
    <row r="15110" spans="1:2" x14ac:dyDescent="0.25">
      <c r="A15110" s="157">
        <v>43790</v>
      </c>
      <c r="B15110" s="158">
        <v>2.09</v>
      </c>
    </row>
    <row r="15111" spans="1:2" x14ac:dyDescent="0.25">
      <c r="A15111" s="157">
        <v>43791</v>
      </c>
      <c r="B15111" s="158">
        <v>2.08</v>
      </c>
    </row>
    <row r="15112" spans="1:2" x14ac:dyDescent="0.25">
      <c r="A15112" s="157">
        <v>43794</v>
      </c>
      <c r="B15112" s="158">
        <v>2.0699999999999998</v>
      </c>
    </row>
    <row r="15113" spans="1:2" x14ac:dyDescent="0.25">
      <c r="A15113" s="157">
        <v>43795</v>
      </c>
      <c r="B15113" s="158">
        <v>2.04</v>
      </c>
    </row>
    <row r="15114" spans="1:2" x14ac:dyDescent="0.25">
      <c r="A15114" s="157">
        <v>43796</v>
      </c>
      <c r="B15114" s="158">
        <v>2.06</v>
      </c>
    </row>
    <row r="15115" spans="1:2" x14ac:dyDescent="0.25">
      <c r="A15115" s="157">
        <v>43797</v>
      </c>
      <c r="B15115" s="158" t="e">
        <f>NA()</f>
        <v>#N/A</v>
      </c>
    </row>
    <row r="15116" spans="1:2" x14ac:dyDescent="0.25">
      <c r="A15116" s="157">
        <v>43798</v>
      </c>
      <c r="B15116" s="158">
        <v>2.0699999999999998</v>
      </c>
    </row>
    <row r="15117" spans="1:2" x14ac:dyDescent="0.25">
      <c r="A15117" s="157">
        <v>43801</v>
      </c>
      <c r="B15117" s="158">
        <v>2.15</v>
      </c>
    </row>
    <row r="15118" spans="1:2" x14ac:dyDescent="0.25">
      <c r="A15118" s="157">
        <v>43802</v>
      </c>
      <c r="B15118" s="158">
        <v>2.0299999999999998</v>
      </c>
    </row>
    <row r="15119" spans="1:2" x14ac:dyDescent="0.25">
      <c r="A15119" s="157">
        <v>43803</v>
      </c>
      <c r="B15119" s="158">
        <v>2.08</v>
      </c>
    </row>
    <row r="15120" spans="1:2" x14ac:dyDescent="0.25">
      <c r="A15120" s="157">
        <v>43804</v>
      </c>
      <c r="B15120" s="158">
        <v>2.11</v>
      </c>
    </row>
    <row r="15121" spans="1:2" x14ac:dyDescent="0.25">
      <c r="A15121" s="157">
        <v>43805</v>
      </c>
      <c r="B15121" s="158">
        <v>2.14</v>
      </c>
    </row>
    <row r="15122" spans="1:2" x14ac:dyDescent="0.25">
      <c r="A15122" s="157">
        <v>43808</v>
      </c>
      <c r="B15122" s="158">
        <v>2.13</v>
      </c>
    </row>
    <row r="15123" spans="1:2" x14ac:dyDescent="0.25">
      <c r="A15123" s="157">
        <v>43809</v>
      </c>
      <c r="B15123" s="158">
        <v>2.12</v>
      </c>
    </row>
    <row r="15124" spans="1:2" x14ac:dyDescent="0.25">
      <c r="A15124" s="157">
        <v>43810</v>
      </c>
      <c r="B15124" s="158">
        <v>2.08</v>
      </c>
    </row>
    <row r="15125" spans="1:2" x14ac:dyDescent="0.25">
      <c r="A15125" s="157">
        <v>43811</v>
      </c>
      <c r="B15125" s="158">
        <v>2.1800000000000002</v>
      </c>
    </row>
    <row r="15126" spans="1:2" x14ac:dyDescent="0.25">
      <c r="A15126" s="157">
        <v>43812</v>
      </c>
      <c r="B15126" s="158">
        <v>2.11</v>
      </c>
    </row>
    <row r="15127" spans="1:2" x14ac:dyDescent="0.25">
      <c r="A15127" s="157">
        <v>43815</v>
      </c>
      <c r="B15127" s="158">
        <v>2.17</v>
      </c>
    </row>
    <row r="15128" spans="1:2" x14ac:dyDescent="0.25">
      <c r="A15128" s="157">
        <v>43816</v>
      </c>
      <c r="B15128" s="158">
        <v>2.1800000000000002</v>
      </c>
    </row>
    <row r="15129" spans="1:2" x14ac:dyDescent="0.25">
      <c r="A15129" s="157">
        <v>43817</v>
      </c>
      <c r="B15129" s="158">
        <v>2.2200000000000002</v>
      </c>
    </row>
    <row r="15130" spans="1:2" x14ac:dyDescent="0.25">
      <c r="A15130" s="157">
        <v>43818</v>
      </c>
      <c r="B15130" s="158">
        <v>2.21</v>
      </c>
    </row>
    <row r="15131" spans="1:2" x14ac:dyDescent="0.25">
      <c r="A15131" s="157">
        <v>43819</v>
      </c>
      <c r="B15131" s="158">
        <v>2.21</v>
      </c>
    </row>
    <row r="15132" spans="1:2" x14ac:dyDescent="0.25">
      <c r="A15132" s="157">
        <v>43822</v>
      </c>
      <c r="B15132" s="158">
        <v>2.2200000000000002</v>
      </c>
    </row>
    <row r="15133" spans="1:2" x14ac:dyDescent="0.25">
      <c r="A15133" s="157">
        <v>43823</v>
      </c>
      <c r="B15133" s="158">
        <v>2.2000000000000002</v>
      </c>
    </row>
    <row r="15134" spans="1:2" x14ac:dyDescent="0.25">
      <c r="A15134" s="157">
        <v>43824</v>
      </c>
      <c r="B15134" s="158" t="e">
        <f>NA()</f>
        <v>#N/A</v>
      </c>
    </row>
    <row r="15135" spans="1:2" x14ac:dyDescent="0.25">
      <c r="A15135" s="157">
        <v>43825</v>
      </c>
      <c r="B15135" s="158">
        <v>2.19</v>
      </c>
    </row>
    <row r="15136" spans="1:2" x14ac:dyDescent="0.25">
      <c r="A15136" s="157">
        <v>43826</v>
      </c>
      <c r="B15136" s="158">
        <v>2.1800000000000002</v>
      </c>
    </row>
    <row r="15137" spans="1:2" x14ac:dyDescent="0.25">
      <c r="A15137" s="157">
        <v>43829</v>
      </c>
      <c r="B15137" s="158">
        <v>2.21</v>
      </c>
    </row>
    <row r="15138" spans="1:2" x14ac:dyDescent="0.25">
      <c r="A15138" s="157">
        <v>43830</v>
      </c>
      <c r="B15138" s="158">
        <v>2.25</v>
      </c>
    </row>
    <row r="15139" spans="1:2" x14ac:dyDescent="0.25">
      <c r="A15139" s="157">
        <v>43831</v>
      </c>
      <c r="B15139" s="158" t="e">
        <f>NA()</f>
        <v>#N/A</v>
      </c>
    </row>
    <row r="15140" spans="1:2" x14ac:dyDescent="0.25">
      <c r="A15140" s="157">
        <v>43832</v>
      </c>
      <c r="B15140" s="158">
        <v>2.19</v>
      </c>
    </row>
    <row r="15141" spans="1:2" x14ac:dyDescent="0.25">
      <c r="A15141" s="157">
        <v>43833</v>
      </c>
      <c r="B15141" s="158">
        <v>2.11</v>
      </c>
    </row>
    <row r="15142" spans="1:2" x14ac:dyDescent="0.25">
      <c r="A15142" s="157">
        <v>43836</v>
      </c>
      <c r="B15142" s="158">
        <v>2.13</v>
      </c>
    </row>
    <row r="15143" spans="1:2" x14ac:dyDescent="0.25">
      <c r="A15143" s="157">
        <v>43837</v>
      </c>
      <c r="B15143" s="158">
        <v>2.16</v>
      </c>
    </row>
    <row r="15144" spans="1:2" x14ac:dyDescent="0.25">
      <c r="A15144" s="157">
        <v>43838</v>
      </c>
      <c r="B15144" s="158">
        <v>2.21</v>
      </c>
    </row>
    <row r="15145" spans="1:2" x14ac:dyDescent="0.25">
      <c r="A15145" s="157">
        <v>43839</v>
      </c>
      <c r="B15145" s="158">
        <v>2.17</v>
      </c>
    </row>
    <row r="15146" spans="1:2" x14ac:dyDescent="0.25">
      <c r="A15146" s="157">
        <v>43840</v>
      </c>
      <c r="B15146" s="158">
        <v>2.14</v>
      </c>
    </row>
    <row r="15147" spans="1:2" x14ac:dyDescent="0.25">
      <c r="A15147" s="157">
        <v>43843</v>
      </c>
      <c r="B15147" s="158">
        <v>2.16</v>
      </c>
    </row>
    <row r="15148" spans="1:2" x14ac:dyDescent="0.25">
      <c r="A15148" s="157">
        <v>43844</v>
      </c>
      <c r="B15148" s="158">
        <v>2.12</v>
      </c>
    </row>
    <row r="15149" spans="1:2" x14ac:dyDescent="0.25">
      <c r="A15149" s="157">
        <v>43845</v>
      </c>
      <c r="B15149" s="158">
        <v>2.09</v>
      </c>
    </row>
    <row r="15150" spans="1:2" x14ac:dyDescent="0.25">
      <c r="A15150" s="157">
        <v>43846</v>
      </c>
      <c r="B15150" s="158">
        <v>2.11</v>
      </c>
    </row>
    <row r="15151" spans="1:2" x14ac:dyDescent="0.25">
      <c r="A15151" s="157">
        <v>43847</v>
      </c>
      <c r="B15151" s="158">
        <v>2.16</v>
      </c>
    </row>
    <row r="15152" spans="1:2" x14ac:dyDescent="0.25">
      <c r="A15152" s="157">
        <v>43850</v>
      </c>
      <c r="B15152" s="158" t="e">
        <f>NA()</f>
        <v>#N/A</v>
      </c>
    </row>
    <row r="15153" spans="1:2" x14ac:dyDescent="0.25">
      <c r="A15153" s="157">
        <v>43851</v>
      </c>
      <c r="B15153" s="158">
        <v>2.1</v>
      </c>
    </row>
    <row r="15154" spans="1:2" x14ac:dyDescent="0.25">
      <c r="A15154" s="157">
        <v>43852</v>
      </c>
      <c r="B15154" s="158">
        <v>2.0699999999999998</v>
      </c>
    </row>
    <row r="15155" spans="1:2" x14ac:dyDescent="0.25">
      <c r="A15155" s="157">
        <v>43853</v>
      </c>
      <c r="B15155" s="158">
        <v>2.0299999999999998</v>
      </c>
    </row>
    <row r="15156" spans="1:2" x14ac:dyDescent="0.25">
      <c r="A15156" s="157">
        <v>43854</v>
      </c>
      <c r="B15156" s="158">
        <v>2</v>
      </c>
    </row>
    <row r="15157" spans="1:2" x14ac:dyDescent="0.25">
      <c r="A15157" s="157">
        <v>43857</v>
      </c>
      <c r="B15157" s="158">
        <v>1.91</v>
      </c>
    </row>
    <row r="15158" spans="1:2" x14ac:dyDescent="0.25">
      <c r="A15158" s="157">
        <v>43858</v>
      </c>
      <c r="B15158" s="158">
        <v>1.95</v>
      </c>
    </row>
    <row r="15159" spans="1:2" x14ac:dyDescent="0.25">
      <c r="A15159" s="157">
        <v>43859</v>
      </c>
      <c r="B15159" s="158">
        <v>1.89</v>
      </c>
    </row>
    <row r="15160" spans="1:2" x14ac:dyDescent="0.25">
      <c r="A15160" s="157">
        <v>43860</v>
      </c>
      <c r="B15160" s="158">
        <v>1.88</v>
      </c>
    </row>
    <row r="15161" spans="1:2" x14ac:dyDescent="0.25">
      <c r="A15161" s="157">
        <v>43861</v>
      </c>
      <c r="B15161" s="158">
        <v>1.83</v>
      </c>
    </row>
    <row r="15162" spans="1:2" x14ac:dyDescent="0.25">
      <c r="A15162" s="157">
        <v>43864</v>
      </c>
      <c r="B15162" s="158">
        <v>1.84</v>
      </c>
    </row>
    <row r="15163" spans="1:2" x14ac:dyDescent="0.25">
      <c r="A15163" s="157">
        <v>43865</v>
      </c>
      <c r="B15163" s="158">
        <v>1.91</v>
      </c>
    </row>
    <row r="15164" spans="1:2" x14ac:dyDescent="0.25">
      <c r="A15164" s="157">
        <v>43866</v>
      </c>
      <c r="B15164" s="158">
        <v>1.97</v>
      </c>
    </row>
    <row r="15165" spans="1:2" x14ac:dyDescent="0.25">
      <c r="A15165" s="157">
        <v>43867</v>
      </c>
      <c r="B15165" s="158">
        <v>1.94</v>
      </c>
    </row>
    <row r="15166" spans="1:2" x14ac:dyDescent="0.25">
      <c r="A15166" s="157">
        <v>43868</v>
      </c>
      <c r="B15166" s="158">
        <v>1.89</v>
      </c>
    </row>
    <row r="15167" spans="1:2" x14ac:dyDescent="0.25">
      <c r="A15167" s="157">
        <v>43871</v>
      </c>
      <c r="B15167" s="158">
        <v>1.87</v>
      </c>
    </row>
    <row r="15168" spans="1:2" x14ac:dyDescent="0.25">
      <c r="A15168" s="157">
        <v>43872</v>
      </c>
      <c r="B15168" s="158">
        <v>1.89</v>
      </c>
    </row>
    <row r="15169" spans="1:2" x14ac:dyDescent="0.25">
      <c r="A15169" s="157">
        <v>43873</v>
      </c>
      <c r="B15169" s="158">
        <v>1.93</v>
      </c>
    </row>
    <row r="15170" spans="1:2" x14ac:dyDescent="0.25">
      <c r="A15170" s="157">
        <v>43874</v>
      </c>
      <c r="B15170" s="158">
        <v>1.91</v>
      </c>
    </row>
    <row r="15171" spans="1:2" x14ac:dyDescent="0.25">
      <c r="A15171" s="157">
        <v>43875</v>
      </c>
      <c r="B15171" s="158">
        <v>1.89</v>
      </c>
    </row>
    <row r="15172" spans="1:2" x14ac:dyDescent="0.25">
      <c r="A15172" s="157">
        <v>43878</v>
      </c>
      <c r="B15172" s="158" t="e">
        <f>NA()</f>
        <v>#N/A</v>
      </c>
    </row>
    <row r="15173" spans="1:2" x14ac:dyDescent="0.25">
      <c r="A15173" s="157">
        <v>43879</v>
      </c>
      <c r="B15173" s="158">
        <v>1.85</v>
      </c>
    </row>
    <row r="15174" spans="1:2" x14ac:dyDescent="0.25">
      <c r="A15174" s="157">
        <v>43880</v>
      </c>
      <c r="B15174" s="158">
        <v>1.86</v>
      </c>
    </row>
    <row r="15175" spans="1:2" x14ac:dyDescent="0.25">
      <c r="A15175" s="157">
        <v>43881</v>
      </c>
      <c r="B15175" s="158">
        <v>1.81</v>
      </c>
    </row>
    <row r="15176" spans="1:2" x14ac:dyDescent="0.25">
      <c r="A15176" s="157">
        <v>43882</v>
      </c>
      <c r="B15176" s="158">
        <v>1.75</v>
      </c>
    </row>
    <row r="15177" spans="1:2" x14ac:dyDescent="0.25">
      <c r="A15177" s="157">
        <v>43885</v>
      </c>
      <c r="B15177" s="158">
        <v>1.68</v>
      </c>
    </row>
    <row r="15178" spans="1:2" x14ac:dyDescent="0.25">
      <c r="A15178" s="157">
        <v>43886</v>
      </c>
      <c r="B15178" s="158">
        <v>1.63</v>
      </c>
    </row>
    <row r="15179" spans="1:2" x14ac:dyDescent="0.25">
      <c r="A15179" s="157">
        <v>43887</v>
      </c>
      <c r="B15179" s="158">
        <v>1.64</v>
      </c>
    </row>
    <row r="15180" spans="1:2" x14ac:dyDescent="0.25">
      <c r="A15180" s="157">
        <v>43888</v>
      </c>
      <c r="B15180" s="158">
        <v>1.61</v>
      </c>
    </row>
    <row r="15181" spans="1:2" x14ac:dyDescent="0.25">
      <c r="A15181" s="157">
        <v>43889</v>
      </c>
      <c r="B15181" s="158">
        <v>1.46</v>
      </c>
    </row>
    <row r="15182" spans="1:2" x14ac:dyDescent="0.25">
      <c r="A15182" s="157">
        <v>43892</v>
      </c>
      <c r="B15182" s="158">
        <v>1.46</v>
      </c>
    </row>
    <row r="15183" spans="1:2" x14ac:dyDescent="0.25">
      <c r="A15183" s="157">
        <v>43893</v>
      </c>
      <c r="B15183" s="158">
        <v>1.44</v>
      </c>
    </row>
    <row r="15184" spans="1:2" x14ac:dyDescent="0.25">
      <c r="A15184" s="157">
        <v>43894</v>
      </c>
      <c r="B15184" s="158">
        <v>1.45</v>
      </c>
    </row>
    <row r="15185" spans="1:2" x14ac:dyDescent="0.25">
      <c r="A15185" s="157">
        <v>43895</v>
      </c>
      <c r="B15185" s="158">
        <v>1.34</v>
      </c>
    </row>
    <row r="15186" spans="1:2" x14ac:dyDescent="0.25">
      <c r="A15186" s="157">
        <v>43896</v>
      </c>
      <c r="B15186" s="158">
        <v>1.0900000000000001</v>
      </c>
    </row>
    <row r="15187" spans="1:2" x14ac:dyDescent="0.25">
      <c r="A15187" s="157">
        <v>43899</v>
      </c>
      <c r="B15187" s="158">
        <v>0.87</v>
      </c>
    </row>
    <row r="15188" spans="1:2" x14ac:dyDescent="0.25">
      <c r="A15188" s="157">
        <v>43900</v>
      </c>
      <c r="B15188" s="158">
        <v>1.1599999999999999</v>
      </c>
    </row>
    <row r="15189" spans="1:2" x14ac:dyDescent="0.25">
      <c r="A15189" s="157">
        <v>43901</v>
      </c>
      <c r="B15189" s="158">
        <v>1.1299999999999999</v>
      </c>
    </row>
    <row r="15190" spans="1:2" x14ac:dyDescent="0.25">
      <c r="A15190" s="157">
        <v>43902</v>
      </c>
      <c r="B15190" s="158">
        <v>1.27</v>
      </c>
    </row>
    <row r="15191" spans="1:2" x14ac:dyDescent="0.25">
      <c r="A15191" s="157">
        <v>43903</v>
      </c>
      <c r="B15191" s="158">
        <v>1.31</v>
      </c>
    </row>
    <row r="15192" spans="1:2" x14ac:dyDescent="0.25">
      <c r="A15192" s="157">
        <v>43906</v>
      </c>
      <c r="B15192" s="158">
        <v>1.1000000000000001</v>
      </c>
    </row>
    <row r="15193" spans="1:2" x14ac:dyDescent="0.25">
      <c r="A15193" s="157">
        <v>43907</v>
      </c>
      <c r="B15193" s="158">
        <v>1.45</v>
      </c>
    </row>
    <row r="15194" spans="1:2" x14ac:dyDescent="0.25">
      <c r="A15194" s="157">
        <v>43908</v>
      </c>
      <c r="B15194" s="158">
        <v>1.6</v>
      </c>
    </row>
    <row r="15195" spans="1:2" x14ac:dyDescent="0.25">
      <c r="A15195" s="157">
        <v>43909</v>
      </c>
      <c r="B15195" s="158">
        <v>1.56</v>
      </c>
    </row>
    <row r="15196" spans="1:2" x14ac:dyDescent="0.25">
      <c r="A15196" s="157">
        <v>43910</v>
      </c>
      <c r="B15196" s="158">
        <v>1.35</v>
      </c>
    </row>
    <row r="15197" spans="1:2" x14ac:dyDescent="0.25">
      <c r="A15197" s="157">
        <v>43913</v>
      </c>
      <c r="B15197" s="158">
        <v>1.1200000000000001</v>
      </c>
    </row>
    <row r="15198" spans="1:2" x14ac:dyDescent="0.25">
      <c r="A15198" s="157">
        <v>43914</v>
      </c>
      <c r="B15198" s="158">
        <v>1.19</v>
      </c>
    </row>
    <row r="15199" spans="1:2" x14ac:dyDescent="0.25">
      <c r="A15199" s="157">
        <v>43915</v>
      </c>
      <c r="B15199" s="158">
        <v>1.23</v>
      </c>
    </row>
    <row r="15200" spans="1:2" x14ac:dyDescent="0.25">
      <c r="A15200" s="157">
        <v>43916</v>
      </c>
      <c r="B15200" s="158">
        <v>1.2</v>
      </c>
    </row>
    <row r="15201" spans="1:2" x14ac:dyDescent="0.25">
      <c r="A15201" s="157">
        <v>43917</v>
      </c>
      <c r="B15201" s="158">
        <v>1.0900000000000001</v>
      </c>
    </row>
    <row r="15202" spans="1:2" x14ac:dyDescent="0.25">
      <c r="A15202" s="157">
        <v>43920</v>
      </c>
      <c r="B15202" s="158">
        <v>1.1000000000000001</v>
      </c>
    </row>
    <row r="15203" spans="1:2" x14ac:dyDescent="0.25">
      <c r="A15203" s="157">
        <v>43921</v>
      </c>
      <c r="B15203" s="158">
        <v>1.1499999999999999</v>
      </c>
    </row>
    <row r="15204" spans="1:2" x14ac:dyDescent="0.25">
      <c r="A15204" s="157">
        <v>43922</v>
      </c>
      <c r="B15204" s="158">
        <v>1.04</v>
      </c>
    </row>
    <row r="15205" spans="1:2" x14ac:dyDescent="0.25">
      <c r="A15205" s="157">
        <v>43923</v>
      </c>
      <c r="B15205" s="158">
        <v>1.04</v>
      </c>
    </row>
    <row r="15206" spans="1:2" x14ac:dyDescent="0.25">
      <c r="A15206" s="157">
        <v>43924</v>
      </c>
      <c r="B15206" s="158">
        <v>1.05</v>
      </c>
    </row>
    <row r="15207" spans="1:2" x14ac:dyDescent="0.25">
      <c r="A15207" s="157">
        <v>43927</v>
      </c>
      <c r="B15207" s="158">
        <v>1.08</v>
      </c>
    </row>
    <row r="15208" spans="1:2" x14ac:dyDescent="0.25">
      <c r="A15208" s="157">
        <v>43928</v>
      </c>
      <c r="B15208" s="158">
        <v>1.1299999999999999</v>
      </c>
    </row>
    <row r="15209" spans="1:2" x14ac:dyDescent="0.25">
      <c r="A15209" s="157">
        <v>43929</v>
      </c>
      <c r="B15209" s="158">
        <v>1.18</v>
      </c>
    </row>
    <row r="15210" spans="1:2" x14ac:dyDescent="0.25">
      <c r="A15210" s="157">
        <v>43930</v>
      </c>
      <c r="B15210" s="158">
        <v>1.1499999999999999</v>
      </c>
    </row>
    <row r="15211" spans="1:2" x14ac:dyDescent="0.25">
      <c r="A15211" s="157">
        <v>43931</v>
      </c>
      <c r="B15211" s="158" t="e">
        <f>NA()</f>
        <v>#N/A</v>
      </c>
    </row>
    <row r="15212" spans="1:2" x14ac:dyDescent="0.25">
      <c r="A15212" s="157">
        <v>43934</v>
      </c>
      <c r="B15212" s="158">
        <v>1.19</v>
      </c>
    </row>
    <row r="15213" spans="1:2" x14ac:dyDescent="0.25">
      <c r="A15213" s="157">
        <v>43935</v>
      </c>
      <c r="B15213" s="158">
        <v>1.19</v>
      </c>
    </row>
    <row r="15214" spans="1:2" x14ac:dyDescent="0.25">
      <c r="A15214" s="157">
        <v>43936</v>
      </c>
      <c r="B15214" s="158">
        <v>1.06</v>
      </c>
    </row>
    <row r="15215" spans="1:2" x14ac:dyDescent="0.25">
      <c r="A15215" s="157">
        <v>43937</v>
      </c>
      <c r="B15215" s="158">
        <v>1.01</v>
      </c>
    </row>
    <row r="15216" spans="1:2" x14ac:dyDescent="0.25">
      <c r="A15216" s="157">
        <v>43938</v>
      </c>
      <c r="B15216" s="158">
        <v>1.08</v>
      </c>
    </row>
    <row r="15217" spans="1:2" x14ac:dyDescent="0.25">
      <c r="A15217" s="157">
        <v>43941</v>
      </c>
      <c r="B15217" s="158">
        <v>1.04</v>
      </c>
    </row>
    <row r="15218" spans="1:2" x14ac:dyDescent="0.25">
      <c r="A15218" s="157">
        <v>43942</v>
      </c>
      <c r="B15218" s="158">
        <v>0.98</v>
      </c>
    </row>
    <row r="15219" spans="1:2" x14ac:dyDescent="0.25">
      <c r="A15219" s="157">
        <v>43943</v>
      </c>
      <c r="B15219" s="158">
        <v>1.03</v>
      </c>
    </row>
    <row r="15220" spans="1:2" x14ac:dyDescent="0.25">
      <c r="A15220" s="157">
        <v>43944</v>
      </c>
      <c r="B15220" s="158">
        <v>0.99</v>
      </c>
    </row>
    <row r="15221" spans="1:2" x14ac:dyDescent="0.25">
      <c r="A15221" s="157">
        <v>43945</v>
      </c>
      <c r="B15221" s="158">
        <v>0.98</v>
      </c>
    </row>
    <row r="15222" spans="1:2" x14ac:dyDescent="0.25">
      <c r="A15222" s="157">
        <v>43948</v>
      </c>
      <c r="B15222" s="158">
        <v>1.06</v>
      </c>
    </row>
    <row r="15223" spans="1:2" x14ac:dyDescent="0.25">
      <c r="A15223" s="157">
        <v>43949</v>
      </c>
      <c r="B15223" s="158">
        <v>1</v>
      </c>
    </row>
    <row r="15224" spans="1:2" x14ac:dyDescent="0.25">
      <c r="A15224" s="157">
        <v>43950</v>
      </c>
      <c r="B15224" s="158">
        <v>1.02</v>
      </c>
    </row>
    <row r="15225" spans="1:2" x14ac:dyDescent="0.25">
      <c r="A15225" s="157">
        <v>43951</v>
      </c>
      <c r="B15225" s="158">
        <v>1.05</v>
      </c>
    </row>
    <row r="15226" spans="1:2" x14ac:dyDescent="0.25">
      <c r="A15226" s="157">
        <v>43952</v>
      </c>
      <c r="B15226" s="158">
        <v>1.04</v>
      </c>
    </row>
    <row r="15227" spans="1:2" x14ac:dyDescent="0.25">
      <c r="A15227" s="157">
        <v>43955</v>
      </c>
      <c r="B15227" s="158">
        <v>1.05</v>
      </c>
    </row>
    <row r="15228" spans="1:2" x14ac:dyDescent="0.25">
      <c r="A15228" s="157">
        <v>43956</v>
      </c>
      <c r="B15228" s="158">
        <v>1.07</v>
      </c>
    </row>
    <row r="15229" spans="1:2" x14ac:dyDescent="0.25">
      <c r="A15229" s="157">
        <v>43957</v>
      </c>
      <c r="B15229" s="158">
        <v>1.1599999999999999</v>
      </c>
    </row>
    <row r="15230" spans="1:2" x14ac:dyDescent="0.25">
      <c r="A15230" s="157">
        <v>43958</v>
      </c>
      <c r="B15230" s="158">
        <v>1.05</v>
      </c>
    </row>
    <row r="15231" spans="1:2" x14ac:dyDescent="0.25">
      <c r="A15231" s="157">
        <v>43959</v>
      </c>
      <c r="B15231" s="158">
        <v>1.1200000000000001</v>
      </c>
    </row>
    <row r="15232" spans="1:2" x14ac:dyDescent="0.25">
      <c r="A15232" s="157">
        <v>43962</v>
      </c>
      <c r="B15232" s="158">
        <v>1.1599999999999999</v>
      </c>
    </row>
    <row r="15233" spans="1:2" x14ac:dyDescent="0.25">
      <c r="A15233" s="157">
        <v>43963</v>
      </c>
      <c r="B15233" s="158">
        <v>1.1100000000000001</v>
      </c>
    </row>
    <row r="15234" spans="1:2" x14ac:dyDescent="0.25">
      <c r="A15234" s="157">
        <v>43964</v>
      </c>
      <c r="B15234" s="158">
        <v>1.07</v>
      </c>
    </row>
    <row r="15235" spans="1:2" x14ac:dyDescent="0.25">
      <c r="A15235" s="157">
        <v>43965</v>
      </c>
      <c r="B15235" s="158">
        <v>1.03</v>
      </c>
    </row>
    <row r="15236" spans="1:2" x14ac:dyDescent="0.25">
      <c r="A15236" s="157">
        <v>43966</v>
      </c>
      <c r="B15236" s="158">
        <v>1.05</v>
      </c>
    </row>
    <row r="15237" spans="1:2" x14ac:dyDescent="0.25">
      <c r="A15237" s="157">
        <v>43969</v>
      </c>
      <c r="B15237" s="158">
        <v>1.17</v>
      </c>
    </row>
    <row r="15238" spans="1:2" x14ac:dyDescent="0.25">
      <c r="A15238" s="157">
        <v>43970</v>
      </c>
      <c r="B15238" s="158">
        <v>1.1499999999999999</v>
      </c>
    </row>
    <row r="15239" spans="1:2" x14ac:dyDescent="0.25">
      <c r="A15239" s="157">
        <v>43971</v>
      </c>
      <c r="B15239" s="158">
        <v>1.19</v>
      </c>
    </row>
    <row r="15240" spans="1:2" x14ac:dyDescent="0.25">
      <c r="A15240" s="157">
        <v>43972</v>
      </c>
      <c r="B15240" s="158">
        <v>1.1599999999999999</v>
      </c>
    </row>
    <row r="15241" spans="1:2" x14ac:dyDescent="0.25">
      <c r="A15241" s="157">
        <v>43973</v>
      </c>
      <c r="B15241" s="158">
        <v>1.1200000000000001</v>
      </c>
    </row>
    <row r="15242" spans="1:2" x14ac:dyDescent="0.25">
      <c r="A15242" s="157">
        <v>43976</v>
      </c>
      <c r="B15242" s="158" t="e">
        <f>NA()</f>
        <v>#N/A</v>
      </c>
    </row>
    <row r="15243" spans="1:2" x14ac:dyDescent="0.25">
      <c r="A15243" s="157">
        <v>43977</v>
      </c>
      <c r="B15243" s="158">
        <v>1.19</v>
      </c>
    </row>
    <row r="15244" spans="1:2" x14ac:dyDescent="0.25">
      <c r="A15244" s="157">
        <v>43978</v>
      </c>
      <c r="B15244" s="158">
        <v>1.19</v>
      </c>
    </row>
    <row r="15245" spans="1:2" x14ac:dyDescent="0.25">
      <c r="A15245" s="157">
        <v>43979</v>
      </c>
      <c r="B15245" s="158">
        <v>1.23</v>
      </c>
    </row>
    <row r="15246" spans="1:2" x14ac:dyDescent="0.25">
      <c r="A15246" s="157">
        <v>43980</v>
      </c>
      <c r="B15246" s="158">
        <v>1.18</v>
      </c>
    </row>
    <row r="15247" spans="1:2" x14ac:dyDescent="0.25">
      <c r="A15247" s="157">
        <v>43983</v>
      </c>
      <c r="B15247" s="158">
        <v>1.22</v>
      </c>
    </row>
    <row r="15248" spans="1:2" x14ac:dyDescent="0.25">
      <c r="A15248" s="157">
        <v>43984</v>
      </c>
      <c r="B15248" s="158">
        <v>1.24</v>
      </c>
    </row>
    <row r="15249" spans="1:2" x14ac:dyDescent="0.25">
      <c r="A15249" s="157">
        <v>43985</v>
      </c>
      <c r="B15249" s="158">
        <v>1.32</v>
      </c>
    </row>
    <row r="15250" spans="1:2" x14ac:dyDescent="0.25">
      <c r="A15250" s="157">
        <v>43986</v>
      </c>
      <c r="B15250" s="158">
        <v>1.38</v>
      </c>
    </row>
    <row r="15251" spans="1:2" x14ac:dyDescent="0.25">
      <c r="A15251" s="157">
        <v>43987</v>
      </c>
      <c r="B15251" s="158">
        <v>1.46</v>
      </c>
    </row>
    <row r="15252" spans="1:2" x14ac:dyDescent="0.25">
      <c r="A15252" s="157">
        <v>43990</v>
      </c>
      <c r="B15252" s="158">
        <v>1.43</v>
      </c>
    </row>
    <row r="15253" spans="1:2" x14ac:dyDescent="0.25">
      <c r="A15253" s="157">
        <v>43991</v>
      </c>
      <c r="B15253" s="158">
        <v>1.37</v>
      </c>
    </row>
    <row r="15254" spans="1:2" x14ac:dyDescent="0.25">
      <c r="A15254" s="157">
        <v>43992</v>
      </c>
      <c r="B15254" s="158">
        <v>1.31</v>
      </c>
    </row>
    <row r="15255" spans="1:2" x14ac:dyDescent="0.25">
      <c r="A15255" s="157">
        <v>43993</v>
      </c>
      <c r="B15255" s="158">
        <v>1.19</v>
      </c>
    </row>
    <row r="15256" spans="1:2" x14ac:dyDescent="0.25">
      <c r="A15256" s="157">
        <v>43994</v>
      </c>
      <c r="B15256" s="158">
        <v>1.24</v>
      </c>
    </row>
    <row r="15257" spans="1:2" x14ac:dyDescent="0.25">
      <c r="A15257" s="157">
        <v>43997</v>
      </c>
      <c r="B15257" s="158">
        <v>1.24</v>
      </c>
    </row>
    <row r="15258" spans="1:2" x14ac:dyDescent="0.25">
      <c r="A15258" s="157">
        <v>43998</v>
      </c>
      <c r="B15258" s="158">
        <v>1.31</v>
      </c>
    </row>
    <row r="15259" spans="1:2" x14ac:dyDescent="0.25">
      <c r="A15259" s="157">
        <v>43999</v>
      </c>
      <c r="B15259" s="158">
        <v>1.3</v>
      </c>
    </row>
    <row r="15260" spans="1:2" x14ac:dyDescent="0.25">
      <c r="A15260" s="157">
        <v>44000</v>
      </c>
      <c r="B15260" s="158">
        <v>1.24</v>
      </c>
    </row>
    <row r="15261" spans="1:2" x14ac:dyDescent="0.25">
      <c r="A15261" s="157">
        <v>44001</v>
      </c>
      <c r="B15261" s="158">
        <v>1.23</v>
      </c>
    </row>
    <row r="15262" spans="1:2" x14ac:dyDescent="0.25">
      <c r="A15262" s="157">
        <v>44004</v>
      </c>
      <c r="B15262" s="158">
        <v>1.23</v>
      </c>
    </row>
    <row r="15263" spans="1:2" x14ac:dyDescent="0.25">
      <c r="A15263" s="157">
        <v>44005</v>
      </c>
      <c r="B15263" s="158">
        <v>1.25</v>
      </c>
    </row>
    <row r="15264" spans="1:2" x14ac:dyDescent="0.25">
      <c r="A15264" s="157">
        <v>44006</v>
      </c>
      <c r="B15264" s="158">
        <v>1.21</v>
      </c>
    </row>
    <row r="15265" spans="1:2" x14ac:dyDescent="0.25">
      <c r="A15265" s="157">
        <v>44007</v>
      </c>
      <c r="B15265" s="158">
        <v>1.2</v>
      </c>
    </row>
    <row r="15266" spans="1:2" x14ac:dyDescent="0.25">
      <c r="A15266" s="157">
        <v>44008</v>
      </c>
      <c r="B15266" s="158">
        <v>1.1499999999999999</v>
      </c>
    </row>
    <row r="15267" spans="1:2" x14ac:dyDescent="0.25">
      <c r="A15267" s="157">
        <v>44011</v>
      </c>
      <c r="B15267" s="158">
        <v>1.1599999999999999</v>
      </c>
    </row>
    <row r="15268" spans="1:2" x14ac:dyDescent="0.25">
      <c r="A15268" s="157">
        <v>44012</v>
      </c>
      <c r="B15268" s="158">
        <v>1.18</v>
      </c>
    </row>
    <row r="15269" spans="1:2" x14ac:dyDescent="0.25">
      <c r="A15269" s="157">
        <v>44013</v>
      </c>
      <c r="B15269" s="158">
        <v>1.2</v>
      </c>
    </row>
    <row r="15270" spans="1:2" x14ac:dyDescent="0.25">
      <c r="A15270" s="157">
        <v>44014</v>
      </c>
      <c r="B15270" s="158">
        <v>1.2</v>
      </c>
    </row>
    <row r="15271" spans="1:2" x14ac:dyDescent="0.25">
      <c r="A15271" s="157">
        <v>44015</v>
      </c>
      <c r="B15271" s="158" t="e">
        <f>NA()</f>
        <v>#N/A</v>
      </c>
    </row>
    <row r="15272" spans="1:2" x14ac:dyDescent="0.25">
      <c r="A15272" s="157">
        <v>44018</v>
      </c>
      <c r="B15272" s="158">
        <v>1.21</v>
      </c>
    </row>
    <row r="15273" spans="1:2" x14ac:dyDescent="0.25">
      <c r="A15273" s="157">
        <v>44019</v>
      </c>
      <c r="B15273" s="158">
        <v>1.1499999999999999</v>
      </c>
    </row>
    <row r="15274" spans="1:2" x14ac:dyDescent="0.25">
      <c r="A15274" s="157">
        <v>44020</v>
      </c>
      <c r="B15274" s="158">
        <v>1.1599999999999999</v>
      </c>
    </row>
    <row r="15275" spans="1:2" x14ac:dyDescent="0.25">
      <c r="A15275" s="157">
        <v>44021</v>
      </c>
      <c r="B15275" s="158">
        <v>1.0900000000000001</v>
      </c>
    </row>
    <row r="15276" spans="1:2" x14ac:dyDescent="0.25">
      <c r="A15276" s="157">
        <v>44022</v>
      </c>
      <c r="B15276" s="158">
        <v>1.1200000000000001</v>
      </c>
    </row>
    <row r="15277" spans="1:2" x14ac:dyDescent="0.25">
      <c r="A15277" s="157">
        <v>44025</v>
      </c>
      <c r="B15277" s="158">
        <v>1.1100000000000001</v>
      </c>
    </row>
    <row r="15278" spans="1:2" x14ac:dyDescent="0.25">
      <c r="A15278" s="157">
        <v>44026</v>
      </c>
      <c r="B15278" s="158">
        <v>1.0900000000000001</v>
      </c>
    </row>
    <row r="15279" spans="1:2" x14ac:dyDescent="0.25">
      <c r="A15279" s="157">
        <v>44027</v>
      </c>
      <c r="B15279" s="158">
        <v>1.1100000000000001</v>
      </c>
    </row>
    <row r="15280" spans="1:2" x14ac:dyDescent="0.25">
      <c r="A15280" s="157">
        <v>44028</v>
      </c>
      <c r="B15280" s="158">
        <v>1.0900000000000001</v>
      </c>
    </row>
    <row r="15281" spans="1:2" x14ac:dyDescent="0.25">
      <c r="A15281" s="157">
        <v>44029</v>
      </c>
      <c r="B15281" s="158">
        <v>1.1100000000000001</v>
      </c>
    </row>
    <row r="15282" spans="1:2" x14ac:dyDescent="0.25">
      <c r="A15282" s="157">
        <v>44032</v>
      </c>
      <c r="B15282" s="158">
        <v>1.1000000000000001</v>
      </c>
    </row>
    <row r="15283" spans="1:2" x14ac:dyDescent="0.25">
      <c r="A15283" s="157">
        <v>44033</v>
      </c>
      <c r="B15283" s="158">
        <v>1.0900000000000001</v>
      </c>
    </row>
    <row r="15284" spans="1:2" x14ac:dyDescent="0.25">
      <c r="A15284" s="157">
        <v>44034</v>
      </c>
      <c r="B15284" s="158">
        <v>1.08</v>
      </c>
    </row>
    <row r="15285" spans="1:2" x14ac:dyDescent="0.25">
      <c r="A15285" s="157">
        <v>44035</v>
      </c>
      <c r="B15285" s="158">
        <v>1.03</v>
      </c>
    </row>
    <row r="15286" spans="1:2" x14ac:dyDescent="0.25">
      <c r="A15286" s="157">
        <v>44036</v>
      </c>
      <c r="B15286" s="158">
        <v>1.03</v>
      </c>
    </row>
    <row r="15287" spans="1:2" x14ac:dyDescent="0.25">
      <c r="A15287" s="157">
        <v>44039</v>
      </c>
      <c r="B15287" s="158">
        <v>1.05</v>
      </c>
    </row>
    <row r="15288" spans="1:2" x14ac:dyDescent="0.25">
      <c r="A15288" s="157">
        <v>44040</v>
      </c>
      <c r="B15288" s="158">
        <v>1.01</v>
      </c>
    </row>
    <row r="15289" spans="1:2" x14ac:dyDescent="0.25">
      <c r="A15289" s="157">
        <v>44041</v>
      </c>
      <c r="B15289" s="158">
        <v>1.03</v>
      </c>
    </row>
    <row r="15290" spans="1:2" x14ac:dyDescent="0.25">
      <c r="A15290" s="157">
        <v>44042</v>
      </c>
      <c r="B15290" s="158">
        <v>0.98</v>
      </c>
    </row>
    <row r="15291" spans="1:2" x14ac:dyDescent="0.25">
      <c r="A15291" s="157">
        <v>44043</v>
      </c>
      <c r="B15291" s="158">
        <v>0.98</v>
      </c>
    </row>
    <row r="15292" spans="1:2" x14ac:dyDescent="0.25">
      <c r="A15292" s="157">
        <v>44046</v>
      </c>
      <c r="B15292" s="158">
        <v>1.01</v>
      </c>
    </row>
    <row r="15293" spans="1:2" x14ac:dyDescent="0.25">
      <c r="A15293" s="157">
        <v>44047</v>
      </c>
      <c r="B15293" s="158">
        <v>0.96</v>
      </c>
    </row>
    <row r="15294" spans="1:2" x14ac:dyDescent="0.25">
      <c r="A15294" s="157">
        <v>44048</v>
      </c>
      <c r="B15294" s="158">
        <v>1</v>
      </c>
    </row>
    <row r="15295" spans="1:2" x14ac:dyDescent="0.25">
      <c r="A15295" s="157">
        <v>44049</v>
      </c>
      <c r="B15295" s="158">
        <v>0.98</v>
      </c>
    </row>
    <row r="15296" spans="1:2" x14ac:dyDescent="0.25">
      <c r="A15296" s="157">
        <v>44050</v>
      </c>
      <c r="B15296" s="158">
        <v>1.01</v>
      </c>
    </row>
    <row r="15297" spans="1:2" x14ac:dyDescent="0.25">
      <c r="A15297" s="157">
        <v>44053</v>
      </c>
      <c r="B15297" s="158">
        <v>1.04</v>
      </c>
    </row>
    <row r="15298" spans="1:2" x14ac:dyDescent="0.25">
      <c r="A15298" s="157">
        <v>44054</v>
      </c>
      <c r="B15298" s="158">
        <v>1.1000000000000001</v>
      </c>
    </row>
    <row r="15299" spans="1:2" x14ac:dyDescent="0.25">
      <c r="A15299" s="157">
        <v>44055</v>
      </c>
      <c r="B15299" s="158">
        <v>1.1499999999999999</v>
      </c>
    </row>
    <row r="15300" spans="1:2" x14ac:dyDescent="0.25">
      <c r="A15300" s="157">
        <v>44056</v>
      </c>
      <c r="B15300" s="158">
        <v>1.2</v>
      </c>
    </row>
    <row r="15301" spans="1:2" x14ac:dyDescent="0.25">
      <c r="A15301" s="157">
        <v>44057</v>
      </c>
      <c r="B15301" s="158">
        <v>1.21</v>
      </c>
    </row>
    <row r="15302" spans="1:2" x14ac:dyDescent="0.25">
      <c r="A15302" s="157">
        <v>44060</v>
      </c>
      <c r="B15302" s="158">
        <v>1.19</v>
      </c>
    </row>
    <row r="15303" spans="1:2" x14ac:dyDescent="0.25">
      <c r="A15303" s="157">
        <v>44061</v>
      </c>
      <c r="B15303" s="158">
        <v>1.1599999999999999</v>
      </c>
    </row>
    <row r="15304" spans="1:2" x14ac:dyDescent="0.25">
      <c r="A15304" s="157">
        <v>44062</v>
      </c>
      <c r="B15304" s="158">
        <v>1.2</v>
      </c>
    </row>
    <row r="15305" spans="1:2" x14ac:dyDescent="0.25">
      <c r="A15305" s="157">
        <v>44063</v>
      </c>
      <c r="B15305" s="158">
        <v>1.1499999999999999</v>
      </c>
    </row>
    <row r="15306" spans="1:2" x14ac:dyDescent="0.25">
      <c r="A15306" s="157">
        <v>44064</v>
      </c>
      <c r="B15306" s="158">
        <v>1.1299999999999999</v>
      </c>
    </row>
    <row r="15307" spans="1:2" x14ac:dyDescent="0.25">
      <c r="A15307" s="157">
        <v>44067</v>
      </c>
      <c r="B15307" s="158">
        <v>1.1399999999999999</v>
      </c>
    </row>
    <row r="15308" spans="1:2" x14ac:dyDescent="0.25">
      <c r="A15308" s="157">
        <v>44068</v>
      </c>
      <c r="B15308" s="158">
        <v>1.18</v>
      </c>
    </row>
    <row r="15309" spans="1:2" x14ac:dyDescent="0.25">
      <c r="A15309" s="157">
        <v>44069</v>
      </c>
      <c r="B15309" s="158">
        <v>1.2</v>
      </c>
    </row>
    <row r="15310" spans="1:2" x14ac:dyDescent="0.25">
      <c r="A15310" s="157">
        <v>44070</v>
      </c>
      <c r="B15310" s="158">
        <v>1.28</v>
      </c>
    </row>
    <row r="15311" spans="1:2" x14ac:dyDescent="0.25">
      <c r="A15311" s="157">
        <v>44071</v>
      </c>
      <c r="B15311" s="158">
        <v>1.29</v>
      </c>
    </row>
    <row r="15312" spans="1:2" x14ac:dyDescent="0.25">
      <c r="A15312" s="157">
        <v>44074</v>
      </c>
      <c r="B15312" s="158">
        <v>1.26</v>
      </c>
    </row>
    <row r="15313" spans="1:2" x14ac:dyDescent="0.25">
      <c r="A15313" s="157">
        <v>44075</v>
      </c>
      <c r="B15313" s="158">
        <v>1.2</v>
      </c>
    </row>
    <row r="15314" spans="1:2" x14ac:dyDescent="0.25">
      <c r="A15314" s="157">
        <v>44076</v>
      </c>
      <c r="B15314" s="158">
        <v>1.1599999999999999</v>
      </c>
    </row>
    <row r="15315" spans="1:2" x14ac:dyDescent="0.25">
      <c r="A15315" s="157">
        <v>44077</v>
      </c>
      <c r="B15315" s="158">
        <v>1.1299999999999999</v>
      </c>
    </row>
    <row r="15316" spans="1:2" x14ac:dyDescent="0.25">
      <c r="A15316" s="157">
        <v>44078</v>
      </c>
      <c r="B15316" s="158">
        <v>1.25</v>
      </c>
    </row>
    <row r="15317" spans="1:2" x14ac:dyDescent="0.25">
      <c r="A15317" s="157">
        <v>44081</v>
      </c>
      <c r="B15317" s="158" t="e">
        <f>NA()</f>
        <v>#N/A</v>
      </c>
    </row>
    <row r="15318" spans="1:2" x14ac:dyDescent="0.25">
      <c r="A15318" s="157">
        <v>44082</v>
      </c>
      <c r="B15318" s="158">
        <v>1.22</v>
      </c>
    </row>
    <row r="15319" spans="1:2" x14ac:dyDescent="0.25">
      <c r="A15319" s="157">
        <v>44083</v>
      </c>
      <c r="B15319" s="158">
        <v>1.25</v>
      </c>
    </row>
    <row r="15320" spans="1:2" x14ac:dyDescent="0.25">
      <c r="A15320" s="157">
        <v>44084</v>
      </c>
      <c r="B15320" s="158">
        <v>1.22</v>
      </c>
    </row>
    <row r="15321" spans="1:2" x14ac:dyDescent="0.25">
      <c r="A15321" s="157">
        <v>44085</v>
      </c>
      <c r="B15321" s="158">
        <v>1.21</v>
      </c>
    </row>
    <row r="15322" spans="1:2" x14ac:dyDescent="0.25">
      <c r="A15322" s="157">
        <v>44088</v>
      </c>
      <c r="B15322" s="158">
        <v>1.21</v>
      </c>
    </row>
    <row r="15323" spans="1:2" x14ac:dyDescent="0.25">
      <c r="A15323" s="157">
        <v>44089</v>
      </c>
      <c r="B15323" s="158">
        <v>1.21</v>
      </c>
    </row>
    <row r="15324" spans="1:2" x14ac:dyDescent="0.25">
      <c r="A15324" s="157">
        <v>44090</v>
      </c>
      <c r="B15324" s="158">
        <v>1.23</v>
      </c>
    </row>
    <row r="15325" spans="1:2" x14ac:dyDescent="0.25">
      <c r="A15325" s="157">
        <v>44091</v>
      </c>
      <c r="B15325" s="158">
        <v>1.22</v>
      </c>
    </row>
    <row r="15326" spans="1:2" x14ac:dyDescent="0.25">
      <c r="A15326" s="157">
        <v>44092</v>
      </c>
      <c r="B15326" s="158">
        <v>1.24</v>
      </c>
    </row>
    <row r="15327" spans="1:2" x14ac:dyDescent="0.25">
      <c r="A15327" s="157">
        <v>44095</v>
      </c>
      <c r="B15327" s="158">
        <v>1.22</v>
      </c>
    </row>
    <row r="15328" spans="1:2" x14ac:dyDescent="0.25">
      <c r="A15328" s="157">
        <v>44096</v>
      </c>
      <c r="B15328" s="158">
        <v>1.21</v>
      </c>
    </row>
    <row r="15329" spans="1:2" x14ac:dyDescent="0.25">
      <c r="A15329" s="157">
        <v>44097</v>
      </c>
      <c r="B15329" s="158">
        <v>1.21</v>
      </c>
    </row>
    <row r="15330" spans="1:2" x14ac:dyDescent="0.25">
      <c r="A15330" s="157">
        <v>44098</v>
      </c>
      <c r="B15330" s="158">
        <v>1.19</v>
      </c>
    </row>
    <row r="15331" spans="1:2" x14ac:dyDescent="0.25">
      <c r="A15331" s="157">
        <v>44099</v>
      </c>
      <c r="B15331" s="158">
        <v>1.19</v>
      </c>
    </row>
    <row r="15332" spans="1:2" x14ac:dyDescent="0.25">
      <c r="A15332" s="157">
        <v>44102</v>
      </c>
      <c r="B15332" s="158">
        <v>1.2</v>
      </c>
    </row>
    <row r="15333" spans="1:2" x14ac:dyDescent="0.25">
      <c r="A15333" s="157">
        <v>44103</v>
      </c>
      <c r="B15333" s="158">
        <v>1.19</v>
      </c>
    </row>
    <row r="15334" spans="1:2" x14ac:dyDescent="0.25">
      <c r="A15334" s="157">
        <v>44104</v>
      </c>
      <c r="B15334" s="158">
        <v>1.23</v>
      </c>
    </row>
    <row r="15335" spans="1:2" x14ac:dyDescent="0.25">
      <c r="A15335" s="157">
        <v>44105</v>
      </c>
      <c r="B15335" s="158">
        <v>1.23</v>
      </c>
    </row>
    <row r="15336" spans="1:2" x14ac:dyDescent="0.25">
      <c r="A15336" s="157">
        <v>44106</v>
      </c>
      <c r="B15336" s="158">
        <v>1.25</v>
      </c>
    </row>
    <row r="15337" spans="1:2" x14ac:dyDescent="0.25">
      <c r="A15337" s="157">
        <v>44109</v>
      </c>
      <c r="B15337" s="158">
        <v>1.34</v>
      </c>
    </row>
    <row r="15338" spans="1:2" x14ac:dyDescent="0.25">
      <c r="A15338" s="157">
        <v>44110</v>
      </c>
      <c r="B15338" s="158">
        <v>1.33</v>
      </c>
    </row>
    <row r="15339" spans="1:2" x14ac:dyDescent="0.25">
      <c r="A15339" s="157">
        <v>44111</v>
      </c>
      <c r="B15339" s="158">
        <v>1.37</v>
      </c>
    </row>
    <row r="15340" spans="1:2" x14ac:dyDescent="0.25">
      <c r="A15340" s="157">
        <v>44112</v>
      </c>
      <c r="B15340" s="158">
        <v>1.34</v>
      </c>
    </row>
    <row r="15341" spans="1:2" x14ac:dyDescent="0.25">
      <c r="A15341" s="157">
        <v>44113</v>
      </c>
      <c r="B15341" s="158">
        <v>1.34</v>
      </c>
    </row>
    <row r="15342" spans="1:2" x14ac:dyDescent="0.25">
      <c r="A15342" s="157">
        <v>44116</v>
      </c>
      <c r="B15342" s="158" t="e">
        <f>NA()</f>
        <v>#N/A</v>
      </c>
    </row>
    <row r="15343" spans="1:2" x14ac:dyDescent="0.25">
      <c r="A15343" s="157">
        <v>44117</v>
      </c>
      <c r="B15343" s="158">
        <v>1.29</v>
      </c>
    </row>
    <row r="15344" spans="1:2" x14ac:dyDescent="0.25">
      <c r="A15344" s="157">
        <v>44118</v>
      </c>
      <c r="B15344" s="158">
        <v>1.28</v>
      </c>
    </row>
    <row r="15345" spans="1:2" x14ac:dyDescent="0.25">
      <c r="A15345" s="157">
        <v>44119</v>
      </c>
      <c r="B15345" s="158">
        <v>1.29</v>
      </c>
    </row>
    <row r="15346" spans="1:2" x14ac:dyDescent="0.25">
      <c r="A15346" s="157">
        <v>44120</v>
      </c>
      <c r="B15346" s="158">
        <v>1.3</v>
      </c>
    </row>
    <row r="15347" spans="1:2" x14ac:dyDescent="0.25">
      <c r="A15347" s="157">
        <v>44123</v>
      </c>
      <c r="B15347" s="158">
        <v>1.32</v>
      </c>
    </row>
    <row r="15348" spans="1:2" x14ac:dyDescent="0.25">
      <c r="A15348" s="157">
        <v>44124</v>
      </c>
      <c r="B15348" s="158">
        <v>1.37</v>
      </c>
    </row>
    <row r="15349" spans="1:2" x14ac:dyDescent="0.25">
      <c r="A15349" s="157">
        <v>44125</v>
      </c>
      <c r="B15349" s="158">
        <v>1.4</v>
      </c>
    </row>
    <row r="15350" spans="1:2" x14ac:dyDescent="0.25">
      <c r="A15350" s="157">
        <v>44126</v>
      </c>
      <c r="B15350" s="158">
        <v>1.43</v>
      </c>
    </row>
    <row r="15351" spans="1:2" x14ac:dyDescent="0.25">
      <c r="A15351" s="157">
        <v>44127</v>
      </c>
      <c r="B15351" s="158">
        <v>1.41</v>
      </c>
    </row>
    <row r="15352" spans="1:2" x14ac:dyDescent="0.25">
      <c r="A15352" s="157">
        <v>44130</v>
      </c>
      <c r="B15352" s="158">
        <v>1.37</v>
      </c>
    </row>
    <row r="15353" spans="1:2" x14ac:dyDescent="0.25">
      <c r="A15353" s="157">
        <v>44131</v>
      </c>
      <c r="B15353" s="158">
        <v>1.34</v>
      </c>
    </row>
    <row r="15354" spans="1:2" x14ac:dyDescent="0.25">
      <c r="A15354" s="157">
        <v>44132</v>
      </c>
      <c r="B15354" s="158">
        <v>1.34</v>
      </c>
    </row>
    <row r="15355" spans="1:2" x14ac:dyDescent="0.25">
      <c r="A15355" s="157">
        <v>44133</v>
      </c>
      <c r="B15355" s="158">
        <v>1.39</v>
      </c>
    </row>
    <row r="15356" spans="1:2" x14ac:dyDescent="0.25">
      <c r="A15356" s="157">
        <v>44134</v>
      </c>
      <c r="B15356" s="158">
        <v>1.43</v>
      </c>
    </row>
    <row r="15357" spans="1:2" x14ac:dyDescent="0.25">
      <c r="A15357" s="157">
        <v>44137</v>
      </c>
      <c r="B15357" s="158">
        <v>1.41</v>
      </c>
    </row>
    <row r="15358" spans="1:2" x14ac:dyDescent="0.25">
      <c r="A15358" s="157">
        <v>44138</v>
      </c>
      <c r="B15358" s="158">
        <v>1.44</v>
      </c>
    </row>
    <row r="15359" spans="1:2" x14ac:dyDescent="0.25">
      <c r="A15359" s="157">
        <v>44139</v>
      </c>
      <c r="B15359" s="158">
        <v>1.33</v>
      </c>
    </row>
    <row r="15360" spans="1:2" x14ac:dyDescent="0.25">
      <c r="A15360" s="157">
        <v>44140</v>
      </c>
      <c r="B15360" s="158">
        <v>1.32</v>
      </c>
    </row>
    <row r="15361" spans="1:2" x14ac:dyDescent="0.25">
      <c r="A15361" s="157">
        <v>44141</v>
      </c>
      <c r="B15361" s="158">
        <v>1.37</v>
      </c>
    </row>
    <row r="15362" spans="1:2" x14ac:dyDescent="0.25">
      <c r="A15362" s="157">
        <v>44144</v>
      </c>
      <c r="B15362" s="158">
        <v>1.51</v>
      </c>
    </row>
    <row r="15363" spans="1:2" x14ac:dyDescent="0.25">
      <c r="A15363" s="157">
        <v>44145</v>
      </c>
      <c r="B15363" s="158">
        <v>1.53</v>
      </c>
    </row>
    <row r="15364" spans="1:2" x14ac:dyDescent="0.25">
      <c r="A15364" s="157">
        <v>44146</v>
      </c>
      <c r="B15364" s="158" t="e">
        <f>NA()</f>
        <v>#N/A</v>
      </c>
    </row>
    <row r="15365" spans="1:2" x14ac:dyDescent="0.25">
      <c r="A15365" s="157">
        <v>44147</v>
      </c>
      <c r="B15365" s="158">
        <v>1.42</v>
      </c>
    </row>
    <row r="15366" spans="1:2" x14ac:dyDescent="0.25">
      <c r="A15366" s="157">
        <v>44148</v>
      </c>
      <c r="B15366" s="158">
        <v>1.43</v>
      </c>
    </row>
    <row r="15367" spans="1:2" x14ac:dyDescent="0.25">
      <c r="A15367" s="157">
        <v>44151</v>
      </c>
      <c r="B15367" s="158">
        <v>1.44</v>
      </c>
    </row>
    <row r="15368" spans="1:2" x14ac:dyDescent="0.25">
      <c r="A15368" s="157">
        <v>44152</v>
      </c>
      <c r="B15368" s="158">
        <v>1.4</v>
      </c>
    </row>
    <row r="15369" spans="1:2" x14ac:dyDescent="0.25">
      <c r="A15369" s="157">
        <v>44153</v>
      </c>
      <c r="B15369" s="158">
        <v>1.42</v>
      </c>
    </row>
    <row r="15370" spans="1:2" x14ac:dyDescent="0.25">
      <c r="A15370" s="157">
        <v>44154</v>
      </c>
      <c r="B15370" s="158">
        <v>1.38</v>
      </c>
    </row>
    <row r="15371" spans="1:2" x14ac:dyDescent="0.25">
      <c r="A15371" s="157">
        <v>44155</v>
      </c>
      <c r="B15371" s="158">
        <v>1.33</v>
      </c>
    </row>
    <row r="15372" spans="1:2" x14ac:dyDescent="0.25">
      <c r="A15372" s="157">
        <v>44158</v>
      </c>
      <c r="B15372" s="158">
        <v>1.36</v>
      </c>
    </row>
    <row r="15373" spans="1:2" x14ac:dyDescent="0.25">
      <c r="A15373" s="157">
        <v>44159</v>
      </c>
      <c r="B15373" s="158">
        <v>1.4</v>
      </c>
    </row>
    <row r="15374" spans="1:2" x14ac:dyDescent="0.25">
      <c r="A15374" s="157">
        <v>44160</v>
      </c>
      <c r="B15374" s="158">
        <v>1.41</v>
      </c>
    </row>
    <row r="15375" spans="1:2" x14ac:dyDescent="0.25">
      <c r="A15375" s="157">
        <v>44161</v>
      </c>
      <c r="B15375" s="158" t="e">
        <f>NA()</f>
        <v>#N/A</v>
      </c>
    </row>
    <row r="15376" spans="1:2" x14ac:dyDescent="0.25">
      <c r="A15376" s="157">
        <v>44162</v>
      </c>
      <c r="B15376" s="158">
        <v>1.36</v>
      </c>
    </row>
    <row r="15377" spans="1:2" x14ac:dyDescent="0.25">
      <c r="A15377" s="157">
        <v>44165</v>
      </c>
      <c r="B15377" s="158">
        <v>1.37</v>
      </c>
    </row>
    <row r="15378" spans="1:2" x14ac:dyDescent="0.25">
      <c r="A15378" s="157">
        <v>44166</v>
      </c>
      <c r="B15378" s="158">
        <v>1.46</v>
      </c>
    </row>
    <row r="15379" spans="1:2" x14ac:dyDescent="0.25">
      <c r="A15379" s="157">
        <v>44167</v>
      </c>
      <c r="B15379" s="158">
        <v>1.5</v>
      </c>
    </row>
    <row r="15380" spans="1:2" x14ac:dyDescent="0.25">
      <c r="A15380" s="157">
        <v>44168</v>
      </c>
      <c r="B15380" s="158">
        <v>1.46</v>
      </c>
    </row>
    <row r="15381" spans="1:2" x14ac:dyDescent="0.25">
      <c r="A15381" s="157">
        <v>44169</v>
      </c>
      <c r="B15381" s="158">
        <v>1.53</v>
      </c>
    </row>
    <row r="15382" spans="1:2" x14ac:dyDescent="0.25">
      <c r="A15382" s="157">
        <v>44172</v>
      </c>
      <c r="B15382" s="158">
        <v>1.49</v>
      </c>
    </row>
    <row r="15383" spans="1:2" x14ac:dyDescent="0.25">
      <c r="A15383" s="157">
        <v>44173</v>
      </c>
      <c r="B15383" s="158">
        <v>1.46</v>
      </c>
    </row>
    <row r="15384" spans="1:2" x14ac:dyDescent="0.25">
      <c r="A15384" s="157">
        <v>44174</v>
      </c>
      <c r="B15384" s="158">
        <v>1.48</v>
      </c>
    </row>
    <row r="15385" spans="1:2" x14ac:dyDescent="0.25">
      <c r="A15385" s="157">
        <v>44175</v>
      </c>
      <c r="B15385" s="158">
        <v>1.44</v>
      </c>
    </row>
    <row r="15386" spans="1:2" x14ac:dyDescent="0.25">
      <c r="A15386" s="157">
        <v>44176</v>
      </c>
      <c r="B15386" s="158">
        <v>1.42</v>
      </c>
    </row>
    <row r="15387" spans="1:2" x14ac:dyDescent="0.25">
      <c r="A15387" s="157">
        <v>44179</v>
      </c>
      <c r="B15387" s="158">
        <v>1.43</v>
      </c>
    </row>
    <row r="15388" spans="1:2" x14ac:dyDescent="0.25">
      <c r="A15388" s="157">
        <v>44180</v>
      </c>
      <c r="B15388" s="158">
        <v>1.45</v>
      </c>
    </row>
    <row r="15389" spans="1:2" x14ac:dyDescent="0.25">
      <c r="A15389" s="157">
        <v>44181</v>
      </c>
      <c r="B15389" s="158">
        <v>1.46</v>
      </c>
    </row>
    <row r="15390" spans="1:2" x14ac:dyDescent="0.25">
      <c r="A15390" s="157">
        <v>44182</v>
      </c>
      <c r="B15390" s="158">
        <v>1.47</v>
      </c>
    </row>
    <row r="15391" spans="1:2" x14ac:dyDescent="0.25">
      <c r="A15391" s="157">
        <v>44183</v>
      </c>
      <c r="B15391" s="158">
        <v>1.49</v>
      </c>
    </row>
    <row r="15392" spans="1:2" x14ac:dyDescent="0.25">
      <c r="A15392" s="157">
        <v>44186</v>
      </c>
      <c r="B15392" s="158">
        <v>1.48</v>
      </c>
    </row>
    <row r="15393" spans="1:2" x14ac:dyDescent="0.25">
      <c r="A15393" s="157">
        <v>44187</v>
      </c>
      <c r="B15393" s="158">
        <v>1.45</v>
      </c>
    </row>
    <row r="15394" spans="1:2" x14ac:dyDescent="0.25">
      <c r="A15394" s="157">
        <v>44188</v>
      </c>
      <c r="B15394" s="158">
        <v>1.49</v>
      </c>
    </row>
    <row r="15395" spans="1:2" x14ac:dyDescent="0.25">
      <c r="A15395" s="157">
        <v>44189</v>
      </c>
      <c r="B15395" s="158">
        <v>1.46</v>
      </c>
    </row>
    <row r="15396" spans="1:2" x14ac:dyDescent="0.25">
      <c r="A15396" s="157">
        <v>44190</v>
      </c>
      <c r="B15396" s="158" t="e">
        <f>NA()</f>
        <v>#N/A</v>
      </c>
    </row>
    <row r="15397" spans="1:2" x14ac:dyDescent="0.25">
      <c r="A15397" s="157">
        <v>44193</v>
      </c>
      <c r="B15397" s="158">
        <v>1.46</v>
      </c>
    </row>
    <row r="15398" spans="1:2" x14ac:dyDescent="0.25">
      <c r="A15398" s="157">
        <v>44194</v>
      </c>
      <c r="B15398" s="158">
        <v>1.47</v>
      </c>
    </row>
    <row r="15399" spans="1:2" x14ac:dyDescent="0.25">
      <c r="A15399" s="157">
        <v>44195</v>
      </c>
      <c r="B15399" s="158">
        <v>1.46</v>
      </c>
    </row>
    <row r="15400" spans="1:2" x14ac:dyDescent="0.25">
      <c r="A15400" s="157">
        <v>44196</v>
      </c>
      <c r="B15400" s="158">
        <v>1.45</v>
      </c>
    </row>
    <row r="15401" spans="1:2" x14ac:dyDescent="0.25">
      <c r="A15401" s="157">
        <v>44197</v>
      </c>
      <c r="B15401" s="158" t="e">
        <f>NA()</f>
        <v>#N/A</v>
      </c>
    </row>
    <row r="15402" spans="1:2" x14ac:dyDescent="0.25">
      <c r="A15402" s="157">
        <v>44200</v>
      </c>
      <c r="B15402" s="158">
        <v>1.46</v>
      </c>
    </row>
    <row r="15403" spans="1:2" x14ac:dyDescent="0.25">
      <c r="A15403" s="157">
        <v>44201</v>
      </c>
      <c r="B15403" s="158">
        <v>1.49</v>
      </c>
    </row>
    <row r="15404" spans="1:2" x14ac:dyDescent="0.25">
      <c r="A15404" s="157">
        <v>44202</v>
      </c>
      <c r="B15404" s="158">
        <v>1.6</v>
      </c>
    </row>
    <row r="15405" spans="1:2" x14ac:dyDescent="0.25">
      <c r="A15405" s="157">
        <v>44203</v>
      </c>
      <c r="B15405" s="158">
        <v>1.64</v>
      </c>
    </row>
    <row r="15406" spans="1:2" x14ac:dyDescent="0.25">
      <c r="A15406" s="157">
        <v>44204</v>
      </c>
      <c r="B15406" s="158">
        <v>1.67</v>
      </c>
    </row>
    <row r="15407" spans="1:2" x14ac:dyDescent="0.25">
      <c r="A15407" s="157">
        <v>44207</v>
      </c>
      <c r="B15407" s="158">
        <v>1.68</v>
      </c>
    </row>
    <row r="15408" spans="1:2" x14ac:dyDescent="0.25">
      <c r="A15408" s="157">
        <v>44208</v>
      </c>
      <c r="B15408" s="158">
        <v>1.68</v>
      </c>
    </row>
    <row r="15409" spans="1:2" x14ac:dyDescent="0.25">
      <c r="A15409" s="157">
        <v>44209</v>
      </c>
      <c r="B15409" s="158">
        <v>1.63</v>
      </c>
    </row>
    <row r="15410" spans="1:2" x14ac:dyDescent="0.25">
      <c r="A15410" s="157">
        <v>44210</v>
      </c>
      <c r="B15410" s="158">
        <v>1.69</v>
      </c>
    </row>
    <row r="15411" spans="1:2" x14ac:dyDescent="0.25">
      <c r="A15411" s="157">
        <v>44211</v>
      </c>
      <c r="B15411" s="158">
        <v>1.66</v>
      </c>
    </row>
    <row r="15412" spans="1:2" x14ac:dyDescent="0.25">
      <c r="A15412" s="157">
        <v>44214</v>
      </c>
      <c r="B15412" s="158" t="e">
        <f>NA()</f>
        <v>#N/A</v>
      </c>
    </row>
    <row r="15413" spans="1:2" x14ac:dyDescent="0.25">
      <c r="A15413" s="157">
        <v>44215</v>
      </c>
      <c r="B15413" s="158">
        <v>1.65</v>
      </c>
    </row>
    <row r="15414" spans="1:2" x14ac:dyDescent="0.25">
      <c r="A15414" s="157">
        <v>44216</v>
      </c>
      <c r="B15414" s="158">
        <v>1.65</v>
      </c>
    </row>
    <row r="15415" spans="1:2" x14ac:dyDescent="0.25">
      <c r="A15415" s="157">
        <v>44217</v>
      </c>
      <c r="B15415" s="158">
        <v>1.68</v>
      </c>
    </row>
    <row r="15416" spans="1:2" x14ac:dyDescent="0.25">
      <c r="A15416" s="157">
        <v>44218</v>
      </c>
      <c r="B15416" s="158">
        <v>1.66</v>
      </c>
    </row>
    <row r="15417" spans="1:2" x14ac:dyDescent="0.25">
      <c r="A15417" s="157">
        <v>44221</v>
      </c>
      <c r="B15417" s="158">
        <v>1.61</v>
      </c>
    </row>
    <row r="15418" spans="1:2" x14ac:dyDescent="0.25">
      <c r="A15418" s="157">
        <v>44222</v>
      </c>
      <c r="B15418" s="158">
        <v>1.61</v>
      </c>
    </row>
    <row r="15419" spans="1:2" x14ac:dyDescent="0.25">
      <c r="A15419" s="157">
        <v>44223</v>
      </c>
      <c r="B15419" s="158">
        <v>1.6</v>
      </c>
    </row>
    <row r="15420" spans="1:2" x14ac:dyDescent="0.25">
      <c r="A15420" s="157">
        <v>44224</v>
      </c>
      <c r="B15420" s="158">
        <v>1.63</v>
      </c>
    </row>
    <row r="15421" spans="1:2" x14ac:dyDescent="0.25">
      <c r="A15421" s="157">
        <v>44225</v>
      </c>
      <c r="B15421" s="158">
        <v>1.68</v>
      </c>
    </row>
    <row r="15422" spans="1:2" x14ac:dyDescent="0.25">
      <c r="A15422" s="157">
        <v>44228</v>
      </c>
      <c r="B15422" s="158">
        <v>1.66</v>
      </c>
    </row>
    <row r="15423" spans="1:2" x14ac:dyDescent="0.25">
      <c r="A15423" s="157">
        <v>44229</v>
      </c>
      <c r="B15423" s="158">
        <v>1.69</v>
      </c>
    </row>
    <row r="15424" spans="1:2" x14ac:dyDescent="0.25">
      <c r="A15424" s="157">
        <v>44230</v>
      </c>
      <c r="B15424" s="158">
        <v>1.73</v>
      </c>
    </row>
    <row r="15425" spans="1:2" x14ac:dyDescent="0.25">
      <c r="A15425" s="157">
        <v>44231</v>
      </c>
      <c r="B15425" s="158">
        <v>1.75</v>
      </c>
    </row>
    <row r="15426" spans="1:2" x14ac:dyDescent="0.25">
      <c r="A15426" s="157">
        <v>44232</v>
      </c>
      <c r="B15426" s="158">
        <v>1.79</v>
      </c>
    </row>
    <row r="15427" spans="1:2" x14ac:dyDescent="0.25">
      <c r="A15427" s="157">
        <v>44235</v>
      </c>
      <c r="B15427" s="158">
        <v>1.78</v>
      </c>
    </row>
    <row r="15428" spans="1:2" x14ac:dyDescent="0.25">
      <c r="A15428" s="157">
        <v>44236</v>
      </c>
      <c r="B15428" s="158">
        <v>1.78</v>
      </c>
    </row>
    <row r="15429" spans="1:2" x14ac:dyDescent="0.25">
      <c r="A15429" s="157">
        <v>44237</v>
      </c>
      <c r="B15429" s="158">
        <v>1.75</v>
      </c>
    </row>
    <row r="15430" spans="1:2" x14ac:dyDescent="0.25">
      <c r="A15430" s="157">
        <v>44238</v>
      </c>
      <c r="B15430" s="158">
        <v>1.77</v>
      </c>
    </row>
    <row r="15431" spans="1:2" x14ac:dyDescent="0.25">
      <c r="A15431" s="157">
        <v>44239</v>
      </c>
      <c r="B15431" s="158">
        <v>1.83</v>
      </c>
    </row>
    <row r="15432" spans="1:2" x14ac:dyDescent="0.25">
      <c r="A15432" s="157">
        <v>44242</v>
      </c>
      <c r="B15432" s="158" t="e">
        <f>NA()</f>
        <v>#N/A</v>
      </c>
    </row>
    <row r="15433" spans="1:2" x14ac:dyDescent="0.25">
      <c r="A15433" s="157">
        <v>44243</v>
      </c>
      <c r="B15433" s="158">
        <v>1.92</v>
      </c>
    </row>
    <row r="15434" spans="1:2" x14ac:dyDescent="0.25">
      <c r="A15434" s="157">
        <v>44244</v>
      </c>
      <c r="B15434" s="158">
        <v>1.92</v>
      </c>
    </row>
    <row r="15435" spans="1:2" x14ac:dyDescent="0.25">
      <c r="A15435" s="157">
        <v>44245</v>
      </c>
      <c r="B15435" s="158">
        <v>1.91</v>
      </c>
    </row>
    <row r="15436" spans="1:2" x14ac:dyDescent="0.25">
      <c r="A15436" s="157">
        <v>44246</v>
      </c>
      <c r="B15436" s="158">
        <v>1.98</v>
      </c>
    </row>
    <row r="15437" spans="1:2" x14ac:dyDescent="0.25">
      <c r="A15437" s="157">
        <v>44249</v>
      </c>
      <c r="B15437" s="158">
        <v>2.02</v>
      </c>
    </row>
    <row r="15438" spans="1:2" x14ac:dyDescent="0.25">
      <c r="A15438" s="157">
        <v>44250</v>
      </c>
      <c r="B15438" s="158">
        <v>2.0299999999999998</v>
      </c>
    </row>
    <row r="15439" spans="1:2" x14ac:dyDescent="0.25">
      <c r="A15439" s="157">
        <v>44251</v>
      </c>
      <c r="B15439" s="158">
        <v>2.0699999999999998</v>
      </c>
    </row>
    <row r="15440" spans="1:2" x14ac:dyDescent="0.25">
      <c r="A15440" s="157">
        <v>44252</v>
      </c>
      <c r="B15440" s="158">
        <v>2.25</v>
      </c>
    </row>
    <row r="15441" spans="1:2" x14ac:dyDescent="0.25">
      <c r="A15441" s="157">
        <v>44253</v>
      </c>
      <c r="B15441" s="158">
        <v>2.08</v>
      </c>
    </row>
    <row r="15442" spans="1:2" x14ac:dyDescent="0.25">
      <c r="A15442" s="157">
        <v>44256</v>
      </c>
      <c r="B15442" s="158">
        <v>2.11</v>
      </c>
    </row>
    <row r="15443" spans="1:2" x14ac:dyDescent="0.25">
      <c r="A15443" s="157">
        <v>44257</v>
      </c>
      <c r="B15443" s="158">
        <v>2.09</v>
      </c>
    </row>
    <row r="15444" spans="1:2" x14ac:dyDescent="0.25">
      <c r="A15444" s="157">
        <v>44258</v>
      </c>
      <c r="B15444" s="158">
        <v>2.12</v>
      </c>
    </row>
    <row r="15445" spans="1:2" x14ac:dyDescent="0.25">
      <c r="A15445" s="157">
        <v>44259</v>
      </c>
      <c r="B15445" s="158">
        <v>2.1800000000000002</v>
      </c>
    </row>
    <row r="15446" spans="1:2" x14ac:dyDescent="0.25">
      <c r="A15446" s="157">
        <v>44260</v>
      </c>
      <c r="B15446" s="158">
        <v>2.1800000000000002</v>
      </c>
    </row>
    <row r="15447" spans="1:2" x14ac:dyDescent="0.25">
      <c r="A15447" s="157">
        <v>44263</v>
      </c>
      <c r="B15447" s="158">
        <v>2.2000000000000002</v>
      </c>
    </row>
    <row r="15448" spans="1:2" x14ac:dyDescent="0.25">
      <c r="A15448" s="157">
        <v>44264</v>
      </c>
      <c r="B15448" s="158">
        <v>2.16</v>
      </c>
    </row>
    <row r="15449" spans="1:2" x14ac:dyDescent="0.25">
      <c r="A15449" s="157">
        <v>44265</v>
      </c>
      <c r="B15449" s="158">
        <v>2.15</v>
      </c>
    </row>
    <row r="15450" spans="1:2" x14ac:dyDescent="0.25">
      <c r="A15450" s="157">
        <v>44266</v>
      </c>
      <c r="B15450" s="158">
        <v>2.1800000000000002</v>
      </c>
    </row>
    <row r="15451" spans="1:2" x14ac:dyDescent="0.25">
      <c r="A15451" s="157">
        <v>44267</v>
      </c>
      <c r="B15451" s="158">
        <v>2.31</v>
      </c>
    </row>
    <row r="15452" spans="1:2" x14ac:dyDescent="0.25">
      <c r="A15452" s="157">
        <v>44270</v>
      </c>
      <c r="B15452" s="158">
        <v>2.27</v>
      </c>
    </row>
    <row r="15453" spans="1:2" x14ac:dyDescent="0.25">
      <c r="A15453" s="157">
        <v>44271</v>
      </c>
      <c r="B15453" s="158">
        <v>2.2999999999999998</v>
      </c>
    </row>
    <row r="15454" spans="1:2" x14ac:dyDescent="0.25">
      <c r="A15454" s="157">
        <v>44272</v>
      </c>
      <c r="B15454" s="158">
        <v>2.3199999999999998</v>
      </c>
    </row>
    <row r="15455" spans="1:2" x14ac:dyDescent="0.25">
      <c r="A15455" s="157">
        <v>44273</v>
      </c>
      <c r="B15455" s="158">
        <v>2.36</v>
      </c>
    </row>
    <row r="15456" spans="1:2" x14ac:dyDescent="0.25">
      <c r="A15456" s="157">
        <v>44274</v>
      </c>
      <c r="B15456" s="158">
        <v>2.36</v>
      </c>
    </row>
    <row r="15457" spans="1:2" x14ac:dyDescent="0.25">
      <c r="A15457" s="157">
        <v>44277</v>
      </c>
      <c r="B15457" s="158">
        <v>2.29</v>
      </c>
    </row>
    <row r="15458" spans="1:2" x14ac:dyDescent="0.25">
      <c r="A15458" s="157">
        <v>44278</v>
      </c>
      <c r="B15458" s="158">
        <v>2.2400000000000002</v>
      </c>
    </row>
    <row r="15459" spans="1:2" x14ac:dyDescent="0.25">
      <c r="A15459" s="157">
        <v>44279</v>
      </c>
      <c r="B15459" s="158">
        <v>2.21</v>
      </c>
    </row>
    <row r="15460" spans="1:2" x14ac:dyDescent="0.25">
      <c r="A15460" s="157">
        <v>44280</v>
      </c>
      <c r="B15460" s="158">
        <v>2.2400000000000002</v>
      </c>
    </row>
    <row r="15461" spans="1:2" x14ac:dyDescent="0.25">
      <c r="A15461" s="157">
        <v>44281</v>
      </c>
      <c r="B15461" s="158">
        <v>2.27</v>
      </c>
    </row>
    <row r="15462" spans="1:2" x14ac:dyDescent="0.25">
      <c r="A15462" s="157">
        <v>44284</v>
      </c>
      <c r="B15462" s="158">
        <v>2.3199999999999998</v>
      </c>
    </row>
    <row r="15463" spans="1:2" x14ac:dyDescent="0.25">
      <c r="A15463" s="157">
        <v>44285</v>
      </c>
      <c r="B15463" s="158">
        <v>2.29</v>
      </c>
    </row>
    <row r="15464" spans="1:2" x14ac:dyDescent="0.25">
      <c r="A15464" s="157">
        <v>44286</v>
      </c>
      <c r="B15464" s="158">
        <v>2.31</v>
      </c>
    </row>
    <row r="15465" spans="1:2" x14ac:dyDescent="0.25">
      <c r="A15465" s="157">
        <v>44287</v>
      </c>
      <c r="B15465" s="158">
        <v>2.2400000000000002</v>
      </c>
    </row>
    <row r="15466" spans="1:2" x14ac:dyDescent="0.25">
      <c r="A15466" s="157">
        <v>44288</v>
      </c>
      <c r="B15466" s="158">
        <v>2.27</v>
      </c>
    </row>
    <row r="15467" spans="1:2" x14ac:dyDescent="0.25">
      <c r="A15467" s="157">
        <v>44291</v>
      </c>
      <c r="B15467" s="158">
        <v>2.2799999999999998</v>
      </c>
    </row>
    <row r="15468" spans="1:2" x14ac:dyDescent="0.25">
      <c r="A15468" s="157">
        <v>44292</v>
      </c>
      <c r="B15468" s="158">
        <v>2.2400000000000002</v>
      </c>
    </row>
    <row r="15469" spans="1:2" x14ac:dyDescent="0.25">
      <c r="A15469" s="157">
        <v>44293</v>
      </c>
      <c r="B15469" s="158">
        <v>2.2599999999999998</v>
      </c>
    </row>
    <row r="15470" spans="1:2" x14ac:dyDescent="0.25">
      <c r="A15470" s="157">
        <v>44294</v>
      </c>
      <c r="B15470" s="158">
        <v>2.2200000000000002</v>
      </c>
    </row>
    <row r="15471" spans="1:2" x14ac:dyDescent="0.25">
      <c r="A15471" s="157">
        <v>44295</v>
      </c>
      <c r="B15471" s="158">
        <v>2.23</v>
      </c>
    </row>
    <row r="15472" spans="1:2" x14ac:dyDescent="0.25">
      <c r="A15472" s="157">
        <v>44298</v>
      </c>
      <c r="B15472" s="158">
        <v>2.2400000000000002</v>
      </c>
    </row>
    <row r="15473" spans="1:2" x14ac:dyDescent="0.25">
      <c r="A15473" s="157">
        <v>44299</v>
      </c>
      <c r="B15473" s="158">
        <v>2.21</v>
      </c>
    </row>
    <row r="15474" spans="1:2" x14ac:dyDescent="0.25">
      <c r="A15474" s="157">
        <v>44300</v>
      </c>
      <c r="B15474" s="158">
        <v>2.2200000000000002</v>
      </c>
    </row>
    <row r="15475" spans="1:2" x14ac:dyDescent="0.25">
      <c r="A15475" s="157">
        <v>44301</v>
      </c>
      <c r="B15475" s="158">
        <v>2.13</v>
      </c>
    </row>
    <row r="15476" spans="1:2" x14ac:dyDescent="0.25">
      <c r="A15476" s="157">
        <v>44302</v>
      </c>
      <c r="B15476" s="158">
        <v>2.15</v>
      </c>
    </row>
    <row r="15477" spans="1:2" x14ac:dyDescent="0.25">
      <c r="A15477" s="157">
        <v>44305</v>
      </c>
      <c r="B15477" s="158">
        <v>2.1800000000000002</v>
      </c>
    </row>
    <row r="15478" spans="1:2" x14ac:dyDescent="0.25">
      <c r="A15478" s="157">
        <v>44306</v>
      </c>
      <c r="B15478" s="158">
        <v>2.16</v>
      </c>
    </row>
    <row r="15479" spans="1:2" x14ac:dyDescent="0.25">
      <c r="A15479" s="157">
        <v>44307</v>
      </c>
      <c r="B15479" s="158">
        <v>2.16</v>
      </c>
    </row>
    <row r="15480" spans="1:2" x14ac:dyDescent="0.25">
      <c r="A15480" s="157">
        <v>44308</v>
      </c>
      <c r="B15480" s="158">
        <v>2.13</v>
      </c>
    </row>
    <row r="15481" spans="1:2" x14ac:dyDescent="0.25">
      <c r="A15481" s="157">
        <v>44309</v>
      </c>
      <c r="B15481" s="158">
        <v>2.14</v>
      </c>
    </row>
    <row r="15482" spans="1:2" x14ac:dyDescent="0.25">
      <c r="A15482" s="157">
        <v>44312</v>
      </c>
      <c r="B15482" s="158">
        <v>2.13</v>
      </c>
    </row>
    <row r="15483" spans="1:2" x14ac:dyDescent="0.25">
      <c r="A15483" s="157">
        <v>44313</v>
      </c>
      <c r="B15483" s="158">
        <v>2.1800000000000002</v>
      </c>
    </row>
    <row r="15484" spans="1:2" x14ac:dyDescent="0.25">
      <c r="A15484" s="157">
        <v>44314</v>
      </c>
      <c r="B15484" s="158">
        <v>2.19</v>
      </c>
    </row>
    <row r="15485" spans="1:2" x14ac:dyDescent="0.25">
      <c r="A15485" s="157">
        <v>44315</v>
      </c>
      <c r="B15485" s="158">
        <v>2.2000000000000002</v>
      </c>
    </row>
    <row r="15486" spans="1:2" x14ac:dyDescent="0.25">
      <c r="A15486" s="157">
        <v>44316</v>
      </c>
      <c r="B15486" s="158">
        <v>2.19</v>
      </c>
    </row>
    <row r="15487" spans="1:2" x14ac:dyDescent="0.25">
      <c r="A15487" s="157">
        <v>44319</v>
      </c>
      <c r="B15487" s="158">
        <v>2.1800000000000002</v>
      </c>
    </row>
    <row r="15488" spans="1:2" x14ac:dyDescent="0.25">
      <c r="A15488" s="157">
        <v>44320</v>
      </c>
      <c r="B15488" s="158">
        <v>2.16</v>
      </c>
    </row>
    <row r="15489" spans="1:2" x14ac:dyDescent="0.25">
      <c r="A15489" s="157">
        <v>44321</v>
      </c>
      <c r="B15489" s="158">
        <v>2.14</v>
      </c>
    </row>
    <row r="15490" spans="1:2" x14ac:dyDescent="0.25">
      <c r="A15490" s="157">
        <v>44322</v>
      </c>
      <c r="B15490" s="158">
        <v>2.14</v>
      </c>
    </row>
    <row r="15491" spans="1:2" x14ac:dyDescent="0.25">
      <c r="A15491" s="157">
        <v>44323</v>
      </c>
      <c r="B15491" s="158">
        <v>2.17</v>
      </c>
    </row>
    <row r="15492" spans="1:2" x14ac:dyDescent="0.25">
      <c r="A15492" s="157">
        <v>44326</v>
      </c>
      <c r="B15492" s="158">
        <v>2.2000000000000002</v>
      </c>
    </row>
    <row r="15493" spans="1:2" x14ac:dyDescent="0.25">
      <c r="A15493" s="157">
        <v>44327</v>
      </c>
      <c r="B15493" s="158">
        <v>2.23</v>
      </c>
    </row>
    <row r="15494" spans="1:2" x14ac:dyDescent="0.25">
      <c r="A15494" s="157">
        <v>44328</v>
      </c>
      <c r="B15494" s="158">
        <v>2.29</v>
      </c>
    </row>
    <row r="15495" spans="1:2" x14ac:dyDescent="0.25">
      <c r="A15495" s="157">
        <v>44329</v>
      </c>
      <c r="B15495" s="158">
        <v>2.2799999999999998</v>
      </c>
    </row>
    <row r="15496" spans="1:2" x14ac:dyDescent="0.25">
      <c r="A15496" s="157">
        <v>44330</v>
      </c>
      <c r="B15496" s="158">
        <v>2.25</v>
      </c>
    </row>
    <row r="15497" spans="1:2" x14ac:dyDescent="0.25">
      <c r="A15497" s="157">
        <v>44333</v>
      </c>
      <c r="B15497" s="158">
        <v>2.27</v>
      </c>
    </row>
    <row r="15498" spans="1:2" x14ac:dyDescent="0.25">
      <c r="A15498" s="157">
        <v>44334</v>
      </c>
      <c r="B15498" s="158">
        <v>2.27</v>
      </c>
    </row>
    <row r="15499" spans="1:2" x14ac:dyDescent="0.25">
      <c r="A15499" s="157">
        <v>44335</v>
      </c>
      <c r="B15499" s="158">
        <v>2.2999999999999998</v>
      </c>
    </row>
    <row r="15500" spans="1:2" x14ac:dyDescent="0.25">
      <c r="A15500" s="157">
        <v>44336</v>
      </c>
      <c r="B15500" s="158">
        <v>2.25</v>
      </c>
    </row>
    <row r="15501" spans="1:2" x14ac:dyDescent="0.25">
      <c r="A15501" s="157">
        <v>44337</v>
      </c>
      <c r="B15501" s="158">
        <v>2.2400000000000002</v>
      </c>
    </row>
    <row r="15502" spans="1:2" x14ac:dyDescent="0.25">
      <c r="A15502" s="157">
        <v>44340</v>
      </c>
      <c r="B15502" s="158">
        <v>2.2200000000000002</v>
      </c>
    </row>
    <row r="15503" spans="1:2" x14ac:dyDescent="0.25">
      <c r="A15503" s="157">
        <v>44341</v>
      </c>
      <c r="B15503" s="158">
        <v>2.16</v>
      </c>
    </row>
    <row r="15504" spans="1:2" x14ac:dyDescent="0.25">
      <c r="A15504" s="157">
        <v>44342</v>
      </c>
      <c r="B15504" s="158">
        <v>2.17</v>
      </c>
    </row>
    <row r="15505" spans="1:2" x14ac:dyDescent="0.25">
      <c r="A15505" s="157">
        <v>44343</v>
      </c>
      <c r="B15505" s="158">
        <v>2.2000000000000002</v>
      </c>
    </row>
    <row r="15506" spans="1:2" x14ac:dyDescent="0.25">
      <c r="A15506" s="157">
        <v>44344</v>
      </c>
      <c r="B15506" s="158">
        <v>2.1800000000000002</v>
      </c>
    </row>
    <row r="15507" spans="1:2" x14ac:dyDescent="0.25">
      <c r="A15507" s="157">
        <v>44347</v>
      </c>
      <c r="B15507" s="158" t="e">
        <f>NA()</f>
        <v>#N/A</v>
      </c>
    </row>
    <row r="15508" spans="1:2" x14ac:dyDescent="0.25">
      <c r="A15508" s="157">
        <v>44348</v>
      </c>
      <c r="B15508" s="158">
        <v>2.2200000000000002</v>
      </c>
    </row>
    <row r="15509" spans="1:2" x14ac:dyDescent="0.25">
      <c r="A15509" s="157">
        <v>44349</v>
      </c>
      <c r="B15509" s="158">
        <v>2.21</v>
      </c>
    </row>
    <row r="15510" spans="1:2" x14ac:dyDescent="0.25">
      <c r="A15510" s="157">
        <v>44350</v>
      </c>
      <c r="B15510" s="158">
        <v>2.2200000000000002</v>
      </c>
    </row>
    <row r="15511" spans="1:2" x14ac:dyDescent="0.25">
      <c r="A15511" s="157">
        <v>44351</v>
      </c>
      <c r="B15511" s="158">
        <v>2.16</v>
      </c>
    </row>
    <row r="15512" spans="1:2" x14ac:dyDescent="0.25">
      <c r="A15512" s="157">
        <v>44354</v>
      </c>
      <c r="B15512" s="158">
        <v>2.17</v>
      </c>
    </row>
    <row r="15513" spans="1:2" x14ac:dyDescent="0.25">
      <c r="A15513" s="157">
        <v>44355</v>
      </c>
      <c r="B15513" s="158">
        <v>2.13</v>
      </c>
    </row>
    <row r="15514" spans="1:2" x14ac:dyDescent="0.25">
      <c r="A15514" s="157">
        <v>44356</v>
      </c>
      <c r="B15514" s="158">
        <v>2.1</v>
      </c>
    </row>
    <row r="15515" spans="1:2" x14ac:dyDescent="0.25">
      <c r="A15515" s="157">
        <v>44357</v>
      </c>
      <c r="B15515" s="158">
        <v>2.0699999999999998</v>
      </c>
    </row>
    <row r="15516" spans="1:2" x14ac:dyDescent="0.25">
      <c r="A15516" s="157">
        <v>44358</v>
      </c>
      <c r="B15516" s="158">
        <v>2.08</v>
      </c>
    </row>
    <row r="15517" spans="1:2" x14ac:dyDescent="0.25">
      <c r="A15517" s="157">
        <v>44361</v>
      </c>
      <c r="B15517" s="158">
        <v>2.12</v>
      </c>
    </row>
    <row r="15518" spans="1:2" x14ac:dyDescent="0.25">
      <c r="A15518" s="157">
        <v>44362</v>
      </c>
      <c r="B15518" s="158">
        <v>2.12</v>
      </c>
    </row>
    <row r="15519" spans="1:2" x14ac:dyDescent="0.25">
      <c r="A15519" s="157">
        <v>44363</v>
      </c>
      <c r="B15519" s="158">
        <v>2.13</v>
      </c>
    </row>
    <row r="15520" spans="1:2" x14ac:dyDescent="0.25">
      <c r="A15520" s="157">
        <v>44364</v>
      </c>
      <c r="B15520" s="158">
        <v>2.0499999999999998</v>
      </c>
    </row>
    <row r="15521" spans="1:2" x14ac:dyDescent="0.25">
      <c r="A15521" s="157">
        <v>44365</v>
      </c>
      <c r="B15521" s="158">
        <v>1.97</v>
      </c>
    </row>
    <row r="15522" spans="1:2" x14ac:dyDescent="0.25">
      <c r="A15522" s="157">
        <v>44368</v>
      </c>
      <c r="B15522" s="158">
        <v>2.0499999999999998</v>
      </c>
    </row>
    <row r="15523" spans="1:2" x14ac:dyDescent="0.25">
      <c r="A15523" s="157">
        <v>44369</v>
      </c>
      <c r="B15523" s="158">
        <v>2.0299999999999998</v>
      </c>
    </row>
    <row r="15524" spans="1:2" x14ac:dyDescent="0.25">
      <c r="A15524" s="157">
        <v>44370</v>
      </c>
      <c r="B15524" s="158">
        <v>2.04</v>
      </c>
    </row>
    <row r="15525" spans="1:2" x14ac:dyDescent="0.25">
      <c r="A15525" s="157">
        <v>44371</v>
      </c>
      <c r="B15525" s="158">
        <v>2.0299999999999998</v>
      </c>
    </row>
    <row r="15526" spans="1:2" x14ac:dyDescent="0.25">
      <c r="A15526" s="157">
        <v>44372</v>
      </c>
      <c r="B15526" s="158">
        <v>2.09</v>
      </c>
    </row>
    <row r="15527" spans="1:2" x14ac:dyDescent="0.25">
      <c r="A15527" s="157">
        <v>44375</v>
      </c>
      <c r="B15527" s="158">
        <v>2.04</v>
      </c>
    </row>
    <row r="15528" spans="1:2" x14ac:dyDescent="0.25">
      <c r="A15528" s="157">
        <v>44376</v>
      </c>
      <c r="B15528" s="158">
        <v>2.0299999999999998</v>
      </c>
    </row>
    <row r="15529" spans="1:2" x14ac:dyDescent="0.25">
      <c r="A15529" s="157">
        <v>44377</v>
      </c>
      <c r="B15529" s="158">
        <v>2</v>
      </c>
    </row>
    <row r="15530" spans="1:2" x14ac:dyDescent="0.25">
      <c r="A15530" s="157">
        <v>44378</v>
      </c>
      <c r="B15530" s="158">
        <v>2.0099999999999998</v>
      </c>
    </row>
    <row r="15531" spans="1:2" x14ac:dyDescent="0.25">
      <c r="A15531" s="157">
        <v>44379</v>
      </c>
      <c r="B15531" s="158">
        <v>1.98</v>
      </c>
    </row>
    <row r="15532" spans="1:2" x14ac:dyDescent="0.25">
      <c r="A15532" s="157">
        <v>44382</v>
      </c>
      <c r="B15532" s="158" t="e">
        <f>NA()</f>
        <v>#N/A</v>
      </c>
    </row>
    <row r="15533" spans="1:2" x14ac:dyDescent="0.25">
      <c r="A15533" s="157">
        <v>44383</v>
      </c>
      <c r="B15533" s="158">
        <v>1.92</v>
      </c>
    </row>
    <row r="15534" spans="1:2" x14ac:dyDescent="0.25">
      <c r="A15534" s="157">
        <v>44384</v>
      </c>
      <c r="B15534" s="158">
        <v>1.87</v>
      </c>
    </row>
    <row r="15535" spans="1:2" x14ac:dyDescent="0.25">
      <c r="A15535" s="157">
        <v>44385</v>
      </c>
      <c r="B15535" s="158">
        <v>1.84</v>
      </c>
    </row>
    <row r="15536" spans="1:2" x14ac:dyDescent="0.25">
      <c r="A15536" s="157">
        <v>44386</v>
      </c>
      <c r="B15536" s="158">
        <v>1.91</v>
      </c>
    </row>
    <row r="15537" spans="1:2" x14ac:dyDescent="0.25">
      <c r="A15537" s="157">
        <v>44389</v>
      </c>
      <c r="B15537" s="158">
        <v>1.93</v>
      </c>
    </row>
    <row r="15538" spans="1:2" x14ac:dyDescent="0.25">
      <c r="A15538" s="157">
        <v>44390</v>
      </c>
      <c r="B15538" s="158">
        <v>1.96</v>
      </c>
    </row>
    <row r="15539" spans="1:2" x14ac:dyDescent="0.25">
      <c r="A15539" s="157">
        <v>44391</v>
      </c>
      <c r="B15539" s="158">
        <v>1.91</v>
      </c>
    </row>
    <row r="15540" spans="1:2" x14ac:dyDescent="0.25">
      <c r="A15540" s="157">
        <v>44392</v>
      </c>
      <c r="B15540" s="158">
        <v>1.85</v>
      </c>
    </row>
    <row r="15541" spans="1:2" x14ac:dyDescent="0.25">
      <c r="A15541" s="157">
        <v>44393</v>
      </c>
      <c r="B15541" s="158">
        <v>1.86</v>
      </c>
    </row>
    <row r="15542" spans="1:2" x14ac:dyDescent="0.25">
      <c r="A15542" s="157">
        <v>44396</v>
      </c>
      <c r="B15542" s="158">
        <v>1.74</v>
      </c>
    </row>
    <row r="15543" spans="1:2" x14ac:dyDescent="0.25">
      <c r="A15543" s="157">
        <v>44397</v>
      </c>
      <c r="B15543" s="158">
        <v>1.79</v>
      </c>
    </row>
    <row r="15544" spans="1:2" x14ac:dyDescent="0.25">
      <c r="A15544" s="157">
        <v>44398</v>
      </c>
      <c r="B15544" s="158">
        <v>1.87</v>
      </c>
    </row>
    <row r="15545" spans="1:2" x14ac:dyDescent="0.25">
      <c r="A15545" s="157">
        <v>44399</v>
      </c>
      <c r="B15545" s="158">
        <v>1.82</v>
      </c>
    </row>
    <row r="15546" spans="1:2" x14ac:dyDescent="0.25">
      <c r="A15546" s="157">
        <v>44400</v>
      </c>
      <c r="B15546" s="158">
        <v>1.85</v>
      </c>
    </row>
    <row r="15547" spans="1:2" x14ac:dyDescent="0.25">
      <c r="A15547" s="157">
        <v>44403</v>
      </c>
      <c r="B15547" s="158">
        <v>1.85</v>
      </c>
    </row>
    <row r="15548" spans="1:2" x14ac:dyDescent="0.25">
      <c r="A15548" s="157">
        <v>44404</v>
      </c>
      <c r="B15548" s="158">
        <v>1.81</v>
      </c>
    </row>
    <row r="15549" spans="1:2" x14ac:dyDescent="0.25">
      <c r="A15549" s="157">
        <v>44405</v>
      </c>
      <c r="B15549" s="158">
        <v>1.83</v>
      </c>
    </row>
    <row r="15550" spans="1:2" x14ac:dyDescent="0.25">
      <c r="A15550" s="157">
        <v>44406</v>
      </c>
      <c r="B15550" s="158">
        <v>1.84</v>
      </c>
    </row>
    <row r="15551" spans="1:2" x14ac:dyDescent="0.25">
      <c r="A15551" s="157">
        <v>44407</v>
      </c>
      <c r="B15551" s="158">
        <v>1.81</v>
      </c>
    </row>
    <row r="15552" spans="1:2" x14ac:dyDescent="0.25">
      <c r="A15552" s="157">
        <v>44410</v>
      </c>
      <c r="B15552" s="158">
        <v>1.77</v>
      </c>
    </row>
    <row r="15553" spans="1:2" x14ac:dyDescent="0.25">
      <c r="A15553" s="157">
        <v>44411</v>
      </c>
      <c r="B15553" s="158">
        <v>1.76</v>
      </c>
    </row>
    <row r="15554" spans="1:2" x14ac:dyDescent="0.25">
      <c r="A15554" s="157">
        <v>44412</v>
      </c>
      <c r="B15554" s="158">
        <v>1.74</v>
      </c>
    </row>
    <row r="15555" spans="1:2" x14ac:dyDescent="0.25">
      <c r="A15555" s="157">
        <v>44413</v>
      </c>
      <c r="B15555" s="158">
        <v>1.77</v>
      </c>
    </row>
    <row r="15556" spans="1:2" x14ac:dyDescent="0.25">
      <c r="A15556" s="157">
        <v>44414</v>
      </c>
      <c r="B15556" s="158">
        <v>1.85</v>
      </c>
    </row>
    <row r="15557" spans="1:2" x14ac:dyDescent="0.25">
      <c r="A15557" s="157">
        <v>44417</v>
      </c>
      <c r="B15557" s="158">
        <v>1.87</v>
      </c>
    </row>
    <row r="15558" spans="1:2" x14ac:dyDescent="0.25">
      <c r="A15558" s="157">
        <v>44418</v>
      </c>
      <c r="B15558" s="158">
        <v>1.9</v>
      </c>
    </row>
    <row r="15559" spans="1:2" x14ac:dyDescent="0.25">
      <c r="A15559" s="157">
        <v>44419</v>
      </c>
      <c r="B15559" s="158">
        <v>1.9</v>
      </c>
    </row>
    <row r="15560" spans="1:2" x14ac:dyDescent="0.25">
      <c r="A15560" s="157">
        <v>44420</v>
      </c>
      <c r="B15560" s="158">
        <v>1.92</v>
      </c>
    </row>
    <row r="15561" spans="1:2" x14ac:dyDescent="0.25">
      <c r="A15561" s="157">
        <v>44421</v>
      </c>
      <c r="B15561" s="158">
        <v>1.85</v>
      </c>
    </row>
    <row r="15562" spans="1:2" x14ac:dyDescent="0.25">
      <c r="A15562" s="157">
        <v>44424</v>
      </c>
      <c r="B15562" s="158">
        <v>1.82</v>
      </c>
    </row>
    <row r="15563" spans="1:2" x14ac:dyDescent="0.25">
      <c r="A15563" s="157">
        <v>44425</v>
      </c>
      <c r="B15563" s="158">
        <v>1.82</v>
      </c>
    </row>
    <row r="15564" spans="1:2" x14ac:dyDescent="0.25">
      <c r="A15564" s="157">
        <v>44426</v>
      </c>
      <c r="B15564" s="158">
        <v>1.84</v>
      </c>
    </row>
    <row r="15565" spans="1:2" x14ac:dyDescent="0.25">
      <c r="A15565" s="157">
        <v>44427</v>
      </c>
      <c r="B15565" s="158">
        <v>1.8</v>
      </c>
    </row>
    <row r="15566" spans="1:2" x14ac:dyDescent="0.25">
      <c r="A15566" s="157">
        <v>44428</v>
      </c>
      <c r="B15566" s="158">
        <v>1.79</v>
      </c>
    </row>
    <row r="15567" spans="1:2" x14ac:dyDescent="0.25">
      <c r="A15567" s="157">
        <v>44431</v>
      </c>
      <c r="B15567" s="158">
        <v>1.79</v>
      </c>
    </row>
    <row r="15568" spans="1:2" x14ac:dyDescent="0.25">
      <c r="A15568" s="157">
        <v>44432</v>
      </c>
      <c r="B15568" s="158">
        <v>1.83</v>
      </c>
    </row>
    <row r="15569" spans="1:2" x14ac:dyDescent="0.25">
      <c r="A15569" s="157">
        <v>44433</v>
      </c>
      <c r="B15569" s="158">
        <v>1.88</v>
      </c>
    </row>
    <row r="15570" spans="1:2" x14ac:dyDescent="0.25">
      <c r="A15570" s="157">
        <v>44434</v>
      </c>
      <c r="B15570" s="158">
        <v>1.87</v>
      </c>
    </row>
    <row r="15571" spans="1:2" x14ac:dyDescent="0.25">
      <c r="A15571" s="157">
        <v>44435</v>
      </c>
      <c r="B15571" s="158">
        <v>1.84</v>
      </c>
    </row>
    <row r="15572" spans="1:2" x14ac:dyDescent="0.25">
      <c r="A15572" s="157">
        <v>44438</v>
      </c>
      <c r="B15572" s="158">
        <v>1.82</v>
      </c>
    </row>
    <row r="15573" spans="1:2" x14ac:dyDescent="0.25">
      <c r="A15573" s="157">
        <v>44439</v>
      </c>
      <c r="B15573" s="158">
        <v>1.85</v>
      </c>
    </row>
    <row r="15574" spans="1:2" x14ac:dyDescent="0.25">
      <c r="A15574" s="157">
        <v>44440</v>
      </c>
      <c r="B15574" s="158">
        <v>1.84</v>
      </c>
    </row>
    <row r="15575" spans="1:2" x14ac:dyDescent="0.25">
      <c r="A15575" s="157">
        <v>44441</v>
      </c>
      <c r="B15575" s="158">
        <v>1.83</v>
      </c>
    </row>
    <row r="15576" spans="1:2" x14ac:dyDescent="0.25">
      <c r="A15576" s="157">
        <v>44442</v>
      </c>
      <c r="B15576" s="158">
        <v>1.87</v>
      </c>
    </row>
    <row r="15577" spans="1:2" x14ac:dyDescent="0.25">
      <c r="A15577" s="157">
        <v>44445</v>
      </c>
      <c r="B15577" s="158" t="e">
        <f>NA()</f>
        <v>#N/A</v>
      </c>
    </row>
    <row r="15578" spans="1:2" x14ac:dyDescent="0.25">
      <c r="A15578" s="157">
        <v>44446</v>
      </c>
      <c r="B15578" s="158">
        <v>1.91</v>
      </c>
    </row>
    <row r="15579" spans="1:2" x14ac:dyDescent="0.25">
      <c r="A15579" s="157">
        <v>44447</v>
      </c>
      <c r="B15579" s="158">
        <v>1.88</v>
      </c>
    </row>
    <row r="15580" spans="1:2" x14ac:dyDescent="0.25">
      <c r="A15580" s="157">
        <v>44448</v>
      </c>
      <c r="B15580" s="158">
        <v>1.83</v>
      </c>
    </row>
    <row r="15581" spans="1:2" x14ac:dyDescent="0.25">
      <c r="A15581" s="157">
        <v>44449</v>
      </c>
      <c r="B15581" s="158">
        <v>1.86</v>
      </c>
    </row>
    <row r="15582" spans="1:2" x14ac:dyDescent="0.25">
      <c r="A15582" s="157">
        <v>44452</v>
      </c>
      <c r="B15582" s="158">
        <v>1.83</v>
      </c>
    </row>
    <row r="15583" spans="1:2" x14ac:dyDescent="0.25">
      <c r="A15583" s="157">
        <v>44453</v>
      </c>
      <c r="B15583" s="158">
        <v>1.78</v>
      </c>
    </row>
    <row r="15584" spans="1:2" x14ac:dyDescent="0.25">
      <c r="A15584" s="157">
        <v>44454</v>
      </c>
      <c r="B15584" s="158">
        <v>1.8</v>
      </c>
    </row>
    <row r="15585" spans="1:2" x14ac:dyDescent="0.25">
      <c r="A15585" s="157">
        <v>44455</v>
      </c>
      <c r="B15585" s="158">
        <v>1.83</v>
      </c>
    </row>
    <row r="15586" spans="1:2" x14ac:dyDescent="0.25">
      <c r="A15586" s="157">
        <v>44456</v>
      </c>
      <c r="B15586" s="158">
        <v>1.85</v>
      </c>
    </row>
    <row r="15587" spans="1:2" x14ac:dyDescent="0.25">
      <c r="A15587" s="157">
        <v>44459</v>
      </c>
      <c r="B15587" s="158">
        <v>1.79</v>
      </c>
    </row>
    <row r="15588" spans="1:2" x14ac:dyDescent="0.25">
      <c r="A15588" s="157">
        <v>44460</v>
      </c>
      <c r="B15588" s="158">
        <v>1.81</v>
      </c>
    </row>
    <row r="15589" spans="1:2" x14ac:dyDescent="0.25">
      <c r="A15589" s="157">
        <v>44461</v>
      </c>
      <c r="B15589" s="158">
        <v>1.78</v>
      </c>
    </row>
    <row r="15590" spans="1:2" x14ac:dyDescent="0.25">
      <c r="A15590" s="157">
        <v>44462</v>
      </c>
      <c r="B15590" s="158">
        <v>1.87</v>
      </c>
    </row>
    <row r="15591" spans="1:2" x14ac:dyDescent="0.25">
      <c r="A15591" s="157">
        <v>44463</v>
      </c>
      <c r="B15591" s="158">
        <v>1.94</v>
      </c>
    </row>
    <row r="15592" spans="1:2" x14ac:dyDescent="0.25">
      <c r="A15592" s="157">
        <v>44466</v>
      </c>
      <c r="B15592" s="158">
        <v>1.95</v>
      </c>
    </row>
    <row r="15593" spans="1:2" x14ac:dyDescent="0.25">
      <c r="A15593" s="157">
        <v>44467</v>
      </c>
      <c r="B15593" s="158">
        <v>2.02</v>
      </c>
    </row>
    <row r="15594" spans="1:2" x14ac:dyDescent="0.25">
      <c r="A15594" s="157">
        <v>44468</v>
      </c>
      <c r="B15594" s="158">
        <v>2.04</v>
      </c>
    </row>
    <row r="15595" spans="1:2" x14ac:dyDescent="0.25">
      <c r="A15595" s="157">
        <v>44469</v>
      </c>
      <c r="B15595" s="158">
        <v>2.02</v>
      </c>
    </row>
    <row r="15596" spans="1:2" x14ac:dyDescent="0.25">
      <c r="A15596" s="157">
        <v>44470</v>
      </c>
      <c r="B15596" s="158">
        <v>1.99</v>
      </c>
    </row>
    <row r="15597" spans="1:2" x14ac:dyDescent="0.25">
      <c r="A15597" s="157">
        <v>44473</v>
      </c>
      <c r="B15597" s="158">
        <v>1.99</v>
      </c>
    </row>
    <row r="15598" spans="1:2" x14ac:dyDescent="0.25">
      <c r="A15598" s="157">
        <v>44474</v>
      </c>
      <c r="B15598" s="158">
        <v>2.04</v>
      </c>
    </row>
    <row r="15599" spans="1:2" x14ac:dyDescent="0.25">
      <c r="A15599" s="157">
        <v>44475</v>
      </c>
      <c r="B15599" s="158">
        <v>2.02</v>
      </c>
    </row>
    <row r="15600" spans="1:2" x14ac:dyDescent="0.25">
      <c r="A15600" s="157">
        <v>44476</v>
      </c>
      <c r="B15600" s="158">
        <v>2.08</v>
      </c>
    </row>
    <row r="15601" spans="1:2" x14ac:dyDescent="0.25">
      <c r="A15601" s="157">
        <v>44477</v>
      </c>
      <c r="B15601" s="158">
        <v>2.11</v>
      </c>
    </row>
    <row r="15602" spans="1:2" x14ac:dyDescent="0.25">
      <c r="A15602" s="157">
        <v>44480</v>
      </c>
      <c r="B15602" s="158" t="e">
        <f>NA()</f>
        <v>#N/A</v>
      </c>
    </row>
    <row r="15603" spans="1:2" x14ac:dyDescent="0.25">
      <c r="A15603" s="157">
        <v>44481</v>
      </c>
      <c r="B15603" s="158">
        <v>2.0499999999999998</v>
      </c>
    </row>
    <row r="15604" spans="1:2" x14ac:dyDescent="0.25">
      <c r="A15604" s="157">
        <v>44482</v>
      </c>
      <c r="B15604" s="158">
        <v>2</v>
      </c>
    </row>
    <row r="15605" spans="1:2" x14ac:dyDescent="0.25">
      <c r="A15605" s="157">
        <v>44483</v>
      </c>
      <c r="B15605" s="158">
        <v>1.97</v>
      </c>
    </row>
    <row r="15606" spans="1:2" x14ac:dyDescent="0.25">
      <c r="A15606" s="157">
        <v>44484</v>
      </c>
      <c r="B15606" s="158">
        <v>2.02</v>
      </c>
    </row>
    <row r="15607" spans="1:2" x14ac:dyDescent="0.25">
      <c r="A15607" s="157">
        <v>44487</v>
      </c>
      <c r="B15607" s="158">
        <v>1.99</v>
      </c>
    </row>
    <row r="15608" spans="1:2" x14ac:dyDescent="0.25">
      <c r="A15608" s="157">
        <v>44488</v>
      </c>
      <c r="B15608" s="158">
        <v>2.0699999999999998</v>
      </c>
    </row>
    <row r="15609" spans="1:2" x14ac:dyDescent="0.25">
      <c r="A15609" s="157">
        <v>44489</v>
      </c>
      <c r="B15609" s="158">
        <v>2.09</v>
      </c>
    </row>
    <row r="15610" spans="1:2" x14ac:dyDescent="0.25">
      <c r="A15610" s="157">
        <v>44490</v>
      </c>
      <c r="B15610" s="158">
        <v>2.1</v>
      </c>
    </row>
    <row r="15611" spans="1:2" x14ac:dyDescent="0.25">
      <c r="A15611" s="157">
        <v>44491</v>
      </c>
      <c r="B15611" s="158">
        <v>2.06</v>
      </c>
    </row>
    <row r="15612" spans="1:2" x14ac:dyDescent="0.25">
      <c r="A15612" s="157">
        <v>44494</v>
      </c>
      <c r="B15612" s="158">
        <v>2.0699999999999998</v>
      </c>
    </row>
    <row r="15613" spans="1:2" x14ac:dyDescent="0.25">
      <c r="A15613" s="157">
        <v>44495</v>
      </c>
      <c r="B15613" s="158">
        <v>2.0299999999999998</v>
      </c>
    </row>
    <row r="15614" spans="1:2" x14ac:dyDescent="0.25">
      <c r="A15614" s="157">
        <v>44496</v>
      </c>
      <c r="B15614" s="158">
        <v>1.93</v>
      </c>
    </row>
    <row r="15615" spans="1:2" x14ac:dyDescent="0.25">
      <c r="A15615" s="157">
        <v>44497</v>
      </c>
      <c r="B15615" s="158">
        <v>1.98</v>
      </c>
    </row>
    <row r="15616" spans="1:2" x14ac:dyDescent="0.25">
      <c r="A15616" s="157">
        <v>44498</v>
      </c>
      <c r="B15616" s="158">
        <v>1.98</v>
      </c>
    </row>
    <row r="15617" spans="1:2" x14ac:dyDescent="0.25">
      <c r="A15617" s="157">
        <v>44501</v>
      </c>
      <c r="B15617" s="158">
        <v>2.0099999999999998</v>
      </c>
    </row>
    <row r="15618" spans="1:2" x14ac:dyDescent="0.25">
      <c r="A15618" s="157">
        <v>44502</v>
      </c>
      <c r="B15618" s="158">
        <v>1.97</v>
      </c>
    </row>
    <row r="15619" spans="1:2" x14ac:dyDescent="0.25">
      <c r="A15619" s="157">
        <v>44503</v>
      </c>
      <c r="B15619" s="158">
        <v>2.0099999999999998</v>
      </c>
    </row>
    <row r="15620" spans="1:2" x14ac:dyDescent="0.25">
      <c r="A15620" s="157">
        <v>44504</v>
      </c>
      <c r="B15620" s="158">
        <v>1.96</v>
      </c>
    </row>
    <row r="15621" spans="1:2" x14ac:dyDescent="0.25">
      <c r="A15621" s="157">
        <v>44505</v>
      </c>
      <c r="B15621" s="158">
        <v>1.88</v>
      </c>
    </row>
    <row r="15622" spans="1:2" x14ac:dyDescent="0.25">
      <c r="A15622" s="157">
        <v>44508</v>
      </c>
      <c r="B15622" s="158">
        <v>1.91</v>
      </c>
    </row>
    <row r="15623" spans="1:2" x14ac:dyDescent="0.25">
      <c r="A15623" s="157">
        <v>44509</v>
      </c>
      <c r="B15623" s="158">
        <v>1.86</v>
      </c>
    </row>
    <row r="15624" spans="1:2" x14ac:dyDescent="0.25">
      <c r="A15624" s="157">
        <v>44510</v>
      </c>
      <c r="B15624" s="158">
        <v>1.96</v>
      </c>
    </row>
    <row r="15625" spans="1:2" x14ac:dyDescent="0.25">
      <c r="A15625" s="157">
        <v>44511</v>
      </c>
      <c r="B15625" s="158" t="e">
        <f>NA()</f>
        <v>#N/A</v>
      </c>
    </row>
    <row r="15626" spans="1:2" x14ac:dyDescent="0.25">
      <c r="A15626" s="157">
        <v>44512</v>
      </c>
      <c r="B15626" s="158">
        <v>1.99</v>
      </c>
    </row>
    <row r="15627" spans="1:2" x14ac:dyDescent="0.25">
      <c r="A15627" s="157">
        <v>44515</v>
      </c>
      <c r="B15627" s="158">
        <v>2.0499999999999998</v>
      </c>
    </row>
    <row r="15628" spans="1:2" x14ac:dyDescent="0.25">
      <c r="A15628" s="157">
        <v>44516</v>
      </c>
      <c r="B15628" s="158">
        <v>2.06</v>
      </c>
    </row>
    <row r="15629" spans="1:2" x14ac:dyDescent="0.25">
      <c r="A15629" s="157">
        <v>44517</v>
      </c>
      <c r="B15629" s="158">
        <v>2.04</v>
      </c>
    </row>
    <row r="15630" spans="1:2" x14ac:dyDescent="0.25">
      <c r="A15630" s="157">
        <v>44518</v>
      </c>
      <c r="B15630" s="158">
        <v>2.0099999999999998</v>
      </c>
    </row>
    <row r="15631" spans="1:2" x14ac:dyDescent="0.25">
      <c r="A15631" s="157">
        <v>44519</v>
      </c>
      <c r="B15631" s="158">
        <v>1.95</v>
      </c>
    </row>
    <row r="15632" spans="1:2" x14ac:dyDescent="0.25">
      <c r="A15632" s="157">
        <v>44522</v>
      </c>
      <c r="B15632" s="158">
        <v>2.0299999999999998</v>
      </c>
    </row>
    <row r="15633" spans="1:2" x14ac:dyDescent="0.25">
      <c r="A15633" s="157">
        <v>44523</v>
      </c>
      <c r="B15633" s="158">
        <v>2.08</v>
      </c>
    </row>
    <row r="15634" spans="1:2" x14ac:dyDescent="0.25">
      <c r="A15634" s="157">
        <v>44524</v>
      </c>
      <c r="B15634" s="158">
        <v>2.0299999999999998</v>
      </c>
    </row>
    <row r="15635" spans="1:2" x14ac:dyDescent="0.25">
      <c r="A15635" s="157">
        <v>44525</v>
      </c>
      <c r="B15635" s="158" t="e">
        <f>NA()</f>
        <v>#N/A</v>
      </c>
    </row>
    <row r="15636" spans="1:2" x14ac:dyDescent="0.25">
      <c r="A15636" s="157">
        <v>44526</v>
      </c>
      <c r="B15636" s="158">
        <v>1.89</v>
      </c>
    </row>
    <row r="15637" spans="1:2" x14ac:dyDescent="0.25">
      <c r="A15637" s="157">
        <v>44529</v>
      </c>
      <c r="B15637" s="158">
        <v>1.93</v>
      </c>
    </row>
    <row r="15638" spans="1:2" x14ac:dyDescent="0.25">
      <c r="A15638" s="157">
        <v>44530</v>
      </c>
      <c r="B15638" s="158">
        <v>1.85</v>
      </c>
    </row>
    <row r="15639" spans="1:2" x14ac:dyDescent="0.25">
      <c r="A15639" s="157">
        <v>44531</v>
      </c>
      <c r="B15639" s="158">
        <v>1.84</v>
      </c>
    </row>
    <row r="15640" spans="1:2" x14ac:dyDescent="0.25">
      <c r="A15640" s="157">
        <v>44532</v>
      </c>
      <c r="B15640" s="158">
        <v>1.87</v>
      </c>
    </row>
    <row r="15641" spans="1:2" x14ac:dyDescent="0.25">
      <c r="A15641" s="157">
        <v>44533</v>
      </c>
      <c r="B15641" s="158">
        <v>1.77</v>
      </c>
    </row>
    <row r="15642" spans="1:2" x14ac:dyDescent="0.25">
      <c r="A15642" s="157">
        <v>44536</v>
      </c>
      <c r="B15642" s="158">
        <v>1.84</v>
      </c>
    </row>
    <row r="15643" spans="1:2" x14ac:dyDescent="0.25">
      <c r="A15643" s="157">
        <v>44537</v>
      </c>
      <c r="B15643" s="158">
        <v>1.88</v>
      </c>
    </row>
    <row r="15644" spans="1:2" x14ac:dyDescent="0.25">
      <c r="A15644" s="157">
        <v>44538</v>
      </c>
      <c r="B15644" s="158">
        <v>1.93</v>
      </c>
    </row>
    <row r="15645" spans="1:2" x14ac:dyDescent="0.25">
      <c r="A15645" s="157">
        <v>44539</v>
      </c>
      <c r="B15645" s="158">
        <v>1.91</v>
      </c>
    </row>
    <row r="15646" spans="1:2" x14ac:dyDescent="0.25">
      <c r="A15646" s="157">
        <v>44540</v>
      </c>
      <c r="B15646" s="158">
        <v>1.91</v>
      </c>
    </row>
    <row r="15647" spans="1:2" x14ac:dyDescent="0.25">
      <c r="A15647" s="157">
        <v>44543</v>
      </c>
      <c r="B15647" s="158">
        <v>1.86</v>
      </c>
    </row>
    <row r="15648" spans="1:2" x14ac:dyDescent="0.25">
      <c r="A15648" s="157">
        <v>44544</v>
      </c>
      <c r="B15648" s="158">
        <v>1.87</v>
      </c>
    </row>
    <row r="15649" spans="1:2" x14ac:dyDescent="0.25">
      <c r="A15649" s="157">
        <v>44545</v>
      </c>
      <c r="B15649" s="158">
        <v>1.91</v>
      </c>
    </row>
    <row r="15650" spans="1:2" x14ac:dyDescent="0.25">
      <c r="A15650" s="157">
        <v>44546</v>
      </c>
      <c r="B15650" s="158">
        <v>1.91</v>
      </c>
    </row>
    <row r="15651" spans="1:2" x14ac:dyDescent="0.25">
      <c r="A15651" s="157">
        <v>44547</v>
      </c>
      <c r="B15651" s="158">
        <v>1.87</v>
      </c>
    </row>
    <row r="15652" spans="1:2" x14ac:dyDescent="0.25">
      <c r="A15652" s="157">
        <v>44550</v>
      </c>
      <c r="B15652" s="158">
        <v>1.9</v>
      </c>
    </row>
    <row r="15653" spans="1:2" x14ac:dyDescent="0.25">
      <c r="A15653" s="157">
        <v>44551</v>
      </c>
      <c r="B15653" s="158">
        <v>1.92</v>
      </c>
    </row>
    <row r="15654" spans="1:2" x14ac:dyDescent="0.25">
      <c r="A15654" s="157">
        <v>44552</v>
      </c>
      <c r="B15654" s="158">
        <v>1.89</v>
      </c>
    </row>
    <row r="15655" spans="1:2" x14ac:dyDescent="0.25">
      <c r="A15655" s="157">
        <v>44553</v>
      </c>
      <c r="B15655" s="158">
        <v>1.94</v>
      </c>
    </row>
    <row r="15656" spans="1:2" x14ac:dyDescent="0.25">
      <c r="A15656" s="157">
        <v>44554</v>
      </c>
      <c r="B15656" s="158" t="e">
        <f>NA()</f>
        <v>#N/A</v>
      </c>
    </row>
    <row r="15657" spans="1:2" x14ac:dyDescent="0.25">
      <c r="A15657" s="157">
        <v>44557</v>
      </c>
      <c r="B15657" s="158">
        <v>1.92</v>
      </c>
    </row>
    <row r="15658" spans="1:2" x14ac:dyDescent="0.25">
      <c r="A15658" s="157">
        <v>44558</v>
      </c>
      <c r="B15658" s="158">
        <v>1.94</v>
      </c>
    </row>
    <row r="15659" spans="1:2" x14ac:dyDescent="0.25">
      <c r="A15659" s="157">
        <v>44559</v>
      </c>
      <c r="B15659" s="158">
        <v>2</v>
      </c>
    </row>
    <row r="15660" spans="1:2" x14ac:dyDescent="0.25">
      <c r="A15660" s="157">
        <v>44560</v>
      </c>
      <c r="B15660" s="158">
        <v>1.97</v>
      </c>
    </row>
    <row r="15661" spans="1:2" x14ac:dyDescent="0.25">
      <c r="A15661" s="157">
        <v>44561</v>
      </c>
      <c r="B15661" s="158">
        <v>1.94</v>
      </c>
    </row>
    <row r="15662" spans="1:2" x14ac:dyDescent="0.25">
      <c r="A15662" s="157">
        <v>44564</v>
      </c>
      <c r="B15662" s="158">
        <v>2.0499999999999998</v>
      </c>
    </row>
    <row r="15663" spans="1:2" x14ac:dyDescent="0.25">
      <c r="A15663" s="157">
        <v>44565</v>
      </c>
      <c r="B15663" s="158">
        <v>2.1</v>
      </c>
    </row>
    <row r="15664" spans="1:2" x14ac:dyDescent="0.25">
      <c r="A15664" s="157">
        <v>44566</v>
      </c>
      <c r="B15664" s="158">
        <v>2.12</v>
      </c>
    </row>
    <row r="15665" spans="1:2" x14ac:dyDescent="0.25">
      <c r="A15665" s="157">
        <v>44567</v>
      </c>
      <c r="B15665" s="158">
        <v>2.12</v>
      </c>
    </row>
    <row r="15666" spans="1:2" x14ac:dyDescent="0.25">
      <c r="A15666" s="157">
        <v>44568</v>
      </c>
      <c r="B15666" s="158">
        <v>2.15</v>
      </c>
    </row>
    <row r="15667" spans="1:2" x14ac:dyDescent="0.25">
      <c r="A15667" s="157">
        <v>44571</v>
      </c>
      <c r="B15667" s="158">
        <v>2.15</v>
      </c>
    </row>
    <row r="15668" spans="1:2" x14ac:dyDescent="0.25">
      <c r="A15668" s="157">
        <v>44572</v>
      </c>
      <c r="B15668" s="158">
        <v>2.13</v>
      </c>
    </row>
    <row r="15669" spans="1:2" x14ac:dyDescent="0.25">
      <c r="A15669" s="157">
        <v>44573</v>
      </c>
      <c r="B15669" s="158">
        <v>2.13</v>
      </c>
    </row>
    <row r="15670" spans="1:2" x14ac:dyDescent="0.25">
      <c r="A15670" s="157">
        <v>44574</v>
      </c>
      <c r="B15670" s="158">
        <v>2.1</v>
      </c>
    </row>
    <row r="15671" spans="1:2" x14ac:dyDescent="0.25">
      <c r="A15671" s="157">
        <v>44575</v>
      </c>
      <c r="B15671" s="158">
        <v>2.1800000000000002</v>
      </c>
    </row>
    <row r="15672" spans="1:2" x14ac:dyDescent="0.25">
      <c r="A15672" s="157">
        <v>44578</v>
      </c>
      <c r="B15672" s="158" t="e">
        <f>NA()</f>
        <v>#N/A</v>
      </c>
    </row>
    <row r="15673" spans="1:2" x14ac:dyDescent="0.25">
      <c r="A15673" s="157">
        <v>44579</v>
      </c>
      <c r="B15673" s="158">
        <v>2.2400000000000002</v>
      </c>
    </row>
    <row r="15674" spans="1:2" x14ac:dyDescent="0.25">
      <c r="A15674" s="157">
        <v>44580</v>
      </c>
      <c r="B15674" s="158">
        <v>2.2000000000000002</v>
      </c>
    </row>
    <row r="15675" spans="1:2" x14ac:dyDescent="0.25">
      <c r="A15675" s="157">
        <v>44581</v>
      </c>
      <c r="B15675" s="158">
        <v>2.19</v>
      </c>
    </row>
    <row r="15676" spans="1:2" x14ac:dyDescent="0.25">
      <c r="A15676" s="157">
        <v>44582</v>
      </c>
      <c r="B15676" s="158">
        <v>2.13</v>
      </c>
    </row>
    <row r="15677" spans="1:2" x14ac:dyDescent="0.25">
      <c r="A15677" s="157">
        <v>44585</v>
      </c>
      <c r="B15677" s="158">
        <v>2.15</v>
      </c>
    </row>
    <row r="15678" spans="1:2" x14ac:dyDescent="0.25">
      <c r="A15678" s="157">
        <v>44586</v>
      </c>
      <c r="B15678" s="158">
        <v>2.1800000000000002</v>
      </c>
    </row>
    <row r="15679" spans="1:2" x14ac:dyDescent="0.25">
      <c r="A15679" s="157">
        <v>44587</v>
      </c>
      <c r="B15679" s="158">
        <v>2.2200000000000002</v>
      </c>
    </row>
    <row r="15680" spans="1:2" x14ac:dyDescent="0.25">
      <c r="A15680" s="157">
        <v>44588</v>
      </c>
      <c r="B15680" s="158">
        <v>2.17</v>
      </c>
    </row>
    <row r="15681" spans="1:2" x14ac:dyDescent="0.25">
      <c r="A15681" s="157">
        <v>44589</v>
      </c>
      <c r="B15681" s="158">
        <v>2.14</v>
      </c>
    </row>
    <row r="15682" spans="1:2" x14ac:dyDescent="0.25">
      <c r="A15682" s="157">
        <v>44592</v>
      </c>
      <c r="B15682" s="158">
        <v>2.17</v>
      </c>
    </row>
    <row r="15683" spans="1:2" x14ac:dyDescent="0.25">
      <c r="A15683" s="157">
        <v>44593</v>
      </c>
      <c r="B15683" s="158">
        <v>2.19</v>
      </c>
    </row>
    <row r="15684" spans="1:2" x14ac:dyDescent="0.25">
      <c r="A15684" s="157">
        <v>44594</v>
      </c>
      <c r="B15684" s="158">
        <v>2.17</v>
      </c>
    </row>
    <row r="15685" spans="1:2" x14ac:dyDescent="0.25">
      <c r="A15685" s="157">
        <v>44595</v>
      </c>
      <c r="B15685" s="158">
        <v>2.2000000000000002</v>
      </c>
    </row>
    <row r="15686" spans="1:2" x14ac:dyDescent="0.25">
      <c r="A15686" s="157">
        <v>44596</v>
      </c>
      <c r="B15686" s="158">
        <v>2.29</v>
      </c>
    </row>
    <row r="15687" spans="1:2" x14ac:dyDescent="0.25">
      <c r="A15687" s="157">
        <v>44599</v>
      </c>
      <c r="B15687" s="158">
        <v>2.2799999999999998</v>
      </c>
    </row>
    <row r="15688" spans="1:2" x14ac:dyDescent="0.25">
      <c r="A15688" s="157">
        <v>44600</v>
      </c>
      <c r="B15688" s="158">
        <v>2.31</v>
      </c>
    </row>
    <row r="15689" spans="1:2" x14ac:dyDescent="0.25">
      <c r="A15689" s="157">
        <v>44601</v>
      </c>
      <c r="B15689" s="158">
        <v>2.31</v>
      </c>
    </row>
    <row r="15690" spans="1:2" x14ac:dyDescent="0.25">
      <c r="A15690" s="157">
        <v>44602</v>
      </c>
      <c r="B15690" s="158">
        <v>2.37</v>
      </c>
    </row>
    <row r="15691" spans="1:2" x14ac:dyDescent="0.25">
      <c r="A15691" s="157">
        <v>44603</v>
      </c>
      <c r="B15691" s="158">
        <v>2.2999999999999998</v>
      </c>
    </row>
    <row r="15692" spans="1:2" x14ac:dyDescent="0.25">
      <c r="A15692" s="157">
        <v>44606</v>
      </c>
      <c r="B15692" s="158">
        <v>2.35</v>
      </c>
    </row>
    <row r="15693" spans="1:2" x14ac:dyDescent="0.25">
      <c r="A15693" s="157">
        <v>44607</v>
      </c>
      <c r="B15693" s="158">
        <v>2.42</v>
      </c>
    </row>
    <row r="15694" spans="1:2" x14ac:dyDescent="0.25">
      <c r="A15694" s="157">
        <v>44608</v>
      </c>
      <c r="B15694" s="158">
        <v>2.39</v>
      </c>
    </row>
    <row r="15695" spans="1:2" x14ac:dyDescent="0.25">
      <c r="A15695" s="157">
        <v>44609</v>
      </c>
      <c r="B15695" s="158">
        <v>2.35</v>
      </c>
    </row>
    <row r="15696" spans="1:2" x14ac:dyDescent="0.25">
      <c r="A15696" s="157">
        <v>44610</v>
      </c>
      <c r="B15696" s="158">
        <v>2.2999999999999998</v>
      </c>
    </row>
    <row r="15697" spans="1:2" x14ac:dyDescent="0.25">
      <c r="A15697" s="157">
        <v>44613</v>
      </c>
      <c r="B15697" s="158" t="e">
        <f>NA()</f>
        <v>#N/A</v>
      </c>
    </row>
    <row r="15698" spans="1:2" x14ac:dyDescent="0.25">
      <c r="A15698" s="157">
        <v>44614</v>
      </c>
      <c r="B15698" s="158">
        <v>2.31</v>
      </c>
    </row>
    <row r="15699" spans="1:2" x14ac:dyDescent="0.25">
      <c r="A15699" s="157">
        <v>44615</v>
      </c>
      <c r="B15699" s="158">
        <v>2.36</v>
      </c>
    </row>
    <row r="15700" spans="1:2" x14ac:dyDescent="0.25">
      <c r="A15700" s="157">
        <v>44616</v>
      </c>
      <c r="B15700" s="158">
        <v>2.36</v>
      </c>
    </row>
    <row r="15701" spans="1:2" x14ac:dyDescent="0.25">
      <c r="A15701" s="157">
        <v>44617</v>
      </c>
      <c r="B15701" s="158">
        <v>2.37</v>
      </c>
    </row>
    <row r="15702" spans="1:2" x14ac:dyDescent="0.25">
      <c r="A15702" s="157">
        <v>44620</v>
      </c>
      <c r="B15702" s="158">
        <v>2.25</v>
      </c>
    </row>
    <row r="15703" spans="1:2" x14ac:dyDescent="0.25">
      <c r="A15703" s="157">
        <v>44621</v>
      </c>
      <c r="B15703" s="158">
        <v>2.19</v>
      </c>
    </row>
    <row r="15704" spans="1:2" x14ac:dyDescent="0.25">
      <c r="A15704" s="157">
        <v>44622</v>
      </c>
      <c r="B15704" s="158">
        <v>2.3199999999999998</v>
      </c>
    </row>
    <row r="15705" spans="1:2" x14ac:dyDescent="0.25">
      <c r="A15705" s="157">
        <v>44623</v>
      </c>
      <c r="B15705" s="158">
        <v>2.3199999999999998</v>
      </c>
    </row>
    <row r="15706" spans="1:2" x14ac:dyDescent="0.25">
      <c r="A15706" s="157">
        <v>44624</v>
      </c>
      <c r="B15706" s="158">
        <v>2.23</v>
      </c>
    </row>
    <row r="15707" spans="1:2" x14ac:dyDescent="0.25">
      <c r="A15707" s="157">
        <v>44627</v>
      </c>
      <c r="B15707" s="158">
        <v>2.29</v>
      </c>
    </row>
    <row r="15708" spans="1:2" x14ac:dyDescent="0.25">
      <c r="A15708" s="157">
        <v>44628</v>
      </c>
      <c r="B15708" s="158">
        <v>2.34</v>
      </c>
    </row>
    <row r="15709" spans="1:2" x14ac:dyDescent="0.25">
      <c r="A15709" s="157">
        <v>44629</v>
      </c>
      <c r="B15709" s="158">
        <v>2.38</v>
      </c>
    </row>
    <row r="15710" spans="1:2" x14ac:dyDescent="0.25">
      <c r="A15710" s="157">
        <v>44630</v>
      </c>
      <c r="B15710" s="158">
        <v>2.4500000000000002</v>
      </c>
    </row>
    <row r="15711" spans="1:2" x14ac:dyDescent="0.25">
      <c r="A15711" s="157">
        <v>44631</v>
      </c>
      <c r="B15711" s="158">
        <v>2.4500000000000002</v>
      </c>
    </row>
    <row r="15712" spans="1:2" x14ac:dyDescent="0.25">
      <c r="A15712" s="157">
        <v>44634</v>
      </c>
      <c r="B15712" s="158">
        <v>2.56</v>
      </c>
    </row>
    <row r="15713" spans="1:2" x14ac:dyDescent="0.25">
      <c r="A15713" s="157">
        <v>44635</v>
      </c>
      <c r="B15713" s="158">
        <v>2.57</v>
      </c>
    </row>
    <row r="15714" spans="1:2" x14ac:dyDescent="0.25">
      <c r="A15714" s="157">
        <v>44636</v>
      </c>
      <c r="B15714" s="158">
        <v>2.56</v>
      </c>
    </row>
    <row r="15715" spans="1:2" x14ac:dyDescent="0.25">
      <c r="A15715" s="157">
        <v>44637</v>
      </c>
      <c r="B15715" s="158">
        <v>2.6</v>
      </c>
    </row>
    <row r="15716" spans="1:2" x14ac:dyDescent="0.25">
      <c r="A15716" s="157">
        <v>44638</v>
      </c>
      <c r="B15716" s="158">
        <v>2.5299999999999998</v>
      </c>
    </row>
    <row r="15717" spans="1:2" x14ac:dyDescent="0.25">
      <c r="A15717" s="157">
        <v>44641</v>
      </c>
      <c r="B15717" s="158">
        <v>2.67</v>
      </c>
    </row>
    <row r="15718" spans="1:2" x14ac:dyDescent="0.25">
      <c r="A15718" s="157">
        <v>44642</v>
      </c>
      <c r="B15718" s="158">
        <v>2.71</v>
      </c>
    </row>
    <row r="15719" spans="1:2" x14ac:dyDescent="0.25">
      <c r="A15719" s="157">
        <v>44643</v>
      </c>
      <c r="B15719" s="158">
        <v>2.65</v>
      </c>
    </row>
    <row r="15720" spans="1:2" x14ac:dyDescent="0.25">
      <c r="A15720" s="157">
        <v>44644</v>
      </c>
      <c r="B15720" s="158">
        <v>2.63</v>
      </c>
    </row>
    <row r="15721" spans="1:2" x14ac:dyDescent="0.25">
      <c r="A15721" s="157">
        <v>44645</v>
      </c>
      <c r="B15721" s="158">
        <v>2.74</v>
      </c>
    </row>
    <row r="15722" spans="1:2" x14ac:dyDescent="0.25">
      <c r="A15722" s="157">
        <v>44648</v>
      </c>
      <c r="B15722" s="158">
        <v>2.72</v>
      </c>
    </row>
    <row r="15723" spans="1:2" x14ac:dyDescent="0.25">
      <c r="A15723" s="157">
        <v>44649</v>
      </c>
      <c r="B15723" s="158">
        <v>2.68</v>
      </c>
    </row>
    <row r="15724" spans="1:2" x14ac:dyDescent="0.25">
      <c r="A15724" s="157">
        <v>44650</v>
      </c>
      <c r="B15724" s="158">
        <v>2.63</v>
      </c>
    </row>
    <row r="15725" spans="1:2" x14ac:dyDescent="0.25">
      <c r="A15725" s="157">
        <v>44651</v>
      </c>
      <c r="B15725" s="158">
        <v>2.59</v>
      </c>
    </row>
    <row r="15726" spans="1:2" x14ac:dyDescent="0.25">
      <c r="A15726" s="157">
        <v>44652</v>
      </c>
      <c r="B15726" s="158">
        <v>2.6</v>
      </c>
    </row>
    <row r="15727" spans="1:2" x14ac:dyDescent="0.25">
      <c r="A15727" s="157">
        <v>44655</v>
      </c>
      <c r="B15727" s="158">
        <v>2.64</v>
      </c>
    </row>
    <row r="15728" spans="1:2" x14ac:dyDescent="0.25">
      <c r="A15728" s="157">
        <v>44656</v>
      </c>
      <c r="B15728" s="158">
        <v>2.74</v>
      </c>
    </row>
    <row r="15729" spans="1:2" x14ac:dyDescent="0.25">
      <c r="A15729" s="157">
        <v>44657</v>
      </c>
      <c r="B15729" s="158">
        <v>2.81</v>
      </c>
    </row>
    <row r="15730" spans="1:2" x14ac:dyDescent="0.25">
      <c r="A15730" s="157">
        <v>44658</v>
      </c>
      <c r="B15730" s="158">
        <v>2.87</v>
      </c>
    </row>
    <row r="15731" spans="1:2" x14ac:dyDescent="0.25">
      <c r="A15731" s="157">
        <v>44659</v>
      </c>
      <c r="B15731" s="158">
        <v>2.94</v>
      </c>
    </row>
    <row r="15732" spans="1:2" x14ac:dyDescent="0.25">
      <c r="A15732" s="157">
        <v>44662</v>
      </c>
      <c r="B15732" s="158">
        <v>3.02</v>
      </c>
    </row>
    <row r="15733" spans="1:2" x14ac:dyDescent="0.25">
      <c r="A15733" s="157">
        <v>44663</v>
      </c>
      <c r="B15733" s="158">
        <v>2.99</v>
      </c>
    </row>
    <row r="15734" spans="1:2" x14ac:dyDescent="0.25">
      <c r="A15734" s="157">
        <v>44664</v>
      </c>
      <c r="B15734" s="158">
        <v>2.97</v>
      </c>
    </row>
    <row r="15735" spans="1:2" x14ac:dyDescent="0.25">
      <c r="A15735" s="157">
        <v>44665</v>
      </c>
      <c r="B15735" s="158">
        <v>3.09</v>
      </c>
    </row>
    <row r="15736" spans="1:2" x14ac:dyDescent="0.25">
      <c r="A15736" s="157">
        <v>44666</v>
      </c>
      <c r="B15736" s="158" t="e">
        <f>NA()</f>
        <v>#N/A</v>
      </c>
    </row>
    <row r="15737" spans="1:2" x14ac:dyDescent="0.25">
      <c r="A15737" s="157">
        <v>44669</v>
      </c>
      <c r="B15737" s="158">
        <v>3.12</v>
      </c>
    </row>
    <row r="15738" spans="1:2" x14ac:dyDescent="0.25">
      <c r="A15738" s="157">
        <v>44670</v>
      </c>
      <c r="B15738" s="158">
        <v>3.19</v>
      </c>
    </row>
    <row r="15739" spans="1:2" x14ac:dyDescent="0.25">
      <c r="A15739" s="157">
        <v>44671</v>
      </c>
      <c r="B15739" s="158">
        <v>3.08</v>
      </c>
    </row>
    <row r="15740" spans="1:2" x14ac:dyDescent="0.25">
      <c r="A15740" s="157">
        <v>44672</v>
      </c>
      <c r="B15740" s="158">
        <v>3.12</v>
      </c>
    </row>
    <row r="15741" spans="1:2" x14ac:dyDescent="0.25">
      <c r="A15741" s="157">
        <v>44673</v>
      </c>
      <c r="B15741" s="158">
        <v>3.14</v>
      </c>
    </row>
    <row r="15742" spans="1:2" x14ac:dyDescent="0.25">
      <c r="A15742" s="157">
        <v>44676</v>
      </c>
      <c r="B15742" s="158">
        <v>3.06</v>
      </c>
    </row>
    <row r="15743" spans="1:2" x14ac:dyDescent="0.25">
      <c r="A15743" s="157">
        <v>44677</v>
      </c>
      <c r="B15743" s="158">
        <v>3.03</v>
      </c>
    </row>
    <row r="15744" spans="1:2" x14ac:dyDescent="0.25">
      <c r="A15744" s="157">
        <v>44678</v>
      </c>
      <c r="B15744" s="158">
        <v>3.08</v>
      </c>
    </row>
    <row r="15745" spans="1:2" x14ac:dyDescent="0.25">
      <c r="A15745" s="157">
        <v>44679</v>
      </c>
      <c r="B15745" s="158">
        <v>3.1</v>
      </c>
    </row>
    <row r="15746" spans="1:2" x14ac:dyDescent="0.25">
      <c r="A15746" s="157">
        <v>44680</v>
      </c>
      <c r="B15746" s="158">
        <v>3.14</v>
      </c>
    </row>
    <row r="15747" spans="1:2" x14ac:dyDescent="0.25">
      <c r="A15747" s="157">
        <v>44683</v>
      </c>
      <c r="B15747" s="158">
        <v>3.26</v>
      </c>
    </row>
    <row r="15748" spans="1:2" x14ac:dyDescent="0.25">
      <c r="A15748" s="157">
        <v>44684</v>
      </c>
      <c r="B15748" s="158">
        <v>3.21</v>
      </c>
    </row>
    <row r="15749" spans="1:2" x14ac:dyDescent="0.25">
      <c r="A15749" s="157">
        <v>44685</v>
      </c>
      <c r="B15749" s="158">
        <v>3.21</v>
      </c>
    </row>
    <row r="15750" spans="1:2" x14ac:dyDescent="0.25">
      <c r="A15750" s="157">
        <v>44686</v>
      </c>
      <c r="B15750" s="158">
        <v>3.35</v>
      </c>
    </row>
    <row r="15751" spans="1:2" x14ac:dyDescent="0.25">
      <c r="A15751" s="157">
        <v>44687</v>
      </c>
      <c r="B15751" s="158">
        <v>3.43</v>
      </c>
    </row>
    <row r="15752" spans="1:2" x14ac:dyDescent="0.25">
      <c r="A15752" s="157">
        <v>44690</v>
      </c>
      <c r="B15752" s="158">
        <v>3.38</v>
      </c>
    </row>
    <row r="15753" spans="1:2" x14ac:dyDescent="0.25">
      <c r="A15753" s="157">
        <v>44691</v>
      </c>
      <c r="B15753" s="158">
        <v>3.31</v>
      </c>
    </row>
    <row r="15754" spans="1:2" x14ac:dyDescent="0.25">
      <c r="A15754" s="157">
        <v>44692</v>
      </c>
      <c r="B15754" s="158">
        <v>3.25</v>
      </c>
    </row>
    <row r="15755" spans="1:2" x14ac:dyDescent="0.25">
      <c r="A15755" s="157">
        <v>44693</v>
      </c>
      <c r="B15755" s="158">
        <v>3.22</v>
      </c>
    </row>
    <row r="15756" spans="1:2" x14ac:dyDescent="0.25">
      <c r="A15756" s="157">
        <v>44694</v>
      </c>
      <c r="B15756" s="158">
        <v>3.32</v>
      </c>
    </row>
    <row r="15757" spans="1:2" x14ac:dyDescent="0.25">
      <c r="A15757" s="157">
        <v>44697</v>
      </c>
      <c r="B15757" s="158">
        <v>3.3</v>
      </c>
    </row>
    <row r="15758" spans="1:2" x14ac:dyDescent="0.25">
      <c r="A15758" s="157">
        <v>44698</v>
      </c>
      <c r="B15758" s="158">
        <v>3.36</v>
      </c>
    </row>
    <row r="15759" spans="1:2" x14ac:dyDescent="0.25">
      <c r="A15759" s="157">
        <v>44699</v>
      </c>
      <c r="B15759" s="158">
        <v>3.24</v>
      </c>
    </row>
    <row r="15760" spans="1:2" x14ac:dyDescent="0.25">
      <c r="A15760" s="157">
        <v>44700</v>
      </c>
      <c r="B15760" s="158">
        <v>3.24</v>
      </c>
    </row>
    <row r="15761" spans="1:2" x14ac:dyDescent="0.25">
      <c r="A15761" s="157">
        <v>44701</v>
      </c>
      <c r="B15761" s="158">
        <v>3.17</v>
      </c>
    </row>
    <row r="15762" spans="1:2" x14ac:dyDescent="0.25">
      <c r="A15762" s="157">
        <v>44704</v>
      </c>
      <c r="B15762" s="158">
        <v>3.26</v>
      </c>
    </row>
    <row r="15763" spans="1:2" x14ac:dyDescent="0.25">
      <c r="A15763" s="157">
        <v>44705</v>
      </c>
      <c r="B15763" s="158">
        <v>3.16</v>
      </c>
    </row>
    <row r="15764" spans="1:2" x14ac:dyDescent="0.25">
      <c r="A15764" s="157">
        <v>44706</v>
      </c>
      <c r="B15764" s="158">
        <v>3.14</v>
      </c>
    </row>
    <row r="15765" spans="1:2" x14ac:dyDescent="0.25">
      <c r="A15765" s="157">
        <v>44707</v>
      </c>
      <c r="B15765" s="158">
        <v>3.18</v>
      </c>
    </row>
    <row r="15766" spans="1:2" x14ac:dyDescent="0.25">
      <c r="A15766" s="157">
        <v>44708</v>
      </c>
      <c r="B15766" s="158">
        <v>3.16</v>
      </c>
    </row>
    <row r="15767" spans="1:2" x14ac:dyDescent="0.25">
      <c r="A15767" s="157">
        <v>44711</v>
      </c>
      <c r="B15767" s="158" t="e">
        <f>NA()</f>
        <v>#N/A</v>
      </c>
    </row>
    <row r="15768" spans="1:2" x14ac:dyDescent="0.25">
      <c r="A15768" s="157">
        <v>44712</v>
      </c>
      <c r="B15768" s="158">
        <v>3.28</v>
      </c>
    </row>
    <row r="15769" spans="1:2" x14ac:dyDescent="0.25">
      <c r="A15769" s="157">
        <v>44713</v>
      </c>
      <c r="B15769" s="158">
        <v>3.31</v>
      </c>
    </row>
    <row r="15770" spans="1:2" x14ac:dyDescent="0.25">
      <c r="A15770" s="157">
        <v>44714</v>
      </c>
      <c r="B15770" s="158">
        <v>3.3</v>
      </c>
    </row>
    <row r="15771" spans="1:2" x14ac:dyDescent="0.25">
      <c r="A15771" s="157">
        <v>44715</v>
      </c>
      <c r="B15771" s="158">
        <v>3.33</v>
      </c>
    </row>
    <row r="15772" spans="1:2" x14ac:dyDescent="0.25">
      <c r="A15772" s="157">
        <v>44718</v>
      </c>
      <c r="B15772" s="158">
        <v>3.41</v>
      </c>
    </row>
    <row r="15773" spans="1:2" x14ac:dyDescent="0.25">
      <c r="A15773" s="157">
        <v>44719</v>
      </c>
      <c r="B15773" s="158">
        <v>3.35</v>
      </c>
    </row>
    <row r="15774" spans="1:2" x14ac:dyDescent="0.25">
      <c r="A15774" s="157">
        <v>44720</v>
      </c>
      <c r="B15774" s="158">
        <v>3.4</v>
      </c>
    </row>
    <row r="15775" spans="1:2" x14ac:dyDescent="0.25">
      <c r="A15775" s="157">
        <v>44721</v>
      </c>
      <c r="B15775" s="158">
        <v>3.4</v>
      </c>
    </row>
    <row r="15776" spans="1:2" x14ac:dyDescent="0.25">
      <c r="A15776" s="157">
        <v>44722</v>
      </c>
      <c r="B15776" s="158">
        <v>3.45</v>
      </c>
    </row>
    <row r="15777" spans="1:2" x14ac:dyDescent="0.25">
      <c r="A15777" s="157">
        <v>44725</v>
      </c>
      <c r="B15777" s="158">
        <v>3.68</v>
      </c>
    </row>
    <row r="15778" spans="1:2" x14ac:dyDescent="0.25">
      <c r="A15778" s="157">
        <v>44726</v>
      </c>
      <c r="B15778" s="158">
        <v>3.72</v>
      </c>
    </row>
    <row r="15779" spans="1:2" x14ac:dyDescent="0.25">
      <c r="A15779" s="157">
        <v>44727</v>
      </c>
      <c r="B15779" s="158">
        <v>3.64</v>
      </c>
    </row>
    <row r="15780" spans="1:2" x14ac:dyDescent="0.25">
      <c r="A15780" s="157">
        <v>44728</v>
      </c>
      <c r="B15780" s="158">
        <v>3.59</v>
      </c>
    </row>
    <row r="15781" spans="1:2" x14ac:dyDescent="0.25">
      <c r="A15781" s="157">
        <v>44729</v>
      </c>
      <c r="B15781" s="158">
        <v>3.55</v>
      </c>
    </row>
    <row r="15782" spans="1:2" x14ac:dyDescent="0.25">
      <c r="A15782" s="157">
        <v>44732</v>
      </c>
      <c r="B15782" s="158" t="e">
        <f>NA()</f>
        <v>#N/A</v>
      </c>
    </row>
    <row r="15783" spans="1:2" x14ac:dyDescent="0.25">
      <c r="A15783" s="157">
        <v>44733</v>
      </c>
      <c r="B15783" s="158">
        <v>3.63</v>
      </c>
    </row>
    <row r="15784" spans="1:2" x14ac:dyDescent="0.25">
      <c r="A15784" s="157">
        <v>44734</v>
      </c>
      <c r="B15784" s="158">
        <v>3.49</v>
      </c>
    </row>
    <row r="15785" spans="1:2" x14ac:dyDescent="0.25">
      <c r="A15785" s="157">
        <v>44735</v>
      </c>
      <c r="B15785" s="158">
        <v>3.45</v>
      </c>
    </row>
    <row r="15786" spans="1:2" x14ac:dyDescent="0.25">
      <c r="A15786" s="157">
        <v>44736</v>
      </c>
      <c r="B15786" s="158">
        <v>3.51</v>
      </c>
    </row>
    <row r="15787" spans="1:2" x14ac:dyDescent="0.25">
      <c r="A15787" s="157">
        <v>44739</v>
      </c>
      <c r="B15787" s="158">
        <v>3.56</v>
      </c>
    </row>
    <row r="15788" spans="1:2" x14ac:dyDescent="0.25">
      <c r="A15788" s="157">
        <v>44740</v>
      </c>
      <c r="B15788" s="158">
        <v>3.55</v>
      </c>
    </row>
    <row r="15789" spans="1:2" x14ac:dyDescent="0.25">
      <c r="A15789" s="157">
        <v>44741</v>
      </c>
      <c r="B15789" s="158">
        <v>3.46</v>
      </c>
    </row>
    <row r="15790" spans="1:2" x14ac:dyDescent="0.25">
      <c r="A15790" s="157">
        <v>44742</v>
      </c>
      <c r="B15790" s="158">
        <v>3.38</v>
      </c>
    </row>
    <row r="15791" spans="1:2" x14ac:dyDescent="0.25">
      <c r="A15791" s="157">
        <v>44743</v>
      </c>
      <c r="B15791" s="158">
        <v>3.35</v>
      </c>
    </row>
    <row r="15792" spans="1:2" x14ac:dyDescent="0.25">
      <c r="A15792" s="157">
        <v>44746</v>
      </c>
      <c r="B15792" s="158" t="e">
        <f>NA()</f>
        <v>#N/A</v>
      </c>
    </row>
    <row r="15793" spans="1:2" x14ac:dyDescent="0.25">
      <c r="A15793" s="157">
        <v>44747</v>
      </c>
      <c r="B15793" s="158">
        <v>3.31</v>
      </c>
    </row>
    <row r="15794" spans="1:2" x14ac:dyDescent="0.25">
      <c r="A15794" s="157">
        <v>44748</v>
      </c>
      <c r="B15794" s="158">
        <v>3.42</v>
      </c>
    </row>
    <row r="15795" spans="1:2" x14ac:dyDescent="0.25">
      <c r="A15795" s="157">
        <v>44749</v>
      </c>
      <c r="B15795" s="158">
        <v>3.45</v>
      </c>
    </row>
    <row r="15796" spans="1:2" x14ac:dyDescent="0.25">
      <c r="A15796" s="157">
        <v>44750</v>
      </c>
      <c r="B15796" s="158">
        <v>3.53</v>
      </c>
    </row>
    <row r="15797" spans="1:2" x14ac:dyDescent="0.25">
      <c r="A15797" s="157">
        <v>44753</v>
      </c>
      <c r="B15797" s="158">
        <v>3.43</v>
      </c>
    </row>
    <row r="15798" spans="1:2" x14ac:dyDescent="0.25">
      <c r="A15798" s="157">
        <v>44754</v>
      </c>
      <c r="B15798" s="158">
        <v>3.37</v>
      </c>
    </row>
    <row r="15799" spans="1:2" x14ac:dyDescent="0.25">
      <c r="A15799" s="157">
        <v>44755</v>
      </c>
      <c r="B15799" s="158">
        <v>3.35</v>
      </c>
    </row>
    <row r="15800" spans="1:2" x14ac:dyDescent="0.25">
      <c r="A15800" s="157">
        <v>44756</v>
      </c>
      <c r="B15800" s="158">
        <v>3.36</v>
      </c>
    </row>
    <row r="15801" spans="1:2" x14ac:dyDescent="0.25">
      <c r="A15801" s="157">
        <v>44757</v>
      </c>
      <c r="B15801" s="158">
        <v>3.34</v>
      </c>
    </row>
    <row r="15802" spans="1:2" x14ac:dyDescent="0.25">
      <c r="A15802" s="157">
        <v>44760</v>
      </c>
      <c r="B15802" s="158">
        <v>3.39</v>
      </c>
    </row>
    <row r="15803" spans="1:2" x14ac:dyDescent="0.25">
      <c r="A15803" s="157">
        <v>44761</v>
      </c>
      <c r="B15803" s="158">
        <v>3.42</v>
      </c>
    </row>
    <row r="15804" spans="1:2" x14ac:dyDescent="0.25">
      <c r="A15804" s="157">
        <v>44762</v>
      </c>
      <c r="B15804" s="158">
        <v>3.43</v>
      </c>
    </row>
    <row r="15805" spans="1:2" x14ac:dyDescent="0.25">
      <c r="A15805" s="157">
        <v>44763</v>
      </c>
      <c r="B15805" s="158">
        <v>3.33</v>
      </c>
    </row>
    <row r="15806" spans="1:2" x14ac:dyDescent="0.25">
      <c r="A15806" s="157">
        <v>44764</v>
      </c>
      <c r="B15806" s="158">
        <v>3.23</v>
      </c>
    </row>
    <row r="15807" spans="1:2" x14ac:dyDescent="0.25">
      <c r="A15807" s="157">
        <v>44767</v>
      </c>
      <c r="B15807" s="158">
        <v>3.28</v>
      </c>
    </row>
    <row r="15808" spans="1:2" x14ac:dyDescent="0.25">
      <c r="A15808" s="157">
        <v>44768</v>
      </c>
      <c r="B15808" s="158">
        <v>3.27</v>
      </c>
    </row>
    <row r="15809" spans="1:2" x14ac:dyDescent="0.25">
      <c r="A15809" s="157">
        <v>44769</v>
      </c>
      <c r="B15809" s="158">
        <v>3.26</v>
      </c>
    </row>
    <row r="15810" spans="1:2" x14ac:dyDescent="0.25">
      <c r="A15810" s="157">
        <v>44770</v>
      </c>
      <c r="B15810" s="158">
        <v>3.23</v>
      </c>
    </row>
    <row r="15811" spans="1:2" x14ac:dyDescent="0.25">
      <c r="A15811" s="157">
        <v>44771</v>
      </c>
      <c r="B15811" s="158">
        <v>3.2</v>
      </c>
    </row>
    <row r="15812" spans="1:2" x14ac:dyDescent="0.25">
      <c r="A15812" s="157">
        <v>44774</v>
      </c>
      <c r="B15812" s="158">
        <v>3.12</v>
      </c>
    </row>
    <row r="15813" spans="1:2" x14ac:dyDescent="0.25">
      <c r="A15813" s="157">
        <v>44775</v>
      </c>
      <c r="B15813" s="158">
        <v>3.22</v>
      </c>
    </row>
    <row r="15814" spans="1:2" x14ac:dyDescent="0.25">
      <c r="A15814" s="157">
        <v>44776</v>
      </c>
      <c r="B15814" s="158">
        <v>3.17</v>
      </c>
    </row>
    <row r="15815" spans="1:2" x14ac:dyDescent="0.25">
      <c r="A15815" s="157">
        <v>44777</v>
      </c>
      <c r="B15815" s="158">
        <v>3.15</v>
      </c>
    </row>
    <row r="15816" spans="1:2" x14ac:dyDescent="0.25">
      <c r="A15816" s="157">
        <v>44778</v>
      </c>
      <c r="B15816" s="158">
        <v>3.27</v>
      </c>
    </row>
    <row r="15817" spans="1:2" x14ac:dyDescent="0.25">
      <c r="A15817" s="157">
        <v>44781</v>
      </c>
      <c r="B15817" s="158">
        <v>3.22</v>
      </c>
    </row>
    <row r="15818" spans="1:2" x14ac:dyDescent="0.25">
      <c r="A15818" s="157">
        <v>44782</v>
      </c>
      <c r="B15818" s="158">
        <v>3.24</v>
      </c>
    </row>
    <row r="15819" spans="1:2" x14ac:dyDescent="0.25">
      <c r="A15819" s="157">
        <v>44783</v>
      </c>
      <c r="B15819" s="158">
        <v>3.27</v>
      </c>
    </row>
    <row r="15820" spans="1:2" x14ac:dyDescent="0.25">
      <c r="A15820" s="157">
        <v>44784</v>
      </c>
      <c r="B15820" s="158">
        <v>3.38</v>
      </c>
    </row>
    <row r="15821" spans="1:2" x14ac:dyDescent="0.25">
      <c r="A15821" s="157">
        <v>44785</v>
      </c>
      <c r="B15821" s="158">
        <v>3.34</v>
      </c>
    </row>
    <row r="15822" spans="1:2" x14ac:dyDescent="0.25">
      <c r="A15822" s="157">
        <v>44788</v>
      </c>
      <c r="B15822" s="158">
        <v>3.31</v>
      </c>
    </row>
    <row r="15823" spans="1:2" x14ac:dyDescent="0.25">
      <c r="A15823" s="157">
        <v>44789</v>
      </c>
      <c r="B15823" s="158">
        <v>3.31</v>
      </c>
    </row>
    <row r="15824" spans="1:2" x14ac:dyDescent="0.25">
      <c r="A15824" s="157">
        <v>44790</v>
      </c>
      <c r="B15824" s="158">
        <v>3.37</v>
      </c>
    </row>
    <row r="15825" spans="1:2" x14ac:dyDescent="0.25">
      <c r="A15825" s="157">
        <v>44791</v>
      </c>
      <c r="B15825" s="158">
        <v>3.35</v>
      </c>
    </row>
    <row r="15826" spans="1:2" x14ac:dyDescent="0.25">
      <c r="A15826" s="157">
        <v>44792</v>
      </c>
      <c r="B15826" s="158">
        <v>3.44</v>
      </c>
    </row>
    <row r="15827" spans="1:2" x14ac:dyDescent="0.25">
      <c r="A15827" s="157">
        <v>44795</v>
      </c>
      <c r="B15827" s="158">
        <v>3.48</v>
      </c>
    </row>
    <row r="15828" spans="1:2" x14ac:dyDescent="0.25">
      <c r="A15828" s="157">
        <v>44796</v>
      </c>
      <c r="B15828" s="158">
        <v>3.49</v>
      </c>
    </row>
    <row r="15829" spans="1:2" x14ac:dyDescent="0.25">
      <c r="A15829" s="157">
        <v>44797</v>
      </c>
      <c r="B15829" s="158">
        <v>3.55</v>
      </c>
    </row>
    <row r="15830" spans="1:2" x14ac:dyDescent="0.25">
      <c r="A15830" s="157">
        <v>44798</v>
      </c>
      <c r="B15830" s="158">
        <v>3.47</v>
      </c>
    </row>
    <row r="15831" spans="1:2" x14ac:dyDescent="0.25">
      <c r="A15831" s="157">
        <v>44799</v>
      </c>
      <c r="B15831" s="158">
        <v>3.44</v>
      </c>
    </row>
    <row r="15832" spans="1:2" x14ac:dyDescent="0.25">
      <c r="A15832" s="157">
        <v>44802</v>
      </c>
      <c r="B15832" s="158">
        <v>3.5</v>
      </c>
    </row>
    <row r="15833" spans="1:2" x14ac:dyDescent="0.25">
      <c r="A15833" s="157">
        <v>44803</v>
      </c>
      <c r="B15833" s="158">
        <v>3.49</v>
      </c>
    </row>
    <row r="15834" spans="1:2" x14ac:dyDescent="0.25">
      <c r="A15834" s="157">
        <v>44804</v>
      </c>
      <c r="B15834" s="158">
        <v>3.53</v>
      </c>
    </row>
    <row r="15835" spans="1:2" x14ac:dyDescent="0.25">
      <c r="A15835" s="157">
        <v>44805</v>
      </c>
      <c r="B15835" s="158">
        <v>3.64</v>
      </c>
    </row>
    <row r="15836" spans="1:2" x14ac:dyDescent="0.25">
      <c r="A15836" s="157">
        <v>44806</v>
      </c>
      <c r="B15836" s="158">
        <v>3.61</v>
      </c>
    </row>
    <row r="15837" spans="1:2" x14ac:dyDescent="0.25">
      <c r="A15837" s="157">
        <v>44809</v>
      </c>
      <c r="B15837" s="158" t="e">
        <f>NA()</f>
        <v>#N/A</v>
      </c>
    </row>
    <row r="15838" spans="1:2" x14ac:dyDescent="0.25">
      <c r="A15838" s="157">
        <v>44810</v>
      </c>
      <c r="B15838" s="158">
        <v>3.74</v>
      </c>
    </row>
    <row r="15839" spans="1:2" x14ac:dyDescent="0.25">
      <c r="A15839" s="157">
        <v>44811</v>
      </c>
      <c r="B15839" s="158">
        <v>3.67</v>
      </c>
    </row>
    <row r="15840" spans="1:2" x14ac:dyDescent="0.25">
      <c r="A15840" s="157">
        <v>44812</v>
      </c>
      <c r="B15840" s="158">
        <v>3.69</v>
      </c>
    </row>
    <row r="15841" spans="1:2" x14ac:dyDescent="0.25">
      <c r="A15841" s="157">
        <v>44813</v>
      </c>
      <c r="B15841" s="158">
        <v>3.71</v>
      </c>
    </row>
    <row r="15842" spans="1:2" x14ac:dyDescent="0.25">
      <c r="A15842" s="157">
        <v>44816</v>
      </c>
      <c r="B15842" s="158">
        <v>3.76</v>
      </c>
    </row>
    <row r="15843" spans="1:2" x14ac:dyDescent="0.25">
      <c r="A15843" s="157">
        <v>44817</v>
      </c>
      <c r="B15843" s="158">
        <v>3.75</v>
      </c>
    </row>
    <row r="15844" spans="1:2" x14ac:dyDescent="0.25">
      <c r="A15844" s="157">
        <v>44818</v>
      </c>
      <c r="B15844" s="158">
        <v>3.73</v>
      </c>
    </row>
    <row r="15845" spans="1:2" x14ac:dyDescent="0.25">
      <c r="A15845" s="157">
        <v>44819</v>
      </c>
      <c r="B15845" s="158">
        <v>3.75</v>
      </c>
    </row>
    <row r="15846" spans="1:2" x14ac:dyDescent="0.25">
      <c r="A15846" s="157">
        <v>44820</v>
      </c>
      <c r="B15846" s="158">
        <v>3.79</v>
      </c>
    </row>
    <row r="15847" spans="1:2" x14ac:dyDescent="0.25">
      <c r="A15847" s="157">
        <v>44823</v>
      </c>
      <c r="B15847" s="158">
        <v>3.77</v>
      </c>
    </row>
    <row r="15848" spans="1:2" x14ac:dyDescent="0.25">
      <c r="A15848" s="157">
        <v>44824</v>
      </c>
      <c r="B15848" s="158">
        <v>3.83</v>
      </c>
    </row>
    <row r="15849" spans="1:2" x14ac:dyDescent="0.25">
      <c r="A15849" s="157">
        <v>44825</v>
      </c>
      <c r="B15849" s="158">
        <v>3.73</v>
      </c>
    </row>
    <row r="15850" spans="1:2" x14ac:dyDescent="0.25">
      <c r="A15850" s="157">
        <v>44826</v>
      </c>
      <c r="B15850" s="158">
        <v>3.9</v>
      </c>
    </row>
    <row r="15851" spans="1:2" x14ac:dyDescent="0.25">
      <c r="A15851" s="157">
        <v>44827</v>
      </c>
      <c r="B15851" s="158">
        <v>3.87</v>
      </c>
    </row>
    <row r="15852" spans="1:2" x14ac:dyDescent="0.25">
      <c r="A15852" s="157">
        <v>44830</v>
      </c>
      <c r="B15852" s="158">
        <v>4.01</v>
      </c>
    </row>
    <row r="15853" spans="1:2" x14ac:dyDescent="0.25">
      <c r="A15853" s="157">
        <v>44831</v>
      </c>
      <c r="B15853" s="158">
        <v>4.1500000000000004</v>
      </c>
    </row>
    <row r="15854" spans="1:2" x14ac:dyDescent="0.25">
      <c r="A15854" s="157">
        <v>44832</v>
      </c>
      <c r="B15854" s="158">
        <v>3.98</v>
      </c>
    </row>
    <row r="15855" spans="1:2" x14ac:dyDescent="0.25">
      <c r="A15855" s="157">
        <v>44833</v>
      </c>
      <c r="B15855" s="158">
        <v>4</v>
      </c>
    </row>
    <row r="15856" spans="1:2" x14ac:dyDescent="0.25">
      <c r="A15856" s="157">
        <v>44834</v>
      </c>
      <c r="B15856" s="158">
        <v>4.08</v>
      </c>
    </row>
    <row r="15857" spans="1:2" x14ac:dyDescent="0.25">
      <c r="A15857" s="157">
        <v>44837</v>
      </c>
      <c r="B15857" s="158">
        <v>4</v>
      </c>
    </row>
    <row r="15858" spans="1:2" x14ac:dyDescent="0.25">
      <c r="A15858" s="157">
        <v>44838</v>
      </c>
      <c r="B15858" s="158">
        <v>3.95</v>
      </c>
    </row>
    <row r="15859" spans="1:2" x14ac:dyDescent="0.25">
      <c r="A15859" s="157">
        <v>44839</v>
      </c>
      <c r="B15859" s="158">
        <v>4.05</v>
      </c>
    </row>
    <row r="15860" spans="1:2" x14ac:dyDescent="0.25">
      <c r="A15860" s="157">
        <v>44840</v>
      </c>
      <c r="B15860" s="158">
        <v>4.08</v>
      </c>
    </row>
    <row r="15861" spans="1:2" x14ac:dyDescent="0.25">
      <c r="A15861" s="157">
        <v>44841</v>
      </c>
      <c r="B15861" s="158">
        <v>4.13</v>
      </c>
    </row>
    <row r="15862" spans="1:2" x14ac:dyDescent="0.25">
      <c r="A15862" s="157">
        <v>44844</v>
      </c>
      <c r="B15862" s="158" t="e">
        <f>NA()</f>
        <v>#N/A</v>
      </c>
    </row>
    <row r="15863" spans="1:2" x14ac:dyDescent="0.25">
      <c r="A15863" s="157">
        <v>44845</v>
      </c>
      <c r="B15863" s="158">
        <v>4.1900000000000004</v>
      </c>
    </row>
    <row r="15864" spans="1:2" x14ac:dyDescent="0.25">
      <c r="A15864" s="157">
        <v>44846</v>
      </c>
      <c r="B15864" s="158">
        <v>4.18</v>
      </c>
    </row>
    <row r="15865" spans="1:2" x14ac:dyDescent="0.25">
      <c r="A15865" s="157">
        <v>44847</v>
      </c>
      <c r="B15865" s="158">
        <v>4.25</v>
      </c>
    </row>
    <row r="15866" spans="1:2" x14ac:dyDescent="0.25">
      <c r="A15866" s="157">
        <v>44848</v>
      </c>
      <c r="B15866" s="158">
        <v>4.26</v>
      </c>
    </row>
    <row r="15867" spans="1:2" x14ac:dyDescent="0.25">
      <c r="A15867" s="157">
        <v>44851</v>
      </c>
      <c r="B15867" s="158">
        <v>4.29</v>
      </c>
    </row>
    <row r="15868" spans="1:2" x14ac:dyDescent="0.25">
      <c r="A15868" s="157">
        <v>44852</v>
      </c>
      <c r="B15868" s="158">
        <v>4.2699999999999996</v>
      </c>
    </row>
    <row r="15869" spans="1:2" x14ac:dyDescent="0.25">
      <c r="A15869" s="157">
        <v>44853</v>
      </c>
      <c r="B15869" s="158">
        <v>4.38</v>
      </c>
    </row>
    <row r="15870" spans="1:2" x14ac:dyDescent="0.25">
      <c r="A15870" s="157">
        <v>44854</v>
      </c>
      <c r="B15870" s="158">
        <v>4.47</v>
      </c>
    </row>
    <row r="15871" spans="1:2" x14ac:dyDescent="0.25">
      <c r="A15871" s="157">
        <v>44855</v>
      </c>
      <c r="B15871" s="158">
        <v>4.54</v>
      </c>
    </row>
    <row r="15872" spans="1:2" x14ac:dyDescent="0.25">
      <c r="A15872" s="157">
        <v>44858</v>
      </c>
      <c r="B15872" s="158">
        <v>4.59</v>
      </c>
    </row>
    <row r="15873" spans="1:2" x14ac:dyDescent="0.25">
      <c r="A15873" s="157">
        <v>44859</v>
      </c>
      <c r="B15873" s="158">
        <v>4.45</v>
      </c>
    </row>
    <row r="15874" spans="1:2" x14ac:dyDescent="0.25">
      <c r="A15874" s="157">
        <v>44860</v>
      </c>
      <c r="B15874" s="158">
        <v>4.38</v>
      </c>
    </row>
    <row r="15875" spans="1:2" x14ac:dyDescent="0.25">
      <c r="A15875" s="157">
        <v>44861</v>
      </c>
      <c r="B15875" s="158">
        <v>4.32</v>
      </c>
    </row>
    <row r="15876" spans="1:2" x14ac:dyDescent="0.25">
      <c r="A15876" s="157">
        <v>44862</v>
      </c>
      <c r="B15876" s="158">
        <v>4.38</v>
      </c>
    </row>
    <row r="15877" spans="1:2" x14ac:dyDescent="0.25">
      <c r="A15877" s="157">
        <v>44865</v>
      </c>
      <c r="B15877" s="158">
        <v>4.4400000000000004</v>
      </c>
    </row>
    <row r="15878" spans="1:2" x14ac:dyDescent="0.25">
      <c r="A15878" s="157">
        <v>44866</v>
      </c>
      <c r="B15878" s="158">
        <v>4.37</v>
      </c>
    </row>
    <row r="15879" spans="1:2" x14ac:dyDescent="0.25">
      <c r="A15879" s="157">
        <v>44867</v>
      </c>
      <c r="B15879" s="158">
        <v>4.41</v>
      </c>
    </row>
    <row r="15880" spans="1:2" x14ac:dyDescent="0.25">
      <c r="A15880" s="157">
        <v>44868</v>
      </c>
      <c r="B15880" s="158">
        <v>4.42</v>
      </c>
    </row>
    <row r="15881" spans="1:2" x14ac:dyDescent="0.25">
      <c r="A15881" s="157">
        <v>44869</v>
      </c>
      <c r="B15881" s="158">
        <v>4.49</v>
      </c>
    </row>
    <row r="15882" spans="1:2" x14ac:dyDescent="0.25">
      <c r="A15882" s="157">
        <v>44872</v>
      </c>
      <c r="B15882" s="158">
        <v>4.55</v>
      </c>
    </row>
    <row r="15883" spans="1:2" x14ac:dyDescent="0.25">
      <c r="A15883" s="157">
        <v>44873</v>
      </c>
      <c r="B15883" s="158">
        <v>4.47</v>
      </c>
    </row>
    <row r="15884" spans="1:2" x14ac:dyDescent="0.25">
      <c r="A15884" s="157">
        <v>44874</v>
      </c>
      <c r="B15884" s="158">
        <v>4.5</v>
      </c>
    </row>
    <row r="15885" spans="1:2" x14ac:dyDescent="0.25">
      <c r="A15885" s="157">
        <v>44875</v>
      </c>
      <c r="B15885" s="158">
        <v>4.24</v>
      </c>
    </row>
    <row r="15886" spans="1:2" x14ac:dyDescent="0.25">
      <c r="A15886" s="157">
        <v>44876</v>
      </c>
      <c r="B15886" s="158" t="e">
        <f>NA()</f>
        <v>#N/A</v>
      </c>
    </row>
    <row r="15887" spans="1:2" x14ac:dyDescent="0.25">
      <c r="A15887" s="157">
        <v>44879</v>
      </c>
      <c r="B15887" s="158">
        <v>4.28</v>
      </c>
    </row>
    <row r="15888" spans="1:2" x14ac:dyDescent="0.25">
      <c r="A15888" s="157">
        <v>44880</v>
      </c>
      <c r="B15888" s="158">
        <v>4.2</v>
      </c>
    </row>
    <row r="15889" spans="1:2" x14ac:dyDescent="0.25">
      <c r="A15889" s="157">
        <v>44881</v>
      </c>
      <c r="B15889" s="158">
        <v>4.03</v>
      </c>
    </row>
    <row r="15890" spans="1:2" x14ac:dyDescent="0.25">
      <c r="A15890" s="157">
        <v>44882</v>
      </c>
      <c r="B15890" s="158">
        <v>4.0999999999999996</v>
      </c>
    </row>
    <row r="15891" spans="1:2" x14ac:dyDescent="0.25">
      <c r="A15891" s="157">
        <v>44883</v>
      </c>
      <c r="B15891" s="158">
        <v>4.13</v>
      </c>
    </row>
    <row r="15892" spans="1:2" x14ac:dyDescent="0.25">
      <c r="A15892" s="157">
        <v>44886</v>
      </c>
      <c r="B15892" s="158">
        <v>4.1399999999999997</v>
      </c>
    </row>
    <row r="15893" spans="1:2" x14ac:dyDescent="0.25">
      <c r="A15893" s="157">
        <v>44887</v>
      </c>
      <c r="B15893" s="158">
        <v>4.05</v>
      </c>
    </row>
    <row r="15894" spans="1:2" x14ac:dyDescent="0.25">
      <c r="A15894" s="157">
        <v>44888</v>
      </c>
      <c r="B15894" s="158">
        <v>3.97</v>
      </c>
    </row>
    <row r="15895" spans="1:2" x14ac:dyDescent="0.25">
      <c r="A15895" s="157">
        <v>44889</v>
      </c>
      <c r="B15895" s="158" t="e">
        <f>NA()</f>
        <v>#N/A</v>
      </c>
    </row>
    <row r="15896" spans="1:2" x14ac:dyDescent="0.25">
      <c r="A15896" s="157">
        <v>44890</v>
      </c>
      <c r="B15896" s="158">
        <v>3.97</v>
      </c>
    </row>
    <row r="15897" spans="1:2" x14ac:dyDescent="0.25">
      <c r="A15897" s="157">
        <v>44893</v>
      </c>
      <c r="B15897" s="158">
        <v>3.97</v>
      </c>
    </row>
    <row r="15898" spans="1:2" x14ac:dyDescent="0.25">
      <c r="A15898" s="157">
        <v>44894</v>
      </c>
      <c r="B15898" s="158">
        <v>4.0199999999999996</v>
      </c>
    </row>
    <row r="15899" spans="1:2" x14ac:dyDescent="0.25">
      <c r="A15899" s="157">
        <v>44895</v>
      </c>
      <c r="B15899" s="158">
        <v>4</v>
      </c>
    </row>
    <row r="15900" spans="1:2" x14ac:dyDescent="0.25">
      <c r="A15900" s="157">
        <v>44896</v>
      </c>
      <c r="B15900" s="158">
        <v>3.85</v>
      </c>
    </row>
    <row r="15901" spans="1:2" x14ac:dyDescent="0.25">
      <c r="A15901" s="157">
        <v>44897</v>
      </c>
      <c r="B15901" s="158">
        <v>3.79</v>
      </c>
    </row>
    <row r="15902" spans="1:2" x14ac:dyDescent="0.25">
      <c r="A15902" s="157">
        <v>44900</v>
      </c>
      <c r="B15902" s="158">
        <v>3.84</v>
      </c>
    </row>
    <row r="15903" spans="1:2" x14ac:dyDescent="0.25">
      <c r="A15903" s="157">
        <v>44901</v>
      </c>
      <c r="B15903" s="158">
        <v>3.77</v>
      </c>
    </row>
    <row r="15904" spans="1:2" x14ac:dyDescent="0.25">
      <c r="A15904" s="157">
        <v>44902</v>
      </c>
      <c r="B15904" s="158">
        <v>3.66</v>
      </c>
    </row>
    <row r="15905" spans="1:2" x14ac:dyDescent="0.25">
      <c r="A15905" s="157">
        <v>44903</v>
      </c>
      <c r="B15905" s="158">
        <v>3.71</v>
      </c>
    </row>
    <row r="15906" spans="1:2" x14ac:dyDescent="0.25">
      <c r="A15906" s="157">
        <v>44904</v>
      </c>
      <c r="B15906" s="158">
        <v>3.82</v>
      </c>
    </row>
    <row r="15907" spans="1:2" x14ac:dyDescent="0.25">
      <c r="A15907" s="157">
        <v>44907</v>
      </c>
      <c r="B15907" s="158">
        <v>3.84</v>
      </c>
    </row>
    <row r="15908" spans="1:2" x14ac:dyDescent="0.25">
      <c r="A15908" s="157">
        <v>44908</v>
      </c>
      <c r="B15908" s="158">
        <v>3.74</v>
      </c>
    </row>
    <row r="15909" spans="1:2" x14ac:dyDescent="0.25">
      <c r="A15909" s="157">
        <v>44909</v>
      </c>
      <c r="B15909" s="158">
        <v>3.74</v>
      </c>
    </row>
    <row r="15910" spans="1:2" x14ac:dyDescent="0.25">
      <c r="A15910" s="157">
        <v>44910</v>
      </c>
      <c r="B15910" s="158">
        <v>3.69</v>
      </c>
    </row>
    <row r="15911" spans="1:2" x14ac:dyDescent="0.25">
      <c r="A15911" s="157">
        <v>44911</v>
      </c>
      <c r="B15911" s="158">
        <v>3.73</v>
      </c>
    </row>
    <row r="15912" spans="1:2" x14ac:dyDescent="0.25">
      <c r="A15912" s="157">
        <v>44914</v>
      </c>
      <c r="B15912" s="158">
        <v>3.82</v>
      </c>
    </row>
    <row r="15913" spans="1:2" x14ac:dyDescent="0.25">
      <c r="A15913" s="157">
        <v>44915</v>
      </c>
      <c r="B15913" s="158">
        <v>3.94</v>
      </c>
    </row>
    <row r="15914" spans="1:2" x14ac:dyDescent="0.25">
      <c r="A15914" s="157">
        <v>44916</v>
      </c>
      <c r="B15914" s="158">
        <v>3.93</v>
      </c>
    </row>
    <row r="15915" spans="1:2" x14ac:dyDescent="0.25">
      <c r="A15915" s="157">
        <v>44917</v>
      </c>
      <c r="B15915" s="158">
        <v>3.91</v>
      </c>
    </row>
    <row r="15916" spans="1:2" x14ac:dyDescent="0.25">
      <c r="A15916" s="157">
        <v>44918</v>
      </c>
      <c r="B15916" s="158">
        <v>3.99</v>
      </c>
    </row>
    <row r="15917" spans="1:2" x14ac:dyDescent="0.25">
      <c r="A15917" s="157">
        <v>44921</v>
      </c>
      <c r="B15917" s="158" t="e">
        <f>NA()</f>
        <v>#N/A</v>
      </c>
    </row>
    <row r="15918" spans="1:2" x14ac:dyDescent="0.25">
      <c r="A15918" s="157">
        <v>44922</v>
      </c>
      <c r="B15918" s="158">
        <v>4.0999999999999996</v>
      </c>
    </row>
    <row r="15919" spans="1:2" x14ac:dyDescent="0.25">
      <c r="A15919" s="157">
        <v>44923</v>
      </c>
      <c r="B15919" s="158">
        <v>4.13</v>
      </c>
    </row>
    <row r="15920" spans="1:2" x14ac:dyDescent="0.25">
      <c r="A15920" s="157">
        <v>44924</v>
      </c>
      <c r="B15920" s="158">
        <v>4.09</v>
      </c>
    </row>
    <row r="15921" spans="1:2" x14ac:dyDescent="0.25">
      <c r="A15921" s="157">
        <v>44925</v>
      </c>
      <c r="B15921" s="158">
        <v>4.1399999999999997</v>
      </c>
    </row>
    <row r="15922" spans="1:2" x14ac:dyDescent="0.25">
      <c r="A15922" s="157">
        <v>44928</v>
      </c>
      <c r="B15922" s="158" t="e">
        <f>NA()</f>
        <v>#N/A</v>
      </c>
    </row>
    <row r="15923" spans="1:2" x14ac:dyDescent="0.25">
      <c r="A15923" s="157">
        <v>44929</v>
      </c>
      <c r="B15923" s="158">
        <v>4.0599999999999996</v>
      </c>
    </row>
    <row r="15924" spans="1:2" x14ac:dyDescent="0.25">
      <c r="A15924" s="157">
        <v>44930</v>
      </c>
      <c r="B15924" s="158">
        <v>3.97</v>
      </c>
    </row>
    <row r="15925" spans="1:2" x14ac:dyDescent="0.25">
      <c r="A15925" s="157">
        <v>44931</v>
      </c>
      <c r="B15925" s="158">
        <v>3.96</v>
      </c>
    </row>
    <row r="15926" spans="1:2" x14ac:dyDescent="0.25">
      <c r="A15926" s="157">
        <v>44932</v>
      </c>
      <c r="B15926" s="158">
        <v>3.84</v>
      </c>
    </row>
    <row r="15927" spans="1:2" x14ac:dyDescent="0.25">
      <c r="A15927" s="157">
        <v>44935</v>
      </c>
      <c r="B15927" s="158">
        <v>3.83</v>
      </c>
    </row>
    <row r="15928" spans="1:2" x14ac:dyDescent="0.25">
      <c r="A15928" s="157">
        <v>44936</v>
      </c>
      <c r="B15928" s="158">
        <v>3.91</v>
      </c>
    </row>
    <row r="15929" spans="1:2" x14ac:dyDescent="0.25">
      <c r="A15929" s="157">
        <v>44937</v>
      </c>
      <c r="B15929" s="158">
        <v>3.84</v>
      </c>
    </row>
    <row r="15930" spans="1:2" x14ac:dyDescent="0.25">
      <c r="A15930" s="157">
        <v>44938</v>
      </c>
      <c r="B15930" s="158">
        <v>3.73</v>
      </c>
    </row>
    <row r="15931" spans="1:2" x14ac:dyDescent="0.25">
      <c r="A15931" s="157">
        <v>44939</v>
      </c>
      <c r="B15931" s="158">
        <v>3.79</v>
      </c>
    </row>
    <row r="15932" spans="1:2" x14ac:dyDescent="0.25">
      <c r="A15932" s="157">
        <v>44942</v>
      </c>
      <c r="B15932" s="158" t="e">
        <f>NA()</f>
        <v>#N/A</v>
      </c>
    </row>
    <row r="15933" spans="1:2" x14ac:dyDescent="0.25">
      <c r="A15933" s="157">
        <v>44943</v>
      </c>
      <c r="B15933" s="158">
        <v>3.81</v>
      </c>
    </row>
    <row r="15934" spans="1:2" x14ac:dyDescent="0.25">
      <c r="A15934" s="157">
        <v>44944</v>
      </c>
      <c r="B15934" s="158">
        <v>3.65</v>
      </c>
    </row>
    <row r="15935" spans="1:2" x14ac:dyDescent="0.25">
      <c r="A15935" s="157">
        <v>44945</v>
      </c>
      <c r="B15935" s="158">
        <v>3.69</v>
      </c>
    </row>
    <row r="15936" spans="1:2" x14ac:dyDescent="0.25">
      <c r="A15936" s="157">
        <v>44946</v>
      </c>
      <c r="B15936" s="158">
        <v>3.77</v>
      </c>
    </row>
    <row r="15937" spans="1:2" x14ac:dyDescent="0.25">
      <c r="A15937" s="157">
        <v>44949</v>
      </c>
      <c r="B15937" s="158">
        <v>3.8</v>
      </c>
    </row>
    <row r="15938" spans="1:2" x14ac:dyDescent="0.25">
      <c r="A15938" s="157">
        <v>44950</v>
      </c>
      <c r="B15938" s="158">
        <v>3.73</v>
      </c>
    </row>
    <row r="15939" spans="1:2" x14ac:dyDescent="0.25">
      <c r="A15939" s="157">
        <v>44951</v>
      </c>
      <c r="B15939" s="158">
        <v>3.74</v>
      </c>
    </row>
    <row r="15940" spans="1:2" x14ac:dyDescent="0.25">
      <c r="A15940" s="157">
        <v>44952</v>
      </c>
      <c r="B15940" s="158">
        <v>3.75</v>
      </c>
    </row>
    <row r="15941" spans="1:2" x14ac:dyDescent="0.25">
      <c r="A15941" s="157">
        <v>44953</v>
      </c>
      <c r="B15941" s="158">
        <v>3.77</v>
      </c>
    </row>
    <row r="15942" spans="1:2" x14ac:dyDescent="0.25">
      <c r="A15942" s="157">
        <v>44956</v>
      </c>
      <c r="B15942" s="158">
        <v>3.79</v>
      </c>
    </row>
    <row r="15943" spans="1:2" x14ac:dyDescent="0.25">
      <c r="A15943" s="157">
        <v>44957</v>
      </c>
      <c r="B15943" s="158">
        <v>3.78</v>
      </c>
    </row>
    <row r="15944" spans="1:2" x14ac:dyDescent="0.25">
      <c r="A15944" s="157">
        <v>44958</v>
      </c>
      <c r="B15944" s="158">
        <v>3.67</v>
      </c>
    </row>
    <row r="15945" spans="1:2" x14ac:dyDescent="0.25">
      <c r="A15945" s="157">
        <v>44959</v>
      </c>
      <c r="B15945" s="158">
        <v>3.67</v>
      </c>
    </row>
    <row r="15946" spans="1:2" x14ac:dyDescent="0.25">
      <c r="A15946" s="157">
        <v>44960</v>
      </c>
      <c r="B15946" s="158">
        <v>3.77</v>
      </c>
    </row>
    <row r="15947" spans="1:2" x14ac:dyDescent="0.25">
      <c r="A15947" s="157">
        <v>44963</v>
      </c>
      <c r="B15947" s="158">
        <v>3.82</v>
      </c>
    </row>
    <row r="15948" spans="1:2" x14ac:dyDescent="0.25">
      <c r="A15948" s="157">
        <v>44964</v>
      </c>
      <c r="B15948" s="158">
        <v>3.87</v>
      </c>
    </row>
    <row r="15949" spans="1:2" x14ac:dyDescent="0.25">
      <c r="A15949" s="157">
        <v>44965</v>
      </c>
      <c r="B15949" s="158">
        <v>3.86</v>
      </c>
    </row>
    <row r="15950" spans="1:2" x14ac:dyDescent="0.25">
      <c r="A15950" s="157">
        <v>44966</v>
      </c>
      <c r="B15950" s="158">
        <v>3.9</v>
      </c>
    </row>
    <row r="15951" spans="1:2" x14ac:dyDescent="0.25">
      <c r="A15951" s="157">
        <v>44967</v>
      </c>
      <c r="B15951" s="158">
        <v>3.96</v>
      </c>
    </row>
    <row r="15952" spans="1:2" x14ac:dyDescent="0.25">
      <c r="A15952" s="157">
        <v>44970</v>
      </c>
      <c r="B15952" s="158">
        <v>3.92</v>
      </c>
    </row>
    <row r="15953" spans="1:2" x14ac:dyDescent="0.25">
      <c r="A15953" s="157">
        <v>44971</v>
      </c>
      <c r="B15953" s="158">
        <v>3.94</v>
      </c>
    </row>
    <row r="15954" spans="1:2" x14ac:dyDescent="0.25">
      <c r="A15954" s="157">
        <v>44972</v>
      </c>
      <c r="B15954" s="158">
        <v>3.97</v>
      </c>
    </row>
    <row r="15955" spans="1:2" x14ac:dyDescent="0.25">
      <c r="A15955" s="157">
        <v>44973</v>
      </c>
      <c r="B15955" s="158">
        <v>4.05</v>
      </c>
    </row>
    <row r="15956" spans="1:2" x14ac:dyDescent="0.25">
      <c r="A15956" s="157">
        <v>44974</v>
      </c>
      <c r="B15956" s="158">
        <v>4.01</v>
      </c>
    </row>
    <row r="15957" spans="1:2" x14ac:dyDescent="0.25">
      <c r="A15957" s="157">
        <v>44977</v>
      </c>
      <c r="B15957" s="158" t="e">
        <f>NA()</f>
        <v>#N/A</v>
      </c>
    </row>
    <row r="15958" spans="1:2" x14ac:dyDescent="0.25">
      <c r="A15958" s="157">
        <v>44978</v>
      </c>
      <c r="B15958" s="158">
        <v>4.12</v>
      </c>
    </row>
    <row r="15959" spans="1:2" x14ac:dyDescent="0.25">
      <c r="A15959" s="157">
        <v>44979</v>
      </c>
      <c r="B15959" s="158">
        <v>4.09</v>
      </c>
    </row>
    <row r="15960" spans="1:2" x14ac:dyDescent="0.25">
      <c r="A15960" s="157">
        <v>44980</v>
      </c>
      <c r="B15960" s="158">
        <v>4.04</v>
      </c>
    </row>
    <row r="15961" spans="1:2" x14ac:dyDescent="0.25">
      <c r="A15961" s="157">
        <v>44981</v>
      </c>
      <c r="B15961" s="158">
        <v>4.1100000000000003</v>
      </c>
    </row>
    <row r="15962" spans="1:2" x14ac:dyDescent="0.25">
      <c r="A15962" s="157">
        <v>44984</v>
      </c>
      <c r="B15962" s="158">
        <v>4.1100000000000003</v>
      </c>
    </row>
    <row r="15963" spans="1:2" x14ac:dyDescent="0.25">
      <c r="A15963" s="157">
        <v>44985</v>
      </c>
      <c r="B15963" s="158">
        <v>4.0999999999999996</v>
      </c>
    </row>
    <row r="15964" spans="1:2" x14ac:dyDescent="0.25">
      <c r="A15964" s="157">
        <v>44986</v>
      </c>
      <c r="B15964" s="158">
        <v>4.17</v>
      </c>
    </row>
    <row r="15965" spans="1:2" x14ac:dyDescent="0.25">
      <c r="A15965" s="157">
        <v>44987</v>
      </c>
      <c r="B15965" s="158">
        <v>4.24</v>
      </c>
    </row>
    <row r="15966" spans="1:2" x14ac:dyDescent="0.25">
      <c r="A15966" s="157">
        <v>44988</v>
      </c>
      <c r="B15966" s="158">
        <v>4.12</v>
      </c>
    </row>
    <row r="15967" spans="1:2" x14ac:dyDescent="0.25">
      <c r="A15967" s="157">
        <v>44991</v>
      </c>
      <c r="B15967" s="158">
        <v>4.1399999999999997</v>
      </c>
    </row>
    <row r="15968" spans="1:2" x14ac:dyDescent="0.25">
      <c r="A15968" s="157">
        <v>44992</v>
      </c>
      <c r="B15968" s="158">
        <v>4.1100000000000003</v>
      </c>
    </row>
    <row r="15969" spans="1:2" x14ac:dyDescent="0.25">
      <c r="A15969" s="157">
        <v>44993</v>
      </c>
      <c r="B15969" s="158">
        <v>4.1100000000000003</v>
      </c>
    </row>
    <row r="15970" spans="1:2" x14ac:dyDescent="0.25">
      <c r="A15970" s="157">
        <v>44994</v>
      </c>
      <c r="B15970" s="158">
        <v>4.09</v>
      </c>
    </row>
    <row r="15971" spans="1:2" x14ac:dyDescent="0.25">
      <c r="A15971" s="157">
        <v>44995</v>
      </c>
      <c r="B15971" s="158">
        <v>3.9</v>
      </c>
    </row>
    <row r="15972" spans="1:2" x14ac:dyDescent="0.25">
      <c r="A15972" s="157">
        <v>44998</v>
      </c>
      <c r="B15972" s="158">
        <v>3.85</v>
      </c>
    </row>
    <row r="15973" spans="1:2" x14ac:dyDescent="0.25">
      <c r="A15973" s="157">
        <v>44999</v>
      </c>
      <c r="B15973" s="158">
        <v>3.91</v>
      </c>
    </row>
    <row r="15974" spans="1:2" x14ac:dyDescent="0.25">
      <c r="A15974" s="157">
        <v>45000</v>
      </c>
      <c r="B15974" s="158">
        <v>3.82</v>
      </c>
    </row>
    <row r="15975" spans="1:2" x14ac:dyDescent="0.25">
      <c r="A15975" s="157">
        <v>45001</v>
      </c>
      <c r="B15975" s="158">
        <v>3.87</v>
      </c>
    </row>
    <row r="15976" spans="1:2" x14ac:dyDescent="0.25">
      <c r="A15976" s="157">
        <v>45002</v>
      </c>
      <c r="B15976" s="158">
        <v>3.76</v>
      </c>
    </row>
    <row r="15977" spans="1:2" x14ac:dyDescent="0.25">
      <c r="A15977" s="157">
        <v>45005</v>
      </c>
      <c r="B15977" s="158">
        <v>3.83</v>
      </c>
    </row>
    <row r="15978" spans="1:2" x14ac:dyDescent="0.25">
      <c r="A15978" s="157">
        <v>45006</v>
      </c>
      <c r="B15978" s="158">
        <v>3.9</v>
      </c>
    </row>
    <row r="15979" spans="1:2" x14ac:dyDescent="0.25">
      <c r="A15979" s="157">
        <v>45007</v>
      </c>
      <c r="B15979" s="158">
        <v>3.83</v>
      </c>
    </row>
    <row r="15980" spans="1:2" x14ac:dyDescent="0.25">
      <c r="A15980" s="157">
        <v>45008</v>
      </c>
      <c r="B15980" s="158">
        <v>3.78</v>
      </c>
    </row>
    <row r="15981" spans="1:2" x14ac:dyDescent="0.25">
      <c r="A15981" s="157">
        <v>45009</v>
      </c>
      <c r="B15981" s="158">
        <v>3.77</v>
      </c>
    </row>
    <row r="15982" spans="1:2" x14ac:dyDescent="0.25">
      <c r="A15982" s="157">
        <v>45012</v>
      </c>
      <c r="B15982" s="158">
        <v>3.9</v>
      </c>
    </row>
    <row r="15983" spans="1:2" x14ac:dyDescent="0.25">
      <c r="A15983" s="157">
        <v>45013</v>
      </c>
      <c r="B15983" s="158">
        <v>3.9</v>
      </c>
    </row>
    <row r="15984" spans="1:2" x14ac:dyDescent="0.25">
      <c r="A15984" s="157">
        <v>45014</v>
      </c>
      <c r="B15984" s="158">
        <v>3.91</v>
      </c>
    </row>
    <row r="15985" spans="1:2" x14ac:dyDescent="0.25">
      <c r="A15985" s="157">
        <v>45015</v>
      </c>
      <c r="B15985" s="158">
        <v>3.88</v>
      </c>
    </row>
    <row r="15986" spans="1:2" x14ac:dyDescent="0.25">
      <c r="A15986" s="157">
        <v>45016</v>
      </c>
      <c r="B15986" s="158">
        <v>3.81</v>
      </c>
    </row>
    <row r="15987" spans="1:2" x14ac:dyDescent="0.25">
      <c r="A15987" s="157">
        <v>45019</v>
      </c>
      <c r="B15987" s="158">
        <v>3.78</v>
      </c>
    </row>
    <row r="15988" spans="1:2" x14ac:dyDescent="0.25">
      <c r="A15988" s="157">
        <v>45020</v>
      </c>
      <c r="B15988" s="158">
        <v>3.72</v>
      </c>
    </row>
    <row r="15989" spans="1:2" x14ac:dyDescent="0.25">
      <c r="A15989" s="157">
        <v>45021</v>
      </c>
      <c r="B15989" s="158">
        <v>3.67</v>
      </c>
    </row>
    <row r="15990" spans="1:2" x14ac:dyDescent="0.25">
      <c r="A15990" s="157">
        <v>45022</v>
      </c>
      <c r="B15990" s="158">
        <v>3.66</v>
      </c>
    </row>
    <row r="15991" spans="1:2" x14ac:dyDescent="0.25">
      <c r="A15991" s="157">
        <v>45023</v>
      </c>
      <c r="B15991" s="158">
        <v>3.73</v>
      </c>
    </row>
    <row r="15992" spans="1:2" x14ac:dyDescent="0.25">
      <c r="A15992" s="157">
        <v>45026</v>
      </c>
      <c r="B15992" s="158">
        <v>3.74</v>
      </c>
    </row>
    <row r="15993" spans="1:2" x14ac:dyDescent="0.25">
      <c r="A15993" s="157">
        <v>45027</v>
      </c>
      <c r="B15993" s="158">
        <v>3.75</v>
      </c>
    </row>
    <row r="15994" spans="1:2" x14ac:dyDescent="0.25">
      <c r="A15994" s="157">
        <v>45028</v>
      </c>
      <c r="B15994" s="158">
        <v>3.75</v>
      </c>
    </row>
    <row r="15995" spans="1:2" x14ac:dyDescent="0.25">
      <c r="A15995" s="157">
        <v>45029</v>
      </c>
      <c r="B15995" s="158">
        <v>3.8</v>
      </c>
    </row>
    <row r="15996" spans="1:2" x14ac:dyDescent="0.25">
      <c r="A15996" s="157">
        <v>45030</v>
      </c>
      <c r="B15996" s="158">
        <v>3.85</v>
      </c>
    </row>
    <row r="15997" spans="1:2" x14ac:dyDescent="0.25">
      <c r="A15997" s="157">
        <v>45033</v>
      </c>
      <c r="B15997" s="158">
        <v>3.92</v>
      </c>
    </row>
    <row r="15998" spans="1:2" x14ac:dyDescent="0.25">
      <c r="A15998" s="157">
        <v>45034</v>
      </c>
      <c r="B15998" s="158">
        <v>3.91</v>
      </c>
    </row>
    <row r="15999" spans="1:2" x14ac:dyDescent="0.25">
      <c r="A15999" s="157">
        <v>45035</v>
      </c>
      <c r="B15999" s="158">
        <v>3.9</v>
      </c>
    </row>
    <row r="16000" spans="1:2" x14ac:dyDescent="0.25">
      <c r="A16000" s="157">
        <v>45036</v>
      </c>
      <c r="B16000" s="158">
        <v>3.87</v>
      </c>
    </row>
    <row r="16001" spans="1:2" x14ac:dyDescent="0.25">
      <c r="A16001" s="157">
        <v>45037</v>
      </c>
      <c r="B16001" s="158">
        <v>3.9</v>
      </c>
    </row>
    <row r="16002" spans="1:2" x14ac:dyDescent="0.25">
      <c r="A16002" s="157">
        <v>45040</v>
      </c>
      <c r="B16002" s="158">
        <v>3.85</v>
      </c>
    </row>
    <row r="16003" spans="1:2" x14ac:dyDescent="0.25">
      <c r="A16003" s="157">
        <v>45041</v>
      </c>
      <c r="B16003" s="158">
        <v>3.77</v>
      </c>
    </row>
    <row r="16004" spans="1:2" x14ac:dyDescent="0.25">
      <c r="A16004" s="157">
        <v>45042</v>
      </c>
      <c r="B16004" s="158">
        <v>3.81</v>
      </c>
    </row>
    <row r="16005" spans="1:2" x14ac:dyDescent="0.25">
      <c r="A16005" s="157">
        <v>45043</v>
      </c>
      <c r="B16005" s="158">
        <v>3.88</v>
      </c>
    </row>
    <row r="16006" spans="1:2" x14ac:dyDescent="0.25">
      <c r="A16006" s="157">
        <v>45044</v>
      </c>
      <c r="B16006" s="158">
        <v>3.8</v>
      </c>
    </row>
    <row r="16007" spans="1:2" x14ac:dyDescent="0.25">
      <c r="A16007" s="157">
        <v>45047</v>
      </c>
      <c r="B16007" s="158">
        <v>3.95</v>
      </c>
    </row>
    <row r="16008" spans="1:2" x14ac:dyDescent="0.25">
      <c r="A16008" s="157">
        <v>45048</v>
      </c>
      <c r="B16008" s="158">
        <v>3.82</v>
      </c>
    </row>
    <row r="16009" spans="1:2" x14ac:dyDescent="0.25">
      <c r="A16009" s="157">
        <v>45049</v>
      </c>
      <c r="B16009" s="158">
        <v>3.79</v>
      </c>
    </row>
    <row r="16010" spans="1:2" x14ac:dyDescent="0.25">
      <c r="A16010" s="157">
        <v>45050</v>
      </c>
      <c r="B16010" s="158">
        <v>3.8</v>
      </c>
    </row>
    <row r="16011" spans="1:2" x14ac:dyDescent="0.25">
      <c r="A16011" s="157">
        <v>45051</v>
      </c>
      <c r="B16011" s="158">
        <v>3.85</v>
      </c>
    </row>
    <row r="16012" spans="1:2" x14ac:dyDescent="0.25">
      <c r="A16012" s="157">
        <v>45054</v>
      </c>
      <c r="B16012" s="158">
        <v>3.92</v>
      </c>
    </row>
    <row r="16013" spans="1:2" x14ac:dyDescent="0.25">
      <c r="A16013" s="157">
        <v>45055</v>
      </c>
      <c r="B16013" s="158">
        <v>3.94</v>
      </c>
    </row>
    <row r="16014" spans="1:2" x14ac:dyDescent="0.25">
      <c r="A16014" s="157">
        <v>45056</v>
      </c>
      <c r="B16014" s="158">
        <v>3.88</v>
      </c>
    </row>
    <row r="16015" spans="1:2" x14ac:dyDescent="0.25">
      <c r="A16015" s="157">
        <v>45057</v>
      </c>
      <c r="B16015" s="158">
        <v>3.82</v>
      </c>
    </row>
    <row r="16016" spans="1:2" x14ac:dyDescent="0.25">
      <c r="A16016" s="157">
        <v>45058</v>
      </c>
      <c r="B16016" s="158">
        <v>3.87</v>
      </c>
    </row>
    <row r="16017" spans="1:2" x14ac:dyDescent="0.25">
      <c r="A16017" s="157">
        <v>45061</v>
      </c>
      <c r="B16017" s="158">
        <v>3.92</v>
      </c>
    </row>
    <row r="16018" spans="1:2" x14ac:dyDescent="0.25">
      <c r="A16018" s="157">
        <v>45062</v>
      </c>
      <c r="B16018" s="158">
        <v>3.96</v>
      </c>
    </row>
    <row r="16019" spans="1:2" x14ac:dyDescent="0.25">
      <c r="A16019" s="157">
        <v>45063</v>
      </c>
      <c r="B16019" s="158">
        <v>3.96</v>
      </c>
    </row>
    <row r="16020" spans="1:2" x14ac:dyDescent="0.25">
      <c r="A16020" s="157">
        <v>45064</v>
      </c>
      <c r="B16020" s="158">
        <v>4.0199999999999996</v>
      </c>
    </row>
    <row r="16021" spans="1:2" x14ac:dyDescent="0.25">
      <c r="A16021" s="157">
        <v>45065</v>
      </c>
      <c r="B16021" s="158">
        <v>4.07</v>
      </c>
    </row>
    <row r="16022" spans="1:2" x14ac:dyDescent="0.25">
      <c r="A16022" s="157">
        <v>45068</v>
      </c>
      <c r="B16022" s="158">
        <v>4.09</v>
      </c>
    </row>
    <row r="16023" spans="1:2" x14ac:dyDescent="0.25">
      <c r="A16023" s="157">
        <v>45069</v>
      </c>
      <c r="B16023" s="158">
        <v>4.08</v>
      </c>
    </row>
    <row r="16024" spans="1:2" x14ac:dyDescent="0.25">
      <c r="A16024" s="157">
        <v>45070</v>
      </c>
      <c r="B16024" s="158">
        <v>4.0999999999999996</v>
      </c>
    </row>
    <row r="16025" spans="1:2" x14ac:dyDescent="0.25">
      <c r="A16025" s="157">
        <v>45071</v>
      </c>
      <c r="B16025" s="158">
        <v>4.16</v>
      </c>
    </row>
    <row r="16026" spans="1:2" x14ac:dyDescent="0.25">
      <c r="A16026" s="157">
        <v>45072</v>
      </c>
      <c r="B16026" s="158">
        <v>4.13</v>
      </c>
    </row>
    <row r="16027" spans="1:2" x14ac:dyDescent="0.25">
      <c r="A16027" s="157">
        <v>45075</v>
      </c>
      <c r="B16027" s="158" t="e">
        <f>NA()</f>
        <v>#N/A</v>
      </c>
    </row>
    <row r="16028" spans="1:2" x14ac:dyDescent="0.25">
      <c r="A16028" s="157">
        <v>45076</v>
      </c>
      <c r="B16028" s="158">
        <v>4.0599999999999996</v>
      </c>
    </row>
    <row r="16029" spans="1:2" x14ac:dyDescent="0.25">
      <c r="A16029" s="157">
        <v>45077</v>
      </c>
      <c r="B16029" s="158">
        <v>4.01</v>
      </c>
    </row>
    <row r="16030" spans="1:2" x14ac:dyDescent="0.25">
      <c r="A16030" s="157">
        <v>45078</v>
      </c>
      <c r="B16030" s="158">
        <v>3.98</v>
      </c>
    </row>
    <row r="16031" spans="1:2" x14ac:dyDescent="0.25">
      <c r="A16031" s="157">
        <v>45079</v>
      </c>
      <c r="B16031" s="158">
        <v>4.03</v>
      </c>
    </row>
    <row r="16032" spans="1:2" x14ac:dyDescent="0.25">
      <c r="A16032" s="157">
        <v>45082</v>
      </c>
      <c r="B16032" s="158">
        <v>4.03</v>
      </c>
    </row>
    <row r="16033" spans="1:2" x14ac:dyDescent="0.25">
      <c r="A16033" s="157">
        <v>45083</v>
      </c>
      <c r="B16033" s="158">
        <v>4.0199999999999996</v>
      </c>
    </row>
    <row r="16034" spans="1:2" x14ac:dyDescent="0.25">
      <c r="A16034" s="157">
        <v>45084</v>
      </c>
      <c r="B16034" s="158">
        <v>4.12</v>
      </c>
    </row>
    <row r="16035" spans="1:2" x14ac:dyDescent="0.25">
      <c r="A16035" s="157">
        <v>45085</v>
      </c>
      <c r="B16035" s="158">
        <v>4.05</v>
      </c>
    </row>
    <row r="16036" spans="1:2" x14ac:dyDescent="0.25">
      <c r="A16036" s="157">
        <v>45086</v>
      </c>
      <c r="B16036" s="158">
        <v>4.05</v>
      </c>
    </row>
    <row r="16037" spans="1:2" x14ac:dyDescent="0.25">
      <c r="A16037" s="157">
        <v>45089</v>
      </c>
      <c r="B16037" s="158">
        <v>4.04</v>
      </c>
    </row>
    <row r="16038" spans="1:2" x14ac:dyDescent="0.25">
      <c r="A16038" s="157">
        <v>45090</v>
      </c>
      <c r="B16038" s="158">
        <v>4.12</v>
      </c>
    </row>
    <row r="16039" spans="1:2" x14ac:dyDescent="0.25">
      <c r="A16039" s="157">
        <v>45091</v>
      </c>
      <c r="B16039" s="158">
        <v>4.09</v>
      </c>
    </row>
    <row r="16040" spans="1:2" x14ac:dyDescent="0.25">
      <c r="A16040" s="157">
        <v>45092</v>
      </c>
      <c r="B16040" s="158">
        <v>4.0199999999999996</v>
      </c>
    </row>
    <row r="16041" spans="1:2" x14ac:dyDescent="0.25">
      <c r="A16041" s="157">
        <v>45093</v>
      </c>
      <c r="B16041" s="158">
        <v>4.05</v>
      </c>
    </row>
    <row r="16042" spans="1:2" x14ac:dyDescent="0.25">
      <c r="A16042" s="157">
        <v>45096</v>
      </c>
      <c r="B16042" s="158" t="e">
        <f>NA()</f>
        <v>#N/A</v>
      </c>
    </row>
    <row r="16043" spans="1:2" x14ac:dyDescent="0.25">
      <c r="A16043" s="157">
        <v>45097</v>
      </c>
      <c r="B16043" s="158">
        <v>4.01</v>
      </c>
    </row>
    <row r="16044" spans="1:2" x14ac:dyDescent="0.25">
      <c r="A16044" s="157">
        <v>45098</v>
      </c>
      <c r="B16044" s="158">
        <v>3.99</v>
      </c>
    </row>
    <row r="16045" spans="1:2" x14ac:dyDescent="0.25">
      <c r="A16045" s="157">
        <v>45099</v>
      </c>
      <c r="B16045" s="158">
        <v>4.0599999999999996</v>
      </c>
    </row>
    <row r="16046" spans="1:2" x14ac:dyDescent="0.25">
      <c r="A16046" s="157">
        <v>45100</v>
      </c>
      <c r="B16046" s="158">
        <v>4.01</v>
      </c>
    </row>
    <row r="16047" spans="1:2" x14ac:dyDescent="0.25">
      <c r="A16047" s="157">
        <v>45103</v>
      </c>
      <c r="B16047" s="158">
        <v>4.01</v>
      </c>
    </row>
    <row r="16048" spans="1:2" x14ac:dyDescent="0.25">
      <c r="A16048" s="157">
        <v>45104</v>
      </c>
      <c r="B16048" s="158">
        <v>4.03</v>
      </c>
    </row>
    <row r="16049" spans="1:2" x14ac:dyDescent="0.25">
      <c r="A16049" s="157">
        <v>45105</v>
      </c>
      <c r="B16049" s="158">
        <v>4</v>
      </c>
    </row>
    <row r="16050" spans="1:2" x14ac:dyDescent="0.25">
      <c r="A16050" s="157">
        <v>45106</v>
      </c>
      <c r="B16050" s="158">
        <v>4.1100000000000003</v>
      </c>
    </row>
    <row r="16051" spans="1:2" x14ac:dyDescent="0.25">
      <c r="A16051" s="157">
        <v>45107</v>
      </c>
      <c r="B16051" s="158">
        <v>4.0599999999999996</v>
      </c>
    </row>
    <row r="16052" spans="1:2" x14ac:dyDescent="0.25">
      <c r="A16052" s="157">
        <v>45110</v>
      </c>
      <c r="B16052" s="158">
        <v>4.08</v>
      </c>
    </row>
    <row r="16053" spans="1:2" x14ac:dyDescent="0.25">
      <c r="A16053" s="157">
        <v>45111</v>
      </c>
      <c r="B16053" s="158" t="e">
        <f>NA()</f>
        <v>#N/A</v>
      </c>
    </row>
    <row r="16054" spans="1:2" x14ac:dyDescent="0.25">
      <c r="A16054" s="157">
        <v>45112</v>
      </c>
      <c r="B16054" s="158">
        <v>4.17</v>
      </c>
    </row>
    <row r="16055" spans="1:2" x14ac:dyDescent="0.25">
      <c r="A16055" s="157">
        <v>45113</v>
      </c>
      <c r="B16055" s="158">
        <v>4.2300000000000004</v>
      </c>
    </row>
    <row r="16056" spans="1:2" x14ac:dyDescent="0.25">
      <c r="A16056" s="157">
        <v>45114</v>
      </c>
      <c r="B16056" s="158">
        <v>4.2699999999999996</v>
      </c>
    </row>
    <row r="16057" spans="1:2" x14ac:dyDescent="0.25">
      <c r="A16057" s="157">
        <v>45117</v>
      </c>
      <c r="B16057" s="158">
        <v>4.24</v>
      </c>
    </row>
    <row r="16058" spans="1:2" x14ac:dyDescent="0.25">
      <c r="A16058" s="157">
        <v>45118</v>
      </c>
      <c r="B16058" s="158">
        <v>4.22</v>
      </c>
    </row>
    <row r="16059" spans="1:2" x14ac:dyDescent="0.25">
      <c r="A16059" s="157">
        <v>45119</v>
      </c>
      <c r="B16059" s="158">
        <v>4.1399999999999997</v>
      </c>
    </row>
    <row r="16060" spans="1:2" x14ac:dyDescent="0.25">
      <c r="A16060" s="157">
        <v>45120</v>
      </c>
      <c r="B16060" s="158">
        <v>4.07</v>
      </c>
    </row>
    <row r="16061" spans="1:2" x14ac:dyDescent="0.25">
      <c r="A16061" s="157">
        <v>45121</v>
      </c>
      <c r="B16061" s="158">
        <v>4.1100000000000003</v>
      </c>
    </row>
    <row r="16062" spans="1:2" x14ac:dyDescent="0.25">
      <c r="A16062" s="157">
        <v>45124</v>
      </c>
      <c r="B16062" s="158">
        <v>4.0999999999999996</v>
      </c>
    </row>
    <row r="16063" spans="1:2" x14ac:dyDescent="0.25">
      <c r="A16063" s="157">
        <v>45125</v>
      </c>
      <c r="B16063" s="158">
        <v>4.08</v>
      </c>
    </row>
    <row r="16064" spans="1:2" x14ac:dyDescent="0.25">
      <c r="A16064" s="157">
        <v>45126</v>
      </c>
      <c r="B16064" s="158">
        <v>4.01</v>
      </c>
    </row>
    <row r="16065" spans="1:2" x14ac:dyDescent="0.25">
      <c r="A16065" s="157">
        <v>45127</v>
      </c>
      <c r="B16065" s="158">
        <v>4.0999999999999996</v>
      </c>
    </row>
    <row r="16066" spans="1:2" x14ac:dyDescent="0.25">
      <c r="A16066" s="157">
        <v>45128</v>
      </c>
      <c r="B16066" s="158">
        <v>4.0999999999999996</v>
      </c>
    </row>
    <row r="16067" spans="1:2" x14ac:dyDescent="0.25">
      <c r="A16067" s="157">
        <v>45131</v>
      </c>
      <c r="B16067" s="158">
        <v>4.1100000000000003</v>
      </c>
    </row>
    <row r="16068" spans="1:2" x14ac:dyDescent="0.25">
      <c r="A16068" s="157">
        <v>45132</v>
      </c>
      <c r="B16068" s="158">
        <v>4.1399999999999997</v>
      </c>
    </row>
    <row r="16069" spans="1:2" x14ac:dyDescent="0.25">
      <c r="A16069" s="157">
        <v>45133</v>
      </c>
      <c r="B16069" s="158">
        <v>4.12</v>
      </c>
    </row>
    <row r="16070" spans="1:2" x14ac:dyDescent="0.25">
      <c r="A16070" s="157">
        <v>45134</v>
      </c>
      <c r="B16070" s="158">
        <v>4.26</v>
      </c>
    </row>
    <row r="16071" spans="1:2" x14ac:dyDescent="0.25">
      <c r="A16071" s="157">
        <v>45135</v>
      </c>
      <c r="B16071" s="158">
        <v>4.22</v>
      </c>
    </row>
    <row r="16072" spans="1:2" x14ac:dyDescent="0.25">
      <c r="A16072" s="157">
        <v>45138</v>
      </c>
      <c r="B16072" s="158">
        <v>4.22</v>
      </c>
    </row>
    <row r="16073" spans="1:2" x14ac:dyDescent="0.25">
      <c r="A16073" s="157">
        <v>45139</v>
      </c>
      <c r="B16073" s="158">
        <v>4.3</v>
      </c>
    </row>
    <row r="16074" spans="1:2" x14ac:dyDescent="0.25">
      <c r="A16074" s="157">
        <v>45140</v>
      </c>
      <c r="B16074" s="158">
        <v>4.3499999999999996</v>
      </c>
    </row>
    <row r="16075" spans="1:2" x14ac:dyDescent="0.25">
      <c r="A16075" s="157">
        <v>45141</v>
      </c>
      <c r="B16075" s="158">
        <v>4.49</v>
      </c>
    </row>
    <row r="16076" spans="1:2" x14ac:dyDescent="0.25">
      <c r="A16076" s="157">
        <v>45142</v>
      </c>
      <c r="B16076" s="158">
        <v>4.3600000000000003</v>
      </c>
    </row>
    <row r="16077" spans="1:2" x14ac:dyDescent="0.25">
      <c r="A16077" s="157">
        <v>45145</v>
      </c>
      <c r="B16077" s="158">
        <v>4.42</v>
      </c>
    </row>
    <row r="16078" spans="1:2" x14ac:dyDescent="0.25">
      <c r="A16078" s="157">
        <v>45146</v>
      </c>
      <c r="B16078" s="158">
        <v>4.3499999999999996</v>
      </c>
    </row>
    <row r="16079" spans="1:2" x14ac:dyDescent="0.25">
      <c r="A16079" s="157">
        <v>45147</v>
      </c>
      <c r="B16079" s="158">
        <v>4.33</v>
      </c>
    </row>
    <row r="16080" spans="1:2" x14ac:dyDescent="0.25">
      <c r="A16080" s="157">
        <v>45148</v>
      </c>
      <c r="B16080" s="158">
        <v>4.41</v>
      </c>
    </row>
    <row r="16081" spans="1:2" x14ac:dyDescent="0.25">
      <c r="A16081" s="157">
        <v>45149</v>
      </c>
      <c r="B16081" s="158">
        <v>4.45</v>
      </c>
    </row>
    <row r="16082" spans="1:2" x14ac:dyDescent="0.25">
      <c r="A16082" s="157">
        <v>45152</v>
      </c>
      <c r="B16082" s="158">
        <v>4.46</v>
      </c>
    </row>
    <row r="16083" spans="1:2" x14ac:dyDescent="0.25">
      <c r="A16083" s="157">
        <v>45153</v>
      </c>
      <c r="B16083" s="158">
        <v>4.49</v>
      </c>
    </row>
    <row r="16084" spans="1:2" x14ac:dyDescent="0.25">
      <c r="A16084" s="157">
        <v>45154</v>
      </c>
      <c r="B16084" s="158">
        <v>4.55</v>
      </c>
    </row>
    <row r="16085" spans="1:2" x14ac:dyDescent="0.25">
      <c r="A16085" s="157">
        <v>45155</v>
      </c>
      <c r="B16085" s="158">
        <v>4.58</v>
      </c>
    </row>
    <row r="16086" spans="1:2" x14ac:dyDescent="0.25">
      <c r="A16086" s="157">
        <v>45156</v>
      </c>
      <c r="B16086" s="158">
        <v>4.55</v>
      </c>
    </row>
    <row r="16087" spans="1:2" x14ac:dyDescent="0.25">
      <c r="A16087" s="157">
        <v>45159</v>
      </c>
      <c r="B16087" s="158">
        <v>4.6399999999999997</v>
      </c>
    </row>
    <row r="16088" spans="1:2" x14ac:dyDescent="0.25">
      <c r="A16088" s="157">
        <v>45160</v>
      </c>
      <c r="B16088" s="158">
        <v>4.6100000000000003</v>
      </c>
    </row>
    <row r="16089" spans="1:2" x14ac:dyDescent="0.25">
      <c r="A16089" s="157">
        <v>45161</v>
      </c>
      <c r="B16089" s="158">
        <v>4.46</v>
      </c>
    </row>
    <row r="16090" spans="1:2" x14ac:dyDescent="0.25">
      <c r="A16090" s="157">
        <v>45162</v>
      </c>
      <c r="B16090" s="158">
        <v>4.49</v>
      </c>
    </row>
    <row r="16091" spans="1:2" x14ac:dyDescent="0.25">
      <c r="A16091" s="157">
        <v>45163</v>
      </c>
      <c r="B16091" s="158">
        <v>4.5</v>
      </c>
    </row>
    <row r="16092" spans="1:2" x14ac:dyDescent="0.25">
      <c r="A16092" s="157">
        <v>45166</v>
      </c>
      <c r="B16092" s="158">
        <v>4.4800000000000004</v>
      </c>
    </row>
    <row r="16093" spans="1:2" x14ac:dyDescent="0.25">
      <c r="A16093" s="157">
        <v>45167</v>
      </c>
      <c r="B16093" s="158">
        <v>4.42</v>
      </c>
    </row>
    <row r="16094" spans="1:2" x14ac:dyDescent="0.25">
      <c r="A16094" s="157">
        <v>45168</v>
      </c>
      <c r="B16094" s="158">
        <v>4.42</v>
      </c>
    </row>
    <row r="16095" spans="1:2" x14ac:dyDescent="0.25">
      <c r="A16095" s="157">
        <v>45169</v>
      </c>
      <c r="B16095" s="158">
        <v>4.3899999999999997</v>
      </c>
    </row>
    <row r="16096" spans="1:2" x14ac:dyDescent="0.25">
      <c r="A16096" s="157">
        <v>45170</v>
      </c>
      <c r="B16096" s="158">
        <v>4.4800000000000004</v>
      </c>
    </row>
    <row r="16097" spans="1:2" x14ac:dyDescent="0.25">
      <c r="A16097" s="157">
        <v>45173</v>
      </c>
      <c r="B16097" s="158" t="e">
        <f>NA()</f>
        <v>#N/A</v>
      </c>
    </row>
    <row r="16098" spans="1:2" x14ac:dyDescent="0.25">
      <c r="A16098" s="157">
        <v>45174</v>
      </c>
      <c r="B16098" s="158">
        <v>4.5599999999999996</v>
      </c>
    </row>
    <row r="16099" spans="1:2" x14ac:dyDescent="0.25">
      <c r="A16099" s="157">
        <v>45175</v>
      </c>
      <c r="B16099" s="158">
        <v>4.5599999999999996</v>
      </c>
    </row>
    <row r="16100" spans="1:2" x14ac:dyDescent="0.25">
      <c r="A16100" s="157">
        <v>45176</v>
      </c>
      <c r="B16100" s="158">
        <v>4.55</v>
      </c>
    </row>
    <row r="16101" spans="1:2" x14ac:dyDescent="0.25">
      <c r="A16101" s="157">
        <v>45177</v>
      </c>
      <c r="B16101" s="158">
        <v>4.5199999999999996</v>
      </c>
    </row>
    <row r="16102" spans="1:2" x14ac:dyDescent="0.25">
      <c r="A16102" s="157">
        <v>45180</v>
      </c>
      <c r="B16102" s="158">
        <v>4.5599999999999996</v>
      </c>
    </row>
    <row r="16103" spans="1:2" x14ac:dyDescent="0.25">
      <c r="A16103" s="157">
        <v>45181</v>
      </c>
      <c r="B16103" s="158">
        <v>4.54</v>
      </c>
    </row>
    <row r="16104" spans="1:2" x14ac:dyDescent="0.25">
      <c r="A16104" s="157">
        <v>45182</v>
      </c>
      <c r="B16104" s="158">
        <v>4.5199999999999996</v>
      </c>
    </row>
    <row r="16105" spans="1:2" x14ac:dyDescent="0.25">
      <c r="A16105" s="157">
        <v>45183</v>
      </c>
      <c r="B16105" s="158">
        <v>4.57</v>
      </c>
    </row>
    <row r="16106" spans="1:2" x14ac:dyDescent="0.25">
      <c r="A16106" s="157">
        <v>45184</v>
      </c>
      <c r="B16106" s="158">
        <v>4.59</v>
      </c>
    </row>
    <row r="16107" spans="1:2" x14ac:dyDescent="0.25">
      <c r="A16107" s="157">
        <v>45187</v>
      </c>
      <c r="B16107" s="158">
        <v>4.57</v>
      </c>
    </row>
    <row r="16108" spans="1:2" x14ac:dyDescent="0.25">
      <c r="A16108" s="157">
        <v>45188</v>
      </c>
      <c r="B16108" s="158">
        <v>4.5999999999999996</v>
      </c>
    </row>
    <row r="16109" spans="1:2" x14ac:dyDescent="0.25">
      <c r="A16109" s="157">
        <v>45189</v>
      </c>
      <c r="B16109" s="158">
        <v>4.57</v>
      </c>
    </row>
    <row r="16110" spans="1:2" x14ac:dyDescent="0.25">
      <c r="A16110" s="157">
        <v>45190</v>
      </c>
      <c r="B16110" s="158">
        <v>4.74</v>
      </c>
    </row>
    <row r="16111" spans="1:2" x14ac:dyDescent="0.25">
      <c r="A16111" s="157">
        <v>45191</v>
      </c>
      <c r="B16111" s="158">
        <v>4.7</v>
      </c>
    </row>
    <row r="16112" spans="1:2" x14ac:dyDescent="0.25">
      <c r="A16112" s="157">
        <v>45194</v>
      </c>
      <c r="B16112" s="158">
        <v>4.84</v>
      </c>
    </row>
    <row r="16113" spans="1:2" x14ac:dyDescent="0.25">
      <c r="A16113" s="157">
        <v>45195</v>
      </c>
      <c r="B16113" s="158">
        <v>4.8600000000000003</v>
      </c>
    </row>
    <row r="16114" spans="1:2" x14ac:dyDescent="0.25">
      <c r="A16114" s="157">
        <v>45196</v>
      </c>
      <c r="B16114" s="158">
        <v>4.91</v>
      </c>
    </row>
    <row r="16115" spans="1:2" x14ac:dyDescent="0.25">
      <c r="A16115" s="157">
        <v>45197</v>
      </c>
      <c r="B16115" s="158">
        <v>4.9000000000000004</v>
      </c>
    </row>
    <row r="16116" spans="1:2" x14ac:dyDescent="0.25">
      <c r="A16116" s="157">
        <v>45198</v>
      </c>
      <c r="B16116" s="158">
        <v>4.92</v>
      </c>
    </row>
    <row r="16117" spans="1:2" x14ac:dyDescent="0.25">
      <c r="A16117" s="157">
        <v>45201</v>
      </c>
      <c r="B16117" s="158">
        <v>5</v>
      </c>
    </row>
    <row r="16118" spans="1:2" x14ac:dyDescent="0.25">
      <c r="A16118" s="157">
        <v>45202</v>
      </c>
      <c r="B16118" s="158">
        <v>5.13</v>
      </c>
    </row>
    <row r="16119" spans="1:2" x14ac:dyDescent="0.25">
      <c r="A16119" s="157">
        <v>45203</v>
      </c>
      <c r="B16119" s="158">
        <v>5.05</v>
      </c>
    </row>
    <row r="16120" spans="1:2" x14ac:dyDescent="0.25">
      <c r="A16120" s="157">
        <v>45204</v>
      </c>
      <c r="B16120" s="158">
        <v>5.0599999999999996</v>
      </c>
    </row>
    <row r="16121" spans="1:2" x14ac:dyDescent="0.25">
      <c r="A16121" s="157">
        <v>45205</v>
      </c>
      <c r="B16121" s="158">
        <v>5.13</v>
      </c>
    </row>
    <row r="16122" spans="1:2" x14ac:dyDescent="0.25">
      <c r="A16122" s="157">
        <v>45208</v>
      </c>
      <c r="B16122" s="158" t="e">
        <f>NA()</f>
        <v>#N/A</v>
      </c>
    </row>
    <row r="16123" spans="1:2" x14ac:dyDescent="0.25">
      <c r="A16123" s="157">
        <v>45209</v>
      </c>
      <c r="B16123" s="158">
        <v>5.03</v>
      </c>
    </row>
    <row r="16124" spans="1:2" x14ac:dyDescent="0.25">
      <c r="A16124" s="157">
        <v>45210</v>
      </c>
      <c r="B16124" s="158">
        <v>4.92</v>
      </c>
    </row>
    <row r="16125" spans="1:2" x14ac:dyDescent="0.25">
      <c r="A16125" s="157">
        <v>45211</v>
      </c>
      <c r="B16125" s="158">
        <v>5.05</v>
      </c>
    </row>
    <row r="16126" spans="1:2" x14ac:dyDescent="0.25">
      <c r="A16126" s="157">
        <v>45212</v>
      </c>
      <c r="B16126" s="158">
        <v>4.97</v>
      </c>
    </row>
    <row r="16127" spans="1:2" x14ac:dyDescent="0.25">
      <c r="A16127" s="157">
        <v>45215</v>
      </c>
      <c r="B16127" s="158">
        <v>5.0599999999999996</v>
      </c>
    </row>
    <row r="16128" spans="1:2" x14ac:dyDescent="0.25">
      <c r="A16128" s="157">
        <v>45216</v>
      </c>
      <c r="B16128" s="158">
        <v>5.14</v>
      </c>
    </row>
    <row r="16129" spans="1:2" x14ac:dyDescent="0.25">
      <c r="A16129" s="157">
        <v>45217</v>
      </c>
      <c r="B16129" s="158">
        <v>5.2</v>
      </c>
    </row>
    <row r="16130" spans="1:2" x14ac:dyDescent="0.25">
      <c r="A16130" s="157">
        <v>45218</v>
      </c>
      <c r="B16130" s="158">
        <v>5.3</v>
      </c>
    </row>
    <row r="16131" spans="1:2" x14ac:dyDescent="0.25">
      <c r="A16131" s="157">
        <v>45219</v>
      </c>
      <c r="B16131" s="158">
        <v>5.27</v>
      </c>
    </row>
    <row r="16132" spans="1:2" x14ac:dyDescent="0.25">
      <c r="A16132" s="157">
        <v>45222</v>
      </c>
      <c r="B16132" s="158">
        <v>5.19</v>
      </c>
    </row>
    <row r="16133" spans="1:2" x14ac:dyDescent="0.25">
      <c r="A16133" s="157">
        <v>45223</v>
      </c>
      <c r="B16133" s="158">
        <v>5.15</v>
      </c>
    </row>
    <row r="16134" spans="1:2" x14ac:dyDescent="0.25">
      <c r="A16134" s="157">
        <v>45224</v>
      </c>
      <c r="B16134" s="158">
        <v>5.27</v>
      </c>
    </row>
    <row r="16135" spans="1:2" x14ac:dyDescent="0.25">
      <c r="A16135" s="157">
        <v>45225</v>
      </c>
      <c r="B16135" s="158">
        <v>5.19</v>
      </c>
    </row>
    <row r="16136" spans="1:2" x14ac:dyDescent="0.25">
      <c r="A16136" s="157">
        <v>45226</v>
      </c>
      <c r="B16136" s="158">
        <v>5.19</v>
      </c>
    </row>
    <row r="16137" spans="1:2" x14ac:dyDescent="0.25">
      <c r="A16137" s="157">
        <v>45229</v>
      </c>
      <c r="B16137" s="158">
        <v>5.21</v>
      </c>
    </row>
    <row r="16138" spans="1:2" x14ac:dyDescent="0.25">
      <c r="A16138" s="157">
        <v>45230</v>
      </c>
      <c r="B16138" s="158">
        <v>5.21</v>
      </c>
    </row>
    <row r="16139" spans="1:2" x14ac:dyDescent="0.25">
      <c r="A16139" s="157">
        <v>45231</v>
      </c>
      <c r="B16139" s="158">
        <v>5.13</v>
      </c>
    </row>
    <row r="16140" spans="1:2" x14ac:dyDescent="0.25">
      <c r="A16140" s="157">
        <v>45232</v>
      </c>
      <c r="B16140" s="158">
        <v>4.99</v>
      </c>
    </row>
    <row r="16141" spans="1:2" x14ac:dyDescent="0.25">
      <c r="A16141" s="157">
        <v>45233</v>
      </c>
      <c r="B16141" s="158">
        <v>4.93</v>
      </c>
    </row>
    <row r="16142" spans="1:2" x14ac:dyDescent="0.25">
      <c r="A16142" s="157">
        <v>45236</v>
      </c>
      <c r="B16142" s="158">
        <v>5</v>
      </c>
    </row>
    <row r="16143" spans="1:2" x14ac:dyDescent="0.25">
      <c r="A16143" s="157">
        <v>45237</v>
      </c>
      <c r="B16143" s="158">
        <v>4.91</v>
      </c>
    </row>
    <row r="16144" spans="1:2" x14ac:dyDescent="0.25">
      <c r="A16144" s="157">
        <v>45238</v>
      </c>
      <c r="B16144" s="158">
        <v>4.82</v>
      </c>
    </row>
    <row r="16145" spans="1:2" x14ac:dyDescent="0.25">
      <c r="A16145" s="157">
        <v>45239</v>
      </c>
      <c r="B16145" s="158">
        <v>4.97</v>
      </c>
    </row>
    <row r="16146" spans="1:2" x14ac:dyDescent="0.25">
      <c r="A16146" s="157">
        <v>45240</v>
      </c>
      <c r="B16146" s="158">
        <v>4.93</v>
      </c>
    </row>
    <row r="16147" spans="1:2" x14ac:dyDescent="0.25">
      <c r="A16147" s="157">
        <v>45243</v>
      </c>
      <c r="B16147" s="158">
        <v>4.95</v>
      </c>
    </row>
    <row r="16148" spans="1:2" x14ac:dyDescent="0.25">
      <c r="A16148" s="157">
        <v>45244</v>
      </c>
      <c r="B16148" s="158">
        <v>4.8</v>
      </c>
    </row>
    <row r="16149" spans="1:2" x14ac:dyDescent="0.25">
      <c r="A16149" s="157">
        <v>45245</v>
      </c>
      <c r="B16149" s="158">
        <v>4.87</v>
      </c>
    </row>
    <row r="16150" spans="1:2" x14ac:dyDescent="0.25">
      <c r="A16150" s="157">
        <v>45246</v>
      </c>
      <c r="B16150" s="158">
        <v>4.82</v>
      </c>
    </row>
    <row r="16151" spans="1:2" x14ac:dyDescent="0.25">
      <c r="A16151" s="157">
        <v>45247</v>
      </c>
      <c r="B16151" s="158">
        <v>4.8</v>
      </c>
    </row>
    <row r="16152" spans="1:2" x14ac:dyDescent="0.25">
      <c r="A16152" s="157">
        <v>45250</v>
      </c>
      <c r="B16152" s="158">
        <v>4.74</v>
      </c>
    </row>
    <row r="16153" spans="1:2" x14ac:dyDescent="0.25">
      <c r="A16153" s="157">
        <v>45251</v>
      </c>
      <c r="B16153" s="158">
        <v>4.75</v>
      </c>
    </row>
    <row r="16154" spans="1:2" x14ac:dyDescent="0.25">
      <c r="A16154" s="157">
        <v>45252</v>
      </c>
      <c r="B16154" s="158">
        <v>4.7300000000000004</v>
      </c>
    </row>
    <row r="16155" spans="1:2" x14ac:dyDescent="0.25">
      <c r="A16155" s="157">
        <v>45253</v>
      </c>
      <c r="B16155" s="158" t="e">
        <f>NA()</f>
        <v>#N/A</v>
      </c>
    </row>
    <row r="16156" spans="1:2" x14ac:dyDescent="0.25">
      <c r="A16156" s="157">
        <v>45254</v>
      </c>
      <c r="B16156" s="158">
        <v>4.79</v>
      </c>
    </row>
    <row r="16157" spans="1:2" x14ac:dyDescent="0.25">
      <c r="A16157" s="157">
        <v>45257</v>
      </c>
      <c r="B16157" s="158">
        <v>4.72</v>
      </c>
    </row>
    <row r="16158" spans="1:2" x14ac:dyDescent="0.25">
      <c r="A16158" s="157">
        <v>45258</v>
      </c>
      <c r="B16158" s="158">
        <v>4.7</v>
      </c>
    </row>
    <row r="16159" spans="1:2" x14ac:dyDescent="0.25">
      <c r="A16159" s="157">
        <v>45259</v>
      </c>
      <c r="B16159" s="158">
        <v>4.62</v>
      </c>
    </row>
    <row r="16160" spans="1:2" x14ac:dyDescent="0.25">
      <c r="A16160" s="157">
        <v>45260</v>
      </c>
      <c r="B16160" s="158">
        <v>4.72</v>
      </c>
    </row>
    <row r="16161" spans="1:2" x14ac:dyDescent="0.25">
      <c r="A16161" s="157">
        <v>45261</v>
      </c>
      <c r="B16161" s="158">
        <v>4.58</v>
      </c>
    </row>
    <row r="16162" spans="1:2" x14ac:dyDescent="0.25">
      <c r="A16162" s="157">
        <v>45264</v>
      </c>
      <c r="B16162" s="158">
        <v>4.6100000000000003</v>
      </c>
    </row>
    <row r="16163" spans="1:2" x14ac:dyDescent="0.25">
      <c r="A16163" s="157">
        <v>45265</v>
      </c>
      <c r="B16163" s="158">
        <v>4.4800000000000004</v>
      </c>
    </row>
    <row r="16164" spans="1:2" x14ac:dyDescent="0.25">
      <c r="A16164" s="157">
        <v>45266</v>
      </c>
      <c r="B16164" s="158">
        <v>4.4000000000000004</v>
      </c>
    </row>
    <row r="16165" spans="1:2" x14ac:dyDescent="0.25">
      <c r="A16165" s="157">
        <v>45267</v>
      </c>
      <c r="B16165" s="158">
        <v>4.42</v>
      </c>
    </row>
    <row r="16166" spans="1:2" x14ac:dyDescent="0.25">
      <c r="A16166" s="157">
        <v>45268</v>
      </c>
      <c r="B16166" s="158">
        <v>4.49</v>
      </c>
    </row>
    <row r="16167" spans="1:2" x14ac:dyDescent="0.25">
      <c r="A16167" s="157">
        <v>45271</v>
      </c>
      <c r="B16167" s="158">
        <v>4.51</v>
      </c>
    </row>
    <row r="16168" spans="1:2" x14ac:dyDescent="0.25">
      <c r="A16168" s="157">
        <v>45272</v>
      </c>
      <c r="B16168" s="158">
        <v>4.4800000000000004</v>
      </c>
    </row>
    <row r="16169" spans="1:2" x14ac:dyDescent="0.25">
      <c r="A16169" s="157">
        <v>45273</v>
      </c>
      <c r="B16169" s="158">
        <v>4.3600000000000003</v>
      </c>
    </row>
    <row r="16170" spans="1:2" x14ac:dyDescent="0.25">
      <c r="A16170" s="157">
        <v>45274</v>
      </c>
      <c r="B16170" s="158">
        <v>4.21</v>
      </c>
    </row>
    <row r="16171" spans="1:2" x14ac:dyDescent="0.25">
      <c r="A16171" s="157">
        <v>45275</v>
      </c>
      <c r="B16171" s="158">
        <v>4.1900000000000004</v>
      </c>
    </row>
    <row r="16172" spans="1:2" x14ac:dyDescent="0.25">
      <c r="A16172" s="157">
        <v>45278</v>
      </c>
      <c r="B16172" s="158">
        <v>4.2300000000000004</v>
      </c>
    </row>
    <row r="16173" spans="1:2" x14ac:dyDescent="0.25">
      <c r="A16173" s="157">
        <v>45279</v>
      </c>
      <c r="B16173" s="158">
        <v>4.2300000000000004</v>
      </c>
    </row>
    <row r="16174" spans="1:2" x14ac:dyDescent="0.25">
      <c r="A16174" s="157">
        <v>45280</v>
      </c>
      <c r="B16174" s="158">
        <v>4.17</v>
      </c>
    </row>
    <row r="16175" spans="1:2" x14ac:dyDescent="0.25">
      <c r="A16175" s="157">
        <v>45281</v>
      </c>
      <c r="B16175" s="158">
        <v>4.1900000000000004</v>
      </c>
    </row>
    <row r="16176" spans="1:2" x14ac:dyDescent="0.25">
      <c r="A16176" s="157">
        <v>45282</v>
      </c>
      <c r="B16176" s="158">
        <v>4.21</v>
      </c>
    </row>
    <row r="16177" spans="1:2" x14ac:dyDescent="0.25">
      <c r="A16177" s="157">
        <v>45285</v>
      </c>
      <c r="B16177" s="158" t="e">
        <f>NA()</f>
        <v>#N/A</v>
      </c>
    </row>
    <row r="16178" spans="1:2" x14ac:dyDescent="0.25">
      <c r="A16178" s="157">
        <v>45286</v>
      </c>
      <c r="B16178" s="158">
        <v>4.2</v>
      </c>
    </row>
    <row r="16179" spans="1:2" x14ac:dyDescent="0.25">
      <c r="A16179" s="157">
        <v>45287</v>
      </c>
      <c r="B16179" s="158">
        <v>4.0999999999999996</v>
      </c>
    </row>
    <row r="16180" spans="1:2" x14ac:dyDescent="0.25">
      <c r="A16180" s="157">
        <v>45288</v>
      </c>
      <c r="B16180" s="158">
        <v>4.1399999999999997</v>
      </c>
    </row>
    <row r="16181" spans="1:2" x14ac:dyDescent="0.25">
      <c r="A16181" s="157">
        <v>45289</v>
      </c>
      <c r="B16181" s="158">
        <v>4.2</v>
      </c>
    </row>
    <row r="16182" spans="1:2" x14ac:dyDescent="0.25">
      <c r="A16182" s="157">
        <v>45292</v>
      </c>
      <c r="B16182" s="158" t="e">
        <f>NA()</f>
        <v>#N/A</v>
      </c>
    </row>
    <row r="16183" spans="1:2" x14ac:dyDescent="0.25">
      <c r="A16183" s="157">
        <v>45293</v>
      </c>
      <c r="B16183" s="158">
        <v>4.25</v>
      </c>
    </row>
    <row r="16184" spans="1:2" x14ac:dyDescent="0.25">
      <c r="A16184" s="157">
        <v>45294</v>
      </c>
      <c r="B16184" s="158">
        <v>4.21</v>
      </c>
    </row>
    <row r="16185" spans="1:2" x14ac:dyDescent="0.25">
      <c r="A16185" s="157">
        <v>45295</v>
      </c>
      <c r="B16185" s="158">
        <v>4.3</v>
      </c>
    </row>
    <row r="16186" spans="1:2" x14ac:dyDescent="0.25">
      <c r="A16186" s="157">
        <v>45296</v>
      </c>
      <c r="B16186" s="158">
        <v>4.37</v>
      </c>
    </row>
    <row r="16187" spans="1:2" x14ac:dyDescent="0.25">
      <c r="A16187" s="157">
        <v>45299</v>
      </c>
      <c r="B16187" s="158">
        <v>4.33</v>
      </c>
    </row>
    <row r="16188" spans="1:2" x14ac:dyDescent="0.25">
      <c r="A16188" s="157">
        <v>45300</v>
      </c>
      <c r="B16188" s="158">
        <v>4.33</v>
      </c>
    </row>
    <row r="16189" spans="1:2" x14ac:dyDescent="0.25">
      <c r="A16189" s="157">
        <v>45301</v>
      </c>
      <c r="B16189" s="158">
        <v>4.3499999999999996</v>
      </c>
    </row>
    <row r="16190" spans="1:2" x14ac:dyDescent="0.25">
      <c r="A16190" s="157">
        <v>45302</v>
      </c>
      <c r="B16190" s="158">
        <v>4.32</v>
      </c>
    </row>
    <row r="16191" spans="1:2" x14ac:dyDescent="0.25">
      <c r="A16191" s="157">
        <v>45303</v>
      </c>
      <c r="B16191" s="158">
        <v>4.32</v>
      </c>
    </row>
    <row r="16192" spans="1:2" x14ac:dyDescent="0.25">
      <c r="A16192" s="157">
        <v>45306</v>
      </c>
      <c r="B16192" s="158" t="e">
        <f>NA()</f>
        <v>#N/A</v>
      </c>
    </row>
    <row r="16193" spans="1:2" x14ac:dyDescent="0.25">
      <c r="A16193" s="157">
        <v>45307</v>
      </c>
      <c r="B16193" s="158">
        <v>4.43</v>
      </c>
    </row>
    <row r="16194" spans="1:2" x14ac:dyDescent="0.25">
      <c r="A16194" s="157">
        <v>45308</v>
      </c>
      <c r="B16194" s="158">
        <v>4.42</v>
      </c>
    </row>
    <row r="16195" spans="1:2" x14ac:dyDescent="0.25">
      <c r="A16195" s="157">
        <v>45309</v>
      </c>
      <c r="B16195" s="158">
        <v>4.4800000000000004</v>
      </c>
    </row>
    <row r="16196" spans="1:2" x14ac:dyDescent="0.25">
      <c r="A16196" s="157">
        <v>45310</v>
      </c>
      <c r="B16196" s="158">
        <v>4.47</v>
      </c>
    </row>
    <row r="16197" spans="1:2" x14ac:dyDescent="0.25">
      <c r="A16197" s="157">
        <v>45313</v>
      </c>
      <c r="B16197" s="158">
        <v>4.4400000000000004</v>
      </c>
    </row>
    <row r="16198" spans="1:2" x14ac:dyDescent="0.25">
      <c r="A16198" s="157">
        <v>45314</v>
      </c>
      <c r="B16198" s="158">
        <v>4.4800000000000004</v>
      </c>
    </row>
    <row r="16199" spans="1:2" x14ac:dyDescent="0.25">
      <c r="A16199" s="157">
        <v>45315</v>
      </c>
      <c r="B16199" s="158">
        <v>4.5199999999999996</v>
      </c>
    </row>
    <row r="16200" spans="1:2" x14ac:dyDescent="0.25">
      <c r="A16200" s="157">
        <v>45316</v>
      </c>
      <c r="B16200" s="158">
        <v>4.49</v>
      </c>
    </row>
    <row r="16201" spans="1:2" x14ac:dyDescent="0.25">
      <c r="A16201" s="157">
        <v>45317</v>
      </c>
      <c r="B16201" s="158">
        <v>4.49</v>
      </c>
    </row>
    <row r="16202" spans="1:2" x14ac:dyDescent="0.25">
      <c r="A16202" s="157">
        <v>45320</v>
      </c>
      <c r="B16202" s="158">
        <v>4.42</v>
      </c>
    </row>
    <row r="16203" spans="1:2" x14ac:dyDescent="0.25">
      <c r="A16203" s="157">
        <v>45321</v>
      </c>
      <c r="B16203" s="158">
        <v>4.4000000000000004</v>
      </c>
    </row>
    <row r="16204" spans="1:2" x14ac:dyDescent="0.25">
      <c r="A16204" s="157">
        <v>45322</v>
      </c>
      <c r="B16204" s="158">
        <v>4.34</v>
      </c>
    </row>
    <row r="16205" spans="1:2" x14ac:dyDescent="0.25">
      <c r="A16205" s="157">
        <v>45323</v>
      </c>
      <c r="B16205" s="158">
        <v>4.21</v>
      </c>
    </row>
    <row r="16206" spans="1:2" x14ac:dyDescent="0.25">
      <c r="A16206" s="157">
        <v>45324</v>
      </c>
      <c r="B16206" s="158">
        <v>4.33</v>
      </c>
    </row>
    <row r="16207" spans="1:2" x14ac:dyDescent="0.25">
      <c r="A16207" s="157">
        <v>45327</v>
      </c>
      <c r="B16207" s="158">
        <v>4.46</v>
      </c>
    </row>
    <row r="16208" spans="1:2" x14ac:dyDescent="0.25">
      <c r="A16208" s="157">
        <v>45328</v>
      </c>
      <c r="B16208" s="158">
        <v>4.3899999999999997</v>
      </c>
    </row>
    <row r="16209" spans="1:2" x14ac:dyDescent="0.25">
      <c r="A16209" s="157">
        <v>45329</v>
      </c>
      <c r="B16209" s="158">
        <v>4.41</v>
      </c>
    </row>
    <row r="16210" spans="1:2" x14ac:dyDescent="0.25">
      <c r="A16210" s="157">
        <v>45330</v>
      </c>
      <c r="B16210" s="158">
        <v>4.47</v>
      </c>
    </row>
    <row r="16211" spans="1:2" x14ac:dyDescent="0.25">
      <c r="A16211" s="157">
        <v>45331</v>
      </c>
      <c r="B16211" s="158">
        <v>4.4800000000000004</v>
      </c>
    </row>
    <row r="16212" spans="1:2" x14ac:dyDescent="0.25">
      <c r="A16212" s="157">
        <v>45334</v>
      </c>
      <c r="B16212" s="158">
        <v>4.4800000000000004</v>
      </c>
    </row>
    <row r="16213" spans="1:2" x14ac:dyDescent="0.25">
      <c r="A16213" s="157">
        <v>45335</v>
      </c>
      <c r="B16213" s="158">
        <v>4.59</v>
      </c>
    </row>
    <row r="16214" spans="1:2" x14ac:dyDescent="0.25">
      <c r="A16214" s="157">
        <v>45336</v>
      </c>
      <c r="B16214" s="158">
        <v>4.57</v>
      </c>
    </row>
    <row r="16215" spans="1:2" x14ac:dyDescent="0.25">
      <c r="A16215" s="157">
        <v>45337</v>
      </c>
      <c r="B16215" s="158">
        <v>4.54</v>
      </c>
    </row>
    <row r="16216" spans="1:2" x14ac:dyDescent="0.25">
      <c r="A16216" s="157">
        <v>45338</v>
      </c>
      <c r="B16216" s="158">
        <v>4.58</v>
      </c>
    </row>
    <row r="16217" spans="1:2" x14ac:dyDescent="0.25">
      <c r="A16217" s="157">
        <v>45341</v>
      </c>
      <c r="B16217" s="158" t="e">
        <f>NA()</f>
        <v>#N/A</v>
      </c>
    </row>
    <row r="16218" spans="1:2" x14ac:dyDescent="0.25">
      <c r="A16218" s="157">
        <v>45342</v>
      </c>
      <c r="B16218" s="158">
        <v>4.5599999999999996</v>
      </c>
    </row>
    <row r="16219" spans="1:2" x14ac:dyDescent="0.25">
      <c r="A16219" s="157">
        <v>45343</v>
      </c>
      <c r="B16219" s="158">
        <v>4.59</v>
      </c>
    </row>
    <row r="16220" spans="1:2" x14ac:dyDescent="0.25">
      <c r="A16220" s="157">
        <v>45344</v>
      </c>
      <c r="B16220" s="158">
        <v>4.58</v>
      </c>
    </row>
    <row r="16221" spans="1:2" x14ac:dyDescent="0.25">
      <c r="A16221" s="157">
        <v>45345</v>
      </c>
      <c r="B16221" s="158">
        <v>4.51</v>
      </c>
    </row>
    <row r="16222" spans="1:2" x14ac:dyDescent="0.25">
      <c r="A16222" s="157">
        <v>45348</v>
      </c>
      <c r="B16222" s="158">
        <v>4.53</v>
      </c>
    </row>
    <row r="16223" spans="1:2" x14ac:dyDescent="0.25">
      <c r="A16223" s="157">
        <v>45349</v>
      </c>
      <c r="B16223" s="158">
        <v>4.57</v>
      </c>
    </row>
    <row r="16224" spans="1:2" x14ac:dyDescent="0.25">
      <c r="A16224" s="157">
        <v>45350</v>
      </c>
      <c r="B16224" s="158">
        <v>4.53</v>
      </c>
    </row>
    <row r="16225" spans="1:2" x14ac:dyDescent="0.25">
      <c r="A16225" s="157">
        <v>45351</v>
      </c>
      <c r="B16225" s="158">
        <v>4.51</v>
      </c>
    </row>
    <row r="16226" spans="1:2" x14ac:dyDescent="0.25">
      <c r="A16226" s="157">
        <v>45352</v>
      </c>
      <c r="B16226" s="158">
        <v>4.46</v>
      </c>
    </row>
    <row r="16227" spans="1:2" x14ac:dyDescent="0.25">
      <c r="A16227" s="157">
        <v>45355</v>
      </c>
      <c r="B16227" s="158">
        <v>4.4800000000000004</v>
      </c>
    </row>
    <row r="16228" spans="1:2" x14ac:dyDescent="0.25">
      <c r="A16228" s="157">
        <v>45356</v>
      </c>
      <c r="B16228" s="158">
        <v>4.3899999999999997</v>
      </c>
    </row>
    <row r="16229" spans="1:2" x14ac:dyDescent="0.25">
      <c r="A16229" s="157">
        <v>45357</v>
      </c>
      <c r="B16229" s="158">
        <v>4.3600000000000003</v>
      </c>
    </row>
    <row r="16230" spans="1:2" x14ac:dyDescent="0.25">
      <c r="A16230" s="157">
        <v>45358</v>
      </c>
      <c r="B16230" s="158">
        <v>4.3499999999999996</v>
      </c>
    </row>
    <row r="16231" spans="1:2" x14ac:dyDescent="0.25">
      <c r="A16231" s="157">
        <v>45359</v>
      </c>
      <c r="B16231" s="158">
        <v>4.3600000000000003</v>
      </c>
    </row>
    <row r="16232" spans="1:2" x14ac:dyDescent="0.25">
      <c r="A16232" s="157">
        <v>45362</v>
      </c>
      <c r="B16232" s="158">
        <v>4.3600000000000003</v>
      </c>
    </row>
    <row r="16233" spans="1:2" x14ac:dyDescent="0.25">
      <c r="A16233" s="157">
        <v>45363</v>
      </c>
      <c r="B16233" s="158">
        <v>4.42</v>
      </c>
    </row>
    <row r="16234" spans="1:2" x14ac:dyDescent="0.25">
      <c r="A16234" s="157">
        <v>45364</v>
      </c>
      <c r="B16234" s="158">
        <v>4.45</v>
      </c>
    </row>
    <row r="16235" spans="1:2" x14ac:dyDescent="0.25">
      <c r="A16235" s="157">
        <v>45365</v>
      </c>
      <c r="B16235" s="158">
        <v>4.54</v>
      </c>
    </row>
    <row r="16236" spans="1:2" x14ac:dyDescent="0.25">
      <c r="A16236" s="157">
        <v>45366</v>
      </c>
      <c r="B16236" s="158">
        <v>4.55</v>
      </c>
    </row>
    <row r="16237" spans="1:2" x14ac:dyDescent="0.25">
      <c r="A16237" s="157">
        <v>45369</v>
      </c>
      <c r="B16237" s="158">
        <v>4.57</v>
      </c>
    </row>
    <row r="16238" spans="1:2" x14ac:dyDescent="0.25">
      <c r="A16238" s="157">
        <v>45370</v>
      </c>
      <c r="B16238" s="158">
        <v>4.54</v>
      </c>
    </row>
    <row r="16239" spans="1:2" x14ac:dyDescent="0.25">
      <c r="A16239" s="157">
        <v>45371</v>
      </c>
      <c r="B16239" s="158">
        <v>4.53</v>
      </c>
    </row>
    <row r="16240" spans="1:2" x14ac:dyDescent="0.25">
      <c r="A16240" s="157">
        <v>45372</v>
      </c>
      <c r="B16240" s="158">
        <v>4.53</v>
      </c>
    </row>
    <row r="16241" spans="1:2" x14ac:dyDescent="0.25">
      <c r="A16241" s="157">
        <v>45373</v>
      </c>
      <c r="B16241" s="158">
        <v>4.47</v>
      </c>
    </row>
    <row r="16242" spans="1:2" x14ac:dyDescent="0.25">
      <c r="A16242" s="157">
        <v>45376</v>
      </c>
      <c r="B16242" s="158">
        <v>4.51</v>
      </c>
    </row>
    <row r="16243" spans="1:2" x14ac:dyDescent="0.25">
      <c r="A16243" s="157">
        <v>45377</v>
      </c>
      <c r="B16243" s="158">
        <v>4.49</v>
      </c>
    </row>
    <row r="16244" spans="1:2" x14ac:dyDescent="0.25">
      <c r="A16244" s="157">
        <v>45378</v>
      </c>
      <c r="B16244" s="158">
        <v>4.45</v>
      </c>
    </row>
    <row r="16245" spans="1:2" x14ac:dyDescent="0.25">
      <c r="A16245" s="157">
        <v>45379</v>
      </c>
      <c r="B16245" s="158">
        <v>4.45</v>
      </c>
    </row>
    <row r="16246" spans="1:2" x14ac:dyDescent="0.25">
      <c r="A16246" s="157">
        <v>45380</v>
      </c>
      <c r="B16246" s="158" t="e">
        <f>NA()</f>
        <v>#N/A</v>
      </c>
    </row>
    <row r="16247" spans="1:2" x14ac:dyDescent="0.25">
      <c r="A16247" s="157">
        <v>45383</v>
      </c>
      <c r="B16247" s="158">
        <v>4.58</v>
      </c>
    </row>
    <row r="16248" spans="1:2" x14ac:dyDescent="0.25">
      <c r="A16248" s="157">
        <v>45384</v>
      </c>
      <c r="B16248" s="158">
        <v>4.6100000000000003</v>
      </c>
    </row>
    <row r="16249" spans="1:2" x14ac:dyDescent="0.25">
      <c r="A16249" s="157">
        <v>45385</v>
      </c>
      <c r="B16249" s="158">
        <v>4.6100000000000003</v>
      </c>
    </row>
    <row r="16250" spans="1:2" x14ac:dyDescent="0.25">
      <c r="A16250" s="157">
        <v>45386</v>
      </c>
      <c r="B16250" s="158">
        <v>4.57</v>
      </c>
    </row>
    <row r="16251" spans="1:2" x14ac:dyDescent="0.25">
      <c r="A16251" s="157">
        <v>45387</v>
      </c>
      <c r="B16251" s="158">
        <v>4.6500000000000004</v>
      </c>
    </row>
    <row r="16252" spans="1:2" x14ac:dyDescent="0.25">
      <c r="A16252" s="157">
        <v>45390</v>
      </c>
      <c r="B16252" s="158">
        <v>4.6500000000000004</v>
      </c>
    </row>
    <row r="16253" spans="1:2" x14ac:dyDescent="0.25">
      <c r="A16253" s="157">
        <v>45391</v>
      </c>
      <c r="B16253" s="158">
        <v>4.5999999999999996</v>
      </c>
    </row>
    <row r="16254" spans="1:2" x14ac:dyDescent="0.25">
      <c r="A16254" s="157">
        <v>45392</v>
      </c>
      <c r="B16254" s="158">
        <v>4.76</v>
      </c>
    </row>
    <row r="16255" spans="1:2" x14ac:dyDescent="0.25">
      <c r="A16255" s="157">
        <v>45393</v>
      </c>
      <c r="B16255" s="158">
        <v>4.7699999999999996</v>
      </c>
    </row>
    <row r="16256" spans="1:2" x14ac:dyDescent="0.25">
      <c r="A16256" s="157">
        <v>45394</v>
      </c>
      <c r="B16256" s="158">
        <v>4.7300000000000004</v>
      </c>
    </row>
    <row r="16257" spans="1:2" x14ac:dyDescent="0.25">
      <c r="A16257" s="157">
        <v>45397</v>
      </c>
      <c r="B16257" s="158">
        <v>4.8499999999999996</v>
      </c>
    </row>
    <row r="16258" spans="1:2" x14ac:dyDescent="0.25">
      <c r="A16258" s="157">
        <v>45398</v>
      </c>
      <c r="B16258" s="158">
        <v>4.88</v>
      </c>
    </row>
    <row r="16259" spans="1:2" x14ac:dyDescent="0.25">
      <c r="A16259" s="157">
        <v>45399</v>
      </c>
      <c r="B16259" s="158">
        <v>4.8099999999999996</v>
      </c>
    </row>
    <row r="16260" spans="1:2" x14ac:dyDescent="0.25">
      <c r="A16260" s="157">
        <v>45400</v>
      </c>
      <c r="B16260" s="158">
        <v>4.8499999999999996</v>
      </c>
    </row>
    <row r="16261" spans="1:2" x14ac:dyDescent="0.25">
      <c r="A16261" s="157">
        <v>45401</v>
      </c>
      <c r="B16261" s="158">
        <v>4.83</v>
      </c>
    </row>
    <row r="16262" spans="1:2" x14ac:dyDescent="0.25">
      <c r="A16262" s="157">
        <v>45404</v>
      </c>
      <c r="B16262" s="158">
        <v>4.84</v>
      </c>
    </row>
    <row r="16263" spans="1:2" x14ac:dyDescent="0.25">
      <c r="A16263" s="157">
        <v>45405</v>
      </c>
      <c r="B16263" s="158">
        <v>4.84</v>
      </c>
    </row>
    <row r="16264" spans="1:2" x14ac:dyDescent="0.25">
      <c r="A16264" s="157">
        <v>45406</v>
      </c>
      <c r="B16264" s="158">
        <v>4.88</v>
      </c>
    </row>
    <row r="16265" spans="1:2" x14ac:dyDescent="0.25">
      <c r="A16265" s="157">
        <v>45407</v>
      </c>
      <c r="B16265" s="158">
        <v>4.93</v>
      </c>
    </row>
    <row r="16266" spans="1:2" x14ac:dyDescent="0.25">
      <c r="A16266" s="157">
        <v>45408</v>
      </c>
      <c r="B16266" s="158">
        <v>4.8899999999999997</v>
      </c>
    </row>
    <row r="16267" spans="1:2" x14ac:dyDescent="0.25">
      <c r="A16267" s="157">
        <v>45411</v>
      </c>
      <c r="B16267" s="158">
        <v>4.8600000000000003</v>
      </c>
    </row>
    <row r="16268" spans="1:2" x14ac:dyDescent="0.25">
      <c r="A16268" s="157">
        <v>45412</v>
      </c>
      <c r="B16268" s="158">
        <v>4.9000000000000004</v>
      </c>
    </row>
    <row r="16269" spans="1:2" x14ac:dyDescent="0.25">
      <c r="A16269" s="157">
        <v>45413</v>
      </c>
      <c r="B16269" s="158">
        <v>4.8499999999999996</v>
      </c>
    </row>
    <row r="16270" spans="1:2" x14ac:dyDescent="0.25">
      <c r="A16270" s="157">
        <v>45414</v>
      </c>
      <c r="B16270" s="158">
        <v>4.82</v>
      </c>
    </row>
    <row r="16271" spans="1:2" x14ac:dyDescent="0.25">
      <c r="A16271" s="157">
        <v>45415</v>
      </c>
      <c r="B16271" s="158">
        <v>4.75</v>
      </c>
    </row>
    <row r="16272" spans="1:2" x14ac:dyDescent="0.25">
      <c r="A16272" s="157">
        <v>45418</v>
      </c>
      <c r="B16272" s="158">
        <v>4.7300000000000004</v>
      </c>
    </row>
    <row r="16273" spans="1:2" x14ac:dyDescent="0.25">
      <c r="A16273" s="157">
        <v>45419</v>
      </c>
      <c r="B16273" s="158">
        <v>4.7</v>
      </c>
    </row>
    <row r="16274" spans="1:2" x14ac:dyDescent="0.25">
      <c r="A16274" s="157">
        <v>45420</v>
      </c>
      <c r="B16274" s="158">
        <v>4.7300000000000004</v>
      </c>
    </row>
    <row r="16275" spans="1:2" x14ac:dyDescent="0.25">
      <c r="A16275" s="157">
        <v>45421</v>
      </c>
      <c r="B16275" s="158">
        <v>4.7</v>
      </c>
    </row>
    <row r="16276" spans="1:2" x14ac:dyDescent="0.25">
      <c r="A16276" s="157">
        <v>45422</v>
      </c>
      <c r="B16276" s="158">
        <v>4.74</v>
      </c>
    </row>
  </sheetData>
  <hyperlinks>
    <hyperlink ref="A5" r:id="rId1"/>
    <hyperlink ref="F5" r:id="rId2"/>
    <hyperlink ref="J5" r:id="rId3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67"/>
  <sheetViews>
    <sheetView view="pageLayout" topLeftCell="C1" zoomScale="55" zoomScaleNormal="80" zoomScalePageLayoutView="55" workbookViewId="0">
      <selection activeCell="S1" sqref="S1"/>
    </sheetView>
  </sheetViews>
  <sheetFormatPr defaultRowHeight="13.8" x14ac:dyDescent="0.25"/>
  <cols>
    <col min="1" max="2" width="8" hidden="1" customWidth="1"/>
    <col min="3" max="3" width="9" customWidth="1"/>
    <col min="4" max="4" width="4.69921875" bestFit="1" customWidth="1"/>
    <col min="5" max="5" width="2.09765625" customWidth="1"/>
    <col min="6" max="6" width="18.69921875" customWidth="1"/>
    <col min="7" max="9" width="9" hidden="1" customWidth="1"/>
    <col min="10" max="14" width="9" customWidth="1"/>
    <col min="15" max="15" width="3.3984375" customWidth="1"/>
    <col min="16" max="25" width="9" customWidth="1"/>
    <col min="26" max="26" width="9" hidden="1" customWidth="1"/>
    <col min="27" max="29" width="0" hidden="1" customWidth="1"/>
  </cols>
  <sheetData>
    <row r="1" spans="1:29" ht="60" customHeight="1" x14ac:dyDescent="0.5">
      <c r="C1" s="282" t="str">
        <f>ElectricU</f>
        <v>Tampa Electric Company</v>
      </c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</row>
    <row r="2" spans="1:29" x14ac:dyDescent="0.25">
      <c r="D2" s="4"/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7"/>
      <c r="V2" s="7"/>
      <c r="W2" s="7"/>
      <c r="X2" s="7"/>
      <c r="Y2" s="7"/>
      <c r="Z2" s="7"/>
      <c r="AA2" s="7"/>
      <c r="AB2" s="7"/>
    </row>
    <row r="3" spans="1:29" x14ac:dyDescent="0.25">
      <c r="D3" s="4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7"/>
      <c r="V3" s="7"/>
      <c r="W3" s="7"/>
      <c r="X3" s="7"/>
      <c r="Y3" s="7"/>
      <c r="Z3" s="7"/>
      <c r="AA3" s="7"/>
      <c r="AB3" s="7"/>
    </row>
    <row r="4" spans="1:29" ht="21" x14ac:dyDescent="0.4">
      <c r="D4" s="278" t="s">
        <v>272</v>
      </c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ht="17.399999999999999" x14ac:dyDescent="0.3">
      <c r="D5" s="279" t="s">
        <v>273</v>
      </c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</row>
    <row r="6" spans="1:29" x14ac:dyDescent="0.25">
      <c r="D6" s="6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9" x14ac:dyDescent="0.25">
      <c r="D7" s="6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9" x14ac:dyDescent="0.25">
      <c r="A8" s="31"/>
      <c r="B8" s="31"/>
      <c r="C8" s="31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</row>
    <row r="9" spans="1:29" ht="16.2" x14ac:dyDescent="0.25">
      <c r="A9" s="31"/>
      <c r="B9" s="31"/>
      <c r="C9" s="31"/>
      <c r="D9" s="6"/>
      <c r="E9" s="6"/>
      <c r="F9" s="19"/>
      <c r="G9" s="281" t="s">
        <v>568</v>
      </c>
      <c r="H9" s="281"/>
      <c r="I9" s="281"/>
      <c r="J9" s="281"/>
      <c r="K9" s="281"/>
      <c r="L9" s="281"/>
      <c r="M9" s="281"/>
      <c r="N9" s="281"/>
      <c r="O9" s="281"/>
      <c r="P9" s="28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</row>
    <row r="10" spans="1:29" ht="16.2" x14ac:dyDescent="0.25">
      <c r="A10" s="31"/>
      <c r="B10" s="31"/>
      <c r="C10" s="31"/>
      <c r="D10" s="6"/>
      <c r="E10" s="7"/>
      <c r="F10" s="7"/>
      <c r="G10" s="8"/>
      <c r="H10" s="8"/>
      <c r="I10" s="8"/>
      <c r="J10" s="8"/>
      <c r="K10" s="8"/>
      <c r="L10" s="8"/>
      <c r="M10" s="8"/>
      <c r="N10" s="8"/>
      <c r="O10" s="8"/>
      <c r="P10" s="8" t="s">
        <v>569</v>
      </c>
      <c r="Q10" s="8"/>
      <c r="R10" s="8"/>
      <c r="S10" s="8"/>
      <c r="T10" s="8"/>
      <c r="U10" s="8"/>
      <c r="V10" s="7"/>
      <c r="W10" s="7"/>
      <c r="X10" s="7"/>
      <c r="Y10" s="7"/>
      <c r="Z10" s="7"/>
      <c r="AA10" s="7"/>
      <c r="AB10" s="7"/>
    </row>
    <row r="11" spans="1:29" ht="16.2" x14ac:dyDescent="0.25">
      <c r="A11" s="31"/>
      <c r="B11" s="31"/>
      <c r="C11" s="31"/>
      <c r="D11" s="9" t="s">
        <v>96</v>
      </c>
      <c r="E11" s="275" t="s">
        <v>97</v>
      </c>
      <c r="F11" s="275"/>
      <c r="G11" s="10"/>
      <c r="H11" s="40"/>
      <c r="I11" s="10"/>
      <c r="J11" s="10" t="s">
        <v>536</v>
      </c>
      <c r="K11" s="10" t="s">
        <v>541</v>
      </c>
      <c r="L11" s="10" t="s">
        <v>565</v>
      </c>
      <c r="M11" s="10" t="s">
        <v>566</v>
      </c>
      <c r="N11" s="10" t="s">
        <v>567</v>
      </c>
      <c r="O11" s="40"/>
      <c r="P11" s="40" t="s">
        <v>370</v>
      </c>
      <c r="Q11" s="40"/>
      <c r="R11" s="40"/>
      <c r="S11" s="40"/>
      <c r="T11" s="40"/>
      <c r="U11" s="40"/>
      <c r="V11" s="40"/>
      <c r="W11" s="40"/>
      <c r="X11" s="40"/>
      <c r="Y11" s="40"/>
      <c r="Z11" s="40">
        <v>2005</v>
      </c>
      <c r="AA11" s="40"/>
      <c r="AB11" s="40"/>
      <c r="AC11" s="40"/>
    </row>
    <row r="12" spans="1:29" x14ac:dyDescent="0.25">
      <c r="A12" s="41"/>
      <c r="B12" s="41"/>
      <c r="C12" s="41"/>
      <c r="D12" s="9"/>
      <c r="E12" s="11"/>
      <c r="F12" s="11"/>
      <c r="G12" s="12"/>
      <c r="H12" s="12"/>
      <c r="I12" s="12"/>
      <c r="J12" s="12">
        <f>+I12-1</f>
        <v>-1</v>
      </c>
      <c r="K12" s="12">
        <f>+J12-1</f>
        <v>-2</v>
      </c>
      <c r="L12" s="12">
        <f>+K12-1</f>
        <v>-3</v>
      </c>
      <c r="M12" s="12">
        <f>+L12-1</f>
        <v>-4</v>
      </c>
      <c r="N12" s="12">
        <f>+M12-1</f>
        <v>-5</v>
      </c>
      <c r="O12" s="12"/>
      <c r="P12" s="12">
        <f>+N12-1</f>
        <v>-6</v>
      </c>
      <c r="Q12" s="12"/>
      <c r="R12" s="12"/>
      <c r="S12" s="12"/>
      <c r="T12" s="12"/>
      <c r="U12" s="12"/>
      <c r="V12" s="12"/>
      <c r="W12" s="12"/>
      <c r="X12" s="12"/>
      <c r="Y12" s="12"/>
      <c r="Z12" s="12">
        <f>+Y12-1</f>
        <v>-1</v>
      </c>
      <c r="AA12" s="12"/>
      <c r="AB12" s="12"/>
      <c r="AC12" s="12"/>
    </row>
    <row r="13" spans="1:29" x14ac:dyDescent="0.25">
      <c r="A13" s="42"/>
      <c r="B13" s="43"/>
      <c r="C13" s="43"/>
      <c r="D13" s="6"/>
      <c r="F13" s="22"/>
      <c r="G13" s="3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 t="e">
        <f ca="1">MATCH(VALUE(LEFT(Z11,4)),OFFSET(CF_CAP_WP,-1,0,1,),0)</f>
        <v>#N/A</v>
      </c>
      <c r="AA13" s="16" t="e">
        <f ca="1">MATCH(VALUE(LEFT(AA11,4)),OFFSET(CF_CAP_WP,-1,0,1,),0)</f>
        <v>#VALUE!</v>
      </c>
      <c r="AB13" s="16" t="e">
        <f ca="1">MATCH(VALUE(LEFT(AB11,4)),OFFSET(CF_CAP_WP,-1,0,1,),0)</f>
        <v>#VALUE!</v>
      </c>
      <c r="AC13" s="16" t="e">
        <f ca="1">MATCH(VALUE(LEFT(AC11,4)),OFFSET(CF_CAP_WP,-1,0,1,),0)</f>
        <v>#VALUE!</v>
      </c>
    </row>
    <row r="14" spans="1:29" x14ac:dyDescent="0.25">
      <c r="A14" s="50" t="s">
        <v>0</v>
      </c>
      <c r="B14" s="45">
        <f t="shared" ref="B14:B54" si="0">MATCH(A14,CapCashTic,0)</f>
        <v>5</v>
      </c>
      <c r="C14" s="45"/>
      <c r="D14" s="1">
        <f>IF(ISERROR(E14),"",IF(E14="","",MAX($D$12:D13)+1))</f>
        <v>1</v>
      </c>
      <c r="E14" t="s">
        <v>91</v>
      </c>
      <c r="F14" s="22"/>
      <c r="G14" s="117"/>
      <c r="H14" s="117"/>
      <c r="I14" s="117"/>
      <c r="J14" s="117">
        <f t="shared" ref="J14:J54" si="1">IFERROR(VLOOKUP($A14,LUCurYr,23,0),"N/A")</f>
        <v>0.74271844660194175</v>
      </c>
      <c r="K14" s="117">
        <f t="shared" ref="K14:K54" si="2">IFERROR(VLOOKUP($A14,lucyr,23,0),"N/A")</f>
        <v>0.79679144385026746</v>
      </c>
      <c r="L14" s="117">
        <f t="shared" ref="L14:L54" si="3">IFERROR(VLOOKUP($A14,lucyyr,23,0),"N/A")</f>
        <v>2.2638888888888888</v>
      </c>
      <c r="M14" s="117">
        <f t="shared" ref="M14:M50" si="4">IFERROR(VLOOKUP($A14,Data2022,23,0),"N/A")</f>
        <v>1.4201680672268906</v>
      </c>
      <c r="N14" s="117">
        <f t="shared" ref="N14:N50" si="5">IFERROR(VLOOKUP($A14,Data2023,25,0),"N/A")</f>
        <v>1.3949579831932775</v>
      </c>
      <c r="O14" s="117"/>
      <c r="P14" s="117">
        <f t="shared" ref="P14:P54" si="6">IFERROR(VLOOKUP($A14,Data2023,26,0),"N/A")</f>
        <v>1.3310344827586207</v>
      </c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17"/>
      <c r="AB14" s="17"/>
      <c r="AC14" s="17"/>
    </row>
    <row r="15" spans="1:29" x14ac:dyDescent="0.25">
      <c r="A15" s="50" t="s">
        <v>1</v>
      </c>
      <c r="B15" s="45">
        <f t="shared" si="0"/>
        <v>6</v>
      </c>
      <c r="C15" s="45"/>
      <c r="D15" s="1">
        <f>IF(ISERROR(E15),"",IF(E15="","",MAX($D$12:D14)+1))</f>
        <v>2</v>
      </c>
      <c r="E15" t="s">
        <v>84</v>
      </c>
      <c r="F15" s="22"/>
      <c r="G15" s="117"/>
      <c r="H15" s="117"/>
      <c r="I15" s="117"/>
      <c r="J15" s="117">
        <f t="shared" si="1"/>
        <v>0.81739130434782614</v>
      </c>
      <c r="K15" s="117">
        <f t="shared" si="2"/>
        <v>0.97142857142857131</v>
      </c>
      <c r="L15" s="117">
        <f t="shared" si="3"/>
        <v>0.94067796610169485</v>
      </c>
      <c r="M15" s="117">
        <f t="shared" si="4"/>
        <v>0.94827586206896552</v>
      </c>
      <c r="N15" s="117">
        <f t="shared" si="5"/>
        <v>0.97413793103448287</v>
      </c>
      <c r="O15" s="117"/>
      <c r="P15" s="117">
        <f t="shared" si="6"/>
        <v>1.2037037037037037</v>
      </c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17"/>
      <c r="AB15" s="17"/>
      <c r="AC15" s="17"/>
    </row>
    <row r="16" spans="1:29" x14ac:dyDescent="0.25">
      <c r="A16" s="50" t="s">
        <v>3</v>
      </c>
      <c r="B16" s="45">
        <f t="shared" si="0"/>
        <v>10</v>
      </c>
      <c r="C16" s="45"/>
      <c r="D16" s="1">
        <f>IF(ISERROR(E16),"",IF(E16="","",MAX($D$12:D15)+1))</f>
        <v>3</v>
      </c>
      <c r="E16" t="s">
        <v>80</v>
      </c>
      <c r="F16" s="22"/>
      <c r="G16" s="117"/>
      <c r="H16" s="117"/>
      <c r="I16" s="117"/>
      <c r="J16" s="117">
        <f t="shared" si="1"/>
        <v>0.51419558359621453</v>
      </c>
      <c r="K16" s="117">
        <f t="shared" si="2"/>
        <v>0.59375</v>
      </c>
      <c r="L16" s="117">
        <f t="shared" si="3"/>
        <v>0.72480620155038755</v>
      </c>
      <c r="M16" s="117">
        <f t="shared" si="4"/>
        <v>0.73643410852713176</v>
      </c>
      <c r="N16" s="117">
        <f t="shared" si="5"/>
        <v>0.84063745019920322</v>
      </c>
      <c r="O16" s="117"/>
      <c r="P16" s="117">
        <f t="shared" si="6"/>
        <v>0.94230769230769229</v>
      </c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17"/>
      <c r="AB16" s="17"/>
      <c r="AC16" s="17"/>
    </row>
    <row r="17" spans="1:29" x14ac:dyDescent="0.25">
      <c r="A17" s="50" t="s">
        <v>2</v>
      </c>
      <c r="B17" s="45">
        <f t="shared" si="0"/>
        <v>7</v>
      </c>
      <c r="C17" s="45"/>
      <c r="D17" s="1">
        <f>IF(ISERROR(E17),"",IF(E17="","",MAX($D$12:D16)+1))</f>
        <v>4</v>
      </c>
      <c r="E17" t="s">
        <v>103</v>
      </c>
      <c r="F17" s="22"/>
      <c r="G17" s="117"/>
      <c r="H17" s="117"/>
      <c r="I17" s="117"/>
      <c r="J17" s="117">
        <f t="shared" si="1"/>
        <v>0.74339622641509429</v>
      </c>
      <c r="K17" s="117">
        <f t="shared" si="2"/>
        <v>0.68932038834951459</v>
      </c>
      <c r="L17" s="117">
        <f t="shared" si="3"/>
        <v>0.72964169381107491</v>
      </c>
      <c r="M17" s="117">
        <f t="shared" si="4"/>
        <v>0.71661237785016285</v>
      </c>
      <c r="N17" s="117">
        <f t="shared" si="5"/>
        <v>0.82332155477031799</v>
      </c>
      <c r="O17" s="117"/>
      <c r="P17" s="117">
        <f t="shared" si="6"/>
        <v>1.0857142857142856</v>
      </c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17"/>
      <c r="AB17" s="17"/>
      <c r="AC17" s="17"/>
    </row>
    <row r="18" spans="1:29" x14ac:dyDescent="0.25">
      <c r="A18" s="50" t="s">
        <v>260</v>
      </c>
      <c r="B18" s="45">
        <f t="shared" si="0"/>
        <v>15</v>
      </c>
      <c r="C18" s="45"/>
      <c r="D18" s="1">
        <f>IF(ISERROR(E18),"",IF(E18="","",MAX($D$12:D17)+1))</f>
        <v>5</v>
      </c>
      <c r="E18" t="s">
        <v>261</v>
      </c>
      <c r="F18" s="22"/>
      <c r="G18" s="117"/>
      <c r="H18" s="117"/>
      <c r="I18" s="117"/>
      <c r="J18" s="117">
        <f t="shared" si="1"/>
        <v>0.56218905472636815</v>
      </c>
      <c r="K18" s="117">
        <f t="shared" si="2"/>
        <v>0.62234042553191482</v>
      </c>
      <c r="L18" s="117">
        <f t="shared" si="3"/>
        <v>0.60843373493975894</v>
      </c>
      <c r="M18" s="117">
        <f t="shared" si="4"/>
        <v>0.5722543352601156</v>
      </c>
      <c r="N18" s="117">
        <f t="shared" si="5"/>
        <v>0.70666666666666667</v>
      </c>
      <c r="O18" s="117"/>
      <c r="P18" s="117">
        <f t="shared" si="6"/>
        <v>0.78125</v>
      </c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17"/>
      <c r="AB18" s="17"/>
      <c r="AC18" s="17"/>
    </row>
    <row r="19" spans="1:29" x14ac:dyDescent="0.25">
      <c r="A19" s="50" t="s">
        <v>4</v>
      </c>
      <c r="B19" s="45">
        <f t="shared" si="0"/>
        <v>16</v>
      </c>
      <c r="C19" s="45"/>
      <c r="D19" s="1">
        <f>IF(ISERROR(E19),"",IF(E19="","",MAX($D$12:D18)+1))</f>
        <v>6</v>
      </c>
      <c r="E19" t="s">
        <v>86</v>
      </c>
      <c r="F19" s="22"/>
      <c r="G19" s="117"/>
      <c r="H19" s="117"/>
      <c r="I19" s="117"/>
      <c r="J19" s="117">
        <f t="shared" si="1"/>
        <v>0.85123966942148765</v>
      </c>
      <c r="K19" s="117">
        <f t="shared" si="2"/>
        <v>0.86991869918699172</v>
      </c>
      <c r="L19" s="117">
        <f t="shared" si="3"/>
        <v>0.83333333333333337</v>
      </c>
      <c r="M19" s="117">
        <f t="shared" si="4"/>
        <v>0.77599999999999991</v>
      </c>
      <c r="N19" s="117">
        <f t="shared" si="5"/>
        <v>0.84172661870503585</v>
      </c>
      <c r="O19" s="117"/>
      <c r="P19" s="117">
        <f t="shared" si="6"/>
        <v>0.8666666666666667</v>
      </c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17"/>
      <c r="AB19" s="17"/>
      <c r="AC19" s="17"/>
    </row>
    <row r="20" spans="1:29" x14ac:dyDescent="0.25">
      <c r="A20" s="50" t="s">
        <v>5</v>
      </c>
      <c r="B20" s="45">
        <f t="shared" si="0"/>
        <v>17</v>
      </c>
      <c r="C20" s="45"/>
      <c r="D20" s="1">
        <f>IF(ISERROR(E20),"",IF(E20="","",MAX($D$12:D19)+1))</f>
        <v>7</v>
      </c>
      <c r="E20" t="s">
        <v>46</v>
      </c>
      <c r="F20" s="22"/>
      <c r="G20" s="117"/>
      <c r="H20" s="117"/>
      <c r="I20" s="117"/>
      <c r="J20" s="117">
        <f t="shared" si="1"/>
        <v>0.71859296482412072</v>
      </c>
      <c r="K20" s="117">
        <f t="shared" si="2"/>
        <v>0.7562189054726367</v>
      </c>
      <c r="L20" s="117">
        <f t="shared" si="3"/>
        <v>0.85326086956521741</v>
      </c>
      <c r="M20" s="117">
        <f t="shared" si="4"/>
        <v>0.82258064516129026</v>
      </c>
      <c r="N20" s="117">
        <f t="shared" si="5"/>
        <v>0.67948717948717952</v>
      </c>
      <c r="O20" s="117"/>
      <c r="P20" s="117">
        <f t="shared" si="6"/>
        <v>0.85777777777777786</v>
      </c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17"/>
      <c r="AB20" s="17"/>
      <c r="AC20" s="17"/>
    </row>
    <row r="21" spans="1:29" x14ac:dyDescent="0.25">
      <c r="A21" s="50" t="s">
        <v>6</v>
      </c>
      <c r="B21" s="45">
        <f t="shared" si="0"/>
        <v>19</v>
      </c>
      <c r="C21" s="45"/>
      <c r="D21" s="1">
        <f>IF(ISERROR(E21),"",IF(E21="","",MAX($D$12:D20)+1))</f>
        <v>8</v>
      </c>
      <c r="E21" t="s">
        <v>90</v>
      </c>
      <c r="F21" s="22"/>
      <c r="G21" s="117"/>
      <c r="H21" s="117"/>
      <c r="I21" s="117"/>
      <c r="J21" s="117">
        <f t="shared" si="1"/>
        <v>0.87628865979381454</v>
      </c>
      <c r="K21" s="117">
        <f t="shared" si="2"/>
        <v>0.61946902654867253</v>
      </c>
      <c r="L21" s="117">
        <f t="shared" si="3"/>
        <v>0.62162162162162171</v>
      </c>
      <c r="M21" s="117">
        <f t="shared" si="4"/>
        <v>0.5714285714285714</v>
      </c>
      <c r="N21" s="117">
        <f t="shared" si="5"/>
        <v>0.55000000000000004</v>
      </c>
      <c r="O21" s="117"/>
      <c r="P21" s="117">
        <f t="shared" si="6"/>
        <v>0.69230769230769229</v>
      </c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17"/>
      <c r="AB21" s="17"/>
      <c r="AC21" s="17"/>
    </row>
    <row r="22" spans="1:29" x14ac:dyDescent="0.25">
      <c r="A22" s="50" t="s">
        <v>9</v>
      </c>
      <c r="B22" s="45">
        <f t="shared" si="0"/>
        <v>21</v>
      </c>
      <c r="C22" s="45"/>
      <c r="D22" s="1">
        <f>IF(ISERROR(E22),"",IF(E22="","",MAX($D$12:D21)+1))</f>
        <v>9</v>
      </c>
      <c r="E22" t="s">
        <v>47</v>
      </c>
      <c r="F22" s="22"/>
      <c r="G22" s="117"/>
      <c r="H22" s="117"/>
      <c r="I22" s="117"/>
      <c r="J22" s="117">
        <f t="shared" si="1"/>
        <v>0.81699346405228757</v>
      </c>
      <c r="K22" s="117">
        <f t="shared" si="2"/>
        <v>0.77192982456140335</v>
      </c>
      <c r="L22" s="117">
        <f t="shared" si="3"/>
        <v>0.77653631284916214</v>
      </c>
      <c r="M22" s="117">
        <f t="shared" si="4"/>
        <v>0.92352941176470582</v>
      </c>
      <c r="N22" s="117">
        <f t="shared" si="5"/>
        <v>0.81111111111111112</v>
      </c>
      <c r="O22" s="117"/>
      <c r="P22" s="117">
        <f t="shared" si="6"/>
        <v>0.87179487179487181</v>
      </c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17"/>
      <c r="AB22" s="17"/>
      <c r="AC22" s="17"/>
    </row>
    <row r="23" spans="1:29" x14ac:dyDescent="0.25">
      <c r="A23" s="50" t="s">
        <v>10</v>
      </c>
      <c r="B23" s="45">
        <f t="shared" si="0"/>
        <v>23</v>
      </c>
      <c r="C23" s="45"/>
      <c r="D23" s="1">
        <f>IF(ISERROR(E23),"",IF(E23="","",MAX($D$12:D22)+1))</f>
        <v>10</v>
      </c>
      <c r="E23" t="s">
        <v>50</v>
      </c>
      <c r="F23" s="22"/>
      <c r="G23" s="117"/>
      <c r="H23" s="117"/>
      <c r="I23" s="117"/>
      <c r="J23" s="117">
        <f t="shared" si="1"/>
        <v>0.81818181818181812</v>
      </c>
      <c r="K23" s="117">
        <f t="shared" si="2"/>
        <v>0.8854625550660794</v>
      </c>
      <c r="L23" s="117">
        <f t="shared" si="3"/>
        <v>0.82539682539682546</v>
      </c>
      <c r="M23" s="117">
        <f t="shared" si="4"/>
        <v>0.72380952380952379</v>
      </c>
      <c r="N23" s="117">
        <f t="shared" si="5"/>
        <v>0.84027777777777768</v>
      </c>
      <c r="O23" s="117"/>
      <c r="P23" s="117">
        <f t="shared" si="6"/>
        <v>0.9419354838709677</v>
      </c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17"/>
      <c r="AB23" s="17"/>
      <c r="AC23" s="17"/>
    </row>
    <row r="24" spans="1:29" x14ac:dyDescent="0.25">
      <c r="A24" s="50" t="s">
        <v>11</v>
      </c>
      <c r="B24" s="45">
        <f t="shared" si="0"/>
        <v>25</v>
      </c>
      <c r="C24" s="45"/>
      <c r="D24" s="1">
        <f>IF(ISERROR(E24),"",IF(E24="","",MAX($D$12:D23)+1))</f>
        <v>11</v>
      </c>
      <c r="E24" t="s">
        <v>52</v>
      </c>
      <c r="F24" s="22"/>
      <c r="G24" s="117"/>
      <c r="H24" s="117"/>
      <c r="I24" s="117"/>
      <c r="J24" s="117">
        <f t="shared" si="1"/>
        <v>1</v>
      </c>
      <c r="K24" s="117">
        <f t="shared" si="2"/>
        <v>0.88823529411764701</v>
      </c>
      <c r="L24" s="117">
        <f t="shared" si="3"/>
        <v>0.73786407766990281</v>
      </c>
      <c r="M24" s="117">
        <f t="shared" si="4"/>
        <v>0.63265306122448983</v>
      </c>
      <c r="N24" s="117">
        <f t="shared" si="5"/>
        <v>0.51181102362204722</v>
      </c>
      <c r="O24" s="117"/>
      <c r="P24" s="117">
        <f t="shared" si="6"/>
        <v>0.8833333333333333</v>
      </c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17"/>
      <c r="AB24" s="17"/>
      <c r="AC24" s="17"/>
    </row>
    <row r="25" spans="1:29" x14ac:dyDescent="0.25">
      <c r="A25" s="50" t="s">
        <v>12</v>
      </c>
      <c r="B25" s="45">
        <f t="shared" si="0"/>
        <v>26</v>
      </c>
      <c r="C25" s="45"/>
      <c r="D25" s="1">
        <f>IF(ISERROR(E25),"",IF(E25="","",MAX($D$12:D24)+1))</f>
        <v>12</v>
      </c>
      <c r="E25" t="s">
        <v>51</v>
      </c>
      <c r="F25" s="22"/>
      <c r="G25" s="117"/>
      <c r="H25" s="117"/>
      <c r="I25" s="117"/>
      <c r="J25" s="117">
        <f t="shared" si="1"/>
        <v>0.66747572815533973</v>
      </c>
      <c r="K25" s="117">
        <f t="shared" si="2"/>
        <v>0.69954128440366969</v>
      </c>
      <c r="L25" s="117">
        <f t="shared" si="3"/>
        <v>0.745152354570637</v>
      </c>
      <c r="M25" s="117">
        <f t="shared" si="4"/>
        <v>0.82404692082111441</v>
      </c>
      <c r="N25" s="117">
        <f t="shared" si="5"/>
        <v>0.87428571428571433</v>
      </c>
      <c r="O25" s="117"/>
      <c r="P25" s="117">
        <f t="shared" si="6"/>
        <v>0.94594594594594594</v>
      </c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17"/>
      <c r="AB25" s="17"/>
      <c r="AC25" s="17"/>
    </row>
    <row r="26" spans="1:29" x14ac:dyDescent="0.25">
      <c r="A26" s="50" t="s">
        <v>13</v>
      </c>
      <c r="B26" s="45">
        <f t="shared" si="0"/>
        <v>27</v>
      </c>
      <c r="C26" s="45"/>
      <c r="D26" s="1">
        <f>IF(ISERROR(E26),"",IF(E26="","",MAX($D$12:D25)+1))</f>
        <v>13</v>
      </c>
      <c r="E26" t="s">
        <v>93</v>
      </c>
      <c r="F26" s="22"/>
      <c r="G26" s="117"/>
      <c r="H26" s="117"/>
      <c r="I26" s="117"/>
      <c r="J26" s="117">
        <f t="shared" si="1"/>
        <v>0.86071428571428577</v>
      </c>
      <c r="K26" s="117">
        <f t="shared" si="2"/>
        <v>0.92647058823529416</v>
      </c>
      <c r="L26" s="117">
        <f t="shared" si="3"/>
        <v>0.8099688473520249</v>
      </c>
      <c r="M26" s="117">
        <f t="shared" si="4"/>
        <v>0.79402985074626875</v>
      </c>
      <c r="N26" s="117">
        <f t="shared" si="5"/>
        <v>0.76988636363636365</v>
      </c>
      <c r="O26" s="117"/>
      <c r="P26" s="117">
        <f t="shared" si="6"/>
        <v>0.89850746268656723</v>
      </c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17"/>
      <c r="AB26" s="17"/>
      <c r="AC26" s="17"/>
    </row>
    <row r="27" spans="1:29" x14ac:dyDescent="0.25">
      <c r="A27" s="50" t="s">
        <v>14</v>
      </c>
      <c r="B27" s="45">
        <f t="shared" si="0"/>
        <v>28</v>
      </c>
      <c r="C27" s="45"/>
      <c r="D27" s="1">
        <f>IF(ISERROR(E27),"",IF(E27="","",MAX($D$12:D26)+1))</f>
        <v>14</v>
      </c>
      <c r="E27" t="s">
        <v>53</v>
      </c>
      <c r="F27" s="22"/>
      <c r="G27" s="117"/>
      <c r="H27" s="117"/>
      <c r="I27" s="117"/>
      <c r="J27" s="117">
        <f t="shared" si="1"/>
        <v>0.67407407407407405</v>
      </c>
      <c r="K27" s="117">
        <f t="shared" si="2"/>
        <v>0.74125874125874125</v>
      </c>
      <c r="L27" s="117">
        <f t="shared" si="3"/>
        <v>0.6676923076923077</v>
      </c>
      <c r="M27" s="117">
        <f t="shared" si="4"/>
        <v>0.75081967213114753</v>
      </c>
      <c r="N27" s="117">
        <f t="shared" si="5"/>
        <v>0.81587301587301586</v>
      </c>
      <c r="O27" s="117"/>
      <c r="P27" s="117">
        <f t="shared" si="6"/>
        <v>0.88235294117647056</v>
      </c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17"/>
      <c r="AB27" s="17"/>
      <c r="AC27" s="17"/>
    </row>
    <row r="28" spans="1:29" x14ac:dyDescent="0.25">
      <c r="A28" s="50" t="s">
        <v>15</v>
      </c>
      <c r="B28" s="45">
        <f t="shared" si="0"/>
        <v>29</v>
      </c>
      <c r="C28" s="45"/>
      <c r="D28" s="1">
        <f>IF(ISERROR(E28),"",IF(E28="","",MAX($D$12:D27)+1))</f>
        <v>15</v>
      </c>
      <c r="E28" t="s">
        <v>88</v>
      </c>
      <c r="F28" s="22"/>
      <c r="G28" s="117"/>
      <c r="H28" s="117"/>
      <c r="I28" s="117"/>
      <c r="J28" s="117">
        <f t="shared" si="1"/>
        <v>1</v>
      </c>
      <c r="K28" s="117">
        <f t="shared" si="2"/>
        <v>0.82822085889570551</v>
      </c>
      <c r="L28" s="117" t="str">
        <f t="shared" si="3"/>
        <v>N/A</v>
      </c>
      <c r="M28" s="117" t="str">
        <f t="shared" si="4"/>
        <v>N/A</v>
      </c>
      <c r="N28" s="117" t="str">
        <f t="shared" si="5"/>
        <v>N/A</v>
      </c>
      <c r="O28" s="117"/>
      <c r="P28" s="117" t="str">
        <f t="shared" si="6"/>
        <v>N/A</v>
      </c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17"/>
      <c r="AB28" s="17"/>
      <c r="AC28" s="17"/>
    </row>
    <row r="29" spans="1:29" x14ac:dyDescent="0.25">
      <c r="A29" s="50" t="s">
        <v>17</v>
      </c>
      <c r="B29" s="45">
        <f t="shared" si="0"/>
        <v>30</v>
      </c>
      <c r="C29" s="45"/>
      <c r="D29" s="1">
        <f>IF(ISERROR(E29),"",IF(E29="","",MAX($D$12:D28)+1))</f>
        <v>16</v>
      </c>
      <c r="E29" t="s">
        <v>55</v>
      </c>
      <c r="F29" s="22"/>
      <c r="G29" s="117"/>
      <c r="H29" s="117"/>
      <c r="I29" s="117"/>
      <c r="J29" s="117">
        <f t="shared" si="1"/>
        <v>0.81445783132530114</v>
      </c>
      <c r="K29" s="117">
        <f t="shared" si="2"/>
        <v>1.0466472303206997</v>
      </c>
      <c r="L29" s="117">
        <f t="shared" si="3"/>
        <v>0.97796143250688716</v>
      </c>
      <c r="M29" s="117">
        <f t="shared" si="4"/>
        <v>0.84749999999999992</v>
      </c>
      <c r="N29" s="117">
        <f t="shared" si="5"/>
        <v>0.83095238095238089</v>
      </c>
      <c r="O29" s="117"/>
      <c r="P29" s="117">
        <f t="shared" si="6"/>
        <v>1.0810126582278481</v>
      </c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17"/>
      <c r="AB29" s="17"/>
      <c r="AC29" s="17"/>
    </row>
    <row r="30" spans="1:29" x14ac:dyDescent="0.25">
      <c r="A30" s="50" t="s">
        <v>211</v>
      </c>
      <c r="B30" s="45">
        <f t="shared" si="0"/>
        <v>32</v>
      </c>
      <c r="C30" s="45"/>
      <c r="D30" s="1">
        <f>IF(ISERROR(E30),"",IF(E30="","",MAX($D$12:D29)+1))</f>
        <v>17</v>
      </c>
      <c r="E30" t="s">
        <v>212</v>
      </c>
      <c r="F30" s="22"/>
      <c r="G30" s="117"/>
      <c r="H30" s="117"/>
      <c r="I30" s="117"/>
      <c r="J30" s="117">
        <f t="shared" si="1"/>
        <v>0.95454545454545447</v>
      </c>
      <c r="K30" s="117">
        <f t="shared" si="2"/>
        <v>0.73658536585365852</v>
      </c>
      <c r="L30" s="117">
        <f t="shared" si="3"/>
        <v>0.72</v>
      </c>
      <c r="M30" s="117">
        <f t="shared" si="4"/>
        <v>0.86190476190476195</v>
      </c>
      <c r="N30" s="117">
        <f t="shared" si="5"/>
        <v>0.75806451612903225</v>
      </c>
      <c r="O30" s="117"/>
      <c r="P30" s="117">
        <f t="shared" si="6"/>
        <v>0.80384615384615377</v>
      </c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17"/>
      <c r="AB30" s="17"/>
      <c r="AC30" s="17"/>
    </row>
    <row r="31" spans="1:29" x14ac:dyDescent="0.25">
      <c r="A31" s="50" t="s">
        <v>447</v>
      </c>
      <c r="B31" s="45">
        <f>MATCH(A31,CapCashTic,0)</f>
        <v>31</v>
      </c>
      <c r="C31" s="45"/>
      <c r="D31" s="1">
        <f>IF(ISERROR(E31),"",IF(E31="","",MAX($D$12:D30)+1))</f>
        <v>18</v>
      </c>
      <c r="E31" t="s">
        <v>448</v>
      </c>
      <c r="F31" s="22"/>
      <c r="G31" s="117"/>
      <c r="H31" s="117"/>
      <c r="I31" s="117"/>
      <c r="J31" s="117">
        <f t="shared" si="1"/>
        <v>1.0629370629370629</v>
      </c>
      <c r="K31" s="117">
        <f t="shared" si="2"/>
        <v>0.9570552147239263</v>
      </c>
      <c r="L31" s="117">
        <f t="shared" si="3"/>
        <v>0.93604651162790709</v>
      </c>
      <c r="M31" s="117">
        <f t="shared" si="4"/>
        <v>0.86413043478260876</v>
      </c>
      <c r="N31" s="117">
        <f t="shared" si="5"/>
        <v>0.88648648648648642</v>
      </c>
      <c r="O31" s="117"/>
      <c r="P31" s="117">
        <f t="shared" si="6"/>
        <v>0.98421052631578942</v>
      </c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17"/>
      <c r="AB31" s="17"/>
      <c r="AC31" s="17"/>
    </row>
    <row r="32" spans="1:29" x14ac:dyDescent="0.25">
      <c r="A32" s="50" t="s">
        <v>18</v>
      </c>
      <c r="B32" s="45">
        <f t="shared" si="0"/>
        <v>33</v>
      </c>
      <c r="C32" s="45"/>
      <c r="D32" s="1">
        <f>IF(ISERROR(E32),"",IF(E32="","",MAX($D$12:D31)+1))</f>
        <v>19</v>
      </c>
      <c r="E32" t="s">
        <v>69</v>
      </c>
      <c r="F32" s="22"/>
      <c r="G32" s="117"/>
      <c r="H32" s="117"/>
      <c r="I32" s="117"/>
      <c r="J32" s="117">
        <f t="shared" si="1"/>
        <v>1.3034482758620689</v>
      </c>
      <c r="K32" s="117">
        <f t="shared" si="2"/>
        <v>1.3241379310344827</v>
      </c>
      <c r="L32" s="117">
        <f t="shared" si="3"/>
        <v>0.95620437956204385</v>
      </c>
      <c r="M32" s="117">
        <f t="shared" si="4"/>
        <v>0.99264705882352944</v>
      </c>
      <c r="N32" s="117">
        <f t="shared" si="5"/>
        <v>0.80128205128205132</v>
      </c>
      <c r="O32" s="117"/>
      <c r="P32" s="117">
        <f t="shared" si="6"/>
        <v>0.9375</v>
      </c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17"/>
      <c r="AB32" s="17"/>
      <c r="AC32" s="17"/>
    </row>
    <row r="33" spans="1:29" x14ac:dyDescent="0.25">
      <c r="A33" s="50" t="s">
        <v>19</v>
      </c>
      <c r="B33" s="45">
        <f t="shared" si="0"/>
        <v>34</v>
      </c>
      <c r="C33" s="45"/>
      <c r="D33" s="1">
        <f>IF(ISERROR(E33),"",IF(E33="","",MAX($D$12:D32)+1))</f>
        <v>20</v>
      </c>
      <c r="E33" t="s">
        <v>66</v>
      </c>
      <c r="F33" s="22"/>
      <c r="G33" s="117"/>
      <c r="H33" s="117"/>
      <c r="I33" s="117"/>
      <c r="J33" s="117">
        <f t="shared" si="1"/>
        <v>0.96363636363636362</v>
      </c>
      <c r="K33" s="117">
        <f t="shared" si="2"/>
        <v>0.91428571428571426</v>
      </c>
      <c r="L33" s="117">
        <f t="shared" si="3"/>
        <v>0.86086956521739133</v>
      </c>
      <c r="M33" s="117">
        <f t="shared" si="4"/>
        <v>0.79661016949152541</v>
      </c>
      <c r="N33" s="117">
        <f t="shared" si="5"/>
        <v>0.81818181818181823</v>
      </c>
      <c r="O33" s="117"/>
      <c r="P33" s="117">
        <f t="shared" si="6"/>
        <v>0.9538461538461539</v>
      </c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17"/>
      <c r="AB33" s="17"/>
      <c r="AC33" s="17"/>
    </row>
    <row r="34" spans="1:29" x14ac:dyDescent="0.25">
      <c r="A34" s="50" t="s">
        <v>266</v>
      </c>
      <c r="B34" s="45">
        <f t="shared" si="0"/>
        <v>35</v>
      </c>
      <c r="C34" s="45"/>
      <c r="D34" s="1">
        <f>IF(ISERROR(E34),"",IF(E34="","",MAX($D$12:D33)+1))</f>
        <v>21</v>
      </c>
      <c r="E34" t="s">
        <v>265</v>
      </c>
      <c r="F34" s="22"/>
      <c r="G34" s="117"/>
      <c r="H34" s="117"/>
      <c r="I34" s="117"/>
      <c r="J34" s="117">
        <f t="shared" si="1"/>
        <v>0.59893048128342241</v>
      </c>
      <c r="K34" s="117">
        <f t="shared" si="2"/>
        <v>0.74074074074074081</v>
      </c>
      <c r="L34" s="117">
        <f t="shared" si="3"/>
        <v>0.74545454545454548</v>
      </c>
      <c r="M34" s="117">
        <f t="shared" si="4"/>
        <v>0.8152866242038217</v>
      </c>
      <c r="N34" s="117">
        <f t="shared" si="5"/>
        <v>0.84848484848484851</v>
      </c>
      <c r="O34" s="117"/>
      <c r="P34" s="117">
        <f t="shared" si="6"/>
        <v>0.96969696969696972</v>
      </c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17"/>
      <c r="AB34" s="17"/>
      <c r="AC34" s="17"/>
    </row>
    <row r="35" spans="1:29" x14ac:dyDescent="0.25">
      <c r="A35" s="50" t="s">
        <v>21</v>
      </c>
      <c r="B35" s="45">
        <f t="shared" si="0"/>
        <v>36</v>
      </c>
      <c r="C35" s="45"/>
      <c r="D35" s="1">
        <f>IF(ISERROR(E35),"",IF(E35="","",MAX($D$12:D34)+1))</f>
        <v>22</v>
      </c>
      <c r="E35" t="s">
        <v>58</v>
      </c>
      <c r="F35" s="22"/>
      <c r="G35" s="117"/>
      <c r="H35" s="117"/>
      <c r="I35" s="117"/>
      <c r="J35" s="117">
        <f t="shared" si="1"/>
        <v>1.0975609756097562</v>
      </c>
      <c r="K35" s="117">
        <f t="shared" si="2"/>
        <v>1.4153846153846152</v>
      </c>
      <c r="L35" s="117">
        <f t="shared" si="3"/>
        <v>1.3013698630136987</v>
      </c>
      <c r="M35" s="117">
        <f t="shared" si="4"/>
        <v>1.5074626865671641</v>
      </c>
      <c r="N35" s="117">
        <f t="shared" si="5"/>
        <v>1.2</v>
      </c>
      <c r="O35" s="117"/>
      <c r="P35" s="117">
        <f t="shared" si="6"/>
        <v>1.0874999999999999</v>
      </c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17"/>
      <c r="AB35" s="17"/>
      <c r="AC35" s="17"/>
    </row>
    <row r="36" spans="1:29" x14ac:dyDescent="0.25">
      <c r="A36" s="50" t="s">
        <v>22</v>
      </c>
      <c r="B36" s="45">
        <f t="shared" si="0"/>
        <v>37</v>
      </c>
      <c r="C36" s="45"/>
      <c r="D36" s="1">
        <f>IF(ISERROR(E36),"",IF(E36="","",MAX($D$12:D35)+1))</f>
        <v>23</v>
      </c>
      <c r="E36" t="s">
        <v>59</v>
      </c>
      <c r="F36" s="22"/>
      <c r="G36" s="117"/>
      <c r="H36" s="117"/>
      <c r="I36" s="117"/>
      <c r="J36" s="117">
        <f t="shared" si="1"/>
        <v>1.2519083969465647</v>
      </c>
      <c r="K36" s="117">
        <f t="shared" si="2"/>
        <v>1.1586206896551725</v>
      </c>
      <c r="L36" s="117">
        <f t="shared" si="3"/>
        <v>0.82547169811320753</v>
      </c>
      <c r="M36" s="117">
        <f t="shared" si="4"/>
        <v>0.625</v>
      </c>
      <c r="N36" s="117">
        <f t="shared" si="5"/>
        <v>0.55882352941176472</v>
      </c>
      <c r="O36" s="117"/>
      <c r="P36" s="117">
        <f t="shared" si="6"/>
        <v>0.95000000000000007</v>
      </c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17"/>
      <c r="AB36" s="17"/>
      <c r="AC36" s="17"/>
    </row>
    <row r="37" spans="1:29" x14ac:dyDescent="0.25">
      <c r="A37" s="50" t="s">
        <v>25</v>
      </c>
      <c r="B37" s="45">
        <f>MATCH(A37,CapCashTic,0)</f>
        <v>38</v>
      </c>
      <c r="C37" s="45"/>
      <c r="D37" s="1">
        <f>IF(ISERROR(E37),"",IF(E37="","",MAX($D$12:D36)+1))</f>
        <v>24</v>
      </c>
      <c r="E37" t="s">
        <v>61</v>
      </c>
      <c r="F37" s="22"/>
      <c r="G37" s="117"/>
      <c r="H37" s="117"/>
      <c r="I37" s="117"/>
      <c r="J37" s="117">
        <f t="shared" si="1"/>
        <v>0.72519083969465647</v>
      </c>
      <c r="K37" s="117">
        <f t="shared" si="2"/>
        <v>0.8660714285714286</v>
      </c>
      <c r="L37" s="117" t="str">
        <f t="shared" si="3"/>
        <v>N/A</v>
      </c>
      <c r="M37" s="117">
        <f t="shared" si="4"/>
        <v>1.258064516129032</v>
      </c>
      <c r="N37" s="117">
        <f t="shared" si="5"/>
        <v>1.089430894308943</v>
      </c>
      <c r="O37" s="117"/>
      <c r="P37" s="117">
        <f t="shared" si="6"/>
        <v>1.1785714285714286</v>
      </c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17"/>
      <c r="AB37" s="17"/>
      <c r="AC37" s="17"/>
    </row>
    <row r="38" spans="1:29" x14ac:dyDescent="0.25">
      <c r="A38" s="50" t="s">
        <v>141</v>
      </c>
      <c r="B38" s="45">
        <f t="shared" si="0"/>
        <v>41</v>
      </c>
      <c r="C38" s="45"/>
      <c r="D38" s="1">
        <f>IF(ISERROR(E38),"",IF(E38="","",MAX($D$12:D37)+1))</f>
        <v>25</v>
      </c>
      <c r="E38" t="s">
        <v>209</v>
      </c>
      <c r="F38" s="22"/>
      <c r="G38" s="117"/>
      <c r="H38" s="117"/>
      <c r="I38" s="117"/>
      <c r="J38" s="117">
        <f t="shared" si="1"/>
        <v>0.57718120805369122</v>
      </c>
      <c r="K38" s="117">
        <f t="shared" si="2"/>
        <v>0.69230769230769229</v>
      </c>
      <c r="L38" s="117">
        <f t="shared" si="3"/>
        <v>0.54320987654320996</v>
      </c>
      <c r="M38" s="117">
        <f t="shared" si="4"/>
        <v>0.58947368421052626</v>
      </c>
      <c r="N38" s="117">
        <f t="shared" si="5"/>
        <v>0.58636363636363642</v>
      </c>
      <c r="O38" s="117"/>
      <c r="P38" s="117">
        <f t="shared" si="6"/>
        <v>0.64583333333333337</v>
      </c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17"/>
      <c r="AB38" s="17"/>
      <c r="AC38" s="17"/>
    </row>
    <row r="39" spans="1:29" x14ac:dyDescent="0.25">
      <c r="A39" s="50" t="s">
        <v>144</v>
      </c>
      <c r="B39" s="45">
        <f t="shared" si="0"/>
        <v>44</v>
      </c>
      <c r="C39" s="45"/>
      <c r="D39" s="1">
        <f>IF(ISERROR(E39),"",IF(E39="","",MAX($D$12:D38)+1))</f>
        <v>26</v>
      </c>
      <c r="E39" t="s">
        <v>94</v>
      </c>
      <c r="F39" s="22"/>
      <c r="G39" s="117"/>
      <c r="H39" s="117"/>
      <c r="I39" s="117"/>
      <c r="J39" s="117">
        <f t="shared" si="1"/>
        <v>0.97945205479452058</v>
      </c>
      <c r="K39" s="117">
        <f t="shared" si="2"/>
        <v>0.82285714285714284</v>
      </c>
      <c r="L39" s="117">
        <f t="shared" si="3"/>
        <v>0.6616915422885572</v>
      </c>
      <c r="M39" s="117">
        <f t="shared" si="4"/>
        <v>0.74725274725274726</v>
      </c>
      <c r="N39" s="117">
        <f t="shared" si="5"/>
        <v>0.87116564417177911</v>
      </c>
      <c r="O39" s="117"/>
      <c r="P39" s="117">
        <f t="shared" si="6"/>
        <v>1.0363636363636364</v>
      </c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17"/>
      <c r="AB39" s="17"/>
      <c r="AC39" s="17"/>
    </row>
    <row r="40" spans="1:29" x14ac:dyDescent="0.25">
      <c r="A40" s="50" t="s">
        <v>27</v>
      </c>
      <c r="B40" s="45">
        <f t="shared" si="0"/>
        <v>45</v>
      </c>
      <c r="C40" s="45"/>
      <c r="D40" s="1">
        <f>IF(ISERROR(E40),"",IF(E40="","",MAX($D$12:D39)+1))</f>
        <v>27</v>
      </c>
      <c r="E40" t="s">
        <v>67</v>
      </c>
      <c r="F40" s="22"/>
      <c r="G40" s="117"/>
      <c r="H40" s="117"/>
      <c r="I40" s="117"/>
      <c r="J40" s="117">
        <f t="shared" si="1"/>
        <v>1.4310344827586208</v>
      </c>
      <c r="K40" s="117">
        <f t="shared" si="2"/>
        <v>1.1333333333333333</v>
      </c>
      <c r="L40" s="117">
        <f t="shared" si="3"/>
        <v>0.98947368421052639</v>
      </c>
      <c r="M40" s="117">
        <f t="shared" si="4"/>
        <v>0.96842105263157885</v>
      </c>
      <c r="N40" s="117">
        <f t="shared" si="5"/>
        <v>1</v>
      </c>
      <c r="O40" s="117"/>
      <c r="P40" s="117">
        <f t="shared" si="6"/>
        <v>1.2421052631578948</v>
      </c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17"/>
      <c r="AB40" s="17"/>
      <c r="AC40" s="17"/>
    </row>
    <row r="41" spans="1:29" x14ac:dyDescent="0.25">
      <c r="A41" s="50" t="s">
        <v>28</v>
      </c>
      <c r="B41" s="45">
        <f t="shared" si="0"/>
        <v>47</v>
      </c>
      <c r="C41" s="45"/>
      <c r="D41" s="1">
        <f>IF(ISERROR(E41),"",IF(E41="","",MAX($D$12:D40)+1))</f>
        <v>28</v>
      </c>
      <c r="E41" t="s">
        <v>68</v>
      </c>
      <c r="F41" s="22"/>
      <c r="G41" s="117"/>
      <c r="H41" s="117"/>
      <c r="I41" s="117"/>
      <c r="J41" s="117">
        <f t="shared" si="1"/>
        <v>0.44680851063829785</v>
      </c>
      <c r="K41" s="117">
        <f t="shared" si="2"/>
        <v>1.4218749999999998</v>
      </c>
      <c r="L41" s="117">
        <f t="shared" si="3"/>
        <v>1.4482758620689655</v>
      </c>
      <c r="M41" s="117">
        <f t="shared" si="4"/>
        <v>1.0847457627118644</v>
      </c>
      <c r="N41" s="117">
        <f t="shared" si="5"/>
        <v>1.2333333333333334</v>
      </c>
      <c r="O41" s="117"/>
      <c r="P41" s="117">
        <f t="shared" si="6"/>
        <v>1.1520000000000001</v>
      </c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17"/>
      <c r="AB41" s="17"/>
      <c r="AC41" s="17"/>
    </row>
    <row r="42" spans="1:29" x14ac:dyDescent="0.25">
      <c r="A42" s="50" t="s">
        <v>31</v>
      </c>
      <c r="B42" s="45">
        <f t="shared" si="0"/>
        <v>49</v>
      </c>
      <c r="C42" s="45"/>
      <c r="D42" s="1">
        <f>IF(ISERROR(E42),"",IF(E42="","",MAX($D$12:D41)+1))</f>
        <v>29</v>
      </c>
      <c r="E42" t="s">
        <v>72</v>
      </c>
      <c r="F42" s="22"/>
      <c r="G42" s="117"/>
      <c r="H42" s="117"/>
      <c r="I42" s="117"/>
      <c r="J42" s="117">
        <f t="shared" si="1"/>
        <v>0.97530864197530853</v>
      </c>
      <c r="K42" s="117">
        <f t="shared" si="2"/>
        <v>0.84892086330935257</v>
      </c>
      <c r="L42" s="117">
        <f t="shared" si="3"/>
        <v>0.78368794326241142</v>
      </c>
      <c r="M42" s="117">
        <f t="shared" si="4"/>
        <v>0.9464285714285714</v>
      </c>
      <c r="N42" s="117">
        <f t="shared" si="5"/>
        <v>0.74404761904761907</v>
      </c>
      <c r="O42" s="117"/>
      <c r="P42" s="117">
        <f t="shared" si="6"/>
        <v>0.89244186046511631</v>
      </c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17"/>
      <c r="AB42" s="17"/>
      <c r="AC42" s="17"/>
    </row>
    <row r="43" spans="1:29" x14ac:dyDescent="0.25">
      <c r="A43" s="50" t="s">
        <v>32</v>
      </c>
      <c r="B43" s="45">
        <f t="shared" si="0"/>
        <v>50</v>
      </c>
      <c r="C43" s="45"/>
      <c r="D43" s="1">
        <f>IF(ISERROR(E43),"",IF(E43="","",MAX($D$12:D42)+1))</f>
        <v>30</v>
      </c>
      <c r="E43" t="s">
        <v>74</v>
      </c>
      <c r="F43" s="22"/>
      <c r="G43" s="117"/>
      <c r="H43" s="117"/>
      <c r="I43" s="117"/>
      <c r="J43" s="117">
        <f t="shared" si="1"/>
        <v>0.59024390243902436</v>
      </c>
      <c r="K43" s="117">
        <f t="shared" si="2"/>
        <v>0.51476793248945141</v>
      </c>
      <c r="L43" s="117">
        <f t="shared" si="3"/>
        <v>0.63235294117647067</v>
      </c>
      <c r="M43" s="117">
        <f t="shared" si="4"/>
        <v>0.62790697674418605</v>
      </c>
      <c r="N43" s="117">
        <f t="shared" si="5"/>
        <v>0.52713178294573637</v>
      </c>
      <c r="O43" s="117"/>
      <c r="P43" s="117">
        <f t="shared" si="6"/>
        <v>0.64444444444444438</v>
      </c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17"/>
      <c r="AB43" s="17"/>
      <c r="AC43" s="17"/>
    </row>
    <row r="44" spans="1:29" x14ac:dyDescent="0.25">
      <c r="A44" s="50" t="s">
        <v>33</v>
      </c>
      <c r="B44" s="45">
        <f t="shared" si="0"/>
        <v>51</v>
      </c>
      <c r="C44" s="45"/>
      <c r="D44" s="1">
        <f>IF(ISERROR(E44),"",IF(E44="","",MAX($D$12:D43)+1))</f>
        <v>31</v>
      </c>
      <c r="E44" t="s">
        <v>92</v>
      </c>
      <c r="F44" s="22"/>
      <c r="G44" s="117"/>
      <c r="H44" s="117"/>
      <c r="I44" s="117"/>
      <c r="J44" s="117">
        <f t="shared" si="1"/>
        <v>0.75252525252525249</v>
      </c>
      <c r="K44" s="117">
        <f t="shared" si="2"/>
        <v>0.97350993377483441</v>
      </c>
      <c r="L44" s="117">
        <f t="shared" si="3"/>
        <v>1.0065359477124183</v>
      </c>
      <c r="M44" s="117">
        <f t="shared" si="4"/>
        <v>0.58431372549019611</v>
      </c>
      <c r="N44" s="117">
        <f t="shared" si="5"/>
        <v>0.62015503875968991</v>
      </c>
      <c r="O44" s="117"/>
      <c r="P44" s="117">
        <f t="shared" si="6"/>
        <v>0.92727272727272725</v>
      </c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17"/>
      <c r="AB44" s="17"/>
      <c r="AC44" s="17"/>
    </row>
    <row r="45" spans="1:29" x14ac:dyDescent="0.25">
      <c r="A45" s="50" t="s">
        <v>34</v>
      </c>
      <c r="B45" s="45">
        <f t="shared" si="0"/>
        <v>52</v>
      </c>
      <c r="C45" s="45"/>
      <c r="D45" s="1">
        <f>IF(ISERROR(E45),"",IF(E45="","",MAX($D$12:D44)+1))</f>
        <v>32</v>
      </c>
      <c r="E45" t="s">
        <v>70</v>
      </c>
      <c r="F45" s="22"/>
      <c r="G45" s="117"/>
      <c r="H45" s="117"/>
      <c r="I45" s="117"/>
      <c r="J45" s="117">
        <f t="shared" si="1"/>
        <v>1.0617283950617284</v>
      </c>
      <c r="K45" s="117">
        <f t="shared" si="2"/>
        <v>1.1153846153846154</v>
      </c>
      <c r="L45" s="117">
        <f t="shared" si="3"/>
        <v>1.3488372093023255</v>
      </c>
      <c r="M45" s="117">
        <f t="shared" si="4"/>
        <v>0.98461538461538467</v>
      </c>
      <c r="N45" s="117">
        <f t="shared" si="5"/>
        <v>0.9726027397260274</v>
      </c>
      <c r="O45" s="117"/>
      <c r="P45" s="117">
        <f t="shared" si="6"/>
        <v>1.0249999999999999</v>
      </c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17"/>
      <c r="AB45" s="17"/>
      <c r="AC45" s="17"/>
    </row>
    <row r="46" spans="1:29" x14ac:dyDescent="0.25">
      <c r="A46" s="50" t="s">
        <v>35</v>
      </c>
      <c r="B46" s="45">
        <f t="shared" si="0"/>
        <v>53</v>
      </c>
      <c r="C46" s="45"/>
      <c r="D46" s="1">
        <f>IF(ISERROR(E46),"",IF(E46="","",MAX($D$12:D45)+1))</f>
        <v>33</v>
      </c>
      <c r="E46" t="s">
        <v>75</v>
      </c>
      <c r="F46" s="22"/>
      <c r="G46" s="117"/>
      <c r="H46" s="117"/>
      <c r="I46" s="117"/>
      <c r="J46" s="117">
        <f t="shared" si="1"/>
        <v>1</v>
      </c>
      <c r="K46" s="117">
        <f t="shared" si="2"/>
        <v>1.048</v>
      </c>
      <c r="L46" s="117">
        <f t="shared" si="3"/>
        <v>0.82400000000000007</v>
      </c>
      <c r="M46" s="117">
        <f t="shared" si="4"/>
        <v>0.86805555555555558</v>
      </c>
      <c r="N46" s="117">
        <f t="shared" si="5"/>
        <v>0.90277777777777779</v>
      </c>
      <c r="O46" s="117"/>
      <c r="P46" s="117">
        <f t="shared" si="6"/>
        <v>0.89999999999999991</v>
      </c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17"/>
      <c r="AB46" s="17"/>
      <c r="AC46" s="17"/>
    </row>
    <row r="47" spans="1:29" x14ac:dyDescent="0.25">
      <c r="A47" s="50" t="s">
        <v>37</v>
      </c>
      <c r="B47" s="45">
        <f t="shared" si="0"/>
        <v>55</v>
      </c>
      <c r="C47" s="45"/>
      <c r="D47" s="1">
        <f>IF(ISERROR(E47),"",IF(E47="","",MAX($D$12:D46)+1))</f>
        <v>34</v>
      </c>
      <c r="E47" t="s">
        <v>54</v>
      </c>
      <c r="F47" s="22"/>
      <c r="G47" s="117"/>
      <c r="H47" s="117"/>
      <c r="I47" s="117"/>
      <c r="J47" s="117">
        <f t="shared" si="1"/>
        <v>0.92164179104477606</v>
      </c>
      <c r="K47" s="117">
        <f t="shared" si="2"/>
        <v>0.78466076696165199</v>
      </c>
      <c r="L47" s="117">
        <f t="shared" si="3"/>
        <v>0.9190031152647975</v>
      </c>
      <c r="M47" s="117">
        <f t="shared" si="4"/>
        <v>0.95588235294117652</v>
      </c>
      <c r="N47" s="117">
        <f t="shared" si="5"/>
        <v>0.63018867924528299</v>
      </c>
      <c r="O47" s="117"/>
      <c r="P47" s="117">
        <f t="shared" si="6"/>
        <v>0.68253968253968256</v>
      </c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17"/>
      <c r="AB47" s="17"/>
      <c r="AC47" s="17"/>
    </row>
    <row r="48" spans="1:29" x14ac:dyDescent="0.25">
      <c r="A48" s="50" t="s">
        <v>38</v>
      </c>
      <c r="B48" s="45">
        <f t="shared" si="0"/>
        <v>58</v>
      </c>
      <c r="C48" s="45"/>
      <c r="D48" s="1">
        <f>IF(ISERROR(E48),"",IF(E48="","",MAX($D$12:D47)+1))</f>
        <v>35</v>
      </c>
      <c r="E48" t="s">
        <v>77</v>
      </c>
      <c r="F48" s="22"/>
      <c r="G48" s="117"/>
      <c r="H48" s="117"/>
      <c r="I48" s="117"/>
      <c r="J48" s="117">
        <f t="shared" si="1"/>
        <v>1.0076923076923077</v>
      </c>
      <c r="K48" s="117">
        <f t="shared" si="2"/>
        <v>0.9285714285714286</v>
      </c>
      <c r="L48" s="117">
        <f t="shared" si="3"/>
        <v>0.9668874172185431</v>
      </c>
      <c r="M48" s="117">
        <f t="shared" si="4"/>
        <v>0.97452229299363069</v>
      </c>
      <c r="N48" s="117">
        <f t="shared" si="5"/>
        <v>0.903954802259887</v>
      </c>
      <c r="O48" s="117"/>
      <c r="P48" s="117">
        <f t="shared" si="6"/>
        <v>1.088235294117647</v>
      </c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17"/>
      <c r="AB48" s="17"/>
      <c r="AC48" s="17"/>
    </row>
    <row r="49" spans="1:29" x14ac:dyDescent="0.25">
      <c r="A49" s="50" t="s">
        <v>44</v>
      </c>
      <c r="B49" s="45">
        <f t="shared" si="0"/>
        <v>64</v>
      </c>
      <c r="C49" s="45"/>
      <c r="D49" s="1">
        <f>IF(ISERROR(E49),"",IF(E49="","",MAX($D$12:D48)+1))</f>
        <v>36</v>
      </c>
      <c r="E49" t="s">
        <v>217</v>
      </c>
      <c r="F49" s="22"/>
      <c r="G49" s="117"/>
      <c r="H49" s="117"/>
      <c r="I49" s="117"/>
      <c r="J49" s="117">
        <f t="shared" si="1"/>
        <v>0.69500000000000006</v>
      </c>
      <c r="K49" s="117">
        <f t="shared" si="2"/>
        <v>0.74747474747474751</v>
      </c>
      <c r="L49" s="117">
        <f t="shared" si="3"/>
        <v>0.86631016042780751</v>
      </c>
      <c r="M49" s="117">
        <f t="shared" si="4"/>
        <v>0.92473118279569877</v>
      </c>
      <c r="N49" s="117">
        <f t="shared" si="5"/>
        <v>1.0053763440860215</v>
      </c>
      <c r="O49" s="117"/>
      <c r="P49" s="117">
        <f t="shared" si="6"/>
        <v>1.2810810810810811</v>
      </c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17"/>
      <c r="AB49" s="17"/>
      <c r="AC49" s="17"/>
    </row>
    <row r="50" spans="1:29" x14ac:dyDescent="0.25">
      <c r="A50" s="50" t="s">
        <v>45</v>
      </c>
      <c r="B50" s="45">
        <f t="shared" si="0"/>
        <v>65</v>
      </c>
      <c r="C50" s="45"/>
      <c r="D50" s="1">
        <f>IF(ISERROR(E50),"",IF(E50="","",MAX($D$12:D49)+1))</f>
        <v>37</v>
      </c>
      <c r="E50" t="s">
        <v>65</v>
      </c>
      <c r="F50" s="22"/>
      <c r="G50" s="117"/>
      <c r="H50" s="117"/>
      <c r="I50" s="117"/>
      <c r="J50" s="117">
        <f t="shared" si="1"/>
        <v>0.9850746268656716</v>
      </c>
      <c r="K50" s="117">
        <f t="shared" si="2"/>
        <v>0.86144578313253006</v>
      </c>
      <c r="L50" s="117">
        <f t="shared" si="3"/>
        <v>0.80310880829015541</v>
      </c>
      <c r="M50" s="117">
        <f t="shared" si="4"/>
        <v>0.91666666666666663</v>
      </c>
      <c r="N50" s="117">
        <f t="shared" si="5"/>
        <v>0.64905660377358487</v>
      </c>
      <c r="O50" s="117"/>
      <c r="P50" s="117">
        <f t="shared" si="6"/>
        <v>0.96566523605150212</v>
      </c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17"/>
      <c r="AB50" s="17"/>
      <c r="AC50" s="17"/>
    </row>
    <row r="51" spans="1:29" hidden="1" x14ac:dyDescent="0.25">
      <c r="A51" s="50" t="e">
        <f>#REF!</f>
        <v>#REF!</v>
      </c>
      <c r="B51" s="45" t="e">
        <f t="shared" si="0"/>
        <v>#REF!</v>
      </c>
      <c r="C51" s="45"/>
      <c r="D51" s="1" t="str">
        <f>IF(ISERROR(E51),"",IF(E51="","",MAX($D$12:D50)+1))</f>
        <v/>
      </c>
      <c r="E51" t="e">
        <f>#REF!</f>
        <v>#REF!</v>
      </c>
      <c r="F51" s="22"/>
      <c r="G51" s="94"/>
      <c r="H51" s="117"/>
      <c r="I51" s="117"/>
      <c r="J51" s="117" t="str">
        <f t="shared" si="1"/>
        <v>N/A</v>
      </c>
      <c r="K51" s="117" t="str">
        <f t="shared" si="2"/>
        <v>N/A</v>
      </c>
      <c r="L51" s="117" t="str">
        <f t="shared" si="3"/>
        <v>N/A</v>
      </c>
      <c r="M51" s="117"/>
      <c r="N51" s="117"/>
      <c r="O51" s="94"/>
      <c r="P51" s="117" t="str">
        <f t="shared" si="6"/>
        <v>N/A</v>
      </c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17"/>
      <c r="AB51" s="17"/>
      <c r="AC51" s="17"/>
    </row>
    <row r="52" spans="1:29" hidden="1" x14ac:dyDescent="0.25">
      <c r="A52" s="50" t="e">
        <f>#REF!</f>
        <v>#REF!</v>
      </c>
      <c r="B52" s="45" t="e">
        <f t="shared" si="0"/>
        <v>#REF!</v>
      </c>
      <c r="C52" s="45"/>
      <c r="D52" s="1" t="str">
        <f>IF(ISERROR(E52),"",IF(E52="","",MAX($D$12:D51)+1))</f>
        <v/>
      </c>
      <c r="E52" t="e">
        <f>#REF!</f>
        <v>#REF!</v>
      </c>
      <c r="G52" s="94"/>
      <c r="H52" s="117"/>
      <c r="I52" s="117"/>
      <c r="J52" s="117" t="str">
        <f t="shared" si="1"/>
        <v>N/A</v>
      </c>
      <c r="K52" s="117" t="str">
        <f t="shared" si="2"/>
        <v>N/A</v>
      </c>
      <c r="L52" s="117" t="str">
        <f t="shared" si="3"/>
        <v>N/A</v>
      </c>
      <c r="M52" s="117"/>
      <c r="N52" s="117"/>
      <c r="O52" s="94"/>
      <c r="P52" s="117" t="str">
        <f t="shared" si="6"/>
        <v>N/A</v>
      </c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17"/>
      <c r="AB52" s="17"/>
      <c r="AC52" s="17"/>
    </row>
    <row r="53" spans="1:29" hidden="1" x14ac:dyDescent="0.25">
      <c r="A53" s="50" t="e">
        <f>#REF!</f>
        <v>#REF!</v>
      </c>
      <c r="B53" s="45" t="e">
        <f t="shared" si="0"/>
        <v>#REF!</v>
      </c>
      <c r="C53" s="45"/>
      <c r="D53" s="1" t="str">
        <f>IF(ISERROR(E53),"",IF(E53="","",MAX($D$12:D52)+1))</f>
        <v/>
      </c>
      <c r="E53" t="e">
        <f>#REF!</f>
        <v>#REF!</v>
      </c>
      <c r="G53" s="94"/>
      <c r="H53" s="117"/>
      <c r="I53" s="117"/>
      <c r="J53" s="117" t="str">
        <f t="shared" si="1"/>
        <v>N/A</v>
      </c>
      <c r="K53" s="117" t="str">
        <f t="shared" si="2"/>
        <v>N/A</v>
      </c>
      <c r="L53" s="117" t="str">
        <f t="shared" si="3"/>
        <v>N/A</v>
      </c>
      <c r="M53" s="117"/>
      <c r="N53" s="117"/>
      <c r="O53" s="94"/>
      <c r="P53" s="117" t="str">
        <f t="shared" si="6"/>
        <v>N/A</v>
      </c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17"/>
      <c r="AB53" s="17"/>
      <c r="AC53" s="17"/>
    </row>
    <row r="54" spans="1:29" hidden="1" x14ac:dyDescent="0.25">
      <c r="A54" s="50" t="e">
        <f>#REF!</f>
        <v>#REF!</v>
      </c>
      <c r="B54" s="45" t="e">
        <f t="shared" si="0"/>
        <v>#REF!</v>
      </c>
      <c r="C54" s="45"/>
      <c r="D54" s="1" t="str">
        <f>IF(ISERROR(E54),"",IF(E54="","",MAX($D$12:D53)+1))</f>
        <v/>
      </c>
      <c r="E54" t="e">
        <f>#REF!</f>
        <v>#REF!</v>
      </c>
      <c r="G54" s="94"/>
      <c r="H54" s="117"/>
      <c r="I54" s="117"/>
      <c r="J54" s="117" t="str">
        <f t="shared" si="1"/>
        <v>N/A</v>
      </c>
      <c r="K54" s="117" t="str">
        <f t="shared" si="2"/>
        <v>N/A</v>
      </c>
      <c r="L54" s="117" t="str">
        <f t="shared" si="3"/>
        <v>N/A</v>
      </c>
      <c r="M54" s="117"/>
      <c r="N54" s="117"/>
      <c r="O54" s="94"/>
      <c r="P54" s="117" t="str">
        <f t="shared" si="6"/>
        <v>N/A</v>
      </c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17"/>
      <c r="AB54" s="17"/>
      <c r="AC54" s="17"/>
    </row>
    <row r="55" spans="1:29" x14ac:dyDescent="0.25">
      <c r="A55" s="31"/>
      <c r="B55" s="31"/>
      <c r="C55" s="31"/>
      <c r="D55" s="1" t="str">
        <f>IF(ISERROR(E55),"",IF(E55="","",MAX($D$12:D54)+1))</f>
        <v/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17"/>
      <c r="AB55" s="17"/>
    </row>
    <row r="56" spans="1:29" x14ac:dyDescent="0.25">
      <c r="A56" s="31"/>
      <c r="B56" s="31"/>
      <c r="C56" s="31"/>
      <c r="D56" s="1">
        <f>IF(ISERROR(E56),"",IF(E56="","",MAX($D$12:D55)+1))</f>
        <v>38</v>
      </c>
      <c r="E56" t="s">
        <v>98</v>
      </c>
      <c r="G56" s="117"/>
      <c r="H56" s="117"/>
      <c r="I56" s="117"/>
      <c r="J56" s="117">
        <f t="shared" ref="J56:M56" si="7">AVERAGE(J14:J55)</f>
        <v>0.86107454420525731</v>
      </c>
      <c r="K56" s="117">
        <f t="shared" si="7"/>
        <v>0.88413499397498163</v>
      </c>
      <c r="L56" s="117">
        <f t="shared" si="7"/>
        <v>0.89300078681727735</v>
      </c>
      <c r="M56" s="117">
        <f t="shared" si="7"/>
        <v>0.85984068377668366</v>
      </c>
      <c r="N56" s="117">
        <f>AVERAGE(N14:N55)</f>
        <v>0.82977891436360829</v>
      </c>
      <c r="O56" s="117"/>
      <c r="P56" s="117">
        <f>AVERAGE(P14:P55)</f>
        <v>0.96149441081599996</v>
      </c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17"/>
      <c r="AB56" s="17"/>
      <c r="AC56" s="17"/>
    </row>
    <row r="57" spans="1:29" x14ac:dyDescent="0.25">
      <c r="A57" s="31"/>
      <c r="B57" s="31"/>
      <c r="C57" s="31"/>
      <c r="D57" s="1">
        <f>IF(ISERROR(E57),"",IF(E57="","",MAX($D$12:D56)+1))</f>
        <v>39</v>
      </c>
      <c r="E57" t="s">
        <v>257</v>
      </c>
      <c r="G57" s="117"/>
      <c r="H57" s="117"/>
      <c r="I57" s="117"/>
      <c r="J57" s="117">
        <f t="shared" ref="J57:L57" si="8">MEDIAN(J14:J55)</f>
        <v>0.85123966942148765</v>
      </c>
      <c r="K57" s="117">
        <f t="shared" si="8"/>
        <v>0.86144578313253006</v>
      </c>
      <c r="L57" s="117">
        <f t="shared" si="8"/>
        <v>0.82539682539682546</v>
      </c>
      <c r="M57" s="117">
        <f>MEDIAN(M14:M55)</f>
        <v>0.83577346041055711</v>
      </c>
      <c r="N57" s="117">
        <f>MEDIAN(N14:N55)</f>
        <v>0.82713696786134938</v>
      </c>
      <c r="O57" s="117"/>
      <c r="P57" s="117">
        <f>MEDIAN(P14:P55)</f>
        <v>0.94412681912681906</v>
      </c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17"/>
      <c r="AB57" s="17"/>
      <c r="AC57" s="17"/>
    </row>
    <row r="58" spans="1:29" x14ac:dyDescent="0.25">
      <c r="A58" s="31"/>
      <c r="B58" s="31"/>
      <c r="C58" s="31"/>
      <c r="D58" s="1"/>
    </row>
    <row r="59" spans="1:29" x14ac:dyDescent="0.25">
      <c r="A59" s="31"/>
      <c r="B59" s="31"/>
      <c r="C59" s="31"/>
      <c r="E59" s="18"/>
      <c r="F59" s="88"/>
    </row>
    <row r="60" spans="1:29" x14ac:dyDescent="0.25">
      <c r="A60" s="31"/>
      <c r="B60" s="31"/>
      <c r="C60" s="31"/>
      <c r="E60" s="20" t="s">
        <v>497</v>
      </c>
    </row>
    <row r="61" spans="1:29" ht="16.2" x14ac:dyDescent="0.25">
      <c r="A61" s="31"/>
      <c r="B61" s="31"/>
      <c r="C61" s="31"/>
      <c r="E61" s="76">
        <v>1</v>
      </c>
      <c r="F61" t="s">
        <v>559</v>
      </c>
    </row>
    <row r="62" spans="1:29" ht="16.2" x14ac:dyDescent="0.25">
      <c r="A62" s="31"/>
      <c r="B62" s="31"/>
      <c r="C62" s="31"/>
      <c r="D62" s="76"/>
      <c r="E62" s="76">
        <v>2</v>
      </c>
      <c r="F62" s="21" t="str">
        <f>"The Value Line Investment Survey, "&amp;'2023 Data (WP)'!$D$1</f>
        <v>The Value Line Investment Survey, March 8, April 19, and May 10, 2024.</v>
      </c>
    </row>
    <row r="63" spans="1:29" x14ac:dyDescent="0.25">
      <c r="A63" s="31"/>
      <c r="B63" s="31"/>
      <c r="C63" s="31"/>
      <c r="E63" s="20" t="s">
        <v>328</v>
      </c>
    </row>
    <row r="64" spans="1:29" ht="16.2" x14ac:dyDescent="0.25">
      <c r="A64" s="31"/>
      <c r="B64" s="31"/>
      <c r="C64" s="31"/>
      <c r="E64" s="89"/>
      <c r="F64" s="21" t="s">
        <v>372</v>
      </c>
    </row>
    <row r="65" spans="1:6" x14ac:dyDescent="0.25">
      <c r="A65" s="31"/>
      <c r="B65" s="31"/>
      <c r="C65" s="31"/>
      <c r="F65" s="23"/>
    </row>
    <row r="66" spans="1:6" x14ac:dyDescent="0.25">
      <c r="A66" s="31"/>
      <c r="B66" s="31"/>
      <c r="C66" s="31"/>
      <c r="E66" s="21"/>
    </row>
    <row r="67" spans="1:6" x14ac:dyDescent="0.25">
      <c r="E67" s="23"/>
    </row>
  </sheetData>
  <mergeCells count="5">
    <mergeCell ref="E11:F11"/>
    <mergeCell ref="D4:P4"/>
    <mergeCell ref="D5:P5"/>
    <mergeCell ref="C1:Q1"/>
    <mergeCell ref="G9:P9"/>
  </mergeCells>
  <printOptions horizontalCentered="1"/>
  <pageMargins left="0.7" right="0.7" top="1.5" bottom="0.75" header="0.55000000000000004" footer="0.51"/>
  <pageSetup scale="60" firstPageNumber="7" orientation="portrait" useFirstPageNumber="1" r:id="rId1"/>
  <headerFooter scaleWithDoc="0">
    <oddHeader>&amp;R&amp;"Arial,Bold"&amp;10Docket Nos. 20240026-EI, 20230139-EI, and 20230090-EI
Valuation Metrics
Exhibit CCW-1, Page &amp;P of 16</oddHeader>
  </headerFooter>
  <rowBreaks count="1" manualBreakCount="1">
    <brk id="7" min="2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50"/>
  </sheetPr>
  <dimension ref="B1:E50"/>
  <sheetViews>
    <sheetView zoomScaleNormal="100" workbookViewId="0">
      <pane ySplit="3" topLeftCell="A22" activePane="bottomLeft" state="frozen"/>
      <selection activeCell="C50" sqref="C50"/>
      <selection pane="bottomLeft" activeCell="E51" sqref="E51"/>
    </sheetView>
  </sheetViews>
  <sheetFormatPr defaultRowHeight="13.8" x14ac:dyDescent="0.25"/>
  <cols>
    <col min="1" max="1" width="2.09765625" customWidth="1"/>
    <col min="2" max="2" width="11" customWidth="1"/>
    <col min="3" max="3" width="12.8984375" customWidth="1"/>
    <col min="4" max="4" width="7.5" bestFit="1" customWidth="1"/>
    <col min="5" max="5" width="9.8984375" bestFit="1" customWidth="1"/>
  </cols>
  <sheetData>
    <row r="1" spans="2:5" x14ac:dyDescent="0.25">
      <c r="E1" s="129" t="str">
        <f>TEXT(E47,"mmmm d, yyyy")</f>
        <v>December 31, 2021</v>
      </c>
    </row>
    <row r="2" spans="2:5" x14ac:dyDescent="0.25">
      <c r="B2" s="286" t="s">
        <v>481</v>
      </c>
      <c r="C2" s="286"/>
    </row>
    <row r="3" spans="2:5" x14ac:dyDescent="0.25">
      <c r="B3" s="24" t="s">
        <v>359</v>
      </c>
      <c r="C3" s="24" t="s">
        <v>360</v>
      </c>
    </row>
    <row r="6" spans="2:5" x14ac:dyDescent="0.25">
      <c r="B6" s="1">
        <v>1980</v>
      </c>
      <c r="C6" s="96">
        <v>0.13950000000000001</v>
      </c>
    </row>
    <row r="7" spans="2:5" x14ac:dyDescent="0.25">
      <c r="B7" s="1">
        <v>1981</v>
      </c>
      <c r="C7" s="96">
        <v>0.16600000000000001</v>
      </c>
    </row>
    <row r="8" spans="2:5" x14ac:dyDescent="0.25">
      <c r="B8" s="1">
        <v>1982</v>
      </c>
      <c r="C8" s="96">
        <v>0.16450000000000001</v>
      </c>
    </row>
    <row r="9" spans="2:5" x14ac:dyDescent="0.25">
      <c r="B9" s="1">
        <v>1983</v>
      </c>
      <c r="C9" s="96">
        <v>0.14199999999999999</v>
      </c>
    </row>
    <row r="10" spans="2:5" x14ac:dyDescent="0.25">
      <c r="B10" s="1">
        <v>1984</v>
      </c>
      <c r="C10" s="96">
        <v>0.14530000000000001</v>
      </c>
    </row>
    <row r="11" spans="2:5" x14ac:dyDescent="0.25">
      <c r="B11" s="1">
        <v>1985</v>
      </c>
      <c r="C11" s="96">
        <v>0.12959999999999999</v>
      </c>
    </row>
    <row r="12" spans="2:5" x14ac:dyDescent="0.25">
      <c r="B12" s="1">
        <v>1986</v>
      </c>
      <c r="C12" s="96">
        <v>0.1</v>
      </c>
    </row>
    <row r="13" spans="2:5" x14ac:dyDescent="0.25">
      <c r="B13" s="1">
        <v>1987</v>
      </c>
      <c r="C13" s="96">
        <v>0.1053</v>
      </c>
    </row>
    <row r="14" spans="2:5" x14ac:dyDescent="0.25">
      <c r="B14" s="1">
        <v>1988</v>
      </c>
      <c r="C14" s="96">
        <v>0.11</v>
      </c>
    </row>
    <row r="15" spans="2:5" x14ac:dyDescent="0.25">
      <c r="B15" s="1">
        <v>1989</v>
      </c>
      <c r="C15" s="96">
        <v>9.9699999999999997E-2</v>
      </c>
    </row>
    <row r="16" spans="2:5" x14ac:dyDescent="0.25">
      <c r="B16" s="1">
        <v>1990</v>
      </c>
      <c r="C16" s="96">
        <v>0.10059999999999999</v>
      </c>
    </row>
    <row r="17" spans="2:3" x14ac:dyDescent="0.25">
      <c r="B17" s="1">
        <v>1991</v>
      </c>
      <c r="C17" s="96">
        <v>9.5500000000000002E-2</v>
      </c>
    </row>
    <row r="18" spans="2:3" x14ac:dyDescent="0.25">
      <c r="B18" s="1">
        <v>1992</v>
      </c>
      <c r="C18" s="96">
        <v>8.8599999999999998E-2</v>
      </c>
    </row>
    <row r="19" spans="2:3" x14ac:dyDescent="0.25">
      <c r="B19" s="1">
        <v>1993</v>
      </c>
      <c r="C19" s="96">
        <v>7.9100000000000004E-2</v>
      </c>
    </row>
    <row r="20" spans="2:3" x14ac:dyDescent="0.25">
      <c r="B20" s="1">
        <v>1994</v>
      </c>
      <c r="C20" s="96">
        <v>8.6300000000000002E-2</v>
      </c>
    </row>
    <row r="21" spans="2:3" x14ac:dyDescent="0.25">
      <c r="B21" s="1">
        <v>1995</v>
      </c>
      <c r="C21" s="96">
        <v>8.2900000000000001E-2</v>
      </c>
    </row>
    <row r="22" spans="2:3" x14ac:dyDescent="0.25">
      <c r="B22" s="1">
        <v>1996</v>
      </c>
      <c r="C22" s="96">
        <v>8.1699999999999995E-2</v>
      </c>
    </row>
    <row r="23" spans="2:3" x14ac:dyDescent="0.25">
      <c r="B23" s="1">
        <v>1997</v>
      </c>
      <c r="C23" s="96">
        <v>7.9500000000000001E-2</v>
      </c>
    </row>
    <row r="24" spans="2:3" x14ac:dyDescent="0.25">
      <c r="B24" s="1">
        <v>1998</v>
      </c>
      <c r="C24" s="96">
        <v>7.2599999999999998E-2</v>
      </c>
    </row>
    <row r="25" spans="2:3" x14ac:dyDescent="0.25">
      <c r="B25" s="1">
        <v>1999</v>
      </c>
      <c r="C25" s="96">
        <v>7.8799999999999995E-2</v>
      </c>
    </row>
    <row r="26" spans="2:3" x14ac:dyDescent="0.25">
      <c r="B26" s="1">
        <v>2000</v>
      </c>
      <c r="C26" s="96">
        <v>8.3591666666666647E-2</v>
      </c>
    </row>
    <row r="27" spans="2:3" x14ac:dyDescent="0.25">
      <c r="B27" s="1">
        <v>2001</v>
      </c>
      <c r="C27" s="77">
        <v>8.0283333333333345E-2</v>
      </c>
    </row>
    <row r="28" spans="2:3" x14ac:dyDescent="0.25">
      <c r="B28" s="1">
        <v>2002</v>
      </c>
      <c r="C28" s="77">
        <v>8.0233333333333337E-2</v>
      </c>
    </row>
    <row r="29" spans="2:3" x14ac:dyDescent="0.25">
      <c r="B29" s="1">
        <v>2003</v>
      </c>
      <c r="C29" s="77">
        <v>6.8425E-2</v>
      </c>
    </row>
    <row r="30" spans="2:3" x14ac:dyDescent="0.25">
      <c r="B30" s="1">
        <v>2004</v>
      </c>
      <c r="C30" s="77">
        <v>6.3949999999999993E-2</v>
      </c>
    </row>
    <row r="31" spans="2:3" x14ac:dyDescent="0.25">
      <c r="B31" s="1">
        <v>2005</v>
      </c>
      <c r="C31" s="77">
        <v>5.9249999999999997E-2</v>
      </c>
    </row>
    <row r="32" spans="2:3" x14ac:dyDescent="0.25">
      <c r="B32" s="1">
        <v>2006</v>
      </c>
      <c r="C32" s="77">
        <v>6.3166666666666663E-2</v>
      </c>
    </row>
    <row r="33" spans="2:5" x14ac:dyDescent="0.25">
      <c r="B33" s="1">
        <v>2007</v>
      </c>
      <c r="C33" s="77">
        <v>6.3300000000000009E-2</v>
      </c>
    </row>
    <row r="34" spans="2:5" x14ac:dyDescent="0.25">
      <c r="B34" s="1">
        <v>2008</v>
      </c>
      <c r="C34" s="77">
        <v>7.2458333333333333E-2</v>
      </c>
    </row>
    <row r="35" spans="2:5" x14ac:dyDescent="0.25">
      <c r="B35" s="1">
        <v>2009</v>
      </c>
      <c r="C35" s="77">
        <v>7.0550000000000002E-2</v>
      </c>
    </row>
    <row r="36" spans="2:5" x14ac:dyDescent="0.25">
      <c r="B36" s="1">
        <v>2010</v>
      </c>
      <c r="C36" s="77">
        <v>5.9645065912329841E-2</v>
      </c>
    </row>
    <row r="37" spans="2:5" x14ac:dyDescent="0.25">
      <c r="B37" s="1">
        <v>2011</v>
      </c>
      <c r="C37" s="77">
        <v>5.5661813972092772E-2</v>
      </c>
    </row>
    <row r="38" spans="2:5" x14ac:dyDescent="0.25">
      <c r="B38" s="1">
        <v>2012</v>
      </c>
      <c r="C38" s="77">
        <v>4.8256893848182547E-2</v>
      </c>
    </row>
    <row r="39" spans="2:5" x14ac:dyDescent="0.25">
      <c r="B39" s="1">
        <v>2013</v>
      </c>
      <c r="C39" s="77">
        <v>4.9821343577303334E-2</v>
      </c>
    </row>
    <row r="40" spans="2:5" x14ac:dyDescent="0.25">
      <c r="B40" s="1">
        <v>2014</v>
      </c>
      <c r="C40" s="77">
        <v>4.7983787029963504E-2</v>
      </c>
    </row>
    <row r="41" spans="2:5" x14ac:dyDescent="0.25">
      <c r="B41" s="1">
        <v>2015</v>
      </c>
      <c r="C41" s="77">
        <v>5.0280741690083786E-2</v>
      </c>
    </row>
    <row r="42" spans="2:5" x14ac:dyDescent="0.25">
      <c r="B42" s="1">
        <v>2016</v>
      </c>
      <c r="C42" s="77">
        <v>4.6746381356058131E-2</v>
      </c>
      <c r="D42" s="129"/>
    </row>
    <row r="43" spans="2:5" x14ac:dyDescent="0.25">
      <c r="B43" s="1">
        <v>2017</v>
      </c>
      <c r="C43" s="77">
        <v>4.3774266867762292E-2</v>
      </c>
      <c r="E43" s="129"/>
    </row>
    <row r="44" spans="2:5" x14ac:dyDescent="0.25">
      <c r="B44" s="1">
        <v>2018</v>
      </c>
      <c r="C44" s="77">
        <v>4.6687507594744437E-2</v>
      </c>
    </row>
    <row r="45" spans="2:5" x14ac:dyDescent="0.25">
      <c r="B45" s="1">
        <v>2019</v>
      </c>
      <c r="C45" s="77">
        <v>4.19426790461001E-2</v>
      </c>
    </row>
    <row r="46" spans="2:5" x14ac:dyDescent="0.25">
      <c r="B46" s="1">
        <v>2020</v>
      </c>
      <c r="C46" s="77">
        <v>3.4351067393863441E-2</v>
      </c>
      <c r="E46" s="29"/>
    </row>
    <row r="47" spans="2:5" x14ac:dyDescent="0.25">
      <c r="B47" s="1">
        <v>2021</v>
      </c>
      <c r="C47" s="77">
        <v>3.355220410812617E-2</v>
      </c>
      <c r="D47" t="s">
        <v>408</v>
      </c>
      <c r="E47" s="29">
        <v>44561</v>
      </c>
    </row>
    <row r="48" spans="2:5" x14ac:dyDescent="0.25">
      <c r="B48" s="1">
        <v>2022</v>
      </c>
      <c r="C48" s="77">
        <v>5.0500000000000003E-2</v>
      </c>
      <c r="D48" t="s">
        <v>408</v>
      </c>
      <c r="E48" s="29">
        <v>44926</v>
      </c>
    </row>
    <row r="49" spans="2:5" x14ac:dyDescent="0.25">
      <c r="B49" s="1">
        <v>2023</v>
      </c>
      <c r="C49" s="77">
        <v>5.8500000000000003E-2</v>
      </c>
      <c r="D49" t="s">
        <v>408</v>
      </c>
      <c r="E49" s="29">
        <v>45291</v>
      </c>
    </row>
    <row r="50" spans="2:5" x14ac:dyDescent="0.25">
      <c r="B50" s="1">
        <v>2024</v>
      </c>
      <c r="C50" s="77">
        <v>5.8500000000000003E-2</v>
      </c>
      <c r="D50" s="272" t="s">
        <v>408</v>
      </c>
      <c r="E50" s="29">
        <v>45422</v>
      </c>
    </row>
  </sheetData>
  <mergeCells count="1">
    <mergeCell ref="B2:C2"/>
  </mergeCells>
  <printOptions headings="1"/>
  <pageMargins left="0.7" right="0.7" top="0.75" bottom="0.75" header="0.3" footer="0.3"/>
  <pageSetup orientation="portrait" r:id="rId1"/>
  <headerFooter>
    <oddHeader>&amp;R&amp;Z&amp;F - &amp;A
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B196"/>
  <sheetViews>
    <sheetView view="pageLayout" topLeftCell="C1" zoomScale="55" zoomScaleNormal="80" zoomScalePageLayoutView="55" workbookViewId="0">
      <selection activeCell="V2" sqref="V2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2.09765625" customWidth="1"/>
    <col min="5" max="5" width="18.69921875" customWidth="1"/>
    <col min="6" max="24" width="9" customWidth="1"/>
    <col min="25" max="25" width="9" hidden="1" customWidth="1"/>
    <col min="26" max="28" width="0" hidden="1" customWidth="1"/>
  </cols>
  <sheetData>
    <row r="1" spans="1:28" ht="28.2" x14ac:dyDescent="0.5">
      <c r="C1" s="277" t="str">
        <f>ElectricU</f>
        <v>Tampa Electric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</row>
    <row r="2" spans="1:28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7"/>
      <c r="U2" s="7"/>
      <c r="V2" s="7"/>
      <c r="W2" s="7"/>
      <c r="X2" s="7"/>
      <c r="Y2" s="7"/>
      <c r="Z2" s="7"/>
      <c r="AA2" s="7"/>
    </row>
    <row r="3" spans="1:28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7"/>
      <c r="U3" s="7"/>
      <c r="V3" s="7"/>
      <c r="W3" s="7"/>
      <c r="X3" s="7"/>
      <c r="Y3" s="7"/>
      <c r="Z3" s="7"/>
      <c r="AA3" s="7"/>
    </row>
    <row r="4" spans="1:28" ht="21" x14ac:dyDescent="0.4">
      <c r="C4" s="278" t="s">
        <v>272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</row>
    <row r="5" spans="1:28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</row>
    <row r="6" spans="1:28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1:28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1:28" ht="16.2" x14ac:dyDescent="0.25">
      <c r="C8" s="6"/>
      <c r="D8" s="7"/>
      <c r="E8" s="7"/>
      <c r="F8" s="280" t="s">
        <v>329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  <c r="AB8" s="280"/>
    </row>
    <row r="9" spans="1:28" x14ac:dyDescent="0.25">
      <c r="A9" s="41" t="s">
        <v>99</v>
      </c>
      <c r="B9" s="41" t="s">
        <v>241</v>
      </c>
      <c r="C9" s="6"/>
      <c r="D9" s="7"/>
      <c r="E9" s="7"/>
      <c r="F9" s="8" t="s">
        <v>561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/>
      <c r="T9" s="7"/>
      <c r="U9" s="7"/>
      <c r="V9" s="7"/>
      <c r="W9" s="7"/>
      <c r="X9" s="7"/>
      <c r="Y9" s="7"/>
      <c r="Z9" s="7"/>
      <c r="AA9" s="7"/>
    </row>
    <row r="10" spans="1:28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560</v>
      </c>
      <c r="H10" s="40">
        <v>2022</v>
      </c>
      <c r="I10" s="40">
        <v>2021</v>
      </c>
      <c r="J10" s="40">
        <v>2020</v>
      </c>
      <c r="K10" s="40">
        <v>2019</v>
      </c>
      <c r="L10" s="40">
        <v>2018</v>
      </c>
      <c r="M10" s="40">
        <v>2017</v>
      </c>
      <c r="N10" s="40">
        <v>2016</v>
      </c>
      <c r="O10" s="40">
        <v>2015</v>
      </c>
      <c r="P10" s="40">
        <v>2014</v>
      </c>
      <c r="Q10" s="40">
        <v>2013</v>
      </c>
      <c r="R10" s="40">
        <v>2012</v>
      </c>
      <c r="S10" s="40">
        <v>2011</v>
      </c>
      <c r="T10" s="40">
        <v>2010</v>
      </c>
      <c r="U10" s="40">
        <v>2009</v>
      </c>
      <c r="V10" s="40">
        <v>2008</v>
      </c>
      <c r="W10" s="40">
        <v>2007</v>
      </c>
      <c r="X10" s="40">
        <v>2006</v>
      </c>
      <c r="Y10" s="40">
        <v>2005</v>
      </c>
      <c r="Z10" s="40">
        <v>2004</v>
      </c>
      <c r="AA10" s="40">
        <v>2003</v>
      </c>
      <c r="AB10" s="40">
        <v>2002</v>
      </c>
    </row>
    <row r="11" spans="1:28" x14ac:dyDescent="0.25">
      <c r="A11" s="41"/>
      <c r="B11" s="41"/>
      <c r="C11" s="9"/>
      <c r="D11" s="82"/>
      <c r="E11" s="82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 t="shared" ref="K11:W11" si="0">+J11-1</f>
        <v>-6</v>
      </c>
      <c r="L11" s="12">
        <f t="shared" si="0"/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>+W11-1</f>
        <v>-19</v>
      </c>
      <c r="Y11" s="12">
        <f>+W11-1</f>
        <v>-19</v>
      </c>
      <c r="Z11" s="12">
        <f>+Y11-1</f>
        <v>-20</v>
      </c>
      <c r="AA11" s="12">
        <f>+Z11-1</f>
        <v>-21</v>
      </c>
      <c r="AB11" s="12">
        <f>+AA11-1</f>
        <v>-22</v>
      </c>
    </row>
    <row r="12" spans="1:28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36"/>
      <c r="K12" s="16">
        <f t="shared" ref="K12:AB12" ca="1" si="1">MATCH(K10,OFFSET(DIV_BV_WP,-1,0,1,),0)</f>
        <v>7</v>
      </c>
      <c r="L12" s="16">
        <f t="shared" ca="1" si="1"/>
        <v>8</v>
      </c>
      <c r="M12" s="16">
        <f t="shared" ca="1" si="1"/>
        <v>9</v>
      </c>
      <c r="N12" s="16">
        <f t="shared" ca="1" si="1"/>
        <v>10</v>
      </c>
      <c r="O12" s="16">
        <f t="shared" ca="1" si="1"/>
        <v>11</v>
      </c>
      <c r="P12" s="16">
        <f t="shared" ca="1" si="1"/>
        <v>12</v>
      </c>
      <c r="Q12" s="16">
        <f t="shared" ca="1" si="1"/>
        <v>13</v>
      </c>
      <c r="R12" s="16">
        <f t="shared" ca="1" si="1"/>
        <v>14</v>
      </c>
      <c r="S12" s="16">
        <f t="shared" ca="1" si="1"/>
        <v>15</v>
      </c>
      <c r="T12" s="16">
        <f t="shared" ca="1" si="1"/>
        <v>16</v>
      </c>
      <c r="U12" s="16">
        <f t="shared" ca="1" si="1"/>
        <v>17</v>
      </c>
      <c r="V12" s="16">
        <f t="shared" ca="1" si="1"/>
        <v>18</v>
      </c>
      <c r="W12" s="16">
        <f t="shared" ca="1" si="1"/>
        <v>19</v>
      </c>
      <c r="X12" s="16">
        <f t="shared" ca="1" si="1"/>
        <v>20</v>
      </c>
      <c r="Y12" s="16" t="e">
        <f t="shared" ca="1" si="1"/>
        <v>#N/A</v>
      </c>
      <c r="Z12" s="16" t="e">
        <f t="shared" ca="1" si="1"/>
        <v>#N/A</v>
      </c>
      <c r="AA12" s="16" t="e">
        <f t="shared" ca="1" si="1"/>
        <v>#N/A</v>
      </c>
      <c r="AB12" s="16" t="e">
        <f t="shared" ca="1" si="1"/>
        <v>#N/A</v>
      </c>
    </row>
    <row r="13" spans="1:28" x14ac:dyDescent="0.25">
      <c r="A13" s="44" t="s">
        <v>0</v>
      </c>
      <c r="B13" s="45">
        <f t="shared" ref="B13:B29" ca="1" si="2">IFERROR(MATCH(A13,OFFSET(DIV_BV_WP,0,0,,1),0),"")</f>
        <v>2</v>
      </c>
      <c r="C13" s="1">
        <f>IF(ISERROR(D13),"",IF(D13="","",MAX($C$12:C12)+1))</f>
        <v>1</v>
      </c>
      <c r="D13" t="str">
        <f t="shared" ref="D13:D57" si="3">VLOOKUP(A13,LUCurYr,2,FALSE)</f>
        <v xml:space="preserve">ALLETE                        </v>
      </c>
      <c r="E13" s="15"/>
      <c r="F13" s="77">
        <f ca="1">IFERROR(AVERAGE(G13:X13),"N/A")</f>
        <v>5.9009509044335981E-2</v>
      </c>
      <c r="G13" s="77">
        <f t="shared" ref="G13:G53" si="4">IFERROR(IF(VLOOKUP($A13,Data2023,21,FALSE)=0,"",VLOOKUP($A13,Data2023,21,FALSE)),"N/A")</f>
        <v>5.5555555555555552E-2</v>
      </c>
      <c r="H13" s="77">
        <f t="shared" ref="H13:H57" si="5">IFERROR(IF(VLOOKUP($A13,Data2022,19,FALSE)=0,"",VLOOKUP($A13,Data2022,19,FALSE)),"N/A")</f>
        <v>5.5248618784530384E-2</v>
      </c>
      <c r="I13" s="77">
        <f t="shared" ref="I13:I57" si="6">IFERROR(IF(VLOOKUP(A13,lucyyr,19,FALSE)=0,"",VLOOKUP(A13,lucyyr,19,FALSE)),"N/A")</f>
        <v>5.5555555555555559E-2</v>
      </c>
      <c r="J13" s="77">
        <f t="shared" ref="J13:J57" si="7">IFERROR(IF(VLOOKUP(A13,lucyr,19,FALSE)=0,"",VLOOKUP(A13,lucyr,19,FALSE)),"N/A")</f>
        <v>5.6085376930063581E-2</v>
      </c>
      <c r="K13" s="77">
        <f t="shared" ref="K13:X28" ca="1" si="8">IFERROR(INDEX(DIV_BV_WP,$B13,K$12),"N/A")</f>
        <v>5.4435950891823022E-2</v>
      </c>
      <c r="L13" s="77">
        <f t="shared" ca="1" si="8"/>
        <v>5.3511705685618735E-2</v>
      </c>
      <c r="M13" s="77">
        <f t="shared" ca="1" si="8"/>
        <v>5.2873449621979547E-2</v>
      </c>
      <c r="N13" s="77">
        <f t="shared" ca="1" si="8"/>
        <v>5.4500196515131667E-2</v>
      </c>
      <c r="O13" s="77">
        <f t="shared" ca="1" si="8"/>
        <v>5.4490032640069061E-2</v>
      </c>
      <c r="P13" s="77">
        <f t="shared" ca="1" si="8"/>
        <v>5.5899381113994805E-2</v>
      </c>
      <c r="Q13" s="77">
        <f t="shared" ca="1" si="8"/>
        <v>5.8575084009002069E-2</v>
      </c>
      <c r="R13" s="77">
        <f t="shared" ca="1" si="8"/>
        <v>6.0363493209107021E-2</v>
      </c>
      <c r="S13" s="77">
        <f t="shared" ca="1" si="8"/>
        <v>6.1846356971613219E-2</v>
      </c>
      <c r="T13" s="77">
        <f t="shared" ca="1" si="8"/>
        <v>6.4556358434508299E-2</v>
      </c>
      <c r="U13" s="77">
        <f t="shared" ca="1" si="8"/>
        <v>6.6651518594258885E-2</v>
      </c>
      <c r="V13" s="77">
        <f t="shared" ca="1" si="8"/>
        <v>6.7793937960663755E-2</v>
      </c>
      <c r="W13" s="77">
        <f t="shared" ca="1" si="8"/>
        <v>6.8021567814184988E-2</v>
      </c>
      <c r="X13" s="77">
        <f t="shared" ca="1" si="8"/>
        <v>6.6207022510387653E-2</v>
      </c>
      <c r="Y13" s="62"/>
      <c r="Z13" s="62"/>
      <c r="AA13" s="62"/>
      <c r="AB13" s="62"/>
    </row>
    <row r="14" spans="1:28" x14ac:dyDescent="0.25">
      <c r="A14" s="44" t="s">
        <v>1</v>
      </c>
      <c r="B14" s="45">
        <f t="shared" ca="1" si="2"/>
        <v>3</v>
      </c>
      <c r="C14" s="1">
        <f>IF(ISERROR(D14),"",IF(D14="","",MAX($C$12:C13)+1))</f>
        <v>2</v>
      </c>
      <c r="D14" t="str">
        <f t="shared" si="3"/>
        <v xml:space="preserve">Alliant Energy                </v>
      </c>
      <c r="E14" s="15"/>
      <c r="F14" s="77">
        <f t="shared" ref="F14:F57" ca="1" si="9">IFERROR(AVERAGE(G14:X14),"N/A")</f>
        <v>6.388265628820218E-2</v>
      </c>
      <c r="G14" s="77">
        <f t="shared" si="4"/>
        <v>6.8405139833711257E-2</v>
      </c>
      <c r="H14" s="77">
        <f t="shared" si="5"/>
        <v>6.8427370948379349E-2</v>
      </c>
      <c r="I14" s="77">
        <f t="shared" si="6"/>
        <v>6.7335842743621921E-2</v>
      </c>
      <c r="J14" s="77">
        <f t="shared" si="7"/>
        <v>6.6783831282952538E-2</v>
      </c>
      <c r="K14" s="77">
        <f t="shared" ca="1" si="8"/>
        <v>6.6845549122063738E-2</v>
      </c>
      <c r="L14" s="77">
        <f t="shared" ca="1" si="8"/>
        <v>6.8979717903840221E-2</v>
      </c>
      <c r="M14" s="77">
        <f t="shared" ca="1" si="8"/>
        <v>7.320048800325335E-2</v>
      </c>
      <c r="N14" s="77">
        <f t="shared" ca="1" si="8"/>
        <v>6.9563166892648701E-2</v>
      </c>
      <c r="O14" s="77">
        <f t="shared" ca="1" si="8"/>
        <v>6.7024128686327081E-2</v>
      </c>
      <c r="P14" s="77">
        <f t="shared" ca="1" si="8"/>
        <v>6.5620174987133295E-2</v>
      </c>
      <c r="Q14" s="77">
        <f t="shared" ca="1" si="8"/>
        <v>6.356075461491649E-2</v>
      </c>
      <c r="R14" s="77">
        <f t="shared" ca="1" si="8"/>
        <v>6.3725837286695466E-2</v>
      </c>
      <c r="S14" s="77">
        <f t="shared" ca="1" si="8"/>
        <v>6.2638172439204123E-2</v>
      </c>
      <c r="T14" s="77">
        <f t="shared" ca="1" si="8"/>
        <v>6.0550318080784857E-2</v>
      </c>
      <c r="U14" s="77">
        <f t="shared" ca="1" si="8"/>
        <v>5.9822924144532177E-2</v>
      </c>
      <c r="V14" s="77">
        <f t="shared" ca="1" si="8"/>
        <v>5.4764512595837894E-2</v>
      </c>
      <c r="W14" s="77">
        <f t="shared" ca="1" si="8"/>
        <v>5.2271978926572274E-2</v>
      </c>
      <c r="X14" s="77">
        <f t="shared" ca="1" si="8"/>
        <v>5.0367904695164674E-2</v>
      </c>
      <c r="Y14" s="62"/>
      <c r="Z14" s="62"/>
      <c r="AA14" s="62"/>
      <c r="AB14" s="62"/>
    </row>
    <row r="15" spans="1:28" x14ac:dyDescent="0.25">
      <c r="A15" s="44" t="s">
        <v>3</v>
      </c>
      <c r="B15" s="45">
        <f t="shared" ca="1" si="2"/>
        <v>6</v>
      </c>
      <c r="C15" s="1">
        <f>IF(ISERROR(D15),"",IF(D15="","",MAX($C$12:C14)+1))</f>
        <v>3</v>
      </c>
      <c r="D15" t="str">
        <f t="shared" si="3"/>
        <v xml:space="preserve">Ameren Corp.                  </v>
      </c>
      <c r="E15" s="15"/>
      <c r="F15" s="77">
        <f t="shared" ca="1" si="9"/>
        <v>6.025902665097365E-2</v>
      </c>
      <c r="G15" s="77">
        <f t="shared" si="4"/>
        <v>6.259314456035768E-2</v>
      </c>
      <c r="H15" s="77">
        <f t="shared" si="5"/>
        <v>5.8838194963849413E-2</v>
      </c>
      <c r="I15" s="77">
        <f t="shared" si="6"/>
        <v>5.8448459086078645E-2</v>
      </c>
      <c r="J15" s="77">
        <f t="shared" si="7"/>
        <v>5.6673278549164069E-2</v>
      </c>
      <c r="K15" s="77">
        <f t="shared" ca="1" si="8"/>
        <v>5.8654609885745702E-2</v>
      </c>
      <c r="L15" s="77">
        <f t="shared" ca="1" si="8"/>
        <v>5.9209893947646669E-2</v>
      </c>
      <c r="M15" s="77">
        <f t="shared" ca="1" si="8"/>
        <v>6.0051337476357741E-2</v>
      </c>
      <c r="N15" s="77">
        <f t="shared" ca="1" si="8"/>
        <v>5.8584409373505501E-2</v>
      </c>
      <c r="O15" s="77">
        <f t="shared" ca="1" si="8"/>
        <v>5.7812554581339298E-2</v>
      </c>
      <c r="P15" s="77">
        <f t="shared" ca="1" si="8"/>
        <v>5.8192069975060538E-2</v>
      </c>
      <c r="Q15" s="77">
        <f t="shared" ca="1" si="8"/>
        <v>5.9322976530347411E-2</v>
      </c>
      <c r="R15" s="77">
        <f t="shared" ca="1" si="8"/>
        <v>5.8678989254410098E-2</v>
      </c>
      <c r="S15" s="77">
        <f t="shared" ca="1" si="8"/>
        <v>4.7638012376692601E-2</v>
      </c>
      <c r="T15" s="77">
        <f t="shared" ca="1" si="8"/>
        <v>4.7893018193127038E-2</v>
      </c>
      <c r="U15" s="77">
        <f t="shared" ca="1" si="8"/>
        <v>4.6555216300371835E-2</v>
      </c>
      <c r="V15" s="77">
        <f t="shared" ca="1" si="8"/>
        <v>7.7443746569912791E-2</v>
      </c>
      <c r="W15" s="77">
        <f t="shared" ca="1" si="8"/>
        <v>7.8358784513342591E-2</v>
      </c>
      <c r="X15" s="77">
        <f t="shared" ca="1" si="8"/>
        <v>7.9713783580215913E-2</v>
      </c>
      <c r="Y15" s="62"/>
      <c r="Z15" s="62"/>
      <c r="AA15" s="62"/>
      <c r="AB15" s="62"/>
    </row>
    <row r="16" spans="1:28" x14ac:dyDescent="0.25">
      <c r="A16" s="44" t="s">
        <v>2</v>
      </c>
      <c r="B16" s="45">
        <f t="shared" ca="1" si="2"/>
        <v>7</v>
      </c>
      <c r="C16" s="1">
        <f>IF(ISERROR(D16),"",IF(D16="","",MAX($C$12:C15)+1))</f>
        <v>4</v>
      </c>
      <c r="D16" t="str">
        <f t="shared" si="3"/>
        <v>American Electric Power</v>
      </c>
      <c r="E16" s="15"/>
      <c r="F16" s="77">
        <f t="shared" ca="1" si="9"/>
        <v>6.3461233644680787E-2</v>
      </c>
      <c r="G16" s="77">
        <f t="shared" si="4"/>
        <v>6.9541890218737107E-2</v>
      </c>
      <c r="H16" s="77">
        <f t="shared" si="5"/>
        <v>6.8025751072961368E-2</v>
      </c>
      <c r="I16" s="77">
        <f t="shared" si="6"/>
        <v>6.7430883344571813E-2</v>
      </c>
      <c r="J16" s="77">
        <f t="shared" si="7"/>
        <v>6.8632189463508936E-2</v>
      </c>
      <c r="K16" s="77">
        <f t="shared" ca="1" si="8"/>
        <v>6.8213854208618599E-2</v>
      </c>
      <c r="L16" s="77">
        <f t="shared" ca="1" si="8"/>
        <v>6.5581419461869447E-2</v>
      </c>
      <c r="M16" s="77">
        <f t="shared" ca="1" si="8"/>
        <v>6.4302625914765391E-2</v>
      </c>
      <c r="N16" s="77">
        <f t="shared" ca="1" si="8"/>
        <v>6.4160542679479932E-2</v>
      </c>
      <c r="O16" s="77">
        <f t="shared" ca="1" si="8"/>
        <v>5.9009194455880327E-2</v>
      </c>
      <c r="P16" s="77">
        <f t="shared" ca="1" si="8"/>
        <v>5.9066573556797008E-2</v>
      </c>
      <c r="Q16" s="77">
        <f t="shared" ca="1" si="8"/>
        <v>5.9133915574963614E-2</v>
      </c>
      <c r="R16" s="77">
        <f t="shared" ca="1" si="8"/>
        <v>5.9924138590507756E-2</v>
      </c>
      <c r="S16" s="77">
        <f t="shared" ca="1" si="8"/>
        <v>6.0987670600646145E-2</v>
      </c>
      <c r="T16" s="77">
        <f t="shared" ca="1" si="8"/>
        <v>6.0355781448538752E-2</v>
      </c>
      <c r="U16" s="77">
        <f t="shared" ca="1" si="8"/>
        <v>5.9666739430983044E-2</v>
      </c>
      <c r="V16" s="77">
        <f t="shared" ca="1" si="8"/>
        <v>6.2279269357839971E-2</v>
      </c>
      <c r="W16" s="77">
        <f t="shared" ca="1" si="8"/>
        <v>6.2770648762464742E-2</v>
      </c>
      <c r="X16" s="77">
        <f t="shared" ca="1" si="8"/>
        <v>6.3219117461120244E-2</v>
      </c>
      <c r="Y16" s="62"/>
      <c r="Z16" s="62"/>
      <c r="AA16" s="62"/>
      <c r="AB16" s="62"/>
    </row>
    <row r="17" spans="1:28" x14ac:dyDescent="0.25">
      <c r="A17" s="44" t="s">
        <v>260</v>
      </c>
      <c r="B17" s="45">
        <f t="shared" ca="1" si="2"/>
        <v>10</v>
      </c>
      <c r="C17" s="1">
        <f>IF(ISERROR(D17),"",IF(D17="","",MAX($C$12:C16)+1))</f>
        <v>5</v>
      </c>
      <c r="D17" t="str">
        <f t="shared" si="3"/>
        <v>Avangrid, Inc.</v>
      </c>
      <c r="E17" s="15"/>
      <c r="F17" s="77">
        <f t="shared" ca="1" si="9"/>
        <v>3.1478901599201053E-2</v>
      </c>
      <c r="G17" s="77">
        <f t="shared" si="4"/>
        <v>3.4645669291338582E-2</v>
      </c>
      <c r="H17" s="77">
        <f t="shared" si="5"/>
        <v>3.5108717334929179E-2</v>
      </c>
      <c r="I17" s="77">
        <f t="shared" si="6"/>
        <v>3.5663627152988854E-2</v>
      </c>
      <c r="J17" s="77">
        <f t="shared" si="7"/>
        <v>3.5765088396667345E-2</v>
      </c>
      <c r="K17" s="77">
        <f t="shared" ca="1" si="8"/>
        <v>3.5692557290610424E-2</v>
      </c>
      <c r="L17" s="77">
        <f t="shared" ca="1" si="8"/>
        <v>3.5679944352380366E-2</v>
      </c>
      <c r="M17" s="77">
        <f t="shared" ca="1" si="8"/>
        <v>3.5415641908509592E-2</v>
      </c>
      <c r="N17" s="77">
        <f t="shared" ca="1" si="8"/>
        <v>3.5338868665385083E-2</v>
      </c>
      <c r="O17" s="77">
        <f ca="1">IFERROR(INDEX(DIV_BV_WP,$B17,O$12),"N/A")</f>
        <v>0</v>
      </c>
      <c r="P17" s="77" t="str">
        <f t="shared" ca="1" si="8"/>
        <v>N/A</v>
      </c>
      <c r="Q17" s="77" t="str">
        <f t="shared" ca="1" si="8"/>
        <v>N/A</v>
      </c>
      <c r="R17" s="77" t="str">
        <f t="shared" ca="1" si="8"/>
        <v>N/A</v>
      </c>
      <c r="S17" s="77" t="str">
        <f t="shared" ca="1" si="8"/>
        <v>N/A</v>
      </c>
      <c r="T17" s="77" t="str">
        <f t="shared" ca="1" si="8"/>
        <v>N/A</v>
      </c>
      <c r="U17" s="77" t="str">
        <f t="shared" ca="1" si="8"/>
        <v>N/A</v>
      </c>
      <c r="V17" s="77" t="str">
        <f t="shared" ca="1" si="8"/>
        <v>N/A</v>
      </c>
      <c r="W17" s="77" t="str">
        <f t="shared" ca="1" si="8"/>
        <v>N/A</v>
      </c>
      <c r="X17" s="77" t="str">
        <f t="shared" ca="1" si="8"/>
        <v>N/A</v>
      </c>
      <c r="Y17" s="62"/>
      <c r="Z17" s="62"/>
      <c r="AA17" s="62"/>
      <c r="AB17" s="62"/>
    </row>
    <row r="18" spans="1:28" x14ac:dyDescent="0.25">
      <c r="A18" s="44" t="s">
        <v>4</v>
      </c>
      <c r="B18" s="45">
        <f t="shared" ca="1" si="2"/>
        <v>11</v>
      </c>
      <c r="C18" s="1">
        <f>IF(ISERROR(D18),"",IF(D18="","",MAX($C$12:C17)+1))</f>
        <v>6</v>
      </c>
      <c r="D18" t="str">
        <f t="shared" si="3"/>
        <v xml:space="preserve">Avista Corp.                  </v>
      </c>
      <c r="E18" s="15"/>
      <c r="F18" s="77">
        <f t="shared" ca="1" si="9"/>
        <v>5.0702508084983638E-2</v>
      </c>
      <c r="G18" s="77">
        <f t="shared" si="4"/>
        <v>5.780710021991832E-2</v>
      </c>
      <c r="H18" s="77">
        <f t="shared" si="5"/>
        <v>5.6500802568218302E-2</v>
      </c>
      <c r="I18" s="77">
        <f t="shared" si="6"/>
        <v>5.6071665560716653E-2</v>
      </c>
      <c r="J18" s="77">
        <f t="shared" si="7"/>
        <v>5.5271238485158657E-2</v>
      </c>
      <c r="K18" s="77">
        <f t="shared" ca="1" si="8"/>
        <v>5.3692670084522658E-2</v>
      </c>
      <c r="L18" s="77">
        <f t="shared" ca="1" si="8"/>
        <v>5.5197451285470843E-2</v>
      </c>
      <c r="M18" s="77">
        <f t="shared" ca="1" si="8"/>
        <v>5.4142056640920797E-2</v>
      </c>
      <c r="N18" s="77">
        <f t="shared" ca="1" si="8"/>
        <v>5.3336447870435261E-2</v>
      </c>
      <c r="O18" s="77">
        <f t="shared" ca="1" si="8"/>
        <v>5.3807272134355127E-2</v>
      </c>
      <c r="P18" s="77">
        <f t="shared" ca="1" si="8"/>
        <v>5.3278516591853002E-2</v>
      </c>
      <c r="Q18" s="77">
        <f t="shared" ca="1" si="8"/>
        <v>5.6455344747801943E-2</v>
      </c>
      <c r="R18" s="77">
        <f t="shared" ca="1" si="8"/>
        <v>5.5088569121907204E-2</v>
      </c>
      <c r="S18" s="77">
        <f t="shared" ca="1" si="8"/>
        <v>5.4200542005420051E-2</v>
      </c>
      <c r="T18" s="77">
        <f t="shared" ca="1" si="8"/>
        <v>5.0738241412552641E-2</v>
      </c>
      <c r="U18" s="77">
        <f t="shared" ca="1" si="8"/>
        <v>4.2251317093526683E-2</v>
      </c>
      <c r="V18" s="77">
        <f t="shared" ca="1" si="8"/>
        <v>3.7713161346742456E-2</v>
      </c>
      <c r="W18" s="77">
        <f t="shared" ca="1" si="8"/>
        <v>3.4444830380919299E-2</v>
      </c>
      <c r="X18" s="77">
        <f t="shared" ca="1" si="8"/>
        <v>3.2647917979265709E-2</v>
      </c>
      <c r="Y18" s="62"/>
      <c r="Z18" s="62"/>
      <c r="AA18" s="62"/>
      <c r="AB18" s="62"/>
    </row>
    <row r="19" spans="1:28" x14ac:dyDescent="0.25">
      <c r="A19" s="44" t="s">
        <v>5</v>
      </c>
      <c r="B19" s="45">
        <f t="shared" ca="1" si="2"/>
        <v>12</v>
      </c>
      <c r="C19" s="1">
        <f>IF(ISERROR(D19),"",IF(D19="","",MAX($C$12:C18)+1))</f>
        <v>7</v>
      </c>
      <c r="D19" t="str">
        <f t="shared" si="3"/>
        <v xml:space="preserve">Black Hills                   </v>
      </c>
      <c r="E19" s="15"/>
      <c r="F19" s="77">
        <f t="shared" ca="1" si="9"/>
        <v>5.3298661112783037E-2</v>
      </c>
      <c r="G19" s="77">
        <f t="shared" si="4"/>
        <v>5.3022269353128315E-2</v>
      </c>
      <c r="H19" s="77">
        <f t="shared" si="5"/>
        <v>5.3189141469874197E-2</v>
      </c>
      <c r="I19" s="77">
        <f t="shared" si="6"/>
        <v>5.3193960511033686E-2</v>
      </c>
      <c r="J19" s="77">
        <f t="shared" si="7"/>
        <v>5.3199313557244422E-2</v>
      </c>
      <c r="K19" s="77">
        <f t="shared" ca="1" si="8"/>
        <v>5.3353460167087412E-2</v>
      </c>
      <c r="L19" s="77">
        <f t="shared" ca="1" si="8"/>
        <v>5.3084687955551886E-2</v>
      </c>
      <c r="M19" s="77">
        <f t="shared" ca="1" si="8"/>
        <v>5.6706037156552522E-2</v>
      </c>
      <c r="N19" s="77">
        <f t="shared" ca="1" si="8"/>
        <v>5.5542698449432999E-2</v>
      </c>
      <c r="O19" s="77">
        <f t="shared" ca="1" si="8"/>
        <v>5.6574122577265587E-2</v>
      </c>
      <c r="P19" s="77">
        <f t="shared" ca="1" si="8"/>
        <v>5.0644417751517706E-2</v>
      </c>
      <c r="Q19" s="77">
        <f t="shared" ca="1" si="8"/>
        <v>5.1721791207295489E-2</v>
      </c>
      <c r="R19" s="77">
        <f t="shared" ca="1" si="8"/>
        <v>5.3082744521358631E-2</v>
      </c>
      <c r="S19" s="77">
        <f t="shared" ca="1" si="8"/>
        <v>5.3029202382681967E-2</v>
      </c>
      <c r="T19" s="77">
        <f t="shared" ca="1" si="8"/>
        <v>5.1393697134087583E-2</v>
      </c>
      <c r="U19" s="77">
        <f t="shared" ca="1" si="8"/>
        <v>5.1007579295233307E-2</v>
      </c>
      <c r="V19" s="77">
        <f t="shared" ca="1" si="8"/>
        <v>5.1487624581663047E-2</v>
      </c>
      <c r="W19" s="77">
        <f t="shared" ca="1" si="8"/>
        <v>5.3390491036632896E-2</v>
      </c>
      <c r="X19" s="77">
        <f t="shared" ca="1" si="8"/>
        <v>5.5752660922453123E-2</v>
      </c>
      <c r="Y19" s="62"/>
      <c r="Z19" s="62"/>
      <c r="AA19" s="62"/>
      <c r="AB19" s="62"/>
    </row>
    <row r="20" spans="1:28" x14ac:dyDescent="0.25">
      <c r="A20" s="44" t="s">
        <v>6</v>
      </c>
      <c r="B20" s="45">
        <f t="shared" ca="1" si="2"/>
        <v>14</v>
      </c>
      <c r="C20" s="1">
        <f>IF(ISERROR(D20),"",IF(D20="","",MAX($C$12:C19)+1))</f>
        <v>8</v>
      </c>
      <c r="D20" t="str">
        <f t="shared" si="3"/>
        <v xml:space="preserve">CenterPoint Energy            </v>
      </c>
      <c r="E20" s="15"/>
      <c r="F20" s="77">
        <f t="shared" ca="1" si="9"/>
        <v>9.3078164447056938E-2</v>
      </c>
      <c r="G20" s="77">
        <f t="shared" si="4"/>
        <v>4.960835509138381E-2</v>
      </c>
      <c r="H20" s="77">
        <f t="shared" si="5"/>
        <v>4.9046321525885561E-2</v>
      </c>
      <c r="I20" s="77">
        <f t="shared" si="6"/>
        <v>4.817518248175183E-2</v>
      </c>
      <c r="J20" s="77">
        <f t="shared" si="7"/>
        <v>8.3487940630797786E-2</v>
      </c>
      <c r="K20" s="77">
        <f t="shared" ca="1" si="8"/>
        <v>6.5862779516141348E-2</v>
      </c>
      <c r="L20" s="77">
        <f t="shared" ca="1" si="8"/>
        <v>8.9385474860335212E-2</v>
      </c>
      <c r="M20" s="77">
        <f t="shared" ca="1" si="8"/>
        <v>0.12394262596542847</v>
      </c>
      <c r="N20" s="77">
        <f t="shared" ca="1" si="8"/>
        <v>0.12820512820512819</v>
      </c>
      <c r="O20" s="77">
        <f t="shared" ca="1" si="8"/>
        <v>0.12299664554603057</v>
      </c>
      <c r="P20" s="77">
        <f t="shared" ca="1" si="8"/>
        <v>8.9614187340816887E-2</v>
      </c>
      <c r="Q20" s="77">
        <f t="shared" ca="1" si="8"/>
        <v>8.2251511247646417E-2</v>
      </c>
      <c r="R20" s="77">
        <f t="shared" ca="1" si="8"/>
        <v>8.050089445438284E-2</v>
      </c>
      <c r="S20" s="77">
        <f t="shared" ca="1" si="8"/>
        <v>7.9717457114026238E-2</v>
      </c>
      <c r="T20" s="77">
        <f t="shared" ca="1" si="8"/>
        <v>0.10358565737051793</v>
      </c>
      <c r="U20" s="77">
        <f t="shared" ca="1" si="8"/>
        <v>0.11282660332541568</v>
      </c>
      <c r="V20" s="77">
        <f t="shared" ca="1" si="8"/>
        <v>0.12402310567448181</v>
      </c>
      <c r="W20" s="77">
        <f t="shared" ca="1" si="8"/>
        <v>0.12123373150294171</v>
      </c>
      <c r="X20" s="77">
        <f t="shared" ca="1" si="8"/>
        <v>0.12094335819391251</v>
      </c>
      <c r="Y20" s="62"/>
      <c r="Z20" s="62"/>
      <c r="AA20" s="62"/>
      <c r="AB20" s="62"/>
    </row>
    <row r="21" spans="1:28" x14ac:dyDescent="0.25">
      <c r="A21" s="44" t="s">
        <v>9</v>
      </c>
      <c r="B21" s="45">
        <f t="shared" ca="1" si="2"/>
        <v>18</v>
      </c>
      <c r="C21" s="1">
        <f>IF(ISERROR(D21),"",IF(D21="","",MAX($C$12:C20)+1))</f>
        <v>9</v>
      </c>
      <c r="D21" t="str">
        <f t="shared" si="3"/>
        <v xml:space="preserve">CMS Energy Corp.              </v>
      </c>
      <c r="E21" s="15"/>
      <c r="F21" s="77">
        <f t="shared" ca="1" si="9"/>
        <v>6.7074946197585111E-2</v>
      </c>
      <c r="G21" s="77">
        <f t="shared" si="4"/>
        <v>7.8439259855189056E-2</v>
      </c>
      <c r="H21" s="77">
        <f t="shared" si="5"/>
        <v>7.8902229845626073E-2</v>
      </c>
      <c r="I21" s="77">
        <f t="shared" si="6"/>
        <v>7.8697421981004073E-2</v>
      </c>
      <c r="J21" s="77">
        <f t="shared" si="7"/>
        <v>8.5699263932702413E-2</v>
      </c>
      <c r="K21" s="77">
        <f t="shared" ca="1" si="8"/>
        <v>8.6553148158624207E-2</v>
      </c>
      <c r="L21" s="77">
        <f t="shared" ca="1" si="8"/>
        <v>8.5220500595947546E-2</v>
      </c>
      <c r="M21" s="77">
        <f t="shared" ca="1" si="8"/>
        <v>8.4348046676813795E-2</v>
      </c>
      <c r="N21" s="77">
        <f t="shared" ca="1" si="8"/>
        <v>8.1407563025210086E-2</v>
      </c>
      <c r="O21" s="77">
        <f t="shared" ca="1" si="8"/>
        <v>8.1644144144144143E-2</v>
      </c>
      <c r="P21" s="77">
        <f t="shared" ca="1" si="8"/>
        <v>8.0983803239352128E-2</v>
      </c>
      <c r="Q21" s="77">
        <f t="shared" ca="1" si="8"/>
        <v>7.8582434514637908E-2</v>
      </c>
      <c r="R21" s="77">
        <f t="shared" ca="1" si="8"/>
        <v>7.9378204068132965E-2</v>
      </c>
      <c r="S21" s="77">
        <f t="shared" ca="1" si="8"/>
        <v>7.0487538810103209E-2</v>
      </c>
      <c r="T21" s="77">
        <f t="shared" ca="1" si="8"/>
        <v>5.8981233243967833E-2</v>
      </c>
      <c r="U21" s="77">
        <f t="shared" ca="1" si="8"/>
        <v>4.3790506218251889E-2</v>
      </c>
      <c r="V21" s="77">
        <f t="shared" ca="1" si="8"/>
        <v>3.3094318808604521E-2</v>
      </c>
      <c r="W21" s="77">
        <f t="shared" ca="1" si="8"/>
        <v>2.1139414438220063E-2</v>
      </c>
      <c r="X21" s="77">
        <f t="shared" ca="1" si="8"/>
        <v>0</v>
      </c>
      <c r="Y21" s="62"/>
      <c r="Z21" s="62"/>
      <c r="AA21" s="62"/>
      <c r="AB21" s="62"/>
    </row>
    <row r="22" spans="1:28" x14ac:dyDescent="0.25">
      <c r="A22" s="44" t="s">
        <v>10</v>
      </c>
      <c r="B22" s="45">
        <f t="shared" ca="1" si="2"/>
        <v>20</v>
      </c>
      <c r="C22" s="1">
        <f>IF(ISERROR(D22),"",IF(D22="","",MAX($C$12:C21)+1))</f>
        <v>10</v>
      </c>
      <c r="D22" t="str">
        <f t="shared" si="3"/>
        <v xml:space="preserve">Consol. Edison                </v>
      </c>
      <c r="E22" s="15"/>
      <c r="F22" s="77">
        <f t="shared" ca="1" si="9"/>
        <v>5.9746260448268446E-2</v>
      </c>
      <c r="G22" s="77">
        <f t="shared" si="4"/>
        <v>5.2897959183673474E-2</v>
      </c>
      <c r="H22" s="77">
        <f t="shared" si="5"/>
        <v>5.4221002059025393E-2</v>
      </c>
      <c r="I22" s="77">
        <f t="shared" si="6"/>
        <v>5.4770318021201414E-2</v>
      </c>
      <c r="J22" s="77">
        <f t="shared" si="7"/>
        <v>5.5575735561205958E-2</v>
      </c>
      <c r="K22" s="77">
        <f t="shared" ca="1" si="8"/>
        <v>5.4632705795496492E-2</v>
      </c>
      <c r="L22" s="77">
        <f t="shared" ca="1" si="8"/>
        <v>5.4888112693355848E-2</v>
      </c>
      <c r="M22" s="77">
        <f t="shared" ca="1" si="8"/>
        <v>5.5494118829797927E-2</v>
      </c>
      <c r="N22" s="77">
        <f t="shared" ca="1" si="8"/>
        <v>5.7168454958510216E-2</v>
      </c>
      <c r="O22" s="77">
        <f t="shared" ca="1" si="8"/>
        <v>5.8366632245319447E-2</v>
      </c>
      <c r="P22" s="77">
        <f t="shared" ca="1" si="8"/>
        <v>5.8686539357242669E-2</v>
      </c>
      <c r="Q22" s="77">
        <f t="shared" ca="1" si="8"/>
        <v>5.8837598660607504E-2</v>
      </c>
      <c r="R22" s="77">
        <f t="shared" ca="1" si="8"/>
        <v>5.9714751024033945E-2</v>
      </c>
      <c r="S22" s="77">
        <f t="shared" ca="1" si="8"/>
        <v>6.1465963222865336E-2</v>
      </c>
      <c r="T22" s="77">
        <f t="shared" ca="1" si="8"/>
        <v>6.2747165831795404E-2</v>
      </c>
      <c r="U22" s="77">
        <f t="shared" ca="1" si="8"/>
        <v>6.4733795978824366E-2</v>
      </c>
      <c r="V22" s="77">
        <f t="shared" ca="1" si="8"/>
        <v>6.6045723962743441E-2</v>
      </c>
      <c r="W22" s="77">
        <f t="shared" ca="1" si="8"/>
        <v>7.1204959793751146E-2</v>
      </c>
      <c r="X22" s="77">
        <f t="shared" ca="1" si="8"/>
        <v>7.3981150889382091E-2</v>
      </c>
      <c r="Y22" s="62"/>
      <c r="Z22" s="62"/>
      <c r="AA22" s="62"/>
      <c r="AB22" s="62"/>
    </row>
    <row r="23" spans="1:28" x14ac:dyDescent="0.25">
      <c r="A23" s="44" t="s">
        <v>11</v>
      </c>
      <c r="B23" s="45">
        <f t="shared" ca="1" si="2"/>
        <v>22</v>
      </c>
      <c r="C23" s="1">
        <f>IF(ISERROR(D23),"",IF(D23="","",MAX($C$12:C22)+1))</f>
        <v>11</v>
      </c>
      <c r="D23" t="str">
        <f t="shared" si="3"/>
        <v xml:space="preserve">Dominion Resources            </v>
      </c>
      <c r="E23" s="15"/>
      <c r="F23" s="77">
        <f t="shared" ca="1" si="9"/>
        <v>0.10155021191063118</v>
      </c>
      <c r="G23" s="77">
        <f t="shared" si="4"/>
        <v>8.69140625E-2</v>
      </c>
      <c r="H23" s="77">
        <f t="shared" si="5"/>
        <v>8.5412667946257195E-2</v>
      </c>
      <c r="I23" s="77">
        <f t="shared" si="6"/>
        <v>0.08</v>
      </c>
      <c r="J23" s="77">
        <f t="shared" si="7"/>
        <v>0.1171875</v>
      </c>
      <c r="K23" s="77">
        <f t="shared" ca="1" si="8"/>
        <v>0.10387478418386119</v>
      </c>
      <c r="L23" s="77">
        <f t="shared" ca="1" si="8"/>
        <v>0.11310531662715881</v>
      </c>
      <c r="M23" s="77">
        <f t="shared" ca="1" si="8"/>
        <v>0.11412777798668823</v>
      </c>
      <c r="N23" s="77">
        <f t="shared" ca="1" si="8"/>
        <v>0.12035763411279229</v>
      </c>
      <c r="O23" s="77">
        <f t="shared" ca="1" si="8"/>
        <v>0.12195121951219512</v>
      </c>
      <c r="P23" s="77">
        <f t="shared" ca="1" si="8"/>
        <v>0.12156823016918245</v>
      </c>
      <c r="Q23" s="77">
        <f t="shared" ca="1" si="8"/>
        <v>0.11238199890115379</v>
      </c>
      <c r="R23" s="77">
        <f t="shared" ca="1" si="8"/>
        <v>0.11502398604448319</v>
      </c>
      <c r="S23" s="77">
        <f t="shared" ca="1" si="8"/>
        <v>9.8053854959932296E-2</v>
      </c>
      <c r="T23" s="77">
        <f t="shared" ca="1" si="8"/>
        <v>8.8594113090627424E-2</v>
      </c>
      <c r="U23" s="77">
        <f t="shared" ca="1" si="8"/>
        <v>9.3783494105037515E-2</v>
      </c>
      <c r="V23" s="77">
        <f t="shared" ca="1" si="8"/>
        <v>9.1440476879449048E-2</v>
      </c>
      <c r="W23" s="77">
        <f t="shared" ca="1" si="8"/>
        <v>8.9532102777948125E-2</v>
      </c>
      <c r="X23" s="77">
        <f t="shared" ca="1" si="8"/>
        <v>7.4594594594594582E-2</v>
      </c>
      <c r="Y23" s="62"/>
      <c r="Z23" s="62"/>
      <c r="AA23" s="62"/>
      <c r="AB23" s="62"/>
    </row>
    <row r="24" spans="1:28" x14ac:dyDescent="0.25">
      <c r="A24" s="44" t="s">
        <v>12</v>
      </c>
      <c r="B24" s="45">
        <f t="shared" ca="1" si="2"/>
        <v>23</v>
      </c>
      <c r="C24" s="1">
        <f>IF(ISERROR(D24),"",IF(D24="","",MAX($C$12:C23)+1))</f>
        <v>12</v>
      </c>
      <c r="D24" t="str">
        <f t="shared" si="3"/>
        <v xml:space="preserve">DTE Energy                    </v>
      </c>
      <c r="E24" s="15"/>
      <c r="F24" s="77">
        <f t="shared" ca="1" si="9"/>
        <v>6.2618403852808147E-2</v>
      </c>
      <c r="G24" s="77">
        <f t="shared" si="4"/>
        <v>7.2455648926237168E-2</v>
      </c>
      <c r="H24" s="77">
        <f t="shared" si="5"/>
        <v>7.6375404530744331E-2</v>
      </c>
      <c r="I24" s="77">
        <f t="shared" si="6"/>
        <v>8.6356554640551975E-2</v>
      </c>
      <c r="J24" s="77">
        <f t="shared" si="7"/>
        <v>6.4254522769806616E-2</v>
      </c>
      <c r="K24" s="77">
        <f t="shared" ca="1" si="8"/>
        <v>6.339953232552778E-2</v>
      </c>
      <c r="L24" s="77">
        <f t="shared" ca="1" si="8"/>
        <v>6.379953794206504E-2</v>
      </c>
      <c r="M24" s="77">
        <f t="shared" ca="1" si="8"/>
        <v>6.3366336633663367E-2</v>
      </c>
      <c r="N24" s="77">
        <f t="shared" ca="1" si="8"/>
        <v>6.0933112965212366E-2</v>
      </c>
      <c r="O24" s="77">
        <f t="shared" ca="1" si="8"/>
        <v>5.8105039179982401E-2</v>
      </c>
      <c r="P24" s="77">
        <f t="shared" ca="1" si="8"/>
        <v>5.7175650399591903E-2</v>
      </c>
      <c r="Q24" s="77">
        <f t="shared" ca="1" si="8"/>
        <v>5.7904267924612667E-2</v>
      </c>
      <c r="R24" s="77">
        <f t="shared" ca="1" si="8"/>
        <v>5.6569812291077388E-2</v>
      </c>
      <c r="S24" s="77">
        <f t="shared" ca="1" si="8"/>
        <v>5.6021056190085239E-2</v>
      </c>
      <c r="T24" s="77">
        <f t="shared" ca="1" si="8"/>
        <v>5.4946439823566486E-2</v>
      </c>
      <c r="U24" s="77">
        <f t="shared" ca="1" si="8"/>
        <v>5.5854146906944881E-2</v>
      </c>
      <c r="V24" s="77">
        <f t="shared" ca="1" si="8"/>
        <v>5.7647858599592122E-2</v>
      </c>
      <c r="W24" s="77">
        <f t="shared" ca="1" si="8"/>
        <v>5.9123741528850714E-2</v>
      </c>
      <c r="X24" s="77">
        <f t="shared" ca="1" si="8"/>
        <v>6.2842605772434057E-2</v>
      </c>
      <c r="Y24" s="62"/>
      <c r="Z24" s="62"/>
      <c r="AA24" s="62"/>
      <c r="AB24" s="62"/>
    </row>
    <row r="25" spans="1:28" x14ac:dyDescent="0.25">
      <c r="A25" s="44" t="s">
        <v>13</v>
      </c>
      <c r="B25" s="45">
        <f t="shared" ca="1" si="2"/>
        <v>24</v>
      </c>
      <c r="C25" s="1">
        <f>IF(ISERROR(D25),"",IF(D25="","",MAX($C$12:C24)+1))</f>
        <v>13</v>
      </c>
      <c r="D25" t="str">
        <f t="shared" si="3"/>
        <v xml:space="preserve">Duke Energy                   </v>
      </c>
      <c r="E25" s="15"/>
      <c r="F25" s="77">
        <f t="shared" ca="1" si="9"/>
        <v>5.4793650991731772E-2</v>
      </c>
      <c r="G25" s="77">
        <f t="shared" si="4"/>
        <v>6.3736263736263732E-2</v>
      </c>
      <c r="H25" s="77">
        <f t="shared" si="5"/>
        <v>6.470492602828809E-2</v>
      </c>
      <c r="I25" s="77">
        <f t="shared" si="6"/>
        <v>6.3363119415109664E-2</v>
      </c>
      <c r="J25" s="77">
        <f t="shared" si="7"/>
        <v>6.3858241390839177E-2</v>
      </c>
      <c r="K25" s="77">
        <f t="shared" ca="1" si="8"/>
        <v>6.1191810591330206E-2</v>
      </c>
      <c r="L25" s="77">
        <f t="shared" ca="1" si="8"/>
        <v>6.0393887607638835E-2</v>
      </c>
      <c r="M25" s="77">
        <f t="shared" ca="1" si="8"/>
        <v>5.8530531470642494E-2</v>
      </c>
      <c r="N25" s="77">
        <f t="shared" ca="1" si="8"/>
        <v>5.7319299203329975E-2</v>
      </c>
      <c r="O25" s="77">
        <f t="shared" ca="1" si="8"/>
        <v>5.6110697400550719E-2</v>
      </c>
      <c r="P25" s="77">
        <f t="shared" ca="1" si="8"/>
        <v>5.4484130415982011E-2</v>
      </c>
      <c r="Q25" s="77">
        <f t="shared" ca="1" si="8"/>
        <v>5.2783519242923765E-2</v>
      </c>
      <c r="R25" s="77">
        <f t="shared" ca="1" si="8"/>
        <v>5.220177796154641E-2</v>
      </c>
      <c r="S25" s="77">
        <f t="shared" ca="1" si="8"/>
        <v>5.8075870160344156E-2</v>
      </c>
      <c r="T25" s="77">
        <f t="shared" ca="1" si="8"/>
        <v>5.7232766250368772E-2</v>
      </c>
      <c r="U25" s="77">
        <f t="shared" ca="1" si="8"/>
        <v>5.6567439621278984E-2</v>
      </c>
      <c r="V25" s="77">
        <f t="shared" ca="1" si="8"/>
        <v>5.4539945460054542E-2</v>
      </c>
      <c r="W25" s="77">
        <f t="shared" ca="1" si="8"/>
        <v>5.1191491894680453E-2</v>
      </c>
      <c r="X25" s="77">
        <f t="shared" ca="1" si="8"/>
        <v>0</v>
      </c>
      <c r="Y25" s="62"/>
      <c r="Z25" s="62"/>
      <c r="AA25" s="62"/>
      <c r="AB25" s="62"/>
    </row>
    <row r="26" spans="1:28" x14ac:dyDescent="0.25">
      <c r="A26" s="44" t="s">
        <v>14</v>
      </c>
      <c r="B26" s="45">
        <f t="shared" ca="1" si="2"/>
        <v>25</v>
      </c>
      <c r="C26" s="1">
        <f>IF(ISERROR(D26),"",IF(D26="","",MAX($C$12:C25)+1))</f>
        <v>14</v>
      </c>
      <c r="D26" t="str">
        <f t="shared" si="3"/>
        <v xml:space="preserve">Edison Int'l                  </v>
      </c>
      <c r="E26" s="15"/>
      <c r="F26" s="77">
        <f t="shared" ca="1" si="9"/>
        <v>5.6519284096469939E-2</v>
      </c>
      <c r="G26" s="77">
        <f t="shared" si="4"/>
        <v>8.3009439200444193E-2</v>
      </c>
      <c r="H26" s="77">
        <f t="shared" si="5"/>
        <v>9.2447916666666671E-2</v>
      </c>
      <c r="I26" s="77">
        <f t="shared" si="6"/>
        <v>7.3557560842220399E-2</v>
      </c>
      <c r="J26" s="77">
        <f t="shared" si="7"/>
        <v>6.9579288025889974E-2</v>
      </c>
      <c r="K26" s="77">
        <f t="shared" ca="1" si="8"/>
        <v>6.7346938775510207E-2</v>
      </c>
      <c r="L26" s="77">
        <f t="shared" ca="1" si="8"/>
        <v>7.5636273013301766E-2</v>
      </c>
      <c r="M26" s="77">
        <f t="shared" ca="1" si="8"/>
        <v>6.2337734848273367E-2</v>
      </c>
      <c r="N26" s="77">
        <f t="shared" ca="1" si="8"/>
        <v>5.3858062413427846E-2</v>
      </c>
      <c r="O26" s="77">
        <f t="shared" ca="1" si="8"/>
        <v>4.9668969075119661E-2</v>
      </c>
      <c r="P26" s="77">
        <f t="shared" ca="1" si="8"/>
        <v>4.4085733820862685E-2</v>
      </c>
      <c r="Q26" s="77">
        <f t="shared" ca="1" si="8"/>
        <v>4.4849518064389228E-2</v>
      </c>
      <c r="R26" s="77">
        <f t="shared" ca="1" si="8"/>
        <v>4.5355625410204145E-2</v>
      </c>
      <c r="S26" s="77">
        <f t="shared" ca="1" si="8"/>
        <v>4.1638313729302351E-2</v>
      </c>
      <c r="T26" s="77">
        <f t="shared" ca="1" si="8"/>
        <v>3.899266383083657E-2</v>
      </c>
      <c r="U26" s="77">
        <f t="shared" ca="1" si="8"/>
        <v>4.1218341334216195E-2</v>
      </c>
      <c r="V26" s="77">
        <f t="shared" ca="1" si="8"/>
        <v>4.193769257103732E-2</v>
      </c>
      <c r="W26" s="77">
        <f t="shared" ca="1" si="8"/>
        <v>4.5337037465756069E-2</v>
      </c>
      <c r="X26" s="77">
        <f t="shared" ca="1" si="8"/>
        <v>4.6490004649000466E-2</v>
      </c>
      <c r="Y26" s="62"/>
      <c r="Z26" s="62"/>
      <c r="AA26" s="62"/>
      <c r="AB26" s="62"/>
    </row>
    <row r="27" spans="1:28" x14ac:dyDescent="0.25">
      <c r="A27" s="44" t="s">
        <v>15</v>
      </c>
      <c r="B27" s="45">
        <f t="shared" ca="1" si="2"/>
        <v>26</v>
      </c>
      <c r="C27" s="1">
        <f>IF(ISERROR(D27),"",IF(D27="","",MAX($C$12:C26)+1))</f>
        <v>15</v>
      </c>
      <c r="D27" t="str">
        <f t="shared" si="3"/>
        <v xml:space="preserve">El Paso Electric              </v>
      </c>
      <c r="E27" s="15"/>
      <c r="F27" s="77">
        <f t="shared" ca="1" si="9"/>
        <v>2.9415023208931034E-2</v>
      </c>
      <c r="G27" s="77" t="str">
        <f t="shared" si="4"/>
        <v>N/A</v>
      </c>
      <c r="H27" s="77" t="str">
        <f t="shared" si="5"/>
        <v>N/A</v>
      </c>
      <c r="I27" s="77" t="str">
        <f t="shared" si="6"/>
        <v>N/A</v>
      </c>
      <c r="J27" s="77">
        <f t="shared" si="7"/>
        <v>5.1347068145800319E-2</v>
      </c>
      <c r="K27" s="77" t="str">
        <f t="shared" ca="1" si="8"/>
        <v>N/A</v>
      </c>
      <c r="L27" s="77">
        <f t="shared" ca="1" si="8"/>
        <v>4.9449589376201294E-2</v>
      </c>
      <c r="M27" s="77">
        <f t="shared" ca="1" si="8"/>
        <v>4.67256511388267E-2</v>
      </c>
      <c r="N27" s="77">
        <f t="shared" ca="1" si="8"/>
        <v>4.6196779424520121E-2</v>
      </c>
      <c r="O27" s="77">
        <f t="shared" ca="1" si="8"/>
        <v>4.6349711557589018E-2</v>
      </c>
      <c r="P27" s="77">
        <f t="shared" ca="1" si="8"/>
        <v>4.5307310672844318E-2</v>
      </c>
      <c r="Q27" s="77">
        <f t="shared" ca="1" si="8"/>
        <v>4.4581911262798632E-2</v>
      </c>
      <c r="R27" s="77">
        <f t="shared" ca="1" si="8"/>
        <v>4.7162930908737292E-2</v>
      </c>
      <c r="S27" s="77">
        <f t="shared" ca="1" si="8"/>
        <v>3.468937243771681E-2</v>
      </c>
      <c r="T27" s="77">
        <f t="shared" ca="1" si="8"/>
        <v>0</v>
      </c>
      <c r="U27" s="77">
        <f t="shared" ca="1" si="8"/>
        <v>0</v>
      </c>
      <c r="V27" s="77">
        <f t="shared" ca="1" si="8"/>
        <v>0</v>
      </c>
      <c r="W27" s="77">
        <f t="shared" ca="1" si="8"/>
        <v>0</v>
      </c>
      <c r="X27" s="77">
        <f t="shared" ca="1" si="8"/>
        <v>0</v>
      </c>
      <c r="Y27" s="62"/>
      <c r="Z27" s="62"/>
      <c r="AA27" s="62"/>
      <c r="AB27" s="62"/>
    </row>
    <row r="28" spans="1:28" x14ac:dyDescent="0.25">
      <c r="A28" s="44" t="s">
        <v>17</v>
      </c>
      <c r="B28" s="45">
        <f t="shared" ca="1" si="2"/>
        <v>28</v>
      </c>
      <c r="C28" s="1">
        <f>IF(ISERROR(D28),"",IF(D28="","",MAX($C$12:C27)+1))</f>
        <v>16</v>
      </c>
      <c r="D28" t="str">
        <f t="shared" si="3"/>
        <v xml:space="preserve">Entergy Corp.                 </v>
      </c>
      <c r="E28" s="15"/>
      <c r="F28" s="77">
        <f t="shared" ca="1" si="9"/>
        <v>6.69628200737446E-2</v>
      </c>
      <c r="G28" s="77">
        <f t="shared" si="4"/>
        <v>6.317321688500728E-2</v>
      </c>
      <c r="H28" s="77">
        <f t="shared" si="5"/>
        <v>6.6775244299674269E-2</v>
      </c>
      <c r="I28" s="77">
        <f t="shared" si="6"/>
        <v>6.7223963775687914E-2</v>
      </c>
      <c r="J28" s="77">
        <f t="shared" si="7"/>
        <v>6.8548387096774188E-2</v>
      </c>
      <c r="K28" s="77">
        <f t="shared" ca="1" si="8"/>
        <v>7.1293608898065727E-2</v>
      </c>
      <c r="L28" s="77">
        <f t="shared" ca="1" si="8"/>
        <v>7.652679506637311E-2</v>
      </c>
      <c r="M28" s="77">
        <f t="shared" ca="1" si="8"/>
        <v>7.904959797633028E-2</v>
      </c>
      <c r="N28" s="77">
        <f t="shared" ca="1" si="8"/>
        <v>7.580291242768801E-2</v>
      </c>
      <c r="O28" s="77">
        <f t="shared" ca="1" si="8"/>
        <v>6.4365689618623656E-2</v>
      </c>
      <c r="P28" s="77">
        <f t="shared" ca="1" si="8"/>
        <v>5.9461976573414045E-2</v>
      </c>
      <c r="Q28" s="77">
        <f t="shared" ca="1" si="8"/>
        <v>6.1479204473908367E-2</v>
      </c>
      <c r="R28" s="77">
        <f t="shared" ca="1" si="8"/>
        <v>6.4185596906718212E-2</v>
      </c>
      <c r="S28" s="77">
        <f t="shared" ca="1" si="8"/>
        <v>6.5336324634943127E-2</v>
      </c>
      <c r="T28" s="77">
        <f t="shared" ca="1" si="8"/>
        <v>6.8163170849725452E-2</v>
      </c>
      <c r="U28" s="77">
        <f t="shared" ca="1" si="8"/>
        <v>6.5868920847513446E-2</v>
      </c>
      <c r="V28" s="77">
        <f t="shared" ca="1" si="8"/>
        <v>7.1308026906895486E-2</v>
      </c>
      <c r="W28" s="77">
        <f t="shared" ca="1" si="8"/>
        <v>6.3368865746426292E-2</v>
      </c>
      <c r="X28" s="77">
        <f t="shared" ca="1" si="8"/>
        <v>5.3399258343634119E-2</v>
      </c>
      <c r="Y28" s="62"/>
      <c r="Z28" s="62"/>
      <c r="AA28" s="62"/>
      <c r="AB28" s="62"/>
    </row>
    <row r="29" spans="1:28" x14ac:dyDescent="0.25">
      <c r="A29" s="44" t="s">
        <v>211</v>
      </c>
      <c r="B29" s="45">
        <f t="shared" ca="1" si="2"/>
        <v>29</v>
      </c>
      <c r="C29" s="1">
        <f>IF(ISERROR(D29),"",IF(D29="","",MAX($C$12:C28)+1))</f>
        <v>17</v>
      </c>
      <c r="D29" t="str">
        <f t="shared" si="3"/>
        <v xml:space="preserve">Eversource Energy    </v>
      </c>
      <c r="E29" s="15"/>
      <c r="F29" s="77">
        <f t="shared" ca="1" si="9"/>
        <v>5.0870723084291941E-2</v>
      </c>
      <c r="G29" s="77">
        <f t="shared" si="4"/>
        <v>6.6584463625154133E-2</v>
      </c>
      <c r="H29" s="77">
        <f t="shared" si="5"/>
        <v>5.7419500112587257E-2</v>
      </c>
      <c r="I29" s="77">
        <f t="shared" si="6"/>
        <v>5.6853031375324374E-2</v>
      </c>
      <c r="J29" s="77">
        <f t="shared" si="7"/>
        <v>5.5352353084613511E-2</v>
      </c>
      <c r="K29" s="77">
        <f t="shared" ref="K29:K57" ca="1" si="10">IFERROR(INDEX(DIV_BV_WP,$B29,K$12),"N/A")</f>
        <v>5.5893645362655738E-2</v>
      </c>
      <c r="L29" s="77">
        <f t="shared" ref="L29:L57" ca="1" si="11">IFERROR(INDEX(DIV_BV_WP,$B29,L$12),"N/A")</f>
        <v>5.5725675191039749E-2</v>
      </c>
      <c r="M29" s="77">
        <f t="shared" ref="M29:M53" ca="1" si="12">IFERROR(INDEX(DIV_BV_WP,$B29,M$12),"N/A")</f>
        <v>5.4308989566957268E-2</v>
      </c>
      <c r="N29" s="77">
        <f t="shared" ref="N29:N57" ca="1" si="13">IFERROR(INDEX(DIV_BV_WP,$B29,N$12),"N/A")</f>
        <v>5.2658048102239452E-2</v>
      </c>
      <c r="O29" s="77">
        <f t="shared" ref="O29:X44" ca="1" si="14">IFERROR(INDEX(DIV_BV_WP,$B29,O$12),"N/A")</f>
        <v>5.1168918711891408E-2</v>
      </c>
      <c r="P29" s="77">
        <f t="shared" ca="1" si="14"/>
        <v>4.988244265107708E-2</v>
      </c>
      <c r="Q29" s="77">
        <f t="shared" ca="1" si="14"/>
        <v>4.8218854556189725E-2</v>
      </c>
      <c r="R29" s="77">
        <f t="shared" ca="1" si="14"/>
        <v>4.4879640962872301E-2</v>
      </c>
      <c r="S29" s="77">
        <f t="shared" ca="1" si="14"/>
        <v>4.8565121412803537E-2</v>
      </c>
      <c r="T29" s="77">
        <f t="shared" ca="1" si="14"/>
        <v>4.7455900736145189E-2</v>
      </c>
      <c r="U29" s="77">
        <f t="shared" ca="1" si="14"/>
        <v>4.6630344082854755E-2</v>
      </c>
      <c r="V29" s="77">
        <f t="shared" ca="1" si="14"/>
        <v>4.2565266742338244E-2</v>
      </c>
      <c r="W29" s="77">
        <f t="shared" ca="1" si="14"/>
        <v>4.1550503967402959E-2</v>
      </c>
      <c r="X29" s="77">
        <f t="shared" ca="1" si="14"/>
        <v>3.9960315273108081E-2</v>
      </c>
      <c r="Y29" s="62"/>
      <c r="Z29" s="62"/>
      <c r="AA29" s="62"/>
      <c r="AB29" s="62"/>
    </row>
    <row r="30" spans="1:28" x14ac:dyDescent="0.25">
      <c r="A30" s="44" t="s">
        <v>447</v>
      </c>
      <c r="B30" s="45">
        <f ca="1">IFERROR(MATCH(A30,OFFSET(DIV_BV_WP,0,0,,1),0),"")</f>
        <v>30</v>
      </c>
      <c r="C30" s="1">
        <f>IF(ISERROR(D30),"",IF(D30="","",MAX($C$12:C29)+1))</f>
        <v>18</v>
      </c>
      <c r="D30" t="str">
        <f t="shared" si="3"/>
        <v>Evergy, Inc.</v>
      </c>
      <c r="E30" s="15"/>
      <c r="F30" s="77">
        <f t="shared" ca="1" si="9"/>
        <v>5.5263892107931666E-2</v>
      </c>
      <c r="G30" s="77">
        <f t="shared" si="4"/>
        <v>5.8079625292740043E-2</v>
      </c>
      <c r="H30" s="77">
        <f t="shared" si="5"/>
        <v>5.5661729574773056E-2</v>
      </c>
      <c r="I30" s="77">
        <f t="shared" si="6"/>
        <v>5.406746031746032E-2</v>
      </c>
      <c r="J30" s="77">
        <f t="shared" si="7"/>
        <v>5.3246753246753244E-2</v>
      </c>
      <c r="K30" s="77" t="str">
        <f t="shared" ca="1" si="10"/>
        <v>N/A</v>
      </c>
      <c r="L30" s="77" t="str">
        <f t="shared" ca="1" si="11"/>
        <v>N/A</v>
      </c>
      <c r="M30" s="77" t="str">
        <f t="shared" ca="1" si="12"/>
        <v>N/A</v>
      </c>
      <c r="N30" s="77" t="str">
        <f ca="1">IFERROR(VLOOKUP($A30,LASTYR,'2017'!$N$3,FALSE),"N/A")</f>
        <v>N/A</v>
      </c>
      <c r="O30" s="77" t="str">
        <f ca="1">IFERROR(VLOOKUP($A30,LASTYR,'2017'!$N$3,FALSE),"N/A")</f>
        <v>N/A</v>
      </c>
      <c r="P30" s="77" t="str">
        <f ca="1">IFERROR(VLOOKUP($A30,LASTYR,'2017'!$N$3,FALSE),"N/A")</f>
        <v>N/A</v>
      </c>
      <c r="Q30" s="77" t="str">
        <f ca="1">IFERROR(VLOOKUP($A30,LASTYR,'2017'!$N$3,FALSE),"N/A")</f>
        <v>N/A</v>
      </c>
      <c r="R30" s="77" t="str">
        <f ca="1">IFERROR(VLOOKUP($A30,LASTYR,'2017'!$N$3,FALSE),"N/A")</f>
        <v>N/A</v>
      </c>
      <c r="S30" s="77" t="str">
        <f ca="1">IFERROR(VLOOKUP($A30,LASTYR,'2017'!$N$3,FALSE),"N/A")</f>
        <v>N/A</v>
      </c>
      <c r="T30" s="77" t="str">
        <f ca="1">IFERROR(VLOOKUP($A30,LASTYR,'2017'!$N$3,FALSE),"N/A")</f>
        <v>N/A</v>
      </c>
      <c r="U30" s="77" t="str">
        <f ca="1">IFERROR(VLOOKUP($A30,LASTYR,'2017'!$N$3,FALSE),"N/A")</f>
        <v>N/A</v>
      </c>
      <c r="V30" s="77" t="str">
        <f ca="1">IFERROR(VLOOKUP($A30,LASTYR,'2017'!$N$3,FALSE),"N/A")</f>
        <v>N/A</v>
      </c>
      <c r="W30" s="77" t="str">
        <f ca="1">IFERROR(VLOOKUP($A30,LASTYR,'2017'!$N$3,FALSE),"N/A")</f>
        <v>N/A</v>
      </c>
      <c r="X30" s="77" t="str">
        <f ca="1">IFERROR(VLOOKUP($A30,LASTYR,'2017'!$N$3,FALSE),"N/A")</f>
        <v>N/A</v>
      </c>
      <c r="Y30" s="62"/>
      <c r="Z30" s="62"/>
      <c r="AA30" s="62"/>
      <c r="AB30" s="62"/>
    </row>
    <row r="31" spans="1:28" x14ac:dyDescent="0.25">
      <c r="A31" s="44" t="s">
        <v>18</v>
      </c>
      <c r="B31" s="45">
        <f ca="1">IFERROR(MATCH(A31,OFFSET(DIV_BV_WP,0,0,,1),0),"")</f>
        <v>31</v>
      </c>
      <c r="C31" s="1">
        <f>IF(ISERROR(D31),"",IF(D31="","",MAX($C$12:C30)+1))</f>
        <v>19</v>
      </c>
      <c r="D31" t="str">
        <f t="shared" si="3"/>
        <v xml:space="preserve">Exelon Corp.                  </v>
      </c>
      <c r="E31" s="15"/>
      <c r="F31" s="77">
        <f t="shared" ca="1" si="9"/>
        <v>7.0238622507860893E-2</v>
      </c>
      <c r="G31" s="77">
        <f t="shared" si="4"/>
        <v>5.5857253685027149E-2</v>
      </c>
      <c r="H31" s="77">
        <f t="shared" si="5"/>
        <v>5.4238650060265167E-2</v>
      </c>
      <c r="I31" s="77">
        <f t="shared" si="6"/>
        <v>4.3552519214346712E-2</v>
      </c>
      <c r="J31" s="77">
        <f t="shared" si="7"/>
        <v>4.6195652173913047E-2</v>
      </c>
      <c r="K31" s="77">
        <f t="shared" ca="1" si="10"/>
        <v>4.3782837127845878E-2</v>
      </c>
      <c r="L31" s="77">
        <f t="shared" ca="1" si="11"/>
        <v>4.343036978756884E-2</v>
      </c>
      <c r="M31" s="77">
        <f t="shared" ca="1" si="12"/>
        <v>4.2267608814893692E-2</v>
      </c>
      <c r="N31" s="77">
        <f t="shared" ca="1" si="13"/>
        <v>4.5062765995493727E-2</v>
      </c>
      <c r="O31" s="77">
        <f t="shared" ca="1" si="14"/>
        <v>4.4225693701405236E-2</v>
      </c>
      <c r="P31" s="77">
        <f t="shared" ca="1" si="14"/>
        <v>4.7160841288555889E-2</v>
      </c>
      <c r="Q31" s="77">
        <f t="shared" ca="1" si="14"/>
        <v>5.4872529793332334E-2</v>
      </c>
      <c r="R31" s="77">
        <f t="shared" ca="1" si="14"/>
        <v>8.3758774728781113E-2</v>
      </c>
      <c r="S31" s="77">
        <f t="shared" ca="1" si="14"/>
        <v>9.6841134424717562E-2</v>
      </c>
      <c r="T31" s="77">
        <f t="shared" ca="1" si="14"/>
        <v>0.10249902381882078</v>
      </c>
      <c r="U31" s="77">
        <f t="shared" ca="1" si="14"/>
        <v>0.10960906101571065</v>
      </c>
      <c r="V31" s="77">
        <f t="shared" ca="1" si="14"/>
        <v>0.12213285671730711</v>
      </c>
      <c r="W31" s="77">
        <f t="shared" ca="1" si="14"/>
        <v>0.11865180259469327</v>
      </c>
      <c r="X31" s="77">
        <f t="shared" ca="1" si="14"/>
        <v>0.11015583019881783</v>
      </c>
      <c r="Y31" s="62"/>
      <c r="Z31" s="62"/>
      <c r="AA31" s="62"/>
      <c r="AB31" s="62"/>
    </row>
    <row r="32" spans="1:28" x14ac:dyDescent="0.25">
      <c r="A32" s="44" t="s">
        <v>19</v>
      </c>
      <c r="B32" s="45">
        <f t="shared" ref="B32:B57" ca="1" si="15">IFERROR(MATCH(A32,OFFSET(DIV_BV_WP,0,0,,1),0),"")</f>
        <v>32</v>
      </c>
      <c r="C32" s="1">
        <f>IF(ISERROR(D32),"",IF(D32="","",MAX($C$12:C31)+1))</f>
        <v>20</v>
      </c>
      <c r="D32" t="str">
        <f t="shared" si="3"/>
        <v xml:space="preserve">FirstEnergy Corp.             </v>
      </c>
      <c r="E32" s="15"/>
      <c r="F32" s="77">
        <f t="shared" ca="1" si="9"/>
        <v>8.7909741627173826E-2</v>
      </c>
      <c r="G32" s="77">
        <f t="shared" si="4"/>
        <v>8.8057237204182709E-2</v>
      </c>
      <c r="H32" s="77">
        <f t="shared" si="5"/>
        <v>8.7788407428249865E-2</v>
      </c>
      <c r="I32" s="77">
        <f t="shared" si="6"/>
        <v>0.10256410256410256</v>
      </c>
      <c r="J32" s="77">
        <f t="shared" si="7"/>
        <v>0.11702925731432859</v>
      </c>
      <c r="K32" s="77">
        <f t="shared" ca="1" si="10"/>
        <v>0.11859545771645609</v>
      </c>
      <c r="L32" s="77">
        <f t="shared" ca="1" si="11"/>
        <v>0.13817187974491346</v>
      </c>
      <c r="M32" s="77">
        <f t="shared" ca="1" si="12"/>
        <v>0.16337644656228725</v>
      </c>
      <c r="N32" s="77">
        <f t="shared" ca="1" si="13"/>
        <v>0.10206251328938974</v>
      </c>
      <c r="O32" s="77">
        <f t="shared" ca="1" si="14"/>
        <v>4.9104859335038366E-2</v>
      </c>
      <c r="P32" s="77">
        <f t="shared" ca="1" si="14"/>
        <v>4.8823489523292872E-2</v>
      </c>
      <c r="Q32" s="77">
        <f t="shared" ca="1" si="14"/>
        <v>5.4423114981199283E-2</v>
      </c>
      <c r="R32" s="77">
        <f t="shared" ca="1" si="14"/>
        <v>7.0321240210963726E-2</v>
      </c>
      <c r="S32" s="77">
        <f t="shared" ca="1" si="14"/>
        <v>6.9282610064873726E-2</v>
      </c>
      <c r="T32" s="77">
        <f t="shared" ca="1" si="14"/>
        <v>7.8481735159817365E-2</v>
      </c>
      <c r="U32" s="77">
        <f t="shared" ca="1" si="14"/>
        <v>7.8355949709726827E-2</v>
      </c>
      <c r="V32" s="77">
        <f t="shared" ca="1" si="14"/>
        <v>8.0965699985278972E-2</v>
      </c>
      <c r="W32" s="77">
        <f t="shared" ca="1" si="14"/>
        <v>6.96118713708445E-2</v>
      </c>
      <c r="X32" s="77">
        <f t="shared" ca="1" si="14"/>
        <v>6.535947712418301E-2</v>
      </c>
      <c r="Y32" s="62"/>
      <c r="Z32" s="62"/>
      <c r="AA32" s="62"/>
      <c r="AB32" s="62"/>
    </row>
    <row r="33" spans="1:28" x14ac:dyDescent="0.25">
      <c r="A33" s="44" t="s">
        <v>266</v>
      </c>
      <c r="B33" s="45">
        <f t="shared" ca="1" si="15"/>
        <v>33</v>
      </c>
      <c r="C33" s="1">
        <f>IF(ISERROR(D33),"",IF(D33="","",MAX($C$12:C32)+1))</f>
        <v>21</v>
      </c>
      <c r="D33" t="str">
        <f t="shared" si="3"/>
        <v>Fortis Inc.</v>
      </c>
      <c r="E33" s="15"/>
      <c r="F33" s="77">
        <f t="shared" ca="1" si="9"/>
        <v>5.4227555234203563E-2</v>
      </c>
      <c r="G33" s="77">
        <f t="shared" si="4"/>
        <v>5.8358817533129458E-2</v>
      </c>
      <c r="H33" s="77">
        <f t="shared" si="5"/>
        <v>5.9549945115257963E-2</v>
      </c>
      <c r="I33" s="77">
        <f t="shared" si="6"/>
        <v>5.5898951894651973E-2</v>
      </c>
      <c r="J33" s="77">
        <f t="shared" si="7"/>
        <v>5.385456533624932E-2</v>
      </c>
      <c r="K33" s="77">
        <f t="shared" ca="1" si="10"/>
        <v>5.0828880668584743E-2</v>
      </c>
      <c r="L33" s="77">
        <f t="shared" ca="1" si="11"/>
        <v>5.0293137142200253E-2</v>
      </c>
      <c r="M33" s="77">
        <f t="shared" ca="1" si="12"/>
        <v>5.1929250330458865E-2</v>
      </c>
      <c r="N33" s="77">
        <f t="shared" ca="1" si="13"/>
        <v>4.796534117282996E-2</v>
      </c>
      <c r="O33" s="77">
        <f t="shared" ca="1" si="14"/>
        <v>4.9954586739327879E-2</v>
      </c>
      <c r="P33" s="77">
        <f t="shared" ca="1" si="14"/>
        <v>5.2219321148825069E-2</v>
      </c>
      <c r="Q33" s="77">
        <f t="shared" ca="1" si="14"/>
        <v>5.5838470472616815E-2</v>
      </c>
      <c r="R33" s="77">
        <f t="shared" ca="1" si="14"/>
        <v>5.8064206535822262E-2</v>
      </c>
      <c r="S33" s="77">
        <f t="shared" ca="1" si="14"/>
        <v>5.6984219754529511E-2</v>
      </c>
      <c r="T33" s="77">
        <f t="shared" ca="1" si="14"/>
        <v>5.9099783652577703E-2</v>
      </c>
      <c r="U33" s="77">
        <f t="shared" ca="1" si="14"/>
        <v>5.6007324034681463E-2</v>
      </c>
      <c r="V33" s="77">
        <f t="shared" ca="1" si="14"/>
        <v>5.5546297839249012E-2</v>
      </c>
      <c r="W33" s="77">
        <f t="shared" ca="1" si="14"/>
        <v>4.9031332217172922E-2</v>
      </c>
      <c r="X33" s="77">
        <f t="shared" ca="1" si="14"/>
        <v>5.4671562627498976E-2</v>
      </c>
      <c r="Y33" s="62"/>
      <c r="Z33" s="62"/>
      <c r="AA33" s="62"/>
      <c r="AB33" s="62"/>
    </row>
    <row r="34" spans="1:28" x14ac:dyDescent="0.25">
      <c r="A34" s="44" t="s">
        <v>20</v>
      </c>
      <c r="B34" s="45">
        <f t="shared" ca="1" si="15"/>
        <v>35</v>
      </c>
      <c r="C34" s="1">
        <f>IF(ISERROR(D34),"",IF(D34="","",MAX($C$12:C33)+1))</f>
        <v>22</v>
      </c>
      <c r="D34" t="str">
        <f t="shared" si="3"/>
        <v xml:space="preserve">Great Plains Energy             </v>
      </c>
      <c r="E34" s="15"/>
      <c r="F34" s="77">
        <f t="shared" ca="1" si="9"/>
        <v>5.3094849050262717E-2</v>
      </c>
      <c r="G34" s="77" t="str">
        <f t="shared" si="4"/>
        <v>N/A</v>
      </c>
      <c r="H34" s="77" t="str">
        <f t="shared" si="5"/>
        <v>N/A</v>
      </c>
      <c r="I34" s="77" t="str">
        <f t="shared" si="6"/>
        <v>N/A</v>
      </c>
      <c r="J34" s="77" t="s">
        <v>106</v>
      </c>
      <c r="K34" s="77" t="str">
        <f t="shared" ca="1" si="10"/>
        <v>N/A</v>
      </c>
      <c r="L34" s="77" t="str">
        <f t="shared" ca="1" si="11"/>
        <v>N/A</v>
      </c>
      <c r="M34" s="77">
        <f t="shared" ca="1" si="12"/>
        <v>4.7784535186794097E-2</v>
      </c>
      <c r="N34" s="77">
        <f t="shared" ca="1" si="13"/>
        <v>4.2659010957907077E-2</v>
      </c>
      <c r="O34" s="77">
        <f t="shared" ca="1" si="14"/>
        <v>4.2143490562053965E-2</v>
      </c>
      <c r="P34" s="77">
        <f t="shared" ca="1" si="14"/>
        <v>4.0194308313988479E-2</v>
      </c>
      <c r="Q34" s="77">
        <f t="shared" ca="1" si="14"/>
        <v>3.9059386209645275E-2</v>
      </c>
      <c r="R34" s="77">
        <f t="shared" ca="1" si="14"/>
        <v>3.9301310043668124E-2</v>
      </c>
      <c r="S34" s="77">
        <f t="shared" ca="1" si="14"/>
        <v>3.8406697024055927E-2</v>
      </c>
      <c r="T34" s="77">
        <f t="shared" ca="1" si="14"/>
        <v>3.9031272043263579E-2</v>
      </c>
      <c r="U34" s="77">
        <f t="shared" ca="1" si="14"/>
        <v>4.0250230347703801E-2</v>
      </c>
      <c r="V34" s="77">
        <f t="shared" ca="1" si="14"/>
        <v>7.7613615111277345E-2</v>
      </c>
      <c r="W34" s="77">
        <f t="shared" ca="1" si="14"/>
        <v>9.1299087009129906E-2</v>
      </c>
      <c r="X34" s="77">
        <f t="shared" ca="1" si="14"/>
        <v>9.9395245793665044E-2</v>
      </c>
      <c r="Y34" s="62"/>
      <c r="Z34" s="62"/>
      <c r="AA34" s="62"/>
      <c r="AB34" s="62"/>
    </row>
    <row r="35" spans="1:28" x14ac:dyDescent="0.25">
      <c r="A35" s="44" t="s">
        <v>21</v>
      </c>
      <c r="B35" s="45">
        <f t="shared" ca="1" si="15"/>
        <v>36</v>
      </c>
      <c r="C35" s="1">
        <f>IF(ISERROR(D35),"",IF(D35="","",MAX($C$12:C34)+1))</f>
        <v>23</v>
      </c>
      <c r="D35" t="str">
        <f t="shared" si="3"/>
        <v xml:space="preserve">Hawaiian Elec.                </v>
      </c>
      <c r="E35" s="15"/>
      <c r="F35" s="77">
        <f t="shared" ca="1" si="9"/>
        <v>7.0934192167237925E-2</v>
      </c>
      <c r="G35" s="77">
        <f t="shared" si="4"/>
        <v>5.0728041333959611E-2</v>
      </c>
      <c r="H35" s="77">
        <f t="shared" si="5"/>
        <v>6.9582504970178913E-2</v>
      </c>
      <c r="I35" s="77">
        <f t="shared" si="6"/>
        <v>6.2185642432556011E-2</v>
      </c>
      <c r="J35" s="77">
        <f t="shared" si="7"/>
        <v>6.1653432975245212E-2</v>
      </c>
      <c r="K35" s="77">
        <f t="shared" ca="1" si="10"/>
        <v>6.1170848267622459E-2</v>
      </c>
      <c r="L35" s="77">
        <f t="shared" ca="1" si="11"/>
        <v>6.2440203434211181E-2</v>
      </c>
      <c r="M35" s="77">
        <f t="shared" ca="1" si="12"/>
        <v>6.4315352697095429E-2</v>
      </c>
      <c r="N35" s="77">
        <f t="shared" ca="1" si="13"/>
        <v>6.5146579804560262E-2</v>
      </c>
      <c r="O35" s="77">
        <f t="shared" ca="1" si="14"/>
        <v>6.912699297580556E-2</v>
      </c>
      <c r="P35" s="77">
        <f t="shared" ca="1" si="14"/>
        <v>7.0995076147944577E-2</v>
      </c>
      <c r="Q35" s="77">
        <f t="shared" ca="1" si="14"/>
        <v>7.2701688555347088E-2</v>
      </c>
      <c r="R35" s="77">
        <f t="shared" ca="1" si="14"/>
        <v>7.6185795035635287E-2</v>
      </c>
      <c r="S35" s="77">
        <f t="shared" ca="1" si="14"/>
        <v>7.7738072848097292E-2</v>
      </c>
      <c r="T35" s="77">
        <f t="shared" ca="1" si="14"/>
        <v>7.9142200663773296E-2</v>
      </c>
      <c r="U35" s="77">
        <f t="shared" ca="1" si="14"/>
        <v>7.9579001411885508E-2</v>
      </c>
      <c r="V35" s="77">
        <f t="shared" ca="1" si="14"/>
        <v>8.0781758957654728E-2</v>
      </c>
      <c r="W35" s="77">
        <f t="shared" ca="1" si="14"/>
        <v>8.111467259763197E-2</v>
      </c>
      <c r="X35" s="77">
        <f t="shared" ca="1" si="14"/>
        <v>9.2227593901078458E-2</v>
      </c>
      <c r="Y35" s="62"/>
      <c r="Z35" s="62"/>
      <c r="AA35" s="62"/>
      <c r="AB35" s="62"/>
    </row>
    <row r="36" spans="1:28" x14ac:dyDescent="0.25">
      <c r="A36" s="44" t="s">
        <v>22</v>
      </c>
      <c r="B36" s="45">
        <f t="shared" ca="1" si="15"/>
        <v>37</v>
      </c>
      <c r="C36" s="1">
        <f>IF(ISERROR(D36),"",IF(D36="","",MAX($C$12:C35)+1))</f>
        <v>24</v>
      </c>
      <c r="D36" t="str">
        <f t="shared" si="3"/>
        <v xml:space="preserve">IDACORP, Inc.                 </v>
      </c>
      <c r="E36" s="15"/>
      <c r="F36" s="77">
        <f t="shared" ca="1" si="9"/>
        <v>4.6966261585958388E-2</v>
      </c>
      <c r="G36" s="77">
        <f t="shared" si="4"/>
        <v>5.5710306406685242E-2</v>
      </c>
      <c r="H36" s="77">
        <f t="shared" si="5"/>
        <v>5.4755043227665702E-2</v>
      </c>
      <c r="I36" s="77">
        <f t="shared" si="6"/>
        <v>5.4524801211662248E-2</v>
      </c>
      <c r="J36" s="77">
        <f t="shared" si="7"/>
        <v>5.3617189040015778E-2</v>
      </c>
      <c r="K36" s="77">
        <f t="shared" ca="1" si="10"/>
        <v>5.237101591587906E-2</v>
      </c>
      <c r="L36" s="77">
        <f t="shared" ca="1" si="11"/>
        <v>5.1050795541563852E-2</v>
      </c>
      <c r="M36" s="77">
        <f t="shared" ca="1" si="12"/>
        <v>5.0164602602288763E-2</v>
      </c>
      <c r="N36" s="77">
        <f t="shared" ca="1" si="13"/>
        <v>4.8667493390112081E-2</v>
      </c>
      <c r="O36" s="77">
        <f t="shared" ca="1" si="14"/>
        <v>4.6967880819002425E-2</v>
      </c>
      <c r="P36" s="77">
        <f t="shared" ca="1" si="14"/>
        <v>4.5297781438204565E-2</v>
      </c>
      <c r="Q36" s="77">
        <f t="shared" ca="1" si="14"/>
        <v>4.2614407469735632E-2</v>
      </c>
      <c r="R36" s="77">
        <f t="shared" ca="1" si="14"/>
        <v>3.9070298017966638E-2</v>
      </c>
      <c r="S36" s="77">
        <f t="shared" ca="1" si="14"/>
        <v>3.6160916076540602E-2</v>
      </c>
      <c r="T36" s="77">
        <f t="shared" ca="1" si="14"/>
        <v>3.8695946599593689E-2</v>
      </c>
      <c r="U36" s="77">
        <f t="shared" ca="1" si="14"/>
        <v>4.1132515253307737E-2</v>
      </c>
      <c r="V36" s="77">
        <f t="shared" ca="1" si="14"/>
        <v>4.3229222954717386E-2</v>
      </c>
      <c r="W36" s="77">
        <f t="shared" ca="1" si="14"/>
        <v>4.4789489399820838E-2</v>
      </c>
      <c r="X36" s="77">
        <f t="shared" ca="1" si="14"/>
        <v>4.6573003182488554E-2</v>
      </c>
      <c r="Y36" s="62"/>
      <c r="Z36" s="62"/>
      <c r="AA36" s="62"/>
      <c r="AB36" s="62"/>
    </row>
    <row r="37" spans="1:28" x14ac:dyDescent="0.25">
      <c r="A37" s="44" t="s">
        <v>25</v>
      </c>
      <c r="B37" s="45">
        <f ca="1">IFERROR(MATCH(A37,OFFSET(DIV_BV_WP,0,0,,1),0),"")</f>
        <v>41</v>
      </c>
      <c r="C37" s="1">
        <f>IF(ISERROR(D37),"",IF(D37="","",MAX($C$12:C36)+1))</f>
        <v>25</v>
      </c>
      <c r="D37" t="str">
        <f>VLOOKUP(A37,LUCurYr,2,FALSE)</f>
        <v xml:space="preserve">MGE Energy                    </v>
      </c>
      <c r="E37" s="15"/>
      <c r="F37" s="77">
        <f t="shared" ca="1" si="9"/>
        <v>6.1087109758603222E-2</v>
      </c>
      <c r="G37" s="77">
        <f t="shared" si="4"/>
        <v>5.298223350253807E-2</v>
      </c>
      <c r="H37" s="77">
        <f t="shared" si="5"/>
        <v>5.3159478435305919E-2</v>
      </c>
      <c r="I37" s="77" t="str">
        <f t="shared" si="6"/>
        <v>N/A</v>
      </c>
      <c r="J37" s="77">
        <f>IFERROR(IF(VLOOKUP(A37,lucyr,19,FALSE)=0,"",VLOOKUP(A37,lucyr,19,FALSE)),"N/A")</f>
        <v>5.2233429394812673E-2</v>
      </c>
      <c r="K37" s="77">
        <f t="shared" ca="1" si="10"/>
        <v>5.591119034113929E-2</v>
      </c>
      <c r="L37" s="77">
        <f t="shared" ca="1" si="11"/>
        <v>5.6036678553234846E-2</v>
      </c>
      <c r="M37" s="77">
        <f t="shared" ca="1" si="12"/>
        <v>5.6132222568717423E-2</v>
      </c>
      <c r="N37" s="77">
        <f t="shared" ca="1" si="13"/>
        <v>5.7933544000766064E-2</v>
      </c>
      <c r="O37" s="77">
        <f t="shared" ca="1" si="14"/>
        <v>5.8244627435227951E-2</v>
      </c>
      <c r="P37" s="77">
        <f t="shared" ca="1" si="14"/>
        <v>5.8359621451104106E-2</v>
      </c>
      <c r="Q37" s="77">
        <f t="shared" ca="1" si="14"/>
        <v>6.0071861666292387E-2</v>
      </c>
      <c r="R37" s="77">
        <f t="shared" ca="1" si="14"/>
        <v>6.2230732407850646E-2</v>
      </c>
      <c r="S37" s="77">
        <f t="shared" ca="1" si="14"/>
        <v>6.3624921334172427E-2</v>
      </c>
      <c r="T37" s="77">
        <f t="shared" ca="1" si="14"/>
        <v>6.5570522979397777E-2</v>
      </c>
      <c r="U37" s="77">
        <f t="shared" ca="1" si="14"/>
        <v>6.7228632626269602E-2</v>
      </c>
      <c r="V37" s="77">
        <f t="shared" ca="1" si="14"/>
        <v>6.8688029889351923E-2</v>
      </c>
      <c r="W37" s="77">
        <f t="shared" ca="1" si="14"/>
        <v>7.2363356428021552E-2</v>
      </c>
      <c r="X37" s="77">
        <f t="shared" ca="1" si="14"/>
        <v>7.7709782882052145E-2</v>
      </c>
      <c r="Y37" s="62"/>
      <c r="Z37" s="62"/>
      <c r="AA37" s="62"/>
      <c r="AB37" s="62"/>
    </row>
    <row r="38" spans="1:28" x14ac:dyDescent="0.25">
      <c r="A38" s="44" t="s">
        <v>141</v>
      </c>
      <c r="B38" s="45">
        <f ca="1">IFERROR(MATCH(A38,OFFSET(DIV_BV_WP,0,0,,1),0),"")</f>
        <v>44</v>
      </c>
      <c r="C38" s="1">
        <f>IF(ISERROR(D38),"",IF(D38="","",MAX($C$12:C37)+1))</f>
        <v>26</v>
      </c>
      <c r="D38" t="str">
        <f>VLOOKUP(A38,LUCurYr,2,FALSE)</f>
        <v>NextEra Energy, Inc.</v>
      </c>
      <c r="E38" s="15"/>
      <c r="F38" s="77">
        <f t="shared" ca="1" si="9"/>
        <v>6.6976855790435857E-2</v>
      </c>
      <c r="G38" s="77">
        <f t="shared" si="4"/>
        <v>8.0847384349329879E-2</v>
      </c>
      <c r="H38" s="77">
        <f t="shared" si="5"/>
        <v>8.6119554204660595E-2</v>
      </c>
      <c r="I38" s="77">
        <f t="shared" si="6"/>
        <v>8.1266490765171506E-2</v>
      </c>
      <c r="J38" s="77">
        <f>IFERROR(IF(VLOOKUP(A38,lucyr,19,FALSE)=0,"",VLOOKUP(A38,lucyr,19,FALSE)),"N/A")</f>
        <v>7.5147611379495438E-2</v>
      </c>
      <c r="K38" s="77">
        <f t="shared" ca="1" si="10"/>
        <v>6.6071145409376822E-2</v>
      </c>
      <c r="L38" s="77">
        <f t="shared" ca="1" si="11"/>
        <v>6.2150055991041439E-2</v>
      </c>
      <c r="M38" s="77">
        <f t="shared" ca="1" si="12"/>
        <v>6.5464261857047429E-2</v>
      </c>
      <c r="N38" s="77">
        <f t="shared" ca="1" si="13"/>
        <v>6.6923076923076918E-2</v>
      </c>
      <c r="O38" s="77">
        <f t="shared" ca="1" si="14"/>
        <v>6.2908496732026142E-2</v>
      </c>
      <c r="P38" s="77">
        <f t="shared" ca="1" si="14"/>
        <v>6.494661921708185E-2</v>
      </c>
      <c r="Q38" s="77">
        <f t="shared" ca="1" si="14"/>
        <v>6.3645130183220835E-2</v>
      </c>
      <c r="R38" s="77">
        <f t="shared" ca="1" si="14"/>
        <v>6.3357972544878557E-2</v>
      </c>
      <c r="S38" s="77">
        <f t="shared" ca="1" si="14"/>
        <v>6.1247216035634745E-2</v>
      </c>
      <c r="T38" s="77">
        <f t="shared" ca="1" si="14"/>
        <v>5.8207217694994179E-2</v>
      </c>
      <c r="U38" s="77">
        <f t="shared" ca="1" si="14"/>
        <v>5.9948979591836732E-2</v>
      </c>
      <c r="V38" s="77">
        <f t="shared" ca="1" si="14"/>
        <v>6.3025210084033612E-2</v>
      </c>
      <c r="W38" s="77">
        <f t="shared" ca="1" si="14"/>
        <v>6.2215477996965099E-2</v>
      </c>
      <c r="X38" s="77">
        <f t="shared" ca="1" si="14"/>
        <v>6.2091503267973858E-2</v>
      </c>
      <c r="Y38" s="62"/>
      <c r="Z38" s="62"/>
      <c r="AA38" s="62"/>
      <c r="AB38" s="62"/>
    </row>
    <row r="39" spans="1:28" x14ac:dyDescent="0.25">
      <c r="A39" s="44" t="s">
        <v>144</v>
      </c>
      <c r="B39" s="45">
        <f t="shared" ca="1" si="15"/>
        <v>47</v>
      </c>
      <c r="C39" s="1">
        <f>IF(ISERROR(D39),"",IF(D39="","",MAX($C$12:C38)+1))</f>
        <v>27</v>
      </c>
      <c r="D39" t="str">
        <f t="shared" si="3"/>
        <v xml:space="preserve">NorthWestern Corp             </v>
      </c>
      <c r="E39" s="15"/>
      <c r="F39" s="77">
        <f t="shared" ca="1" si="9"/>
        <v>5.8185280565273119E-2</v>
      </c>
      <c r="G39" s="77">
        <f t="shared" si="4"/>
        <v>5.6288478452066845E-2</v>
      </c>
      <c r="H39" s="77">
        <f t="shared" si="5"/>
        <v>5.648957632817754E-2</v>
      </c>
      <c r="I39" s="77">
        <f t="shared" si="6"/>
        <v>5.730129390018484E-2</v>
      </c>
      <c r="J39" s="77">
        <f t="shared" si="7"/>
        <v>5.8394160583941604E-2</v>
      </c>
      <c r="K39" s="77">
        <f t="shared" ca="1" si="10"/>
        <v>5.6908155186064922E-2</v>
      </c>
      <c r="L39" s="77">
        <f t="shared" ca="1" si="11"/>
        <v>5.6997771905280076E-2</v>
      </c>
      <c r="M39" s="77">
        <f t="shared" ca="1" si="12"/>
        <v>5.7635305741574272E-2</v>
      </c>
      <c r="N39" s="77">
        <f t="shared" ca="1" si="13"/>
        <v>5.7666801222536181E-2</v>
      </c>
      <c r="O39" s="77">
        <f t="shared" ca="1" si="14"/>
        <v>5.7799987958335831E-2</v>
      </c>
      <c r="P39" s="77">
        <f t="shared" ca="1" si="14"/>
        <v>5.0795263341693389E-2</v>
      </c>
      <c r="Q39" s="77">
        <f t="shared" ca="1" si="14"/>
        <v>5.7140708995902414E-2</v>
      </c>
      <c r="R39" s="77">
        <f t="shared" ca="1" si="14"/>
        <v>5.8978241810791421E-2</v>
      </c>
      <c r="S39" s="77">
        <f t="shared" ca="1" si="14"/>
        <v>6.0808242895148003E-2</v>
      </c>
      <c r="T39" s="77">
        <f t="shared" ca="1" si="14"/>
        <v>6.0062712538091242E-2</v>
      </c>
      <c r="U39" s="77">
        <f t="shared" ca="1" si="14"/>
        <v>6.1299176578225076E-2</v>
      </c>
      <c r="V39" s="77">
        <f t="shared" ca="1" si="14"/>
        <v>6.2114724012987621E-2</v>
      </c>
      <c r="W39" s="77">
        <f t="shared" ca="1" si="14"/>
        <v>6.0608930347080828E-2</v>
      </c>
      <c r="X39" s="77">
        <f t="shared" ca="1" si="14"/>
        <v>6.0045518376834049E-2</v>
      </c>
      <c r="Y39" s="62"/>
      <c r="Z39" s="62"/>
      <c r="AA39" s="62"/>
      <c r="AB39" s="62"/>
    </row>
    <row r="40" spans="1:28" x14ac:dyDescent="0.25">
      <c r="A40" s="44" t="s">
        <v>27</v>
      </c>
      <c r="B40" s="45">
        <f t="shared" ca="1" si="15"/>
        <v>48</v>
      </c>
      <c r="C40" s="1">
        <f>IF(ISERROR(D40),"",IF(D40="","",MAX($C$12:C39)+1))</f>
        <v>28</v>
      </c>
      <c r="D40" t="str">
        <f t="shared" si="3"/>
        <v xml:space="preserve">OGE Energy                    </v>
      </c>
      <c r="E40" s="15"/>
      <c r="F40" s="77">
        <f t="shared" ca="1" si="9"/>
        <v>6.8557971746934732E-2</v>
      </c>
      <c r="G40" s="77">
        <f t="shared" si="4"/>
        <v>7.4606741573033708E-2</v>
      </c>
      <c r="H40" s="77">
        <f t="shared" si="5"/>
        <v>7.471526195899772E-2</v>
      </c>
      <c r="I40" s="77">
        <f t="shared" si="6"/>
        <v>8.0414405525407004E-2</v>
      </c>
      <c r="J40" s="77">
        <f t="shared" si="7"/>
        <v>8.7052341597796151E-2</v>
      </c>
      <c r="K40" s="77">
        <f t="shared" ca="1" si="10"/>
        <v>7.2751003045390811E-2</v>
      </c>
      <c r="L40" s="77">
        <f t="shared" ca="1" si="11"/>
        <v>6.9555245313123251E-2</v>
      </c>
      <c r="M40" s="77">
        <f t="shared" ca="1" si="12"/>
        <v>6.5857705870151426E-2</v>
      </c>
      <c r="N40" s="77">
        <f t="shared" ca="1" si="13"/>
        <v>6.6975935053638733E-2</v>
      </c>
      <c r="O40" s="77">
        <f t="shared" ca="1" si="14"/>
        <v>6.3044130891624139E-2</v>
      </c>
      <c r="P40" s="77">
        <f t="shared" ca="1" si="14"/>
        <v>5.8386085673898344E-2</v>
      </c>
      <c r="Q40" s="77">
        <f t="shared" ca="1" si="14"/>
        <v>5.5620915032679734E-2</v>
      </c>
      <c r="R40" s="77">
        <f t="shared" ca="1" si="14"/>
        <v>5.698371893744645E-2</v>
      </c>
      <c r="S40" s="77">
        <f t="shared" ca="1" si="14"/>
        <v>5.8094144661308841E-2</v>
      </c>
      <c r="T40" s="77">
        <f t="shared" ca="1" si="14"/>
        <v>6.2404092071611253E-2</v>
      </c>
      <c r="U40" s="77">
        <f t="shared" ca="1" si="14"/>
        <v>6.7870722433460082E-2</v>
      </c>
      <c r="V40" s="77">
        <f t="shared" ca="1" si="14"/>
        <v>6.8914522330671385E-2</v>
      </c>
      <c r="W40" s="77">
        <f t="shared" ca="1" si="14"/>
        <v>7.4713271436373574E-2</v>
      </c>
      <c r="X40" s="77">
        <f t="shared" ca="1" si="14"/>
        <v>7.6083248038212231E-2</v>
      </c>
      <c r="Y40" s="62"/>
      <c r="Z40" s="62"/>
      <c r="AA40" s="62"/>
      <c r="AB40" s="62"/>
    </row>
    <row r="41" spans="1:28" x14ac:dyDescent="0.25">
      <c r="A41" s="44" t="s">
        <v>28</v>
      </c>
      <c r="B41" s="45">
        <f t="shared" ca="1" si="15"/>
        <v>50</v>
      </c>
      <c r="C41" s="1">
        <f>IF(ISERROR(D41),"",IF(D41="","",MAX($C$12:C40)+1))</f>
        <v>29</v>
      </c>
      <c r="D41" t="str">
        <f t="shared" si="3"/>
        <v xml:space="preserve">Otter Tail Corp.              </v>
      </c>
      <c r="E41" s="15"/>
      <c r="F41" s="77">
        <f t="shared" ca="1" si="9"/>
        <v>7.0294580235245901E-2</v>
      </c>
      <c r="G41" s="77">
        <f t="shared" si="4"/>
        <v>5.9483344663494218E-2</v>
      </c>
      <c r="H41" s="77">
        <f t="shared" si="5"/>
        <v>5.6122448979591837E-2</v>
      </c>
      <c r="I41" s="77">
        <f t="shared" si="6"/>
        <v>6.5436241610738258E-2</v>
      </c>
      <c r="J41" s="77">
        <f t="shared" si="7"/>
        <v>7.047619047619047E-2</v>
      </c>
      <c r="K41" s="77">
        <f t="shared" ca="1" si="10"/>
        <v>7.1942446043165464E-2</v>
      </c>
      <c r="L41" s="77">
        <f t="shared" ca="1" si="11"/>
        <v>7.2921201567261645E-2</v>
      </c>
      <c r="M41" s="77">
        <f t="shared" ca="1" si="12"/>
        <v>7.2657092581029689E-2</v>
      </c>
      <c r="N41" s="77">
        <f t="shared" ca="1" si="13"/>
        <v>7.3399882560187896E-2</v>
      </c>
      <c r="O41" s="77">
        <f t="shared" ca="1" si="14"/>
        <v>7.6961581779501936E-2</v>
      </c>
      <c r="P41" s="77">
        <f t="shared" ca="1" si="14"/>
        <v>7.8627591136526093E-2</v>
      </c>
      <c r="Q41" s="77">
        <f t="shared" ca="1" si="14"/>
        <v>8.0705323838589346E-2</v>
      </c>
      <c r="R41" s="77">
        <f t="shared" ca="1" si="14"/>
        <v>8.2455654101995554E-2</v>
      </c>
      <c r="S41" s="77">
        <f t="shared" ca="1" si="14"/>
        <v>7.5178469897024439E-2</v>
      </c>
      <c r="T41" s="77">
        <f t="shared" ca="1" si="14"/>
        <v>6.7748363222317101E-2</v>
      </c>
      <c r="U41" s="77">
        <f t="shared" ca="1" si="14"/>
        <v>6.3348416289592757E-2</v>
      </c>
      <c r="V41" s="77">
        <f t="shared" ca="1" si="14"/>
        <v>6.2176707246982599E-2</v>
      </c>
      <c r="W41" s="77">
        <f t="shared" ca="1" si="14"/>
        <v>6.6662868212637463E-2</v>
      </c>
      <c r="X41" s="77">
        <f t="shared" ca="1" si="14"/>
        <v>6.8998620027599433E-2</v>
      </c>
      <c r="Y41" s="62"/>
      <c r="Z41" s="62"/>
      <c r="AA41" s="62"/>
      <c r="AB41" s="62"/>
    </row>
    <row r="42" spans="1:28" x14ac:dyDescent="0.25">
      <c r="A42" s="44" t="s">
        <v>31</v>
      </c>
      <c r="B42" s="45">
        <f t="shared" ca="1" si="15"/>
        <v>53</v>
      </c>
      <c r="C42" s="1">
        <f>IF(ISERROR(D42),"",IF(D42="","",MAX($C$12:C41)+1))</f>
        <v>30</v>
      </c>
      <c r="D42" t="str">
        <f t="shared" si="3"/>
        <v xml:space="preserve">Pinnacle West Capital         </v>
      </c>
      <c r="E42" s="15"/>
      <c r="F42" s="77">
        <f t="shared" ca="1" si="9"/>
        <v>6.2084979051906318E-2</v>
      </c>
      <c r="G42" s="77">
        <f t="shared" si="4"/>
        <v>6.407196621993759E-2</v>
      </c>
      <c r="H42" s="77">
        <f t="shared" si="5"/>
        <v>6.3985032740879327E-2</v>
      </c>
      <c r="I42" s="77">
        <f t="shared" si="6"/>
        <v>6.4293915040183697E-2</v>
      </c>
      <c r="J42" s="77">
        <f t="shared" si="7"/>
        <v>6.4651721377101679E-2</v>
      </c>
      <c r="K42" s="77">
        <f t="shared" ca="1" si="10"/>
        <v>6.2939958592132514E-2</v>
      </c>
      <c r="L42" s="77">
        <f t="shared" ca="1" si="11"/>
        <v>6.1599879805112577E-2</v>
      </c>
      <c r="M42" s="77">
        <f t="shared" ca="1" si="12"/>
        <v>6.0265166733627966E-2</v>
      </c>
      <c r="N42" s="77">
        <f t="shared" ca="1" si="13"/>
        <v>5.9334801251593461E-2</v>
      </c>
      <c r="O42" s="77">
        <f t="shared" ca="1" si="14"/>
        <v>5.9074181677319385E-2</v>
      </c>
      <c r="P42" s="77">
        <f t="shared" ca="1" si="14"/>
        <v>5.8862249677207018E-2</v>
      </c>
      <c r="Q42" s="77">
        <f t="shared" ca="1" si="14"/>
        <v>5.8446505030339643E-2</v>
      </c>
      <c r="R42" s="77">
        <f t="shared" ca="1" si="14"/>
        <v>7.3754868650037289E-2</v>
      </c>
      <c r="S42" s="77">
        <f t="shared" ca="1" si="14"/>
        <v>6.0027441115938718E-2</v>
      </c>
      <c r="T42" s="77">
        <f t="shared" ca="1" si="14"/>
        <v>6.2012756909992924E-2</v>
      </c>
      <c r="U42" s="77">
        <f t="shared" ca="1" si="14"/>
        <v>6.4235898690811213E-2</v>
      </c>
      <c r="V42" s="77">
        <f t="shared" ca="1" si="14"/>
        <v>6.1482609204824928E-2</v>
      </c>
      <c r="W42" s="77">
        <f t="shared" ca="1" si="14"/>
        <v>5.9752454118651301E-2</v>
      </c>
      <c r="X42" s="77">
        <f t="shared" ca="1" si="14"/>
        <v>5.8738216098622183E-2</v>
      </c>
      <c r="Y42" s="62"/>
      <c r="Z42" s="62"/>
      <c r="AA42" s="62"/>
      <c r="AB42" s="62"/>
    </row>
    <row r="43" spans="1:28" x14ac:dyDescent="0.25">
      <c r="A43" s="44" t="s">
        <v>32</v>
      </c>
      <c r="B43" s="45">
        <f t="shared" ca="1" si="15"/>
        <v>54</v>
      </c>
      <c r="C43" s="1">
        <f>IF(ISERROR(D43),"",IF(D43="","",MAX($C$12:C42)+1))</f>
        <v>31</v>
      </c>
      <c r="D43" t="str">
        <f t="shared" si="3"/>
        <v xml:space="preserve">PNM Resources                 </v>
      </c>
      <c r="E43" s="15"/>
      <c r="F43" s="77">
        <f t="shared" ca="1" si="9"/>
        <v>4.0306103949207507E-2</v>
      </c>
      <c r="G43" s="77">
        <f t="shared" si="4"/>
        <v>5.7219662058371736E-2</v>
      </c>
      <c r="H43" s="77">
        <f t="shared" si="5"/>
        <v>5.5207517619420513E-2</v>
      </c>
      <c r="I43" s="77">
        <f t="shared" si="6"/>
        <v>3.8811881188118812E-2</v>
      </c>
      <c r="J43" s="77">
        <f t="shared" si="7"/>
        <v>5.2345058626465664E-2</v>
      </c>
      <c r="K43" s="77">
        <f t="shared" ca="1" si="10"/>
        <v>5.5895610913404503E-2</v>
      </c>
      <c r="L43" s="77">
        <f t="shared" ca="1" si="11"/>
        <v>5.1186488654054819E-2</v>
      </c>
      <c r="M43" s="77">
        <f t="shared" ca="1" si="12"/>
        <v>4.6656956256166893E-2</v>
      </c>
      <c r="N43" s="77">
        <f t="shared" ca="1" si="13"/>
        <v>4.1825095057034224E-2</v>
      </c>
      <c r="O43" s="77">
        <f t="shared" ca="1" si="14"/>
        <v>3.8507821901323708E-2</v>
      </c>
      <c r="P43" s="77">
        <f t="shared" ca="1" si="14"/>
        <v>3.3718904917154215E-2</v>
      </c>
      <c r="Q43" s="77">
        <f t="shared" ca="1" si="14"/>
        <v>3.2588900603853159E-2</v>
      </c>
      <c r="R43" s="77">
        <f t="shared" ca="1" si="14"/>
        <v>2.893489648291344E-2</v>
      </c>
      <c r="S43" s="77">
        <f t="shared" ca="1" si="14"/>
        <v>2.5489396411092987E-2</v>
      </c>
      <c r="T43" s="77">
        <f t="shared" ca="1" si="14"/>
        <v>2.8413934193328407E-2</v>
      </c>
      <c r="U43" s="77">
        <f t="shared" ca="1" si="14"/>
        <v>2.6453626792233214E-2</v>
      </c>
      <c r="V43" s="77">
        <f t="shared" ca="1" si="14"/>
        <v>3.2022442174350289E-2</v>
      </c>
      <c r="W43" s="77">
        <f t="shared" ca="1" si="14"/>
        <v>4.1303558460421205E-2</v>
      </c>
      <c r="X43" s="77">
        <f t="shared" ca="1" si="14"/>
        <v>3.8928118776027525E-2</v>
      </c>
      <c r="Y43" s="62"/>
      <c r="Z43" s="62"/>
      <c r="AA43" s="62"/>
      <c r="AB43" s="62"/>
    </row>
    <row r="44" spans="1:28" x14ac:dyDescent="0.25">
      <c r="A44" s="44" t="s">
        <v>33</v>
      </c>
      <c r="B44" s="45">
        <f t="shared" ca="1" si="15"/>
        <v>55</v>
      </c>
      <c r="C44" s="1">
        <f>IF(ISERROR(D44),"",IF(D44="","",MAX($C$12:C43)+1))</f>
        <v>32</v>
      </c>
      <c r="D44" t="str">
        <f t="shared" si="3"/>
        <v xml:space="preserve">Portland General              </v>
      </c>
      <c r="E44" s="15"/>
      <c r="F44" s="77">
        <f t="shared" ca="1" si="9"/>
        <v>4.8971690921047133E-2</v>
      </c>
      <c r="G44" s="77">
        <f t="shared" si="4"/>
        <v>5.7299603779335559E-2</v>
      </c>
      <c r="H44" s="77">
        <f t="shared" si="5"/>
        <v>5.7500803083841957E-2</v>
      </c>
      <c r="I44" s="77">
        <f t="shared" si="6"/>
        <v>5.6142668428005284E-2</v>
      </c>
      <c r="J44" s="77">
        <f t="shared" si="7"/>
        <v>5.4489376285126803E-2</v>
      </c>
      <c r="K44" s="77">
        <f t="shared" ca="1" si="10"/>
        <v>5.2370109708134958E-2</v>
      </c>
      <c r="L44" s="77">
        <f t="shared" ca="1" si="11"/>
        <v>5.0867381469739605E-2</v>
      </c>
      <c r="M44" s="77">
        <f t="shared" ca="1" si="12"/>
        <v>4.9426432075541295E-2</v>
      </c>
      <c r="N44" s="77">
        <f t="shared" ca="1" si="13"/>
        <v>4.7812393275907861E-2</v>
      </c>
      <c r="O44" s="77">
        <f t="shared" ca="1" si="14"/>
        <v>4.640188753440818E-2</v>
      </c>
      <c r="P44" s="77">
        <f t="shared" ca="1" si="14"/>
        <v>4.5644342557720645E-2</v>
      </c>
      <c r="Q44" s="77">
        <f t="shared" ca="1" si="14"/>
        <v>4.7005795235028972E-2</v>
      </c>
      <c r="R44" s="77">
        <f t="shared" ca="1" si="14"/>
        <v>4.7004809794490593E-2</v>
      </c>
      <c r="S44" s="77">
        <f t="shared" ca="1" si="14"/>
        <v>4.7808945484207187E-2</v>
      </c>
      <c r="T44" s="77">
        <f t="shared" ca="1" si="14"/>
        <v>4.8966267682263323E-2</v>
      </c>
      <c r="U44" s="77">
        <f t="shared" ca="1" si="14"/>
        <v>4.9263486489123015E-2</v>
      </c>
      <c r="V44" s="77">
        <f t="shared" ca="1" si="14"/>
        <v>4.4828542379147789E-2</v>
      </c>
      <c r="W44" s="77">
        <f t="shared" ca="1" si="14"/>
        <v>4.4188919509645541E-2</v>
      </c>
      <c r="X44" s="77">
        <f t="shared" ca="1" si="14"/>
        <v>3.4468671807179704E-2</v>
      </c>
      <c r="Y44" s="62"/>
      <c r="Z44" s="62"/>
      <c r="AA44" s="62"/>
      <c r="AB44" s="62"/>
    </row>
    <row r="45" spans="1:28" x14ac:dyDescent="0.25">
      <c r="A45" s="44" t="s">
        <v>34</v>
      </c>
      <c r="B45" s="45">
        <f t="shared" ca="1" si="15"/>
        <v>56</v>
      </c>
      <c r="C45" s="1">
        <f>IF(ISERROR(D45),"",IF(D45="","",MAX($C$12:C44)+1))</f>
        <v>33</v>
      </c>
      <c r="D45" t="str">
        <f t="shared" si="3"/>
        <v xml:space="preserve">PPL Corp.                     </v>
      </c>
      <c r="E45" s="15"/>
      <c r="F45" s="77">
        <f t="shared" ca="1" si="9"/>
        <v>8.5034690598279714E-2</v>
      </c>
      <c r="G45" s="77">
        <f t="shared" si="4"/>
        <v>5.0264550264550269E-2</v>
      </c>
      <c r="H45" s="77">
        <f t="shared" si="5"/>
        <v>4.6585494970884066E-2</v>
      </c>
      <c r="I45" s="77">
        <f t="shared" si="6"/>
        <v>8.8912694161756817E-2</v>
      </c>
      <c r="J45" s="77">
        <f t="shared" si="7"/>
        <v>9.5457159286946508E-2</v>
      </c>
      <c r="K45" s="77">
        <f t="shared" ca="1" si="10"/>
        <v>9.7448618001417436E-2</v>
      </c>
      <c r="L45" s="77">
        <f t="shared" ca="1" si="11"/>
        <v>0.10134091330408453</v>
      </c>
      <c r="M45" s="77">
        <f t="shared" ca="1" si="12"/>
        <v>0.10181068367807204</v>
      </c>
      <c r="N45" s="77">
        <f t="shared" ca="1" si="13"/>
        <v>0.10437409874339078</v>
      </c>
      <c r="O45" s="77">
        <f t="shared" ref="O45:X57" ca="1" si="16">IFERROR(INDEX(DIV_BV_WP,$B45,O$12),"N/A")</f>
        <v>0.10190217391304347</v>
      </c>
      <c r="P45" s="77">
        <f t="shared" ca="1" si="16"/>
        <v>7.2800117261933847E-2</v>
      </c>
      <c r="Q45" s="77">
        <f t="shared" ca="1" si="16"/>
        <v>7.4328765737978461E-2</v>
      </c>
      <c r="R45" s="77">
        <f t="shared" ca="1" si="16"/>
        <v>7.9960019990004988E-2</v>
      </c>
      <c r="S45" s="77">
        <f t="shared" ca="1" si="16"/>
        <v>7.4786324786324784E-2</v>
      </c>
      <c r="T45" s="77">
        <f t="shared" ca="1" si="16"/>
        <v>8.2430522845030607E-2</v>
      </c>
      <c r="U45" s="77">
        <f t="shared" ca="1" si="16"/>
        <v>9.4708667901997112E-2</v>
      </c>
      <c r="V45" s="77">
        <f t="shared" ca="1" si="16"/>
        <v>9.8863804043086909E-2</v>
      </c>
      <c r="W45" s="77">
        <f t="shared" ca="1" si="16"/>
        <v>8.1961706415854887E-2</v>
      </c>
      <c r="X45" s="77">
        <f t="shared" ca="1" si="16"/>
        <v>8.2688115462677597E-2</v>
      </c>
      <c r="Y45" s="62"/>
      <c r="Z45" s="62"/>
      <c r="AA45" s="62"/>
      <c r="AB45" s="62"/>
    </row>
    <row r="46" spans="1:28" x14ac:dyDescent="0.25">
      <c r="A46" s="44" t="s">
        <v>35</v>
      </c>
      <c r="B46" s="45">
        <f t="shared" ca="1" si="15"/>
        <v>57</v>
      </c>
      <c r="C46" s="1">
        <f>IF(ISERROR(D46),"",IF(D46="","",MAX($C$12:C45)+1))</f>
        <v>34</v>
      </c>
      <c r="D46" t="str">
        <f t="shared" si="3"/>
        <v xml:space="preserve">Public Serv. Enterprise       </v>
      </c>
      <c r="E46" s="15"/>
      <c r="F46" s="77">
        <f t="shared" ca="1" si="9"/>
        <v>6.9685398423288247E-2</v>
      </c>
      <c r="G46" s="77">
        <f t="shared" si="4"/>
        <v>7.3359073359073351E-2</v>
      </c>
      <c r="H46" s="77">
        <f t="shared" si="5"/>
        <v>7.8204199855177403E-2</v>
      </c>
      <c r="I46" s="77">
        <f t="shared" si="6"/>
        <v>7.1204188481675396E-2</v>
      </c>
      <c r="J46" s="77">
        <f t="shared" si="7"/>
        <v>6.181015452538631E-2</v>
      </c>
      <c r="K46" s="77">
        <f t="shared" ca="1" si="10"/>
        <v>6.2796445988375971E-2</v>
      </c>
      <c r="L46" s="77">
        <f t="shared" ca="1" si="11"/>
        <v>6.3100329523943066E-2</v>
      </c>
      <c r="M46" s="77">
        <f t="shared" ca="1" si="12"/>
        <v>6.2727935813274974E-2</v>
      </c>
      <c r="N46" s="77">
        <f t="shared" ca="1" si="13"/>
        <v>6.3059945399315559E-2</v>
      </c>
      <c r="O46" s="77">
        <f t="shared" ca="1" si="16"/>
        <v>6.0327158822846977E-2</v>
      </c>
      <c r="P46" s="77">
        <f t="shared" ca="1" si="16"/>
        <v>6.1438831001702027E-2</v>
      </c>
      <c r="Q46" s="77">
        <f t="shared" ca="1" si="16"/>
        <v>6.2753301085109167E-2</v>
      </c>
      <c r="R46" s="77">
        <f t="shared" ca="1" si="16"/>
        <v>6.6638509549955413E-2</v>
      </c>
      <c r="S46" s="77">
        <f t="shared" ca="1" si="16"/>
        <v>6.7491009409330519E-2</v>
      </c>
      <c r="T46" s="77">
        <f t="shared" ca="1" si="16"/>
        <v>7.1957560796260311E-2</v>
      </c>
      <c r="U46" s="77">
        <f t="shared" ca="1" si="16"/>
        <v>7.6577614002763708E-2</v>
      </c>
      <c r="V46" s="77">
        <f t="shared" ca="1" si="16"/>
        <v>8.40007814026177E-2</v>
      </c>
      <c r="W46" s="77">
        <f t="shared" ca="1" si="16"/>
        <v>8.1516059360412452E-2</v>
      </c>
      <c r="X46" s="77">
        <f t="shared" ca="1" si="16"/>
        <v>8.5374073241968093E-2</v>
      </c>
      <c r="Y46" s="62"/>
      <c r="Z46" s="62"/>
      <c r="AA46" s="62"/>
      <c r="AB46" s="62"/>
    </row>
    <row r="47" spans="1:28" x14ac:dyDescent="0.25">
      <c r="A47" s="44" t="s">
        <v>36</v>
      </c>
      <c r="B47" s="45">
        <f t="shared" ca="1" si="15"/>
        <v>58</v>
      </c>
      <c r="C47" s="1">
        <f>IF(ISERROR(D47),"",IF(D47="","",MAX($C$12:C46)+1))</f>
        <v>35</v>
      </c>
      <c r="D47" t="str">
        <f t="shared" si="3"/>
        <v xml:space="preserve">SCANA Corp.                   </v>
      </c>
      <c r="E47" s="15"/>
      <c r="F47" s="77">
        <f t="shared" ca="1" si="9"/>
        <v>6.4445097088293768E-2</v>
      </c>
      <c r="G47" s="77" t="str">
        <f t="shared" si="4"/>
        <v>N/A</v>
      </c>
      <c r="H47" s="77" t="str">
        <f t="shared" si="5"/>
        <v>N/A</v>
      </c>
      <c r="I47" s="77" t="str">
        <f t="shared" si="6"/>
        <v>N/A</v>
      </c>
      <c r="J47" s="77" t="s">
        <v>106</v>
      </c>
      <c r="K47" s="77" t="str">
        <f t="shared" ca="1" si="10"/>
        <v>N/A</v>
      </c>
      <c r="L47" s="77" t="str">
        <f t="shared" ca="1" si="11"/>
        <v>N/A</v>
      </c>
      <c r="M47" s="77">
        <f t="shared" ca="1" si="12"/>
        <v>6.6670294982039843E-2</v>
      </c>
      <c r="N47" s="77">
        <f t="shared" ca="1" si="13"/>
        <v>5.7409579911639162E-2</v>
      </c>
      <c r="O47" s="77">
        <f t="shared" ca="1" si="16"/>
        <v>5.7232869519558936E-2</v>
      </c>
      <c r="P47" s="77">
        <f t="shared" ca="1" si="16"/>
        <v>6.0090994935187568E-2</v>
      </c>
      <c r="Q47" s="77">
        <f t="shared" ca="1" si="16"/>
        <v>6.1370094927141898E-2</v>
      </c>
      <c r="R47" s="77">
        <f t="shared" ca="1" si="16"/>
        <v>6.2923062255696452E-2</v>
      </c>
      <c r="S47" s="77">
        <f t="shared" ca="1" si="16"/>
        <v>6.4789767224393002E-2</v>
      </c>
      <c r="T47" s="77">
        <f t="shared" ca="1" si="16"/>
        <v>6.5408978242908297E-2</v>
      </c>
      <c r="U47" s="77">
        <f t="shared" ca="1" si="16"/>
        <v>6.8039520828055436E-2</v>
      </c>
      <c r="V47" s="77">
        <f t="shared" ca="1" si="16"/>
        <v>7.117162418288013E-2</v>
      </c>
      <c r="W47" s="77">
        <f t="shared" ca="1" si="16"/>
        <v>6.9367807031373172E-2</v>
      </c>
      <c r="X47" s="77">
        <f t="shared" ca="1" si="16"/>
        <v>6.886657101865136E-2</v>
      </c>
      <c r="Y47" s="62"/>
      <c r="Z47" s="62"/>
      <c r="AA47" s="62"/>
      <c r="AB47" s="62"/>
    </row>
    <row r="48" spans="1:28" x14ac:dyDescent="0.25">
      <c r="A48" s="44" t="s">
        <v>37</v>
      </c>
      <c r="B48" s="45">
        <f t="shared" ca="1" si="15"/>
        <v>59</v>
      </c>
      <c r="C48" s="1">
        <f>IF(ISERROR(D48),"",IF(D48="","",MAX($C$12:C47)+1))</f>
        <v>36</v>
      </c>
      <c r="D48" t="str">
        <f t="shared" si="3"/>
        <v xml:space="preserve">Sempra Energy                 </v>
      </c>
      <c r="E48" s="15"/>
      <c r="F48" s="77">
        <f t="shared" ca="1" si="9"/>
        <v>5.3336353708152255E-2</v>
      </c>
      <c r="G48" s="77">
        <f t="shared" si="4"/>
        <v>5.4090909090909085E-2</v>
      </c>
      <c r="H48" s="77">
        <f t="shared" si="5"/>
        <v>5.4896320268488549E-2</v>
      </c>
      <c r="I48" s="77">
        <f t="shared" si="6"/>
        <v>5.5576607300745234E-2</v>
      </c>
      <c r="J48" s="77">
        <f t="shared" si="7"/>
        <v>5.9620596205962058E-2</v>
      </c>
      <c r="K48" s="77">
        <f t="shared" ca="1" si="10"/>
        <v>6.3885633161100755E-2</v>
      </c>
      <c r="L48" s="77">
        <f t="shared" ca="1" si="11"/>
        <v>6.5866941418899039E-2</v>
      </c>
      <c r="M48" s="77">
        <f t="shared" ca="1" si="12"/>
        <v>6.5270007538785063E-2</v>
      </c>
      <c r="N48" s="77">
        <f t="shared" ca="1" si="13"/>
        <v>5.8332689484663525E-2</v>
      </c>
      <c r="O48" s="77">
        <f t="shared" ca="1" si="16"/>
        <v>5.8873002523128673E-2</v>
      </c>
      <c r="P48" s="77">
        <f t="shared" ca="1" si="16"/>
        <v>5.741751669240306E-2</v>
      </c>
      <c r="Q48" s="77">
        <f t="shared" ca="1" si="16"/>
        <v>5.5962691538974013E-2</v>
      </c>
      <c r="R48" s="77">
        <f t="shared" ca="1" si="16"/>
        <v>5.6573085354642526E-2</v>
      </c>
      <c r="S48" s="77">
        <f t="shared" ca="1" si="16"/>
        <v>4.6825842011560127E-2</v>
      </c>
      <c r="T48" s="77">
        <f t="shared" ca="1" si="16"/>
        <v>4.1552353301547558E-2</v>
      </c>
      <c r="U48" s="77">
        <f t="shared" ca="1" si="16"/>
        <v>4.2695276150856651E-2</v>
      </c>
      <c r="V48" s="77">
        <f t="shared" ca="1" si="16"/>
        <v>4.1830783792861294E-2</v>
      </c>
      <c r="W48" s="77">
        <f t="shared" ca="1" si="16"/>
        <v>3.8908064010040787E-2</v>
      </c>
      <c r="X48" s="77">
        <f t="shared" ca="1" si="16"/>
        <v>4.1876046901172533E-2</v>
      </c>
      <c r="Y48" s="62"/>
      <c r="Z48" s="62"/>
      <c r="AA48" s="62"/>
      <c r="AB48" s="62"/>
    </row>
    <row r="49" spans="1:28" x14ac:dyDescent="0.25">
      <c r="A49" s="44" t="s">
        <v>38</v>
      </c>
      <c r="B49" s="45">
        <f t="shared" ca="1" si="15"/>
        <v>63</v>
      </c>
      <c r="C49" s="1">
        <f>IF(ISERROR(D49),"",IF(D49="","",MAX($C$12:C48)+1))</f>
        <v>37</v>
      </c>
      <c r="D49" t="str">
        <f t="shared" si="3"/>
        <v xml:space="preserve">Southern Co.                  </v>
      </c>
      <c r="E49" s="15"/>
      <c r="F49" s="77">
        <f t="shared" ca="1" si="9"/>
        <v>9.5627520779483721E-2</v>
      </c>
      <c r="G49" s="77">
        <f t="shared" si="4"/>
        <v>9.6460791117279662E-2</v>
      </c>
      <c r="H49" s="77">
        <f t="shared" si="5"/>
        <v>9.6670247046186902E-2</v>
      </c>
      <c r="I49" s="77">
        <f t="shared" si="6"/>
        <v>9.9619771863117879E-2</v>
      </c>
      <c r="J49" s="77">
        <f t="shared" si="7"/>
        <v>9.5921450151057408E-2</v>
      </c>
      <c r="K49" s="77">
        <f t="shared" ca="1" si="10"/>
        <v>9.4202343570498573E-2</v>
      </c>
      <c r="L49" s="77">
        <f t="shared" ca="1" si="11"/>
        <v>9.9519130252979301E-2</v>
      </c>
      <c r="M49" s="77">
        <f t="shared" ca="1" si="12"/>
        <v>9.5893266624973938E-2</v>
      </c>
      <c r="N49" s="77">
        <f t="shared" ca="1" si="13"/>
        <v>8.8927114169133528E-2</v>
      </c>
      <c r="O49" s="77">
        <f t="shared" ca="1" si="16"/>
        <v>9.5324537324006031E-2</v>
      </c>
      <c r="P49" s="77">
        <f t="shared" ca="1" si="16"/>
        <v>9.4785220240262119E-2</v>
      </c>
      <c r="Q49" s="77">
        <f t="shared" ca="1" si="16"/>
        <v>9.394688943855882E-2</v>
      </c>
      <c r="R49" s="77">
        <f t="shared" ca="1" si="16"/>
        <v>9.2150818117144886E-2</v>
      </c>
      <c r="S49" s="77">
        <f t="shared" ca="1" si="16"/>
        <v>9.2184270105325317E-2</v>
      </c>
      <c r="T49" s="77">
        <f t="shared" ca="1" si="16"/>
        <v>9.3847595252966889E-2</v>
      </c>
      <c r="U49" s="77">
        <f t="shared" ca="1" si="16"/>
        <v>9.5471573380343761E-2</v>
      </c>
      <c r="V49" s="77">
        <f t="shared" ca="1" si="16"/>
        <v>9.7353939819693244E-2</v>
      </c>
      <c r="W49" s="77">
        <f t="shared" ca="1" si="16"/>
        <v>9.8274799753542821E-2</v>
      </c>
      <c r="X49" s="77">
        <f t="shared" ca="1" si="16"/>
        <v>0.10074161580363589</v>
      </c>
      <c r="Y49" s="62"/>
      <c r="Z49" s="62"/>
      <c r="AA49" s="62"/>
      <c r="AB49" s="62"/>
    </row>
    <row r="50" spans="1:28" x14ac:dyDescent="0.25">
      <c r="A50" s="44" t="s">
        <v>42</v>
      </c>
      <c r="B50" s="45">
        <f t="shared" ca="1" si="15"/>
        <v>71</v>
      </c>
      <c r="C50" s="1">
        <f>IF(ISERROR(D50),"",IF(D50="","",MAX($C$12:C49)+1))</f>
        <v>38</v>
      </c>
      <c r="D50" t="str">
        <f t="shared" si="3"/>
        <v xml:space="preserve">Vectren Corp.                 </v>
      </c>
      <c r="E50" s="15"/>
      <c r="F50" s="77">
        <f t="shared" ca="1" si="9"/>
        <v>7.7093012359633672E-2</v>
      </c>
      <c r="G50" s="77" t="str">
        <f t="shared" si="4"/>
        <v>N/A</v>
      </c>
      <c r="H50" s="77" t="str">
        <f t="shared" si="5"/>
        <v>N/A</v>
      </c>
      <c r="I50" s="77" t="str">
        <f t="shared" si="6"/>
        <v>N/A</v>
      </c>
      <c r="J50" s="77" t="s">
        <v>106</v>
      </c>
      <c r="K50" s="77" t="str">
        <f t="shared" ca="1" si="10"/>
        <v>N/A</v>
      </c>
      <c r="L50" s="77" t="str">
        <f t="shared" ca="1" si="11"/>
        <v>N/A</v>
      </c>
      <c r="M50" s="77">
        <f t="shared" ca="1" si="12"/>
        <v>7.6747004173959882E-2</v>
      </c>
      <c r="N50" s="77">
        <f t="shared" ca="1" si="13"/>
        <v>7.5956489122280577E-2</v>
      </c>
      <c r="O50" s="77">
        <f t="shared" ca="1" si="16"/>
        <v>7.5727773406766327E-2</v>
      </c>
      <c r="P50" s="77">
        <f t="shared" ca="1" si="16"/>
        <v>7.5064267352185091E-2</v>
      </c>
      <c r="Q50" s="77">
        <f t="shared" ca="1" si="16"/>
        <v>7.5544717171181677E-2</v>
      </c>
      <c r="R50" s="77">
        <f t="shared" ca="1" si="16"/>
        <v>7.5675966821070778E-2</v>
      </c>
      <c r="S50" s="77">
        <f t="shared" ca="1" si="16"/>
        <v>7.7400245892477931E-2</v>
      </c>
      <c r="T50" s="77">
        <f t="shared" ca="1" si="16"/>
        <v>7.7787871905518974E-2</v>
      </c>
      <c r="U50" s="77">
        <f t="shared" ca="1" si="16"/>
        <v>7.8360807986997905E-2</v>
      </c>
      <c r="V50" s="77">
        <f t="shared" ca="1" si="16"/>
        <v>7.8532462082608959E-2</v>
      </c>
      <c r="W50" s="77">
        <f t="shared" ca="1" si="16"/>
        <v>7.8603701182150154E-2</v>
      </c>
      <c r="X50" s="77">
        <f t="shared" ca="1" si="16"/>
        <v>7.9714841218405705E-2</v>
      </c>
      <c r="Y50" s="62"/>
      <c r="Z50" s="62"/>
      <c r="AA50" s="62"/>
      <c r="AB50" s="62"/>
    </row>
    <row r="51" spans="1:28" x14ac:dyDescent="0.25">
      <c r="A51" s="44" t="s">
        <v>44</v>
      </c>
      <c r="B51" s="45">
        <f t="shared" ca="1" si="15"/>
        <v>72</v>
      </c>
      <c r="C51" s="1">
        <f>IF(ISERROR(D51),"",IF(D51="","",MAX($C$12:C50)+1))</f>
        <v>39</v>
      </c>
      <c r="D51" t="str">
        <f t="shared" si="3"/>
        <v>WEC Energy Group</v>
      </c>
      <c r="E51" s="15"/>
      <c r="F51" s="77">
        <f t="shared" ca="1" si="9"/>
        <v>6.4171539286398349E-2</v>
      </c>
      <c r="G51" s="77">
        <f t="shared" si="4"/>
        <v>8.3758389261744975E-2</v>
      </c>
      <c r="H51" s="77">
        <f t="shared" si="5"/>
        <v>7.9162132752992387E-2</v>
      </c>
      <c r="I51" s="77">
        <f t="shared" si="6"/>
        <v>7.832369942196532E-2</v>
      </c>
      <c r="J51" s="77">
        <f t="shared" si="7"/>
        <v>7.6227779451642066E-2</v>
      </c>
      <c r="K51" s="77">
        <f t="shared" ca="1" si="10"/>
        <v>7.3607385690225194E-2</v>
      </c>
      <c r="L51" s="77">
        <f t="shared" ca="1" si="11"/>
        <v>7.1235172769468794E-2</v>
      </c>
      <c r="M51" s="77">
        <f t="shared" ca="1" si="12"/>
        <v>6.9377272272439214E-2</v>
      </c>
      <c r="N51" s="77">
        <f t="shared" ca="1" si="13"/>
        <v>6.9981974339942743E-2</v>
      </c>
      <c r="O51" s="77">
        <f t="shared" ca="1" si="16"/>
        <v>6.3466588853224398E-2</v>
      </c>
      <c r="P51" s="77">
        <f t="shared" ca="1" si="16"/>
        <v>7.9599959179508115E-2</v>
      </c>
      <c r="Q51" s="77">
        <f t="shared" ca="1" si="16"/>
        <v>7.7136603854161101E-2</v>
      </c>
      <c r="R51" s="77">
        <f t="shared" ca="1" si="16"/>
        <v>6.6467264872050513E-2</v>
      </c>
      <c r="S51" s="77">
        <f t="shared" ca="1" si="16"/>
        <v>6.0482698458854317E-2</v>
      </c>
      <c r="T51" s="77">
        <f t="shared" ca="1" si="16"/>
        <v>4.9188391539596657E-2</v>
      </c>
      <c r="U51" s="77">
        <f t="shared" ca="1" si="16"/>
        <v>4.4247787610619468E-2</v>
      </c>
      <c r="V51" s="77">
        <f t="shared" ca="1" si="16"/>
        <v>3.7841625788367209E-2</v>
      </c>
      <c r="W51" s="77">
        <f t="shared" ca="1" si="16"/>
        <v>3.7733001282922042E-2</v>
      </c>
      <c r="X51" s="77">
        <f t="shared" ca="1" si="16"/>
        <v>3.7249979755445785E-2</v>
      </c>
      <c r="Y51" s="62"/>
      <c r="Z51" s="62"/>
      <c r="AA51" s="62"/>
      <c r="AB51" s="62"/>
    </row>
    <row r="52" spans="1:28" x14ac:dyDescent="0.25">
      <c r="A52" s="44" t="s">
        <v>43</v>
      </c>
      <c r="B52" s="45">
        <f t="shared" ca="1" si="15"/>
        <v>73</v>
      </c>
      <c r="C52" s="1">
        <f>IF(ISERROR(D52),"",IF(D52="","",MAX($C$12:C51)+1))</f>
        <v>40</v>
      </c>
      <c r="D52" t="str">
        <f t="shared" si="3"/>
        <v xml:space="preserve">Westar Energy                 </v>
      </c>
      <c r="E52" s="15"/>
      <c r="F52" s="77">
        <f t="shared" ca="1" si="9"/>
        <v>5.7109990938186313E-2</v>
      </c>
      <c r="G52" s="77" t="str">
        <f t="shared" si="4"/>
        <v>N/A</v>
      </c>
      <c r="H52" s="77" t="str">
        <f t="shared" si="5"/>
        <v>N/A</v>
      </c>
      <c r="I52" s="77" t="str">
        <f t="shared" si="6"/>
        <v>N/A</v>
      </c>
      <c r="J52" s="77" t="s">
        <v>106</v>
      </c>
      <c r="K52" s="77" t="str">
        <f t="shared" ca="1" si="10"/>
        <v>N/A</v>
      </c>
      <c r="L52" s="77" t="str">
        <f t="shared" ca="1" si="11"/>
        <v>N/A</v>
      </c>
      <c r="M52" s="77">
        <f t="shared" ca="1" si="12"/>
        <v>5.8181818181818182E-2</v>
      </c>
      <c r="N52" s="77">
        <f t="shared" ca="1" si="13"/>
        <v>5.662978279497783E-2</v>
      </c>
      <c r="O52" s="77">
        <f t="shared" ca="1" si="16"/>
        <v>5.5665081758088833E-2</v>
      </c>
      <c r="P52" s="77">
        <f t="shared" ca="1" si="16"/>
        <v>5.5955235811350916E-2</v>
      </c>
      <c r="Q52" s="77">
        <f t="shared" ca="1" si="16"/>
        <v>5.6953808785962561E-2</v>
      </c>
      <c r="R52" s="77">
        <f t="shared" ca="1" si="16"/>
        <v>5.765702804228183E-2</v>
      </c>
      <c r="S52" s="77">
        <f t="shared" ca="1" si="16"/>
        <v>5.8099950070355413E-2</v>
      </c>
      <c r="T52" s="77">
        <f t="shared" ca="1" si="16"/>
        <v>5.8350195284927762E-2</v>
      </c>
      <c r="U52" s="77">
        <f t="shared" ca="1" si="16"/>
        <v>5.8292043136111922E-2</v>
      </c>
      <c r="V52" s="77">
        <f t="shared" ca="1" si="16"/>
        <v>5.7471264367816084E-2</v>
      </c>
      <c r="W52" s="77">
        <f t="shared" ca="1" si="16"/>
        <v>5.6429280526673294E-2</v>
      </c>
      <c r="X52" s="77">
        <f t="shared" ca="1" si="16"/>
        <v>5.563440249787114E-2</v>
      </c>
      <c r="Y52" s="62"/>
      <c r="Z52" s="62"/>
      <c r="AA52" s="62"/>
      <c r="AB52" s="62"/>
    </row>
    <row r="53" spans="1:28" x14ac:dyDescent="0.25">
      <c r="A53" s="44" t="s">
        <v>45</v>
      </c>
      <c r="B53" s="45">
        <f t="shared" ca="1" si="15"/>
        <v>75</v>
      </c>
      <c r="C53" s="1">
        <f>IF(ISERROR(D53),"",IF(D53="","",MAX($C$12:C52)+1))</f>
        <v>41</v>
      </c>
      <c r="D53" t="str">
        <f t="shared" si="3"/>
        <v xml:space="preserve">Xcel Energy Inc.              </v>
      </c>
      <c r="E53" s="15"/>
      <c r="F53" s="77">
        <f t="shared" ca="1" si="9"/>
        <v>6.1850850889599532E-2</v>
      </c>
      <c r="G53" s="77">
        <f t="shared" si="4"/>
        <v>6.5532451165721498E-2</v>
      </c>
      <c r="H53" s="77">
        <f t="shared" si="5"/>
        <v>6.4271588661832565E-2</v>
      </c>
      <c r="I53" s="77">
        <f t="shared" si="6"/>
        <v>6.3763066202090601E-2</v>
      </c>
      <c r="J53" s="77">
        <f t="shared" si="7"/>
        <v>6.3421828908554564E-2</v>
      </c>
      <c r="K53" s="77">
        <f t="shared" ca="1" si="10"/>
        <v>6.4186378224176874E-2</v>
      </c>
      <c r="L53" s="77">
        <f t="shared" ca="1" si="11"/>
        <v>6.3927324725575135E-2</v>
      </c>
      <c r="M53" s="77">
        <f t="shared" ca="1" si="12"/>
        <v>6.3829787234042548E-2</v>
      </c>
      <c r="N53" s="77">
        <f t="shared" ca="1" si="13"/>
        <v>6.2592047128129602E-2</v>
      </c>
      <c r="O53" s="77">
        <f t="shared" ca="1" si="16"/>
        <v>6.1282137214535355E-2</v>
      </c>
      <c r="P53" s="77">
        <f t="shared" ca="1" si="16"/>
        <v>5.9414764568995394E-2</v>
      </c>
      <c r="Q53" s="77">
        <f t="shared" ca="1" si="16"/>
        <v>5.7782404997397188E-2</v>
      </c>
      <c r="R53" s="77">
        <f t="shared" ca="1" si="16"/>
        <v>5.8836467612449143E-2</v>
      </c>
      <c r="S53" s="77">
        <f t="shared" ca="1" si="16"/>
        <v>5.9076570117579587E-2</v>
      </c>
      <c r="T53" s="77">
        <f t="shared" ca="1" si="16"/>
        <v>5.9669431350319227E-2</v>
      </c>
      <c r="U53" s="77">
        <f t="shared" ca="1" si="16"/>
        <v>6.0933475720836731E-2</v>
      </c>
      <c r="V53" s="77">
        <f t="shared" ca="1" si="16"/>
        <v>6.1253746904730871E-2</v>
      </c>
      <c r="W53" s="77">
        <f t="shared" ca="1" si="16"/>
        <v>6.1925825110581832E-2</v>
      </c>
      <c r="X53" s="77">
        <f t="shared" ca="1" si="16"/>
        <v>6.1616020165242966E-2</v>
      </c>
      <c r="Y53" s="62"/>
      <c r="Z53" s="62"/>
      <c r="AA53" s="62"/>
      <c r="AB53" s="62"/>
    </row>
    <row r="54" spans="1:28" hidden="1" x14ac:dyDescent="0.25">
      <c r="A54" s="44"/>
      <c r="B54" s="45" t="str">
        <f t="shared" ca="1" si="15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77" t="str">
        <f t="shared" ca="1" si="9"/>
        <v>N/A</v>
      </c>
      <c r="G54" s="77"/>
      <c r="H54" s="77" t="str">
        <f t="shared" si="5"/>
        <v>N/A</v>
      </c>
      <c r="I54" s="77" t="str">
        <f t="shared" si="6"/>
        <v>N/A</v>
      </c>
      <c r="J54" s="77" t="str">
        <f t="shared" si="7"/>
        <v>N/A</v>
      </c>
      <c r="K54" s="77" t="str">
        <f t="shared" ca="1" si="10"/>
        <v>N/A</v>
      </c>
      <c r="L54" s="77" t="str">
        <f t="shared" ca="1" si="11"/>
        <v>N/A</v>
      </c>
      <c r="M54" s="77"/>
      <c r="N54" s="77" t="str">
        <f t="shared" ca="1" si="13"/>
        <v>N/A</v>
      </c>
      <c r="O54" s="77" t="str">
        <f t="shared" ca="1" si="16"/>
        <v>N/A</v>
      </c>
      <c r="P54" s="77" t="str">
        <f t="shared" ca="1" si="16"/>
        <v>N/A</v>
      </c>
      <c r="Q54" s="77" t="str">
        <f t="shared" ca="1" si="16"/>
        <v>N/A</v>
      </c>
      <c r="R54" s="77" t="str">
        <f t="shared" ca="1" si="16"/>
        <v>N/A</v>
      </c>
      <c r="S54" s="77" t="str">
        <f t="shared" ca="1" si="16"/>
        <v>N/A</v>
      </c>
      <c r="T54" s="77" t="str">
        <f t="shared" ca="1" si="16"/>
        <v>N/A</v>
      </c>
      <c r="U54" s="77" t="str">
        <f t="shared" ca="1" si="16"/>
        <v>N/A</v>
      </c>
      <c r="V54" s="77" t="str">
        <f t="shared" ca="1" si="16"/>
        <v>N/A</v>
      </c>
      <c r="W54" s="77" t="str">
        <f t="shared" ca="1" si="16"/>
        <v>N/A</v>
      </c>
      <c r="X54" s="77" t="str">
        <f t="shared" ca="1" si="16"/>
        <v>N/A</v>
      </c>
      <c r="Y54" s="62"/>
      <c r="Z54" s="62"/>
      <c r="AA54" s="62"/>
      <c r="AB54" s="62"/>
    </row>
    <row r="55" spans="1:28" hidden="1" x14ac:dyDescent="0.25">
      <c r="A55" s="50"/>
      <c r="B55" s="45" t="str">
        <f t="shared" ca="1" si="15"/>
        <v/>
      </c>
      <c r="C55" s="1" t="str">
        <f>IF(ISERROR(D55),"",IF(D55="","",MAX($C$12:C54)+1))</f>
        <v/>
      </c>
      <c r="D55" t="e">
        <f t="shared" si="3"/>
        <v>#N/A</v>
      </c>
      <c r="F55" s="77" t="str">
        <f t="shared" ca="1" si="9"/>
        <v>N/A</v>
      </c>
      <c r="G55" s="77"/>
      <c r="H55" s="77" t="str">
        <f t="shared" si="5"/>
        <v>N/A</v>
      </c>
      <c r="I55" s="77" t="str">
        <f t="shared" si="6"/>
        <v>N/A</v>
      </c>
      <c r="J55" s="77" t="str">
        <f t="shared" si="7"/>
        <v>N/A</v>
      </c>
      <c r="K55" s="77" t="str">
        <f t="shared" ca="1" si="10"/>
        <v>N/A</v>
      </c>
      <c r="L55" s="77" t="str">
        <f t="shared" ca="1" si="11"/>
        <v>N/A</v>
      </c>
      <c r="M55" s="77"/>
      <c r="N55" s="77" t="str">
        <f t="shared" ca="1" si="13"/>
        <v>N/A</v>
      </c>
      <c r="O55" s="77" t="str">
        <f t="shared" ca="1" si="16"/>
        <v>N/A</v>
      </c>
      <c r="P55" s="77" t="str">
        <f t="shared" ca="1" si="16"/>
        <v>N/A</v>
      </c>
      <c r="Q55" s="77" t="str">
        <f t="shared" ca="1" si="16"/>
        <v>N/A</v>
      </c>
      <c r="R55" s="77" t="str">
        <f t="shared" ca="1" si="16"/>
        <v>N/A</v>
      </c>
      <c r="S55" s="77" t="str">
        <f t="shared" ca="1" si="16"/>
        <v>N/A</v>
      </c>
      <c r="T55" s="77" t="str">
        <f t="shared" ca="1" si="16"/>
        <v>N/A</v>
      </c>
      <c r="U55" s="77" t="str">
        <f t="shared" ca="1" si="16"/>
        <v>N/A</v>
      </c>
      <c r="V55" s="77" t="str">
        <f t="shared" ca="1" si="16"/>
        <v>N/A</v>
      </c>
      <c r="W55" s="77" t="str">
        <f t="shared" ca="1" si="16"/>
        <v>N/A</v>
      </c>
      <c r="X55" s="77" t="str">
        <f t="shared" ca="1" si="16"/>
        <v>N/A</v>
      </c>
      <c r="Y55" s="62"/>
      <c r="Z55" s="62"/>
      <c r="AA55" s="62"/>
      <c r="AB55" s="62"/>
    </row>
    <row r="56" spans="1:28" hidden="1" x14ac:dyDescent="0.25">
      <c r="A56" s="50"/>
      <c r="B56" s="45" t="str">
        <f t="shared" ca="1" si="15"/>
        <v/>
      </c>
      <c r="C56" s="1" t="str">
        <f>IF(ISERROR(D56),"",IF(D56="","",MAX($C$12:C55)+1))</f>
        <v/>
      </c>
      <c r="D56" t="e">
        <f t="shared" si="3"/>
        <v>#N/A</v>
      </c>
      <c r="F56" s="77" t="str">
        <f t="shared" ca="1" si="9"/>
        <v>N/A</v>
      </c>
      <c r="G56" s="77"/>
      <c r="H56" s="77" t="str">
        <f t="shared" si="5"/>
        <v>N/A</v>
      </c>
      <c r="I56" s="77" t="str">
        <f t="shared" si="6"/>
        <v>N/A</v>
      </c>
      <c r="J56" s="77" t="str">
        <f t="shared" si="7"/>
        <v>N/A</v>
      </c>
      <c r="K56" s="77" t="str">
        <f t="shared" ca="1" si="10"/>
        <v>N/A</v>
      </c>
      <c r="L56" s="77" t="str">
        <f t="shared" ca="1" si="11"/>
        <v>N/A</v>
      </c>
      <c r="M56" s="77"/>
      <c r="N56" s="77" t="str">
        <f t="shared" ca="1" si="13"/>
        <v>N/A</v>
      </c>
      <c r="O56" s="77" t="str">
        <f t="shared" ca="1" si="16"/>
        <v>N/A</v>
      </c>
      <c r="P56" s="77" t="str">
        <f t="shared" ca="1" si="16"/>
        <v>N/A</v>
      </c>
      <c r="Q56" s="77" t="str">
        <f t="shared" ca="1" si="16"/>
        <v>N/A</v>
      </c>
      <c r="R56" s="77" t="str">
        <f t="shared" ca="1" si="16"/>
        <v>N/A</v>
      </c>
      <c r="S56" s="77" t="str">
        <f t="shared" ca="1" si="16"/>
        <v>N/A</v>
      </c>
      <c r="T56" s="77" t="str">
        <f t="shared" ca="1" si="16"/>
        <v>N/A</v>
      </c>
      <c r="U56" s="77" t="str">
        <f t="shared" ca="1" si="16"/>
        <v>N/A</v>
      </c>
      <c r="V56" s="77" t="str">
        <f t="shared" ca="1" si="16"/>
        <v>N/A</v>
      </c>
      <c r="W56" s="77" t="str">
        <f t="shared" ca="1" si="16"/>
        <v>N/A</v>
      </c>
      <c r="X56" s="77" t="str">
        <f t="shared" ca="1" si="16"/>
        <v>N/A</v>
      </c>
      <c r="Y56" s="62"/>
      <c r="Z56" s="62"/>
      <c r="AA56" s="62"/>
      <c r="AB56" s="62"/>
    </row>
    <row r="57" spans="1:28" hidden="1" x14ac:dyDescent="0.25">
      <c r="A57" s="50"/>
      <c r="B57" s="45" t="str">
        <f t="shared" ca="1" si="15"/>
        <v/>
      </c>
      <c r="C57" s="1" t="str">
        <f>IF(ISERROR(D57),"",IF(D57="","",MAX($C$12:C56)+1))</f>
        <v/>
      </c>
      <c r="D57" t="e">
        <f t="shared" si="3"/>
        <v>#N/A</v>
      </c>
      <c r="F57" s="77" t="str">
        <f t="shared" ca="1" si="9"/>
        <v>N/A</v>
      </c>
      <c r="G57" s="77"/>
      <c r="H57" s="77" t="str">
        <f t="shared" si="5"/>
        <v>N/A</v>
      </c>
      <c r="I57" s="77" t="str">
        <f t="shared" si="6"/>
        <v>N/A</v>
      </c>
      <c r="J57" s="77" t="str">
        <f t="shared" si="7"/>
        <v>N/A</v>
      </c>
      <c r="K57" s="77" t="str">
        <f t="shared" ca="1" si="10"/>
        <v>N/A</v>
      </c>
      <c r="L57" s="77" t="str">
        <f t="shared" ca="1" si="11"/>
        <v>N/A</v>
      </c>
      <c r="M57" s="77"/>
      <c r="N57" s="77" t="str">
        <f t="shared" ca="1" si="13"/>
        <v>N/A</v>
      </c>
      <c r="O57" s="77" t="str">
        <f t="shared" ca="1" si="16"/>
        <v>N/A</v>
      </c>
      <c r="P57" s="77" t="str">
        <f t="shared" ca="1" si="16"/>
        <v>N/A</v>
      </c>
      <c r="Q57" s="77" t="str">
        <f t="shared" ca="1" si="16"/>
        <v>N/A</v>
      </c>
      <c r="R57" s="77" t="str">
        <f t="shared" ca="1" si="16"/>
        <v>N/A</v>
      </c>
      <c r="S57" s="77" t="str">
        <f t="shared" ca="1" si="16"/>
        <v>N/A</v>
      </c>
      <c r="T57" s="77" t="str">
        <f t="shared" ca="1" si="16"/>
        <v>N/A</v>
      </c>
      <c r="U57" s="77" t="str">
        <f t="shared" ca="1" si="16"/>
        <v>N/A</v>
      </c>
      <c r="V57" s="77" t="str">
        <f t="shared" ca="1" si="16"/>
        <v>N/A</v>
      </c>
      <c r="W57" s="77" t="str">
        <f t="shared" ca="1" si="16"/>
        <v>N/A</v>
      </c>
      <c r="X57" s="77" t="str">
        <f t="shared" ca="1" si="16"/>
        <v>N/A</v>
      </c>
      <c r="Y57" s="62"/>
      <c r="Z57" s="62"/>
      <c r="AA57" s="62"/>
      <c r="AB57" s="62"/>
    </row>
    <row r="58" spans="1:28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62"/>
      <c r="Z58" s="62"/>
      <c r="AA58" s="62"/>
      <c r="AB58" s="62"/>
    </row>
    <row r="59" spans="1:28" x14ac:dyDescent="0.25">
      <c r="A59" s="31"/>
      <c r="B59" s="31"/>
      <c r="C59" s="1">
        <f>IF(ISERROR(D59),"",IF(D59="","",MAX($C$12:C58)+1))</f>
        <v>42</v>
      </c>
      <c r="D59" t="s">
        <v>98</v>
      </c>
      <c r="F59" s="77">
        <f ca="1">AVERAGE(G59:X59)</f>
        <v>6.3433738822205252E-2</v>
      </c>
      <c r="G59" s="77">
        <f>AVERAGE(G13:G58)</f>
        <v>6.4206841620811417E-2</v>
      </c>
      <c r="H59" s="77">
        <f t="shared" ref="H59:X59" si="17">AVERAGE(H13:H58)</f>
        <v>6.4591937428897905E-2</v>
      </c>
      <c r="I59" s="77">
        <f t="shared" si="17"/>
        <v>6.5044501371753119E-2</v>
      </c>
      <c r="J59" s="77">
        <f t="shared" si="17"/>
        <v>6.649044123351823E-2</v>
      </c>
      <c r="K59" s="77">
        <f t="shared" ca="1" si="17"/>
        <v>6.567437339510504E-2</v>
      </c>
      <c r="L59" s="77">
        <f t="shared" ca="1" si="17"/>
        <v>6.6862969013056953E-2</v>
      </c>
      <c r="M59" s="77">
        <f t="shared" ca="1" si="17"/>
        <v>6.7334101454821021E-2</v>
      </c>
      <c r="N59" s="77">
        <f t="shared" ca="1" si="17"/>
        <v>6.4640807008314621E-2</v>
      </c>
      <c r="O59" s="77">
        <f t="shared" ca="1" si="17"/>
        <v>6.1342812886107045E-2</v>
      </c>
      <c r="P59" s="77">
        <f t="shared" ca="1" si="17"/>
        <v>6.0885885679319164E-2</v>
      </c>
      <c r="Q59" s="77">
        <f t="shared" ca="1" si="17"/>
        <v>6.1055248747113919E-2</v>
      </c>
      <c r="R59" s="77">
        <f t="shared" ca="1" si="17"/>
        <v>6.2900557280377231E-2</v>
      </c>
      <c r="S59" s="77">
        <f t="shared" ca="1" si="17"/>
        <v>6.1108203475690348E-2</v>
      </c>
      <c r="T59" s="77">
        <f t="shared" ca="1" si="17"/>
        <v>6.0685006550771005E-2</v>
      </c>
      <c r="U59" s="77">
        <f t="shared" ca="1" si="17"/>
        <v>6.131124808365112E-2</v>
      </c>
      <c r="V59" s="77">
        <f t="shared" ca="1" si="17"/>
        <v>6.3741716392060332E-2</v>
      </c>
      <c r="W59" s="77">
        <f t="shared" ca="1" si="17"/>
        <v>6.2922243254429119E-2</v>
      </c>
      <c r="X59" s="77">
        <f t="shared" ca="1" si="17"/>
        <v>6.1008403923896851E-2</v>
      </c>
      <c r="Y59" s="62"/>
      <c r="Z59" s="62"/>
      <c r="AA59" s="62"/>
      <c r="AB59" s="62"/>
    </row>
    <row r="60" spans="1:28" x14ac:dyDescent="0.25">
      <c r="A60" s="31"/>
      <c r="B60" s="31"/>
      <c r="C60" s="1">
        <f>IF(ISERROR(D60),"",IF(D60="","",MAX($C$12:C59)+1))</f>
        <v>43</v>
      </c>
      <c r="D60" t="s">
        <v>257</v>
      </c>
      <c r="F60" s="77">
        <f ca="1">MEDIAN(G60:X60)</f>
        <v>6.0923243753536971E-2</v>
      </c>
      <c r="G60" s="77">
        <f>MEDIAN(G13:G58)</f>
        <v>6.1038244611925946E-2</v>
      </c>
      <c r="H60" s="77">
        <f t="shared" ref="H60:X60" si="18">MEDIAN(H13:H58)</f>
        <v>5.9194070039553688E-2</v>
      </c>
      <c r="I60" s="77">
        <f t="shared" si="18"/>
        <v>6.3363119415109664E-2</v>
      </c>
      <c r="J60" s="77">
        <f t="shared" si="18"/>
        <v>6.181015452538631E-2</v>
      </c>
      <c r="K60" s="77">
        <f t="shared" ca="1" si="18"/>
        <v>6.2939958592132514E-2</v>
      </c>
      <c r="L60" s="77">
        <f t="shared" ca="1" si="18"/>
        <v>6.229512971262631E-2</v>
      </c>
      <c r="M60" s="77">
        <f t="shared" ca="1" si="18"/>
        <v>6.2532835330774167E-2</v>
      </c>
      <c r="N60" s="77">
        <f t="shared" ca="1" si="18"/>
        <v>5.8458549429084516E-2</v>
      </c>
      <c r="O60" s="77">
        <f t="shared" ca="1" si="18"/>
        <v>5.8174833307605173E-2</v>
      </c>
      <c r="P60" s="77">
        <f t="shared" ca="1" si="18"/>
        <v>5.8359621451104106E-2</v>
      </c>
      <c r="Q60" s="77">
        <f t="shared" ca="1" si="18"/>
        <v>5.8446505030339643E-2</v>
      </c>
      <c r="R60" s="77">
        <f t="shared" ca="1" si="18"/>
        <v>5.9924138590507756E-2</v>
      </c>
      <c r="S60" s="77">
        <f t="shared" ca="1" si="18"/>
        <v>6.0808242895148003E-2</v>
      </c>
      <c r="T60" s="77">
        <f t="shared" ca="1" si="18"/>
        <v>6.0062712538091242E-2</v>
      </c>
      <c r="U60" s="77">
        <f t="shared" ca="1" si="18"/>
        <v>5.9948979591836732E-2</v>
      </c>
      <c r="V60" s="77">
        <f t="shared" ca="1" si="18"/>
        <v>6.2176707246982599E-2</v>
      </c>
      <c r="W60" s="77">
        <f t="shared" ca="1" si="18"/>
        <v>6.2215477996965099E-2</v>
      </c>
      <c r="X60" s="77">
        <f t="shared" ca="1" si="18"/>
        <v>6.2091503267973858E-2</v>
      </c>
      <c r="Y60" s="62"/>
      <c r="Z60" s="62"/>
      <c r="AA60" s="62"/>
      <c r="AB60" s="62"/>
    </row>
    <row r="61" spans="1:28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 spans="1:28" x14ac:dyDescent="0.25">
      <c r="A62" s="31"/>
      <c r="B62" s="31"/>
      <c r="C62" s="1"/>
      <c r="D62" s="18"/>
      <c r="E62" s="88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</row>
    <row r="63" spans="1:28" x14ac:dyDescent="0.25">
      <c r="A63" s="31"/>
      <c r="B63" s="31"/>
      <c r="C63" s="1"/>
      <c r="D63" s="20" t="s">
        <v>107</v>
      </c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</row>
    <row r="64" spans="1:28" ht="16.2" x14ac:dyDescent="0.25">
      <c r="A64" s="31"/>
      <c r="B64" s="31"/>
      <c r="C64" s="1"/>
      <c r="D64" s="76">
        <v>1</v>
      </c>
      <c r="E64" s="21" t="str">
        <f>'CCW-1, pg 6'!E66</f>
        <v>Data for years 2019 and prior were retrieved from the Value Line Investment Survey Investment Analyzer Software, downloaded on June 18, 2021.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</row>
    <row r="65" spans="1:28" ht="16.2" x14ac:dyDescent="0.25">
      <c r="A65" s="31"/>
      <c r="B65" s="31"/>
      <c r="C65" s="1"/>
      <c r="D65" s="76"/>
      <c r="E65" s="21" t="str">
        <f>'CCW-1, pg 6'!E67</f>
        <v>Data for the years 2020 - 2022 was retrieved from Value Line Investment Surveys.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</row>
    <row r="66" spans="1:28" ht="16.2" x14ac:dyDescent="0.25">
      <c r="A66" s="31"/>
      <c r="B66" s="31"/>
      <c r="C66" s="1"/>
      <c r="D66" s="76">
        <v>2</v>
      </c>
      <c r="E66" s="21" t="str">
        <f>"The Value Line Investment Survey, "&amp;'2023 Data (WP)'!$D$1</f>
        <v>The Value Line Investment Survey, March 8, April 19, and May 10, 2024.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</row>
    <row r="67" spans="1:28" ht="16.2" x14ac:dyDescent="0.25">
      <c r="A67" s="31"/>
      <c r="B67" s="31"/>
      <c r="C67" s="1"/>
      <c r="D67" s="89" t="s">
        <v>354</v>
      </c>
      <c r="E67" s="21" t="s">
        <v>574</v>
      </c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</row>
    <row r="68" spans="1:28" x14ac:dyDescent="0.25">
      <c r="A68" s="31"/>
      <c r="B68" s="31"/>
      <c r="C68" s="1"/>
      <c r="E68" s="23" t="str">
        <f>"published in The Value Line Investment Survey, "&amp;'2023 Data (WP)'!$D$1</f>
        <v>published in The Value Line Investment Survey, March 8, April 19, and May 10, 2024.</v>
      </c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</row>
    <row r="69" spans="1:28" x14ac:dyDescent="0.25">
      <c r="A69" s="31"/>
      <c r="B69" s="31"/>
      <c r="C69" s="1"/>
    </row>
    <row r="70" spans="1:28" ht="16.2" x14ac:dyDescent="0.25">
      <c r="A70" s="31"/>
      <c r="B70" s="31"/>
      <c r="C70" s="6"/>
      <c r="D70" s="6"/>
      <c r="E70" s="19"/>
      <c r="F70" s="276" t="s">
        <v>326</v>
      </c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</row>
    <row r="71" spans="1:28" x14ac:dyDescent="0.25">
      <c r="A71" s="31"/>
      <c r="B71" s="31"/>
      <c r="C71" s="6"/>
      <c r="D71" s="7"/>
      <c r="E71" s="7"/>
      <c r="F71" s="8" t="str">
        <f>F9</f>
        <v>18-Year</v>
      </c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7"/>
      <c r="V71" s="7"/>
      <c r="W71" s="7"/>
      <c r="X71" s="7"/>
      <c r="Y71" s="7"/>
      <c r="Z71" s="7"/>
      <c r="AA71" s="7"/>
    </row>
    <row r="72" spans="1:28" ht="16.2" x14ac:dyDescent="0.25">
      <c r="A72" s="31"/>
      <c r="B72" s="31"/>
      <c r="C72" s="9" t="s">
        <v>96</v>
      </c>
      <c r="D72" s="275" t="s">
        <v>97</v>
      </c>
      <c r="E72" s="275"/>
      <c r="F72" s="10" t="s">
        <v>98</v>
      </c>
      <c r="G72" s="40" t="s">
        <v>560</v>
      </c>
      <c r="H72" s="40">
        <v>2022</v>
      </c>
      <c r="I72" s="40">
        <v>2021</v>
      </c>
      <c r="J72" s="40">
        <v>2020</v>
      </c>
      <c r="K72" s="40">
        <v>2019</v>
      </c>
      <c r="L72" s="10" t="s">
        <v>476</v>
      </c>
      <c r="M72" s="40">
        <v>2017</v>
      </c>
      <c r="N72" s="40">
        <v>2016</v>
      </c>
      <c r="O72" s="40">
        <v>2015</v>
      </c>
      <c r="P72" s="40">
        <v>2014</v>
      </c>
      <c r="Q72" s="40">
        <v>2013</v>
      </c>
      <c r="R72" s="40">
        <v>2012</v>
      </c>
      <c r="S72" s="40">
        <v>2011</v>
      </c>
      <c r="T72" s="40">
        <v>2010</v>
      </c>
      <c r="U72" s="40">
        <v>2009</v>
      </c>
      <c r="V72" s="40">
        <v>2008</v>
      </c>
      <c r="W72" s="40">
        <v>2007</v>
      </c>
      <c r="X72" s="40">
        <v>2006</v>
      </c>
      <c r="Y72" s="40">
        <v>2005</v>
      </c>
      <c r="Z72" s="40">
        <v>2004</v>
      </c>
      <c r="AA72" s="40">
        <v>2003</v>
      </c>
      <c r="AB72" s="40">
        <v>2002</v>
      </c>
    </row>
    <row r="73" spans="1:28" x14ac:dyDescent="0.25">
      <c r="A73" s="41"/>
      <c r="B73" s="41"/>
      <c r="C73" s="9"/>
      <c r="D73" s="11"/>
      <c r="E73" s="11"/>
      <c r="F73" s="12">
        <v>-1</v>
      </c>
      <c r="G73" s="12">
        <f>+F73-1</f>
        <v>-2</v>
      </c>
      <c r="H73" s="12">
        <f>+G73-1</f>
        <v>-3</v>
      </c>
      <c r="I73" s="12">
        <f>+H73-1</f>
        <v>-4</v>
      </c>
      <c r="J73" s="12">
        <f>+I73-1</f>
        <v>-5</v>
      </c>
      <c r="K73" s="12">
        <f>+J73-1</f>
        <v>-6</v>
      </c>
      <c r="L73" s="12">
        <f t="shared" ref="L73:X73" si="19">+K73-1</f>
        <v>-7</v>
      </c>
      <c r="M73" s="12">
        <f t="shared" si="19"/>
        <v>-8</v>
      </c>
      <c r="N73" s="12">
        <f t="shared" si="19"/>
        <v>-9</v>
      </c>
      <c r="O73" s="12">
        <f t="shared" si="19"/>
        <v>-10</v>
      </c>
      <c r="P73" s="12">
        <f t="shared" si="19"/>
        <v>-11</v>
      </c>
      <c r="Q73" s="12">
        <f t="shared" si="19"/>
        <v>-12</v>
      </c>
      <c r="R73" s="12">
        <f t="shared" si="19"/>
        <v>-13</v>
      </c>
      <c r="S73" s="12">
        <f t="shared" si="19"/>
        <v>-14</v>
      </c>
      <c r="T73" s="12">
        <f t="shared" si="19"/>
        <v>-15</v>
      </c>
      <c r="U73" s="12">
        <f t="shared" si="19"/>
        <v>-16</v>
      </c>
      <c r="V73" s="12">
        <f t="shared" si="19"/>
        <v>-17</v>
      </c>
      <c r="W73" s="12">
        <f t="shared" si="19"/>
        <v>-18</v>
      </c>
      <c r="X73" s="12">
        <f t="shared" si="19"/>
        <v>-19</v>
      </c>
      <c r="Y73" s="12">
        <f>+W73-1</f>
        <v>-19</v>
      </c>
      <c r="Z73" s="12">
        <f>+Y73-1</f>
        <v>-20</v>
      </c>
      <c r="AA73" s="12">
        <f>+Z73-1</f>
        <v>-21</v>
      </c>
      <c r="AB73" s="12">
        <f>+AA73-1</f>
        <v>-22</v>
      </c>
    </row>
    <row r="74" spans="1:28" x14ac:dyDescent="0.25">
      <c r="A74" s="42"/>
      <c r="B74" s="43"/>
      <c r="C74" s="6"/>
      <c r="E74" s="22"/>
      <c r="F74" s="36"/>
      <c r="G74" s="36"/>
      <c r="H74" s="36"/>
      <c r="I74" s="36"/>
      <c r="J74" s="16">
        <f t="shared" ref="J74:X74" ca="1" si="20">MATCH(VALUE(LEFT(J72,4)),OFFSET(DIV_EARN_WP,-1,0,1,),0)</f>
        <v>6</v>
      </c>
      <c r="K74" s="16">
        <f t="shared" ca="1" si="20"/>
        <v>7</v>
      </c>
      <c r="L74" s="16">
        <f t="shared" ca="1" si="20"/>
        <v>8</v>
      </c>
      <c r="M74" s="16">
        <f t="shared" ca="1" si="20"/>
        <v>9</v>
      </c>
      <c r="N74" s="16">
        <f t="shared" ca="1" si="20"/>
        <v>10</v>
      </c>
      <c r="O74" s="16">
        <f t="shared" ca="1" si="20"/>
        <v>11</v>
      </c>
      <c r="P74" s="16">
        <f t="shared" ca="1" si="20"/>
        <v>12</v>
      </c>
      <c r="Q74" s="16">
        <f t="shared" ca="1" si="20"/>
        <v>13</v>
      </c>
      <c r="R74" s="16">
        <f t="shared" ca="1" si="20"/>
        <v>14</v>
      </c>
      <c r="S74" s="16">
        <f t="shared" ca="1" si="20"/>
        <v>15</v>
      </c>
      <c r="T74" s="16">
        <f t="shared" ca="1" si="20"/>
        <v>16</v>
      </c>
      <c r="U74" s="16">
        <f t="shared" ca="1" si="20"/>
        <v>17</v>
      </c>
      <c r="V74" s="16">
        <f t="shared" ca="1" si="20"/>
        <v>18</v>
      </c>
      <c r="W74" s="16">
        <f t="shared" ca="1" si="20"/>
        <v>19</v>
      </c>
      <c r="X74" s="16">
        <f t="shared" ca="1" si="20"/>
        <v>20</v>
      </c>
      <c r="Y74" s="16">
        <f ca="1">MATCH(VALUE(LEFT(Y72,4)),OFFSET(MP_CF_WP,-1,0,1,),0)</f>
        <v>22</v>
      </c>
      <c r="Z74" s="16">
        <f ca="1">MATCH(VALUE(LEFT(Z72,4)),OFFSET(MP_CF_WP,-1,0,1,),0)</f>
        <v>23</v>
      </c>
      <c r="AA74" s="16">
        <f ca="1">MATCH(VALUE(LEFT(AA72,4)),OFFSET(MP_CF_WP,-1,0,1,),0)</f>
        <v>24</v>
      </c>
      <c r="AB74" s="16">
        <f ca="1">MATCH(VALUE(LEFT(AB72,4)),OFFSET(MP_CF_WP,-1,0,1,),0)</f>
        <v>25</v>
      </c>
    </row>
    <row r="75" spans="1:28" x14ac:dyDescent="0.25">
      <c r="A75" s="50" t="str">
        <f t="shared" ref="A75:A98" si="21">A13</f>
        <v>ALE</v>
      </c>
      <c r="B75" s="45">
        <f t="shared" ref="B75:B91" ca="1" si="22">IFERROR(MATCH(A75,OFFSET(DIV_EARN_WP,0,0,,1),0),"")</f>
        <v>2</v>
      </c>
      <c r="C75" s="1">
        <f>IF(ISERROR(D75),"",IF(D75="","",MAX($C$73:C74)+1))</f>
        <v>1</v>
      </c>
      <c r="D75" t="str">
        <f t="shared" ref="D75:D98" si="23">D13</f>
        <v xml:space="preserve">ALLETE                        </v>
      </c>
      <c r="E75" s="22"/>
      <c r="F75" s="62">
        <f ca="1">IFERROR(AVERAGE(G75:X75),"N/A")</f>
        <v>0.68961410316631988</v>
      </c>
      <c r="G75" s="62">
        <f t="shared" ref="G75:G115" si="24">IFERROR(IF(VLOOKUP($A75,Data2023,22,FALSE)=0,"",VLOOKUP($A75,Data2023,22,FALSE)),"N/A")</f>
        <v>0.63023255813953494</v>
      </c>
      <c r="H75" s="62">
        <f t="shared" ref="H75:H119" si="25">IFERROR(IF(VLOOKUP($A75,Data2022,20,FALSE)=0,"",VLOOKUP($A75,Data2022,20,FALSE)),"N/A")</f>
        <v>0.76923076923076927</v>
      </c>
      <c r="I75" s="62">
        <f t="shared" ref="I75:I119" si="26">IFERROR(IF(VLOOKUP(A75,lucyyr,20,FALSE)=0,"",VLOOKUP(A75,lucyyr,20,FALSE)),"N/A")</f>
        <v>0.7801857585139319</v>
      </c>
      <c r="J75" s="62">
        <f t="shared" ref="J75:X84" ca="1" si="27">IFERROR(IF(INDEX(DIV_EARN_WP,$B75,J$74)=0,"N/A",INDEX(DIV_EARN_WP,$B75,J$74)),"N/A")</f>
        <v>0.73731343283582096</v>
      </c>
      <c r="K75" s="62">
        <f t="shared" ca="1" si="27"/>
        <v>0.70570570570570568</v>
      </c>
      <c r="L75" s="62">
        <f t="shared" ca="1" si="27"/>
        <v>0.66272189349112431</v>
      </c>
      <c r="M75" s="62">
        <f t="shared" ca="1" si="27"/>
        <v>0.68370607028754005</v>
      </c>
      <c r="N75" s="62">
        <f t="shared" ca="1" si="27"/>
        <v>0.66242038216560506</v>
      </c>
      <c r="O75" s="62">
        <f t="shared" ca="1" si="27"/>
        <v>0.59763313609467461</v>
      </c>
      <c r="P75" s="62">
        <f t="shared" ca="1" si="27"/>
        <v>0.67586206896551726</v>
      </c>
      <c r="Q75" s="62">
        <f t="shared" ca="1" si="27"/>
        <v>0.72243346007604559</v>
      </c>
      <c r="R75" s="62">
        <f t="shared" ca="1" si="27"/>
        <v>0.71317829457364346</v>
      </c>
      <c r="S75" s="62">
        <f t="shared" ca="1" si="27"/>
        <v>0.67169811320754724</v>
      </c>
      <c r="T75" s="62">
        <f t="shared" ca="1" si="27"/>
        <v>0.80365296803652975</v>
      </c>
      <c r="U75" s="62">
        <f t="shared" ca="1" si="27"/>
        <v>0.93121693121693128</v>
      </c>
      <c r="V75" s="62">
        <f t="shared" ca="1" si="27"/>
        <v>0.60992907801418439</v>
      </c>
      <c r="W75" s="62">
        <f t="shared" ca="1" si="27"/>
        <v>0.53246753246753242</v>
      </c>
      <c r="X75" s="62">
        <f t="shared" ca="1" si="27"/>
        <v>0.52346570397111913</v>
      </c>
      <c r="Y75" s="62"/>
      <c r="Z75" s="62"/>
      <c r="AA75" s="62"/>
      <c r="AB75" s="62"/>
    </row>
    <row r="76" spans="1:28" x14ac:dyDescent="0.25">
      <c r="A76" s="50" t="str">
        <f t="shared" si="21"/>
        <v>LNT</v>
      </c>
      <c r="B76" s="45">
        <f t="shared" ca="1" si="22"/>
        <v>3</v>
      </c>
      <c r="C76" s="1">
        <f>IF(ISERROR(D76),"",IF(D76="","",MAX($C$73:C75)+1))</f>
        <v>2</v>
      </c>
      <c r="D76" t="str">
        <f t="shared" si="23"/>
        <v xml:space="preserve">Alliant Energy                </v>
      </c>
      <c r="E76" s="22"/>
      <c r="F76" s="62">
        <f t="shared" ref="F76:F119" ca="1" si="28">IFERROR(AVERAGE(G76:X76),"N/A")</f>
        <v>0.6134029867074714</v>
      </c>
      <c r="G76" s="62">
        <f t="shared" si="24"/>
        <v>0.65107913669064754</v>
      </c>
      <c r="H76" s="62">
        <f t="shared" si="25"/>
        <v>0.62637362637362637</v>
      </c>
      <c r="I76" s="62">
        <f t="shared" si="26"/>
        <v>0.61216730038022815</v>
      </c>
      <c r="J76" s="62">
        <f t="shared" ca="1" si="27"/>
        <v>0.61538461538461531</v>
      </c>
      <c r="K76" s="62">
        <f t="shared" ca="1" si="27"/>
        <v>0.6094420600858369</v>
      </c>
      <c r="L76" s="62">
        <f t="shared" ca="1" si="27"/>
        <v>0.61187214611872154</v>
      </c>
      <c r="M76" s="62">
        <f t="shared" ca="1" si="27"/>
        <v>0.63316582914572861</v>
      </c>
      <c r="N76" s="62">
        <f t="shared" ca="1" si="27"/>
        <v>0.7151515151515152</v>
      </c>
      <c r="O76" s="62">
        <f t="shared" ca="1" si="27"/>
        <v>0.65088757396449715</v>
      </c>
      <c r="P76" s="62">
        <f t="shared" ca="1" si="27"/>
        <v>0.5862068965517242</v>
      </c>
      <c r="Q76" s="62">
        <f t="shared" ca="1" si="27"/>
        <v>0.5714285714285714</v>
      </c>
      <c r="R76" s="62">
        <f t="shared" ca="1" si="27"/>
        <v>0.59016393442622961</v>
      </c>
      <c r="S76" s="62">
        <f t="shared" ca="1" si="27"/>
        <v>0.61818181818181817</v>
      </c>
      <c r="T76" s="62">
        <f t="shared" ca="1" si="27"/>
        <v>0.57454545454545458</v>
      </c>
      <c r="U76" s="62">
        <f t="shared" ca="1" si="27"/>
        <v>0.79365079365079372</v>
      </c>
      <c r="V76" s="62">
        <f t="shared" ca="1" si="27"/>
        <v>0.55118110236220463</v>
      </c>
      <c r="W76" s="62">
        <f t="shared" ca="1" si="27"/>
        <v>0.47211895910780671</v>
      </c>
      <c r="X76" s="62">
        <f t="shared" ca="1" si="27"/>
        <v>0.55825242718446599</v>
      </c>
      <c r="Y76" s="62"/>
      <c r="Z76" s="62"/>
      <c r="AA76" s="62"/>
      <c r="AB76" s="62"/>
    </row>
    <row r="77" spans="1:28" x14ac:dyDescent="0.25">
      <c r="A77" s="50" t="str">
        <f t="shared" si="21"/>
        <v>AEE</v>
      </c>
      <c r="B77" s="45">
        <f t="shared" ca="1" si="22"/>
        <v>6</v>
      </c>
      <c r="C77" s="1">
        <f>IF(ISERROR(D77),"",IF(D77="","",MAX($C$73:C76)+1))</f>
        <v>3</v>
      </c>
      <c r="D77" t="str">
        <f t="shared" si="23"/>
        <v xml:space="preserve">Ameren Corp.                  </v>
      </c>
      <c r="E77" s="22"/>
      <c r="F77" s="62">
        <f t="shared" ca="1" si="28"/>
        <v>0.66240452979597741</v>
      </c>
      <c r="G77" s="62">
        <f t="shared" si="24"/>
        <v>0.57665903890160186</v>
      </c>
      <c r="H77" s="62">
        <f t="shared" si="25"/>
        <v>0.57004830917874394</v>
      </c>
      <c r="I77" s="62">
        <f t="shared" si="26"/>
        <v>0.57291666666666674</v>
      </c>
      <c r="J77" s="62">
        <f t="shared" ca="1" si="27"/>
        <v>0.5714285714285714</v>
      </c>
      <c r="K77" s="62">
        <f t="shared" ca="1" si="27"/>
        <v>0.57313432835820888</v>
      </c>
      <c r="L77" s="62">
        <f t="shared" ca="1" si="27"/>
        <v>0.55662650602409647</v>
      </c>
      <c r="M77" s="62">
        <f t="shared" ca="1" si="27"/>
        <v>0.64187725631768955</v>
      </c>
      <c r="N77" s="62">
        <f t="shared" ca="1" si="27"/>
        <v>0.6399253731343284</v>
      </c>
      <c r="O77" s="62">
        <f t="shared" ca="1" si="27"/>
        <v>0.69537815126050428</v>
      </c>
      <c r="P77" s="62">
        <f t="shared" ca="1" si="27"/>
        <v>0.67083333333333339</v>
      </c>
      <c r="Q77" s="62">
        <f t="shared" ca="1" si="27"/>
        <v>0.76190476190476186</v>
      </c>
      <c r="R77" s="62">
        <f t="shared" ca="1" si="27"/>
        <v>0.66390041493775931</v>
      </c>
      <c r="S77" s="62">
        <f t="shared" ca="1" si="27"/>
        <v>0.62955465587044523</v>
      </c>
      <c r="T77" s="62">
        <f t="shared" ca="1" si="27"/>
        <v>0.55595667870036103</v>
      </c>
      <c r="U77" s="62">
        <f t="shared" ca="1" si="27"/>
        <v>0.5539568345323741</v>
      </c>
      <c r="V77" s="62">
        <f t="shared" ca="1" si="27"/>
        <v>0.88194444444444453</v>
      </c>
      <c r="W77" s="62">
        <f t="shared" ca="1" si="27"/>
        <v>0.8523489932885906</v>
      </c>
      <c r="X77" s="62">
        <f t="shared" ca="1" si="27"/>
        <v>0.95488721804511278</v>
      </c>
      <c r="Y77" s="62"/>
      <c r="Z77" s="62"/>
      <c r="AA77" s="62"/>
      <c r="AB77" s="62"/>
    </row>
    <row r="78" spans="1:28" x14ac:dyDescent="0.25">
      <c r="A78" s="50" t="str">
        <f t="shared" si="21"/>
        <v>AEP</v>
      </c>
      <c r="B78" s="45">
        <f t="shared" ca="1" si="22"/>
        <v>7</v>
      </c>
      <c r="C78" s="1">
        <f>IF(ISERROR(D78),"",IF(D78="","",MAX($C$73:C77)+1))</f>
        <v>4</v>
      </c>
      <c r="D78" t="str">
        <f t="shared" si="23"/>
        <v>American Electric Power</v>
      </c>
      <c r="E78" s="22"/>
      <c r="F78" s="62">
        <f t="shared" ca="1" si="28"/>
        <v>0.60556629695917363</v>
      </c>
      <c r="G78" s="62">
        <f t="shared" si="24"/>
        <v>0.64312977099236646</v>
      </c>
      <c r="H78" s="62">
        <f t="shared" si="25"/>
        <v>0.62278978388998041</v>
      </c>
      <c r="I78" s="62">
        <f t="shared" si="26"/>
        <v>0.60483870967741937</v>
      </c>
      <c r="J78" s="62">
        <f t="shared" ca="1" si="27"/>
        <v>0.64253393665158365</v>
      </c>
      <c r="K78" s="62">
        <f t="shared" ca="1" si="27"/>
        <v>0.66421568627450978</v>
      </c>
      <c r="L78" s="62">
        <f t="shared" ca="1" si="27"/>
        <v>0.64871794871794863</v>
      </c>
      <c r="M78" s="62">
        <f t="shared" ca="1" si="27"/>
        <v>0.66022099447513816</v>
      </c>
      <c r="N78" s="62">
        <f t="shared" ca="1" si="27"/>
        <v>0.53664302600472813</v>
      </c>
      <c r="O78" s="62">
        <f t="shared" ca="1" si="27"/>
        <v>0.59888579387186625</v>
      </c>
      <c r="P78" s="62">
        <f t="shared" ca="1" si="27"/>
        <v>0.60778443113772451</v>
      </c>
      <c r="Q78" s="62">
        <f t="shared" ca="1" si="27"/>
        <v>0.6132075471698113</v>
      </c>
      <c r="R78" s="62">
        <f t="shared" ca="1" si="27"/>
        <v>0.63087248322147649</v>
      </c>
      <c r="S78" s="62">
        <f t="shared" ca="1" si="27"/>
        <v>0.59105431309904155</v>
      </c>
      <c r="T78" s="62">
        <f t="shared" ca="1" si="27"/>
        <v>0.65769230769230769</v>
      </c>
      <c r="U78" s="62">
        <f t="shared" ca="1" si="27"/>
        <v>0.55218855218855212</v>
      </c>
      <c r="V78" s="62">
        <f t="shared" ca="1" si="27"/>
        <v>0.54849498327759194</v>
      </c>
      <c r="W78" s="62">
        <f t="shared" ca="1" si="27"/>
        <v>0.5524475524475525</v>
      </c>
      <c r="X78" s="62">
        <f t="shared" ca="1" si="27"/>
        <v>0.52447552447552448</v>
      </c>
      <c r="Y78" s="62"/>
      <c r="Z78" s="62"/>
      <c r="AA78" s="62"/>
      <c r="AB78" s="62"/>
    </row>
    <row r="79" spans="1:28" x14ac:dyDescent="0.25">
      <c r="A79" s="50" t="str">
        <f t="shared" si="21"/>
        <v>AGR</v>
      </c>
      <c r="B79" s="45">
        <f t="shared" ca="1" si="22"/>
        <v>10</v>
      </c>
      <c r="C79" s="1">
        <f>IF(ISERROR(D79),"",IF(D79="","",MAX($C$73:C78)+1))</f>
        <v>5</v>
      </c>
      <c r="D79" t="str">
        <f t="shared" si="23"/>
        <v>Avangrid, Inc.</v>
      </c>
      <c r="E79" s="22"/>
      <c r="F79" s="62">
        <f t="shared" ca="1" si="28"/>
        <v>0.87810617346713948</v>
      </c>
      <c r="G79" s="62">
        <f t="shared" si="24"/>
        <v>0.8421052631578948</v>
      </c>
      <c r="H79" s="62">
        <f t="shared" si="25"/>
        <v>0.75862068965517249</v>
      </c>
      <c r="I79" s="62">
        <f t="shared" si="26"/>
        <v>0.89340101522842641</v>
      </c>
      <c r="J79" s="62">
        <f t="shared" ca="1" si="27"/>
        <v>0.93617021276595747</v>
      </c>
      <c r="K79" s="62">
        <f t="shared" ca="1" si="27"/>
        <v>0.77876106194690276</v>
      </c>
      <c r="L79" s="62">
        <f t="shared" ca="1" si="27"/>
        <v>0.90833333333333333</v>
      </c>
      <c r="M79" s="62">
        <f t="shared" ca="1" si="27"/>
        <v>1.0347305389221557</v>
      </c>
      <c r="N79" s="62">
        <f t="shared" ca="1" si="27"/>
        <v>0.87272727272727268</v>
      </c>
      <c r="O79" s="62" t="str">
        <f t="shared" ca="1" si="27"/>
        <v>N/A</v>
      </c>
      <c r="P79" s="62" t="str">
        <f t="shared" ca="1" si="27"/>
        <v>N/A</v>
      </c>
      <c r="Q79" s="62" t="str">
        <f t="shared" ca="1" si="27"/>
        <v>N/A</v>
      </c>
      <c r="R79" s="62" t="str">
        <f t="shared" ca="1" si="27"/>
        <v>N/A</v>
      </c>
      <c r="S79" s="62" t="str">
        <f t="shared" ca="1" si="27"/>
        <v>N/A</v>
      </c>
      <c r="T79" s="62" t="str">
        <f t="shared" ca="1" si="27"/>
        <v>N/A</v>
      </c>
      <c r="U79" s="62" t="str">
        <f t="shared" ca="1" si="27"/>
        <v>N/A</v>
      </c>
      <c r="V79" s="62" t="str">
        <f t="shared" ca="1" si="27"/>
        <v>N/A</v>
      </c>
      <c r="W79" s="62" t="str">
        <f t="shared" ca="1" si="27"/>
        <v>N/A</v>
      </c>
      <c r="X79" s="62" t="str">
        <f t="shared" ca="1" si="27"/>
        <v>N/A</v>
      </c>
      <c r="Y79" s="62"/>
      <c r="Z79" s="62"/>
      <c r="AA79" s="62"/>
      <c r="AB79" s="62"/>
    </row>
    <row r="80" spans="1:28" x14ac:dyDescent="0.25">
      <c r="A80" s="50" t="str">
        <f t="shared" si="21"/>
        <v>AVA</v>
      </c>
      <c r="B80" s="45">
        <f t="shared" ca="1" si="22"/>
        <v>11</v>
      </c>
      <c r="C80" s="1">
        <f>IF(ISERROR(D80),"",IF(D80="","",MAX($C$73:C79)+1))</f>
        <v>6</v>
      </c>
      <c r="D80" t="str">
        <f t="shared" si="23"/>
        <v xml:space="preserve">Avista Corp.                  </v>
      </c>
      <c r="E80" s="22"/>
      <c r="F80" s="62">
        <f t="shared" ca="1" si="28"/>
        <v>0.68488187405071033</v>
      </c>
      <c r="G80" s="62">
        <f t="shared" si="24"/>
        <v>0.8214285714285714</v>
      </c>
      <c r="H80" s="62">
        <f t="shared" si="25"/>
        <v>0.83018867924528295</v>
      </c>
      <c r="I80" s="62">
        <f t="shared" si="26"/>
        <v>0.80476190476190468</v>
      </c>
      <c r="J80" s="62">
        <f t="shared" ca="1" si="27"/>
        <v>0.85263157894736852</v>
      </c>
      <c r="K80" s="62">
        <f t="shared" ca="1" si="27"/>
        <v>0.52188552188552184</v>
      </c>
      <c r="L80" s="62">
        <f t="shared" ca="1" si="27"/>
        <v>0.71980676328502424</v>
      </c>
      <c r="M80" s="62">
        <f t="shared" ca="1" si="27"/>
        <v>0.73333333333333328</v>
      </c>
      <c r="N80" s="62">
        <f t="shared" ca="1" si="27"/>
        <v>0.63720930232558148</v>
      </c>
      <c r="O80" s="62">
        <f t="shared" ca="1" si="27"/>
        <v>0.69841269841269848</v>
      </c>
      <c r="P80" s="62">
        <f t="shared" ca="1" si="27"/>
        <v>0.69021739130434778</v>
      </c>
      <c r="Q80" s="62">
        <f t="shared" ca="1" si="27"/>
        <v>0.65945945945945939</v>
      </c>
      <c r="R80" s="62">
        <f t="shared" ca="1" si="27"/>
        <v>0.87878787878787867</v>
      </c>
      <c r="S80" s="62">
        <f t="shared" ca="1" si="27"/>
        <v>0.63953488372093026</v>
      </c>
      <c r="T80" s="62">
        <f t="shared" ca="1" si="27"/>
        <v>0.60606060606060608</v>
      </c>
      <c r="U80" s="62">
        <f t="shared" ca="1" si="27"/>
        <v>0.51265822784810122</v>
      </c>
      <c r="V80" s="62">
        <f t="shared" ca="1" si="27"/>
        <v>0.50735294117647056</v>
      </c>
      <c r="W80" s="62">
        <f t="shared" ca="1" si="27"/>
        <v>0.82638888888888884</v>
      </c>
      <c r="X80" s="62">
        <f t="shared" ca="1" si="27"/>
        <v>0.38775510204081631</v>
      </c>
      <c r="Y80" s="62"/>
      <c r="Z80" s="62"/>
      <c r="AA80" s="62"/>
      <c r="AB80" s="62"/>
    </row>
    <row r="81" spans="1:28" x14ac:dyDescent="0.25">
      <c r="A81" s="50" t="str">
        <f t="shared" si="21"/>
        <v>BKH</v>
      </c>
      <c r="B81" s="45">
        <f t="shared" ca="1" si="22"/>
        <v>12</v>
      </c>
      <c r="C81" s="1">
        <f>IF(ISERROR(D81),"",IF(D81="","",MAX($C$73:C80)+1))</f>
        <v>7</v>
      </c>
      <c r="D81" t="str">
        <f t="shared" si="23"/>
        <v xml:space="preserve">Black Hills                   </v>
      </c>
      <c r="E81" s="22"/>
      <c r="F81" s="62">
        <f t="shared" ca="1" si="28"/>
        <v>1.0560523369794999</v>
      </c>
      <c r="G81" s="62">
        <f t="shared" si="24"/>
        <v>0.63938618925831203</v>
      </c>
      <c r="H81" s="62">
        <f t="shared" si="25"/>
        <v>0.60705289672544083</v>
      </c>
      <c r="I81" s="62">
        <f t="shared" si="26"/>
        <v>0.61229946524064172</v>
      </c>
      <c r="J81" s="62">
        <f t="shared" ca="1" si="27"/>
        <v>0.58176943699731898</v>
      </c>
      <c r="K81" s="62">
        <f t="shared" ca="1" si="27"/>
        <v>0.58073654390934837</v>
      </c>
      <c r="L81" s="62">
        <f t="shared" ca="1" si="27"/>
        <v>0.55619596541786742</v>
      </c>
      <c r="M81" s="62">
        <f t="shared" ca="1" si="27"/>
        <v>0.53550295857988173</v>
      </c>
      <c r="N81" s="62">
        <f t="shared" ca="1" si="27"/>
        <v>0.63878326996197721</v>
      </c>
      <c r="O81" s="62">
        <f t="shared" ca="1" si="27"/>
        <v>0.57243816254416968</v>
      </c>
      <c r="P81" s="62">
        <f t="shared" ca="1" si="27"/>
        <v>0.53979238754325254</v>
      </c>
      <c r="Q81" s="62">
        <f t="shared" ca="1" si="27"/>
        <v>0.58237547892720309</v>
      </c>
      <c r="R81" s="62">
        <f t="shared" ca="1" si="27"/>
        <v>0.75126903553299496</v>
      </c>
      <c r="S81" s="62">
        <f t="shared" ca="1" si="27"/>
        <v>1.4455445544554455</v>
      </c>
      <c r="T81" s="62">
        <f t="shared" ca="1" si="27"/>
        <v>0.86746987951807231</v>
      </c>
      <c r="U81" s="62">
        <f t="shared" ca="1" si="27"/>
        <v>0.61206896551724144</v>
      </c>
      <c r="V81" s="62">
        <f t="shared" ca="1" si="27"/>
        <v>7.7777777777777777</v>
      </c>
      <c r="W81" s="62">
        <f t="shared" ca="1" si="27"/>
        <v>0.51119402985074625</v>
      </c>
      <c r="X81" s="62">
        <f t="shared" ca="1" si="27"/>
        <v>0.59728506787330315</v>
      </c>
      <c r="Y81" s="62"/>
      <c r="Z81" s="62"/>
      <c r="AA81" s="62"/>
      <c r="AB81" s="62"/>
    </row>
    <row r="82" spans="1:28" x14ac:dyDescent="0.25">
      <c r="A82" s="50" t="str">
        <f t="shared" si="21"/>
        <v>CNP</v>
      </c>
      <c r="B82" s="45">
        <f t="shared" ca="1" si="22"/>
        <v>14</v>
      </c>
      <c r="C82" s="1">
        <f>IF(ISERROR(D82),"",IF(D82="","",MAX($C$73:C81)+1))</f>
        <v>8</v>
      </c>
      <c r="D82" t="str">
        <f t="shared" si="23"/>
        <v xml:space="preserve">CenterPoint Energy            </v>
      </c>
      <c r="E82" s="22"/>
      <c r="F82" s="62">
        <f t="shared" ca="1" si="28"/>
        <v>0.7189486982949902</v>
      </c>
      <c r="G82" s="62">
        <f t="shared" si="24"/>
        <v>0.55474452554744524</v>
      </c>
      <c r="H82" s="62">
        <f t="shared" si="25"/>
        <v>0.45283018867924524</v>
      </c>
      <c r="I82" s="62">
        <f t="shared" si="26"/>
        <v>0.70212765957446821</v>
      </c>
      <c r="J82" s="62">
        <f t="shared" ca="1" si="27"/>
        <v>0.69767441860465118</v>
      </c>
      <c r="K82" s="62">
        <f t="shared" ca="1" si="27"/>
        <v>0.57919463087248324</v>
      </c>
      <c r="L82" s="62">
        <f t="shared" ca="1" si="27"/>
        <v>1.5135135135135136</v>
      </c>
      <c r="M82" s="62">
        <f t="shared" ca="1" si="27"/>
        <v>0.85859872611464971</v>
      </c>
      <c r="N82" s="62">
        <f t="shared" ca="1" si="27"/>
        <v>1.03</v>
      </c>
      <c r="O82" s="62">
        <f t="shared" ca="1" si="27"/>
        <v>0.91666666666666663</v>
      </c>
      <c r="P82" s="62">
        <f t="shared" ca="1" si="27"/>
        <v>0.66901408450704225</v>
      </c>
      <c r="Q82" s="62">
        <f t="shared" ca="1" si="27"/>
        <v>0.66935483870967738</v>
      </c>
      <c r="R82" s="62">
        <f t="shared" ca="1" si="27"/>
        <v>0.6</v>
      </c>
      <c r="S82" s="62">
        <f t="shared" ca="1" si="27"/>
        <v>0.62204724409448819</v>
      </c>
      <c r="T82" s="62">
        <f t="shared" ca="1" si="27"/>
        <v>0.7289719626168224</v>
      </c>
      <c r="U82" s="62">
        <f t="shared" ca="1" si="27"/>
        <v>0.75247524752475248</v>
      </c>
      <c r="V82" s="62">
        <f t="shared" ca="1" si="27"/>
        <v>0.56153846153846154</v>
      </c>
      <c r="W82" s="62">
        <f t="shared" ca="1" si="27"/>
        <v>0.58119658119658124</v>
      </c>
      <c r="X82" s="62">
        <f t="shared" ca="1" si="27"/>
        <v>0.45112781954887216</v>
      </c>
      <c r="Y82" s="62"/>
      <c r="Z82" s="62"/>
      <c r="AA82" s="62"/>
      <c r="AB82" s="62"/>
    </row>
    <row r="83" spans="1:28" x14ac:dyDescent="0.25">
      <c r="A83" s="50" t="str">
        <f t="shared" si="21"/>
        <v>CMS</v>
      </c>
      <c r="B83" s="45">
        <f t="shared" ca="1" si="22"/>
        <v>18</v>
      </c>
      <c r="C83" s="1">
        <f>IF(ISERROR(D83),"",IF(D83="","",MAX($C$73:C82)+1))</f>
        <v>9</v>
      </c>
      <c r="D83" t="str">
        <f t="shared" si="23"/>
        <v xml:space="preserve">CMS Energy Corp.              </v>
      </c>
      <c r="E83" s="22"/>
      <c r="F83" s="62">
        <f t="shared" ca="1" si="28"/>
        <v>0.57517685831884824</v>
      </c>
      <c r="G83" s="62">
        <f t="shared" si="24"/>
        <v>0.64784053156146182</v>
      </c>
      <c r="H83" s="62">
        <f t="shared" si="25"/>
        <v>0.647887323943662</v>
      </c>
      <c r="I83" s="62">
        <f t="shared" si="26"/>
        <v>0.67441860465116277</v>
      </c>
      <c r="J83" s="62">
        <f t="shared" ca="1" si="27"/>
        <v>0.61742424242424232</v>
      </c>
      <c r="K83" s="62">
        <f t="shared" ca="1" si="27"/>
        <v>0.64016736401673635</v>
      </c>
      <c r="L83" s="62">
        <f t="shared" ca="1" si="27"/>
        <v>0.61637931034482762</v>
      </c>
      <c r="M83" s="62">
        <f t="shared" ca="1" si="27"/>
        <v>0.61290322580645162</v>
      </c>
      <c r="N83" s="62">
        <f t="shared" ca="1" si="27"/>
        <v>0.6262626262626263</v>
      </c>
      <c r="O83" s="62">
        <f t="shared" ca="1" si="27"/>
        <v>0.61375661375661372</v>
      </c>
      <c r="P83" s="62">
        <f t="shared" ca="1" si="27"/>
        <v>0.62068965517241381</v>
      </c>
      <c r="Q83" s="62">
        <f t="shared" ca="1" si="27"/>
        <v>0.6144578313253013</v>
      </c>
      <c r="R83" s="62">
        <f t="shared" ca="1" si="27"/>
        <v>0.62745098039215685</v>
      </c>
      <c r="S83" s="62">
        <f t="shared" ca="1" si="27"/>
        <v>0.57931034482758625</v>
      </c>
      <c r="T83" s="62">
        <f t="shared" ca="1" si="27"/>
        <v>0.49624060150375937</v>
      </c>
      <c r="U83" s="62">
        <f t="shared" ca="1" si="27"/>
        <v>0.5376344086021505</v>
      </c>
      <c r="V83" s="62">
        <f t="shared" ca="1" si="27"/>
        <v>0.29268292682926828</v>
      </c>
      <c r="W83" s="62">
        <f t="shared" ca="1" si="27"/>
        <v>0.3125</v>
      </c>
      <c r="X83" s="62" t="str">
        <f t="shared" ca="1" si="27"/>
        <v>N/A</v>
      </c>
      <c r="Y83" s="62"/>
      <c r="Z83" s="62"/>
      <c r="AA83" s="62"/>
      <c r="AB83" s="62"/>
    </row>
    <row r="84" spans="1:28" x14ac:dyDescent="0.25">
      <c r="A84" s="50" t="str">
        <f t="shared" si="21"/>
        <v>ED</v>
      </c>
      <c r="B84" s="45">
        <f t="shared" ca="1" si="22"/>
        <v>20</v>
      </c>
      <c r="C84" s="1">
        <f>IF(ISERROR(D84),"",IF(D84="","",MAX($C$73:C83)+1))</f>
        <v>10</v>
      </c>
      <c r="D84" t="str">
        <f t="shared" si="23"/>
        <v xml:space="preserve">Consol. Edison                </v>
      </c>
      <c r="E84" s="22"/>
      <c r="F84" s="62">
        <f t="shared" ca="1" si="28"/>
        <v>0.684386545290532</v>
      </c>
      <c r="G84" s="62">
        <f t="shared" si="24"/>
        <v>0.6428571428571429</v>
      </c>
      <c r="H84" s="62">
        <f t="shared" si="25"/>
        <v>0.69450549450549459</v>
      </c>
      <c r="I84" s="62">
        <f t="shared" si="26"/>
        <v>0.65400843881856541</v>
      </c>
      <c r="J84" s="62">
        <f t="shared" ca="1" si="27"/>
        <v>0.7766497461928934</v>
      </c>
      <c r="K84" s="62">
        <f t="shared" ca="1" si="27"/>
        <v>0.72549019607843135</v>
      </c>
      <c r="L84" s="62">
        <f t="shared" ca="1" si="27"/>
        <v>0.62857142857142856</v>
      </c>
      <c r="M84" s="62">
        <f t="shared" ca="1" si="27"/>
        <v>0.67317073170731712</v>
      </c>
      <c r="N84" s="62">
        <f t="shared" ca="1" si="27"/>
        <v>0.68020304568527923</v>
      </c>
      <c r="O84" s="62">
        <f t="shared" ca="1" si="27"/>
        <v>0.64197530864197538</v>
      </c>
      <c r="P84" s="62">
        <f t="shared" ca="1" si="27"/>
        <v>0.69613259668508287</v>
      </c>
      <c r="Q84" s="62">
        <f t="shared" ca="1" si="27"/>
        <v>0.62595419847328237</v>
      </c>
      <c r="R84" s="62">
        <f t="shared" ca="1" si="27"/>
        <v>0.62694300518134716</v>
      </c>
      <c r="S84" s="62">
        <f t="shared" ca="1" si="27"/>
        <v>0.67226890756302526</v>
      </c>
      <c r="T84" s="62">
        <f t="shared" ca="1" si="27"/>
        <v>0.68587896253602298</v>
      </c>
      <c r="U84" s="62">
        <f t="shared" ca="1" si="27"/>
        <v>0.75159235668789803</v>
      </c>
      <c r="V84" s="62">
        <f t="shared" ca="1" si="27"/>
        <v>0.6964285714285714</v>
      </c>
      <c r="W84" s="62">
        <f t="shared" ca="1" si="27"/>
        <v>0.66666666666666663</v>
      </c>
      <c r="X84" s="62">
        <f t="shared" ca="1" si="27"/>
        <v>0.77966101694915246</v>
      </c>
      <c r="Y84" s="62"/>
      <c r="Z84" s="62"/>
      <c r="AA84" s="62"/>
      <c r="AB84" s="62"/>
    </row>
    <row r="85" spans="1:28" x14ac:dyDescent="0.25">
      <c r="A85" s="50" t="str">
        <f t="shared" si="21"/>
        <v>D</v>
      </c>
      <c r="B85" s="45">
        <f t="shared" ca="1" si="22"/>
        <v>22</v>
      </c>
      <c r="C85" s="1">
        <f>IF(ISERROR(D85),"",IF(D85="","",MAX($C$73:C84)+1))</f>
        <v>11</v>
      </c>
      <c r="D85" t="str">
        <f t="shared" si="23"/>
        <v xml:space="preserve">Dominion Resources            </v>
      </c>
      <c r="E85" s="22"/>
      <c r="F85" s="62">
        <f t="shared" ca="1" si="28"/>
        <v>0.88532616345303705</v>
      </c>
      <c r="G85" s="62">
        <f t="shared" si="24"/>
        <v>1.3417085427135678</v>
      </c>
      <c r="H85" s="62">
        <f t="shared" si="25"/>
        <v>0.64963503649635035</v>
      </c>
      <c r="I85" s="62">
        <f t="shared" si="26"/>
        <v>0.78996865203761757</v>
      </c>
      <c r="J85" s="62">
        <f t="shared" ref="J85:X90" ca="1" si="29">IFERROR(IF(INDEX(DIV_EARN_WP,$B85,J$74)=0,"N/A",INDEX(DIV_EARN_WP,$B85,J$74)),"N/A")</f>
        <v>1.8956043956043955</v>
      </c>
      <c r="K85" s="62">
        <f t="shared" ca="1" si="29"/>
        <v>1.6757990867579908</v>
      </c>
      <c r="L85" s="62">
        <f t="shared" ca="1" si="29"/>
        <v>1.0276923076923077</v>
      </c>
      <c r="M85" s="62">
        <f t="shared" ca="1" si="29"/>
        <v>0.859773371104816</v>
      </c>
      <c r="N85" s="62">
        <f t="shared" ca="1" si="29"/>
        <v>0.81395348837209303</v>
      </c>
      <c r="O85" s="62">
        <f t="shared" ca="1" si="29"/>
        <v>0.80937499999999996</v>
      </c>
      <c r="P85" s="62">
        <f t="shared" ca="1" si="29"/>
        <v>0.78688524590163933</v>
      </c>
      <c r="Q85" s="62">
        <f t="shared" ca="1" si="29"/>
        <v>0.72815533980582525</v>
      </c>
      <c r="R85" s="62">
        <f t="shared" ca="1" si="29"/>
        <v>0.76727272727272722</v>
      </c>
      <c r="S85" s="62">
        <f t="shared" ca="1" si="29"/>
        <v>0.71376811594202905</v>
      </c>
      <c r="T85" s="62">
        <f t="shared" ca="1" si="29"/>
        <v>0.63321799307958482</v>
      </c>
      <c r="U85" s="62">
        <f t="shared" ca="1" si="29"/>
        <v>0.66287878787878785</v>
      </c>
      <c r="V85" s="62">
        <f t="shared" ca="1" si="29"/>
        <v>0.51973684210526316</v>
      </c>
      <c r="W85" s="62">
        <f t="shared" ca="1" si="29"/>
        <v>0.68544600938967137</v>
      </c>
      <c r="X85" s="62">
        <f t="shared" ca="1" si="29"/>
        <v>0.57499999999999996</v>
      </c>
      <c r="Y85" s="62">
        <f t="shared" ref="Y85:AB101" ca="1" si="30">IFERROR(IF(INDEX(MP_CF_WP,$B85,Y$74)=0,"N/A",INDEX(MP_CF_WP,$B85,Y$74)),"N/A")</f>
        <v>10.089435287760065</v>
      </c>
      <c r="Z85" s="62">
        <f t="shared" ca="1" si="30"/>
        <v>7.6822210000000002</v>
      </c>
      <c r="AA85" s="62">
        <f t="shared" ca="1" si="30"/>
        <v>7.50718</v>
      </c>
      <c r="AB85" s="62">
        <f t="shared" ca="1" si="30"/>
        <v>6.5263039999999997</v>
      </c>
    </row>
    <row r="86" spans="1:28" x14ac:dyDescent="0.25">
      <c r="A86" s="50" t="str">
        <f t="shared" si="21"/>
        <v>DTE</v>
      </c>
      <c r="B86" s="45">
        <f t="shared" ca="1" si="22"/>
        <v>23</v>
      </c>
      <c r="C86" s="1">
        <f>IF(ISERROR(D86),"",IF(D86="","",MAX($C$73:C85)+1))</f>
        <v>12</v>
      </c>
      <c r="D86" t="str">
        <f t="shared" si="23"/>
        <v xml:space="preserve">DTE Energy                    </v>
      </c>
      <c r="E86" s="22"/>
      <c r="F86" s="62">
        <f t="shared" ca="1" si="28"/>
        <v>0.66249613097852711</v>
      </c>
      <c r="G86" s="62">
        <f t="shared" si="24"/>
        <v>0.57396449704142016</v>
      </c>
      <c r="H86" s="62">
        <f t="shared" si="25"/>
        <v>0.64130434782608703</v>
      </c>
      <c r="I86" s="62">
        <f t="shared" si="26"/>
        <v>0.94634146341463421</v>
      </c>
      <c r="J86" s="62">
        <f t="shared" ca="1" si="29"/>
        <v>0.58192090395480223</v>
      </c>
      <c r="K86" s="62">
        <f t="shared" ca="1" si="29"/>
        <v>0.61014263074484953</v>
      </c>
      <c r="L86" s="62">
        <f t="shared" ca="1" si="29"/>
        <v>0.58184764991896276</v>
      </c>
      <c r="M86" s="62">
        <f t="shared" ca="1" si="29"/>
        <v>0.58638743455497377</v>
      </c>
      <c r="N86" s="62">
        <f t="shared" ca="1" si="29"/>
        <v>0.63354037267080743</v>
      </c>
      <c r="O86" s="62">
        <f t="shared" ca="1" si="29"/>
        <v>0.63963963963963955</v>
      </c>
      <c r="P86" s="62">
        <f t="shared" ca="1" si="29"/>
        <v>0.52745098039215688</v>
      </c>
      <c r="Q86" s="62">
        <f t="shared" ca="1" si="29"/>
        <v>0.68882978723404253</v>
      </c>
      <c r="R86" s="62">
        <f t="shared" ca="1" si="29"/>
        <v>0.62371134020618557</v>
      </c>
      <c r="S86" s="62">
        <f t="shared" ca="1" si="29"/>
        <v>0.63215258855585832</v>
      </c>
      <c r="T86" s="62">
        <f t="shared" ca="1" si="29"/>
        <v>0.58288770053475936</v>
      </c>
      <c r="U86" s="62">
        <f t="shared" ca="1" si="29"/>
        <v>0.65432098765432101</v>
      </c>
      <c r="V86" s="62">
        <f t="shared" ca="1" si="29"/>
        <v>0.77655677655677657</v>
      </c>
      <c r="W86" s="62">
        <f t="shared" ca="1" si="29"/>
        <v>0.79699248120300747</v>
      </c>
      <c r="X86" s="62">
        <f t="shared" ca="1" si="29"/>
        <v>0.84693877551020413</v>
      </c>
      <c r="Y86" s="62">
        <f t="shared" ca="1" si="30"/>
        <v>5.5403413975193416</v>
      </c>
      <c r="Z86" s="62">
        <f t="shared" ca="1" si="30"/>
        <v>6.0036690000000004</v>
      </c>
      <c r="AA86" s="62">
        <f t="shared" ca="1" si="30"/>
        <v>5.6177109999999999</v>
      </c>
      <c r="AB86" s="62">
        <f t="shared" ca="1" si="30"/>
        <v>5.20106</v>
      </c>
    </row>
    <row r="87" spans="1:28" x14ac:dyDescent="0.25">
      <c r="A87" s="50" t="str">
        <f t="shared" si="21"/>
        <v>DUK</v>
      </c>
      <c r="B87" s="45">
        <f t="shared" ca="1" si="22"/>
        <v>24</v>
      </c>
      <c r="C87" s="1">
        <f>IF(ISERROR(D87),"",IF(D87="","",MAX($C$73:C86)+1))</f>
        <v>13</v>
      </c>
      <c r="D87" t="str">
        <f t="shared" si="23"/>
        <v xml:space="preserve">Duke Energy                   </v>
      </c>
      <c r="E87" s="22"/>
      <c r="F87" s="62">
        <f t="shared" ca="1" si="28"/>
        <v>0.80180138504040532</v>
      </c>
      <c r="G87" s="62">
        <f t="shared" si="24"/>
        <v>0.73021582733812951</v>
      </c>
      <c r="H87" s="62">
        <f t="shared" si="25"/>
        <v>0.75521821631878561</v>
      </c>
      <c r="I87" s="62">
        <f t="shared" si="26"/>
        <v>0.79107505070993922</v>
      </c>
      <c r="J87" s="62">
        <f t="shared" ca="1" si="29"/>
        <v>0.97448979591836737</v>
      </c>
      <c r="K87" s="62">
        <f t="shared" ca="1" si="29"/>
        <v>0.73865877712031558</v>
      </c>
      <c r="L87" s="62">
        <f t="shared" ca="1" si="29"/>
        <v>0.88135593220338992</v>
      </c>
      <c r="M87" s="62">
        <f t="shared" ca="1" si="29"/>
        <v>0.82701421800947872</v>
      </c>
      <c r="N87" s="62">
        <f t="shared" ca="1" si="29"/>
        <v>0.90566037735849059</v>
      </c>
      <c r="O87" s="62">
        <f t="shared" ca="1" si="29"/>
        <v>0.79024390243902454</v>
      </c>
      <c r="P87" s="62">
        <f t="shared" ca="1" si="29"/>
        <v>0.76271186440677963</v>
      </c>
      <c r="Q87" s="62">
        <f t="shared" ca="1" si="29"/>
        <v>0.77638190954773867</v>
      </c>
      <c r="R87" s="62">
        <f t="shared" ca="1" si="29"/>
        <v>0.81671159029649587</v>
      </c>
      <c r="S87" s="62">
        <f t="shared" ca="1" si="29"/>
        <v>0.71739130434782616</v>
      </c>
      <c r="T87" s="62">
        <f t="shared" ca="1" si="29"/>
        <v>0.72388059701492546</v>
      </c>
      <c r="U87" s="62">
        <f t="shared" ca="1" si="29"/>
        <v>0.83185840707964598</v>
      </c>
      <c r="V87" s="62">
        <f t="shared" ca="1" si="29"/>
        <v>0.89108910891089121</v>
      </c>
      <c r="W87" s="62">
        <f t="shared" ca="1" si="29"/>
        <v>0.71666666666666667</v>
      </c>
      <c r="X87" s="62" t="str">
        <f t="shared" ca="1" si="29"/>
        <v>N/A</v>
      </c>
      <c r="Y87" s="62" t="str">
        <f t="shared" ca="1" si="30"/>
        <v>N/A</v>
      </c>
      <c r="Z87" s="62" t="str">
        <f t="shared" ca="1" si="30"/>
        <v>N/A</v>
      </c>
      <c r="AA87" s="62" t="str">
        <f t="shared" ca="1" si="30"/>
        <v>N/A</v>
      </c>
      <c r="AB87" s="62" t="str">
        <f t="shared" ca="1" si="30"/>
        <v>N/A</v>
      </c>
    </row>
    <row r="88" spans="1:28" x14ac:dyDescent="0.25">
      <c r="A88" s="50" t="str">
        <f t="shared" si="21"/>
        <v>EIX</v>
      </c>
      <c r="B88" s="45">
        <f t="shared" ca="1" si="22"/>
        <v>25</v>
      </c>
      <c r="C88" s="1">
        <f>IF(ISERROR(D88),"",IF(D88="","",MAX($C$73:C87)+1))</f>
        <v>14</v>
      </c>
      <c r="D88" t="str">
        <f t="shared" si="23"/>
        <v xml:space="preserve">Edison Int'l                  </v>
      </c>
      <c r="E88" s="22"/>
      <c r="F88" s="62">
        <f t="shared" ca="1" si="28"/>
        <v>0.47394264683891635</v>
      </c>
      <c r="G88" s="62">
        <f t="shared" si="24"/>
        <v>0.62815126050420178</v>
      </c>
      <c r="H88" s="62">
        <f t="shared" si="25"/>
        <v>1.7749999999999999</v>
      </c>
      <c r="I88" s="62">
        <f t="shared" si="26"/>
        <v>1.345</v>
      </c>
      <c r="J88" s="62">
        <f t="shared" ca="1" si="29"/>
        <v>1.4970930232558142</v>
      </c>
      <c r="K88" s="62">
        <f t="shared" ca="1" si="29"/>
        <v>0.62185929648241212</v>
      </c>
      <c r="L88" s="62">
        <f t="shared" ca="1" si="29"/>
        <v>-1.926984126984127</v>
      </c>
      <c r="M88" s="62">
        <f t="shared" ca="1" si="29"/>
        <v>0.49512195121951225</v>
      </c>
      <c r="N88" s="62">
        <f t="shared" ca="1" si="29"/>
        <v>0.50329949238578686</v>
      </c>
      <c r="O88" s="62">
        <f t="shared" ca="1" si="29"/>
        <v>0.4175903614457831</v>
      </c>
      <c r="P88" s="62">
        <f t="shared" ca="1" si="29"/>
        <v>0.34249422632794457</v>
      </c>
      <c r="Q88" s="62">
        <f t="shared" ca="1" si="29"/>
        <v>0.36190476190476195</v>
      </c>
      <c r="R88" s="62">
        <f t="shared" ca="1" si="29"/>
        <v>0.28857142857142859</v>
      </c>
      <c r="S88" s="62">
        <f t="shared" ca="1" si="29"/>
        <v>0.39783281733746129</v>
      </c>
      <c r="T88" s="62">
        <f t="shared" ca="1" si="29"/>
        <v>0.37761194029850742</v>
      </c>
      <c r="U88" s="62">
        <f t="shared" ca="1" si="29"/>
        <v>0.38425925925925924</v>
      </c>
      <c r="V88" s="62">
        <f t="shared" ca="1" si="29"/>
        <v>0.3328804347826087</v>
      </c>
      <c r="W88" s="62">
        <f t="shared" ca="1" si="29"/>
        <v>0.35391566265060243</v>
      </c>
      <c r="X88" s="62">
        <f t="shared" ca="1" si="29"/>
        <v>0.33536585365853661</v>
      </c>
      <c r="Y88" s="62">
        <f t="shared" ca="1" si="30"/>
        <v>5.6129401660463794</v>
      </c>
      <c r="Z88" s="62">
        <f t="shared" ca="1" si="30"/>
        <v>6.8365840000000002</v>
      </c>
      <c r="AA88" s="62">
        <f t="shared" ca="1" si="30"/>
        <v>2.8197589999999999</v>
      </c>
      <c r="AB88" s="62">
        <f t="shared" ca="1" si="30"/>
        <v>2.960502</v>
      </c>
    </row>
    <row r="89" spans="1:28" x14ac:dyDescent="0.25">
      <c r="A89" s="50" t="str">
        <f t="shared" si="21"/>
        <v>EE</v>
      </c>
      <c r="B89" s="45">
        <f t="shared" ca="1" si="22"/>
        <v>26</v>
      </c>
      <c r="C89" s="1">
        <f>IF(ISERROR(D89),"",IF(D89="","",MAX($C$73:C88)+1))</f>
        <v>15</v>
      </c>
      <c r="D89" t="str">
        <f t="shared" si="23"/>
        <v xml:space="preserve">El Paso Electric              </v>
      </c>
      <c r="E89" s="22"/>
      <c r="F89" s="62">
        <f t="shared" ca="1" si="28"/>
        <v>0.49631549361254362</v>
      </c>
      <c r="G89" s="62" t="str">
        <f t="shared" si="24"/>
        <v>N/A</v>
      </c>
      <c r="H89" s="62" t="str">
        <f t="shared" si="25"/>
        <v>N/A</v>
      </c>
      <c r="I89" s="62" t="str">
        <f t="shared" si="26"/>
        <v>N/A</v>
      </c>
      <c r="J89" s="62" t="str">
        <f t="shared" ca="1" si="29"/>
        <v>N/A</v>
      </c>
      <c r="K89" s="62" t="str">
        <f t="shared" ca="1" si="29"/>
        <v>N/A</v>
      </c>
      <c r="L89" s="62">
        <f t="shared" ca="1" si="29"/>
        <v>0.68357487922705318</v>
      </c>
      <c r="M89" s="62">
        <f t="shared" ca="1" si="29"/>
        <v>0.54338842975206614</v>
      </c>
      <c r="N89" s="62">
        <f t="shared" ca="1" si="29"/>
        <v>0.5125523012552301</v>
      </c>
      <c r="O89" s="62">
        <f t="shared" ca="1" si="29"/>
        <v>0.57389162561576357</v>
      </c>
      <c r="P89" s="62">
        <f t="shared" ca="1" si="29"/>
        <v>0.486784140969163</v>
      </c>
      <c r="Q89" s="62">
        <f t="shared" ca="1" si="29"/>
        <v>0.47499999999999992</v>
      </c>
      <c r="R89" s="62">
        <f t="shared" ca="1" si="29"/>
        <v>0.42920353982300885</v>
      </c>
      <c r="S89" s="62">
        <f t="shared" ca="1" si="29"/>
        <v>0.26612903225806456</v>
      </c>
      <c r="T89" s="62" t="str">
        <f t="shared" ca="1" si="29"/>
        <v>N/A</v>
      </c>
      <c r="U89" s="62" t="str">
        <f t="shared" ca="1" si="29"/>
        <v>N/A</v>
      </c>
      <c r="V89" s="62" t="str">
        <f t="shared" ca="1" si="29"/>
        <v>N/A</v>
      </c>
      <c r="W89" s="62" t="str">
        <f t="shared" ca="1" si="29"/>
        <v>N/A</v>
      </c>
      <c r="X89" s="62" t="str">
        <f t="shared" ca="1" si="29"/>
        <v>N/A</v>
      </c>
      <c r="Y89" s="62">
        <f t="shared" ca="1" si="30"/>
        <v>6.6677609980302037</v>
      </c>
      <c r="Z89" s="62">
        <f t="shared" ca="1" si="30"/>
        <v>4.6549300000000002</v>
      </c>
      <c r="AA89" s="62">
        <f t="shared" ca="1" si="30"/>
        <v>3.8985989999999999</v>
      </c>
      <c r="AB89" s="62">
        <f t="shared" ca="1" si="30"/>
        <v>4.3862110000000003</v>
      </c>
    </row>
    <row r="90" spans="1:28" x14ac:dyDescent="0.25">
      <c r="A90" s="50" t="str">
        <f t="shared" si="21"/>
        <v>ETR</v>
      </c>
      <c r="B90" s="45">
        <f t="shared" ca="1" si="22"/>
        <v>28</v>
      </c>
      <c r="C90" s="1">
        <f>IF(ISERROR(D90),"",IF(D90="","",MAX($C$73:C89)+1))</f>
        <v>16</v>
      </c>
      <c r="D90" t="str">
        <f t="shared" si="23"/>
        <v xml:space="preserve">Entergy Corp.                 </v>
      </c>
      <c r="E90" s="22"/>
      <c r="F90" s="62">
        <f t="shared" ca="1" si="28"/>
        <v>0.54115221799133739</v>
      </c>
      <c r="G90" s="62">
        <f t="shared" si="24"/>
        <v>0.39099099099099099</v>
      </c>
      <c r="H90" s="62">
        <f t="shared" si="25"/>
        <v>0.76350093109869643</v>
      </c>
      <c r="I90" s="62">
        <f t="shared" si="26"/>
        <v>0.56186317321688495</v>
      </c>
      <c r="J90" s="62">
        <f t="shared" ca="1" si="29"/>
        <v>0.54202898550724643</v>
      </c>
      <c r="K90" s="62">
        <f t="shared" ca="1" si="29"/>
        <v>0.580952380952381</v>
      </c>
      <c r="L90" s="62">
        <f t="shared" ca="1" si="29"/>
        <v>0.608843537414966</v>
      </c>
      <c r="M90" s="62">
        <f t="shared" ca="1" si="29"/>
        <v>0.67437379576107892</v>
      </c>
      <c r="N90" s="62">
        <f t="shared" ca="1" si="29"/>
        <v>0.49709302325581395</v>
      </c>
      <c r="O90" s="62">
        <f t="shared" ca="1" si="29"/>
        <v>0.57487091222030984</v>
      </c>
      <c r="P90" s="62">
        <f t="shared" ca="1" si="29"/>
        <v>0.57538994800693244</v>
      </c>
      <c r="Q90" s="62">
        <f t="shared" ca="1" si="29"/>
        <v>0.66935483870967738</v>
      </c>
      <c r="R90" s="62">
        <f t="shared" ca="1" si="29"/>
        <v>0.55149501661129574</v>
      </c>
      <c r="S90" s="62">
        <f t="shared" ca="1" si="29"/>
        <v>0.43973509933774835</v>
      </c>
      <c r="T90" s="62">
        <f t="shared" ca="1" si="29"/>
        <v>0.48648648648648651</v>
      </c>
      <c r="U90" s="62">
        <f t="shared" ca="1" si="29"/>
        <v>0.47619047619047622</v>
      </c>
      <c r="V90" s="62">
        <f t="shared" ca="1" si="29"/>
        <v>0.48387096774193544</v>
      </c>
      <c r="W90" s="62">
        <f t="shared" ca="1" si="29"/>
        <v>0.46071428571428574</v>
      </c>
      <c r="X90" s="62">
        <f t="shared" ca="1" si="29"/>
        <v>0.40298507462686567</v>
      </c>
      <c r="Y90" s="62">
        <f t="shared" ca="1" si="30"/>
        <v>8.756049865558543</v>
      </c>
      <c r="Z90" s="62">
        <f t="shared" ca="1" si="30"/>
        <v>7.1220420000000004</v>
      </c>
      <c r="AA90" s="62">
        <f t="shared" ca="1" si="30"/>
        <v>6.8374600000000001</v>
      </c>
      <c r="AB90" s="62">
        <f t="shared" ca="1" si="30"/>
        <v>5.5696649999999996</v>
      </c>
    </row>
    <row r="91" spans="1:28" x14ac:dyDescent="0.25">
      <c r="A91" s="50" t="str">
        <f t="shared" si="21"/>
        <v>ES</v>
      </c>
      <c r="B91" s="45">
        <f t="shared" ca="1" si="22"/>
        <v>29</v>
      </c>
      <c r="C91" s="1">
        <f>IF(ISERROR(D91),"",IF(D91="","",MAX($C$73:C90)+1))</f>
        <v>17</v>
      </c>
      <c r="D91" t="str">
        <f t="shared" si="23"/>
        <v xml:space="preserve">Eversource Energy    </v>
      </c>
      <c r="E91" s="22"/>
      <c r="F91" s="62">
        <f t="shared" ca="1" si="28"/>
        <v>0.60102190037911618</v>
      </c>
      <c r="G91" s="62">
        <f t="shared" si="24"/>
        <v>0.62211981566820285</v>
      </c>
      <c r="H91" s="62">
        <f t="shared" si="25"/>
        <v>0.62347188264058673</v>
      </c>
      <c r="I91" s="62">
        <f t="shared" si="26"/>
        <v>0.6807909604519774</v>
      </c>
      <c r="J91" s="62">
        <f t="shared" ref="J91:L119" ca="1" si="31">IFERROR(IF(INDEX(DIV_EARN_WP,$B91,J$74)=0,"N/A",INDEX(DIV_EARN_WP,$B91,J$74)),"N/A")</f>
        <v>0.6394366197183099</v>
      </c>
      <c r="K91" s="62">
        <f t="shared" ca="1" si="31"/>
        <v>0.62028985507246381</v>
      </c>
      <c r="L91" s="62">
        <f t="shared" ca="1" si="31"/>
        <v>0.6215384615384616</v>
      </c>
      <c r="M91" s="62">
        <f t="shared" ref="M91:M119" ca="1" si="32">IFERROR(IF(INDEX(DIV_EARN_WP,$B91,M$74)=0,"N/A",INDEX(DIV_EARN_WP,$B91,M$74)),"N/A")</f>
        <v>0.61093247588424437</v>
      </c>
      <c r="N91" s="62">
        <f t="shared" ref="N91:N119" ca="1" si="33">IFERROR(IF(INDEX(DIV_EARN_WP,$B91,N$74)=0,"N/A",INDEX(DIV_EARN_WP,$B91,N$74)),"N/A")</f>
        <v>0.60135135135135132</v>
      </c>
      <c r="O91" s="62">
        <f t="shared" ref="O91:X106" ca="1" si="34">IFERROR(IF(INDEX(DIV_EARN_WP,$B91,O$74)=0,"N/A",INDEX(DIV_EARN_WP,$B91,O$74)),"N/A")</f>
        <v>0.60507246376811596</v>
      </c>
      <c r="P91" s="62">
        <f t="shared" ca="1" si="34"/>
        <v>0.60852713178294571</v>
      </c>
      <c r="Q91" s="62">
        <f t="shared" ca="1" si="34"/>
        <v>0.59036144578313243</v>
      </c>
      <c r="R91" s="62">
        <f t="shared" ca="1" si="34"/>
        <v>0.69841269841269848</v>
      </c>
      <c r="S91" s="62">
        <f t="shared" ca="1" si="34"/>
        <v>0.49549549549549549</v>
      </c>
      <c r="T91" s="62">
        <f t="shared" ca="1" si="34"/>
        <v>0.48809523809523803</v>
      </c>
      <c r="U91" s="62">
        <f t="shared" ca="1" si="34"/>
        <v>0.49738219895287961</v>
      </c>
      <c r="V91" s="62">
        <f t="shared" ca="1" si="34"/>
        <v>0.44354838709677413</v>
      </c>
      <c r="W91" s="62">
        <f t="shared" ca="1" si="34"/>
        <v>0.48742138364779874</v>
      </c>
      <c r="X91" s="62">
        <f t="shared" ca="1" si="34"/>
        <v>0.88414634146341464</v>
      </c>
      <c r="Y91" s="62">
        <f t="shared" ca="1" si="30"/>
        <v>3.5481033534909288</v>
      </c>
      <c r="Z91" s="62">
        <f t="shared" ca="1" si="30"/>
        <v>3.782826</v>
      </c>
      <c r="AA91" s="62">
        <f t="shared" ca="1" si="30"/>
        <v>2.852541</v>
      </c>
      <c r="AB91" s="62">
        <f t="shared" ca="1" si="30"/>
        <v>2.746715</v>
      </c>
    </row>
    <row r="92" spans="1:28" x14ac:dyDescent="0.25">
      <c r="A92" s="50" t="str">
        <f t="shared" si="21"/>
        <v>EVRG</v>
      </c>
      <c r="B92" s="45" t="str">
        <f ca="1">IFERROR(MATCH(A92,OFFSET(DIV_EARN_WP,0,0,,1),0),"")</f>
        <v/>
      </c>
      <c r="C92" s="1">
        <f>IF(ISERROR(D92),"",IF(D92="","",MAX($C$73:C91)+1))</f>
        <v>18</v>
      </c>
      <c r="D92" t="str">
        <f t="shared" si="23"/>
        <v>Evergy, Inc.</v>
      </c>
      <c r="E92" s="22"/>
      <c r="F92" s="62">
        <f t="shared" ca="1" si="28"/>
        <v>0.65760113859715019</v>
      </c>
      <c r="G92" s="62">
        <f t="shared" si="24"/>
        <v>0.68888888888888888</v>
      </c>
      <c r="H92" s="62">
        <f t="shared" si="25"/>
        <v>0.71472392638036819</v>
      </c>
      <c r="I92" s="62">
        <f t="shared" si="26"/>
        <v>0.56919060052219328</v>
      </c>
      <c r="J92" s="62" t="str">
        <f t="shared" ca="1" si="31"/>
        <v>N/A</v>
      </c>
      <c r="K92" s="62" t="str">
        <f t="shared" ca="1" si="31"/>
        <v>N/A</v>
      </c>
      <c r="L92" s="62" t="str">
        <f t="shared" ca="1" si="31"/>
        <v>N/A</v>
      </c>
      <c r="M92" s="62" t="str">
        <f t="shared" ca="1" si="32"/>
        <v>N/A</v>
      </c>
      <c r="N92" s="62" t="str">
        <f t="shared" ca="1" si="33"/>
        <v>N/A</v>
      </c>
      <c r="O92" s="62" t="str">
        <f t="shared" ca="1" si="34"/>
        <v>N/A</v>
      </c>
      <c r="P92" s="62" t="str">
        <f t="shared" ca="1" si="34"/>
        <v>N/A</v>
      </c>
      <c r="Q92" s="62" t="str">
        <f t="shared" ca="1" si="34"/>
        <v>N/A</v>
      </c>
      <c r="R92" s="62" t="str">
        <f t="shared" ca="1" si="34"/>
        <v>N/A</v>
      </c>
      <c r="S92" s="62" t="str">
        <f t="shared" ca="1" si="34"/>
        <v>N/A</v>
      </c>
      <c r="T92" s="62" t="str">
        <f t="shared" ca="1" si="34"/>
        <v>N/A</v>
      </c>
      <c r="U92" s="62" t="str">
        <f t="shared" ca="1" si="34"/>
        <v>N/A</v>
      </c>
      <c r="V92" s="62" t="str">
        <f t="shared" ca="1" si="34"/>
        <v>N/A</v>
      </c>
      <c r="W92" s="62" t="str">
        <f t="shared" ca="1" si="34"/>
        <v>N/A</v>
      </c>
      <c r="X92" s="62" t="str">
        <f t="shared" ca="1" si="34"/>
        <v>N/A</v>
      </c>
      <c r="Y92" s="62"/>
      <c r="Z92" s="62"/>
      <c r="AA92" s="62"/>
      <c r="AB92" s="62"/>
    </row>
    <row r="93" spans="1:28" x14ac:dyDescent="0.25">
      <c r="A93" s="50" t="str">
        <f t="shared" si="21"/>
        <v>EXC</v>
      </c>
      <c r="B93" s="45">
        <f ca="1">IFERROR(MATCH(A93,OFFSET(DIV_EARN_WP,0,0,,1),0),"")</f>
        <v>30</v>
      </c>
      <c r="C93" s="1">
        <f>IF(ISERROR(D93),"",IF(D93="","",MAX($C$73:C92)+1))</f>
        <v>19</v>
      </c>
      <c r="D93" t="str">
        <f t="shared" si="23"/>
        <v xml:space="preserve">Exelon Corp.                  </v>
      </c>
      <c r="E93" s="22"/>
      <c r="F93" s="62">
        <f t="shared" ca="1" si="28"/>
        <v>0.60024400404367595</v>
      </c>
      <c r="G93" s="62">
        <f t="shared" si="24"/>
        <v>0.60504201680672265</v>
      </c>
      <c r="H93" s="62">
        <f t="shared" si="25"/>
        <v>0.59734513274336287</v>
      </c>
      <c r="I93" s="62">
        <f t="shared" si="26"/>
        <v>0.87931034482758619</v>
      </c>
      <c r="J93" s="62">
        <f t="shared" ca="1" si="31"/>
        <v>0.58846153846153848</v>
      </c>
      <c r="K93" s="62">
        <f t="shared" ca="1" si="31"/>
        <v>0.48172757475083061</v>
      </c>
      <c r="L93" s="62">
        <f t="shared" ca="1" si="31"/>
        <v>0.66666666666666663</v>
      </c>
      <c r="M93" s="62">
        <f t="shared" ca="1" si="32"/>
        <v>0.47122302158273388</v>
      </c>
      <c r="N93" s="62">
        <f t="shared" ca="1" si="33"/>
        <v>0.7</v>
      </c>
      <c r="O93" s="62">
        <f t="shared" ca="1" si="34"/>
        <v>0.48818897637795272</v>
      </c>
      <c r="P93" s="62">
        <f t="shared" ca="1" si="34"/>
        <v>0.59047619047619049</v>
      </c>
      <c r="Q93" s="62">
        <f t="shared" ca="1" si="34"/>
        <v>0.62987012987012991</v>
      </c>
      <c r="R93" s="62">
        <f t="shared" ca="1" si="34"/>
        <v>1.09375</v>
      </c>
      <c r="S93" s="62">
        <f t="shared" ca="1" si="34"/>
        <v>0.56000000000000005</v>
      </c>
      <c r="T93" s="62">
        <f t="shared" ca="1" si="34"/>
        <v>0.54263565891472865</v>
      </c>
      <c r="U93" s="62">
        <f t="shared" ca="1" si="34"/>
        <v>0.48951048951048953</v>
      </c>
      <c r="V93" s="62">
        <f t="shared" ca="1" si="34"/>
        <v>0.5</v>
      </c>
      <c r="W93" s="62">
        <f t="shared" ca="1" si="34"/>
        <v>0.45161290322580644</v>
      </c>
      <c r="X93" s="62">
        <f t="shared" ca="1" si="34"/>
        <v>0.46857142857142853</v>
      </c>
      <c r="Y93" s="62">
        <f t="shared" ca="1" si="30"/>
        <v>7.9709208400646201</v>
      </c>
      <c r="Z93" s="62">
        <f t="shared" ca="1" si="30"/>
        <v>6.2868700000000004</v>
      </c>
      <c r="AA93" s="62">
        <f t="shared" ca="1" si="30"/>
        <v>5.7122630000000001</v>
      </c>
      <c r="AB93" s="62">
        <f t="shared" ca="1" si="30"/>
        <v>4.9749699999999999</v>
      </c>
    </row>
    <row r="94" spans="1:28" x14ac:dyDescent="0.25">
      <c r="A94" s="50" t="str">
        <f t="shared" si="21"/>
        <v>FE</v>
      </c>
      <c r="B94" s="45">
        <f t="shared" ref="B94:B119" ca="1" si="35">IFERROR(MATCH(A94,OFFSET(DIV_EARN_WP,0,0,,1),0),"")</f>
        <v>31</v>
      </c>
      <c r="C94" s="1">
        <f>IF(ISERROR(D94),"",IF(D94="","",MAX($C$73:C93)+1))</f>
        <v>20</v>
      </c>
      <c r="D94" t="str">
        <f t="shared" si="23"/>
        <v xml:space="preserve">FirstEnergy Corp.             </v>
      </c>
      <c r="E94" s="22"/>
      <c r="F94" s="62">
        <f t="shared" ca="1" si="28"/>
        <v>0.78296017723584665</v>
      </c>
      <c r="G94" s="62">
        <f t="shared" si="24"/>
        <v>0.625</v>
      </c>
      <c r="H94" s="62">
        <f t="shared" si="25"/>
        <v>0.64730290456431538</v>
      </c>
      <c r="I94" s="62">
        <f t="shared" si="26"/>
        <v>0.5799256505576208</v>
      </c>
      <c r="J94" s="62">
        <f t="shared" ca="1" si="31"/>
        <v>0.84324324324324318</v>
      </c>
      <c r="K94" s="62">
        <f t="shared" ca="1" si="31"/>
        <v>0.83152173913043481</v>
      </c>
      <c r="L94" s="62">
        <f t="shared" ca="1" si="31"/>
        <v>1.368421052631579</v>
      </c>
      <c r="M94" s="62">
        <f t="shared" ca="1" si="32"/>
        <v>0.52747252747252749</v>
      </c>
      <c r="N94" s="62">
        <f t="shared" ca="1" si="33"/>
        <v>0.68571428571428561</v>
      </c>
      <c r="O94" s="62">
        <f t="shared" ca="1" si="34"/>
        <v>0.72</v>
      </c>
      <c r="P94" s="62">
        <f t="shared" ca="1" si="34"/>
        <v>1.6941176470588235</v>
      </c>
      <c r="Q94" s="62">
        <f t="shared" ca="1" si="34"/>
        <v>0.55555555555555547</v>
      </c>
      <c r="R94" s="62">
        <f t="shared" ca="1" si="34"/>
        <v>1.0328638497652582</v>
      </c>
      <c r="S94" s="62">
        <f t="shared" ca="1" si="34"/>
        <v>1.1702127659574471</v>
      </c>
      <c r="T94" s="62">
        <f t="shared" ca="1" si="34"/>
        <v>0.67692307692307696</v>
      </c>
      <c r="U94" s="62">
        <f t="shared" ca="1" si="34"/>
        <v>0.66265060240963869</v>
      </c>
      <c r="V94" s="62">
        <f t="shared" ca="1" si="34"/>
        <v>0.50228310502283113</v>
      </c>
      <c r="W94" s="62">
        <f t="shared" ca="1" si="34"/>
        <v>0.48578199052132698</v>
      </c>
      <c r="X94" s="62">
        <f t="shared" ca="1" si="34"/>
        <v>0.48429319371727753</v>
      </c>
      <c r="Y94" s="62">
        <f t="shared" ca="1" si="30"/>
        <v>6.0413135593220346</v>
      </c>
      <c r="Z94" s="62">
        <f t="shared" ca="1" si="30"/>
        <v>5.149756</v>
      </c>
      <c r="AA94" s="62">
        <f t="shared" ca="1" si="30"/>
        <v>6.8987049999999996</v>
      </c>
      <c r="AB94" s="62">
        <f t="shared" ca="1" si="30"/>
        <v>5.104406</v>
      </c>
    </row>
    <row r="95" spans="1:28" x14ac:dyDescent="0.25">
      <c r="A95" s="50" t="str">
        <f t="shared" si="21"/>
        <v>FTS.TO</v>
      </c>
      <c r="B95" s="45">
        <f t="shared" ca="1" si="35"/>
        <v>32</v>
      </c>
      <c r="C95" s="1">
        <f>IF(ISERROR(D95),"",IF(D95="","",MAX($C$73:C94)+1))</f>
        <v>21</v>
      </c>
      <c r="D95" t="str">
        <f t="shared" si="23"/>
        <v>Fortis Inc.</v>
      </c>
      <c r="E95" s="22"/>
      <c r="F95" s="62">
        <f t="shared" ca="1" si="28"/>
        <v>0.71441786620272341</v>
      </c>
      <c r="G95" s="62">
        <f t="shared" si="24"/>
        <v>0.73870967741935478</v>
      </c>
      <c r="H95" s="62">
        <f t="shared" si="25"/>
        <v>0.78057553956834536</v>
      </c>
      <c r="I95" s="62">
        <f t="shared" si="26"/>
        <v>0.7969348659003832</v>
      </c>
      <c r="J95" s="62">
        <f t="shared" ca="1" si="31"/>
        <v>0.75576923076923075</v>
      </c>
      <c r="K95" s="62">
        <f t="shared" ca="1" si="31"/>
        <v>0.69216417910447758</v>
      </c>
      <c r="L95" s="62">
        <f t="shared" ca="1" si="31"/>
        <v>0.69444444444444442</v>
      </c>
      <c r="M95" s="62">
        <f t="shared" ca="1" si="32"/>
        <v>0.62030075187969913</v>
      </c>
      <c r="N95" s="62">
        <f t="shared" ca="1" si="33"/>
        <v>0.82010582010582023</v>
      </c>
      <c r="O95" s="62">
        <f t="shared" ca="1" si="34"/>
        <v>0.67772511848341233</v>
      </c>
      <c r="P95" s="62">
        <f t="shared" ca="1" si="34"/>
        <v>0.94202898550724645</v>
      </c>
      <c r="Q95" s="62">
        <f t="shared" ca="1" si="34"/>
        <v>0.76687116564417179</v>
      </c>
      <c r="R95" s="62">
        <f t="shared" ca="1" si="34"/>
        <v>0.73333333333333339</v>
      </c>
      <c r="S95" s="62">
        <f t="shared" ca="1" si="34"/>
        <v>0.67241379310344829</v>
      </c>
      <c r="T95" s="62">
        <f t="shared" ca="1" si="34"/>
        <v>0.6913580246913581</v>
      </c>
      <c r="U95" s="62">
        <f t="shared" ca="1" si="34"/>
        <v>0.6887417218543046</v>
      </c>
      <c r="V95" s="62">
        <f t="shared" ca="1" si="34"/>
        <v>0.65789473684210531</v>
      </c>
      <c r="W95" s="62">
        <f t="shared" ca="1" si="34"/>
        <v>0.63714063714063718</v>
      </c>
      <c r="X95" s="62">
        <f t="shared" ca="1" si="34"/>
        <v>0.49300956585724803</v>
      </c>
      <c r="Y95" s="62" t="str">
        <f t="shared" ca="1" si="30"/>
        <v>N/A</v>
      </c>
      <c r="Z95" s="62" t="str">
        <f t="shared" ca="1" si="30"/>
        <v>N/A</v>
      </c>
      <c r="AA95" s="62" t="str">
        <f t="shared" ca="1" si="30"/>
        <v>N/A</v>
      </c>
      <c r="AB95" s="62" t="str">
        <f t="shared" ca="1" si="30"/>
        <v>N/A</v>
      </c>
    </row>
    <row r="96" spans="1:28" x14ac:dyDescent="0.25">
      <c r="A96" s="50" t="str">
        <f t="shared" si="21"/>
        <v>GXP</v>
      </c>
      <c r="B96" s="45">
        <f t="shared" ca="1" si="35"/>
        <v>34</v>
      </c>
      <c r="C96" s="1">
        <f>IF(ISERROR(D96),"",IF(D96="","",MAX($C$73:C95)+1))</f>
        <v>22</v>
      </c>
      <c r="D96" t="str">
        <f t="shared" si="23"/>
        <v xml:space="preserve">Great Plains Energy             </v>
      </c>
      <c r="E96" s="22"/>
      <c r="F96" s="62">
        <f t="shared" ca="1" si="28"/>
        <v>-0.81724462141346976</v>
      </c>
      <c r="G96" s="62" t="str">
        <f t="shared" si="24"/>
        <v>N/A</v>
      </c>
      <c r="H96" s="62" t="str">
        <f t="shared" si="25"/>
        <v>N/A</v>
      </c>
      <c r="I96" s="62" t="str">
        <f t="shared" si="26"/>
        <v>N/A</v>
      </c>
      <c r="J96" s="62" t="str">
        <f t="shared" ca="1" si="31"/>
        <v>N/A</v>
      </c>
      <c r="K96" s="62" t="str">
        <f t="shared" ca="1" si="31"/>
        <v>N/A</v>
      </c>
      <c r="L96" s="62" t="str">
        <f t="shared" ca="1" si="31"/>
        <v>N/A</v>
      </c>
      <c r="M96" s="62">
        <f t="shared" ca="1" si="32"/>
        <v>-18.333333333333336</v>
      </c>
      <c r="N96" s="62">
        <f t="shared" ca="1" si="33"/>
        <v>0.65527950310559002</v>
      </c>
      <c r="O96" s="62">
        <f t="shared" ca="1" si="34"/>
        <v>0.72846715328467149</v>
      </c>
      <c r="P96" s="62">
        <f t="shared" ca="1" si="34"/>
        <v>0.59554140127388533</v>
      </c>
      <c r="Q96" s="62">
        <f t="shared" ca="1" si="34"/>
        <v>0.5444444444444444</v>
      </c>
      <c r="R96" s="62">
        <f t="shared" ca="1" si="34"/>
        <v>0.6333333333333333</v>
      </c>
      <c r="S96" s="62">
        <f t="shared" ca="1" si="34"/>
        <v>0.66799999999999993</v>
      </c>
      <c r="T96" s="62">
        <f t="shared" ca="1" si="34"/>
        <v>0.54248366013071891</v>
      </c>
      <c r="U96" s="62">
        <f t="shared" ca="1" si="34"/>
        <v>0.80582524271844658</v>
      </c>
      <c r="V96" s="62">
        <f t="shared" ca="1" si="34"/>
        <v>1.4310344827586208</v>
      </c>
      <c r="W96" s="62">
        <f t="shared" ca="1" si="34"/>
        <v>0.89729729729729724</v>
      </c>
      <c r="X96" s="62">
        <f t="shared" ca="1" si="34"/>
        <v>1.0246913580246912</v>
      </c>
      <c r="Y96" s="62">
        <f t="shared" ca="1" si="30"/>
        <v>6.6982834507042259</v>
      </c>
      <c r="Z96" s="62">
        <f t="shared" ca="1" si="30"/>
        <v>6.5216839999999996</v>
      </c>
      <c r="AA96" s="62">
        <f t="shared" ca="1" si="30"/>
        <v>5.9151930000000004</v>
      </c>
      <c r="AB96" s="62">
        <f t="shared" ca="1" si="30"/>
        <v>5.1369210000000001</v>
      </c>
    </row>
    <row r="97" spans="1:28" x14ac:dyDescent="0.25">
      <c r="A97" s="50" t="str">
        <f t="shared" si="21"/>
        <v>HE</v>
      </c>
      <c r="B97" s="45">
        <f t="shared" ca="1" si="35"/>
        <v>35</v>
      </c>
      <c r="C97" s="1">
        <f>IF(ISERROR(D97),"",IF(D97="","",MAX($C$73:C96)+1))</f>
        <v>23</v>
      </c>
      <c r="D97" t="str">
        <f t="shared" si="23"/>
        <v xml:space="preserve">Hawaiian Elec.                </v>
      </c>
      <c r="E97" s="22"/>
      <c r="F97" s="62">
        <f t="shared" ca="1" si="28"/>
        <v>0.81807906483030002</v>
      </c>
      <c r="G97" s="62">
        <f t="shared" si="24"/>
        <v>0.59668508287292821</v>
      </c>
      <c r="H97" s="62">
        <f t="shared" si="25"/>
        <v>0.63636363636363624</v>
      </c>
      <c r="I97" s="62">
        <f t="shared" si="26"/>
        <v>0.60444444444444445</v>
      </c>
      <c r="J97" s="62">
        <f t="shared" ca="1" si="31"/>
        <v>0.72928176795580113</v>
      </c>
      <c r="K97" s="62">
        <f t="shared" ca="1" si="31"/>
        <v>0.64321608040201006</v>
      </c>
      <c r="L97" s="62">
        <f t="shared" ca="1" si="31"/>
        <v>0.6702702702702702</v>
      </c>
      <c r="M97" s="62">
        <f t="shared" ca="1" si="32"/>
        <v>0.75609756097560976</v>
      </c>
      <c r="N97" s="62">
        <f t="shared" ca="1" si="33"/>
        <v>0.54148471615720528</v>
      </c>
      <c r="O97" s="62">
        <f t="shared" ca="1" si="34"/>
        <v>0.82666666666666666</v>
      </c>
      <c r="P97" s="62">
        <f t="shared" ca="1" si="34"/>
        <v>0.75609756097560976</v>
      </c>
      <c r="Q97" s="62">
        <f t="shared" ca="1" si="34"/>
        <v>0.76543209876543206</v>
      </c>
      <c r="R97" s="62">
        <f t="shared" ca="1" si="34"/>
        <v>0.74251497005988032</v>
      </c>
      <c r="S97" s="62">
        <f t="shared" ca="1" si="34"/>
        <v>0.86111111111111116</v>
      </c>
      <c r="T97" s="62">
        <f t="shared" ca="1" si="34"/>
        <v>1.024793388429752</v>
      </c>
      <c r="U97" s="62">
        <f t="shared" ca="1" si="34"/>
        <v>1.3626373626373627</v>
      </c>
      <c r="V97" s="62">
        <f t="shared" ca="1" si="34"/>
        <v>1.1588785046728971</v>
      </c>
      <c r="W97" s="62">
        <f t="shared" ca="1" si="34"/>
        <v>1.117117117117117</v>
      </c>
      <c r="X97" s="62">
        <f t="shared" ca="1" si="34"/>
        <v>0.93233082706766912</v>
      </c>
      <c r="Y97" s="62">
        <f t="shared" ca="1" si="30"/>
        <v>8.290553138595401</v>
      </c>
      <c r="Z97" s="62">
        <f t="shared" ca="1" si="30"/>
        <v>8.4448039999999995</v>
      </c>
      <c r="AA97" s="62">
        <f t="shared" ca="1" si="30"/>
        <v>6.1214690000000003</v>
      </c>
      <c r="AB97" s="62">
        <f t="shared" ca="1" si="30"/>
        <v>6.1993749999999999</v>
      </c>
    </row>
    <row r="98" spans="1:28" x14ac:dyDescent="0.25">
      <c r="A98" s="50" t="str">
        <f t="shared" si="21"/>
        <v>IDA</v>
      </c>
      <c r="B98" s="45">
        <f t="shared" ca="1" si="35"/>
        <v>36</v>
      </c>
      <c r="C98" s="1">
        <f>IF(ISERROR(D98),"",IF(D98="","",MAX($C$73:C97)+1))</f>
        <v>24</v>
      </c>
      <c r="D98" t="str">
        <f t="shared" si="23"/>
        <v xml:space="preserve">IDACORP, Inc.                 </v>
      </c>
      <c r="E98" s="22"/>
      <c r="F98" s="62">
        <f t="shared" ca="1" si="28"/>
        <v>0.51427293541651653</v>
      </c>
      <c r="G98" s="62">
        <f t="shared" si="24"/>
        <v>0.62256809338521413</v>
      </c>
      <c r="H98" s="62">
        <f t="shared" si="25"/>
        <v>0.59491193737769077</v>
      </c>
      <c r="I98" s="62">
        <f t="shared" si="26"/>
        <v>0.59381443298969072</v>
      </c>
      <c r="J98" s="62">
        <f t="shared" ca="1" si="31"/>
        <v>0.57995735607675902</v>
      </c>
      <c r="K98" s="62">
        <f t="shared" ca="1" si="31"/>
        <v>0.55531453362255967</v>
      </c>
      <c r="L98" s="62">
        <f t="shared" ca="1" si="31"/>
        <v>0.53452115812917589</v>
      </c>
      <c r="M98" s="62">
        <f t="shared" ca="1" si="32"/>
        <v>0.5320665083135393</v>
      </c>
      <c r="N98" s="62">
        <f t="shared" ca="1" si="33"/>
        <v>0.52791878172588835</v>
      </c>
      <c r="O98" s="62">
        <f t="shared" ca="1" si="34"/>
        <v>0.49612403100775193</v>
      </c>
      <c r="P98" s="62">
        <f t="shared" ca="1" si="34"/>
        <v>0.45714285714285713</v>
      </c>
      <c r="Q98" s="62">
        <f t="shared" ca="1" si="34"/>
        <v>0.43131868131868134</v>
      </c>
      <c r="R98" s="62">
        <f t="shared" ca="1" si="34"/>
        <v>0.40652818991097922</v>
      </c>
      <c r="S98" s="62">
        <f t="shared" ca="1" si="34"/>
        <v>0.35714285714285715</v>
      </c>
      <c r="T98" s="62">
        <f t="shared" ca="1" si="34"/>
        <v>0.40677966101694912</v>
      </c>
      <c r="U98" s="62">
        <f t="shared" ca="1" si="34"/>
        <v>0.45454545454545453</v>
      </c>
      <c r="V98" s="62">
        <f t="shared" ca="1" si="34"/>
        <v>0.55045871559633019</v>
      </c>
      <c r="W98" s="62">
        <f t="shared" ca="1" si="34"/>
        <v>0.64516129032258063</v>
      </c>
      <c r="X98" s="62">
        <f t="shared" ca="1" si="34"/>
        <v>0.51063829787234039</v>
      </c>
      <c r="Y98" s="62">
        <f t="shared" ca="1" si="30"/>
        <v>7.5475206611570247</v>
      </c>
      <c r="Z98" s="62">
        <f t="shared" ca="1" si="30"/>
        <v>7.1459450000000002</v>
      </c>
      <c r="AA98" s="62">
        <f t="shared" ca="1" si="30"/>
        <v>7.2654870000000003</v>
      </c>
      <c r="AB98" s="62">
        <f t="shared" ca="1" si="30"/>
        <v>7.5333009999999998</v>
      </c>
    </row>
    <row r="99" spans="1:28" x14ac:dyDescent="0.25">
      <c r="A99" s="50" t="s">
        <v>25</v>
      </c>
      <c r="B99" s="45">
        <f ca="1">IFERROR(MATCH(A99,OFFSET(DIV_EARN_WP,0,0,,1),0),"")</f>
        <v>40</v>
      </c>
      <c r="C99" s="1">
        <f>IF(ISERROR(D99),"",IF(D99="","",MAX($C$73:C98)+1))</f>
        <v>25</v>
      </c>
      <c r="D99" t="str">
        <f>D37</f>
        <v xml:space="preserve">MGE Energy                    </v>
      </c>
      <c r="E99" s="22"/>
      <c r="F99" s="62">
        <f t="shared" ca="1" si="28"/>
        <v>0.56669939167463446</v>
      </c>
      <c r="G99" s="62">
        <f t="shared" si="24"/>
        <v>0.51384615384615384</v>
      </c>
      <c r="H99" s="62">
        <f t="shared" si="25"/>
        <v>0.51791530944625408</v>
      </c>
      <c r="I99" s="62" t="str">
        <f t="shared" si="26"/>
        <v>N/A</v>
      </c>
      <c r="J99" s="62">
        <f t="shared" ca="1" si="31"/>
        <v>0.55576923076923079</v>
      </c>
      <c r="K99" s="62">
        <f t="shared" ca="1" si="31"/>
        <v>0.54980079681274896</v>
      </c>
      <c r="L99" s="62">
        <f t="shared" ca="1" si="31"/>
        <v>0.54320987654320985</v>
      </c>
      <c r="M99" s="62">
        <f t="shared" ca="1" si="32"/>
        <v>0.57272727272727264</v>
      </c>
      <c r="N99" s="62">
        <f t="shared" ca="1" si="33"/>
        <v>0.55504587155963292</v>
      </c>
      <c r="O99" s="62">
        <f t="shared" ca="1" si="34"/>
        <v>0.56310679611650483</v>
      </c>
      <c r="P99" s="62">
        <f t="shared" ca="1" si="34"/>
        <v>0.47844827586206906</v>
      </c>
      <c r="Q99" s="62">
        <f t="shared" ca="1" si="34"/>
        <v>0.49537037037037035</v>
      </c>
      <c r="R99" s="62">
        <f t="shared" ca="1" si="34"/>
        <v>0.55913978494623651</v>
      </c>
      <c r="S99" s="62">
        <f t="shared" ca="1" si="34"/>
        <v>0.5744318181818181</v>
      </c>
      <c r="T99" s="62">
        <f t="shared" ca="1" si="34"/>
        <v>0.59568086382723451</v>
      </c>
      <c r="U99" s="62">
        <f t="shared" ca="1" si="34"/>
        <v>0.66055668703326542</v>
      </c>
      <c r="V99" s="62">
        <f t="shared" ca="1" si="34"/>
        <v>0.60239445494643984</v>
      </c>
      <c r="W99" s="62">
        <f t="shared" ca="1" si="34"/>
        <v>0.62128222075346995</v>
      </c>
      <c r="X99" s="62">
        <f t="shared" ca="1" si="34"/>
        <v>0.67516387472687545</v>
      </c>
      <c r="Y99" s="62"/>
      <c r="Z99" s="62"/>
      <c r="AA99" s="62"/>
      <c r="AB99" s="62"/>
    </row>
    <row r="100" spans="1:28" x14ac:dyDescent="0.25">
      <c r="A100" s="50" t="str">
        <f t="shared" ref="A100:A119" si="36">A38</f>
        <v>NEE</v>
      </c>
      <c r="B100" s="45">
        <f ca="1">IFERROR(MATCH(A100,OFFSET(DIV_EARN_WP,0,0,,1),0),"")</f>
        <v>43</v>
      </c>
      <c r="C100" s="1">
        <f>IF(ISERROR(D100),"",IF(D100="","",MAX($C$73:C99)+1))</f>
        <v>26</v>
      </c>
      <c r="D100" t="str">
        <f>D38</f>
        <v>NextEra Energy, Inc.</v>
      </c>
      <c r="E100" s="22"/>
      <c r="F100" s="62">
        <f t="shared" ca="1" si="28"/>
        <v>0.55907701822408218</v>
      </c>
      <c r="G100" s="62">
        <f t="shared" si="24"/>
        <v>0.58990536277602523</v>
      </c>
      <c r="H100" s="62">
        <f t="shared" si="25"/>
        <v>0.58620689655172409</v>
      </c>
      <c r="I100" s="62">
        <f t="shared" si="26"/>
        <v>0.850828729281768</v>
      </c>
      <c r="J100" s="62">
        <f t="shared" ca="1" si="31"/>
        <v>0.66666666666666663</v>
      </c>
      <c r="K100" s="62">
        <f t="shared" ca="1" si="31"/>
        <v>0.64432989690721654</v>
      </c>
      <c r="L100" s="62">
        <f t="shared" ca="1" si="31"/>
        <v>0.66467065868263486</v>
      </c>
      <c r="M100" s="62">
        <f t="shared" ca="1" si="32"/>
        <v>0.60122699386503076</v>
      </c>
      <c r="N100" s="62">
        <f t="shared" ca="1" si="33"/>
        <v>0.6</v>
      </c>
      <c r="O100" s="62">
        <f t="shared" ca="1" si="34"/>
        <v>0.50657894736842102</v>
      </c>
      <c r="P100" s="62">
        <f t="shared" ca="1" si="34"/>
        <v>0.52142857142857146</v>
      </c>
      <c r="Q100" s="62">
        <f t="shared" ca="1" si="34"/>
        <v>0.54545454545454553</v>
      </c>
      <c r="R100" s="62">
        <f t="shared" ca="1" si="34"/>
        <v>0.52631578947368418</v>
      </c>
      <c r="S100" s="62">
        <f t="shared" ca="1" si="34"/>
        <v>0.45454545454545459</v>
      </c>
      <c r="T100" s="62">
        <f t="shared" ca="1" si="34"/>
        <v>0.42016806722689076</v>
      </c>
      <c r="U100" s="62">
        <f t="shared" ca="1" si="34"/>
        <v>0.47474747474747475</v>
      </c>
      <c r="V100" s="62">
        <f t="shared" ca="1" si="34"/>
        <v>0.44117647058823528</v>
      </c>
      <c r="W100" s="62">
        <f t="shared" ca="1" si="34"/>
        <v>0.5</v>
      </c>
      <c r="X100" s="62">
        <f t="shared" ca="1" si="34"/>
        <v>0.46913580246913578</v>
      </c>
      <c r="Y100" s="62">
        <f t="shared" ca="1" si="30"/>
        <v>6.7148405890920859</v>
      </c>
      <c r="Z100" s="62">
        <f t="shared" ca="1" si="30"/>
        <v>6.7148405890920859</v>
      </c>
      <c r="AA100" s="62">
        <f t="shared" ca="1" si="30"/>
        <v>5.9742903053026248</v>
      </c>
      <c r="AB100" s="62">
        <f t="shared" ca="1" si="30"/>
        <v>5.7684701492537309</v>
      </c>
    </row>
    <row r="101" spans="1:28" x14ac:dyDescent="0.25">
      <c r="A101" s="50" t="str">
        <f t="shared" si="36"/>
        <v>NWE</v>
      </c>
      <c r="B101" s="45">
        <f t="shared" ca="1" si="35"/>
        <v>46</v>
      </c>
      <c r="C101" s="1">
        <f>IF(ISERROR(D101),"",IF(D101="","",MAX($C$73:C100)+1))</f>
        <v>27</v>
      </c>
      <c r="D101" t="str">
        <f t="shared" ref="D101:D119" si="37">D39</f>
        <v xml:space="preserve">NorthWestern Corp             </v>
      </c>
      <c r="E101" s="22"/>
      <c r="F101" s="62">
        <f t="shared" ca="1" si="28"/>
        <v>0.69281818281324625</v>
      </c>
      <c r="G101" s="62">
        <f t="shared" si="24"/>
        <v>0.79503105590062106</v>
      </c>
      <c r="H101" s="62">
        <f t="shared" si="25"/>
        <v>0.76595744680851063</v>
      </c>
      <c r="I101" s="62">
        <f t="shared" si="26"/>
        <v>0.68888888888888888</v>
      </c>
      <c r="J101" s="62">
        <f t="shared" ca="1" si="31"/>
        <v>0.78431372549019607</v>
      </c>
      <c r="K101" s="62">
        <f t="shared" ca="1" si="31"/>
        <v>0.65155807365439089</v>
      </c>
      <c r="L101" s="62">
        <f t="shared" ca="1" si="31"/>
        <v>0.6470588235294118</v>
      </c>
      <c r="M101" s="62">
        <f t="shared" ca="1" si="32"/>
        <v>0.62874251497005995</v>
      </c>
      <c r="N101" s="62">
        <f t="shared" ca="1" si="33"/>
        <v>0.58997050147492625</v>
      </c>
      <c r="O101" s="62">
        <f t="shared" ca="1" si="34"/>
        <v>0.66206896551724137</v>
      </c>
      <c r="P101" s="62">
        <f t="shared" ca="1" si="34"/>
        <v>0.53511705685618727</v>
      </c>
      <c r="Q101" s="62">
        <f t="shared" ca="1" si="34"/>
        <v>0.61788617886178865</v>
      </c>
      <c r="R101" s="62">
        <f t="shared" ca="1" si="34"/>
        <v>0.65486725663716816</v>
      </c>
      <c r="S101" s="62">
        <f t="shared" ca="1" si="34"/>
        <v>0.56916996047430835</v>
      </c>
      <c r="T101" s="62">
        <f t="shared" ca="1" si="34"/>
        <v>0.63551401869158874</v>
      </c>
      <c r="U101" s="62">
        <f t="shared" ca="1" si="34"/>
        <v>0.6633663366336634</v>
      </c>
      <c r="V101" s="62">
        <f t="shared" ca="1" si="34"/>
        <v>0.74576271186440679</v>
      </c>
      <c r="W101" s="62">
        <f t="shared" ca="1" si="34"/>
        <v>0.88888888888888895</v>
      </c>
      <c r="X101" s="62">
        <f t="shared" ca="1" si="34"/>
        <v>0.94656488549618312</v>
      </c>
      <c r="Y101" s="62">
        <f t="shared" ca="1" si="30"/>
        <v>7.3119839879909936</v>
      </c>
      <c r="Z101" s="62">
        <f t="shared" ca="1" si="30"/>
        <v>8.1297280000000001</v>
      </c>
      <c r="AA101" s="62" t="str">
        <f t="shared" ca="1" si="30"/>
        <v>N/A</v>
      </c>
      <c r="AB101" s="62" t="str">
        <f t="shared" ca="1" si="30"/>
        <v>N/A</v>
      </c>
    </row>
    <row r="102" spans="1:28" x14ac:dyDescent="0.25">
      <c r="A102" s="50" t="str">
        <f t="shared" si="36"/>
        <v>OGE</v>
      </c>
      <c r="B102" s="45">
        <f t="shared" ca="1" si="35"/>
        <v>47</v>
      </c>
      <c r="C102" s="1">
        <f>IF(ISERROR(D102),"",IF(D102="","",MAX($C$73:C101)+1))</f>
        <v>28</v>
      </c>
      <c r="D102" t="str">
        <f t="shared" si="37"/>
        <v xml:space="preserve">OGE Energy                    </v>
      </c>
      <c r="E102" s="22"/>
      <c r="F102" s="62">
        <f t="shared" ca="1" si="28"/>
        <v>0.59631625710461567</v>
      </c>
      <c r="G102" s="62">
        <f t="shared" si="24"/>
        <v>0.80193236714975846</v>
      </c>
      <c r="H102" s="62">
        <f t="shared" si="25"/>
        <v>0.72888888888888881</v>
      </c>
      <c r="I102" s="62">
        <f t="shared" si="26"/>
        <v>0.69067796610169485</v>
      </c>
      <c r="J102" s="62">
        <f t="shared" ca="1" si="31"/>
        <v>0.75961538461538458</v>
      </c>
      <c r="K102" s="62">
        <f t="shared" ca="1" si="31"/>
        <v>0.67187499999999989</v>
      </c>
      <c r="L102" s="62">
        <f t="shared" ca="1" si="31"/>
        <v>0.65801886792452824</v>
      </c>
      <c r="M102" s="62">
        <f t="shared" ca="1" si="32"/>
        <v>0.66145833333333337</v>
      </c>
      <c r="N102" s="62">
        <f t="shared" ca="1" si="33"/>
        <v>0.68343195266272194</v>
      </c>
      <c r="O102" s="62">
        <f t="shared" ca="1" si="34"/>
        <v>0.62130177514792906</v>
      </c>
      <c r="P102" s="62">
        <f t="shared" ca="1" si="34"/>
        <v>0.47979797979797978</v>
      </c>
      <c r="Q102" s="62">
        <f t="shared" ca="1" si="34"/>
        <v>0.43865979381443299</v>
      </c>
      <c r="R102" s="62">
        <f t="shared" ca="1" si="34"/>
        <v>0.44581005586592182</v>
      </c>
      <c r="S102" s="62">
        <f t="shared" ca="1" si="34"/>
        <v>0.44</v>
      </c>
      <c r="T102" s="62">
        <f t="shared" ca="1" si="34"/>
        <v>0.48963210702341131</v>
      </c>
      <c r="U102" s="62">
        <f t="shared" ca="1" si="34"/>
        <v>0.53684210526315779</v>
      </c>
      <c r="V102" s="62">
        <f t="shared" ca="1" si="34"/>
        <v>0.56144578313253002</v>
      </c>
      <c r="W102" s="62">
        <f t="shared" ca="1" si="34"/>
        <v>0.51818181818181819</v>
      </c>
      <c r="X102" s="62">
        <f t="shared" ca="1" si="34"/>
        <v>0.54612244897959183</v>
      </c>
      <c r="Y102" s="62">
        <f t="shared" ref="Y102:AB118" ca="1" si="38">IFERROR(IF(INDEX(MP_CF_WP,$B102,Y$74)=0,"N/A",INDEX(MP_CF_WP,$B102,Y$74)),"N/A")</f>
        <v>7.0365226337448563</v>
      </c>
      <c r="Z102" s="62">
        <f t="shared" ca="1" si="38"/>
        <v>6.7290000000000001</v>
      </c>
      <c r="AA102" s="62">
        <f t="shared" ca="1" si="38"/>
        <v>5.6171150000000001</v>
      </c>
      <c r="AB102" s="62">
        <f t="shared" ca="1" si="38"/>
        <v>5.3884740000000004</v>
      </c>
    </row>
    <row r="103" spans="1:28" x14ac:dyDescent="0.25">
      <c r="A103" s="50" t="str">
        <f t="shared" si="36"/>
        <v>OTTR</v>
      </c>
      <c r="B103" s="45">
        <f t="shared" ca="1" si="35"/>
        <v>49</v>
      </c>
      <c r="C103" s="1">
        <f>IF(ISERROR(D103),"",IF(D103="","",MAX($C$73:C102)+1))</f>
        <v>29</v>
      </c>
      <c r="D103" t="str">
        <f t="shared" si="37"/>
        <v xml:space="preserve">Otter Tail Corp.              </v>
      </c>
      <c r="E103" s="22"/>
      <c r="F103" s="62">
        <f t="shared" ca="1" si="28"/>
        <v>0.98401985140281711</v>
      </c>
      <c r="G103" s="62">
        <f t="shared" si="24"/>
        <v>0.25</v>
      </c>
      <c r="H103" s="62">
        <f t="shared" si="25"/>
        <v>0.24336283185840707</v>
      </c>
      <c r="I103" s="62">
        <f t="shared" si="26"/>
        <v>0.36879432624113473</v>
      </c>
      <c r="J103" s="62">
        <f t="shared" ca="1" si="31"/>
        <v>0.63247863247863256</v>
      </c>
      <c r="K103" s="62">
        <f t="shared" ca="1" si="31"/>
        <v>0.64516129032258063</v>
      </c>
      <c r="L103" s="62">
        <f t="shared" ca="1" si="31"/>
        <v>0.65048543689320393</v>
      </c>
      <c r="M103" s="62">
        <f t="shared" ca="1" si="32"/>
        <v>0.68817204301075263</v>
      </c>
      <c r="N103" s="62">
        <f t="shared" ca="1" si="33"/>
        <v>0.78125</v>
      </c>
      <c r="O103" s="62">
        <f t="shared" ca="1" si="34"/>
        <v>0.78846153846153844</v>
      </c>
      <c r="P103" s="62">
        <f t="shared" ca="1" si="34"/>
        <v>0.78064516129032258</v>
      </c>
      <c r="Q103" s="62">
        <f t="shared" ca="1" si="34"/>
        <v>0.86861313868613133</v>
      </c>
      <c r="R103" s="62">
        <f t="shared" ca="1" si="34"/>
        <v>1.1333333333333333</v>
      </c>
      <c r="S103" s="62">
        <f t="shared" ca="1" si="34"/>
        <v>2.6444444444444444</v>
      </c>
      <c r="T103" s="62">
        <f t="shared" ca="1" si="34"/>
        <v>3.1315789473684208</v>
      </c>
      <c r="U103" s="62">
        <f t="shared" ca="1" si="34"/>
        <v>1.676056338028169</v>
      </c>
      <c r="V103" s="62">
        <f t="shared" ca="1" si="34"/>
        <v>1.0917431192660549</v>
      </c>
      <c r="W103" s="62">
        <f t="shared" ca="1" si="34"/>
        <v>0.65730337078651679</v>
      </c>
      <c r="X103" s="62">
        <f t="shared" ca="1" si="34"/>
        <v>0.68047337278106501</v>
      </c>
      <c r="Y103" s="62">
        <f t="shared" ca="1" si="38"/>
        <v>8.1753653444676395</v>
      </c>
      <c r="Z103" s="62">
        <f t="shared" ca="1" si="38"/>
        <v>9.0128249999999994</v>
      </c>
      <c r="AA103" s="62">
        <f t="shared" ca="1" si="38"/>
        <v>8.1296970000000002</v>
      </c>
      <c r="AB103" s="62">
        <f t="shared" ca="1" si="38"/>
        <v>8.3335279999999994</v>
      </c>
    </row>
    <row r="104" spans="1:28" x14ac:dyDescent="0.25">
      <c r="A104" s="50" t="str">
        <f t="shared" si="36"/>
        <v>PNW</v>
      </c>
      <c r="B104" s="45">
        <f t="shared" ca="1" si="35"/>
        <v>52</v>
      </c>
      <c r="C104" s="1">
        <f>IF(ISERROR(D104),"",IF(D104="","",MAX($C$73:C103)+1))</f>
        <v>30</v>
      </c>
      <c r="D104" t="str">
        <f t="shared" si="37"/>
        <v xml:space="preserve">Pinnacle West Capital         </v>
      </c>
      <c r="E104" s="22"/>
      <c r="F104" s="62">
        <f t="shared" ca="1" si="28"/>
        <v>0.70520121562544047</v>
      </c>
      <c r="G104" s="62">
        <f t="shared" si="24"/>
        <v>0.79138321995464855</v>
      </c>
      <c r="H104" s="62">
        <f t="shared" si="25"/>
        <v>0.80281690140845074</v>
      </c>
      <c r="I104" s="62">
        <f t="shared" si="26"/>
        <v>0.61425959780621575</v>
      </c>
      <c r="J104" s="62">
        <f t="shared" ca="1" si="31"/>
        <v>0.66324435318275154</v>
      </c>
      <c r="K104" s="62">
        <f t="shared" ca="1" si="31"/>
        <v>0.63731656184486385</v>
      </c>
      <c r="L104" s="62">
        <f t="shared" ca="1" si="31"/>
        <v>0.63215859030837007</v>
      </c>
      <c r="M104" s="62">
        <f t="shared" ca="1" si="32"/>
        <v>0.60948081264108356</v>
      </c>
      <c r="N104" s="62">
        <f t="shared" ca="1" si="33"/>
        <v>0.64810126582278482</v>
      </c>
      <c r="O104" s="62">
        <f t="shared" ca="1" si="34"/>
        <v>0.62244897959183676</v>
      </c>
      <c r="P104" s="62">
        <f t="shared" ca="1" si="34"/>
        <v>0.6494413407821229</v>
      </c>
      <c r="Q104" s="62">
        <f t="shared" ca="1" si="34"/>
        <v>0.60792349726775952</v>
      </c>
      <c r="R104" s="62">
        <f t="shared" ca="1" si="34"/>
        <v>0.76285714285714279</v>
      </c>
      <c r="S104" s="62">
        <f t="shared" ca="1" si="34"/>
        <v>0.7023411371237458</v>
      </c>
      <c r="T104" s="62">
        <f t="shared" ca="1" si="34"/>
        <v>0.68181818181818188</v>
      </c>
      <c r="U104" s="62">
        <f t="shared" ca="1" si="34"/>
        <v>0.92920353982300896</v>
      </c>
      <c r="V104" s="62">
        <f t="shared" ca="1" si="34"/>
        <v>0.99056603773584906</v>
      </c>
      <c r="W104" s="62">
        <f t="shared" ca="1" si="34"/>
        <v>0.70945945945945954</v>
      </c>
      <c r="X104" s="62">
        <f t="shared" ca="1" si="34"/>
        <v>0.63880126182965302</v>
      </c>
      <c r="Y104" s="62">
        <f t="shared" ca="1" si="38"/>
        <v>7.479257073424753</v>
      </c>
      <c r="Z104" s="62">
        <f t="shared" ca="1" si="38"/>
        <v>5.8802649999999996</v>
      </c>
      <c r="AA104" s="62">
        <f t="shared" ca="1" si="38"/>
        <v>4.8030030000000004</v>
      </c>
      <c r="AB104" s="62">
        <f t="shared" ca="1" si="38"/>
        <v>5.2054470000000004</v>
      </c>
    </row>
    <row r="105" spans="1:28" x14ac:dyDescent="0.25">
      <c r="A105" s="50" t="str">
        <f t="shared" si="36"/>
        <v>PNM</v>
      </c>
      <c r="B105" s="45">
        <f t="shared" ca="1" si="35"/>
        <v>53</v>
      </c>
      <c r="C105" s="1">
        <f>IF(ISERROR(D105),"",IF(D105="","",MAX($C$73:C104)+1))</f>
        <v>31</v>
      </c>
      <c r="D105" t="str">
        <f t="shared" si="37"/>
        <v xml:space="preserve">PNM Resources                 </v>
      </c>
      <c r="E105" s="22"/>
      <c r="F105" s="62">
        <f t="shared" ca="1" si="28"/>
        <v>0.85094849183463128</v>
      </c>
      <c r="G105" s="62">
        <f t="shared" si="24"/>
        <v>0.52836879432624118</v>
      </c>
      <c r="H105" s="62">
        <f t="shared" si="25"/>
        <v>0.52416356877323422</v>
      </c>
      <c r="I105" s="62">
        <f t="shared" si="26"/>
        <v>0.43171806167400878</v>
      </c>
      <c r="J105" s="62">
        <f t="shared" ca="1" si="31"/>
        <v>0.58139534883720934</v>
      </c>
      <c r="K105" s="62">
        <f t="shared" ca="1" si="31"/>
        <v>0.51666666666666672</v>
      </c>
      <c r="L105" s="62">
        <f t="shared" ca="1" si="31"/>
        <v>0.65361445783132532</v>
      </c>
      <c r="M105" s="62">
        <f t="shared" ca="1" si="32"/>
        <v>0.51718750000000002</v>
      </c>
      <c r="N105" s="62">
        <f t="shared" ca="1" si="33"/>
        <v>0.53333333333333333</v>
      </c>
      <c r="O105" s="62">
        <f t="shared" ca="1" si="34"/>
        <v>0.48780487804878053</v>
      </c>
      <c r="P105" s="62">
        <f t="shared" ca="1" si="34"/>
        <v>0.52068965517241383</v>
      </c>
      <c r="Q105" s="62">
        <f t="shared" ca="1" si="34"/>
        <v>0.48226950354609938</v>
      </c>
      <c r="R105" s="62">
        <f t="shared" ca="1" si="34"/>
        <v>0.4427480916030534</v>
      </c>
      <c r="S105" s="62">
        <f t="shared" ca="1" si="34"/>
        <v>0.46296296296296291</v>
      </c>
      <c r="T105" s="62">
        <f t="shared" ca="1" si="34"/>
        <v>0.57471264367816088</v>
      </c>
      <c r="U105" s="62">
        <f t="shared" ca="1" si="34"/>
        <v>0.86206896551724144</v>
      </c>
      <c r="V105" s="62">
        <f t="shared" ca="1" si="34"/>
        <v>5.5</v>
      </c>
      <c r="W105" s="62">
        <f t="shared" ca="1" si="34"/>
        <v>1.1973684210526316</v>
      </c>
      <c r="X105" s="62">
        <f t="shared" ca="1" si="34"/>
        <v>0.5</v>
      </c>
      <c r="Y105" s="62">
        <f t="shared" ca="1" si="38"/>
        <v>7.6200112422709383</v>
      </c>
      <c r="Z105" s="62">
        <f t="shared" ca="1" si="38"/>
        <v>6.8385860000000003</v>
      </c>
      <c r="AA105" s="62">
        <f t="shared" ca="1" si="38"/>
        <v>5.5484400000000003</v>
      </c>
      <c r="AB105" s="62">
        <f t="shared" ca="1" si="38"/>
        <v>5.7152950000000002</v>
      </c>
    </row>
    <row r="106" spans="1:28" x14ac:dyDescent="0.25">
      <c r="A106" s="50" t="str">
        <f t="shared" si="36"/>
        <v>POR</v>
      </c>
      <c r="B106" s="45">
        <f t="shared" ca="1" si="35"/>
        <v>54</v>
      </c>
      <c r="C106" s="1">
        <f>IF(ISERROR(D106),"",IF(D106="","",MAX($C$73:C105)+1))</f>
        <v>32</v>
      </c>
      <c r="D106" t="str">
        <f t="shared" si="37"/>
        <v xml:space="preserve">Portland General              </v>
      </c>
      <c r="E106" s="22"/>
      <c r="F106" s="62">
        <f t="shared" ca="1" si="28"/>
        <v>0.6279937095058663</v>
      </c>
      <c r="G106" s="62">
        <f t="shared" si="24"/>
        <v>0.78991596638655459</v>
      </c>
      <c r="H106" s="62">
        <f t="shared" si="25"/>
        <v>0.65328467153284664</v>
      </c>
      <c r="I106" s="62">
        <f t="shared" si="26"/>
        <v>0.62499999999999989</v>
      </c>
      <c r="J106" s="62">
        <f t="shared" ca="1" si="31"/>
        <v>0.92151162790697672</v>
      </c>
      <c r="K106" s="62">
        <f t="shared" ca="1" si="31"/>
        <v>0.63514644351464433</v>
      </c>
      <c r="L106" s="62">
        <f t="shared" ca="1" si="31"/>
        <v>0.60253164556962024</v>
      </c>
      <c r="M106" s="62">
        <f t="shared" ca="1" si="32"/>
        <v>0.58515283842794763</v>
      </c>
      <c r="N106" s="62">
        <f t="shared" ca="1" si="33"/>
        <v>0.58333333333333326</v>
      </c>
      <c r="O106" s="62">
        <f t="shared" ca="1" si="34"/>
        <v>0.57843137254901955</v>
      </c>
      <c r="P106" s="62">
        <f t="shared" ca="1" si="34"/>
        <v>0.51146788990825687</v>
      </c>
      <c r="Q106" s="62">
        <f t="shared" ca="1" si="34"/>
        <v>0.61864406779661019</v>
      </c>
      <c r="R106" s="62">
        <f t="shared" ca="1" si="34"/>
        <v>0.57486631016042777</v>
      </c>
      <c r="S106" s="62">
        <f t="shared" ca="1" si="34"/>
        <v>0.54102564102564099</v>
      </c>
      <c r="T106" s="62">
        <f t="shared" ca="1" si="34"/>
        <v>0.62349397590361444</v>
      </c>
      <c r="U106" s="62">
        <f t="shared" ca="1" si="34"/>
        <v>0.77099236641221369</v>
      </c>
      <c r="V106" s="62">
        <f t="shared" ca="1" si="34"/>
        <v>0.69784172661870503</v>
      </c>
      <c r="W106" s="62">
        <f t="shared" ca="1" si="34"/>
        <v>0.39914163090128757</v>
      </c>
      <c r="X106" s="62">
        <f t="shared" ca="1" si="34"/>
        <v>0.5921052631578948</v>
      </c>
      <c r="Y106" s="62" t="str">
        <f t="shared" ca="1" si="38"/>
        <v>N/A</v>
      </c>
      <c r="Z106" s="62" t="str">
        <f t="shared" ca="1" si="38"/>
        <v>N/A</v>
      </c>
      <c r="AA106" s="62" t="str">
        <f t="shared" ca="1" si="38"/>
        <v>N/A</v>
      </c>
      <c r="AB106" s="62" t="str">
        <f t="shared" ca="1" si="38"/>
        <v>N/A</v>
      </c>
    </row>
    <row r="107" spans="1:28" x14ac:dyDescent="0.25">
      <c r="A107" s="50" t="str">
        <f t="shared" si="36"/>
        <v>PPL</v>
      </c>
      <c r="B107" s="45">
        <f t="shared" ca="1" si="35"/>
        <v>55</v>
      </c>
      <c r="C107" s="1">
        <f>IF(ISERROR(D107),"",IF(D107="","",MAX($C$73:C106)+1))</f>
        <v>33</v>
      </c>
      <c r="D107" t="str">
        <f t="shared" si="37"/>
        <v xml:space="preserve">PPL Corp.                     </v>
      </c>
      <c r="E107" s="22"/>
      <c r="F107" s="62">
        <f t="shared" ca="1" si="28"/>
        <v>0.77866996768265884</v>
      </c>
      <c r="G107" s="62">
        <f t="shared" si="24"/>
        <v>0.59374999999999989</v>
      </c>
      <c r="H107" s="62">
        <f t="shared" si="25"/>
        <v>0.62411347517730498</v>
      </c>
      <c r="I107" s="62">
        <f t="shared" si="26"/>
        <v>3.132075471698113</v>
      </c>
      <c r="J107" s="62">
        <f t="shared" ca="1" si="31"/>
        <v>0.81372549019607843</v>
      </c>
      <c r="K107" s="62">
        <f t="shared" ca="1" si="31"/>
        <v>0.69620253164556956</v>
      </c>
      <c r="L107" s="62">
        <f t="shared" ca="1" si="31"/>
        <v>0.63565891472868208</v>
      </c>
      <c r="M107" s="62">
        <f t="shared" ca="1" si="32"/>
        <v>0.74881516587677732</v>
      </c>
      <c r="N107" s="62">
        <f t="shared" ca="1" si="33"/>
        <v>0.54480286738351258</v>
      </c>
      <c r="O107" s="62">
        <f t="shared" ref="O107:X119" ca="1" si="39">IFERROR(IF(INDEX(DIV_EARN_WP,$B107,O$74)=0,"N/A",INDEX(DIV_EARN_WP,$B107,O$74)),"N/A")</f>
        <v>0.63291139240506322</v>
      </c>
      <c r="P107" s="62">
        <f t="shared" ca="1" si="39"/>
        <v>0.62605042016806722</v>
      </c>
      <c r="Q107" s="62">
        <f t="shared" ca="1" si="39"/>
        <v>0.61764705882352944</v>
      </c>
      <c r="R107" s="62">
        <f t="shared" ca="1" si="39"/>
        <v>0.55172413793103448</v>
      </c>
      <c r="S107" s="62">
        <f t="shared" ca="1" si="39"/>
        <v>0.53639846743295017</v>
      </c>
      <c r="T107" s="62">
        <f t="shared" ca="1" si="39"/>
        <v>0.611353711790393</v>
      </c>
      <c r="U107" s="62">
        <f t="shared" ca="1" si="39"/>
        <v>1.1596638655462184</v>
      </c>
      <c r="V107" s="62">
        <f t="shared" ca="1" si="39"/>
        <v>0.54693877551020409</v>
      </c>
      <c r="W107" s="62">
        <f t="shared" ca="1" si="39"/>
        <v>0.46387832699619774</v>
      </c>
      <c r="X107" s="62">
        <f t="shared" ca="1" si="39"/>
        <v>0.48034934497816595</v>
      </c>
      <c r="Y107" s="62">
        <f t="shared" ca="1" si="38"/>
        <v>7.5679269882659712</v>
      </c>
      <c r="Z107" s="62">
        <f t="shared" ca="1" si="38"/>
        <v>6.493322</v>
      </c>
      <c r="AA107" s="62">
        <f t="shared" ca="1" si="38"/>
        <v>5.4071610000000003</v>
      </c>
      <c r="AB107" s="62">
        <f t="shared" ca="1" si="38"/>
        <v>5.3008740000000003</v>
      </c>
    </row>
    <row r="108" spans="1:28" x14ac:dyDescent="0.25">
      <c r="A108" s="50" t="str">
        <f t="shared" si="36"/>
        <v>PEG</v>
      </c>
      <c r="B108" s="45">
        <f t="shared" ca="1" si="35"/>
        <v>56</v>
      </c>
      <c r="C108" s="1">
        <f>IF(ISERROR(D108),"",IF(D108="","",MAX($C$73:C107)+1))</f>
        <v>34</v>
      </c>
      <c r="D108" t="str">
        <f t="shared" si="37"/>
        <v xml:space="preserve">Public Serv. Enterprise       </v>
      </c>
      <c r="E108" s="22"/>
      <c r="F108" s="62">
        <f t="shared" ca="1" si="28"/>
        <v>0.55081763704027464</v>
      </c>
      <c r="G108" s="62">
        <f t="shared" si="24"/>
        <v>0.65517241379310343</v>
      </c>
      <c r="H108" s="62">
        <f t="shared" si="25"/>
        <v>0.62247838616714701</v>
      </c>
      <c r="I108" s="62">
        <f t="shared" si="26"/>
        <v>0.8</v>
      </c>
      <c r="J108" s="62">
        <f t="shared" ca="1" si="31"/>
        <v>0.54293628808864269</v>
      </c>
      <c r="K108" s="62">
        <f t="shared" ca="1" si="31"/>
        <v>0.48205128205128206</v>
      </c>
      <c r="L108" s="62">
        <f t="shared" ca="1" si="31"/>
        <v>0.65217391304347838</v>
      </c>
      <c r="M108" s="62">
        <f t="shared" ca="1" si="32"/>
        <v>0.60992907801418439</v>
      </c>
      <c r="N108" s="62">
        <f t="shared" ca="1" si="33"/>
        <v>0.57950530035335679</v>
      </c>
      <c r="O108" s="62">
        <f t="shared" ca="1" si="39"/>
        <v>0.47272727272727277</v>
      </c>
      <c r="P108" s="62">
        <f t="shared" ca="1" si="39"/>
        <v>0.49498327759197319</v>
      </c>
      <c r="Q108" s="62">
        <f t="shared" ca="1" si="39"/>
        <v>0.58775510204081627</v>
      </c>
      <c r="R108" s="62">
        <f t="shared" ca="1" si="39"/>
        <v>0.58196721311475408</v>
      </c>
      <c r="S108" s="62">
        <f t="shared" ca="1" si="39"/>
        <v>0.44051446945337625</v>
      </c>
      <c r="T108" s="62">
        <f t="shared" ca="1" si="39"/>
        <v>0.44625407166123782</v>
      </c>
      <c r="U108" s="62">
        <f t="shared" ca="1" si="39"/>
        <v>0.43181818181818182</v>
      </c>
      <c r="V108" s="62">
        <f t="shared" ca="1" si="39"/>
        <v>0.44482758620689655</v>
      </c>
      <c r="W108" s="62">
        <f t="shared" ca="1" si="39"/>
        <v>0.45173745173745172</v>
      </c>
      <c r="X108" s="62">
        <f t="shared" ca="1" si="39"/>
        <v>0.61788617886178854</v>
      </c>
      <c r="Y108" s="62">
        <f t="shared" ca="1" si="38"/>
        <v>8.5944997074312468</v>
      </c>
      <c r="Z108" s="62">
        <f t="shared" ca="1" si="38"/>
        <v>7.1653440000000002</v>
      </c>
      <c r="AA108" s="62">
        <f t="shared" ca="1" si="38"/>
        <v>6.7910959999999996</v>
      </c>
      <c r="AB108" s="62">
        <f t="shared" ca="1" si="38"/>
        <v>6.2383800000000003</v>
      </c>
    </row>
    <row r="109" spans="1:28" x14ac:dyDescent="0.25">
      <c r="A109" s="50" t="str">
        <f t="shared" si="36"/>
        <v>SCG</v>
      </c>
      <c r="B109" s="45">
        <f t="shared" ca="1" si="35"/>
        <v>57</v>
      </c>
      <c r="C109" s="1">
        <f>IF(ISERROR(D109),"",IF(D109="","",MAX($C$73:C108)+1))</f>
        <v>35</v>
      </c>
      <c r="D109" t="str">
        <f t="shared" si="37"/>
        <v xml:space="preserve">SCANA Corp.                   </v>
      </c>
      <c r="E109" s="22"/>
      <c r="F109" s="62">
        <f t="shared" ca="1" si="28"/>
        <v>0.61291854341614149</v>
      </c>
      <c r="G109" s="62" t="str">
        <f t="shared" si="24"/>
        <v>N/A</v>
      </c>
      <c r="H109" s="62" t="str">
        <f t="shared" si="25"/>
        <v>N/A</v>
      </c>
      <c r="I109" s="62" t="str">
        <f t="shared" si="26"/>
        <v>N/A</v>
      </c>
      <c r="J109" s="62" t="str">
        <f t="shared" ca="1" si="31"/>
        <v>N/A</v>
      </c>
      <c r="K109" s="62" t="str">
        <f t="shared" ca="1" si="31"/>
        <v>N/A</v>
      </c>
      <c r="L109" s="62" t="str">
        <f t="shared" ca="1" si="31"/>
        <v>N/A</v>
      </c>
      <c r="M109" s="62">
        <f t="shared" ca="1" si="32"/>
        <v>0.58333333333333337</v>
      </c>
      <c r="N109" s="62">
        <f t="shared" ca="1" si="33"/>
        <v>0.55288461538461531</v>
      </c>
      <c r="O109" s="62">
        <f t="shared" ca="1" si="39"/>
        <v>0.57217847769028873</v>
      </c>
      <c r="P109" s="62">
        <f t="shared" ca="1" si="39"/>
        <v>0.55408970976253302</v>
      </c>
      <c r="Q109" s="62">
        <f t="shared" ca="1" si="39"/>
        <v>0.59882005899705004</v>
      </c>
      <c r="R109" s="62">
        <f t="shared" ca="1" si="39"/>
        <v>0.62857142857142856</v>
      </c>
      <c r="S109" s="62">
        <f t="shared" ca="1" si="39"/>
        <v>0.65319865319865311</v>
      </c>
      <c r="T109" s="62">
        <f t="shared" ca="1" si="39"/>
        <v>0.63758389261744963</v>
      </c>
      <c r="U109" s="62">
        <f t="shared" ca="1" si="39"/>
        <v>0.65964912280701749</v>
      </c>
      <c r="V109" s="62">
        <f t="shared" ca="1" si="39"/>
        <v>0.62372881355932197</v>
      </c>
      <c r="W109" s="62">
        <f t="shared" ca="1" si="39"/>
        <v>0.64233576642335766</v>
      </c>
      <c r="X109" s="62">
        <f t="shared" ca="1" si="39"/>
        <v>0.64864864864864868</v>
      </c>
      <c r="Y109" s="62">
        <f t="shared" ca="1" si="38"/>
        <v>5.4041722745625842</v>
      </c>
      <c r="Z109" s="62">
        <f t="shared" ca="1" si="38"/>
        <v>6.8624739999999997</v>
      </c>
      <c r="AA109" s="62">
        <f t="shared" ca="1" si="38"/>
        <v>6.5898159999999999</v>
      </c>
      <c r="AB109" s="62">
        <f t="shared" ca="1" si="38"/>
        <v>6.3557940000000004</v>
      </c>
    </row>
    <row r="110" spans="1:28" x14ac:dyDescent="0.25">
      <c r="A110" s="50" t="str">
        <f t="shared" si="36"/>
        <v>SRE</v>
      </c>
      <c r="B110" s="45">
        <f t="shared" ca="1" si="35"/>
        <v>58</v>
      </c>
      <c r="C110" s="1">
        <f>IF(ISERROR(D110),"",IF(D110="","",MAX($C$73:C109)+1))</f>
        <v>36</v>
      </c>
      <c r="D110" t="str">
        <f t="shared" si="37"/>
        <v xml:space="preserve">Sempra Energy                 </v>
      </c>
      <c r="E110" s="22"/>
      <c r="F110" s="62">
        <f t="shared" ca="1" si="28"/>
        <v>0.54182573763353381</v>
      </c>
      <c r="G110" s="62">
        <f t="shared" si="24"/>
        <v>0.51626898047722336</v>
      </c>
      <c r="H110" s="62">
        <f t="shared" si="25"/>
        <v>0.49728555917480993</v>
      </c>
      <c r="I110" s="62">
        <f t="shared" si="26"/>
        <v>1.0972568578553616</v>
      </c>
      <c r="J110" s="62">
        <f t="shared" ca="1" si="31"/>
        <v>0.63525835866261393</v>
      </c>
      <c r="K110" s="62">
        <f t="shared" ca="1" si="31"/>
        <v>0.64824120603015079</v>
      </c>
      <c r="L110" s="62">
        <f t="shared" ca="1" si="31"/>
        <v>0.65328467153284664</v>
      </c>
      <c r="M110" s="62">
        <f t="shared" ca="1" si="32"/>
        <v>0.71058315334773225</v>
      </c>
      <c r="N110" s="62">
        <f t="shared" ca="1" si="33"/>
        <v>0.71226415094339623</v>
      </c>
      <c r="O110" s="62">
        <f t="shared" ca="1" si="39"/>
        <v>0.53537284894837467</v>
      </c>
      <c r="P110" s="62">
        <f t="shared" ca="1" si="39"/>
        <v>0.57019438444924408</v>
      </c>
      <c r="Q110" s="62">
        <f t="shared" ca="1" si="39"/>
        <v>0.59715639810426546</v>
      </c>
      <c r="R110" s="62">
        <f t="shared" ca="1" si="39"/>
        <v>0.55172413793103448</v>
      </c>
      <c r="S110" s="62">
        <f t="shared" ca="1" si="39"/>
        <v>0.42953020134228187</v>
      </c>
      <c r="T110" s="62">
        <f t="shared" ca="1" si="39"/>
        <v>0.38805970149253738</v>
      </c>
      <c r="U110" s="62">
        <f t="shared" ca="1" si="39"/>
        <v>0.32635983263598328</v>
      </c>
      <c r="V110" s="62">
        <f t="shared" ca="1" si="39"/>
        <v>0.30925507900677207</v>
      </c>
      <c r="W110" s="62">
        <f t="shared" ca="1" si="39"/>
        <v>0.29107981220657281</v>
      </c>
      <c r="X110" s="62">
        <f t="shared" ca="1" si="39"/>
        <v>0.28368794326241131</v>
      </c>
      <c r="Y110" s="62">
        <f t="shared" ca="1" si="38"/>
        <v>6.9599329421626148</v>
      </c>
      <c r="Z110" s="62">
        <f t="shared" ca="1" si="38"/>
        <v>5.163653</v>
      </c>
      <c r="AA110" s="62">
        <f t="shared" ca="1" si="38"/>
        <v>4.8501799999999999</v>
      </c>
      <c r="AB110" s="62">
        <f t="shared" ca="1" si="38"/>
        <v>3.9982500000000001</v>
      </c>
    </row>
    <row r="111" spans="1:28" x14ac:dyDescent="0.25">
      <c r="A111" s="50" t="str">
        <f t="shared" si="36"/>
        <v>SO</v>
      </c>
      <c r="B111" s="45">
        <f t="shared" ca="1" si="35"/>
        <v>62</v>
      </c>
      <c r="C111" s="1">
        <f>IF(ISERROR(D111),"",IF(D111="","",MAX($C$73:C110)+1))</f>
        <v>37</v>
      </c>
      <c r="D111" t="str">
        <f t="shared" si="37"/>
        <v xml:space="preserve">Southern Co.                  </v>
      </c>
      <c r="E111" s="22"/>
      <c r="F111" s="62">
        <f t="shared" ca="1" si="28"/>
        <v>0.75161758036533866</v>
      </c>
      <c r="G111" s="62">
        <f t="shared" si="24"/>
        <v>0.76373626373626369</v>
      </c>
      <c r="H111" s="62">
        <f t="shared" si="25"/>
        <v>0.74792243767313027</v>
      </c>
      <c r="I111" s="62">
        <f t="shared" si="26"/>
        <v>0.76608187134502925</v>
      </c>
      <c r="J111" s="62">
        <f t="shared" ca="1" si="31"/>
        <v>0.78153846153846152</v>
      </c>
      <c r="K111" s="62">
        <f t="shared" ca="1" si="31"/>
        <v>0.77602523659306</v>
      </c>
      <c r="L111" s="62">
        <f t="shared" ca="1" si="31"/>
        <v>0.79333333333333333</v>
      </c>
      <c r="M111" s="62">
        <f t="shared" ca="1" si="32"/>
        <v>0.71651090342679125</v>
      </c>
      <c r="N111" s="62">
        <f t="shared" ca="1" si="33"/>
        <v>0.78551236749116604</v>
      </c>
      <c r="O111" s="62">
        <f t="shared" ca="1" si="39"/>
        <v>0.75809859154929582</v>
      </c>
      <c r="P111" s="62">
        <f t="shared" ca="1" si="39"/>
        <v>0.75198555956678703</v>
      </c>
      <c r="Q111" s="62">
        <f t="shared" ca="1" si="39"/>
        <v>0.74555555555555542</v>
      </c>
      <c r="R111" s="62">
        <f t="shared" ca="1" si="39"/>
        <v>0.72771535580524349</v>
      </c>
      <c r="S111" s="62">
        <f t="shared" ca="1" si="39"/>
        <v>0.73450980392156873</v>
      </c>
      <c r="T111" s="62">
        <f t="shared" ca="1" si="39"/>
        <v>0.76398305084745766</v>
      </c>
      <c r="U111" s="62">
        <f t="shared" ca="1" si="39"/>
        <v>0.74698275862068975</v>
      </c>
      <c r="V111" s="62">
        <f t="shared" ca="1" si="39"/>
        <v>0.73911111111111116</v>
      </c>
      <c r="W111" s="62">
        <f t="shared" ca="1" si="39"/>
        <v>0.69956140350877194</v>
      </c>
      <c r="X111" s="62">
        <f t="shared" ca="1" si="39"/>
        <v>0.73095238095238091</v>
      </c>
      <c r="Y111" s="62">
        <f t="shared" ca="1" si="38"/>
        <v>8.4108161746464916</v>
      </c>
      <c r="Z111" s="62">
        <f t="shared" ca="1" si="38"/>
        <v>8.2763340000000003</v>
      </c>
      <c r="AA111" s="62">
        <f t="shared" ca="1" si="38"/>
        <v>8.2793989999999997</v>
      </c>
      <c r="AB111" s="62">
        <f t="shared" ca="1" si="38"/>
        <v>7.832465</v>
      </c>
    </row>
    <row r="112" spans="1:28" x14ac:dyDescent="0.25">
      <c r="A112" s="50" t="str">
        <f t="shared" si="36"/>
        <v>VVC</v>
      </c>
      <c r="B112" s="45">
        <f t="shared" ca="1" si="35"/>
        <v>70</v>
      </c>
      <c r="C112" s="1">
        <f>IF(ISERROR(D112),"",IF(D112="","",MAX($C$73:C111)+1))</f>
        <v>38</v>
      </c>
      <c r="D112" t="str">
        <f t="shared" si="37"/>
        <v xml:space="preserve">Vectren Corp.                 </v>
      </c>
      <c r="E112" s="22"/>
      <c r="F112" s="62">
        <f t="shared" ca="1" si="28"/>
        <v>0.74872843815336765</v>
      </c>
      <c r="G112" s="62" t="str">
        <f t="shared" si="24"/>
        <v>N/A</v>
      </c>
      <c r="H112" s="62" t="str">
        <f t="shared" si="25"/>
        <v>N/A</v>
      </c>
      <c r="I112" s="62" t="str">
        <f t="shared" si="26"/>
        <v>N/A</v>
      </c>
      <c r="J112" s="62" t="str">
        <f t="shared" ca="1" si="31"/>
        <v>N/A</v>
      </c>
      <c r="K112" s="62" t="str">
        <f t="shared" ca="1" si="31"/>
        <v>N/A</v>
      </c>
      <c r="L112" s="62" t="str">
        <f t="shared" ca="1" si="31"/>
        <v>N/A</v>
      </c>
      <c r="M112" s="62">
        <f t="shared" ca="1" si="32"/>
        <v>0.65769230769230769</v>
      </c>
      <c r="N112" s="62">
        <f t="shared" ca="1" si="33"/>
        <v>0.6352941176470589</v>
      </c>
      <c r="O112" s="62">
        <f t="shared" ca="1" si="39"/>
        <v>0.64435146443514646</v>
      </c>
      <c r="P112" s="62">
        <f t="shared" ca="1" si="39"/>
        <v>0.72277227722772275</v>
      </c>
      <c r="Q112" s="62">
        <f t="shared" ca="1" si="39"/>
        <v>0.85843373493975905</v>
      </c>
      <c r="R112" s="62">
        <f t="shared" ca="1" si="39"/>
        <v>0.72422680412371132</v>
      </c>
      <c r="S112" s="62">
        <f t="shared" ca="1" si="39"/>
        <v>0.80057803468208089</v>
      </c>
      <c r="T112" s="62">
        <f t="shared" ca="1" si="39"/>
        <v>0.83536585365853666</v>
      </c>
      <c r="U112" s="62">
        <f t="shared" ca="1" si="39"/>
        <v>0.75418994413407825</v>
      </c>
      <c r="V112" s="62">
        <f t="shared" ca="1" si="39"/>
        <v>0.80368098159509216</v>
      </c>
      <c r="W112" s="62">
        <f t="shared" ca="1" si="39"/>
        <v>0.69398907103825136</v>
      </c>
      <c r="X112" s="62">
        <f t="shared" ca="1" si="39"/>
        <v>0.85416666666666674</v>
      </c>
      <c r="Y112" s="62">
        <f t="shared" ca="1" si="38"/>
        <v>7.0612086776859506</v>
      </c>
      <c r="Z112" s="62">
        <f t="shared" ca="1" si="38"/>
        <v>7.6323040000000004</v>
      </c>
      <c r="AA112" s="62">
        <f t="shared" ca="1" si="38"/>
        <v>7.2745040000000003</v>
      </c>
      <c r="AB112" s="62">
        <f t="shared" ca="1" si="38"/>
        <v>6.9240180000000002</v>
      </c>
    </row>
    <row r="113" spans="1:28" x14ac:dyDescent="0.25">
      <c r="A113" s="50" t="str">
        <f t="shared" si="36"/>
        <v>WEC</v>
      </c>
      <c r="B113" s="45">
        <f t="shared" ca="1" si="35"/>
        <v>71</v>
      </c>
      <c r="C113" s="1">
        <f>IF(ISERROR(D113),"",IF(D113="","",MAX($C$73:C112)+1))</f>
        <v>39</v>
      </c>
      <c r="D113" t="str">
        <f t="shared" si="37"/>
        <v>WEC Energy Group</v>
      </c>
      <c r="E113" s="22"/>
      <c r="F113" s="62">
        <f t="shared" ca="1" si="28"/>
        <v>0.5616867091076525</v>
      </c>
      <c r="G113" s="62">
        <f t="shared" si="24"/>
        <v>0.67386609071274306</v>
      </c>
      <c r="H113" s="62">
        <f t="shared" si="25"/>
        <v>0.65246636771300448</v>
      </c>
      <c r="I113" s="62">
        <f t="shared" si="26"/>
        <v>0.65936739659367394</v>
      </c>
      <c r="J113" s="62">
        <f t="shared" ca="1" si="31"/>
        <v>0.66754617414248019</v>
      </c>
      <c r="K113" s="62">
        <f t="shared" ca="1" si="31"/>
        <v>0.65921787709497204</v>
      </c>
      <c r="L113" s="62">
        <f t="shared" ca="1" si="31"/>
        <v>0.66167664670658688</v>
      </c>
      <c r="M113" s="62">
        <f t="shared" ca="1" si="32"/>
        <v>0.66242038216560506</v>
      </c>
      <c r="N113" s="62">
        <f t="shared" ca="1" si="33"/>
        <v>0.66891891891891897</v>
      </c>
      <c r="O113" s="62">
        <f t="shared" ca="1" si="39"/>
        <v>0.74358974358974361</v>
      </c>
      <c r="P113" s="62">
        <f t="shared" ca="1" si="39"/>
        <v>0.60231660231660233</v>
      </c>
      <c r="Q113" s="62">
        <f t="shared" ca="1" si="39"/>
        <v>0.57569721115537853</v>
      </c>
      <c r="R113" s="62">
        <f t="shared" ca="1" si="39"/>
        <v>0.51063829787234039</v>
      </c>
      <c r="S113" s="62">
        <f t="shared" ca="1" si="39"/>
        <v>0.47706422018348621</v>
      </c>
      <c r="T113" s="62">
        <f t="shared" ca="1" si="39"/>
        <v>0.41666666666666669</v>
      </c>
      <c r="U113" s="62">
        <f t="shared" ca="1" si="39"/>
        <v>0.421875</v>
      </c>
      <c r="V113" s="62">
        <f t="shared" ca="1" si="39"/>
        <v>0.35643564356435647</v>
      </c>
      <c r="W113" s="62">
        <f t="shared" ca="1" si="39"/>
        <v>0.35211267605633806</v>
      </c>
      <c r="X113" s="62">
        <f t="shared" ca="1" si="39"/>
        <v>0.34848484848484851</v>
      </c>
      <c r="Y113" s="62">
        <f t="shared" ca="1" si="38"/>
        <v>6.4014522821576767</v>
      </c>
      <c r="Z113" s="62">
        <f t="shared" ca="1" si="38"/>
        <v>6.2742060000000004</v>
      </c>
      <c r="AA113" s="62">
        <f t="shared" ca="1" si="38"/>
        <v>4.9149459999999996</v>
      </c>
      <c r="AB113" s="62">
        <f t="shared" ca="1" si="38"/>
        <v>4.2733350000000003</v>
      </c>
    </row>
    <row r="114" spans="1:28" x14ac:dyDescent="0.25">
      <c r="A114" s="50" t="str">
        <f t="shared" si="36"/>
        <v>WR</v>
      </c>
      <c r="B114" s="45">
        <f t="shared" ca="1" si="35"/>
        <v>72</v>
      </c>
      <c r="C114" s="1">
        <f>IF(ISERROR(D114),"",IF(D114="","",MAX($C$73:C113)+1))</f>
        <v>40</v>
      </c>
      <c r="D114" t="str">
        <f t="shared" si="37"/>
        <v xml:space="preserve">Westar Energy                 </v>
      </c>
      <c r="E114" s="22"/>
      <c r="F114" s="62">
        <f t="shared" ca="1" si="28"/>
        <v>0.68028121116642348</v>
      </c>
      <c r="G114" s="62" t="str">
        <f t="shared" si="24"/>
        <v>N/A</v>
      </c>
      <c r="H114" s="62" t="str">
        <f t="shared" si="25"/>
        <v>N/A</v>
      </c>
      <c r="I114" s="62" t="str">
        <f t="shared" si="26"/>
        <v>N/A</v>
      </c>
      <c r="J114" s="62" t="str">
        <f t="shared" ca="1" si="31"/>
        <v>N/A</v>
      </c>
      <c r="K114" s="62" t="str">
        <f t="shared" ca="1" si="31"/>
        <v>N/A</v>
      </c>
      <c r="L114" s="62" t="str">
        <f t="shared" ca="1" si="31"/>
        <v>N/A</v>
      </c>
      <c r="M114" s="62">
        <f t="shared" ca="1" si="32"/>
        <v>0.70484581497797361</v>
      </c>
      <c r="N114" s="62">
        <f t="shared" ca="1" si="33"/>
        <v>0.625514403292181</v>
      </c>
      <c r="O114" s="62">
        <f t="shared" ca="1" si="39"/>
        <v>0.68899521531100483</v>
      </c>
      <c r="P114" s="62">
        <f t="shared" ca="1" si="39"/>
        <v>0.5957446808510638</v>
      </c>
      <c r="Q114" s="62">
        <f t="shared" ca="1" si="39"/>
        <v>0.59911894273127753</v>
      </c>
      <c r="R114" s="62">
        <f t="shared" ca="1" si="39"/>
        <v>0.61395348837209307</v>
      </c>
      <c r="S114" s="62">
        <f t="shared" ca="1" si="39"/>
        <v>0.71508379888268159</v>
      </c>
      <c r="T114" s="62">
        <f t="shared" ca="1" si="39"/>
        <v>0.68888888888888888</v>
      </c>
      <c r="U114" s="62">
        <f t="shared" ca="1" si="39"/>
        <v>0.9375</v>
      </c>
      <c r="V114" s="62">
        <f t="shared" ca="1" si="39"/>
        <v>0.88549618320610679</v>
      </c>
      <c r="W114" s="62">
        <f t="shared" ca="1" si="39"/>
        <v>0.58695652173913049</v>
      </c>
      <c r="X114" s="62">
        <f t="shared" ca="1" si="39"/>
        <v>0.52127659574468088</v>
      </c>
      <c r="Y114" s="62">
        <f t="shared" ca="1" si="38"/>
        <v>6.9972519083969464</v>
      </c>
      <c r="Z114" s="62">
        <f t="shared" ca="1" si="38"/>
        <v>6.538462</v>
      </c>
      <c r="AA114" s="62">
        <f t="shared" ca="1" si="38"/>
        <v>4.2357319999999996</v>
      </c>
      <c r="AB114" s="62">
        <f t="shared" ca="1" si="38"/>
        <v>2.941065</v>
      </c>
    </row>
    <row r="115" spans="1:28" x14ac:dyDescent="0.25">
      <c r="A115" s="50" t="str">
        <f t="shared" si="36"/>
        <v>XEL</v>
      </c>
      <c r="B115" s="45">
        <f t="shared" ca="1" si="35"/>
        <v>74</v>
      </c>
      <c r="C115" s="1">
        <f>IF(ISERROR(D115),"",IF(D115="","",MAX($C$73:C114)+1))</f>
        <v>41</v>
      </c>
      <c r="D115" t="str">
        <f t="shared" si="37"/>
        <v xml:space="preserve">Xcel Energy Inc.              </v>
      </c>
      <c r="E115" s="22"/>
      <c r="F115" s="62">
        <f t="shared" ca="1" si="28"/>
        <v>0.62011549205457817</v>
      </c>
      <c r="G115" s="62">
        <f t="shared" si="24"/>
        <v>0.62089552238805967</v>
      </c>
      <c r="H115" s="62">
        <f t="shared" si="25"/>
        <v>0.6151419558359621</v>
      </c>
      <c r="I115" s="62">
        <f t="shared" si="26"/>
        <v>0.61824324324324331</v>
      </c>
      <c r="J115" s="62">
        <f t="shared" ca="1" si="31"/>
        <v>0.61648745519713255</v>
      </c>
      <c r="K115" s="62">
        <f t="shared" ca="1" si="31"/>
        <v>0.61363636363636365</v>
      </c>
      <c r="L115" s="62">
        <f t="shared" ca="1" si="31"/>
        <v>0.61538461538461531</v>
      </c>
      <c r="M115" s="62">
        <f t="shared" ca="1" si="32"/>
        <v>0.62608695652173918</v>
      </c>
      <c r="N115" s="62">
        <f t="shared" ca="1" si="33"/>
        <v>0.61538461538461542</v>
      </c>
      <c r="O115" s="62">
        <f t="shared" ca="1" si="39"/>
        <v>0.60952380952380947</v>
      </c>
      <c r="P115" s="62">
        <f t="shared" ca="1" si="39"/>
        <v>0.59113300492610843</v>
      </c>
      <c r="Q115" s="62">
        <f t="shared" ca="1" si="39"/>
        <v>0.5811518324607331</v>
      </c>
      <c r="R115" s="62">
        <f t="shared" ca="1" si="39"/>
        <v>0.57837837837837835</v>
      </c>
      <c r="S115" s="62">
        <f t="shared" ca="1" si="39"/>
        <v>0.59883720930232565</v>
      </c>
      <c r="T115" s="62">
        <f t="shared" ca="1" si="39"/>
        <v>0.64102564102564097</v>
      </c>
      <c r="U115" s="62">
        <f t="shared" ca="1" si="39"/>
        <v>0.65100671140939592</v>
      </c>
      <c r="V115" s="62">
        <f t="shared" ca="1" si="39"/>
        <v>0.64383561643835618</v>
      </c>
      <c r="W115" s="62">
        <f t="shared" ca="1" si="39"/>
        <v>0.67407407407407405</v>
      </c>
      <c r="X115" s="62">
        <f t="shared" ca="1" si="39"/>
        <v>0.65185185185185179</v>
      </c>
      <c r="Y115" s="62">
        <f t="shared" ca="1" si="38"/>
        <v>5.6238560097620498</v>
      </c>
      <c r="Z115" s="62">
        <f t="shared" ca="1" si="38"/>
        <v>5.3087289999999996</v>
      </c>
      <c r="AA115" s="62">
        <f t="shared" ca="1" si="38"/>
        <v>4.2676220000000002</v>
      </c>
      <c r="AB115" s="62">
        <f t="shared" ca="1" si="38"/>
        <v>5.4642860000000004</v>
      </c>
    </row>
    <row r="116" spans="1:28" hidden="1" x14ac:dyDescent="0.25">
      <c r="A116" s="50">
        <f t="shared" si="36"/>
        <v>0</v>
      </c>
      <c r="B116" s="45" t="str">
        <f t="shared" ca="1" si="35"/>
        <v/>
      </c>
      <c r="C116" s="1" t="str">
        <f>IF(ISERROR(D116),"",IF(D116="","",MAX($C$73:C115)+1))</f>
        <v/>
      </c>
      <c r="D116" t="e">
        <f t="shared" si="37"/>
        <v>#N/A</v>
      </c>
      <c r="E116" s="22"/>
      <c r="F116" s="62" t="str">
        <f t="shared" ca="1" si="28"/>
        <v>N/A</v>
      </c>
      <c r="G116" s="62"/>
      <c r="H116" s="62" t="str">
        <f t="shared" si="25"/>
        <v>N/A</v>
      </c>
      <c r="I116" s="62" t="str">
        <f t="shared" si="26"/>
        <v>N/A</v>
      </c>
      <c r="J116" s="62" t="str">
        <f t="shared" ca="1" si="31"/>
        <v>N/A</v>
      </c>
      <c r="K116" s="62" t="str">
        <f t="shared" ca="1" si="31"/>
        <v>N/A</v>
      </c>
      <c r="L116" s="62" t="str">
        <f t="shared" ca="1" si="31"/>
        <v>N/A</v>
      </c>
      <c r="M116" s="62" t="str">
        <f t="shared" ca="1" si="32"/>
        <v>N/A</v>
      </c>
      <c r="N116" s="62" t="str">
        <f t="shared" ca="1" si="33"/>
        <v>N/A</v>
      </c>
      <c r="O116" s="62" t="str">
        <f t="shared" ca="1" si="39"/>
        <v>N/A</v>
      </c>
      <c r="P116" s="62" t="str">
        <f t="shared" ca="1" si="39"/>
        <v>N/A</v>
      </c>
      <c r="Q116" s="62" t="str">
        <f t="shared" ca="1" si="39"/>
        <v>N/A</v>
      </c>
      <c r="R116" s="62" t="str">
        <f t="shared" ca="1" si="39"/>
        <v>N/A</v>
      </c>
      <c r="S116" s="62" t="str">
        <f t="shared" ca="1" si="39"/>
        <v>N/A</v>
      </c>
      <c r="T116" s="62" t="str">
        <f t="shared" ca="1" si="39"/>
        <v>N/A</v>
      </c>
      <c r="U116" s="62" t="str">
        <f t="shared" ca="1" si="39"/>
        <v>N/A</v>
      </c>
      <c r="V116" s="62" t="str">
        <f t="shared" ca="1" si="39"/>
        <v>N/A</v>
      </c>
      <c r="W116" s="62" t="str">
        <f t="shared" ca="1" si="39"/>
        <v>N/A</v>
      </c>
      <c r="X116" s="62" t="str">
        <f t="shared" ca="1" si="39"/>
        <v>N/A</v>
      </c>
      <c r="Y116" s="62" t="str">
        <f t="shared" ca="1" si="38"/>
        <v>N/A</v>
      </c>
      <c r="Z116" s="62" t="str">
        <f t="shared" ca="1" si="38"/>
        <v>N/A</v>
      </c>
      <c r="AA116" s="62" t="str">
        <f t="shared" ca="1" si="38"/>
        <v>N/A</v>
      </c>
      <c r="AB116" s="62" t="str">
        <f t="shared" ca="1" si="38"/>
        <v>N/A</v>
      </c>
    </row>
    <row r="117" spans="1:28" hidden="1" x14ac:dyDescent="0.25">
      <c r="A117" s="50">
        <f t="shared" si="36"/>
        <v>0</v>
      </c>
      <c r="B117" s="45" t="str">
        <f t="shared" ca="1" si="35"/>
        <v/>
      </c>
      <c r="C117" s="1" t="str">
        <f>IF(ISERROR(D117),"",IF(D117="","",MAX($C$73:C116)+1))</f>
        <v/>
      </c>
      <c r="D117" t="e">
        <f t="shared" si="37"/>
        <v>#N/A</v>
      </c>
      <c r="F117" s="62" t="str">
        <f t="shared" ca="1" si="28"/>
        <v>N/A</v>
      </c>
      <c r="G117" s="62"/>
      <c r="H117" s="62" t="str">
        <f t="shared" si="25"/>
        <v>N/A</v>
      </c>
      <c r="I117" s="62" t="str">
        <f t="shared" si="26"/>
        <v>N/A</v>
      </c>
      <c r="J117" s="62" t="str">
        <f t="shared" ca="1" si="31"/>
        <v>N/A</v>
      </c>
      <c r="K117" s="62" t="str">
        <f t="shared" ca="1" si="31"/>
        <v>N/A</v>
      </c>
      <c r="L117" s="62" t="str">
        <f t="shared" ca="1" si="31"/>
        <v>N/A</v>
      </c>
      <c r="M117" s="62" t="str">
        <f t="shared" ca="1" si="32"/>
        <v>N/A</v>
      </c>
      <c r="N117" s="62" t="str">
        <f t="shared" ca="1" si="33"/>
        <v>N/A</v>
      </c>
      <c r="O117" s="62" t="str">
        <f t="shared" ca="1" si="39"/>
        <v>N/A</v>
      </c>
      <c r="P117" s="62" t="str">
        <f t="shared" ca="1" si="39"/>
        <v>N/A</v>
      </c>
      <c r="Q117" s="62" t="str">
        <f t="shared" ca="1" si="39"/>
        <v>N/A</v>
      </c>
      <c r="R117" s="62" t="str">
        <f t="shared" ca="1" si="39"/>
        <v>N/A</v>
      </c>
      <c r="S117" s="62" t="str">
        <f t="shared" ca="1" si="39"/>
        <v>N/A</v>
      </c>
      <c r="T117" s="62" t="str">
        <f t="shared" ca="1" si="39"/>
        <v>N/A</v>
      </c>
      <c r="U117" s="62" t="str">
        <f t="shared" ca="1" si="39"/>
        <v>N/A</v>
      </c>
      <c r="V117" s="62" t="str">
        <f t="shared" ca="1" si="39"/>
        <v>N/A</v>
      </c>
      <c r="W117" s="62" t="str">
        <f t="shared" ca="1" si="39"/>
        <v>N/A</v>
      </c>
      <c r="X117" s="62" t="str">
        <f t="shared" ca="1" si="39"/>
        <v>N/A</v>
      </c>
      <c r="Y117" s="62" t="str">
        <f t="shared" ca="1" si="38"/>
        <v>N/A</v>
      </c>
      <c r="Z117" s="62" t="str">
        <f t="shared" ca="1" si="38"/>
        <v>N/A</v>
      </c>
      <c r="AA117" s="62" t="str">
        <f t="shared" ca="1" si="38"/>
        <v>N/A</v>
      </c>
      <c r="AB117" s="62" t="str">
        <f t="shared" ca="1" si="38"/>
        <v>N/A</v>
      </c>
    </row>
    <row r="118" spans="1:28" hidden="1" x14ac:dyDescent="0.25">
      <c r="A118" s="50">
        <f t="shared" si="36"/>
        <v>0</v>
      </c>
      <c r="B118" s="45" t="str">
        <f t="shared" ca="1" si="35"/>
        <v/>
      </c>
      <c r="C118" s="1" t="str">
        <f>IF(ISERROR(D118),"",IF(D118="","",MAX($C$73:C117)+1))</f>
        <v/>
      </c>
      <c r="D118" t="e">
        <f t="shared" si="37"/>
        <v>#N/A</v>
      </c>
      <c r="F118" s="62" t="str">
        <f t="shared" ca="1" si="28"/>
        <v>N/A</v>
      </c>
      <c r="G118" s="62"/>
      <c r="H118" s="62" t="str">
        <f t="shared" si="25"/>
        <v>N/A</v>
      </c>
      <c r="I118" s="62" t="str">
        <f t="shared" si="26"/>
        <v>N/A</v>
      </c>
      <c r="J118" s="62" t="str">
        <f t="shared" ca="1" si="31"/>
        <v>N/A</v>
      </c>
      <c r="K118" s="62" t="str">
        <f t="shared" ca="1" si="31"/>
        <v>N/A</v>
      </c>
      <c r="L118" s="62" t="str">
        <f t="shared" ca="1" si="31"/>
        <v>N/A</v>
      </c>
      <c r="M118" s="62" t="str">
        <f t="shared" ca="1" si="32"/>
        <v>N/A</v>
      </c>
      <c r="N118" s="62" t="str">
        <f t="shared" ca="1" si="33"/>
        <v>N/A</v>
      </c>
      <c r="O118" s="62" t="str">
        <f t="shared" ca="1" si="39"/>
        <v>N/A</v>
      </c>
      <c r="P118" s="62" t="str">
        <f t="shared" ca="1" si="39"/>
        <v>N/A</v>
      </c>
      <c r="Q118" s="62" t="str">
        <f t="shared" ca="1" si="39"/>
        <v>N/A</v>
      </c>
      <c r="R118" s="62" t="str">
        <f t="shared" ca="1" si="39"/>
        <v>N/A</v>
      </c>
      <c r="S118" s="62" t="str">
        <f t="shared" ca="1" si="39"/>
        <v>N/A</v>
      </c>
      <c r="T118" s="62" t="str">
        <f t="shared" ca="1" si="39"/>
        <v>N/A</v>
      </c>
      <c r="U118" s="62" t="str">
        <f t="shared" ca="1" si="39"/>
        <v>N/A</v>
      </c>
      <c r="V118" s="62" t="str">
        <f t="shared" ca="1" si="39"/>
        <v>N/A</v>
      </c>
      <c r="W118" s="62" t="str">
        <f t="shared" ca="1" si="39"/>
        <v>N/A</v>
      </c>
      <c r="X118" s="62" t="str">
        <f t="shared" ca="1" si="39"/>
        <v>N/A</v>
      </c>
      <c r="Y118" s="62" t="str">
        <f t="shared" ca="1" si="38"/>
        <v>N/A</v>
      </c>
      <c r="Z118" s="62" t="str">
        <f t="shared" ca="1" si="38"/>
        <v>N/A</v>
      </c>
      <c r="AA118" s="62" t="str">
        <f t="shared" ca="1" si="38"/>
        <v>N/A</v>
      </c>
      <c r="AB118" s="62" t="str">
        <f t="shared" ca="1" si="38"/>
        <v>N/A</v>
      </c>
    </row>
    <row r="119" spans="1:28" hidden="1" x14ac:dyDescent="0.25">
      <c r="A119" s="50">
        <f t="shared" si="36"/>
        <v>0</v>
      </c>
      <c r="B119" s="45" t="str">
        <f t="shared" ca="1" si="35"/>
        <v/>
      </c>
      <c r="C119" s="1" t="str">
        <f>IF(ISERROR(D119),"",IF(D119="","",MAX($C$73:C118)+1))</f>
        <v/>
      </c>
      <c r="D119" t="e">
        <f t="shared" si="37"/>
        <v>#N/A</v>
      </c>
      <c r="F119" s="62" t="str">
        <f t="shared" ca="1" si="28"/>
        <v>N/A</v>
      </c>
      <c r="G119" s="62"/>
      <c r="H119" s="62" t="str">
        <f t="shared" si="25"/>
        <v>N/A</v>
      </c>
      <c r="I119" s="62" t="str">
        <f t="shared" si="26"/>
        <v>N/A</v>
      </c>
      <c r="J119" s="62" t="str">
        <f t="shared" ca="1" si="31"/>
        <v>N/A</v>
      </c>
      <c r="K119" s="62" t="str">
        <f t="shared" ca="1" si="31"/>
        <v>N/A</v>
      </c>
      <c r="L119" s="62" t="str">
        <f t="shared" ca="1" si="31"/>
        <v>N/A</v>
      </c>
      <c r="M119" s="62" t="str">
        <f t="shared" ca="1" si="32"/>
        <v>N/A</v>
      </c>
      <c r="N119" s="62" t="str">
        <f t="shared" ca="1" si="33"/>
        <v>N/A</v>
      </c>
      <c r="O119" s="62" t="str">
        <f t="shared" ca="1" si="39"/>
        <v>N/A</v>
      </c>
      <c r="P119" s="62" t="str">
        <f t="shared" ca="1" si="39"/>
        <v>N/A</v>
      </c>
      <c r="Q119" s="62" t="str">
        <f t="shared" ca="1" si="39"/>
        <v>N/A</v>
      </c>
      <c r="R119" s="62" t="str">
        <f t="shared" ca="1" si="39"/>
        <v>N/A</v>
      </c>
      <c r="S119" s="62" t="str">
        <f t="shared" ca="1" si="39"/>
        <v>N/A</v>
      </c>
      <c r="T119" s="62" t="str">
        <f t="shared" ca="1" si="39"/>
        <v>N/A</v>
      </c>
      <c r="U119" s="62" t="str">
        <f t="shared" ca="1" si="39"/>
        <v>N/A</v>
      </c>
      <c r="V119" s="62" t="str">
        <f t="shared" ca="1" si="39"/>
        <v>N/A</v>
      </c>
      <c r="W119" s="62" t="str">
        <f t="shared" ca="1" si="39"/>
        <v>N/A</v>
      </c>
      <c r="X119" s="62" t="str">
        <f t="shared" ca="1" si="39"/>
        <v>N/A</v>
      </c>
      <c r="Y119" s="62" t="str">
        <f ca="1">IFERROR(IF(INDEX(MP_CF_WP,$B119,Y$74)=0,"N/A",INDEX(MP_CF_WP,$B119,Y$74)),"N/A")</f>
        <v>N/A</v>
      </c>
      <c r="Z119" s="62" t="str">
        <f ca="1">IFERROR(IF(INDEX(MP_CF_WP,$B119,Z$74)=0,"N/A",INDEX(MP_CF_WP,$B119,Z$74)),"N/A")</f>
        <v>N/A</v>
      </c>
      <c r="AA119" s="62" t="str">
        <f ca="1">IFERROR(IF(INDEX(MP_CF_WP,$B119,AA$74)=0,"N/A",INDEX(MP_CF_WP,$B119,AA$74)),"N/A")</f>
        <v>N/A</v>
      </c>
      <c r="AB119" s="62" t="str">
        <f ca="1">IFERROR(IF(INDEX(MP_CF_WP,$B119,AB$74)=0,"N/A",INDEX(MP_CF_WP,$B119,AB$74)),"N/A")</f>
        <v>N/A</v>
      </c>
    </row>
    <row r="120" spans="1:28" x14ac:dyDescent="0.25">
      <c r="A120" s="31"/>
      <c r="B120" s="31"/>
      <c r="C120" s="1" t="str">
        <f>IF(ISERROR(D120),"",IF(D120="","",MAX($C$73:C119)+1))</f>
        <v/>
      </c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x14ac:dyDescent="0.25">
      <c r="A121" s="31"/>
      <c r="B121" s="31"/>
      <c r="C121" s="1">
        <f>IF(ISERROR(D121),"",IF(D121="","",MAX($C$73:C120)+1))</f>
        <v>42</v>
      </c>
      <c r="D121" t="s">
        <v>98</v>
      </c>
      <c r="F121" s="62">
        <f ca="1">AVERAGE(G121:X121)</f>
        <v>0.65485598606150219</v>
      </c>
      <c r="G121" s="62">
        <f>AVERAGE(G75:G120)</f>
        <v>0.65826610037811117</v>
      </c>
      <c r="H121" s="62">
        <f t="shared" ref="H121:X121" si="40">AVERAGE(H75:H120)</f>
        <v>0.67613572082820317</v>
      </c>
      <c r="I121" s="62">
        <f t="shared" si="40"/>
        <v>0.78265650209472915</v>
      </c>
      <c r="J121" s="62">
        <f t="shared" ca="1" si="40"/>
        <v>0.75082155001345674</v>
      </c>
      <c r="K121" s="62">
        <f t="shared" ca="1" si="40"/>
        <v>0.66450309885854053</v>
      </c>
      <c r="L121" s="62">
        <f t="shared" ca="1" si="40"/>
        <v>0.63606087483285778</v>
      </c>
      <c r="M121" s="62">
        <f t="shared" ca="1" si="40"/>
        <v>0.1780598445549689</v>
      </c>
      <c r="N121" s="62">
        <f t="shared" ca="1" si="40"/>
        <v>0.65329567354657092</v>
      </c>
      <c r="O121" s="62">
        <f t="shared" ca="1" si="40"/>
        <v>0.63645748782420597</v>
      </c>
      <c r="P121" s="62">
        <f t="shared" ca="1" si="40"/>
        <v>0.63765350957386246</v>
      </c>
      <c r="Q121" s="62">
        <f t="shared" ca="1" si="40"/>
        <v>0.6215439306836873</v>
      </c>
      <c r="R121" s="62">
        <f t="shared" ca="1" si="40"/>
        <v>0.65305397568274615</v>
      </c>
      <c r="S121" s="62">
        <f t="shared" ca="1" si="40"/>
        <v>0.67167220750685763</v>
      </c>
      <c r="T121" s="62">
        <f t="shared" ca="1" si="40"/>
        <v>0.67724745081611404</v>
      </c>
      <c r="U121" s="62">
        <f t="shared" ca="1" si="40"/>
        <v>0.70081901418130588</v>
      </c>
      <c r="V121" s="62">
        <f t="shared" ca="1" si="40"/>
        <v>0.96473164324438054</v>
      </c>
      <c r="W121" s="62">
        <f t="shared" ca="1" si="40"/>
        <v>0.61552494322672047</v>
      </c>
      <c r="X121" s="62">
        <f t="shared" ca="1" si="40"/>
        <v>0.60890422125971899</v>
      </c>
      <c r="Y121" s="62"/>
      <c r="Z121" s="62"/>
      <c r="AA121" s="62"/>
      <c r="AB121" s="62"/>
    </row>
    <row r="122" spans="1:28" x14ac:dyDescent="0.25">
      <c r="A122" s="31"/>
      <c r="B122" s="31"/>
      <c r="C122" s="1">
        <f>IF(ISERROR(D122),"",IF(D122="","",MAX($C$73:C121)+1))</f>
        <v>43</v>
      </c>
      <c r="D122" t="s">
        <v>257</v>
      </c>
      <c r="F122" s="62">
        <f ca="1">MEDIAN(G122:X122)</f>
        <v>0.62920257622502551</v>
      </c>
      <c r="G122" s="62">
        <f>MEDIAN(G75:G120)</f>
        <v>0.63480937369892354</v>
      </c>
      <c r="H122" s="62">
        <f t="shared" ref="H122:X122" si="41">MEDIAN(H75:H120)</f>
        <v>0.64430362619520121</v>
      </c>
      <c r="I122" s="62">
        <f t="shared" si="41"/>
        <v>0.6807909604519774</v>
      </c>
      <c r="J122" s="62">
        <f t="shared" ca="1" si="41"/>
        <v>0.66666666666666663</v>
      </c>
      <c r="K122" s="62">
        <f t="shared" ca="1" si="41"/>
        <v>0.64016736401673635</v>
      </c>
      <c r="L122" s="62">
        <f t="shared" ca="1" si="41"/>
        <v>0.65132967496834115</v>
      </c>
      <c r="M122" s="62">
        <f t="shared" ca="1" si="41"/>
        <v>0.63095417205789428</v>
      </c>
      <c r="N122" s="62">
        <f t="shared" ca="1" si="41"/>
        <v>0.63625170998632019</v>
      </c>
      <c r="O122" s="62">
        <f t="shared" ca="1" si="41"/>
        <v>0.62244897959183676</v>
      </c>
      <c r="P122" s="62">
        <f t="shared" ca="1" si="41"/>
        <v>0.5957446808510638</v>
      </c>
      <c r="Q122" s="62">
        <f t="shared" ca="1" si="41"/>
        <v>0.6132075471698113</v>
      </c>
      <c r="R122" s="62">
        <f t="shared" ca="1" si="41"/>
        <v>0.62745098039215685</v>
      </c>
      <c r="S122" s="62">
        <f t="shared" ca="1" si="41"/>
        <v>0.61818181818181817</v>
      </c>
      <c r="T122" s="62">
        <f t="shared" ca="1" si="41"/>
        <v>0.61742384384700366</v>
      </c>
      <c r="U122" s="62">
        <f t="shared" ca="1" si="41"/>
        <v>0.66160364472145206</v>
      </c>
      <c r="V122" s="62">
        <f t="shared" ca="1" si="41"/>
        <v>0.60616176648031206</v>
      </c>
      <c r="W122" s="62">
        <f t="shared" ca="1" si="41"/>
        <v>0.60411937124630022</v>
      </c>
      <c r="X122" s="62">
        <f t="shared" ca="1" si="41"/>
        <v>0.56662621359223297</v>
      </c>
      <c r="Y122" s="62"/>
      <c r="Z122" s="62"/>
      <c r="AA122" s="62"/>
      <c r="AB122" s="62"/>
    </row>
    <row r="123" spans="1:28" x14ac:dyDescent="0.25">
      <c r="A123" s="31"/>
      <c r="B123" s="31"/>
      <c r="C123" s="1"/>
    </row>
    <row r="124" spans="1:28" x14ac:dyDescent="0.25">
      <c r="A124" s="31"/>
      <c r="B124" s="31"/>
      <c r="D124" s="18"/>
      <c r="E124" s="88"/>
    </row>
    <row r="125" spans="1:28" x14ac:dyDescent="0.25">
      <c r="A125" s="31"/>
      <c r="B125" s="31"/>
      <c r="D125" s="20" t="s">
        <v>107</v>
      </c>
    </row>
    <row r="126" spans="1:28" ht="16.2" x14ac:dyDescent="0.25">
      <c r="A126" s="31"/>
      <c r="B126" s="31"/>
      <c r="D126" s="76">
        <v>1</v>
      </c>
      <c r="E126" s="21" t="str">
        <f>E64</f>
        <v>Data for years 2019 and prior were retrieved from the Value Line Investment Survey Investment Analyzer Software, downloaded on June 18, 2021.</v>
      </c>
    </row>
    <row r="127" spans="1:28" ht="16.2" x14ac:dyDescent="0.25">
      <c r="A127" s="31"/>
      <c r="B127" s="31"/>
      <c r="D127" s="76"/>
      <c r="E127" s="21" t="str">
        <f>E65</f>
        <v>Data for the years 2020 - 2022 was retrieved from Value Line Investment Surveys.</v>
      </c>
    </row>
    <row r="128" spans="1:28" ht="16.2" x14ac:dyDescent="0.25">
      <c r="A128" s="31"/>
      <c r="B128" s="31"/>
      <c r="D128" s="76">
        <v>2</v>
      </c>
      <c r="E128" s="21" t="str">
        <f>E66</f>
        <v>The Value Line Investment Survey, March 8, April 19, and May 10, 2024.</v>
      </c>
    </row>
    <row r="129" spans="1:28" x14ac:dyDescent="0.25">
      <c r="A129" s="31"/>
      <c r="B129" s="31"/>
      <c r="D129" s="20" t="s">
        <v>108</v>
      </c>
    </row>
    <row r="130" spans="1:28" ht="16.2" x14ac:dyDescent="0.25">
      <c r="A130" s="31"/>
      <c r="B130" s="31"/>
      <c r="D130" s="89" t="s">
        <v>355</v>
      </c>
      <c r="E130" s="21" t="s">
        <v>575</v>
      </c>
    </row>
    <row r="131" spans="1:28" x14ac:dyDescent="0.25">
      <c r="E131" s="23" t="str">
        <f>"published in The Value Line Investment Survey, "&amp;'2023 Data (WP)'!$D$1</f>
        <v>published in The Value Line Investment Survey, March 8, April 19, and May 10, 2024.</v>
      </c>
    </row>
    <row r="132" spans="1:28" x14ac:dyDescent="0.25">
      <c r="A132" s="31"/>
      <c r="B132" s="31"/>
      <c r="C132" s="1"/>
    </row>
    <row r="133" spans="1:28" ht="16.2" x14ac:dyDescent="0.25">
      <c r="A133" s="31"/>
      <c r="B133" s="31"/>
      <c r="C133" s="6"/>
      <c r="D133" s="6"/>
      <c r="E133" s="19"/>
      <c r="F133" s="276" t="s">
        <v>327</v>
      </c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</row>
    <row r="134" spans="1:28" x14ac:dyDescent="0.25">
      <c r="A134" s="31"/>
      <c r="B134" s="31"/>
      <c r="C134" s="6"/>
      <c r="D134" s="7"/>
      <c r="E134" s="7"/>
      <c r="F134" s="8" t="str">
        <f>F9</f>
        <v>18-Year</v>
      </c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7"/>
      <c r="V134" s="7"/>
      <c r="W134" s="7"/>
      <c r="X134" s="7"/>
      <c r="Y134" s="7"/>
      <c r="Z134" s="7"/>
      <c r="AA134" s="7"/>
    </row>
    <row r="135" spans="1:28" ht="16.2" x14ac:dyDescent="0.25">
      <c r="A135" s="31"/>
      <c r="B135" s="31"/>
      <c r="C135" s="9" t="s">
        <v>96</v>
      </c>
      <c r="D135" s="275" t="s">
        <v>97</v>
      </c>
      <c r="E135" s="275"/>
      <c r="F135" s="10" t="s">
        <v>98</v>
      </c>
      <c r="G135" s="40" t="s">
        <v>560</v>
      </c>
      <c r="H135" s="40">
        <v>2022</v>
      </c>
      <c r="I135" s="40">
        <v>2021</v>
      </c>
      <c r="J135" s="40">
        <v>2020</v>
      </c>
      <c r="K135" s="10" t="s">
        <v>440</v>
      </c>
      <c r="L135" s="10" t="s">
        <v>476</v>
      </c>
      <c r="M135" s="40">
        <v>2017</v>
      </c>
      <c r="N135" s="40">
        <v>2016</v>
      </c>
      <c r="O135" s="40">
        <v>2015</v>
      </c>
      <c r="P135" s="40">
        <v>2014</v>
      </c>
      <c r="Q135" s="40">
        <v>2013</v>
      </c>
      <c r="R135" s="40">
        <v>2012</v>
      </c>
      <c r="S135" s="40">
        <v>2011</v>
      </c>
      <c r="T135" s="40">
        <v>2010</v>
      </c>
      <c r="U135" s="40">
        <v>2009</v>
      </c>
      <c r="V135" s="40">
        <v>2008</v>
      </c>
      <c r="W135" s="40">
        <v>2007</v>
      </c>
      <c r="X135" s="40">
        <v>2006</v>
      </c>
      <c r="Y135" s="40">
        <v>2005</v>
      </c>
      <c r="Z135" s="40"/>
      <c r="AA135" s="40"/>
      <c r="AB135" s="40"/>
    </row>
    <row r="136" spans="1:28" x14ac:dyDescent="0.25">
      <c r="A136" s="41"/>
      <c r="B136" s="41"/>
      <c r="C136" s="9"/>
      <c r="D136" s="11"/>
      <c r="E136" s="11"/>
      <c r="F136" s="12">
        <v>-1</v>
      </c>
      <c r="G136" s="12">
        <f>+F136-1</f>
        <v>-2</v>
      </c>
      <c r="H136" s="12">
        <f>+G136-1</f>
        <v>-3</v>
      </c>
      <c r="I136" s="12">
        <f>+H136-1</f>
        <v>-4</v>
      </c>
      <c r="J136" s="12">
        <f>+I136-1</f>
        <v>-5</v>
      </c>
      <c r="K136" s="12">
        <f t="shared" ref="K136:X136" si="42">+J136-1</f>
        <v>-6</v>
      </c>
      <c r="L136" s="12">
        <f t="shared" si="42"/>
        <v>-7</v>
      </c>
      <c r="M136" s="12">
        <f t="shared" si="42"/>
        <v>-8</v>
      </c>
      <c r="N136" s="12">
        <f t="shared" si="42"/>
        <v>-9</v>
      </c>
      <c r="O136" s="12">
        <f t="shared" si="42"/>
        <v>-10</v>
      </c>
      <c r="P136" s="12">
        <f t="shared" si="42"/>
        <v>-11</v>
      </c>
      <c r="Q136" s="12">
        <f t="shared" si="42"/>
        <v>-12</v>
      </c>
      <c r="R136" s="12">
        <f t="shared" si="42"/>
        <v>-13</v>
      </c>
      <c r="S136" s="12">
        <f t="shared" si="42"/>
        <v>-14</v>
      </c>
      <c r="T136" s="12">
        <f t="shared" si="42"/>
        <v>-15</v>
      </c>
      <c r="U136" s="12">
        <f t="shared" si="42"/>
        <v>-16</v>
      </c>
      <c r="V136" s="12">
        <f t="shared" si="42"/>
        <v>-17</v>
      </c>
      <c r="W136" s="12">
        <f t="shared" si="42"/>
        <v>-18</v>
      </c>
      <c r="X136" s="12">
        <f t="shared" si="42"/>
        <v>-19</v>
      </c>
      <c r="Y136" s="12">
        <f>+W136-1</f>
        <v>-19</v>
      </c>
      <c r="Z136" s="12"/>
      <c r="AA136" s="12"/>
      <c r="AB136" s="12"/>
    </row>
    <row r="137" spans="1:28" x14ac:dyDescent="0.25">
      <c r="A137" s="42"/>
      <c r="B137" s="43"/>
      <c r="C137" s="6"/>
      <c r="E137" s="22"/>
      <c r="F137" s="36"/>
      <c r="G137" s="36"/>
      <c r="H137" s="36"/>
      <c r="I137" s="36"/>
      <c r="J137" s="16">
        <f t="shared" ref="J137:AB137" ca="1" si="43">MATCH(VALUE(LEFT(J135,4)),OFFSET(CF_CAP_WP,-1,0,1,),0)</f>
        <v>6</v>
      </c>
      <c r="K137" s="16">
        <f t="shared" ca="1" si="43"/>
        <v>7</v>
      </c>
      <c r="L137" s="16">
        <f t="shared" ca="1" si="43"/>
        <v>8</v>
      </c>
      <c r="M137" s="16">
        <f t="shared" ca="1" si="43"/>
        <v>9</v>
      </c>
      <c r="N137" s="16">
        <f t="shared" ca="1" si="43"/>
        <v>10</v>
      </c>
      <c r="O137" s="16">
        <f t="shared" ca="1" si="43"/>
        <v>11</v>
      </c>
      <c r="P137" s="16">
        <f t="shared" ca="1" si="43"/>
        <v>12</v>
      </c>
      <c r="Q137" s="16">
        <f t="shared" ca="1" si="43"/>
        <v>13</v>
      </c>
      <c r="R137" s="16">
        <f t="shared" ca="1" si="43"/>
        <v>14</v>
      </c>
      <c r="S137" s="16">
        <f t="shared" ca="1" si="43"/>
        <v>15</v>
      </c>
      <c r="T137" s="16">
        <f t="shared" ca="1" si="43"/>
        <v>16</v>
      </c>
      <c r="U137" s="16">
        <f t="shared" ca="1" si="43"/>
        <v>17</v>
      </c>
      <c r="V137" s="16">
        <f t="shared" ca="1" si="43"/>
        <v>18</v>
      </c>
      <c r="W137" s="16">
        <f t="shared" ca="1" si="43"/>
        <v>19</v>
      </c>
      <c r="X137" s="16">
        <f t="shared" ca="1" si="43"/>
        <v>20</v>
      </c>
      <c r="Y137" s="16" t="e">
        <f t="shared" ca="1" si="43"/>
        <v>#N/A</v>
      </c>
      <c r="Z137" s="16" t="e">
        <f t="shared" ca="1" si="43"/>
        <v>#VALUE!</v>
      </c>
      <c r="AA137" s="16" t="e">
        <f t="shared" ca="1" si="43"/>
        <v>#VALUE!</v>
      </c>
      <c r="AB137" s="16" t="e">
        <f t="shared" ca="1" si="43"/>
        <v>#VALUE!</v>
      </c>
    </row>
    <row r="138" spans="1:28" x14ac:dyDescent="0.25">
      <c r="A138" s="50" t="str">
        <f t="shared" ref="A138:A161" si="44">A13</f>
        <v>ALE</v>
      </c>
      <c r="B138" s="45">
        <f t="shared" ref="B138:B154" ca="1" si="45">MATCH(A138,OFFSET(CF_CAP_WP,0,0,,1),0)</f>
        <v>2</v>
      </c>
      <c r="C138" s="1">
        <f>IF(ISERROR(D138),"",IF(D138="","",MAX($C$136:C137)+1))</f>
        <v>1</v>
      </c>
      <c r="D138" t="str">
        <f t="shared" ref="D138:D182" si="46">D13</f>
        <v xml:space="preserve">ALLETE                        </v>
      </c>
      <c r="E138" s="22"/>
      <c r="F138" s="62">
        <f ca="1">AVERAGE(G138:X138)</f>
        <v>0.92523035892928618</v>
      </c>
      <c r="G138" s="62">
        <f t="shared" ref="G138:G178" si="47">IFERROR(IF(VLOOKUP($A138,Data2023,23,FALSE)=0,"",VLOOKUP($A138,Data2023,23,FALSE)),"N/A")</f>
        <v>1.7621951219512195</v>
      </c>
      <c r="H138" s="62">
        <f t="shared" ref="H138:H182" si="48">IFERROR(IF(VLOOKUP($A138,Data2022,21,FALSE)=0,"",VLOOKUP($A138,Data2022,21,FALSE)),"N/A")</f>
        <v>2.1153846153846154</v>
      </c>
      <c r="I138" s="62">
        <f t="shared" ref="I138:I178" si="49">IFERROR(IF(VLOOKUP(A138,lucyyr,21,FALSE)=0,"",VLOOKUP(A138,lucyr,21,FALSE)),"N/A")</f>
        <v>0.54571843251088537</v>
      </c>
      <c r="J138" s="62">
        <f t="shared" ref="J138:X153" ca="1" si="50">IFERROR(IF(INDEX(CF_CAP_WP,$B138,J$137)=0,"N/A",INDEX(CF_CAP_WP,$B138,J$137)),"N/A")</f>
        <v>0.54612760397764393</v>
      </c>
      <c r="K138" s="62">
        <f t="shared" ca="1" si="50"/>
        <v>0.62706727855225564</v>
      </c>
      <c r="L138" s="62">
        <f t="shared" ca="1" si="50"/>
        <v>1.2154632377184307</v>
      </c>
      <c r="M138" s="62">
        <f t="shared" ca="1" si="50"/>
        <v>1.6149509803921569</v>
      </c>
      <c r="N138" s="62">
        <f t="shared" ca="1" si="50"/>
        <v>1.321942110177404</v>
      </c>
      <c r="O138" s="62">
        <f t="shared" ca="1" si="50"/>
        <v>1.162472179421332</v>
      </c>
      <c r="P138" s="62">
        <f t="shared" ca="1" si="50"/>
        <v>0.45476400352592355</v>
      </c>
      <c r="Q138" s="62">
        <f t="shared" ca="1" si="50"/>
        <v>0.67359798361688716</v>
      </c>
      <c r="R138" s="62">
        <f t="shared" ca="1" si="50"/>
        <v>0.48626080201961358</v>
      </c>
      <c r="S138" s="62">
        <f t="shared" ca="1" si="50"/>
        <v>0.77002664994513248</v>
      </c>
      <c r="T138" s="62">
        <f t="shared" ca="1" si="50"/>
        <v>0.62591687041564792</v>
      </c>
      <c r="U138" s="62">
        <f t="shared" ca="1" si="50"/>
        <v>0.39467285587975243</v>
      </c>
      <c r="V138" s="62">
        <f t="shared" ca="1" si="50"/>
        <v>0.45831528800346466</v>
      </c>
      <c r="W138" s="62">
        <f t="shared" ca="1" si="50"/>
        <v>0.64747252747252737</v>
      </c>
      <c r="X138" s="62">
        <f t="shared" ca="1" si="50"/>
        <v>1.2317979197622584</v>
      </c>
      <c r="Y138" s="62"/>
      <c r="Z138" s="17"/>
      <c r="AA138" s="17"/>
      <c r="AB138" s="17"/>
    </row>
    <row r="139" spans="1:28" x14ac:dyDescent="0.25">
      <c r="A139" s="50" t="str">
        <f t="shared" si="44"/>
        <v>LNT</v>
      </c>
      <c r="B139" s="45">
        <f t="shared" ca="1" si="45"/>
        <v>3</v>
      </c>
      <c r="C139" s="1">
        <f>IF(ISERROR(D139),"",IF(D139="","",MAX($C$136:C138)+1))</f>
        <v>2</v>
      </c>
      <c r="D139" t="str">
        <f t="shared" si="46"/>
        <v xml:space="preserve">Alliant Energy                </v>
      </c>
      <c r="E139" s="22"/>
      <c r="F139" s="62">
        <f t="shared" ref="F139:F182" ca="1" si="51">AVERAGE(G139:X139)</f>
        <v>0.80232664060231151</v>
      </c>
      <c r="G139" s="62">
        <f t="shared" si="47"/>
        <v>0.74309392265193364</v>
      </c>
      <c r="H139" s="62">
        <f t="shared" si="48"/>
        <v>0.91370558375634525</v>
      </c>
      <c r="I139" s="62">
        <f t="shared" si="49"/>
        <v>0.95164410058027082</v>
      </c>
      <c r="J139" s="62" t="str">
        <f t="shared" ca="1" si="50"/>
        <v>N/A</v>
      </c>
      <c r="K139" s="62" t="str">
        <f t="shared" ca="1" si="50"/>
        <v>N/A</v>
      </c>
      <c r="L139" s="62" t="str">
        <f t="shared" ca="1" si="50"/>
        <v>N/A</v>
      </c>
      <c r="M139" s="62">
        <f t="shared" ca="1" si="50"/>
        <v>0.48927444794952679</v>
      </c>
      <c r="N139" s="62" t="str">
        <f t="shared" ca="1" si="50"/>
        <v>N/A</v>
      </c>
      <c r="O139" s="62">
        <f t="shared" ca="1" si="50"/>
        <v>0.81120527306967982</v>
      </c>
      <c r="P139" s="62">
        <f t="shared" ca="1" si="50"/>
        <v>0.91007669928590318</v>
      </c>
      <c r="Q139" s="62">
        <f t="shared" ca="1" si="50"/>
        <v>1.0075369309617124</v>
      </c>
      <c r="R139" s="62">
        <f t="shared" ca="1" si="50"/>
        <v>0.56507571401188428</v>
      </c>
      <c r="S139" s="62">
        <f t="shared" ca="1" si="50"/>
        <v>0.90801186943620182</v>
      </c>
      <c r="T139" s="62">
        <f t="shared" ca="1" si="50"/>
        <v>0.66615502686108985</v>
      </c>
      <c r="U139" s="62">
        <f t="shared" ca="1" si="50"/>
        <v>0.3870077291129923</v>
      </c>
      <c r="V139" s="62">
        <f t="shared" ca="1" si="50"/>
        <v>0.57250565468710735</v>
      </c>
      <c r="W139" s="62">
        <f t="shared" ca="1" si="50"/>
        <v>1.0419381107491859</v>
      </c>
      <c r="X139" s="62">
        <f t="shared" ca="1" si="50"/>
        <v>1.2653419053185271</v>
      </c>
      <c r="Y139" s="62"/>
      <c r="Z139" s="17"/>
      <c r="AA139" s="17"/>
      <c r="AB139" s="17"/>
    </row>
    <row r="140" spans="1:28" x14ac:dyDescent="0.25">
      <c r="A140" s="50" t="str">
        <f t="shared" si="44"/>
        <v>AEE</v>
      </c>
      <c r="B140" s="45">
        <f t="shared" ca="1" si="45"/>
        <v>6</v>
      </c>
      <c r="C140" s="1">
        <f>IF(ISERROR(D140),"",IF(D140="","",MAX($C$136:C139)+1))</f>
        <v>3</v>
      </c>
      <c r="D140" t="str">
        <f t="shared" si="46"/>
        <v xml:space="preserve">Ameren Corp.                  </v>
      </c>
      <c r="E140" s="22"/>
      <c r="F140" s="62">
        <f t="shared" ca="1" si="51"/>
        <v>0.86587212952265036</v>
      </c>
      <c r="G140" s="62">
        <f t="shared" si="47"/>
        <v>0.77441860465116275</v>
      </c>
      <c r="H140" s="62">
        <f t="shared" si="48"/>
        <v>0.70680218921032056</v>
      </c>
      <c r="I140" s="62">
        <f t="shared" si="49"/>
        <v>0.62058371735791096</v>
      </c>
      <c r="J140" s="62">
        <f t="shared" ca="1" si="50"/>
        <v>0.6201627764127764</v>
      </c>
      <c r="K140" s="62">
        <f t="shared" ca="1" si="50"/>
        <v>0.78949490876096384</v>
      </c>
      <c r="L140" s="62">
        <f t="shared" ca="1" si="50"/>
        <v>0.79899602593599672</v>
      </c>
      <c r="M140" s="62">
        <f t="shared" ca="1" si="50"/>
        <v>0.75207251022438371</v>
      </c>
      <c r="N140" s="62">
        <f t="shared" ca="1" si="50"/>
        <v>0.74985767960833438</v>
      </c>
      <c r="O140" s="62">
        <f t="shared" ca="1" si="50"/>
        <v>0.74910659272951319</v>
      </c>
      <c r="P140" s="62">
        <f t="shared" ca="1" si="50"/>
        <v>0.75306708431218994</v>
      </c>
      <c r="Q140" s="62">
        <f t="shared" ca="1" si="50"/>
        <v>0.89401942409269042</v>
      </c>
      <c r="R140" s="62">
        <f t="shared" ca="1" si="50"/>
        <v>1.0705432008749545</v>
      </c>
      <c r="S140" s="62">
        <f t="shared" ca="1" si="50"/>
        <v>1.305043323705843</v>
      </c>
      <c r="T140" s="62">
        <f t="shared" ca="1" si="50"/>
        <v>1.3568518121381083</v>
      </c>
      <c r="U140" s="62">
        <f t="shared" ca="1" si="50"/>
        <v>0.8059880239520959</v>
      </c>
      <c r="V140" s="62">
        <f t="shared" ca="1" si="50"/>
        <v>0.66068130515083112</v>
      </c>
      <c r="W140" s="62">
        <f t="shared" ca="1" si="50"/>
        <v>0.97239792984473838</v>
      </c>
      <c r="X140" s="62">
        <f t="shared" ca="1" si="50"/>
        <v>1.2056112224448898</v>
      </c>
      <c r="Y140" s="62"/>
      <c r="Z140" s="17"/>
      <c r="AA140" s="17"/>
      <c r="AB140" s="17"/>
    </row>
    <row r="141" spans="1:28" x14ac:dyDescent="0.25">
      <c r="A141" s="50" t="str">
        <f t="shared" si="44"/>
        <v>AEP</v>
      </c>
      <c r="B141" s="45">
        <f t="shared" ca="1" si="45"/>
        <v>7</v>
      </c>
      <c r="C141" s="1">
        <f>IF(ISERROR(D141),"",IF(D141="","",MAX($C$136:C140)+1))</f>
        <v>4</v>
      </c>
      <c r="D141" t="str">
        <f t="shared" si="46"/>
        <v>American Electric Power</v>
      </c>
      <c r="E141" s="22"/>
      <c r="F141" s="62">
        <f t="shared" ca="1" si="51"/>
        <v>0.85899635503219463</v>
      </c>
      <c r="G141" s="62">
        <f t="shared" si="47"/>
        <v>0.71140065146579801</v>
      </c>
      <c r="H141" s="62">
        <f t="shared" si="48"/>
        <v>0.8133535660091048</v>
      </c>
      <c r="I141" s="62">
        <f t="shared" si="49"/>
        <v>0.80817610062893075</v>
      </c>
      <c r="J141" s="62">
        <f t="shared" ca="1" si="50"/>
        <v>0.80861770718666459</v>
      </c>
      <c r="K141" s="62">
        <f t="shared" ca="1" si="50"/>
        <v>0.75241312741312738</v>
      </c>
      <c r="L141" s="62">
        <f t="shared" ca="1" si="50"/>
        <v>0.68024518932340161</v>
      </c>
      <c r="M141" s="62">
        <f t="shared" ca="1" si="50"/>
        <v>0.67413251887672854</v>
      </c>
      <c r="N141" s="62">
        <f t="shared" ca="1" si="50"/>
        <v>0.84817225838758137</v>
      </c>
      <c r="O141" s="62">
        <f t="shared" ca="1" si="50"/>
        <v>0.85172929120409901</v>
      </c>
      <c r="P141" s="62">
        <f t="shared" ca="1" si="50"/>
        <v>0.87229387379087986</v>
      </c>
      <c r="Q141" s="62">
        <f t="shared" ca="1" si="50"/>
        <v>0.90613298902517747</v>
      </c>
      <c r="R141" s="62">
        <f t="shared" ca="1" si="50"/>
        <v>1.0730345790044968</v>
      </c>
      <c r="S141" s="62">
        <f t="shared" ca="1" si="50"/>
        <v>1.189198606271777</v>
      </c>
      <c r="T141" s="62">
        <f t="shared" ca="1" si="50"/>
        <v>1.2420055270430319</v>
      </c>
      <c r="U141" s="62">
        <f t="shared" ca="1" si="50"/>
        <v>1.0205037132709074</v>
      </c>
      <c r="V141" s="62">
        <f t="shared" ca="1" si="50"/>
        <v>0.69535143932458554</v>
      </c>
      <c r="W141" s="62">
        <f t="shared" ca="1" si="50"/>
        <v>0.7654543407273956</v>
      </c>
      <c r="X141" s="62">
        <f t="shared" ca="1" si="50"/>
        <v>0.74971891162581517</v>
      </c>
      <c r="Y141" s="62"/>
      <c r="Z141" s="17"/>
      <c r="AA141" s="17"/>
      <c r="AB141" s="17"/>
    </row>
    <row r="142" spans="1:28" x14ac:dyDescent="0.25">
      <c r="A142" s="50" t="str">
        <f t="shared" si="44"/>
        <v>AGR</v>
      </c>
      <c r="B142" s="45">
        <f t="shared" ca="1" si="45"/>
        <v>10</v>
      </c>
      <c r="C142" s="1">
        <f>IF(ISERROR(D142),"",IF(D142="","",MAX($C$136:C141)+1))</f>
        <v>5</v>
      </c>
      <c r="D142" t="str">
        <f t="shared" si="46"/>
        <v>Avangrid, Inc.</v>
      </c>
      <c r="E142" s="22"/>
      <c r="F142" s="62">
        <f t="shared" ca="1" si="51"/>
        <v>0.70697419727082345</v>
      </c>
      <c r="G142" s="62">
        <f t="shared" si="47"/>
        <v>0.66145833333333337</v>
      </c>
      <c r="H142" s="62">
        <f t="shared" si="48"/>
        <v>0.78834355828220859</v>
      </c>
      <c r="I142" s="62">
        <f t="shared" si="49"/>
        <v>0.56333333333333335</v>
      </c>
      <c r="J142" s="62">
        <f t="shared" ca="1" si="50"/>
        <v>0.56379195376750402</v>
      </c>
      <c r="K142" s="62">
        <f t="shared" ca="1" si="50"/>
        <v>0.6197135446035863</v>
      </c>
      <c r="L142" s="62">
        <f t="shared" ca="1" si="50"/>
        <v>0.84506311602974227</v>
      </c>
      <c r="M142" s="62">
        <f t="shared" ca="1" si="50"/>
        <v>0.57411433687172275</v>
      </c>
      <c r="N142" s="62">
        <f t="shared" ca="1" si="50"/>
        <v>0.85771180304127448</v>
      </c>
      <c r="O142" s="62">
        <f t="shared" ca="1" si="50"/>
        <v>0.88923779617470744</v>
      </c>
      <c r="P142" s="62" t="str">
        <f t="shared" ca="1" si="50"/>
        <v>N/A</v>
      </c>
      <c r="Q142" s="62" t="str">
        <f t="shared" ca="1" si="50"/>
        <v>N/A</v>
      </c>
      <c r="R142" s="62" t="str">
        <f t="shared" ca="1" si="50"/>
        <v>N/A</v>
      </c>
      <c r="S142" s="62" t="str">
        <f t="shared" ca="1" si="50"/>
        <v>N/A</v>
      </c>
      <c r="T142" s="62" t="str">
        <f t="shared" ca="1" si="50"/>
        <v>N/A</v>
      </c>
      <c r="U142" s="62" t="str">
        <f t="shared" ca="1" si="50"/>
        <v>N/A</v>
      </c>
      <c r="V142" s="62" t="str">
        <f t="shared" ca="1" si="50"/>
        <v>N/A</v>
      </c>
      <c r="W142" s="62" t="str">
        <f t="shared" ca="1" si="50"/>
        <v>N/A</v>
      </c>
      <c r="X142" s="62" t="str">
        <f t="shared" ca="1" si="50"/>
        <v>N/A</v>
      </c>
      <c r="Y142" s="62"/>
      <c r="Z142" s="17"/>
      <c r="AA142" s="17"/>
      <c r="AB142" s="17"/>
    </row>
    <row r="143" spans="1:28" x14ac:dyDescent="0.25">
      <c r="A143" s="50" t="str">
        <f t="shared" si="44"/>
        <v>AVA</v>
      </c>
      <c r="B143" s="45">
        <f t="shared" ca="1" si="45"/>
        <v>11</v>
      </c>
      <c r="C143" s="1">
        <f>IF(ISERROR(D143),"",IF(D143="","",MAX($C$136:C142)+1))</f>
        <v>6</v>
      </c>
      <c r="D143" t="str">
        <f t="shared" si="46"/>
        <v xml:space="preserve">Avista Corp.                  </v>
      </c>
      <c r="E143" s="22"/>
      <c r="F143" s="62">
        <f t="shared" ca="1" si="51"/>
        <v>0.88945053388879458</v>
      </c>
      <c r="G143" s="62">
        <f t="shared" si="47"/>
        <v>0.88106416275430366</v>
      </c>
      <c r="H143" s="62">
        <f t="shared" si="48"/>
        <v>0.72968490878938641</v>
      </c>
      <c r="I143" s="62">
        <f t="shared" si="49"/>
        <v>0.88356164383561653</v>
      </c>
      <c r="J143" s="62">
        <f t="shared" ca="1" si="50"/>
        <v>0.88285665353656451</v>
      </c>
      <c r="K143" s="62">
        <f t="shared" ca="1" si="50"/>
        <v>0.92044936997115534</v>
      </c>
      <c r="L143" s="62">
        <f t="shared" ca="1" si="50"/>
        <v>0.77569659442724459</v>
      </c>
      <c r="M143" s="62">
        <f t="shared" ca="1" si="50"/>
        <v>0.77414231257941546</v>
      </c>
      <c r="N143" s="62">
        <f t="shared" ca="1" si="50"/>
        <v>0.83504179151553382</v>
      </c>
      <c r="O143" s="62">
        <f t="shared" ca="1" si="50"/>
        <v>0.76183844011142066</v>
      </c>
      <c r="P143" s="62">
        <f t="shared" ca="1" si="50"/>
        <v>0.79576178297405908</v>
      </c>
      <c r="Q143" s="62">
        <f t="shared" ca="1" si="50"/>
        <v>0.86422200198216059</v>
      </c>
      <c r="R143" s="62">
        <f t="shared" ca="1" si="50"/>
        <v>0.80212397052449069</v>
      </c>
      <c r="S143" s="62">
        <f t="shared" ca="1" si="50"/>
        <v>0.89938154138915327</v>
      </c>
      <c r="T143" s="62">
        <f t="shared" ca="1" si="50"/>
        <v>0.99450851180669964</v>
      </c>
      <c r="U143" s="62">
        <f t="shared" ca="1" si="50"/>
        <v>1.1526697770865733</v>
      </c>
      <c r="V143" s="62">
        <f t="shared" ca="1" si="50"/>
        <v>0.97333007095669211</v>
      </c>
      <c r="W143" s="62">
        <f t="shared" ca="1" si="50"/>
        <v>0.72531551596139565</v>
      </c>
      <c r="X143" s="62">
        <f t="shared" ca="1" si="50"/>
        <v>1.3584605597964376</v>
      </c>
      <c r="Y143" s="62"/>
      <c r="Z143" s="17"/>
      <c r="AA143" s="17"/>
      <c r="AB143" s="17"/>
    </row>
    <row r="144" spans="1:28" x14ac:dyDescent="0.25">
      <c r="A144" s="50" t="str">
        <f t="shared" si="44"/>
        <v>BKH</v>
      </c>
      <c r="B144" s="45">
        <f t="shared" ca="1" si="45"/>
        <v>12</v>
      </c>
      <c r="C144" s="1">
        <f>IF(ISERROR(D144),"",IF(D144="","",MAX($C$136:C143)+1))</f>
        <v>7</v>
      </c>
      <c r="D144" t="str">
        <f t="shared" si="46"/>
        <v xml:space="preserve">Black Hills                   </v>
      </c>
      <c r="E144" s="22"/>
      <c r="F144" s="62">
        <f t="shared" ca="1" si="51"/>
        <v>0.67537306039451017</v>
      </c>
      <c r="G144" s="62">
        <f t="shared" si="47"/>
        <v>0.95214723926380362</v>
      </c>
      <c r="H144" s="62">
        <f t="shared" si="48"/>
        <v>0.8588621444201312</v>
      </c>
      <c r="I144" s="62">
        <f t="shared" si="49"/>
        <v>0.60638297872340419</v>
      </c>
      <c r="J144" s="62">
        <f t="shared" ca="1" si="50"/>
        <v>0.60625153424433353</v>
      </c>
      <c r="K144" s="62">
        <f t="shared" ca="1" si="50"/>
        <v>0.52719350961538458</v>
      </c>
      <c r="L144" s="62">
        <f t="shared" ca="1" si="50"/>
        <v>0.86701639344262293</v>
      </c>
      <c r="M144" s="62">
        <f t="shared" ca="1" si="50"/>
        <v>1.1749055674166529</v>
      </c>
      <c r="N144" s="62">
        <f t="shared" ca="1" si="50"/>
        <v>0.70665617270069714</v>
      </c>
      <c r="O144" s="62">
        <f t="shared" ca="1" si="50"/>
        <v>0.63673148252219847</v>
      </c>
      <c r="P144" s="62">
        <f t="shared" ca="1" si="50"/>
        <v>0.70011210762331844</v>
      </c>
      <c r="Q144" s="62">
        <f t="shared" ca="1" si="50"/>
        <v>0.74372804816859006</v>
      </c>
      <c r="R144" s="62">
        <f t="shared" ca="1" si="50"/>
        <v>0.70777412003038742</v>
      </c>
      <c r="S144" s="62">
        <f t="shared" ca="1" si="50"/>
        <v>0.39928236818498958</v>
      </c>
      <c r="T144" s="62">
        <f t="shared" ca="1" si="50"/>
        <v>0.4050843233363795</v>
      </c>
      <c r="U144" s="62">
        <f t="shared" ca="1" si="50"/>
        <v>0.60813391753735535</v>
      </c>
      <c r="V144" s="62">
        <f t="shared" ca="1" si="50"/>
        <v>0.34688124045577351</v>
      </c>
      <c r="W144" s="62">
        <f t="shared" ca="1" si="50"/>
        <v>0.76456977584960228</v>
      </c>
      <c r="X144" s="62">
        <f t="shared" ca="1" si="50"/>
        <v>0.54500216356555609</v>
      </c>
      <c r="Y144" s="62"/>
      <c r="Z144" s="17"/>
      <c r="AA144" s="17"/>
      <c r="AB144" s="17"/>
    </row>
    <row r="145" spans="1:28" x14ac:dyDescent="0.25">
      <c r="A145" s="50" t="str">
        <f t="shared" si="44"/>
        <v>CNP</v>
      </c>
      <c r="B145" s="45">
        <f t="shared" ca="1" si="45"/>
        <v>14</v>
      </c>
      <c r="C145" s="1">
        <f>IF(ISERROR(D145),"",IF(D145="","",MAX($C$136:C144)+1))</f>
        <v>8</v>
      </c>
      <c r="D145" t="str">
        <f t="shared" si="46"/>
        <v xml:space="preserve">CenterPoint Energy            </v>
      </c>
      <c r="E145" s="22"/>
      <c r="F145" s="62">
        <f t="shared" ca="1" si="51"/>
        <v>0.97532710337065209</v>
      </c>
      <c r="G145" s="62">
        <f t="shared" si="47"/>
        <v>0.51506456241032994</v>
      </c>
      <c r="H145" s="62">
        <f t="shared" si="48"/>
        <v>0.51994301994301995</v>
      </c>
      <c r="I145" s="62">
        <f t="shared" si="49"/>
        <v>0.73460721868365175</v>
      </c>
      <c r="J145" s="62">
        <f t="shared" ca="1" si="50"/>
        <v>0.73428207306711979</v>
      </c>
      <c r="K145" s="62">
        <f t="shared" ca="1" si="50"/>
        <v>0.82605210420841679</v>
      </c>
      <c r="L145" s="62">
        <f t="shared" ca="1" si="50"/>
        <v>0.98360655737704927</v>
      </c>
      <c r="M145" s="62">
        <f t="shared" ca="1" si="50"/>
        <v>1.2194679564691657</v>
      </c>
      <c r="N145" s="62">
        <f t="shared" ca="1" si="50"/>
        <v>1.1203167834297898</v>
      </c>
      <c r="O145" s="62">
        <f t="shared" ca="1" si="50"/>
        <v>0.92290988056460366</v>
      </c>
      <c r="P145" s="62">
        <f t="shared" ca="1" si="50"/>
        <v>1.2041901188242652</v>
      </c>
      <c r="Q145" s="62">
        <f t="shared" ca="1" si="50"/>
        <v>1.1817878585723816</v>
      </c>
      <c r="R145" s="62">
        <f t="shared" ca="1" si="50"/>
        <v>1.3724867724867724</v>
      </c>
      <c r="S145" s="62">
        <f t="shared" ca="1" si="50"/>
        <v>1.1223021582733814</v>
      </c>
      <c r="T145" s="62">
        <f t="shared" ca="1" si="50"/>
        <v>0.88347875035181533</v>
      </c>
      <c r="U145" s="62">
        <f t="shared" ca="1" si="50"/>
        <v>0.99324552516041875</v>
      </c>
      <c r="V145" s="62">
        <f t="shared" ca="1" si="50"/>
        <v>1.1598235493722431</v>
      </c>
      <c r="W145" s="62">
        <f t="shared" ca="1" si="50"/>
        <v>0.98290845886442635</v>
      </c>
      <c r="X145" s="62">
        <f t="shared" ca="1" si="50"/>
        <v>1.0794145126128933</v>
      </c>
      <c r="Y145" s="62"/>
      <c r="Z145" s="17"/>
      <c r="AA145" s="17"/>
      <c r="AB145" s="17"/>
    </row>
    <row r="146" spans="1:28" x14ac:dyDescent="0.25">
      <c r="A146" s="50" t="str">
        <f t="shared" si="44"/>
        <v>CMS</v>
      </c>
      <c r="B146" s="45">
        <f t="shared" ca="1" si="45"/>
        <v>18</v>
      </c>
      <c r="C146" s="1">
        <f>IF(ISERROR(D146),"",IF(D146="","",MAX($C$136:C145)+1))</f>
        <v>9</v>
      </c>
      <c r="D146" t="str">
        <f t="shared" si="46"/>
        <v xml:space="preserve">CMS Energy Corp.              </v>
      </c>
      <c r="E146" s="22"/>
      <c r="F146" s="62">
        <f t="shared" ca="1" si="51"/>
        <v>0.86458558758971493</v>
      </c>
      <c r="G146" s="62">
        <f t="shared" si="47"/>
        <v>0.85330073349633262</v>
      </c>
      <c r="H146" s="62">
        <f t="shared" si="48"/>
        <v>0.82085889570552151</v>
      </c>
      <c r="I146" s="62">
        <f t="shared" si="49"/>
        <v>0.77805486284289282</v>
      </c>
      <c r="J146" s="62">
        <f t="shared" ca="1" si="50"/>
        <v>0.77815188926300038</v>
      </c>
      <c r="K146" s="62">
        <f t="shared" ca="1" si="50"/>
        <v>0.79465731246627092</v>
      </c>
      <c r="L146" s="62">
        <f t="shared" ca="1" si="50"/>
        <v>0.76663478617297443</v>
      </c>
      <c r="M146" s="62">
        <f t="shared" ca="1" si="50"/>
        <v>0.89428281461434367</v>
      </c>
      <c r="N146" s="62">
        <f t="shared" ca="1" si="50"/>
        <v>0.81462925851703405</v>
      </c>
      <c r="O146" s="62">
        <f t="shared" ca="1" si="50"/>
        <v>0.81392876129718239</v>
      </c>
      <c r="P146" s="62">
        <f t="shared" ca="1" si="50"/>
        <v>0.73682373472949392</v>
      </c>
      <c r="Q146" s="62">
        <f t="shared" ca="1" si="50"/>
        <v>0.81522394055031133</v>
      </c>
      <c r="R146" s="62">
        <f t="shared" ca="1" si="50"/>
        <v>0.8224278949634094</v>
      </c>
      <c r="S146" s="62">
        <f t="shared" ca="1" si="50"/>
        <v>1.052146355517142</v>
      </c>
      <c r="T146" s="62">
        <f t="shared" ca="1" si="50"/>
        <v>1.1255700820918211</v>
      </c>
      <c r="U146" s="62">
        <f t="shared" ca="1" si="50"/>
        <v>0.96600724435775986</v>
      </c>
      <c r="V146" s="62">
        <f t="shared" ca="1" si="50"/>
        <v>1.1086335048599198</v>
      </c>
      <c r="W146" s="62">
        <f t="shared" ca="1" si="50"/>
        <v>0.54937611408199638</v>
      </c>
      <c r="X146" s="62">
        <f t="shared" ca="1" si="50"/>
        <v>1.0718323910874625</v>
      </c>
      <c r="Y146" s="62"/>
      <c r="Z146" s="17"/>
      <c r="AA146" s="17"/>
      <c r="AB146" s="17"/>
    </row>
    <row r="147" spans="1:28" x14ac:dyDescent="0.25">
      <c r="A147" s="50" t="str">
        <f t="shared" si="44"/>
        <v>ED</v>
      </c>
      <c r="B147" s="45">
        <f t="shared" ca="1" si="45"/>
        <v>20</v>
      </c>
      <c r="C147" s="1">
        <f>IF(ISERROR(D147),"",IF(D147="","",MAX($C$136:C146)+1))</f>
        <v>10</v>
      </c>
      <c r="D147" t="str">
        <f t="shared" si="46"/>
        <v xml:space="preserve">Consol. Edison                </v>
      </c>
      <c r="E147" s="22"/>
      <c r="F147" s="62">
        <f t="shared" ca="1" si="51"/>
        <v>0.82702229590619392</v>
      </c>
      <c r="G147" s="62">
        <f t="shared" si="47"/>
        <v>0.84396617986164491</v>
      </c>
      <c r="H147" s="62">
        <f t="shared" si="48"/>
        <v>0.88245315161839855</v>
      </c>
      <c r="I147" s="62">
        <f t="shared" si="49"/>
        <v>0.83012259194395799</v>
      </c>
      <c r="J147" s="62">
        <f t="shared" ca="1" si="50"/>
        <v>0.82985989492119094</v>
      </c>
      <c r="K147" s="62">
        <f t="shared" ca="1" si="50"/>
        <v>0.86832061068702282</v>
      </c>
      <c r="L147" s="62">
        <f t="shared" ca="1" si="50"/>
        <v>0.81843216449421707</v>
      </c>
      <c r="M147" s="62">
        <f t="shared" ca="1" si="50"/>
        <v>0.7572483342337476</v>
      </c>
      <c r="N147" s="62">
        <f t="shared" ca="1" si="50"/>
        <v>0.65348914304657713</v>
      </c>
      <c r="O147" s="62">
        <f t="shared" ca="1" si="50"/>
        <v>0.76062553967187951</v>
      </c>
      <c r="P147" s="62">
        <f t="shared" ca="1" si="50"/>
        <v>0.88352100738588202</v>
      </c>
      <c r="Q147" s="62">
        <f t="shared" ca="1" si="50"/>
        <v>0.85933533348719127</v>
      </c>
      <c r="R147" s="62">
        <f t="shared" ca="1" si="50"/>
        <v>1.0114649681528662</v>
      </c>
      <c r="S147" s="62">
        <f t="shared" ca="1" si="50"/>
        <v>0.98377010125074449</v>
      </c>
      <c r="T147" s="62">
        <f t="shared" ca="1" si="50"/>
        <v>0.89752802529462483</v>
      </c>
      <c r="U147" s="62">
        <f t="shared" ca="1" si="50"/>
        <v>0.75144212280476863</v>
      </c>
      <c r="V147" s="62">
        <f t="shared" ca="1" si="50"/>
        <v>0.70463638503177228</v>
      </c>
      <c r="W147" s="62">
        <f t="shared" ca="1" si="50"/>
        <v>0.81433408577878108</v>
      </c>
      <c r="X147" s="62">
        <f t="shared" ca="1" si="50"/>
        <v>0.73585168664622247</v>
      </c>
      <c r="Y147" s="62"/>
      <c r="Z147" s="17"/>
      <c r="AA147" s="17"/>
      <c r="AB147" s="17"/>
    </row>
    <row r="148" spans="1:28" x14ac:dyDescent="0.25">
      <c r="A148" s="50" t="str">
        <f t="shared" si="44"/>
        <v>D</v>
      </c>
      <c r="B148" s="45">
        <f t="shared" ca="1" si="45"/>
        <v>22</v>
      </c>
      <c r="C148" s="1">
        <f>IF(ISERROR(D148),"",IF(D148="","",MAX($C$136:C147)+1))</f>
        <v>11</v>
      </c>
      <c r="D148" t="str">
        <f t="shared" si="46"/>
        <v xml:space="preserve">Dominion Resources            </v>
      </c>
      <c r="E148" s="22"/>
      <c r="F148" s="62">
        <f t="shared" ca="1" si="51"/>
        <v>0.76861222713123156</v>
      </c>
      <c r="G148" s="62">
        <f t="shared" si="47"/>
        <v>0.45775225594749797</v>
      </c>
      <c r="H148" s="62">
        <f t="shared" si="48"/>
        <v>0.85918591859185911</v>
      </c>
      <c r="I148" s="62">
        <f t="shared" si="49"/>
        <v>0.73360107095046867</v>
      </c>
      <c r="J148" s="62">
        <f t="shared" ca="1" si="50"/>
        <v>0.73410095059579583</v>
      </c>
      <c r="K148" s="62">
        <f t="shared" ca="1" si="50"/>
        <v>0.96348645465253246</v>
      </c>
      <c r="L148" s="62">
        <f t="shared" ca="1" si="50"/>
        <v>1.0366517285531369</v>
      </c>
      <c r="M148" s="62">
        <f t="shared" ca="1" si="50"/>
        <v>0.80770582035367144</v>
      </c>
      <c r="N148" s="62">
        <f t="shared" ca="1" si="50"/>
        <v>0.65273909006499542</v>
      </c>
      <c r="O148" s="62">
        <f t="shared" ca="1" si="50"/>
        <v>0.6400684565194138</v>
      </c>
      <c r="P148" s="62">
        <f t="shared" ca="1" si="50"/>
        <v>0.62527376259307932</v>
      </c>
      <c r="Q148" s="62">
        <f t="shared" ca="1" si="50"/>
        <v>0.77458203457069985</v>
      </c>
      <c r="R148" s="62">
        <f t="shared" ca="1" si="50"/>
        <v>0.72883947185545517</v>
      </c>
      <c r="S148" s="62">
        <f t="shared" ca="1" si="50"/>
        <v>0.78705148205928233</v>
      </c>
      <c r="T148" s="62">
        <f t="shared" ca="1" si="50"/>
        <v>0.86642905634758993</v>
      </c>
      <c r="U148" s="62">
        <f t="shared" ca="1" si="50"/>
        <v>0.75238244024371193</v>
      </c>
      <c r="V148" s="62">
        <f t="shared" ca="1" si="50"/>
        <v>0.83147358057105347</v>
      </c>
      <c r="W148" s="62">
        <f t="shared" ca="1" si="50"/>
        <v>0.73787394713912291</v>
      </c>
      <c r="X148" s="62">
        <f t="shared" ca="1" si="50"/>
        <v>0.84582256675279943</v>
      </c>
      <c r="Y148" s="62"/>
      <c r="Z148" s="17"/>
      <c r="AA148" s="17"/>
      <c r="AB148" s="17"/>
    </row>
    <row r="149" spans="1:28" x14ac:dyDescent="0.25">
      <c r="A149" s="50" t="str">
        <f t="shared" si="44"/>
        <v>DTE</v>
      </c>
      <c r="B149" s="45">
        <f t="shared" ca="1" si="45"/>
        <v>23</v>
      </c>
      <c r="C149" s="1">
        <f>IF(ISERROR(D149),"",IF(D149="","",MAX($C$136:C148)+1))</f>
        <v>12</v>
      </c>
      <c r="D149" t="str">
        <f t="shared" si="46"/>
        <v xml:space="preserve">DTE Energy                    </v>
      </c>
      <c r="E149" s="22"/>
      <c r="F149" s="62">
        <f t="shared" ca="1" si="51"/>
        <v>0.98072307682497373</v>
      </c>
      <c r="G149" s="62">
        <f t="shared" si="47"/>
        <v>0.85428907168037604</v>
      </c>
      <c r="H149" s="62">
        <f t="shared" si="48"/>
        <v>0.85566382460414125</v>
      </c>
      <c r="I149" s="62">
        <f t="shared" si="49"/>
        <v>0.73832245102963334</v>
      </c>
      <c r="J149" s="62">
        <f t="shared" ca="1" si="50"/>
        <v>0.73840743531775932</v>
      </c>
      <c r="K149" s="62">
        <f t="shared" ca="1" si="50"/>
        <v>0.83151616213442792</v>
      </c>
      <c r="L149" s="62">
        <f t="shared" ca="1" si="50"/>
        <v>0.84369342184671092</v>
      </c>
      <c r="M149" s="62">
        <f t="shared" ca="1" si="50"/>
        <v>0.93861117754923062</v>
      </c>
      <c r="N149" s="62">
        <f t="shared" ca="1" si="50"/>
        <v>0.93006931648679469</v>
      </c>
      <c r="O149" s="62">
        <f t="shared" ca="1" si="50"/>
        <v>0.83864948911594839</v>
      </c>
      <c r="P149" s="62">
        <f t="shared" ca="1" si="50"/>
        <v>1.023926751317267</v>
      </c>
      <c r="Q149" s="62">
        <f t="shared" ca="1" si="50"/>
        <v>0.9557296582971494</v>
      </c>
      <c r="R149" s="62">
        <f t="shared" ca="1" si="50"/>
        <v>0.92528409090909092</v>
      </c>
      <c r="S149" s="62">
        <f t="shared" ca="1" si="50"/>
        <v>1.0910127737226278</v>
      </c>
      <c r="T149" s="62">
        <f t="shared" ca="1" si="50"/>
        <v>1.5076306459071989</v>
      </c>
      <c r="U149" s="62">
        <f t="shared" ca="1" si="50"/>
        <v>1.4993608181527642</v>
      </c>
      <c r="V149" s="62">
        <f t="shared" ca="1" si="50"/>
        <v>0.98040845404891941</v>
      </c>
      <c r="W149" s="62">
        <f t="shared" ca="1" si="50"/>
        <v>1.0662226690123147</v>
      </c>
      <c r="X149" s="62">
        <f t="shared" ca="1" si="50"/>
        <v>1.0342171717171718</v>
      </c>
      <c r="Y149" s="62"/>
      <c r="Z149" s="17"/>
      <c r="AA149" s="17"/>
      <c r="AB149" s="17"/>
    </row>
    <row r="150" spans="1:28" x14ac:dyDescent="0.25">
      <c r="A150" s="50" t="str">
        <f t="shared" si="44"/>
        <v>DUK</v>
      </c>
      <c r="B150" s="45">
        <f t="shared" ca="1" si="45"/>
        <v>24</v>
      </c>
      <c r="C150" s="1">
        <f>IF(ISERROR(D150),"",IF(D150="","",MAX($C$136:C149)+1))</f>
        <v>13</v>
      </c>
      <c r="D150" t="str">
        <f t="shared" si="46"/>
        <v xml:space="preserve">Duke Energy                   </v>
      </c>
      <c r="E150" s="22"/>
      <c r="F150" s="62">
        <f t="shared" ca="1" si="51"/>
        <v>0.8889173552455415</v>
      </c>
      <c r="G150" s="62">
        <f t="shared" si="47"/>
        <v>0.80856269113149848</v>
      </c>
      <c r="H150" s="62">
        <f t="shared" si="48"/>
        <v>0.87466124661246614</v>
      </c>
      <c r="I150" s="62">
        <f t="shared" si="49"/>
        <v>0.84549689440993792</v>
      </c>
      <c r="J150" s="62">
        <f t="shared" ca="1" si="50"/>
        <v>0.84537762943413808</v>
      </c>
      <c r="K150" s="62">
        <f t="shared" ca="1" si="50"/>
        <v>0.7993145719369934</v>
      </c>
      <c r="L150" s="62">
        <f t="shared" ca="1" si="50"/>
        <v>0.81200154858691453</v>
      </c>
      <c r="M150" s="62">
        <f t="shared" ca="1" si="50"/>
        <v>0.87046857341563066</v>
      </c>
      <c r="N150" s="62">
        <f t="shared" ca="1" si="50"/>
        <v>0.81509701426419767</v>
      </c>
      <c r="O150" s="62">
        <f t="shared" ca="1" si="50"/>
        <v>0.95586739882041905</v>
      </c>
      <c r="P150" s="62">
        <f t="shared" ca="1" si="50"/>
        <v>1.196323046618516</v>
      </c>
      <c r="Q150" s="62">
        <f t="shared" ca="1" si="50"/>
        <v>1.0933946595119459</v>
      </c>
      <c r="R150" s="62">
        <f t="shared" ca="1" si="50"/>
        <v>0.86997696442283079</v>
      </c>
      <c r="S150" s="62">
        <f t="shared" ca="1" si="50"/>
        <v>0.8858950806286997</v>
      </c>
      <c r="T150" s="62">
        <f t="shared" ca="1" si="50"/>
        <v>0.78262473485197825</v>
      </c>
      <c r="U150" s="62">
        <f t="shared" ca="1" si="50"/>
        <v>0.76977759723773742</v>
      </c>
      <c r="V150" s="62">
        <f t="shared" ca="1" si="50"/>
        <v>0.70981150314161423</v>
      </c>
      <c r="W150" s="62">
        <f t="shared" ca="1" si="50"/>
        <v>1.0912639655404495</v>
      </c>
      <c r="X150" s="62">
        <f t="shared" ca="1" si="50"/>
        <v>0.97459727385377937</v>
      </c>
      <c r="Y150" s="62"/>
      <c r="Z150" s="17"/>
      <c r="AA150" s="17"/>
      <c r="AB150" s="17"/>
    </row>
    <row r="151" spans="1:28" x14ac:dyDescent="0.25">
      <c r="A151" s="50" t="str">
        <f t="shared" si="44"/>
        <v>EIX</v>
      </c>
      <c r="B151" s="45">
        <f t="shared" ca="1" si="45"/>
        <v>25</v>
      </c>
      <c r="C151" s="1">
        <f>IF(ISERROR(D151),"",IF(D151="","",MAX($C$136:C150)+1))</f>
        <v>14</v>
      </c>
      <c r="D151" t="str">
        <f t="shared" si="46"/>
        <v xml:space="preserve">Edison Int'l                  </v>
      </c>
      <c r="E151" s="22"/>
      <c r="F151" s="62">
        <f t="shared" ca="1" si="51"/>
        <v>0.74114177019135363</v>
      </c>
      <c r="G151" s="62">
        <f t="shared" si="47"/>
        <v>0.8315715292459479</v>
      </c>
      <c r="H151" s="62">
        <f t="shared" si="48"/>
        <v>0.61838624338624337</v>
      </c>
      <c r="I151" s="62">
        <f t="shared" si="49"/>
        <v>0.54872149274360749</v>
      </c>
      <c r="J151" s="62">
        <f t="shared" ca="1" si="50"/>
        <v>0.54853865819111447</v>
      </c>
      <c r="K151" s="62">
        <f t="shared" ca="1" si="50"/>
        <v>0.67891338232019594</v>
      </c>
      <c r="L151" s="62">
        <f t="shared" ca="1" si="50"/>
        <v>0.33911409783943924</v>
      </c>
      <c r="M151" s="62">
        <f t="shared" ca="1" si="50"/>
        <v>0.93888841603540729</v>
      </c>
      <c r="N151" s="62">
        <f t="shared" ca="1" si="50"/>
        <v>0.90969374400139602</v>
      </c>
      <c r="O151" s="62">
        <f t="shared" ca="1" si="50"/>
        <v>0.79811844540407151</v>
      </c>
      <c r="P151" s="62">
        <f t="shared" ca="1" si="50"/>
        <v>0.83001084327300023</v>
      </c>
      <c r="Q151" s="62">
        <f t="shared" ca="1" si="50"/>
        <v>0.79639688575049805</v>
      </c>
      <c r="R151" s="62">
        <f t="shared" ca="1" si="50"/>
        <v>0.75608606879220985</v>
      </c>
      <c r="S151" s="62">
        <f t="shared" ca="1" si="50"/>
        <v>0.61191299044521241</v>
      </c>
      <c r="T151" s="62">
        <f t="shared" ca="1" si="50"/>
        <v>0.60334193918531265</v>
      </c>
      <c r="U151" s="62">
        <f t="shared" ca="1" si="50"/>
        <v>0.79072768787848702</v>
      </c>
      <c r="V151" s="62">
        <f t="shared" ca="1" si="50"/>
        <v>0.9326257498846332</v>
      </c>
      <c r="W151" s="62">
        <f t="shared" ca="1" si="50"/>
        <v>0.87572054415494582</v>
      </c>
      <c r="X151" s="62">
        <f t="shared" ca="1" si="50"/>
        <v>0.93178314491264136</v>
      </c>
      <c r="Y151" s="62"/>
      <c r="Z151" s="17"/>
      <c r="AA151" s="17"/>
      <c r="AB151" s="17"/>
    </row>
    <row r="152" spans="1:28" x14ac:dyDescent="0.25">
      <c r="A152" s="50" t="str">
        <f t="shared" si="44"/>
        <v>EE</v>
      </c>
      <c r="B152" s="45">
        <f t="shared" ca="1" si="45"/>
        <v>26</v>
      </c>
      <c r="C152" s="1">
        <f>IF(ISERROR(D152),"",IF(D152="","",MAX($C$136:C151)+1))</f>
        <v>15</v>
      </c>
      <c r="D152" t="str">
        <f t="shared" si="46"/>
        <v xml:space="preserve">El Paso Electric              </v>
      </c>
      <c r="E152" s="22"/>
      <c r="F152" s="62">
        <f t="shared" ca="1" si="51"/>
        <v>0.86673187547847885</v>
      </c>
      <c r="G152" s="62" t="str">
        <f t="shared" si="47"/>
        <v>N/A</v>
      </c>
      <c r="H152" s="62" t="str">
        <f t="shared" si="48"/>
        <v>N/A</v>
      </c>
      <c r="I152" s="62">
        <f t="shared" si="49"/>
        <v>0.82638888888888884</v>
      </c>
      <c r="J152" s="62" t="str">
        <f t="shared" ca="1" si="50"/>
        <v>N/A</v>
      </c>
      <c r="K152" s="62" t="str">
        <f t="shared" ca="1" si="50"/>
        <v>N/A</v>
      </c>
      <c r="L152" s="62">
        <f t="shared" ca="1" si="50"/>
        <v>0.8610258658483122</v>
      </c>
      <c r="M152" s="62">
        <f t="shared" ca="1" si="50"/>
        <v>1.0446776104247759</v>
      </c>
      <c r="N152" s="62">
        <f t="shared" ca="1" si="50"/>
        <v>0.8503130335799659</v>
      </c>
      <c r="O152" s="62">
        <f t="shared" ca="1" si="50"/>
        <v>0.67220014028524666</v>
      </c>
      <c r="P152" s="62">
        <f t="shared" ca="1" si="50"/>
        <v>0.6908598988354312</v>
      </c>
      <c r="Q152" s="62">
        <f t="shared" ca="1" si="50"/>
        <v>0.78566457898399444</v>
      </c>
      <c r="R152" s="62">
        <f t="shared" ca="1" si="50"/>
        <v>0.84505150022391395</v>
      </c>
      <c r="S152" s="62">
        <f t="shared" ca="1" si="50"/>
        <v>1.0254237288135593</v>
      </c>
      <c r="T152" s="62">
        <f t="shared" ca="1" si="50"/>
        <v>0.97835580026580582</v>
      </c>
      <c r="U152" s="62">
        <f t="shared" ca="1" si="50"/>
        <v>0.68398923646148679</v>
      </c>
      <c r="V152" s="62">
        <f t="shared" ca="1" si="50"/>
        <v>0.77665732959850597</v>
      </c>
      <c r="W152" s="62">
        <f t="shared" ca="1" si="50"/>
        <v>0.83531445861249198</v>
      </c>
      <c r="X152" s="62">
        <f t="shared" ca="1" si="50"/>
        <v>1.2583241858763263</v>
      </c>
      <c r="Y152" s="62"/>
      <c r="Z152" s="17"/>
      <c r="AA152" s="17"/>
      <c r="AB152" s="17"/>
    </row>
    <row r="153" spans="1:28" x14ac:dyDescent="0.25">
      <c r="A153" s="50" t="str">
        <f t="shared" si="44"/>
        <v>ETR</v>
      </c>
      <c r="B153" s="45">
        <f t="shared" ca="1" si="45"/>
        <v>28</v>
      </c>
      <c r="C153" s="1">
        <f>IF(ISERROR(D153),"",IF(D153="","",MAX($C$136:C152)+1))</f>
        <v>16</v>
      </c>
      <c r="D153" t="str">
        <f t="shared" si="46"/>
        <v xml:space="preserve">Entergy Corp.                 </v>
      </c>
      <c r="E153" s="22"/>
      <c r="F153" s="62">
        <f t="shared" ca="1" si="51"/>
        <v>0.9599388953438841</v>
      </c>
      <c r="G153" s="62">
        <f t="shared" si="47"/>
        <v>1.0321188878235859</v>
      </c>
      <c r="H153" s="62">
        <f t="shared" si="48"/>
        <v>0.61940894568690097</v>
      </c>
      <c r="I153" s="62">
        <f t="shared" si="49"/>
        <v>0.74265905383360531</v>
      </c>
      <c r="J153" s="62">
        <f t="shared" ca="1" si="50"/>
        <v>0.74260777356335905</v>
      </c>
      <c r="K153" s="62">
        <f t="shared" ca="1" si="50"/>
        <v>0.79137319891359392</v>
      </c>
      <c r="L153" s="62">
        <f t="shared" ca="1" si="50"/>
        <v>0.73472296454658814</v>
      </c>
      <c r="M153" s="62">
        <f t="shared" ca="1" si="50"/>
        <v>0.75673839184597957</v>
      </c>
      <c r="N153" s="62">
        <f t="shared" ca="1" si="50"/>
        <v>1.0836902419261489</v>
      </c>
      <c r="O153" s="62">
        <f t="shared" ca="1" si="50"/>
        <v>1.0548075777433574</v>
      </c>
      <c r="P153" s="62">
        <f t="shared" ca="1" si="50"/>
        <v>1.1925516124679529</v>
      </c>
      <c r="Q153" s="62">
        <f t="shared" ca="1" si="50"/>
        <v>1.0329348931841302</v>
      </c>
      <c r="R153" s="62">
        <f t="shared" ca="1" si="50"/>
        <v>0.87893289328932889</v>
      </c>
      <c r="S153" s="62">
        <f t="shared" ca="1" si="50"/>
        <v>1.1530417625780993</v>
      </c>
      <c r="T153" s="62">
        <f t="shared" ca="1" si="50"/>
        <v>1.2408074440942518</v>
      </c>
      <c r="U153" s="62">
        <f t="shared" ca="1" si="50"/>
        <v>1.0229407236335644</v>
      </c>
      <c r="V153" s="62">
        <f t="shared" ca="1" si="50"/>
        <v>0.92587271943686256</v>
      </c>
      <c r="W153" s="62">
        <f t="shared" ca="1" si="50"/>
        <v>1.1403576982892689</v>
      </c>
      <c r="X153" s="62">
        <f t="shared" ca="1" si="50"/>
        <v>1.1333333333333333</v>
      </c>
      <c r="Y153" s="62"/>
      <c r="Z153" s="17"/>
      <c r="AA153" s="17"/>
      <c r="AB153" s="17"/>
    </row>
    <row r="154" spans="1:28" x14ac:dyDescent="0.25">
      <c r="A154" s="50" t="str">
        <f t="shared" si="44"/>
        <v>ES</v>
      </c>
      <c r="B154" s="45">
        <f t="shared" ca="1" si="45"/>
        <v>29</v>
      </c>
      <c r="C154" s="1">
        <f>IF(ISERROR(D154),"",IF(D154="","",MAX($C$136:C153)+1))</f>
        <v>17</v>
      </c>
      <c r="D154" t="str">
        <f t="shared" si="46"/>
        <v xml:space="preserve">Eversource Energy    </v>
      </c>
      <c r="E154" s="22"/>
      <c r="F154" s="62">
        <f t="shared" ca="1" si="51"/>
        <v>0.83381870498838762</v>
      </c>
      <c r="G154" s="62">
        <f t="shared" si="47"/>
        <v>0.53827558420628518</v>
      </c>
      <c r="H154" s="62">
        <f t="shared" si="48"/>
        <v>0.88967611336032371</v>
      </c>
      <c r="I154" s="62">
        <f t="shared" si="49"/>
        <v>0.80303030303030298</v>
      </c>
      <c r="J154" s="62">
        <f t="shared" ref="J154:M182" ca="1" si="52">IFERROR(IF(INDEX(CF_CAP_WP,$B154,J$137)=0,"N/A",INDEX(CF_CAP_WP,$B154,J$137)),"N/A")</f>
        <v>0.80340286679874151</v>
      </c>
      <c r="K154" s="62">
        <f t="shared" ca="1" si="52"/>
        <v>0.75356900067980959</v>
      </c>
      <c r="L154" s="62">
        <f t="shared" ca="1" si="52"/>
        <v>0.8342333291473063</v>
      </c>
      <c r="M154" s="62">
        <f t="shared" ca="1" si="52"/>
        <v>0.78866396761133606</v>
      </c>
      <c r="N154" s="62">
        <f t="shared" ref="N154:N182" ca="1" si="53">IFERROR(IF(INDEX(CF_CAP_WP,$B154,N$137)=0,"N/A",INDEX(CF_CAP_WP,$B154,N$137)),"N/A")</f>
        <v>0.87495992305226034</v>
      </c>
      <c r="O154" s="62">
        <f t="shared" ref="O154:X169" ca="1" si="54">IFERROR(IF(INDEX(CF_CAP_WP,$B154,O$137)=0,"N/A",INDEX(CF_CAP_WP,$B154,O$137)),"N/A")</f>
        <v>0.90857247976453281</v>
      </c>
      <c r="P154" s="62">
        <f t="shared" ca="1" si="54"/>
        <v>0.90096857086380699</v>
      </c>
      <c r="Q154" s="62">
        <f t="shared" ca="1" si="54"/>
        <v>1.1296256221597056</v>
      </c>
      <c r="R154" s="62">
        <f t="shared" ca="1" si="54"/>
        <v>0.86049488054607515</v>
      </c>
      <c r="S154" s="62">
        <f t="shared" ca="1" si="54"/>
        <v>0.80223757815070751</v>
      </c>
      <c r="T154" s="62">
        <f t="shared" ca="1" si="54"/>
        <v>1.0493621741541874</v>
      </c>
      <c r="U154" s="62">
        <f t="shared" ca="1" si="54"/>
        <v>0.9590021272481144</v>
      </c>
      <c r="V154" s="62">
        <f t="shared" ca="1" si="54"/>
        <v>0.76501986097318775</v>
      </c>
      <c r="W154" s="62">
        <f t="shared" ca="1" si="54"/>
        <v>0.67544843049327352</v>
      </c>
      <c r="X154" s="62">
        <f t="shared" ca="1" si="54"/>
        <v>0.67219387755102034</v>
      </c>
      <c r="Y154" s="62"/>
      <c r="Z154" s="17"/>
      <c r="AA154" s="17"/>
      <c r="AB154" s="17"/>
    </row>
    <row r="155" spans="1:28" x14ac:dyDescent="0.25">
      <c r="A155" s="50" t="str">
        <f t="shared" si="44"/>
        <v>EVRG</v>
      </c>
      <c r="B155" s="45" t="e">
        <f ca="1">MATCH(A155,OFFSET(CF_CAP_WP,0,0,,1),0)</f>
        <v>#N/A</v>
      </c>
      <c r="C155" s="1">
        <f>IF(ISERROR(D155),"",IF(D155="","",MAX($C$136:C154)+1))</f>
        <v>18</v>
      </c>
      <c r="D155" t="str">
        <f t="shared" si="46"/>
        <v>Evergy, Inc.</v>
      </c>
      <c r="E155" s="22"/>
      <c r="F155" s="62">
        <f t="shared" ca="1" si="51"/>
        <v>0.88829323228557</v>
      </c>
      <c r="G155" s="62">
        <f t="shared" si="47"/>
        <v>0.85869565217391319</v>
      </c>
      <c r="H155" s="62">
        <f t="shared" si="48"/>
        <v>0.78002125398512223</v>
      </c>
      <c r="I155" s="62">
        <f t="shared" si="49"/>
        <v>1.0261627906976745</v>
      </c>
      <c r="J155" s="62" t="str">
        <f t="shared" ca="1" si="52"/>
        <v>N/A</v>
      </c>
      <c r="K155" s="62" t="str">
        <f t="shared" ca="1" si="52"/>
        <v>N/A</v>
      </c>
      <c r="L155" s="62" t="str">
        <f t="shared" ca="1" si="52"/>
        <v>N/A</v>
      </c>
      <c r="M155" s="62" t="str">
        <f t="shared" ca="1" si="52"/>
        <v>N/A</v>
      </c>
      <c r="N155" s="62" t="str">
        <f t="shared" ca="1" si="53"/>
        <v>N/A</v>
      </c>
      <c r="O155" s="62" t="str">
        <f t="shared" ca="1" si="54"/>
        <v>N/A</v>
      </c>
      <c r="P155" s="62" t="str">
        <f t="shared" ca="1" si="54"/>
        <v>N/A</v>
      </c>
      <c r="Q155" s="62" t="str">
        <f t="shared" ca="1" si="54"/>
        <v>N/A</v>
      </c>
      <c r="R155" s="62" t="str">
        <f t="shared" ca="1" si="54"/>
        <v>N/A</v>
      </c>
      <c r="S155" s="62" t="str">
        <f t="shared" ca="1" si="54"/>
        <v>N/A</v>
      </c>
      <c r="T155" s="62" t="str">
        <f t="shared" ca="1" si="54"/>
        <v>N/A</v>
      </c>
      <c r="U155" s="62" t="str">
        <f t="shared" ca="1" si="54"/>
        <v>N/A</v>
      </c>
      <c r="V155" s="62" t="str">
        <f t="shared" ca="1" si="54"/>
        <v>N/A</v>
      </c>
      <c r="W155" s="62" t="str">
        <f t="shared" ca="1" si="54"/>
        <v>N/A</v>
      </c>
      <c r="X155" s="62" t="str">
        <f t="shared" ca="1" si="54"/>
        <v>N/A</v>
      </c>
      <c r="Y155" s="62"/>
      <c r="Z155" s="17"/>
      <c r="AA155" s="17"/>
      <c r="AB155" s="17"/>
    </row>
    <row r="156" spans="1:28" x14ac:dyDescent="0.25">
      <c r="A156" s="50" t="str">
        <f t="shared" si="44"/>
        <v>EXC</v>
      </c>
      <c r="B156" s="45">
        <f ca="1">MATCH(A156,OFFSET(CF_CAP_WP,0,0,,1),0)</f>
        <v>30</v>
      </c>
      <c r="C156" s="1">
        <f>IF(ISERROR(D156),"",IF(D156="","",MAX($C$136:C155)+1))</f>
        <v>19</v>
      </c>
      <c r="D156" t="str">
        <f t="shared" si="46"/>
        <v xml:space="preserve">Exelon Corp.                  </v>
      </c>
      <c r="E156" s="22"/>
      <c r="F156" s="62">
        <f t="shared" ca="1" si="51"/>
        <v>1.1967914474215497</v>
      </c>
      <c r="G156" s="62">
        <f t="shared" si="47"/>
        <v>0.82479784366576825</v>
      </c>
      <c r="H156" s="62">
        <f t="shared" si="48"/>
        <v>0.84422809457579973</v>
      </c>
      <c r="I156" s="62">
        <f t="shared" si="49"/>
        <v>1.0933333333333333</v>
      </c>
      <c r="J156" s="62">
        <f t="shared" ca="1" si="52"/>
        <v>1.0937424205675479</v>
      </c>
      <c r="K156" s="62">
        <f t="shared" ca="1" si="52"/>
        <v>1.2025775271848571</v>
      </c>
      <c r="L156" s="62">
        <f t="shared" ca="1" si="52"/>
        <v>1.0508669046404895</v>
      </c>
      <c r="M156" s="62">
        <f t="shared" ca="1" si="52"/>
        <v>1.0631271434014986</v>
      </c>
      <c r="N156" s="62">
        <f t="shared" ca="1" si="53"/>
        <v>0.75680639585133969</v>
      </c>
      <c r="O156" s="62">
        <f t="shared" ca="1" si="54"/>
        <v>0.82058397683397688</v>
      </c>
      <c r="P156" s="62">
        <f t="shared" ca="1" si="54"/>
        <v>0.93477645727221292</v>
      </c>
      <c r="Q156" s="62">
        <f t="shared" ca="1" si="54"/>
        <v>1.0686477037978706</v>
      </c>
      <c r="R156" s="62">
        <f t="shared" ca="1" si="54"/>
        <v>0.9754873006497341</v>
      </c>
      <c r="S156" s="62">
        <f t="shared" ca="1" si="54"/>
        <v>1.1872640735269981</v>
      </c>
      <c r="T156" s="62">
        <f t="shared" ca="1" si="54"/>
        <v>1.6555223880597016</v>
      </c>
      <c r="U156" s="62">
        <f t="shared" ca="1" si="54"/>
        <v>1.6623664583753275</v>
      </c>
      <c r="V156" s="62">
        <f t="shared" ca="1" si="54"/>
        <v>1.6121199324324325</v>
      </c>
      <c r="W156" s="62">
        <f t="shared" ca="1" si="54"/>
        <v>1.8358872960949084</v>
      </c>
      <c r="X156" s="62">
        <f t="shared" ca="1" si="54"/>
        <v>1.8601108033240998</v>
      </c>
      <c r="Y156" s="62"/>
      <c r="Z156" s="17"/>
      <c r="AA156" s="17"/>
      <c r="AB156" s="17"/>
    </row>
    <row r="157" spans="1:28" x14ac:dyDescent="0.25">
      <c r="A157" s="50" t="str">
        <f t="shared" si="44"/>
        <v>FE</v>
      </c>
      <c r="B157" s="45">
        <f t="shared" ref="B157:B182" ca="1" si="55">MATCH(A157,OFFSET(CF_CAP_WP,0,0,,1),0)</f>
        <v>31</v>
      </c>
      <c r="C157" s="1">
        <f>IF(ISERROR(D157),"",IF(D157="","",MAX($C$136:C156)+1))</f>
        <v>20</v>
      </c>
      <c r="D157" t="str">
        <f t="shared" si="46"/>
        <v xml:space="preserve">FirstEnergy Corp.             </v>
      </c>
      <c r="E157" s="22"/>
      <c r="F157" s="62">
        <f t="shared" ca="1" si="51"/>
        <v>1.0040600545373755</v>
      </c>
      <c r="G157" s="62">
        <f t="shared" si="47"/>
        <v>0.81849315068493156</v>
      </c>
      <c r="H157" s="62">
        <f t="shared" si="48"/>
        <v>0.97717842323651449</v>
      </c>
      <c r="I157" s="62">
        <f t="shared" si="49"/>
        <v>0.82822085889570551</v>
      </c>
      <c r="J157" s="62">
        <f t="shared" ca="1" si="52"/>
        <v>0.82869991823385114</v>
      </c>
      <c r="K157" s="62">
        <f t="shared" ca="1" si="52"/>
        <v>0.79995942381821872</v>
      </c>
      <c r="L157" s="62">
        <f t="shared" ca="1" si="52"/>
        <v>0.76229665071770347</v>
      </c>
      <c r="M157" s="62">
        <f t="shared" ca="1" si="52"/>
        <v>1.0253958300674089</v>
      </c>
      <c r="N157" s="62">
        <f t="shared" ca="1" si="53"/>
        <v>0.94188058840496103</v>
      </c>
      <c r="O157" s="62">
        <f t="shared" ca="1" si="54"/>
        <v>0.92594760720035119</v>
      </c>
      <c r="P157" s="62">
        <f t="shared" ca="1" si="54"/>
        <v>0.54050843430743645</v>
      </c>
      <c r="Q157" s="62">
        <f t="shared" ca="1" si="54"/>
        <v>0.91346571966951728</v>
      </c>
      <c r="R157" s="62">
        <f t="shared" ca="1" si="54"/>
        <v>0.8542401580358403</v>
      </c>
      <c r="S157" s="62">
        <f t="shared" ca="1" si="54"/>
        <v>1.054892601431981</v>
      </c>
      <c r="T157" s="62">
        <f t="shared" ca="1" si="54"/>
        <v>1.3203416149068323</v>
      </c>
      <c r="U157" s="62">
        <f t="shared" ca="1" si="54"/>
        <v>1.2173792721737926</v>
      </c>
      <c r="V157" s="62">
        <f t="shared" ca="1" si="54"/>
        <v>0.95429596791218074</v>
      </c>
      <c r="W157" s="62">
        <f t="shared" ca="1" si="54"/>
        <v>1.5572148590629085</v>
      </c>
      <c r="X157" s="62">
        <f t="shared" ca="1" si="54"/>
        <v>1.7526699029126214</v>
      </c>
      <c r="Y157" s="62"/>
      <c r="Z157" s="17"/>
      <c r="AA157" s="17"/>
      <c r="AB157" s="17"/>
    </row>
    <row r="158" spans="1:28" x14ac:dyDescent="0.25">
      <c r="A158" s="50" t="str">
        <f t="shared" si="44"/>
        <v>FTS.TO</v>
      </c>
      <c r="B158" s="45">
        <f t="shared" ca="1" si="55"/>
        <v>32</v>
      </c>
      <c r="C158" s="1">
        <f>IF(ISERROR(D158),"",IF(D158="","",MAX($C$136:C157)+1))</f>
        <v>21</v>
      </c>
      <c r="D158" t="str">
        <f t="shared" si="46"/>
        <v>Fortis Inc.</v>
      </c>
      <c r="E158" s="22"/>
      <c r="F158" s="62">
        <f t="shared" ca="1" si="51"/>
        <v>0.70149175223023652</v>
      </c>
      <c r="G158" s="62">
        <f t="shared" si="47"/>
        <v>0.93454038997214484</v>
      </c>
      <c r="H158" s="62">
        <f t="shared" si="48"/>
        <v>0.88888888888888895</v>
      </c>
      <c r="I158" s="62">
        <f t="shared" si="49"/>
        <v>0.65317919075144515</v>
      </c>
      <c r="J158" s="62">
        <f t="shared" ca="1" si="52"/>
        <v>0.65283716630070487</v>
      </c>
      <c r="K158" s="62">
        <f t="shared" ca="1" si="52"/>
        <v>0.6776684518620002</v>
      </c>
      <c r="L158" s="62">
        <f t="shared" ca="1" si="52"/>
        <v>0.7187749667110519</v>
      </c>
      <c r="M158" s="62">
        <f t="shared" ca="1" si="52"/>
        <v>0.75657986352875639</v>
      </c>
      <c r="N158" s="62">
        <f t="shared" ca="1" si="53"/>
        <v>0.76076368595363331</v>
      </c>
      <c r="O158" s="62">
        <f t="shared" ca="1" si="54"/>
        <v>0.65453175997991464</v>
      </c>
      <c r="P158" s="62">
        <f t="shared" ca="1" si="54"/>
        <v>0.60383333333333333</v>
      </c>
      <c r="Q158" s="62">
        <f t="shared" ca="1" si="54"/>
        <v>0.77089201877934277</v>
      </c>
      <c r="R158" s="62">
        <f t="shared" ca="1" si="54"/>
        <v>0.72235915492957747</v>
      </c>
      <c r="S158" s="62">
        <f t="shared" ca="1" si="54"/>
        <v>0.66040609137055839</v>
      </c>
      <c r="T158" s="62">
        <f t="shared" ca="1" si="54"/>
        <v>0.67668534555951765</v>
      </c>
      <c r="U158" s="62">
        <f t="shared" ca="1" si="54"/>
        <v>0.63104281767955794</v>
      </c>
      <c r="V158" s="62">
        <f t="shared" ca="1" si="54"/>
        <v>0.6559985027138312</v>
      </c>
      <c r="W158" s="62">
        <f t="shared" ca="1" si="54"/>
        <v>0.57389114855704049</v>
      </c>
      <c r="X158" s="62">
        <f t="shared" ca="1" si="54"/>
        <v>0.63397876327295444</v>
      </c>
      <c r="Y158" s="62"/>
      <c r="Z158" s="17"/>
      <c r="AA158" s="17"/>
      <c r="AB158" s="17"/>
    </row>
    <row r="159" spans="1:28" x14ac:dyDescent="0.25">
      <c r="A159" s="50" t="str">
        <f t="shared" si="44"/>
        <v>GXP</v>
      </c>
      <c r="B159" s="45">
        <f t="shared" ca="1" si="55"/>
        <v>34</v>
      </c>
      <c r="C159" s="1">
        <f>IF(ISERROR(D159),"",IF(D159="","",MAX($C$136:C158)+1))</f>
        <v>22</v>
      </c>
      <c r="D159" t="str">
        <f t="shared" si="46"/>
        <v xml:space="preserve">Great Plains Energy             </v>
      </c>
      <c r="E159" s="22"/>
      <c r="F159" s="62">
        <f t="shared" ca="1" si="51"/>
        <v>0.79024613286181478</v>
      </c>
      <c r="G159" s="62" t="str">
        <f t="shared" si="47"/>
        <v>N/A</v>
      </c>
      <c r="H159" s="62" t="str">
        <f t="shared" si="48"/>
        <v>N/A</v>
      </c>
      <c r="I159" s="62" t="s">
        <v>106</v>
      </c>
      <c r="J159" s="62" t="str">
        <f t="shared" ca="1" si="52"/>
        <v>N/A</v>
      </c>
      <c r="K159" s="62" t="str">
        <f t="shared" ca="1" si="52"/>
        <v>N/A</v>
      </c>
      <c r="L159" s="62" t="str">
        <f t="shared" ca="1" si="52"/>
        <v>N/A</v>
      </c>
      <c r="M159" s="62">
        <f t="shared" ca="1" si="52"/>
        <v>0.78066914498141271</v>
      </c>
      <c r="N159" s="62">
        <f t="shared" ca="1" si="53"/>
        <v>1.1726668996854246</v>
      </c>
      <c r="O159" s="62">
        <f t="shared" ca="1" si="54"/>
        <v>0.9002939181550984</v>
      </c>
      <c r="P159" s="62">
        <f t="shared" ca="1" si="54"/>
        <v>0.78561630413482275</v>
      </c>
      <c r="Q159" s="62">
        <f t="shared" ca="1" si="54"/>
        <v>0.90598870056497183</v>
      </c>
      <c r="R159" s="62">
        <f t="shared" ca="1" si="54"/>
        <v>0.85931653778997241</v>
      </c>
      <c r="S159" s="62">
        <f t="shared" ca="1" si="54"/>
        <v>1.0335689045936396</v>
      </c>
      <c r="T159" s="62">
        <f t="shared" ca="1" si="54"/>
        <v>0.86481947942905124</v>
      </c>
      <c r="U159" s="62">
        <f t="shared" ca="1" si="54"/>
        <v>0.50315919247958085</v>
      </c>
      <c r="V159" s="62">
        <f t="shared" ca="1" si="54"/>
        <v>0.34909706546275399</v>
      </c>
      <c r="W159" s="62">
        <f t="shared" ca="1" si="54"/>
        <v>0.68931880994960171</v>
      </c>
      <c r="X159" s="62">
        <f t="shared" ca="1" si="54"/>
        <v>0.63843863711544813</v>
      </c>
      <c r="Y159" s="62"/>
      <c r="Z159" s="17"/>
      <c r="AA159" s="17"/>
      <c r="AB159" s="17"/>
    </row>
    <row r="160" spans="1:28" x14ac:dyDescent="0.25">
      <c r="A160" s="50" t="str">
        <f t="shared" si="44"/>
        <v>HE</v>
      </c>
      <c r="B160" s="45">
        <f t="shared" ca="1" si="55"/>
        <v>35</v>
      </c>
      <c r="C160" s="1">
        <f>IF(ISERROR(D160),"",IF(D160="","",MAX($C$136:C159)+1))</f>
        <v>23</v>
      </c>
      <c r="D160" t="str">
        <f t="shared" si="46"/>
        <v xml:space="preserve">Hawaiian Elec.                </v>
      </c>
      <c r="E160" s="22"/>
      <c r="F160" s="62">
        <f t="shared" ca="1" si="51"/>
        <v>1.1178455099138944</v>
      </c>
      <c r="G160" s="62">
        <f t="shared" si="47"/>
        <v>1.1375921375921374</v>
      </c>
      <c r="H160" s="62">
        <f t="shared" si="48"/>
        <v>1.5605095541401275</v>
      </c>
      <c r="I160" s="62">
        <f t="shared" si="49"/>
        <v>1.2727272727272729</v>
      </c>
      <c r="J160" s="62">
        <f t="shared" ca="1" si="52"/>
        <v>1.2727531285551763</v>
      </c>
      <c r="K160" s="62">
        <f t="shared" ca="1" si="52"/>
        <v>1.0843258694616482</v>
      </c>
      <c r="L160" s="62">
        <f t="shared" ca="1" si="52"/>
        <v>0.85126646403242145</v>
      </c>
      <c r="M160" s="62">
        <f t="shared" ca="1" si="52"/>
        <v>0.80909490333919165</v>
      </c>
      <c r="N160" s="62">
        <f t="shared" ca="1" si="53"/>
        <v>1.3723684210526315</v>
      </c>
      <c r="O160" s="62">
        <f t="shared" ca="1" si="54"/>
        <v>0.97725258493353029</v>
      </c>
      <c r="P160" s="62">
        <f t="shared" ca="1" si="54"/>
        <v>1.0289855072463769</v>
      </c>
      <c r="Q160" s="62">
        <f t="shared" ca="1" si="54"/>
        <v>0.92188841201716731</v>
      </c>
      <c r="R160" s="62">
        <f t="shared" ca="1" si="54"/>
        <v>0.9873646209386282</v>
      </c>
      <c r="S160" s="62">
        <f t="shared" ca="1" si="54"/>
        <v>1.3002450980392157</v>
      </c>
      <c r="T160" s="62">
        <f t="shared" ca="1" si="54"/>
        <v>1.4976599063962557</v>
      </c>
      <c r="U160" s="62">
        <f t="shared" ca="1" si="54"/>
        <v>0.78658166363084403</v>
      </c>
      <c r="V160" s="62">
        <f t="shared" ca="1" si="54"/>
        <v>0.87355584082156612</v>
      </c>
      <c r="W160" s="62">
        <f t="shared" ca="1" si="54"/>
        <v>1.1521406727828745</v>
      </c>
      <c r="X160" s="62">
        <f t="shared" ca="1" si="54"/>
        <v>1.234907120743034</v>
      </c>
      <c r="Y160" s="62"/>
      <c r="Z160" s="17"/>
      <c r="AA160" s="17"/>
      <c r="AB160" s="17"/>
    </row>
    <row r="161" spans="1:28" x14ac:dyDescent="0.25">
      <c r="A161" s="50" t="str">
        <f t="shared" si="44"/>
        <v>IDA</v>
      </c>
      <c r="B161" s="45">
        <f t="shared" ca="1" si="55"/>
        <v>36</v>
      </c>
      <c r="C161" s="1">
        <f>IF(ISERROR(D161),"",IF(D161="","",MAX($C$136:C160)+1))</f>
        <v>24</v>
      </c>
      <c r="D161" t="str">
        <f t="shared" si="46"/>
        <v xml:space="preserve">IDACORP, Inc.                 </v>
      </c>
      <c r="E161" s="22"/>
      <c r="F161" s="62">
        <f t="shared" ca="1" si="51"/>
        <v>1.0937750488432918</v>
      </c>
      <c r="G161" s="62">
        <f t="shared" si="47"/>
        <v>0.75476387738193862</v>
      </c>
      <c r="H161" s="62">
        <f t="shared" si="48"/>
        <v>0.99883177570093462</v>
      </c>
      <c r="I161" s="62">
        <f t="shared" si="49"/>
        <v>1.3295454545454544</v>
      </c>
      <c r="J161" s="62">
        <f t="shared" ca="1" si="52"/>
        <v>1.3292762090230446</v>
      </c>
      <c r="K161" s="62">
        <f t="shared" ca="1" si="52"/>
        <v>1.4589363241678728</v>
      </c>
      <c r="L161" s="62">
        <f t="shared" ca="1" si="52"/>
        <v>1.4247867900562512</v>
      </c>
      <c r="M161" s="62">
        <f t="shared" ca="1" si="52"/>
        <v>1.3253267396679618</v>
      </c>
      <c r="N161" s="62">
        <f t="shared" ca="1" si="53"/>
        <v>1.1637813985064493</v>
      </c>
      <c r="O161" s="62">
        <f t="shared" ca="1" si="54"/>
        <v>1.1470638589282658</v>
      </c>
      <c r="P161" s="62">
        <f t="shared" ca="1" si="54"/>
        <v>1.2061628760088041</v>
      </c>
      <c r="Q161" s="62">
        <f t="shared" ca="1" si="54"/>
        <v>1.3439368061485908</v>
      </c>
      <c r="R161" s="62">
        <f t="shared" ca="1" si="54"/>
        <v>1.2410041841004185</v>
      </c>
      <c r="S161" s="62">
        <f t="shared" ca="1" si="54"/>
        <v>0.86305826678497499</v>
      </c>
      <c r="T161" s="62">
        <f t="shared" ca="1" si="54"/>
        <v>0.78147823546596551</v>
      </c>
      <c r="U161" s="62">
        <f t="shared" ca="1" si="54"/>
        <v>0.96444866920152106</v>
      </c>
      <c r="V161" s="62">
        <f t="shared" ca="1" si="54"/>
        <v>0.82315546137545748</v>
      </c>
      <c r="W161" s="62">
        <f t="shared" ca="1" si="54"/>
        <v>0.64406514249921709</v>
      </c>
      <c r="X161" s="62">
        <f t="shared" ca="1" si="54"/>
        <v>0.88832880961613014</v>
      </c>
      <c r="Y161" s="62"/>
      <c r="Z161" s="17"/>
      <c r="AA161" s="17"/>
      <c r="AB161" s="17"/>
    </row>
    <row r="162" spans="1:28" x14ac:dyDescent="0.25">
      <c r="A162" s="50" t="s">
        <v>25</v>
      </c>
      <c r="B162" s="45">
        <f ca="1">MATCH(A162,OFFSET(CF_CAP_WP,0,0,,1),0)</f>
        <v>40</v>
      </c>
      <c r="C162" s="1">
        <f>IF(ISERROR(D162),"",IF(D162="","",MAX($C$136:C161)+1))</f>
        <v>25</v>
      </c>
      <c r="D162" t="str">
        <f t="shared" si="46"/>
        <v xml:space="preserve">MGE Energy                    </v>
      </c>
      <c r="E162" s="22"/>
      <c r="F162" s="62">
        <f ca="1">AVERAGE(G162:X162)</f>
        <v>1.0805500866450561</v>
      </c>
      <c r="G162" s="62">
        <f t="shared" si="47"/>
        <v>0.99016393442622952</v>
      </c>
      <c r="H162" s="62">
        <f t="shared" si="48"/>
        <v>1.1219008264462809</v>
      </c>
      <c r="I162" s="62">
        <f>IFERROR(IF(VLOOKUP(A162,lucyyr,21,FALSE)=0,"",VLOOKUP(A162,lucyr,21,FALSE)),"N/A")</f>
        <v>0.82006920415224915</v>
      </c>
      <c r="J162" s="62">
        <f t="shared" ca="1" si="52"/>
        <v>0.82018871283603356</v>
      </c>
      <c r="K162" s="62">
        <f t="shared" ca="1" si="52"/>
        <v>0.96576500422654266</v>
      </c>
      <c r="L162" s="62">
        <f t="shared" ca="1" si="52"/>
        <v>0.66280019604639762</v>
      </c>
      <c r="M162" s="62">
        <f t="shared" ca="1" si="52"/>
        <v>1.1946136582237896</v>
      </c>
      <c r="N162" s="62">
        <f t="shared" ca="1" si="53"/>
        <v>1.4368006630750105</v>
      </c>
      <c r="O162" s="62">
        <f t="shared" ca="1" si="54"/>
        <v>1.6044273339749762</v>
      </c>
      <c r="P162" s="62">
        <f t="shared" ca="1" si="54"/>
        <v>1.3060231949120837</v>
      </c>
      <c r="Q162" s="62">
        <f t="shared" ca="1" si="54"/>
        <v>0.95544554455445541</v>
      </c>
      <c r="R162" s="62">
        <f t="shared" ca="1" si="54"/>
        <v>1.0479041916167664</v>
      </c>
      <c r="S162" s="62">
        <f t="shared" ca="1" si="54"/>
        <v>1.5627659574468087</v>
      </c>
      <c r="T162" s="62">
        <f t="shared" ca="1" si="54"/>
        <v>1.5711845102505695</v>
      </c>
      <c r="U162" s="62">
        <f t="shared" ca="1" si="54"/>
        <v>1.1282922684791843</v>
      </c>
      <c r="V162" s="62">
        <f t="shared" ca="1" si="54"/>
        <v>0.87008769080870396</v>
      </c>
      <c r="W162" s="62">
        <f t="shared" ca="1" si="54"/>
        <v>0.59473175447075877</v>
      </c>
      <c r="X162" s="62">
        <f t="shared" ca="1" si="54"/>
        <v>0.79673691366417398</v>
      </c>
      <c r="Y162" s="62"/>
      <c r="Z162" s="17"/>
      <c r="AA162" s="17"/>
      <c r="AB162" s="17"/>
    </row>
    <row r="163" spans="1:28" x14ac:dyDescent="0.25">
      <c r="A163" s="50" t="str">
        <f t="shared" ref="A163:A182" si="56">A38</f>
        <v>NEE</v>
      </c>
      <c r="B163" s="45">
        <f ca="1">MATCH(A163,OFFSET(CF_CAP_WP,0,0,,1),0)</f>
        <v>43</v>
      </c>
      <c r="C163" s="1">
        <f>IF(ISERROR(D163),"",IF(D163="","",MAX($C$136:C162)+1))</f>
        <v>26</v>
      </c>
      <c r="D163" t="str">
        <f t="shared" si="46"/>
        <v>NextEra Energy, Inc.</v>
      </c>
      <c r="E163" s="22"/>
      <c r="F163" s="62">
        <f ca="1">AVERAGE(G163:X163)</f>
        <v>0.60813429573085753</v>
      </c>
      <c r="G163" s="62">
        <f t="shared" si="47"/>
        <v>0.50163398692810457</v>
      </c>
      <c r="H163" s="62">
        <f t="shared" si="48"/>
        <v>0.54639175257731964</v>
      </c>
      <c r="I163" s="62">
        <f>IFERROR(IF(VLOOKUP(A163,lucyyr,21,FALSE)=0,"",VLOOKUP(A163,lucyr,21,FALSE)),"N/A")</f>
        <v>0.57852348993288583</v>
      </c>
      <c r="J163" s="62">
        <f t="shared" ca="1" si="52"/>
        <v>0.57781057150523218</v>
      </c>
      <c r="K163" s="62">
        <f t="shared" ca="1" si="52"/>
        <v>0.67059010656911089</v>
      </c>
      <c r="L163" s="62">
        <f t="shared" ca="1" si="52"/>
        <v>0.56470588235294117</v>
      </c>
      <c r="M163" s="62">
        <f t="shared" ca="1" si="52"/>
        <v>0.53157894736842104</v>
      </c>
      <c r="N163" s="62">
        <f t="shared" ca="1" si="53"/>
        <v>0.62912621359223297</v>
      </c>
      <c r="O163" s="62">
        <f t="shared" ca="1" si="54"/>
        <v>0.71145374449339205</v>
      </c>
      <c r="P163" s="62">
        <f t="shared" ca="1" si="54"/>
        <v>0.76515151515151514</v>
      </c>
      <c r="Q163" s="62">
        <f t="shared" ca="1" si="54"/>
        <v>0.68489583333333337</v>
      </c>
      <c r="R163" s="62">
        <f t="shared" ca="1" si="54"/>
        <v>0.3888888888888889</v>
      </c>
      <c r="S163" s="62">
        <f t="shared" ca="1" si="54"/>
        <v>0.58291457286432158</v>
      </c>
      <c r="T163" s="62">
        <f t="shared" ca="1" si="54"/>
        <v>0.6945244956772334</v>
      </c>
      <c r="U163" s="62">
        <f t="shared" ca="1" si="54"/>
        <v>0.60330578512396693</v>
      </c>
      <c r="V163" s="62">
        <f t="shared" ca="1" si="54"/>
        <v>0.62812499999999993</v>
      </c>
      <c r="W163" s="62">
        <f t="shared" ca="1" si="54"/>
        <v>0.55519480519480513</v>
      </c>
      <c r="X163" s="62">
        <f t="shared" ca="1" si="54"/>
        <v>0.73160173160173159</v>
      </c>
      <c r="Y163" s="62"/>
      <c r="Z163" s="17"/>
      <c r="AA163" s="17"/>
      <c r="AB163" s="17"/>
    </row>
    <row r="164" spans="1:28" x14ac:dyDescent="0.25">
      <c r="A164" s="50" t="str">
        <f t="shared" si="56"/>
        <v>NWE</v>
      </c>
      <c r="B164" s="45">
        <f t="shared" ca="1" si="55"/>
        <v>46</v>
      </c>
      <c r="C164" s="1">
        <f>IF(ISERROR(D164),"",IF(D164="","",MAX($C$136:C163)+1))</f>
        <v>27</v>
      </c>
      <c r="D164" t="str">
        <f t="shared" si="46"/>
        <v xml:space="preserve">NorthWestern Corp             </v>
      </c>
      <c r="E164" s="22"/>
      <c r="F164" s="62">
        <f t="shared" ca="1" si="51"/>
        <v>1.0028985388597067</v>
      </c>
      <c r="G164" s="62">
        <f t="shared" si="47"/>
        <v>0.72246220302375819</v>
      </c>
      <c r="H164" s="62">
        <f t="shared" si="48"/>
        <v>0.74941995359628777</v>
      </c>
      <c r="I164" s="62">
        <f t="shared" si="49"/>
        <v>0.83790523690773067</v>
      </c>
      <c r="J164" s="62">
        <f t="shared" ca="1" si="52"/>
        <v>0.83742675476873196</v>
      </c>
      <c r="K164" s="62">
        <f t="shared" ca="1" si="52"/>
        <v>1.1293103448275861</v>
      </c>
      <c r="L164" s="62">
        <f t="shared" ca="1" si="52"/>
        <v>1.2332092858408648</v>
      </c>
      <c r="M164" s="62">
        <f t="shared" ca="1" si="52"/>
        <v>1.2068226469012322</v>
      </c>
      <c r="N164" s="62">
        <f t="shared" ca="1" si="53"/>
        <v>1.130938391807957</v>
      </c>
      <c r="O164" s="62">
        <f t="shared" ca="1" si="54"/>
        <v>1.0059432840889795</v>
      </c>
      <c r="P164" s="62">
        <f t="shared" ca="1" si="54"/>
        <v>0.93492972410203024</v>
      </c>
      <c r="Q164" s="62">
        <f t="shared" ca="1" si="54"/>
        <v>0.91661062542030924</v>
      </c>
      <c r="R164" s="62">
        <f t="shared" ca="1" si="54"/>
        <v>0.87979626485568774</v>
      </c>
      <c r="S164" s="62">
        <f t="shared" ca="1" si="54"/>
        <v>1.0420991926182239</v>
      </c>
      <c r="T164" s="62">
        <f t="shared" ca="1" si="54"/>
        <v>0.75583055687767731</v>
      </c>
      <c r="U164" s="62">
        <f t="shared" ca="1" si="54"/>
        <v>0.87811370983076631</v>
      </c>
      <c r="V164" s="62">
        <f t="shared" ca="1" si="54"/>
        <v>1.2699740409576001</v>
      </c>
      <c r="W164" s="62">
        <f t="shared" ca="1" si="54"/>
        <v>1.2330226364846872</v>
      </c>
      <c r="X164" s="62">
        <f t="shared" ca="1" si="54"/>
        <v>1.2883588465646136</v>
      </c>
      <c r="Y164" s="62"/>
      <c r="Z164" s="17"/>
      <c r="AA164" s="17"/>
      <c r="AB164" s="17"/>
    </row>
    <row r="165" spans="1:28" x14ac:dyDescent="0.25">
      <c r="A165" s="50" t="str">
        <f t="shared" si="56"/>
        <v>OGE</v>
      </c>
      <c r="B165" s="45">
        <f t="shared" ca="1" si="55"/>
        <v>47</v>
      </c>
      <c r="C165" s="1">
        <f>IF(ISERROR(D165),"",IF(D165="","",MAX($C$136:C164)+1))</f>
        <v>28</v>
      </c>
      <c r="D165" t="str">
        <f t="shared" si="46"/>
        <v xml:space="preserve">OGE Energy                    </v>
      </c>
      <c r="E165" s="22"/>
      <c r="F165" s="62">
        <f t="shared" ca="1" si="51"/>
        <v>0.91216588397048093</v>
      </c>
      <c r="G165" s="62">
        <f t="shared" si="47"/>
        <v>0.95789473684210524</v>
      </c>
      <c r="H165" s="62">
        <f t="shared" si="48"/>
        <v>0.86857142857142855</v>
      </c>
      <c r="I165" s="62">
        <f t="shared" si="49"/>
        <v>1.24</v>
      </c>
      <c r="J165" s="62">
        <f t="shared" ca="1" si="52"/>
        <v>1.2408489695478315</v>
      </c>
      <c r="K165" s="62">
        <f t="shared" ca="1" si="52"/>
        <v>1.2660579345088161</v>
      </c>
      <c r="L165" s="62">
        <f t="shared" ca="1" si="52"/>
        <v>1.3025766016713092</v>
      </c>
      <c r="M165" s="62">
        <f t="shared" ca="1" si="52"/>
        <v>0.81027380663920523</v>
      </c>
      <c r="N165" s="62">
        <f t="shared" ca="1" si="53"/>
        <v>1.0012102874432678</v>
      </c>
      <c r="O165" s="62">
        <f t="shared" ca="1" si="54"/>
        <v>1.178271965001823</v>
      </c>
      <c r="P165" s="62">
        <f t="shared" ca="1" si="54"/>
        <v>1.1894921190893171</v>
      </c>
      <c r="Q165" s="62">
        <f t="shared" ca="1" si="54"/>
        <v>0.69278557114228456</v>
      </c>
      <c r="R165" s="62">
        <f t="shared" ca="1" si="54"/>
        <v>0.63085070037581137</v>
      </c>
      <c r="S165" s="62">
        <f t="shared" ca="1" si="54"/>
        <v>0.51166023166023167</v>
      </c>
      <c r="T165" s="62">
        <f t="shared" ca="1" si="54"/>
        <v>0.69012147604859042</v>
      </c>
      <c r="U165" s="62">
        <f t="shared" ca="1" si="54"/>
        <v>0.61441647597254001</v>
      </c>
      <c r="V165" s="62">
        <f t="shared" ca="1" si="54"/>
        <v>0.59860383944153572</v>
      </c>
      <c r="W165" s="62">
        <f t="shared" ca="1" si="54"/>
        <v>0.78801843317972364</v>
      </c>
      <c r="X165" s="62">
        <f t="shared" ca="1" si="54"/>
        <v>0.83733133433283358</v>
      </c>
      <c r="Y165" s="62"/>
      <c r="Z165" s="17"/>
      <c r="AA165" s="17"/>
      <c r="AB165" s="17"/>
    </row>
    <row r="166" spans="1:28" x14ac:dyDescent="0.25">
      <c r="A166" s="50" t="str">
        <f t="shared" si="56"/>
        <v>OTTR</v>
      </c>
      <c r="B166" s="45">
        <f t="shared" ca="1" si="55"/>
        <v>49</v>
      </c>
      <c r="C166" s="1">
        <f>IF(ISERROR(D166),"",IF(D166="","",MAX($C$136:C165)+1))</f>
        <v>29</v>
      </c>
      <c r="D166" t="str">
        <f t="shared" si="46"/>
        <v xml:space="preserve">Otter Tail Corp.              </v>
      </c>
      <c r="E166" s="22"/>
      <c r="F166" s="62">
        <f t="shared" ca="1" si="51"/>
        <v>0.9741248121182049</v>
      </c>
      <c r="G166" s="62">
        <f t="shared" si="47"/>
        <v>1.9809322033898304</v>
      </c>
      <c r="H166" s="62">
        <f t="shared" si="48"/>
        <v>2.1338199513381992</v>
      </c>
      <c r="I166" s="62">
        <f t="shared" si="49"/>
        <v>0.47879464285714279</v>
      </c>
      <c r="J166" s="62">
        <f t="shared" ca="1" si="52"/>
        <v>0.47879464285714279</v>
      </c>
      <c r="K166" s="62">
        <f t="shared" ca="1" si="52"/>
        <v>0.79531371030209153</v>
      </c>
      <c r="L166" s="62">
        <f t="shared" ca="1" si="52"/>
        <v>1.489089541008277</v>
      </c>
      <c r="M166" s="62">
        <f t="shared" ca="1" si="52"/>
        <v>1.1014880952380952</v>
      </c>
      <c r="N166" s="62">
        <f t="shared" ca="1" si="53"/>
        <v>0.84016593460224509</v>
      </c>
      <c r="O166" s="62">
        <f t="shared" ca="1" si="54"/>
        <v>0.74296524000945852</v>
      </c>
      <c r="P166" s="62">
        <f t="shared" ca="1" si="54"/>
        <v>0.70284414106939708</v>
      </c>
      <c r="Q166" s="62">
        <f t="shared" ca="1" si="54"/>
        <v>0.66607851786501993</v>
      </c>
      <c r="R166" s="62">
        <f t="shared" ca="1" si="54"/>
        <v>0.84629803186504216</v>
      </c>
      <c r="S166" s="62">
        <f t="shared" ca="1" si="54"/>
        <v>1.1582557569818717</v>
      </c>
      <c r="T166" s="62">
        <f t="shared" ca="1" si="54"/>
        <v>1.0921329406815314</v>
      </c>
      <c r="U166" s="62">
        <f t="shared" ca="1" si="54"/>
        <v>0.55843105539830173</v>
      </c>
      <c r="V166" s="62">
        <f t="shared" ca="1" si="54"/>
        <v>0.37410167686984291</v>
      </c>
      <c r="W166" s="62">
        <f t="shared" ca="1" si="54"/>
        <v>0.65468951538603282</v>
      </c>
      <c r="X166" s="62">
        <f t="shared" ca="1" si="54"/>
        <v>1.4400510204081634</v>
      </c>
      <c r="Y166" s="62"/>
      <c r="Z166" s="17"/>
      <c r="AA166" s="17"/>
      <c r="AB166" s="17"/>
    </row>
    <row r="167" spans="1:28" x14ac:dyDescent="0.25">
      <c r="A167" s="50" t="str">
        <f t="shared" si="56"/>
        <v>PNW</v>
      </c>
      <c r="B167" s="45">
        <f t="shared" ca="1" si="55"/>
        <v>52</v>
      </c>
      <c r="C167" s="1">
        <f>IF(ISERROR(D167),"",IF(D167="","",MAX($C$136:C166)+1))</f>
        <v>30</v>
      </c>
      <c r="D167" t="str">
        <f t="shared" si="46"/>
        <v xml:space="preserve">Pinnacle West Capital         </v>
      </c>
      <c r="E167" s="22"/>
      <c r="F167" s="62">
        <f t="shared" ca="1" si="51"/>
        <v>0.9391351603521545</v>
      </c>
      <c r="G167" s="62">
        <f t="shared" si="47"/>
        <v>0.73402948402948398</v>
      </c>
      <c r="H167" s="62">
        <f t="shared" si="48"/>
        <v>0.89065606361829019</v>
      </c>
      <c r="I167" s="62">
        <f t="shared" si="49"/>
        <v>0.91031014249790443</v>
      </c>
      <c r="J167" s="62">
        <f t="shared" ca="1" si="52"/>
        <v>0.91055411182831758</v>
      </c>
      <c r="K167" s="62">
        <f t="shared" ca="1" si="52"/>
        <v>1.0347551342812007</v>
      </c>
      <c r="L167" s="62">
        <f t="shared" ca="1" si="52"/>
        <v>1.0626979690702441</v>
      </c>
      <c r="M167" s="62">
        <f t="shared" ca="1" si="52"/>
        <v>0.76429240862230552</v>
      </c>
      <c r="N167" s="62">
        <f t="shared" ca="1" si="53"/>
        <v>0.80687580575848727</v>
      </c>
      <c r="O167" s="62">
        <f t="shared" ca="1" si="54"/>
        <v>0.92360052829421913</v>
      </c>
      <c r="P167" s="62">
        <f t="shared" ca="1" si="54"/>
        <v>0.96537726838586446</v>
      </c>
      <c r="Q167" s="62">
        <f t="shared" ca="1" si="54"/>
        <v>0.871246928090608</v>
      </c>
      <c r="R167" s="62">
        <f t="shared" ca="1" si="54"/>
        <v>0.96032516379519528</v>
      </c>
      <c r="S167" s="62">
        <f t="shared" ca="1" si="54"/>
        <v>0.91056517003509618</v>
      </c>
      <c r="T167" s="62">
        <f t="shared" ca="1" si="54"/>
        <v>0.97356076759061838</v>
      </c>
      <c r="U167" s="62">
        <f t="shared" ca="1" si="54"/>
        <v>1.0567765567765566</v>
      </c>
      <c r="V167" s="62">
        <f t="shared" ca="1" si="54"/>
        <v>0.85983086680761101</v>
      </c>
      <c r="W167" s="62">
        <f t="shared" ca="1" si="54"/>
        <v>0.99167644861807691</v>
      </c>
      <c r="X167" s="62">
        <f t="shared" ca="1" si="54"/>
        <v>1.2773020682387037</v>
      </c>
      <c r="Y167" s="62"/>
      <c r="Z167" s="17"/>
      <c r="AA167" s="17"/>
      <c r="AB167" s="17"/>
    </row>
    <row r="168" spans="1:28" x14ac:dyDescent="0.25">
      <c r="A168" s="50" t="str">
        <f t="shared" si="56"/>
        <v>PNM</v>
      </c>
      <c r="B168" s="45">
        <f t="shared" ca="1" si="55"/>
        <v>53</v>
      </c>
      <c r="C168" s="1">
        <f>IF(ISERROR(D168),"",IF(D168="","",MAX($C$136:C167)+1))</f>
        <v>31</v>
      </c>
      <c r="D168" t="str">
        <f t="shared" si="46"/>
        <v xml:space="preserve">PNM Resources                 </v>
      </c>
      <c r="E168" s="22"/>
      <c r="F168" s="62">
        <f t="shared" ca="1" si="51"/>
        <v>0.69693860890844583</v>
      </c>
      <c r="G168" s="62">
        <f t="shared" si="47"/>
        <v>0.55490360435875941</v>
      </c>
      <c r="H168" s="62">
        <f t="shared" si="48"/>
        <v>0.62746942615239887</v>
      </c>
      <c r="I168" s="62">
        <f t="shared" si="49"/>
        <v>0.7180783817951959</v>
      </c>
      <c r="J168" s="62">
        <f t="shared" ca="1" si="52"/>
        <v>0.71786120591581348</v>
      </c>
      <c r="K168" s="62">
        <f t="shared" ca="1" si="52"/>
        <v>0.78428331394597384</v>
      </c>
      <c r="L168" s="62">
        <f t="shared" ca="1" si="52"/>
        <v>0.8150031786395423</v>
      </c>
      <c r="M168" s="62">
        <f t="shared" ca="1" si="52"/>
        <v>0.84338691707782909</v>
      </c>
      <c r="N168" s="62">
        <f t="shared" ca="1" si="53"/>
        <v>0.5682240509689408</v>
      </c>
      <c r="O168" s="62">
        <f t="shared" ca="1" si="54"/>
        <v>0.56723228290317984</v>
      </c>
      <c r="P168" s="62">
        <f t="shared" ca="1" si="54"/>
        <v>0.62597267854054983</v>
      </c>
      <c r="Q168" s="62">
        <f t="shared" ca="1" si="54"/>
        <v>0.80407415884641797</v>
      </c>
      <c r="R168" s="62">
        <f t="shared" ca="1" si="54"/>
        <v>0.87158329035585347</v>
      </c>
      <c r="S168" s="62">
        <f t="shared" ca="1" si="54"/>
        <v>0.7743664717348927</v>
      </c>
      <c r="T168" s="62">
        <f t="shared" ca="1" si="54"/>
        <v>0.82112068965517226</v>
      </c>
      <c r="U168" s="62">
        <f t="shared" ca="1" si="54"/>
        <v>0.69756244357508279</v>
      </c>
      <c r="V168" s="62">
        <f t="shared" ca="1" si="54"/>
        <v>0.44054189663823379</v>
      </c>
      <c r="W168" s="62">
        <f t="shared" ca="1" si="54"/>
        <v>0.42772911051212942</v>
      </c>
      <c r="X168" s="62">
        <f t="shared" ca="1" si="54"/>
        <v>0.88550185873605947</v>
      </c>
      <c r="Y168" s="62"/>
      <c r="Z168" s="17"/>
      <c r="AA168" s="17"/>
      <c r="AB168" s="17"/>
    </row>
    <row r="169" spans="1:28" x14ac:dyDescent="0.25">
      <c r="A169" s="50" t="str">
        <f t="shared" si="56"/>
        <v>POR</v>
      </c>
      <c r="B169" s="45">
        <f t="shared" ca="1" si="55"/>
        <v>54</v>
      </c>
      <c r="C169" s="1">
        <f>IF(ISERROR(D169),"",IF(D169="","",MAX($C$136:C168)+1))</f>
        <v>32</v>
      </c>
      <c r="D169" t="str">
        <f t="shared" si="46"/>
        <v xml:space="preserve">Portland General              </v>
      </c>
      <c r="E169" s="22"/>
      <c r="F169" s="62">
        <f t="shared" ca="1" si="51"/>
        <v>0.82237753053547158</v>
      </c>
      <c r="G169" s="62">
        <f t="shared" si="47"/>
        <v>0.50894187779433686</v>
      </c>
      <c r="H169" s="62">
        <f t="shared" si="48"/>
        <v>0.86363636363636365</v>
      </c>
      <c r="I169" s="62">
        <f t="shared" si="49"/>
        <v>0.77625570776255703</v>
      </c>
      <c r="J169" s="62">
        <f t="shared" ca="1" si="52"/>
        <v>0.77683873915029689</v>
      </c>
      <c r="K169" s="62">
        <f t="shared" ca="1" si="52"/>
        <v>1.028175247086591</v>
      </c>
      <c r="L169" s="62">
        <f t="shared" ca="1" si="52"/>
        <v>0.9983495873968492</v>
      </c>
      <c r="M169" s="62">
        <f t="shared" ca="1" si="52"/>
        <v>1.0681345353675451</v>
      </c>
      <c r="N169" s="62">
        <f t="shared" ca="1" si="53"/>
        <v>0.88014011574779172</v>
      </c>
      <c r="O169" s="62">
        <f t="shared" ca="1" si="54"/>
        <v>0.7976243504083147</v>
      </c>
      <c r="P169" s="62">
        <f t="shared" ca="1" si="54"/>
        <v>0.47269478753981203</v>
      </c>
      <c r="Q169" s="62">
        <f t="shared" ca="1" si="54"/>
        <v>0.58683490060707055</v>
      </c>
      <c r="R169" s="62">
        <f t="shared" ca="1" si="54"/>
        <v>1.283790523690773</v>
      </c>
      <c r="S169" s="62">
        <f t="shared" ca="1" si="54"/>
        <v>1.2466716905300177</v>
      </c>
      <c r="T169" s="62">
        <f t="shared" ca="1" si="54"/>
        <v>0.80669456066945622</v>
      </c>
      <c r="U169" s="62">
        <f t="shared" ca="1" si="54"/>
        <v>0.43970175059433758</v>
      </c>
      <c r="V169" s="62">
        <f t="shared" ca="1" si="54"/>
        <v>0.77013559875837279</v>
      </c>
      <c r="W169" s="62">
        <f t="shared" ca="1" si="54"/>
        <v>0.71650405386835236</v>
      </c>
      <c r="X169" s="62">
        <f t="shared" ca="1" si="54"/>
        <v>0.78167115902964956</v>
      </c>
      <c r="Y169" s="62"/>
      <c r="Z169" s="17"/>
      <c r="AA169" s="17"/>
      <c r="AB169" s="17"/>
    </row>
    <row r="170" spans="1:28" x14ac:dyDescent="0.25">
      <c r="A170" s="50" t="str">
        <f t="shared" si="56"/>
        <v>PPL</v>
      </c>
      <c r="B170" s="45">
        <f t="shared" ca="1" si="55"/>
        <v>55</v>
      </c>
      <c r="C170" s="1">
        <f>IF(ISERROR(D170),"",IF(D170="","",MAX($C$136:C169)+1))</f>
        <v>33</v>
      </c>
      <c r="D170" t="str">
        <f t="shared" si="46"/>
        <v xml:space="preserve">PPL Corp.                     </v>
      </c>
      <c r="E170" s="22"/>
      <c r="F170" s="62">
        <f t="shared" ca="1" si="51"/>
        <v>0.9721673969797211</v>
      </c>
      <c r="G170" s="62">
        <f t="shared" si="47"/>
        <v>1.0617283950617282</v>
      </c>
      <c r="H170" s="62">
        <f t="shared" si="48"/>
        <v>1.0546075085324231</v>
      </c>
      <c r="I170" s="62">
        <f t="shared" si="49"/>
        <v>0.900709219858156</v>
      </c>
      <c r="J170" s="62">
        <f t="shared" ca="1" si="52"/>
        <v>0.9020118343195267</v>
      </c>
      <c r="K170" s="62">
        <f t="shared" ca="1" si="52"/>
        <v>0.98158287705326042</v>
      </c>
      <c r="L170" s="62">
        <f t="shared" ca="1" si="52"/>
        <v>0.92614015572858732</v>
      </c>
      <c r="M170" s="62">
        <f t="shared" ca="1" si="52"/>
        <v>0.81518370960602038</v>
      </c>
      <c r="N170" s="62">
        <f t="shared" ca="1" si="53"/>
        <v>0.99581005586592164</v>
      </c>
      <c r="O170" s="62">
        <f t="shared" ref="O170:X182" ca="1" si="57">IFERROR(IF(INDEX(CF_CAP_WP,$B170,O$137)=0,"N/A",INDEX(CF_CAP_WP,$B170,O$137)),"N/A")</f>
        <v>0.72038909021552544</v>
      </c>
      <c r="P170" s="62">
        <f t="shared" ca="1" si="57"/>
        <v>0.74523848282598082</v>
      </c>
      <c r="Q170" s="62">
        <f t="shared" ca="1" si="57"/>
        <v>0.69425321759952108</v>
      </c>
      <c r="R170" s="62">
        <f t="shared" ca="1" si="57"/>
        <v>0.90742128935532218</v>
      </c>
      <c r="S170" s="62">
        <f t="shared" ca="1" si="57"/>
        <v>1.0674418604651164</v>
      </c>
      <c r="T170" s="62">
        <f t="shared" ca="1" si="57"/>
        <v>1.1077481840193706</v>
      </c>
      <c r="U170" s="62">
        <f t="shared" ca="1" si="57"/>
        <v>1.0668103448275861</v>
      </c>
      <c r="V170" s="62">
        <f t="shared" ca="1" si="57"/>
        <v>1.245377707342842</v>
      </c>
      <c r="W170" s="62">
        <f t="shared" ca="1" si="57"/>
        <v>1.1300398759415151</v>
      </c>
      <c r="X170" s="62">
        <f t="shared" ca="1" si="57"/>
        <v>1.1765193370165747</v>
      </c>
      <c r="Y170" s="62"/>
      <c r="Z170" s="17"/>
      <c r="AA170" s="17"/>
      <c r="AB170" s="17"/>
    </row>
    <row r="171" spans="1:28" x14ac:dyDescent="0.25">
      <c r="A171" s="50" t="str">
        <f t="shared" si="56"/>
        <v>PEG</v>
      </c>
      <c r="B171" s="45">
        <f t="shared" ca="1" si="55"/>
        <v>56</v>
      </c>
      <c r="C171" s="1">
        <f>IF(ISERROR(D171),"",IF(D171="","",MAX($C$136:C170)+1))</f>
        <v>34</v>
      </c>
      <c r="D171" t="str">
        <f t="shared" si="46"/>
        <v xml:space="preserve">Public Serv. Enterprise       </v>
      </c>
      <c r="E171" s="22"/>
      <c r="F171" s="62">
        <f t="shared" ca="1" si="51"/>
        <v>1.1029730569167451</v>
      </c>
      <c r="G171" s="62">
        <f t="shared" si="47"/>
        <v>0.92215568862275454</v>
      </c>
      <c r="H171" s="62">
        <f t="shared" si="48"/>
        <v>1.0464716006884682</v>
      </c>
      <c r="I171" s="62">
        <f t="shared" si="49"/>
        <v>1.1275862068965519</v>
      </c>
      <c r="J171" s="62">
        <f t="shared" ca="1" si="52"/>
        <v>1.1282758620689655</v>
      </c>
      <c r="K171" s="62">
        <f t="shared" ca="1" si="52"/>
        <v>1.0754536771728749</v>
      </c>
      <c r="L171" s="62">
        <f t="shared" ca="1" si="52"/>
        <v>0.70136562741561459</v>
      </c>
      <c r="M171" s="62">
        <f t="shared" ca="1" si="52"/>
        <v>0.63914667952271897</v>
      </c>
      <c r="N171" s="62">
        <f t="shared" ca="1" si="53"/>
        <v>0.60971504148130329</v>
      </c>
      <c r="O171" s="62">
        <f t="shared" ca="1" si="57"/>
        <v>0.80405493786788762</v>
      </c>
      <c r="P171" s="62">
        <f t="shared" ca="1" si="57"/>
        <v>1.0443049327354259</v>
      </c>
      <c r="Q171" s="62">
        <f t="shared" ca="1" si="57"/>
        <v>0.92945834083138379</v>
      </c>
      <c r="R171" s="62">
        <f t="shared" ca="1" si="57"/>
        <v>0.95813679245283012</v>
      </c>
      <c r="S171" s="62">
        <f t="shared" ca="1" si="57"/>
        <v>1.3019188729657518</v>
      </c>
      <c r="T171" s="62">
        <f t="shared" ca="1" si="57"/>
        <v>1.2347153900210821</v>
      </c>
      <c r="U171" s="62">
        <f t="shared" ca="1" si="57"/>
        <v>1.4055273547659335</v>
      </c>
      <c r="V171" s="62">
        <f t="shared" ca="1" si="57"/>
        <v>1.3365714285714285</v>
      </c>
      <c r="W171" s="62">
        <f t="shared" ca="1" si="57"/>
        <v>1.6439079592606562</v>
      </c>
      <c r="X171" s="62">
        <f t="shared" ca="1" si="57"/>
        <v>1.944748631159781</v>
      </c>
      <c r="Y171" s="62"/>
      <c r="Z171" s="17"/>
      <c r="AA171" s="17"/>
      <c r="AB171" s="17"/>
    </row>
    <row r="172" spans="1:28" x14ac:dyDescent="0.25">
      <c r="A172" s="50" t="str">
        <f t="shared" si="56"/>
        <v>SCG</v>
      </c>
      <c r="B172" s="45">
        <f t="shared" ca="1" si="55"/>
        <v>57</v>
      </c>
      <c r="C172" s="1">
        <f>IF(ISERROR(D172),"",IF(D172="","",MAX($C$136:C171)+1))</f>
        <v>35</v>
      </c>
      <c r="D172" t="str">
        <f t="shared" si="46"/>
        <v xml:space="preserve">SCANA Corp.                   </v>
      </c>
      <c r="E172" s="22"/>
      <c r="F172" s="62">
        <f t="shared" ca="1" si="51"/>
        <v>0.85867520183791957</v>
      </c>
      <c r="G172" s="62" t="str">
        <f t="shared" si="47"/>
        <v>N/A</v>
      </c>
      <c r="H172" s="62" t="str">
        <f t="shared" si="48"/>
        <v>N/A</v>
      </c>
      <c r="I172" s="62" t="s">
        <v>106</v>
      </c>
      <c r="J172" s="62" t="str">
        <f t="shared" ca="1" si="52"/>
        <v>N/A</v>
      </c>
      <c r="K172" s="62" t="str">
        <f t="shared" ca="1" si="52"/>
        <v>N/A</v>
      </c>
      <c r="L172" s="62" t="str">
        <f t="shared" ca="1" si="52"/>
        <v>N/A</v>
      </c>
      <c r="M172" s="62">
        <f t="shared" ca="1" si="52"/>
        <v>0.8580434275040858</v>
      </c>
      <c r="N172" s="62">
        <f t="shared" ca="1" si="53"/>
        <v>0.6592760180995475</v>
      </c>
      <c r="O172" s="62">
        <f t="shared" ca="1" si="57"/>
        <v>0.83083405626471674</v>
      </c>
      <c r="P172" s="62">
        <f t="shared" ca="1" si="57"/>
        <v>0.90303188708834292</v>
      </c>
      <c r="Q172" s="62">
        <f t="shared" ca="1" si="57"/>
        <v>0.83273839877613465</v>
      </c>
      <c r="R172" s="62">
        <f t="shared" ca="1" si="57"/>
        <v>0.77261583721500371</v>
      </c>
      <c r="S172" s="62">
        <f t="shared" ca="1" si="57"/>
        <v>0.88348516015280631</v>
      </c>
      <c r="T172" s="62">
        <f t="shared" ca="1" si="57"/>
        <v>0.85947046843177199</v>
      </c>
      <c r="U172" s="62">
        <f t="shared" ca="1" si="57"/>
        <v>0.76045883940620773</v>
      </c>
      <c r="V172" s="62">
        <f t="shared" ca="1" si="57"/>
        <v>0.76325732899022802</v>
      </c>
      <c r="W172" s="62">
        <f t="shared" ca="1" si="57"/>
        <v>0.92275506919858374</v>
      </c>
      <c r="X172" s="62">
        <f t="shared" ca="1" si="57"/>
        <v>1.2581359309276068</v>
      </c>
      <c r="Y172" s="62"/>
      <c r="Z172" s="17"/>
      <c r="AA172" s="17"/>
      <c r="AB172" s="17"/>
    </row>
    <row r="173" spans="1:28" x14ac:dyDescent="0.25">
      <c r="A173" s="50" t="str">
        <f t="shared" si="56"/>
        <v>SRE</v>
      </c>
      <c r="B173" s="45">
        <f t="shared" ca="1" si="55"/>
        <v>58</v>
      </c>
      <c r="C173" s="1">
        <f>IF(ISERROR(D173),"",IF(D173="","",MAX($C$136:C172)+1))</f>
        <v>36</v>
      </c>
      <c r="D173" t="str">
        <f t="shared" si="46"/>
        <v xml:space="preserve">Sempra Energy                 </v>
      </c>
      <c r="E173" s="22"/>
      <c r="F173" s="62">
        <f t="shared" ca="1" si="51"/>
        <v>0.80332814414082176</v>
      </c>
      <c r="G173" s="62">
        <f t="shared" si="47"/>
        <v>0.61278195488721809</v>
      </c>
      <c r="H173" s="62">
        <f t="shared" si="48"/>
        <v>0.92136150234741787</v>
      </c>
      <c r="I173" s="62">
        <f t="shared" si="49"/>
        <v>0.76557680444170262</v>
      </c>
      <c r="J173" s="62">
        <f t="shared" ca="1" si="52"/>
        <v>0.76557680444170262</v>
      </c>
      <c r="K173" s="62">
        <f t="shared" ca="1" si="52"/>
        <v>0.87679962237432141</v>
      </c>
      <c r="L173" s="62">
        <f t="shared" ca="1" si="52"/>
        <v>0.80075242367240629</v>
      </c>
      <c r="M173" s="62">
        <f t="shared" ca="1" si="52"/>
        <v>0.6730952835592896</v>
      </c>
      <c r="N173" s="62">
        <f t="shared" ca="1" si="53"/>
        <v>0.56381336815861327</v>
      </c>
      <c r="O173" s="62">
        <f t="shared" ca="1" si="57"/>
        <v>0.8120525529069309</v>
      </c>
      <c r="P173" s="62">
        <f t="shared" ca="1" si="57"/>
        <v>0.74191512856917496</v>
      </c>
      <c r="Q173" s="62">
        <f t="shared" ca="1" si="57"/>
        <v>0.84288565725691467</v>
      </c>
      <c r="R173" s="62">
        <f t="shared" ca="1" si="57"/>
        <v>0.73171531649721222</v>
      </c>
      <c r="S173" s="62">
        <f t="shared" ca="1" si="57"/>
        <v>0.72361427486712226</v>
      </c>
      <c r="T173" s="62">
        <f t="shared" ca="1" si="57"/>
        <v>0.90438432835820892</v>
      </c>
      <c r="U173" s="62">
        <f t="shared" ca="1" si="57"/>
        <v>1.0241103661681279</v>
      </c>
      <c r="V173" s="62">
        <f t="shared" ca="1" si="57"/>
        <v>0.87343565525383693</v>
      </c>
      <c r="W173" s="62">
        <f t="shared" ca="1" si="57"/>
        <v>0.90050655929341472</v>
      </c>
      <c r="X173" s="62">
        <f t="shared" ca="1" si="57"/>
        <v>0.92552899148117618</v>
      </c>
      <c r="Y173" s="62"/>
      <c r="Z173" s="17"/>
      <c r="AA173" s="17"/>
      <c r="AB173" s="17"/>
    </row>
    <row r="174" spans="1:28" x14ac:dyDescent="0.25">
      <c r="A174" s="50" t="str">
        <f t="shared" si="56"/>
        <v>SO</v>
      </c>
      <c r="B174" s="45">
        <f t="shared" ca="1" si="55"/>
        <v>62</v>
      </c>
      <c r="C174" s="1">
        <f>IF(ISERROR(D174),"",IF(D174="","",MAX($C$136:C173)+1))</f>
        <v>37</v>
      </c>
      <c r="D174" t="str">
        <f t="shared" si="46"/>
        <v xml:space="preserve">Southern Co.                  </v>
      </c>
      <c r="E174" s="22"/>
      <c r="F174" s="62">
        <f t="shared" ca="1" si="51"/>
        <v>0.89516910131696747</v>
      </c>
      <c r="G174" s="62">
        <f t="shared" si="47"/>
        <v>0.87725225225225223</v>
      </c>
      <c r="H174" s="62">
        <f t="shared" si="48"/>
        <v>0.97218543046357619</v>
      </c>
      <c r="I174" s="62">
        <f t="shared" si="49"/>
        <v>0.99147727272727282</v>
      </c>
      <c r="J174" s="62">
        <f t="shared" ca="1" si="52"/>
        <v>0.9906289933267074</v>
      </c>
      <c r="K174" s="62">
        <f t="shared" ca="1" si="52"/>
        <v>0.88289418653283147</v>
      </c>
      <c r="L174" s="62">
        <f t="shared" ca="1" si="52"/>
        <v>0.82853081793513372</v>
      </c>
      <c r="M174" s="62">
        <f t="shared" ca="1" si="52"/>
        <v>0.90104520157458934</v>
      </c>
      <c r="N174" s="62">
        <f t="shared" ca="1" si="53"/>
        <v>0.77089825226934028</v>
      </c>
      <c r="O174" s="62">
        <f t="shared" ca="1" si="57"/>
        <v>0.8791579623975575</v>
      </c>
      <c r="P174" s="62">
        <f t="shared" ca="1" si="57"/>
        <v>0.80179222357229651</v>
      </c>
      <c r="Q174" s="62">
        <f t="shared" ca="1" si="57"/>
        <v>0.85514777525170504</v>
      </c>
      <c r="R174" s="62">
        <f t="shared" ca="1" si="57"/>
        <v>0.9346806207145435</v>
      </c>
      <c r="S174" s="62">
        <f t="shared" ca="1" si="57"/>
        <v>0.93957934990439762</v>
      </c>
      <c r="T174" s="62">
        <f t="shared" ca="1" si="57"/>
        <v>0.93147574819401446</v>
      </c>
      <c r="U174" s="62">
        <f t="shared" ca="1" si="57"/>
        <v>0.77781677781677783</v>
      </c>
      <c r="V174" s="62">
        <f t="shared" ca="1" si="57"/>
        <v>0.86992348440258971</v>
      </c>
      <c r="W174" s="62">
        <f t="shared" ca="1" si="57"/>
        <v>0.90830822212656048</v>
      </c>
      <c r="X174" s="62">
        <f t="shared" ca="1" si="57"/>
        <v>1.0002492522432702</v>
      </c>
      <c r="Y174" s="62"/>
      <c r="Z174" s="17"/>
      <c r="AA174" s="17"/>
      <c r="AB174" s="17"/>
    </row>
    <row r="175" spans="1:28" x14ac:dyDescent="0.25">
      <c r="A175" s="50" t="str">
        <f t="shared" si="56"/>
        <v>VVC</v>
      </c>
      <c r="B175" s="45">
        <f t="shared" ca="1" si="55"/>
        <v>70</v>
      </c>
      <c r="C175" s="1">
        <f>IF(ISERROR(D175),"",IF(D175="","",MAX($C$136:C174)+1))</f>
        <v>38</v>
      </c>
      <c r="D175" t="str">
        <f t="shared" si="46"/>
        <v xml:space="preserve">Vectren Corp.                 </v>
      </c>
      <c r="E175" s="22"/>
      <c r="F175" s="62">
        <f t="shared" ca="1" si="51"/>
        <v>0.99510949735502818</v>
      </c>
      <c r="G175" s="62" t="str">
        <f t="shared" si="47"/>
        <v>N/A</v>
      </c>
      <c r="H175" s="62" t="str">
        <f t="shared" si="48"/>
        <v>N/A</v>
      </c>
      <c r="I175" s="62" t="s">
        <v>106</v>
      </c>
      <c r="J175" s="62" t="str">
        <f t="shared" ca="1" si="52"/>
        <v>N/A</v>
      </c>
      <c r="K175" s="62" t="str">
        <f t="shared" ca="1" si="52"/>
        <v>N/A</v>
      </c>
      <c r="L175" s="62" t="str">
        <f t="shared" ca="1" si="52"/>
        <v>N/A</v>
      </c>
      <c r="M175" s="62">
        <f t="shared" ca="1" si="52"/>
        <v>0.8168044077134986</v>
      </c>
      <c r="N175" s="62">
        <f t="shared" ca="1" si="53"/>
        <v>0.87014377485469563</v>
      </c>
      <c r="O175" s="62">
        <f t="shared" ca="1" si="57"/>
        <v>0.95104166666666667</v>
      </c>
      <c r="P175" s="62">
        <f t="shared" ca="1" si="57"/>
        <v>0.98231066887783325</v>
      </c>
      <c r="Q175" s="62">
        <f t="shared" ca="1" si="57"/>
        <v>1.053414327607876</v>
      </c>
      <c r="R175" s="62">
        <f t="shared" ca="1" si="57"/>
        <v>1.1307865168539326</v>
      </c>
      <c r="S175" s="62">
        <f t="shared" ca="1" si="57"/>
        <v>1.2011215906194239</v>
      </c>
      <c r="T175" s="62">
        <f t="shared" ca="1" si="57"/>
        <v>1.3088712054229297</v>
      </c>
      <c r="U175" s="62">
        <f t="shared" ca="1" si="57"/>
        <v>0.82616857518302977</v>
      </c>
      <c r="V175" s="62">
        <f t="shared" ca="1" si="57"/>
        <v>0.82159138002486531</v>
      </c>
      <c r="W175" s="62">
        <f t="shared" ca="1" si="57"/>
        <v>0.9801415202008672</v>
      </c>
      <c r="X175" s="62">
        <f t="shared" ca="1" si="57"/>
        <v>0.99891833423472143</v>
      </c>
      <c r="Y175" s="62"/>
      <c r="Z175" s="17"/>
      <c r="AA175" s="17"/>
      <c r="AB175" s="17"/>
    </row>
    <row r="176" spans="1:28" x14ac:dyDescent="0.25">
      <c r="A176" s="50" t="str">
        <f t="shared" si="56"/>
        <v>WEC</v>
      </c>
      <c r="B176" s="45">
        <f t="shared" ca="1" si="55"/>
        <v>71</v>
      </c>
      <c r="C176" s="1">
        <f>IF(ISERROR(D176),"",IF(D176="","",MAX($C$136:C175)+1))</f>
        <v>39</v>
      </c>
      <c r="D176" t="str">
        <f t="shared" si="46"/>
        <v>WEC Energy Group</v>
      </c>
      <c r="E176" s="22"/>
      <c r="F176" s="62">
        <f t="shared" ca="1" si="51"/>
        <v>0.98344758489408668</v>
      </c>
      <c r="G176" s="62">
        <f t="shared" si="47"/>
        <v>0.94529540481400443</v>
      </c>
      <c r="H176" s="62">
        <f t="shared" si="48"/>
        <v>1.0912806539509536</v>
      </c>
      <c r="I176" s="62">
        <f t="shared" si="49"/>
        <v>0.97183098591549311</v>
      </c>
      <c r="J176" s="62">
        <f t="shared" ca="1" si="52"/>
        <v>0.97182304874612568</v>
      </c>
      <c r="K176" s="62">
        <f t="shared" ca="1" si="52"/>
        <v>0.91084135621598994</v>
      </c>
      <c r="L176" s="62">
        <f t="shared" ca="1" si="52"/>
        <v>0.90052199850857573</v>
      </c>
      <c r="M176" s="62">
        <f t="shared" ca="1" si="52"/>
        <v>0.91641166049283307</v>
      </c>
      <c r="N176" s="62">
        <f t="shared" ca="1" si="53"/>
        <v>1.1950786965196187</v>
      </c>
      <c r="O176" s="62">
        <f t="shared" ca="1" si="57"/>
        <v>0.96509598603839442</v>
      </c>
      <c r="P176" s="62">
        <f t="shared" ca="1" si="57"/>
        <v>1.3688725490196079</v>
      </c>
      <c r="Q176" s="62">
        <f t="shared" ca="1" si="57"/>
        <v>1.4220907297830374</v>
      </c>
      <c r="R176" s="62">
        <f t="shared" ca="1" si="57"/>
        <v>1.2983479105928084</v>
      </c>
      <c r="S176" s="62">
        <f t="shared" ca="1" si="57"/>
        <v>1.0219140083217753</v>
      </c>
      <c r="T176" s="62">
        <f t="shared" ca="1" si="57"/>
        <v>0.96719390743995315</v>
      </c>
      <c r="U176" s="62">
        <f t="shared" ca="1" si="57"/>
        <v>0.88876179582499293</v>
      </c>
      <c r="V176" s="62">
        <f t="shared" ca="1" si="57"/>
        <v>0.6076495990129549</v>
      </c>
      <c r="W176" s="62">
        <f t="shared" ca="1" si="57"/>
        <v>0.56474820143884896</v>
      </c>
      <c r="X176" s="62">
        <f t="shared" ca="1" si="57"/>
        <v>0.69429803545759461</v>
      </c>
      <c r="Y176" s="62"/>
      <c r="Z176" s="17"/>
      <c r="AA176" s="17"/>
      <c r="AB176" s="17"/>
    </row>
    <row r="177" spans="1:28" x14ac:dyDescent="0.25">
      <c r="A177" s="50" t="str">
        <f t="shared" si="56"/>
        <v>WR</v>
      </c>
      <c r="B177" s="45">
        <f t="shared" ca="1" si="55"/>
        <v>72</v>
      </c>
      <c r="C177" s="1">
        <f>IF(ISERROR(D177),"",IF(D177="","",MAX($C$136:C176)+1))</f>
        <v>40</v>
      </c>
      <c r="D177" t="str">
        <f t="shared" si="46"/>
        <v xml:space="preserve">Westar Energy                 </v>
      </c>
      <c r="E177" s="22"/>
      <c r="F177" s="62">
        <f t="shared" ca="1" si="51"/>
        <v>0.71844177595661263</v>
      </c>
      <c r="G177" s="62" t="str">
        <f t="shared" si="47"/>
        <v>N/A</v>
      </c>
      <c r="H177" s="62" t="str">
        <f t="shared" si="48"/>
        <v>N/A</v>
      </c>
      <c r="I177" s="62" t="s">
        <v>106</v>
      </c>
      <c r="J177" s="62" t="str">
        <f t="shared" ca="1" si="52"/>
        <v>N/A</v>
      </c>
      <c r="K177" s="62" t="str">
        <f t="shared" ca="1" si="52"/>
        <v>N/A</v>
      </c>
      <c r="L177" s="62" t="str">
        <f t="shared" ca="1" si="52"/>
        <v>N/A</v>
      </c>
      <c r="M177" s="62">
        <f t="shared" ca="1" si="52"/>
        <v>0.91078066914498146</v>
      </c>
      <c r="N177" s="62">
        <f t="shared" ca="1" si="53"/>
        <v>0.63031567962431512</v>
      </c>
      <c r="O177" s="62">
        <f t="shared" ca="1" si="57"/>
        <v>0.86051675413807027</v>
      </c>
      <c r="P177" s="62">
        <f t="shared" ca="1" si="57"/>
        <v>0.70386398763523961</v>
      </c>
      <c r="Q177" s="62">
        <f t="shared" ca="1" si="57"/>
        <v>0.72443275238408411</v>
      </c>
      <c r="R177" s="62">
        <f t="shared" ca="1" si="57"/>
        <v>0.67135050741608115</v>
      </c>
      <c r="S177" s="62">
        <f t="shared" ca="1" si="57"/>
        <v>0.71454316092989723</v>
      </c>
      <c r="T177" s="62">
        <f t="shared" ca="1" si="57"/>
        <v>0.87917791156321368</v>
      </c>
      <c r="U177" s="62">
        <f t="shared" ca="1" si="57"/>
        <v>0.68346965950161698</v>
      </c>
      <c r="V177" s="62">
        <f t="shared" ca="1" si="57"/>
        <v>0.36230209176008316</v>
      </c>
      <c r="W177" s="62">
        <f t="shared" ca="1" si="57"/>
        <v>0.48156182212581344</v>
      </c>
      <c r="X177" s="62">
        <f t="shared" ca="1" si="57"/>
        <v>0.99898631525595538</v>
      </c>
      <c r="Y177" s="62"/>
      <c r="Z177" s="17"/>
      <c r="AA177" s="17"/>
      <c r="AB177" s="17"/>
    </row>
    <row r="178" spans="1:28" x14ac:dyDescent="0.25">
      <c r="A178" s="50" t="str">
        <f t="shared" si="56"/>
        <v>XEL</v>
      </c>
      <c r="B178" s="45">
        <f t="shared" ca="1" si="55"/>
        <v>74</v>
      </c>
      <c r="C178" s="1">
        <f>IF(ISERROR(D178),"",IF(D178="","",MAX($C$136:C177)+1))</f>
        <v>41</v>
      </c>
      <c r="D178" t="str">
        <f t="shared" si="46"/>
        <v xml:space="preserve">Xcel Energy Inc.              </v>
      </c>
      <c r="E178" s="22"/>
      <c r="F178" s="62">
        <f t="shared" ca="1" si="51"/>
        <v>0.76032097272575028</v>
      </c>
      <c r="G178" s="62">
        <f t="shared" si="47"/>
        <v>0.75450236966824635</v>
      </c>
      <c r="H178" s="62">
        <f t="shared" si="48"/>
        <v>0.92535545023696686</v>
      </c>
      <c r="I178" s="62">
        <f t="shared" si="49"/>
        <v>0.66166166166166163</v>
      </c>
      <c r="J178" s="62">
        <f t="shared" ca="1" si="52"/>
        <v>0.66216216216216217</v>
      </c>
      <c r="K178" s="62">
        <f t="shared" ca="1" si="52"/>
        <v>0.77529484792054626</v>
      </c>
      <c r="L178" s="62">
        <f t="shared" ca="1" si="52"/>
        <v>0.76877110937905946</v>
      </c>
      <c r="M178" s="62">
        <f t="shared" ca="1" si="52"/>
        <v>0.83601040232522561</v>
      </c>
      <c r="N178" s="62">
        <f t="shared" ca="1" si="53"/>
        <v>0.78575880336553439</v>
      </c>
      <c r="O178" s="62">
        <f t="shared" ca="1" si="57"/>
        <v>0.62794543199669295</v>
      </c>
      <c r="P178" s="62">
        <f t="shared" ca="1" si="57"/>
        <v>0.67725620357199312</v>
      </c>
      <c r="Q178" s="62">
        <f t="shared" ca="1" si="57"/>
        <v>0.60149603989439726</v>
      </c>
      <c r="R178" s="62">
        <f t="shared" ca="1" si="57"/>
        <v>0.75963546610973987</v>
      </c>
      <c r="S178" s="62">
        <f t="shared" ca="1" si="57"/>
        <v>0.83480370533745041</v>
      </c>
      <c r="T178" s="62">
        <f t="shared" ca="1" si="57"/>
        <v>0.76397650641722858</v>
      </c>
      <c r="U178" s="62">
        <f t="shared" ca="1" si="57"/>
        <v>0.89016897081413204</v>
      </c>
      <c r="V178" s="62">
        <f t="shared" ca="1" si="57"/>
        <v>0.75198625724715473</v>
      </c>
      <c r="W178" s="62">
        <f t="shared" ca="1" si="57"/>
        <v>0.70633946830265859</v>
      </c>
      <c r="X178" s="62">
        <f t="shared" ca="1" si="57"/>
        <v>0.90265265265265271</v>
      </c>
      <c r="Y178" s="62"/>
      <c r="Z178" s="17"/>
      <c r="AA178" s="17"/>
      <c r="AB178" s="17"/>
    </row>
    <row r="179" spans="1:28" hidden="1" x14ac:dyDescent="0.25">
      <c r="A179" s="50">
        <f t="shared" si="56"/>
        <v>0</v>
      </c>
      <c r="B179" s="45" t="e">
        <f t="shared" ca="1" si="55"/>
        <v>#N/A</v>
      </c>
      <c r="C179" s="1" t="str">
        <f>IF(ISERROR(D179),"",IF(D179="","",MAX($C$136:C178)+1))</f>
        <v/>
      </c>
      <c r="D179" t="e">
        <f t="shared" si="46"/>
        <v>#N/A</v>
      </c>
      <c r="E179" s="22"/>
      <c r="F179" s="62" t="e">
        <f t="shared" ca="1" si="51"/>
        <v>#DIV/0!</v>
      </c>
      <c r="G179" s="62"/>
      <c r="H179" s="62" t="str">
        <f t="shared" si="48"/>
        <v>N/A</v>
      </c>
      <c r="I179" s="62"/>
      <c r="J179" s="62" t="str">
        <f>IFERROR(IF(VLOOKUP(A179,lucyr,21,FALSE)=0,"",VLOOKUP(A179,lucyr,21,FALSE)),"N/A")</f>
        <v>N/A</v>
      </c>
      <c r="K179" s="62" t="str">
        <f>IFERROR(IF(VLOOKUP(A179,LUCurYr,21,FALSE)=0,"",VLOOKUP(A179,LUCurYr,21,FALSE)),"N/A")</f>
        <v>N/A</v>
      </c>
      <c r="L179" s="62"/>
      <c r="M179" s="62" t="str">
        <f t="shared" ca="1" si="52"/>
        <v>N/A</v>
      </c>
      <c r="N179" s="62" t="str">
        <f t="shared" ca="1" si="53"/>
        <v>N/A</v>
      </c>
      <c r="O179" s="62" t="str">
        <f t="shared" ca="1" si="57"/>
        <v>N/A</v>
      </c>
      <c r="P179" s="62" t="str">
        <f t="shared" ca="1" si="57"/>
        <v>N/A</v>
      </c>
      <c r="Q179" s="62" t="str">
        <f t="shared" ca="1" si="57"/>
        <v>N/A</v>
      </c>
      <c r="R179" s="62" t="str">
        <f t="shared" ca="1" si="57"/>
        <v>N/A</v>
      </c>
      <c r="S179" s="62" t="str">
        <f t="shared" ca="1" si="57"/>
        <v>N/A</v>
      </c>
      <c r="T179" s="62" t="str">
        <f t="shared" ca="1" si="57"/>
        <v>N/A</v>
      </c>
      <c r="U179" s="62" t="str">
        <f t="shared" ca="1" si="57"/>
        <v>N/A</v>
      </c>
      <c r="V179" s="62" t="str">
        <f t="shared" ca="1" si="57"/>
        <v>N/A</v>
      </c>
      <c r="W179" s="62" t="str">
        <f t="shared" ca="1" si="57"/>
        <v>N/A</v>
      </c>
      <c r="X179" s="62" t="str">
        <f t="shared" ca="1" si="57"/>
        <v>N/A</v>
      </c>
      <c r="Y179" s="62"/>
      <c r="Z179" s="17"/>
      <c r="AA179" s="17"/>
      <c r="AB179" s="17"/>
    </row>
    <row r="180" spans="1:28" hidden="1" x14ac:dyDescent="0.25">
      <c r="A180" s="50">
        <f t="shared" si="56"/>
        <v>0</v>
      </c>
      <c r="B180" s="45" t="e">
        <f t="shared" ca="1" si="55"/>
        <v>#N/A</v>
      </c>
      <c r="C180" s="1" t="str">
        <f>IF(ISERROR(D180),"",IF(D180="","",MAX($C$136:C179)+1))</f>
        <v/>
      </c>
      <c r="D180" t="e">
        <f t="shared" si="46"/>
        <v>#N/A</v>
      </c>
      <c r="F180" s="62" t="e">
        <f t="shared" ca="1" si="51"/>
        <v>#DIV/0!</v>
      </c>
      <c r="G180" s="62"/>
      <c r="H180" s="62" t="str">
        <f t="shared" si="48"/>
        <v>N/A</v>
      </c>
      <c r="I180" s="62"/>
      <c r="J180" s="62" t="str">
        <f>IFERROR(IF(VLOOKUP(A180,lucyr,21,FALSE)=0,"",VLOOKUP(A180,lucyr,21,FALSE)),"N/A")</f>
        <v>N/A</v>
      </c>
      <c r="K180" s="62" t="str">
        <f>IFERROR(IF(VLOOKUP(A180,LUCurYr,21,FALSE)=0,"",VLOOKUP(A180,LUCurYr,21,FALSE)),"N/A")</f>
        <v>N/A</v>
      </c>
      <c r="L180" s="62"/>
      <c r="M180" s="62" t="str">
        <f t="shared" ca="1" si="52"/>
        <v>N/A</v>
      </c>
      <c r="N180" s="62" t="str">
        <f t="shared" ca="1" si="53"/>
        <v>N/A</v>
      </c>
      <c r="O180" s="62" t="str">
        <f t="shared" ca="1" si="57"/>
        <v>N/A</v>
      </c>
      <c r="P180" s="62" t="str">
        <f t="shared" ca="1" si="57"/>
        <v>N/A</v>
      </c>
      <c r="Q180" s="62" t="str">
        <f t="shared" ca="1" si="57"/>
        <v>N/A</v>
      </c>
      <c r="R180" s="62" t="str">
        <f t="shared" ca="1" si="57"/>
        <v>N/A</v>
      </c>
      <c r="S180" s="62" t="str">
        <f t="shared" ca="1" si="57"/>
        <v>N/A</v>
      </c>
      <c r="T180" s="62" t="str">
        <f t="shared" ca="1" si="57"/>
        <v>N/A</v>
      </c>
      <c r="U180" s="62" t="str">
        <f t="shared" ca="1" si="57"/>
        <v>N/A</v>
      </c>
      <c r="V180" s="62" t="str">
        <f t="shared" ca="1" si="57"/>
        <v>N/A</v>
      </c>
      <c r="W180" s="62" t="str">
        <f t="shared" ca="1" si="57"/>
        <v>N/A</v>
      </c>
      <c r="X180" s="62" t="str">
        <f t="shared" ca="1" si="57"/>
        <v>N/A</v>
      </c>
      <c r="Y180" s="62"/>
      <c r="Z180" s="17"/>
      <c r="AA180" s="17"/>
      <c r="AB180" s="17"/>
    </row>
    <row r="181" spans="1:28" hidden="1" x14ac:dyDescent="0.25">
      <c r="A181" s="50">
        <f t="shared" si="56"/>
        <v>0</v>
      </c>
      <c r="B181" s="45" t="e">
        <f t="shared" ca="1" si="55"/>
        <v>#N/A</v>
      </c>
      <c r="C181" s="1" t="str">
        <f>IF(ISERROR(D181),"",IF(D181="","",MAX($C$136:C180)+1))</f>
        <v/>
      </c>
      <c r="D181" t="e">
        <f t="shared" si="46"/>
        <v>#N/A</v>
      </c>
      <c r="F181" s="62" t="e">
        <f t="shared" ca="1" si="51"/>
        <v>#DIV/0!</v>
      </c>
      <c r="G181" s="62"/>
      <c r="H181" s="62" t="str">
        <f t="shared" si="48"/>
        <v>N/A</v>
      </c>
      <c r="I181" s="62"/>
      <c r="J181" s="62" t="str">
        <f>IFERROR(IF(VLOOKUP(A181,lucyr,21,FALSE)=0,"",VLOOKUP(A181,lucyr,21,FALSE)),"N/A")</f>
        <v>N/A</v>
      </c>
      <c r="K181" s="62" t="str">
        <f>IFERROR(IF(VLOOKUP(A181,LUCurYr,21,FALSE)=0,"",VLOOKUP(A181,LUCurYr,21,FALSE)),"N/A")</f>
        <v>N/A</v>
      </c>
      <c r="L181" s="62"/>
      <c r="M181" s="62" t="str">
        <f t="shared" ca="1" si="52"/>
        <v>N/A</v>
      </c>
      <c r="N181" s="62" t="str">
        <f t="shared" ca="1" si="53"/>
        <v>N/A</v>
      </c>
      <c r="O181" s="62" t="str">
        <f t="shared" ca="1" si="57"/>
        <v>N/A</v>
      </c>
      <c r="P181" s="62" t="str">
        <f t="shared" ca="1" si="57"/>
        <v>N/A</v>
      </c>
      <c r="Q181" s="62" t="str">
        <f t="shared" ca="1" si="57"/>
        <v>N/A</v>
      </c>
      <c r="R181" s="62" t="str">
        <f t="shared" ca="1" si="57"/>
        <v>N/A</v>
      </c>
      <c r="S181" s="62" t="str">
        <f t="shared" ca="1" si="57"/>
        <v>N/A</v>
      </c>
      <c r="T181" s="62" t="str">
        <f t="shared" ca="1" si="57"/>
        <v>N/A</v>
      </c>
      <c r="U181" s="62" t="str">
        <f t="shared" ca="1" si="57"/>
        <v>N/A</v>
      </c>
      <c r="V181" s="62" t="str">
        <f t="shared" ca="1" si="57"/>
        <v>N/A</v>
      </c>
      <c r="W181" s="62" t="str">
        <f t="shared" ca="1" si="57"/>
        <v>N/A</v>
      </c>
      <c r="X181" s="62" t="str">
        <f t="shared" ca="1" si="57"/>
        <v>N/A</v>
      </c>
      <c r="Y181" s="62"/>
      <c r="Z181" s="17"/>
      <c r="AA181" s="17"/>
      <c r="AB181" s="17"/>
    </row>
    <row r="182" spans="1:28" hidden="1" x14ac:dyDescent="0.25">
      <c r="A182" s="50">
        <f t="shared" si="56"/>
        <v>0</v>
      </c>
      <c r="B182" s="45" t="e">
        <f t="shared" ca="1" si="55"/>
        <v>#N/A</v>
      </c>
      <c r="C182" s="1" t="str">
        <f>IF(ISERROR(D182),"",IF(D182="","",MAX($C$136:C181)+1))</f>
        <v/>
      </c>
      <c r="D182" t="e">
        <f t="shared" si="46"/>
        <v>#N/A</v>
      </c>
      <c r="F182" s="62" t="e">
        <f t="shared" ca="1" si="51"/>
        <v>#DIV/0!</v>
      </c>
      <c r="G182" s="62"/>
      <c r="H182" s="62" t="str">
        <f t="shared" si="48"/>
        <v>N/A</v>
      </c>
      <c r="I182" s="62"/>
      <c r="J182" s="62" t="str">
        <f>IFERROR(IF(VLOOKUP(A182,lucyr,21,FALSE)=0,"",VLOOKUP(A182,lucyr,21,FALSE)),"N/A")</f>
        <v>N/A</v>
      </c>
      <c r="K182" s="62" t="str">
        <f>IFERROR(IF(VLOOKUP(A182,LUCurYr,21,FALSE)=0,"",VLOOKUP(A182,LUCurYr,21,FALSE)),"N/A")</f>
        <v>N/A</v>
      </c>
      <c r="L182" s="62"/>
      <c r="M182" s="62" t="str">
        <f t="shared" ca="1" si="52"/>
        <v>N/A</v>
      </c>
      <c r="N182" s="62" t="str">
        <f t="shared" ca="1" si="53"/>
        <v>N/A</v>
      </c>
      <c r="O182" s="62" t="str">
        <f t="shared" ca="1" si="57"/>
        <v>N/A</v>
      </c>
      <c r="P182" s="62" t="str">
        <f t="shared" ca="1" si="57"/>
        <v>N/A</v>
      </c>
      <c r="Q182" s="62" t="str">
        <f t="shared" ca="1" si="57"/>
        <v>N/A</v>
      </c>
      <c r="R182" s="62" t="str">
        <f t="shared" ca="1" si="57"/>
        <v>N/A</v>
      </c>
      <c r="S182" s="62" t="str">
        <f t="shared" ca="1" si="57"/>
        <v>N/A</v>
      </c>
      <c r="T182" s="62" t="str">
        <f t="shared" ca="1" si="57"/>
        <v>N/A</v>
      </c>
      <c r="U182" s="62" t="str">
        <f t="shared" ca="1" si="57"/>
        <v>N/A</v>
      </c>
      <c r="V182" s="62" t="str">
        <f t="shared" ca="1" si="57"/>
        <v>N/A</v>
      </c>
      <c r="W182" s="62" t="str">
        <f t="shared" ca="1" si="57"/>
        <v>N/A</v>
      </c>
      <c r="X182" s="62" t="str">
        <f t="shared" ca="1" si="57"/>
        <v>N/A</v>
      </c>
      <c r="Y182" s="62"/>
      <c r="Z182" s="17"/>
      <c r="AA182" s="17"/>
      <c r="AB182" s="17"/>
    </row>
    <row r="183" spans="1:28" x14ac:dyDescent="0.25">
      <c r="A183" s="31"/>
      <c r="B183" s="31"/>
      <c r="C183" s="1" t="str">
        <f>IF(ISERROR(D183),"",IF(D183="","",MAX($C$136:C182)+1))</f>
        <v/>
      </c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17"/>
      <c r="AA183" s="17"/>
    </row>
    <row r="184" spans="1:28" x14ac:dyDescent="0.25">
      <c r="A184" s="31"/>
      <c r="B184" s="31"/>
      <c r="C184" s="1">
        <f>IF(ISERROR(D184),"",IF(D184="","",MAX($C$136:C183)+1))</f>
        <v>42</v>
      </c>
      <c r="D184" t="s">
        <v>98</v>
      </c>
      <c r="F184" s="62">
        <f ca="1">AVERAGE(G184:X184)</f>
        <v>0.89037941657471109</v>
      </c>
      <c r="G184" s="62">
        <f>AVERAGE(G138:G183)</f>
        <v>0.85206224109568618</v>
      </c>
      <c r="H184" s="62">
        <f t="shared" ref="H184:X184" si="58">AVERAGE(H138:H183)</f>
        <v>0.93692110633457637</v>
      </c>
      <c r="I184" s="62">
        <f t="shared" si="58"/>
        <v>0.82546899982931599</v>
      </c>
      <c r="J184" s="62">
        <f t="shared" ca="1" si="58"/>
        <v>0.81590143107154756</v>
      </c>
      <c r="K184" s="62">
        <f t="shared" ca="1" si="58"/>
        <v>0.88070939695376671</v>
      </c>
      <c r="L184" s="62">
        <f t="shared" ca="1" si="58"/>
        <v>0.88786009063182314</v>
      </c>
      <c r="M184" s="62">
        <f t="shared" ca="1" si="58"/>
        <v>0.89294129546829448</v>
      </c>
      <c r="N184" s="62">
        <f t="shared" ca="1" si="58"/>
        <v>0.88633174119203173</v>
      </c>
      <c r="O184" s="62">
        <f t="shared" ca="1" si="58"/>
        <v>0.8659087524529383</v>
      </c>
      <c r="P184" s="62">
        <f t="shared" ca="1" si="58"/>
        <v>0.86670459752334406</v>
      </c>
      <c r="Q184" s="62">
        <f t="shared" ca="1" si="58"/>
        <v>0.88647747495223683</v>
      </c>
      <c r="R184" s="62">
        <f t="shared" ca="1" si="58"/>
        <v>0.88435274772316541</v>
      </c>
      <c r="S184" s="62">
        <f t="shared" ca="1" si="58"/>
        <v>0.96315113932192642</v>
      </c>
      <c r="T184" s="62">
        <f t="shared" ca="1" si="58"/>
        <v>0.98421388054567949</v>
      </c>
      <c r="U184" s="62">
        <f t="shared" ca="1" si="58"/>
        <v>0.86212108573380142</v>
      </c>
      <c r="V184" s="62">
        <f t="shared" ca="1" si="58"/>
        <v>0.80291656279751966</v>
      </c>
      <c r="W184" s="62">
        <f t="shared" ca="1" si="58"/>
        <v>0.88047081941338323</v>
      </c>
      <c r="X184" s="62">
        <f t="shared" ca="1" si="58"/>
        <v>1.0523161353037613</v>
      </c>
      <c r="Y184" s="62"/>
      <c r="Z184" s="17"/>
      <c r="AA184" s="17"/>
      <c r="AB184" s="17"/>
    </row>
    <row r="185" spans="1:28" x14ac:dyDescent="0.25">
      <c r="A185" s="31"/>
      <c r="B185" s="31"/>
      <c r="C185" s="1">
        <f>IF(ISERROR(D185),"",IF(D185="","",MAX($C$136:C184)+1))</f>
        <v>43</v>
      </c>
      <c r="D185" t="s">
        <v>257</v>
      </c>
      <c r="F185" s="62">
        <f ca="1">MEDIAN(G185:X185)</f>
        <v>0.83448755091881943</v>
      </c>
      <c r="G185" s="62">
        <f>MEDIAN(G138:G183)</f>
        <v>0.82818468645585808</v>
      </c>
      <c r="H185" s="62">
        <f t="shared" ref="H185:X185" si="59">MEDIAN(H138:H183)</f>
        <v>0.87161633759194734</v>
      </c>
      <c r="I185" s="62">
        <f t="shared" si="59"/>
        <v>0.80817610062893075</v>
      </c>
      <c r="J185" s="62">
        <f t="shared" ca="1" si="59"/>
        <v>0.79077737803087089</v>
      </c>
      <c r="K185" s="62">
        <f t="shared" ca="1" si="59"/>
        <v>0.8287841331714223</v>
      </c>
      <c r="L185" s="62">
        <f t="shared" ca="1" si="59"/>
        <v>0.8342333291473063</v>
      </c>
      <c r="M185" s="62">
        <f t="shared" ca="1" si="59"/>
        <v>0.83969865970152735</v>
      </c>
      <c r="N185" s="62">
        <f t="shared" ca="1" si="59"/>
        <v>0.84817225838758137</v>
      </c>
      <c r="O185" s="62">
        <f t="shared" ca="1" si="59"/>
        <v>0.83474177269033256</v>
      </c>
      <c r="P185" s="62">
        <f t="shared" ca="1" si="59"/>
        <v>0.83001084327300023</v>
      </c>
      <c r="Q185" s="62">
        <f t="shared" ca="1" si="59"/>
        <v>0.86422200198216059</v>
      </c>
      <c r="R185" s="62">
        <f t="shared" ca="1" si="59"/>
        <v>0.86997696442283079</v>
      </c>
      <c r="S185" s="62">
        <f t="shared" ca="1" si="59"/>
        <v>0.98377010125074449</v>
      </c>
      <c r="T185" s="62">
        <f t="shared" ca="1" si="59"/>
        <v>0.90438432835820892</v>
      </c>
      <c r="U185" s="62">
        <f t="shared" ca="1" si="59"/>
        <v>0.8059880239520959</v>
      </c>
      <c r="V185" s="62">
        <f t="shared" ca="1" si="59"/>
        <v>0.77665732959850597</v>
      </c>
      <c r="W185" s="62">
        <f t="shared" ca="1" si="59"/>
        <v>0.81433408577878108</v>
      </c>
      <c r="X185" s="62">
        <f t="shared" ca="1" si="59"/>
        <v>0.99898631525595538</v>
      </c>
      <c r="Y185" s="62"/>
      <c r="Z185" s="17"/>
      <c r="AA185" s="17"/>
      <c r="AB185" s="17"/>
    </row>
    <row r="186" spans="1:28" x14ac:dyDescent="0.25">
      <c r="A186" s="31"/>
      <c r="B186" s="31"/>
      <c r="C186" s="1"/>
    </row>
    <row r="187" spans="1:28" x14ac:dyDescent="0.25">
      <c r="A187" s="31"/>
      <c r="B187" s="31"/>
      <c r="D187" s="18"/>
      <c r="E187" s="88"/>
    </row>
    <row r="188" spans="1:28" x14ac:dyDescent="0.25">
      <c r="A188" s="31"/>
      <c r="B188" s="31"/>
      <c r="D188" s="20" t="s">
        <v>107</v>
      </c>
    </row>
    <row r="189" spans="1:28" ht="16.2" x14ac:dyDescent="0.25">
      <c r="A189" s="31"/>
      <c r="B189" s="31"/>
      <c r="D189" s="76">
        <v>1</v>
      </c>
      <c r="E189" s="21" t="str">
        <f>E126</f>
        <v>Data for years 2019 and prior were retrieved from the Value Line Investment Survey Investment Analyzer Software, downloaded on June 18, 2021.</v>
      </c>
    </row>
    <row r="190" spans="1:28" ht="16.2" x14ac:dyDescent="0.25">
      <c r="A190" s="31"/>
      <c r="B190" s="31"/>
      <c r="D190" s="76"/>
      <c r="E190" s="21" t="str">
        <f>E127</f>
        <v>Data for the years 2020 - 2022 was retrieved from Value Line Investment Surveys.</v>
      </c>
    </row>
    <row r="191" spans="1:28" ht="16.2" x14ac:dyDescent="0.25">
      <c r="A191" s="31"/>
      <c r="B191" s="31"/>
      <c r="D191" s="76">
        <v>2</v>
      </c>
      <c r="E191" s="21" t="str">
        <f>"The Value Line Investment Survey, "&amp;'2023 Data (WP)'!$D$1</f>
        <v>The Value Line Investment Survey, March 8, April 19, and May 10, 2024.</v>
      </c>
    </row>
    <row r="192" spans="1:28" x14ac:dyDescent="0.25">
      <c r="A192" s="31"/>
      <c r="B192" s="31"/>
      <c r="D192" s="20" t="s">
        <v>328</v>
      </c>
    </row>
    <row r="193" spans="1:15" ht="16.2" x14ac:dyDescent="0.25">
      <c r="A193" s="31"/>
      <c r="B193" s="31"/>
      <c r="D193" s="89" t="s">
        <v>356</v>
      </c>
      <c r="E193" s="21" t="s">
        <v>524</v>
      </c>
    </row>
    <row r="194" spans="1:15" x14ac:dyDescent="0.25">
      <c r="A194" s="31"/>
      <c r="B194" s="31"/>
      <c r="E194" s="23" t="str">
        <f>"published in The Value Line Investment Survey, "&amp;'2023 Data (WP)'!$D$1</f>
        <v>published in The Value Line Investment Survey, March 8, April 19, and May 10, 2024.</v>
      </c>
    </row>
    <row r="195" spans="1:15" x14ac:dyDescent="0.25">
      <c r="A195" s="31"/>
      <c r="B195" s="31"/>
      <c r="D195" s="21"/>
      <c r="O195" s="62"/>
    </row>
    <row r="196" spans="1:15" x14ac:dyDescent="0.25">
      <c r="D196" s="23"/>
    </row>
  </sheetData>
  <mergeCells count="9">
    <mergeCell ref="D72:E72"/>
    <mergeCell ref="F133:AB133"/>
    <mergeCell ref="D135:E135"/>
    <mergeCell ref="C1:AB1"/>
    <mergeCell ref="C4:AB4"/>
    <mergeCell ref="C5:AB5"/>
    <mergeCell ref="F8:AB8"/>
    <mergeCell ref="D10:E10"/>
    <mergeCell ref="F70:AB70"/>
  </mergeCells>
  <printOptions horizontalCentered="1"/>
  <pageMargins left="0.7" right="0.7" top="1.25" bottom="0.75" header="0.55000000000000004" footer="0.51"/>
  <pageSetup scale="42" firstPageNumber="8" fitToHeight="0" orientation="portrait" useFirstPageNumber="1" r:id="rId1"/>
  <headerFooter>
    <oddHeader>&amp;R&amp;"Arial,Bold"&amp;20Docket Nos. 20240026-EI, 20230139-EI, and 20230090-EI
Valuation Metrics
Exhibit CCW-1, Page &amp;P of 16</oddHeader>
  </headerFooter>
  <rowBreaks count="2" manualBreakCount="2">
    <brk id="68" min="2" max="17" man="1"/>
    <brk id="131" min="2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A181"/>
  <sheetViews>
    <sheetView topLeftCell="C1" zoomScale="70" zoomScaleNormal="70" workbookViewId="0">
      <selection activeCell="E177" sqref="E177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20.5" customWidth="1"/>
    <col min="6" max="23" width="9" customWidth="1"/>
    <col min="24" max="24" width="9" hidden="1" customWidth="1"/>
    <col min="25" max="27" width="0" hidden="1" customWidth="1"/>
  </cols>
  <sheetData>
    <row r="1" spans="1:27" ht="28.2" x14ac:dyDescent="0.5">
      <c r="C1" s="277" t="s">
        <v>555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</row>
    <row r="2" spans="1:27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</row>
    <row r="3" spans="1:27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7"/>
      <c r="T3" s="7"/>
      <c r="U3" s="7"/>
      <c r="V3" s="7"/>
      <c r="W3" s="7"/>
      <c r="X3" s="7"/>
      <c r="Y3" s="7"/>
      <c r="Z3" s="7"/>
    </row>
    <row r="4" spans="1:27" ht="21" x14ac:dyDescent="0.4">
      <c r="C4" s="278" t="s">
        <v>499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</row>
    <row r="5" spans="1:27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</row>
    <row r="6" spans="1:27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7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7" ht="16.2" x14ac:dyDescent="0.25">
      <c r="C8" s="6"/>
      <c r="D8" s="7"/>
      <c r="E8" s="7"/>
      <c r="F8" s="280" t="s">
        <v>95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280"/>
    </row>
    <row r="9" spans="1:27" x14ac:dyDescent="0.25">
      <c r="A9" s="41" t="s">
        <v>99</v>
      </c>
      <c r="B9" s="41" t="s">
        <v>241</v>
      </c>
      <c r="C9" s="6"/>
      <c r="D9" s="7"/>
      <c r="E9" s="7"/>
      <c r="F9" s="8" t="s">
        <v>535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7"/>
      <c r="S9" s="7"/>
      <c r="T9" s="7"/>
      <c r="U9" s="7"/>
      <c r="V9" s="7"/>
      <c r="W9" s="7"/>
      <c r="X9" s="7"/>
      <c r="Y9" s="7"/>
      <c r="Z9" s="7"/>
    </row>
    <row r="10" spans="1:27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539</v>
      </c>
      <c r="H10" s="40">
        <v>2021</v>
      </c>
      <c r="I10" s="40">
        <v>2020</v>
      </c>
      <c r="J10" s="40">
        <v>2019</v>
      </c>
      <c r="K10" s="40">
        <v>2018</v>
      </c>
      <c r="L10" s="40">
        <v>2017</v>
      </c>
      <c r="M10" s="40">
        <v>2016</v>
      </c>
      <c r="N10" s="40">
        <v>2015</v>
      </c>
      <c r="O10" s="40">
        <v>2014</v>
      </c>
      <c r="P10" s="40">
        <v>2013</v>
      </c>
      <c r="Q10" s="40">
        <v>2012</v>
      </c>
      <c r="R10" s="40">
        <v>2011</v>
      </c>
      <c r="S10" s="40">
        <v>2010</v>
      </c>
      <c r="T10" s="40">
        <v>2009</v>
      </c>
      <c r="U10" s="40">
        <v>2008</v>
      </c>
      <c r="V10" s="40">
        <v>2007</v>
      </c>
      <c r="W10" s="40">
        <v>2006</v>
      </c>
      <c r="X10" s="40">
        <v>2005</v>
      </c>
      <c r="Y10" s="40">
        <v>2004</v>
      </c>
      <c r="Z10" s="40">
        <v>2003</v>
      </c>
      <c r="AA10" s="40">
        <v>2002</v>
      </c>
    </row>
    <row r="11" spans="1:27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v>-6</v>
      </c>
      <c r="L11" s="12">
        <f t="shared" ref="L11:AA11" si="0">+K11-1</f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>
        <f t="shared" si="0"/>
        <v>-20</v>
      </c>
      <c r="Z11" s="12">
        <f t="shared" si="0"/>
        <v>-21</v>
      </c>
      <c r="AA11" s="12">
        <f t="shared" si="0"/>
        <v>-22</v>
      </c>
    </row>
    <row r="12" spans="1:27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16">
        <f t="shared" ref="I12:O12" ca="1" si="1">MATCH(I10,OFFSET(PE_WP,-1,0,1,),0)</f>
        <v>4</v>
      </c>
      <c r="J12" s="16">
        <f t="shared" ca="1" si="1"/>
        <v>5</v>
      </c>
      <c r="K12" s="16">
        <f t="shared" ca="1" si="1"/>
        <v>6</v>
      </c>
      <c r="L12" s="16">
        <f t="shared" ca="1" si="1"/>
        <v>7</v>
      </c>
      <c r="M12" s="16">
        <f t="shared" ca="1" si="1"/>
        <v>8</v>
      </c>
      <c r="N12" s="16">
        <f t="shared" ca="1" si="1"/>
        <v>9</v>
      </c>
      <c r="O12" s="16">
        <f t="shared" ca="1" si="1"/>
        <v>10</v>
      </c>
      <c r="P12" s="16">
        <f t="shared" ref="P12:AA12" ca="1" si="2">MATCH(P10,OFFSET(PE_WP,-1,0,1,),0)</f>
        <v>11</v>
      </c>
      <c r="Q12" s="16">
        <f t="shared" ca="1" si="2"/>
        <v>12</v>
      </c>
      <c r="R12" s="16">
        <f t="shared" ca="1" si="2"/>
        <v>13</v>
      </c>
      <c r="S12" s="16">
        <f t="shared" ca="1" si="2"/>
        <v>14</v>
      </c>
      <c r="T12" s="16">
        <f t="shared" ca="1" si="2"/>
        <v>15</v>
      </c>
      <c r="U12" s="16">
        <f t="shared" ca="1" si="2"/>
        <v>16</v>
      </c>
      <c r="V12" s="16">
        <f t="shared" ca="1" si="2"/>
        <v>17</v>
      </c>
      <c r="W12" s="16">
        <f t="shared" ca="1" si="2"/>
        <v>18</v>
      </c>
      <c r="X12" s="16">
        <f ca="1">MATCH(X10,OFFSET(PE_WP,-1,0,1,),0)</f>
        <v>19</v>
      </c>
      <c r="Y12" s="16">
        <f t="shared" ca="1" si="2"/>
        <v>20</v>
      </c>
      <c r="Z12" s="16">
        <f t="shared" ca="1" si="2"/>
        <v>21</v>
      </c>
      <c r="AA12" s="16">
        <f t="shared" ca="1" si="2"/>
        <v>22</v>
      </c>
    </row>
    <row r="13" spans="1:27" x14ac:dyDescent="0.25">
      <c r="A13" s="44" t="s">
        <v>165</v>
      </c>
      <c r="B13" s="45">
        <f t="shared" ref="B13:B57" ca="1" si="3">IFERROR(MATCH(A13,OFFSET(PE_WP,0,0,,1),0),"")</f>
        <v>3</v>
      </c>
      <c r="C13" s="1">
        <f ca="1">IF(ISERROR(D13),"",IF(D13="","",MAX($C$12:C12)+1))</f>
        <v>1</v>
      </c>
      <c r="D13" t="str">
        <f t="shared" ref="D13:D57" ca="1" si="4">VLOOKUP(A13,LUCurYr,2,FALSE)</f>
        <v>Amer. States Water</v>
      </c>
      <c r="E13" s="15"/>
      <c r="F13" s="62">
        <f ca="1">IFERROR(AVERAGE(G13:W13),"N/A")</f>
        <v>25.578176470588232</v>
      </c>
      <c r="G13" s="62">
        <f>IFERROR(IF(VLOOKUP($A13,'2022 Data (WP)'!$D$9:$AA$70,3,FALSE)=0,"",VLOOKUP($A13,'2022 Data (WP)'!$D$9:$AA$70,3,FALSE)),"N/A")</f>
        <v>41</v>
      </c>
      <c r="H13" s="62">
        <f>IFERROR(IF(VLOOKUP($A13,'2021 Data (WP)'!$D$9:$AA$70,3,FALSE)=0,"",VLOOKUP($A13,'2021 Data (WP)'!$D$9:$AA$70,3,FALSE)),"N/A")</f>
        <v>33.200000000000003</v>
      </c>
      <c r="I13" s="62">
        <f>IFERROR(IF(VLOOKUP($A13,'2020 Data (WP)'!$D$9:$AA$70,3,FALSE)=0,"",VLOOKUP($A13,'2020 Data (WP)'!$D$9:$AA$70,3,FALSE)),"N/A")</f>
        <v>31.5</v>
      </c>
      <c r="J13" s="62">
        <f t="shared" ref="J13:J57" si="5">IFERROR(IF(VLOOKUP($A13,LUCurYr,3,FALSE)=0,"",VLOOKUP($A13,LUCurYr,3,FALSE)),"N/A")</f>
        <v>41</v>
      </c>
      <c r="K13" s="62">
        <f t="shared" ref="K13:W31" ca="1" si="6">IFERROR(INDEX(PE_WP,$B13,K$12),"N/A")</f>
        <v>34</v>
      </c>
      <c r="L13" s="62">
        <f t="shared" ca="1" si="6"/>
        <v>25.7</v>
      </c>
      <c r="M13" s="62">
        <f t="shared" ca="1" si="6"/>
        <v>25.6</v>
      </c>
      <c r="N13" s="62">
        <f t="shared" ca="1" si="6"/>
        <v>24.6</v>
      </c>
      <c r="O13" s="62">
        <f t="shared" ca="1" si="6"/>
        <v>20.100000000000001</v>
      </c>
      <c r="P13" s="62">
        <f t="shared" ca="1" si="6"/>
        <v>17.2</v>
      </c>
      <c r="Q13" s="62">
        <f t="shared" ca="1" si="6"/>
        <v>14.3</v>
      </c>
      <c r="R13" s="62">
        <f t="shared" ca="1" si="6"/>
        <v>15.4</v>
      </c>
      <c r="S13" s="62">
        <f t="shared" ca="1" si="6"/>
        <v>15.7</v>
      </c>
      <c r="T13" s="62">
        <f t="shared" ca="1" si="6"/>
        <v>21.2</v>
      </c>
      <c r="U13" s="62">
        <f t="shared" ca="1" si="6"/>
        <v>22.6</v>
      </c>
      <c r="V13" s="62">
        <f t="shared" ca="1" si="6"/>
        <v>24</v>
      </c>
      <c r="W13" s="62">
        <f t="shared" ca="1" si="6"/>
        <v>27.728999999999999</v>
      </c>
      <c r="X13" s="62"/>
      <c r="Y13" s="62"/>
      <c r="Z13" s="62"/>
      <c r="AA13" s="62"/>
    </row>
    <row r="14" spans="1:27" x14ac:dyDescent="0.25">
      <c r="A14" s="44" t="s">
        <v>167</v>
      </c>
      <c r="B14" s="45">
        <f t="shared" ca="1" si="3"/>
        <v>4</v>
      </c>
      <c r="C14" s="1">
        <f ca="1">IF(ISERROR(D14),"",IF(D14="","",MAX($C$12:C13)+1))</f>
        <v>2</v>
      </c>
      <c r="D14" t="str">
        <f t="shared" ca="1" si="4"/>
        <v>Amer. Water Works</v>
      </c>
      <c r="E14" s="15"/>
      <c r="F14" s="62">
        <f ca="1">IFERROR(AVERAGE(G14:W14),"N/A")</f>
        <v>23.846666666666668</v>
      </c>
      <c r="G14" s="62">
        <f>IFERROR(IF(VLOOKUP($A14,'2022 Data (WP)'!$D$9:$AA$70,3,FALSE)=0,"",VLOOKUP($A14,'2022 Data (WP)'!$D$9:$AA$70,3,FALSE)),"N/A")</f>
        <v>33.6</v>
      </c>
      <c r="H14" s="62">
        <f>IFERROR(IF(VLOOKUP($A14,'2021 Data (WP)'!$D$9:$AA$70,3,FALSE)=0,"",VLOOKUP($A14,'2021 Data (WP)'!$D$9:$AA$70,3,FALSE)),"N/A")</f>
        <v>23.6</v>
      </c>
      <c r="I14" s="62">
        <f>IFERROR(IF(VLOOKUP($A14,'2020 Data (WP)'!$D$9:$AA$70,3,FALSE)=0,"",VLOOKUP($A14,'2020 Data (WP)'!$D$9:$AA$70,3,FALSE)),"N/A")</f>
        <v>35.4</v>
      </c>
      <c r="J14" s="62">
        <f t="shared" si="5"/>
        <v>33.299999999999997</v>
      </c>
      <c r="K14" s="62">
        <f ca="1">IFERROR(INDEX(PE_WP,$B14,K$12),"N/A")</f>
        <v>27.3</v>
      </c>
      <c r="L14" s="62">
        <f t="shared" ca="1" si="6"/>
        <v>33.799999999999997</v>
      </c>
      <c r="M14" s="62">
        <f t="shared" ca="1" si="6"/>
        <v>27.7</v>
      </c>
      <c r="N14" s="62">
        <f t="shared" ca="1" si="6"/>
        <v>20.5</v>
      </c>
      <c r="O14" s="62">
        <f t="shared" ca="1" si="6"/>
        <v>20</v>
      </c>
      <c r="P14" s="62">
        <f t="shared" ca="1" si="6"/>
        <v>19.899999999999999</v>
      </c>
      <c r="Q14" s="62">
        <f t="shared" ca="1" si="6"/>
        <v>16.7</v>
      </c>
      <c r="R14" s="62">
        <f t="shared" ca="1" si="6"/>
        <v>16.8</v>
      </c>
      <c r="S14" s="62">
        <f t="shared" ca="1" si="6"/>
        <v>14.6</v>
      </c>
      <c r="T14" s="62">
        <f t="shared" ca="1" si="6"/>
        <v>15.6</v>
      </c>
      <c r="U14" s="62">
        <f t="shared" ca="1" si="6"/>
        <v>18.899999999999999</v>
      </c>
      <c r="V14" s="62" t="str">
        <f t="shared" ca="1" si="6"/>
        <v>N/A</v>
      </c>
      <c r="W14" s="62" t="str">
        <f t="shared" ca="1" si="6"/>
        <v>N/A</v>
      </c>
      <c r="X14" s="62"/>
      <c r="Y14" s="62"/>
      <c r="Z14" s="62"/>
      <c r="AA14" s="62"/>
    </row>
    <row r="15" spans="1:27" x14ac:dyDescent="0.25">
      <c r="A15" s="44" t="s">
        <v>533</v>
      </c>
      <c r="B15" s="45">
        <v>8</v>
      </c>
      <c r="C15" s="1">
        <f ca="1">IF(ISERROR(D15),"",IF(D15="","",MAX($C$12:C14)+1))</f>
        <v>3</v>
      </c>
      <c r="D15" t="s">
        <v>548</v>
      </c>
      <c r="E15" s="15"/>
      <c r="F15" s="62">
        <f t="shared" ref="F15:F57" ca="1" si="7">IFERROR(AVERAGE(G15:W15),"N/A")</f>
        <v>19.519058823529413</v>
      </c>
      <c r="G15" s="62">
        <f>IFERROR(IF(VLOOKUP($A15,'2022 Data (WP)'!$D$9:$AA$70,3,FALSE)=0,"",VLOOKUP($A15,'2022 Data (WP)'!$D$9:$AA$70,3,FALSE)),"N/A")</f>
        <v>26.6</v>
      </c>
      <c r="H15" s="62">
        <f>IFERROR(IF(VLOOKUP($A15,'2021 Data (WP)'!$D$9:$AA$70,3,FALSE)=0,"",VLOOKUP($A15,'2021 Data (WP)'!$D$9:$AA$70,3,FALSE)),"N/A")</f>
        <v>28.3</v>
      </c>
      <c r="I15" s="62">
        <f>IFERROR(IF(VLOOKUP($A15,'2020 Data (WP)'!$D$9:$AA$70,3,FALSE)=0,"",VLOOKUP($A15,'2020 Data (WP)'!$D$9:$AA$70,3,FALSE)),"N/A")</f>
        <v>28</v>
      </c>
      <c r="J15" s="62">
        <f>IFERROR(IF(VLOOKUP("wtr",LUCurYr,3,FALSE)=0,"",VLOOKUP("wtr",LUCurYr,3,FALSE)),"N/A")</f>
        <v>35.9</v>
      </c>
      <c r="K15" s="62">
        <f t="shared" ca="1" si="6"/>
        <v>21.7</v>
      </c>
      <c r="L15" s="62">
        <f t="shared" ca="1" si="6"/>
        <v>22</v>
      </c>
      <c r="M15" s="62">
        <f t="shared" ca="1" si="6"/>
        <v>20.8</v>
      </c>
      <c r="N15" s="62">
        <f t="shared" ca="1" si="6"/>
        <v>17.5</v>
      </c>
      <c r="O15" s="62">
        <f t="shared" ca="1" si="6"/>
        <v>16.100000000000001</v>
      </c>
      <c r="P15" s="62">
        <f t="shared" ca="1" si="6"/>
        <v>15.9</v>
      </c>
      <c r="Q15" s="62">
        <f t="shared" ca="1" si="6"/>
        <v>15.9</v>
      </c>
      <c r="R15" s="62">
        <f t="shared" ca="1" si="6"/>
        <v>14.4</v>
      </c>
      <c r="S15" s="62">
        <f t="shared" ca="1" si="6"/>
        <v>13.2</v>
      </c>
      <c r="T15" s="62">
        <f t="shared" ca="1" si="6"/>
        <v>12.5</v>
      </c>
      <c r="U15" s="62">
        <f t="shared" ca="1" si="6"/>
        <v>13.6</v>
      </c>
      <c r="V15" s="62">
        <f t="shared" ca="1" si="6"/>
        <v>15.9</v>
      </c>
      <c r="W15" s="62">
        <f t="shared" ca="1" si="6"/>
        <v>13.523999999999999</v>
      </c>
      <c r="X15" s="62"/>
      <c r="Y15" s="62"/>
      <c r="Z15" s="62"/>
      <c r="AA15" s="62"/>
    </row>
    <row r="16" spans="1:27" x14ac:dyDescent="0.25">
      <c r="A16" s="44" t="s">
        <v>177</v>
      </c>
      <c r="B16" s="45">
        <f t="shared" ca="1" si="3"/>
        <v>12</v>
      </c>
      <c r="C16" s="1">
        <f ca="1">IF(ISERROR(D16),"",IF(D16="","",MAX($C$12:C15)+1))</f>
        <v>4</v>
      </c>
      <c r="D16" t="str">
        <f t="shared" ca="1" si="4"/>
        <v>California Water</v>
      </c>
      <c r="E16" s="15"/>
      <c r="F16" s="62">
        <f t="shared" ca="1" si="7"/>
        <v>25.39052941176471</v>
      </c>
      <c r="G16" s="62">
        <f>IFERROR(IF(VLOOKUP($A16,'2022 Data (WP)'!$D$9:$AA$70,3,FALSE)=0,"",VLOOKUP($A16,'2022 Data (WP)'!$D$9:$AA$70,3,FALSE)),"N/A")</f>
        <v>33</v>
      </c>
      <c r="H16" s="62">
        <f>IFERROR(IF(VLOOKUP($A16,'2021 Data (WP)'!$D$9:$AA$70,3,FALSE)=0,"",VLOOKUP($A16,'2021 Data (WP)'!$D$9:$AA$70,3,FALSE)),"N/A")</f>
        <v>30.5</v>
      </c>
      <c r="I16" s="62">
        <f>IFERROR(IF(VLOOKUP($A16,'2020 Data (WP)'!$D$9:$AA$70,3,FALSE)=0,"",VLOOKUP($A16,'2020 Data (WP)'!$D$9:$AA$70,3,FALSE)),"N/A")</f>
        <v>31.4</v>
      </c>
      <c r="J16" s="62">
        <f t="shared" si="5"/>
        <v>31</v>
      </c>
      <c r="K16" s="62">
        <f t="shared" ca="1" si="6"/>
        <v>30.3</v>
      </c>
      <c r="L16" s="62">
        <f t="shared" ca="1" si="6"/>
        <v>26.9</v>
      </c>
      <c r="M16" s="62">
        <f t="shared" ca="1" si="6"/>
        <v>29.6</v>
      </c>
      <c r="N16" s="62">
        <f t="shared" ca="1" si="6"/>
        <v>24.8</v>
      </c>
      <c r="O16" s="62">
        <f t="shared" ca="1" si="6"/>
        <v>19.7</v>
      </c>
      <c r="P16" s="62">
        <f t="shared" ca="1" si="6"/>
        <v>20.100000000000001</v>
      </c>
      <c r="Q16" s="62">
        <f t="shared" ca="1" si="6"/>
        <v>17.899999999999999</v>
      </c>
      <c r="R16" s="62">
        <f t="shared" ca="1" si="6"/>
        <v>21.3</v>
      </c>
      <c r="S16" s="62">
        <f t="shared" ca="1" si="6"/>
        <v>20.3</v>
      </c>
      <c r="T16" s="62">
        <f t="shared" ca="1" si="6"/>
        <v>19.7</v>
      </c>
      <c r="U16" s="62">
        <f t="shared" ca="1" si="6"/>
        <v>19.8</v>
      </c>
      <c r="V16" s="62">
        <f t="shared" ca="1" si="6"/>
        <v>26.1</v>
      </c>
      <c r="W16" s="62">
        <f t="shared" ca="1" si="6"/>
        <v>29.239000000000001</v>
      </c>
      <c r="X16" s="62"/>
      <c r="Y16" s="62"/>
      <c r="Z16" s="62"/>
      <c r="AA16" s="62"/>
    </row>
    <row r="17" spans="1:27" x14ac:dyDescent="0.25">
      <c r="A17" s="44" t="s">
        <v>188</v>
      </c>
      <c r="B17" s="45">
        <f t="shared" ca="1" si="3"/>
        <v>41</v>
      </c>
      <c r="C17" s="1">
        <f ca="1">IF(ISERROR(D17),"",IF(D17="","",MAX($C$12:C16)+1))</f>
        <v>5</v>
      </c>
      <c r="D17" t="str">
        <f t="shared" ca="1" si="4"/>
        <v>Middlesex Water</v>
      </c>
      <c r="E17" s="15"/>
      <c r="F17" s="62">
        <f t="shared" ca="1" si="7"/>
        <v>25.295176470588238</v>
      </c>
      <c r="G17" s="62">
        <f>IFERROR(IF(VLOOKUP($A17,'2022 Data (WP)'!$D$9:$AA$70,3,FALSE)=0,"",VLOOKUP($A17,'2022 Data (WP)'!$D$9:$AA$70,3,FALSE)),"N/A")</f>
        <v>38.6</v>
      </c>
      <c r="H17" s="62">
        <f>IFERROR(IF(VLOOKUP($A17,'2021 Data (WP)'!$D$9:$AA$70,3,FALSE)=0,"",VLOOKUP($A17,'2021 Data (WP)'!$D$9:$AA$70,3,FALSE)),"N/A")</f>
        <v>44.3</v>
      </c>
      <c r="I17" s="62">
        <f>IFERROR(IF(VLOOKUP($A17,'2020 Data (WP)'!$D$9:$AA$70,3,FALSE)=0,"",VLOOKUP($A17,'2020 Data (WP)'!$D$9:$AA$70,3,FALSE)),"N/A")</f>
        <v>36.700000000000003</v>
      </c>
      <c r="J17" s="62">
        <f t="shared" si="5"/>
        <v>31.5</v>
      </c>
      <c r="K17" s="62">
        <f t="shared" ca="1" si="6"/>
        <v>22.2</v>
      </c>
      <c r="L17" s="62">
        <f t="shared" ca="1" si="6"/>
        <v>28.4</v>
      </c>
      <c r="M17" s="62">
        <f t="shared" ca="1" si="6"/>
        <v>25.6</v>
      </c>
      <c r="N17" s="62">
        <f t="shared" ca="1" si="6"/>
        <v>19.100000000000001</v>
      </c>
      <c r="O17" s="62">
        <f t="shared" ca="1" si="6"/>
        <v>18.5</v>
      </c>
      <c r="P17" s="62">
        <f t="shared" ca="1" si="6"/>
        <v>19.7</v>
      </c>
      <c r="Q17" s="62">
        <f t="shared" ca="1" si="6"/>
        <v>20.8</v>
      </c>
      <c r="R17" s="62">
        <f t="shared" ca="1" si="6"/>
        <v>21.7</v>
      </c>
      <c r="S17" s="62">
        <f t="shared" ca="1" si="6"/>
        <v>17.8</v>
      </c>
      <c r="T17" s="62">
        <f t="shared" ca="1" si="6"/>
        <v>21</v>
      </c>
      <c r="U17" s="62">
        <f t="shared" ca="1" si="6"/>
        <v>19.8</v>
      </c>
      <c r="V17" s="62">
        <f t="shared" ca="1" si="6"/>
        <v>21.6</v>
      </c>
      <c r="W17" s="62">
        <f t="shared" ca="1" si="6"/>
        <v>22.718</v>
      </c>
      <c r="X17" s="62"/>
      <c r="Y17" s="62"/>
      <c r="Z17" s="62"/>
      <c r="AA17" s="62"/>
    </row>
    <row r="18" spans="1:27" x14ac:dyDescent="0.25">
      <c r="A18" s="44" t="s">
        <v>196</v>
      </c>
      <c r="B18" s="45">
        <f t="shared" ca="1" si="3"/>
        <v>60</v>
      </c>
      <c r="C18" s="1">
        <f ca="1">IF(ISERROR(D18),"",IF(D18="","",MAX($C$12:C17)+1))</f>
        <v>6</v>
      </c>
      <c r="D18" t="str">
        <f t="shared" ca="1" si="4"/>
        <v>SJW Corp.</v>
      </c>
      <c r="E18" s="15"/>
      <c r="F18" s="62">
        <f t="shared" ca="1" si="7"/>
        <v>25.48282352941176</v>
      </c>
      <c r="G18" s="62">
        <f>IFERROR(IF(VLOOKUP($A18,'2022 Data (WP)'!$D$9:$AA$70,3,FALSE)=0,"",VLOOKUP($A18,'2022 Data (WP)'!$D$9:$AA$70,3,FALSE)),"N/A")</f>
        <v>27.3</v>
      </c>
      <c r="H18" s="62">
        <f>IFERROR(IF(VLOOKUP($A18,'2021 Data (WP)'!$D$9:$AA$70,3,FALSE)=0,"",VLOOKUP($A18,'2021 Data (WP)'!$D$9:$AA$70,3,FALSE)),"N/A")</f>
        <v>32.9</v>
      </c>
      <c r="I18" s="62">
        <f>IFERROR(IF(VLOOKUP($A18,'2020 Data (WP)'!$D$9:$AA$70,3,FALSE)=0,"",VLOOKUP($A18,'2020 Data (WP)'!$D$9:$AA$70,3,FALSE)),"N/A")</f>
        <v>26.9</v>
      </c>
      <c r="J18" s="62">
        <f t="shared" si="5"/>
        <v>44.3</v>
      </c>
      <c r="K18" s="62">
        <f t="shared" ca="1" si="6"/>
        <v>32.700000000000003</v>
      </c>
      <c r="L18" s="62">
        <f t="shared" ca="1" si="6"/>
        <v>18.8</v>
      </c>
      <c r="M18" s="62">
        <f t="shared" ca="1" si="6"/>
        <v>15.7</v>
      </c>
      <c r="N18" s="62">
        <f t="shared" ca="1" si="6"/>
        <v>16.600000000000001</v>
      </c>
      <c r="O18" s="62">
        <f t="shared" ca="1" si="6"/>
        <v>11.2</v>
      </c>
      <c r="P18" s="62">
        <f t="shared" ca="1" si="6"/>
        <v>24.3</v>
      </c>
      <c r="Q18" s="62">
        <f t="shared" ca="1" si="6"/>
        <v>20.399999999999999</v>
      </c>
      <c r="R18" s="62">
        <f t="shared" ca="1" si="6"/>
        <v>21.2</v>
      </c>
      <c r="S18" s="62">
        <f t="shared" ca="1" si="6"/>
        <v>29.1</v>
      </c>
      <c r="T18" s="62">
        <f t="shared" ca="1" si="6"/>
        <v>28.7</v>
      </c>
      <c r="U18" s="62">
        <f t="shared" ca="1" si="6"/>
        <v>26.2</v>
      </c>
      <c r="V18" s="62">
        <f t="shared" ca="1" si="6"/>
        <v>33.4</v>
      </c>
      <c r="W18" s="62">
        <f t="shared" ca="1" si="6"/>
        <v>23.507999999999999</v>
      </c>
      <c r="X18" s="62"/>
      <c r="Y18" s="62"/>
      <c r="Z18" s="62"/>
      <c r="AA18" s="62"/>
    </row>
    <row r="19" spans="1:27" hidden="1" x14ac:dyDescent="0.25">
      <c r="A19" s="44"/>
      <c r="B19" s="45" t="str">
        <f t="shared" ca="1" si="3"/>
        <v/>
      </c>
      <c r="C19" s="1" t="str">
        <f>IF(ISERROR(D19),"",IF(D19="","",MAX($C$12:C18)+1))</f>
        <v/>
      </c>
      <c r="D19" t="e">
        <f t="shared" si="4"/>
        <v>#N/A</v>
      </c>
      <c r="E19" s="15"/>
      <c r="F19" s="62" t="str">
        <f t="shared" ca="1" si="7"/>
        <v>N/A</v>
      </c>
      <c r="G19" s="62" t="str">
        <f>IFERROR(IF(VLOOKUP($A19,'2022 Data (WP)'!$D$9:$AA$70,3,FALSE)=0,"",VLOOKUP($A19,'2022 Data (WP)'!$D$9:$AA$70,3,FALSE)),"N/A")</f>
        <v>N/A</v>
      </c>
      <c r="H19" s="62" t="str">
        <f>IFERROR(IF(VLOOKUP($A19,'2021 Data (WP)'!$D$9:$AA$70,3,FALSE)=0,"",VLOOKUP($A19,'2021 Data (WP)'!$D$9:$AA$70,3,FALSE)),"N/A")</f>
        <v>N/A</v>
      </c>
      <c r="I19" s="62" t="str">
        <f>IFERROR(IF(VLOOKUP($A19,'2020 Data (WP)'!$D$9:$AA$70,3,FALSE)=0,"",VLOOKUP($A19,'2020 Data (WP)'!$D$9:$AA$70,3,FALSE)),"N/A")</f>
        <v>N/A</v>
      </c>
      <c r="J19" s="62" t="str">
        <f t="shared" si="5"/>
        <v>N/A</v>
      </c>
      <c r="K19" s="62" t="str">
        <f t="shared" ca="1" si="6"/>
        <v>N/A</v>
      </c>
      <c r="L19" s="62" t="str">
        <f t="shared" ca="1" si="6"/>
        <v>N/A</v>
      </c>
      <c r="M19" s="62" t="str">
        <f t="shared" ca="1" si="6"/>
        <v>N/A</v>
      </c>
      <c r="N19" s="62" t="str">
        <f t="shared" ca="1" si="6"/>
        <v>N/A</v>
      </c>
      <c r="O19" s="62" t="str">
        <f t="shared" ca="1" si="6"/>
        <v>N/A</v>
      </c>
      <c r="P19" s="62" t="str">
        <f t="shared" ca="1" si="6"/>
        <v>N/A</v>
      </c>
      <c r="Q19" s="62" t="str">
        <f t="shared" ca="1" si="6"/>
        <v>N/A</v>
      </c>
      <c r="R19" s="62" t="str">
        <f t="shared" ca="1" si="6"/>
        <v>N/A</v>
      </c>
      <c r="S19" s="62" t="str">
        <f t="shared" ca="1" si="6"/>
        <v>N/A</v>
      </c>
      <c r="T19" s="62" t="str">
        <f t="shared" ca="1" si="6"/>
        <v>N/A</v>
      </c>
      <c r="U19" s="62" t="str">
        <f t="shared" ca="1" si="6"/>
        <v>N/A</v>
      </c>
      <c r="V19" s="62" t="str">
        <f t="shared" ca="1" si="6"/>
        <v>N/A</v>
      </c>
      <c r="W19" s="62" t="str">
        <f t="shared" ca="1" si="6"/>
        <v>N/A</v>
      </c>
      <c r="X19" s="62"/>
      <c r="Y19" s="62"/>
      <c r="Z19" s="62"/>
      <c r="AA19" s="62"/>
    </row>
    <row r="20" spans="1:27" hidden="1" x14ac:dyDescent="0.25">
      <c r="A20" s="44"/>
      <c r="B20" s="45" t="str">
        <f t="shared" ca="1" si="3"/>
        <v/>
      </c>
      <c r="C20" s="1" t="str">
        <f>IF(ISERROR(D20),"",IF(D20="","",MAX($C$12:C19)+1))</f>
        <v/>
      </c>
      <c r="D20" t="e">
        <f t="shared" si="4"/>
        <v>#N/A</v>
      </c>
      <c r="E20" s="15"/>
      <c r="F20" s="62" t="str">
        <f t="shared" ca="1" si="7"/>
        <v>N/A</v>
      </c>
      <c r="G20" s="62" t="str">
        <f>IFERROR(IF(VLOOKUP($A20,'2022 Data (WP)'!$D$9:$AA$70,3,FALSE)=0,"",VLOOKUP($A20,'2022 Data (WP)'!$D$9:$AA$70,3,FALSE)),"N/A")</f>
        <v>N/A</v>
      </c>
      <c r="H20" s="62" t="str">
        <f>IFERROR(IF(VLOOKUP($A20,'2021 Data (WP)'!$D$9:$AA$70,3,FALSE)=0,"",VLOOKUP($A20,'2021 Data (WP)'!$D$9:$AA$70,3,FALSE)),"N/A")</f>
        <v>N/A</v>
      </c>
      <c r="I20" s="62" t="str">
        <f>IFERROR(IF(VLOOKUP($A20,'2020 Data (WP)'!$D$9:$AA$70,3,FALSE)=0,"",VLOOKUP($A20,'2020 Data (WP)'!$D$9:$AA$70,3,FALSE)),"N/A")</f>
        <v>N/A</v>
      </c>
      <c r="J20" s="62" t="str">
        <f t="shared" si="5"/>
        <v>N/A</v>
      </c>
      <c r="K20" s="62" t="str">
        <f t="shared" ca="1" si="6"/>
        <v>N/A</v>
      </c>
      <c r="L20" s="62" t="str">
        <f t="shared" ca="1" si="6"/>
        <v>N/A</v>
      </c>
      <c r="M20" s="62" t="str">
        <f t="shared" ca="1" si="6"/>
        <v>N/A</v>
      </c>
      <c r="N20" s="62" t="str">
        <f t="shared" ca="1" si="6"/>
        <v>N/A</v>
      </c>
      <c r="O20" s="62" t="str">
        <f t="shared" ca="1" si="6"/>
        <v>N/A</v>
      </c>
      <c r="P20" s="62" t="str">
        <f t="shared" ca="1" si="6"/>
        <v>N/A</v>
      </c>
      <c r="Q20" s="62" t="str">
        <f t="shared" ca="1" si="6"/>
        <v>N/A</v>
      </c>
      <c r="R20" s="62" t="str">
        <f t="shared" ca="1" si="6"/>
        <v>N/A</v>
      </c>
      <c r="S20" s="62" t="str">
        <f t="shared" ca="1" si="6"/>
        <v>N/A</v>
      </c>
      <c r="T20" s="62" t="str">
        <f t="shared" ca="1" si="6"/>
        <v>N/A</v>
      </c>
      <c r="U20" s="62" t="str">
        <f t="shared" ca="1" si="6"/>
        <v>N/A</v>
      </c>
      <c r="V20" s="62" t="str">
        <f t="shared" ca="1" si="6"/>
        <v>N/A</v>
      </c>
      <c r="W20" s="62" t="str">
        <f t="shared" ca="1" si="6"/>
        <v>N/A</v>
      </c>
      <c r="X20" s="62"/>
      <c r="Y20" s="62"/>
      <c r="Z20" s="62"/>
      <c r="AA20" s="62"/>
    </row>
    <row r="21" spans="1:27" hidden="1" x14ac:dyDescent="0.25">
      <c r="A21" s="44"/>
      <c r="B21" s="45" t="str">
        <f t="shared" ca="1" si="3"/>
        <v/>
      </c>
      <c r="C21" s="1" t="str">
        <f>IF(ISERROR(D21),"",IF(D21="","",MAX($C$12:C20)+1))</f>
        <v/>
      </c>
      <c r="D21" t="e">
        <f t="shared" si="4"/>
        <v>#N/A</v>
      </c>
      <c r="E21" s="15"/>
      <c r="F21" s="62" t="str">
        <f t="shared" ca="1" si="7"/>
        <v>N/A</v>
      </c>
      <c r="G21" s="62" t="str">
        <f>IFERROR(IF(VLOOKUP($A21,'2022 Data (WP)'!$D$9:$AA$70,3,FALSE)=0,"",VLOOKUP($A21,'2022 Data (WP)'!$D$9:$AA$70,3,FALSE)),"N/A")</f>
        <v>N/A</v>
      </c>
      <c r="H21" s="62" t="str">
        <f>IFERROR(IF(VLOOKUP($A21,'2021 Data (WP)'!$D$9:$AA$70,3,FALSE)=0,"",VLOOKUP($A21,'2021 Data (WP)'!$D$9:$AA$70,3,FALSE)),"N/A")</f>
        <v>N/A</v>
      </c>
      <c r="I21" s="62" t="str">
        <f>IFERROR(IF(VLOOKUP($A21,'2020 Data (WP)'!$D$9:$AA$70,3,FALSE)=0,"",VLOOKUP($A21,'2020 Data (WP)'!$D$9:$AA$70,3,FALSE)),"N/A")</f>
        <v>N/A</v>
      </c>
      <c r="J21" s="62" t="str">
        <f t="shared" si="5"/>
        <v>N/A</v>
      </c>
      <c r="K21" s="62" t="str">
        <f t="shared" ca="1" si="6"/>
        <v>N/A</v>
      </c>
      <c r="L21" s="62" t="str">
        <f t="shared" ca="1" si="6"/>
        <v>N/A</v>
      </c>
      <c r="M21" s="62" t="str">
        <f t="shared" ca="1" si="6"/>
        <v>N/A</v>
      </c>
      <c r="N21" s="62" t="str">
        <f t="shared" ca="1" si="6"/>
        <v>N/A</v>
      </c>
      <c r="O21" s="62" t="str">
        <f t="shared" ca="1" si="6"/>
        <v>N/A</v>
      </c>
      <c r="P21" s="62" t="str">
        <f t="shared" ca="1" si="6"/>
        <v>N/A</v>
      </c>
      <c r="Q21" s="62" t="str">
        <f t="shared" ca="1" si="6"/>
        <v>N/A</v>
      </c>
      <c r="R21" s="62" t="str">
        <f t="shared" ca="1" si="6"/>
        <v>N/A</v>
      </c>
      <c r="S21" s="62" t="str">
        <f t="shared" ca="1" si="6"/>
        <v>N/A</v>
      </c>
      <c r="T21" s="62" t="str">
        <f t="shared" ca="1" si="6"/>
        <v>N/A</v>
      </c>
      <c r="U21" s="62" t="str">
        <f t="shared" ca="1" si="6"/>
        <v>N/A</v>
      </c>
      <c r="V21" s="62" t="str">
        <f t="shared" ca="1" si="6"/>
        <v>N/A</v>
      </c>
      <c r="W21" s="62" t="str">
        <f t="shared" ca="1" si="6"/>
        <v>N/A</v>
      </c>
      <c r="X21" s="62"/>
      <c r="Y21" s="62"/>
      <c r="Z21" s="62"/>
      <c r="AA21" s="62"/>
    </row>
    <row r="22" spans="1:27" hidden="1" x14ac:dyDescent="0.25">
      <c r="A22" s="44"/>
      <c r="B22" s="45" t="str">
        <f t="shared" ca="1" si="3"/>
        <v/>
      </c>
      <c r="C22" s="1" t="str">
        <f>IF(ISERROR(D22),"",IF(D22="","",MAX($C$12:C21)+1))</f>
        <v/>
      </c>
      <c r="D22" t="e">
        <f t="shared" si="4"/>
        <v>#N/A</v>
      </c>
      <c r="E22" s="15"/>
      <c r="F22" s="62" t="str">
        <f t="shared" ca="1" si="7"/>
        <v>N/A</v>
      </c>
      <c r="G22" s="62" t="str">
        <f>IFERROR(IF(VLOOKUP($A22,'2022 Data (WP)'!$D$9:$AA$70,3,FALSE)=0,"",VLOOKUP($A22,'2022 Data (WP)'!$D$9:$AA$70,3,FALSE)),"N/A")</f>
        <v>N/A</v>
      </c>
      <c r="H22" s="62" t="str">
        <f>IFERROR(IF(VLOOKUP($A22,'2021 Data (WP)'!$D$9:$AA$70,3,FALSE)=0,"",VLOOKUP($A22,'2021 Data (WP)'!$D$9:$AA$70,3,FALSE)),"N/A")</f>
        <v>N/A</v>
      </c>
      <c r="I22" s="62" t="str">
        <f>IFERROR(IF(VLOOKUP($A22,'2020 Data (WP)'!$D$9:$AA$70,3,FALSE)=0,"",VLOOKUP($A22,'2020 Data (WP)'!$D$9:$AA$70,3,FALSE)),"N/A")</f>
        <v>N/A</v>
      </c>
      <c r="J22" s="62" t="str">
        <f t="shared" si="5"/>
        <v>N/A</v>
      </c>
      <c r="K22" s="62" t="str">
        <f t="shared" ca="1" si="6"/>
        <v>N/A</v>
      </c>
      <c r="L22" s="62" t="str">
        <f t="shared" ca="1" si="6"/>
        <v>N/A</v>
      </c>
      <c r="M22" s="62" t="str">
        <f t="shared" ca="1" si="6"/>
        <v>N/A</v>
      </c>
      <c r="N22" s="62" t="str">
        <f t="shared" ca="1" si="6"/>
        <v>N/A</v>
      </c>
      <c r="O22" s="62" t="str">
        <f t="shared" ca="1" si="6"/>
        <v>N/A</v>
      </c>
      <c r="P22" s="62" t="str">
        <f t="shared" ca="1" si="6"/>
        <v>N/A</v>
      </c>
      <c r="Q22" s="62" t="str">
        <f t="shared" ca="1" si="6"/>
        <v>N/A</v>
      </c>
      <c r="R22" s="62" t="str">
        <f t="shared" ca="1" si="6"/>
        <v>N/A</v>
      </c>
      <c r="S22" s="62" t="str">
        <f t="shared" ca="1" si="6"/>
        <v>N/A</v>
      </c>
      <c r="T22" s="62" t="str">
        <f t="shared" ca="1" si="6"/>
        <v>N/A</v>
      </c>
      <c r="U22" s="62" t="str">
        <f t="shared" ca="1" si="6"/>
        <v>N/A</v>
      </c>
      <c r="V22" s="62" t="str">
        <f t="shared" ca="1" si="6"/>
        <v>N/A</v>
      </c>
      <c r="W22" s="62" t="str">
        <f t="shared" ca="1" si="6"/>
        <v>N/A</v>
      </c>
      <c r="X22" s="62"/>
      <c r="Y22" s="62"/>
      <c r="Z22" s="62"/>
      <c r="AA22" s="62"/>
    </row>
    <row r="23" spans="1:27" hidden="1" x14ac:dyDescent="0.25">
      <c r="A23" s="44"/>
      <c r="B23" s="45" t="str">
        <f t="shared" ca="1" si="3"/>
        <v/>
      </c>
      <c r="C23" s="1" t="str">
        <f>IF(ISERROR(D23),"",IF(D23="","",MAX($C$12:C22)+1))</f>
        <v/>
      </c>
      <c r="D23" t="e">
        <f t="shared" si="4"/>
        <v>#N/A</v>
      </c>
      <c r="E23" s="15"/>
      <c r="F23" s="62" t="str">
        <f t="shared" ca="1" si="7"/>
        <v>N/A</v>
      </c>
      <c r="G23" s="62" t="str">
        <f>IFERROR(IF(VLOOKUP($A23,'2022 Data (WP)'!$D$9:$AA$70,3,FALSE)=0,"",VLOOKUP($A23,'2022 Data (WP)'!$D$9:$AA$70,3,FALSE)),"N/A")</f>
        <v>N/A</v>
      </c>
      <c r="H23" s="62" t="str">
        <f>IFERROR(IF(VLOOKUP($A23,'2021 Data (WP)'!$D$9:$AA$70,3,FALSE)=0,"",VLOOKUP($A23,'2021 Data (WP)'!$D$9:$AA$70,3,FALSE)),"N/A")</f>
        <v>N/A</v>
      </c>
      <c r="I23" s="62" t="str">
        <f>IFERROR(IF(VLOOKUP($A23,'2020 Data (WP)'!$D$9:$AA$70,3,FALSE)=0,"",VLOOKUP($A23,'2020 Data (WP)'!$D$9:$AA$70,3,FALSE)),"N/A")</f>
        <v>N/A</v>
      </c>
      <c r="J23" s="62" t="str">
        <f t="shared" si="5"/>
        <v>N/A</v>
      </c>
      <c r="K23" s="62" t="str">
        <f t="shared" ca="1" si="6"/>
        <v>N/A</v>
      </c>
      <c r="L23" s="62" t="str">
        <f t="shared" ca="1" si="6"/>
        <v>N/A</v>
      </c>
      <c r="M23" s="62" t="str">
        <f t="shared" ca="1" si="6"/>
        <v>N/A</v>
      </c>
      <c r="N23" s="62" t="str">
        <f t="shared" ca="1" si="6"/>
        <v>N/A</v>
      </c>
      <c r="O23" s="62" t="str">
        <f t="shared" ca="1" si="6"/>
        <v>N/A</v>
      </c>
      <c r="P23" s="62" t="str">
        <f t="shared" ca="1" si="6"/>
        <v>N/A</v>
      </c>
      <c r="Q23" s="62" t="str">
        <f t="shared" ca="1" si="6"/>
        <v>N/A</v>
      </c>
      <c r="R23" s="62" t="str">
        <f t="shared" ca="1" si="6"/>
        <v>N/A</v>
      </c>
      <c r="S23" s="62" t="str">
        <f t="shared" ca="1" si="6"/>
        <v>N/A</v>
      </c>
      <c r="T23" s="62" t="str">
        <f t="shared" ca="1" si="6"/>
        <v>N/A</v>
      </c>
      <c r="U23" s="62" t="str">
        <f t="shared" ca="1" si="6"/>
        <v>N/A</v>
      </c>
      <c r="V23" s="62" t="str">
        <f t="shared" ca="1" si="6"/>
        <v>N/A</v>
      </c>
      <c r="W23" s="62" t="str">
        <f t="shared" ca="1" si="6"/>
        <v>N/A</v>
      </c>
      <c r="X23" s="62"/>
      <c r="Y23" s="62"/>
      <c r="Z23" s="62"/>
      <c r="AA23" s="62"/>
    </row>
    <row r="24" spans="1:27" hidden="1" x14ac:dyDescent="0.25">
      <c r="A24" s="44"/>
      <c r="B24" s="45" t="str">
        <f t="shared" ca="1" si="3"/>
        <v/>
      </c>
      <c r="C24" s="1" t="str">
        <f>IF(ISERROR(D24),"",IF(D24="","",MAX($C$12:C23)+1))</f>
        <v/>
      </c>
      <c r="D24" t="e">
        <f t="shared" si="4"/>
        <v>#N/A</v>
      </c>
      <c r="E24" s="15"/>
      <c r="F24" s="62" t="str">
        <f t="shared" ca="1" si="7"/>
        <v>N/A</v>
      </c>
      <c r="G24" s="62" t="str">
        <f>IFERROR(IF(VLOOKUP($A24,'2022 Data (WP)'!$D$9:$AA$70,3,FALSE)=0,"",VLOOKUP($A24,'2022 Data (WP)'!$D$9:$AA$70,3,FALSE)),"N/A")</f>
        <v>N/A</v>
      </c>
      <c r="H24" s="62" t="str">
        <f>IFERROR(IF(VLOOKUP($A24,'2021 Data (WP)'!$D$9:$AA$70,3,FALSE)=0,"",VLOOKUP($A24,'2021 Data (WP)'!$D$9:$AA$70,3,FALSE)),"N/A")</f>
        <v>N/A</v>
      </c>
      <c r="I24" s="62" t="str">
        <f>IFERROR(IF(VLOOKUP($A24,'2020 Data (WP)'!$D$9:$AA$70,3,FALSE)=0,"",VLOOKUP($A24,'2020 Data (WP)'!$D$9:$AA$70,3,FALSE)),"N/A")</f>
        <v>N/A</v>
      </c>
      <c r="J24" s="62" t="str">
        <f t="shared" si="5"/>
        <v>N/A</v>
      </c>
      <c r="K24" s="62" t="str">
        <f t="shared" ref="K24:K57" si="8">IFERROR(IF(VLOOKUP(A24,LUCurYr,3,FALSE)=0,"",VLOOKUP(A24,LUCurYr,3,FALSE)),"N/A")</f>
        <v>N/A</v>
      </c>
      <c r="L24" s="62" t="str">
        <f ca="1">IFERROR(VLOOKUP($A24,LASTYR,'[3]2017'!$C$3,FALSE),"N/A")</f>
        <v>N/A</v>
      </c>
      <c r="M24" s="62" t="str">
        <f t="shared" ca="1" si="6"/>
        <v>N/A</v>
      </c>
      <c r="N24" s="62" t="str">
        <f t="shared" ca="1" si="6"/>
        <v>N/A</v>
      </c>
      <c r="O24" s="62" t="str">
        <f t="shared" ca="1" si="6"/>
        <v>N/A</v>
      </c>
      <c r="P24" s="62" t="str">
        <f t="shared" ca="1" si="6"/>
        <v>N/A</v>
      </c>
      <c r="Q24" s="62" t="str">
        <f t="shared" ca="1" si="6"/>
        <v>N/A</v>
      </c>
      <c r="R24" s="62" t="str">
        <f t="shared" ca="1" si="6"/>
        <v>N/A</v>
      </c>
      <c r="S24" s="62" t="str">
        <f t="shared" ca="1" si="6"/>
        <v>N/A</v>
      </c>
      <c r="T24" s="62" t="str">
        <f t="shared" ca="1" si="6"/>
        <v>N/A</v>
      </c>
      <c r="U24" s="62" t="str">
        <f t="shared" ca="1" si="6"/>
        <v>N/A</v>
      </c>
      <c r="V24" s="62" t="str">
        <f t="shared" ca="1" si="6"/>
        <v>N/A</v>
      </c>
      <c r="W24" s="62" t="str">
        <f t="shared" ca="1" si="6"/>
        <v>N/A</v>
      </c>
      <c r="X24" s="62"/>
      <c r="Y24" s="62"/>
      <c r="Z24" s="62"/>
      <c r="AA24" s="62"/>
    </row>
    <row r="25" spans="1:27" hidden="1" x14ac:dyDescent="0.25">
      <c r="A25" s="44"/>
      <c r="B25" s="45" t="str">
        <f t="shared" ca="1" si="3"/>
        <v/>
      </c>
      <c r="C25" s="1" t="str">
        <f>IF(ISERROR(D25),"",IF(D25="","",MAX($C$12:C24)+1))</f>
        <v/>
      </c>
      <c r="D25" t="e">
        <f t="shared" si="4"/>
        <v>#N/A</v>
      </c>
      <c r="E25" s="15"/>
      <c r="F25" s="62" t="str">
        <f t="shared" ca="1" si="7"/>
        <v>N/A</v>
      </c>
      <c r="G25" s="62" t="str">
        <f>IFERROR(IF(VLOOKUP($A25,'2022 Data (WP)'!$D$9:$AA$70,3,FALSE)=0,"",VLOOKUP($A25,'2022 Data (WP)'!$D$9:$AA$70,3,FALSE)),"N/A")</f>
        <v>N/A</v>
      </c>
      <c r="H25" s="62" t="str">
        <f>IFERROR(IF(VLOOKUP($A25,'2021 Data (WP)'!$D$9:$AA$70,3,FALSE)=0,"",VLOOKUP($A25,'2021 Data (WP)'!$D$9:$AA$70,3,FALSE)),"N/A")</f>
        <v>N/A</v>
      </c>
      <c r="I25" s="62" t="str">
        <f>IFERROR(IF(VLOOKUP($A25,'2020 Data (WP)'!$D$9:$AA$70,3,FALSE)=0,"",VLOOKUP($A25,'2020 Data (WP)'!$D$9:$AA$70,3,FALSE)),"N/A")</f>
        <v>N/A</v>
      </c>
      <c r="J25" s="62" t="str">
        <f t="shared" si="5"/>
        <v>N/A</v>
      </c>
      <c r="K25" s="62" t="str">
        <f t="shared" si="8"/>
        <v>N/A</v>
      </c>
      <c r="L25" s="62" t="str">
        <f ca="1">IFERROR(VLOOKUP($A25,LASTYR,'[3]2017'!$C$3,FALSE),"N/A")</f>
        <v>N/A</v>
      </c>
      <c r="M25" s="62" t="str">
        <f t="shared" ca="1" si="6"/>
        <v>N/A</v>
      </c>
      <c r="N25" s="62" t="str">
        <f t="shared" ca="1" si="6"/>
        <v>N/A</v>
      </c>
      <c r="O25" s="62" t="str">
        <f t="shared" ca="1" si="6"/>
        <v>N/A</v>
      </c>
      <c r="P25" s="62" t="str">
        <f t="shared" ca="1" si="6"/>
        <v>N/A</v>
      </c>
      <c r="Q25" s="62" t="str">
        <f t="shared" ca="1" si="6"/>
        <v>N/A</v>
      </c>
      <c r="R25" s="62" t="str">
        <f t="shared" ca="1" si="6"/>
        <v>N/A</v>
      </c>
      <c r="S25" s="62" t="str">
        <f t="shared" ca="1" si="6"/>
        <v>N/A</v>
      </c>
      <c r="T25" s="62" t="str">
        <f t="shared" ca="1" si="6"/>
        <v>N/A</v>
      </c>
      <c r="U25" s="62" t="str">
        <f t="shared" ca="1" si="6"/>
        <v>N/A</v>
      </c>
      <c r="V25" s="62" t="str">
        <f t="shared" ca="1" si="6"/>
        <v>N/A</v>
      </c>
      <c r="W25" s="62" t="str">
        <f t="shared" ca="1" si="6"/>
        <v>N/A</v>
      </c>
      <c r="X25" s="62"/>
      <c r="Y25" s="62"/>
      <c r="Z25" s="62"/>
      <c r="AA25" s="62"/>
    </row>
    <row r="26" spans="1:27" hidden="1" x14ac:dyDescent="0.25">
      <c r="A26" s="44"/>
      <c r="B26" s="45" t="str">
        <f t="shared" ca="1" si="3"/>
        <v/>
      </c>
      <c r="C26" s="1" t="str">
        <f>IF(ISERROR(D26),"",IF(D26="","",MAX($C$12:C25)+1))</f>
        <v/>
      </c>
      <c r="D26" t="e">
        <f t="shared" si="4"/>
        <v>#N/A</v>
      </c>
      <c r="E26" s="15"/>
      <c r="F26" s="62" t="str">
        <f t="shared" ca="1" si="7"/>
        <v>N/A</v>
      </c>
      <c r="G26" s="62" t="str">
        <f>IFERROR(IF(VLOOKUP($A26,'2022 Data (WP)'!$D$9:$AA$70,3,FALSE)=0,"",VLOOKUP($A26,'2022 Data (WP)'!$D$9:$AA$70,3,FALSE)),"N/A")</f>
        <v>N/A</v>
      </c>
      <c r="H26" s="62" t="str">
        <f>IFERROR(IF(VLOOKUP($A26,'2021 Data (WP)'!$D$9:$AA$70,3,FALSE)=0,"",VLOOKUP($A26,'2021 Data (WP)'!$D$9:$AA$70,3,FALSE)),"N/A")</f>
        <v>N/A</v>
      </c>
      <c r="I26" s="62" t="str">
        <f>IFERROR(IF(VLOOKUP($A26,'2020 Data (WP)'!$D$9:$AA$70,3,FALSE)=0,"",VLOOKUP($A26,'2020 Data (WP)'!$D$9:$AA$70,3,FALSE)),"N/A")</f>
        <v>N/A</v>
      </c>
      <c r="J26" s="62" t="str">
        <f t="shared" si="5"/>
        <v>N/A</v>
      </c>
      <c r="K26" s="62" t="str">
        <f t="shared" si="8"/>
        <v>N/A</v>
      </c>
      <c r="L26" s="62" t="str">
        <f ca="1">IFERROR(VLOOKUP($A26,LASTYR,'[3]2017'!$C$3,FALSE),"N/A")</f>
        <v>N/A</v>
      </c>
      <c r="M26" s="62" t="str">
        <f t="shared" ca="1" si="6"/>
        <v>N/A</v>
      </c>
      <c r="N26" s="62" t="str">
        <f t="shared" ca="1" si="6"/>
        <v>N/A</v>
      </c>
      <c r="O26" s="62" t="str">
        <f t="shared" ca="1" si="6"/>
        <v>N/A</v>
      </c>
      <c r="P26" s="62" t="str">
        <f t="shared" ca="1" si="6"/>
        <v>N/A</v>
      </c>
      <c r="Q26" s="62" t="str">
        <f t="shared" ca="1" si="6"/>
        <v>N/A</v>
      </c>
      <c r="R26" s="62" t="str">
        <f t="shared" ca="1" si="6"/>
        <v>N/A</v>
      </c>
      <c r="S26" s="62" t="str">
        <f t="shared" ca="1" si="6"/>
        <v>N/A</v>
      </c>
      <c r="T26" s="62" t="str">
        <f t="shared" ca="1" si="6"/>
        <v>N/A</v>
      </c>
      <c r="U26" s="62" t="str">
        <f t="shared" ca="1" si="6"/>
        <v>N/A</v>
      </c>
      <c r="V26" s="62" t="str">
        <f t="shared" ca="1" si="6"/>
        <v>N/A</v>
      </c>
      <c r="W26" s="62" t="str">
        <f t="shared" ca="1" si="6"/>
        <v>N/A</v>
      </c>
      <c r="X26" s="62"/>
      <c r="Y26" s="62"/>
      <c r="Z26" s="62"/>
      <c r="AA26" s="62"/>
    </row>
    <row r="27" spans="1:27" hidden="1" x14ac:dyDescent="0.25">
      <c r="A27" s="44"/>
      <c r="B27" s="45" t="str">
        <f t="shared" ca="1" si="3"/>
        <v/>
      </c>
      <c r="C27" s="1" t="str">
        <f>IF(ISERROR(D27),"",IF(D27="","",MAX($C$12:C26)+1))</f>
        <v/>
      </c>
      <c r="D27" t="e">
        <f t="shared" si="4"/>
        <v>#N/A</v>
      </c>
      <c r="E27" s="15"/>
      <c r="F27" s="62" t="str">
        <f t="shared" ca="1" si="7"/>
        <v>N/A</v>
      </c>
      <c r="G27" s="62" t="str">
        <f>IFERROR(IF(VLOOKUP($A27,'2022 Data (WP)'!$D$9:$AA$70,3,FALSE)=0,"",VLOOKUP($A27,'2022 Data (WP)'!$D$9:$AA$70,3,FALSE)),"N/A")</f>
        <v>N/A</v>
      </c>
      <c r="H27" s="62" t="str">
        <f>IFERROR(IF(VLOOKUP($A27,'2021 Data (WP)'!$D$9:$AA$70,3,FALSE)=0,"",VLOOKUP($A27,'2021 Data (WP)'!$D$9:$AA$70,3,FALSE)),"N/A")</f>
        <v>N/A</v>
      </c>
      <c r="I27" s="62" t="str">
        <f>IFERROR(IF(VLOOKUP($A27,'2020 Data (WP)'!$D$9:$AA$70,3,FALSE)=0,"",VLOOKUP($A27,'2020 Data (WP)'!$D$9:$AA$70,3,FALSE)),"N/A")</f>
        <v>N/A</v>
      </c>
      <c r="J27" s="62" t="str">
        <f t="shared" si="5"/>
        <v>N/A</v>
      </c>
      <c r="K27" s="62" t="str">
        <f t="shared" si="8"/>
        <v>N/A</v>
      </c>
      <c r="L27" s="62" t="str">
        <f ca="1">IFERROR(VLOOKUP($A27,LASTYR,'[3]2017'!$C$3,FALSE),"N/A")</f>
        <v>N/A</v>
      </c>
      <c r="M27" s="62" t="str">
        <f t="shared" ca="1" si="6"/>
        <v>N/A</v>
      </c>
      <c r="N27" s="62" t="str">
        <f t="shared" ca="1" si="6"/>
        <v>N/A</v>
      </c>
      <c r="O27" s="62" t="str">
        <f t="shared" ca="1" si="6"/>
        <v>N/A</v>
      </c>
      <c r="P27" s="62" t="str">
        <f t="shared" ca="1" si="6"/>
        <v>N/A</v>
      </c>
      <c r="Q27" s="62" t="str">
        <f t="shared" ca="1" si="6"/>
        <v>N/A</v>
      </c>
      <c r="R27" s="62" t="str">
        <f t="shared" ca="1" si="6"/>
        <v>N/A</v>
      </c>
      <c r="S27" s="62" t="str">
        <f t="shared" ca="1" si="6"/>
        <v>N/A</v>
      </c>
      <c r="T27" s="62" t="str">
        <f t="shared" ca="1" si="6"/>
        <v>N/A</v>
      </c>
      <c r="U27" s="62" t="str">
        <f t="shared" ca="1" si="6"/>
        <v>N/A</v>
      </c>
      <c r="V27" s="62" t="str">
        <f t="shared" ca="1" si="6"/>
        <v>N/A</v>
      </c>
      <c r="W27" s="62" t="str">
        <f t="shared" ca="1" si="6"/>
        <v>N/A</v>
      </c>
      <c r="X27" s="62"/>
      <c r="Y27" s="62"/>
      <c r="Z27" s="62"/>
      <c r="AA27" s="62"/>
    </row>
    <row r="28" spans="1:27" hidden="1" x14ac:dyDescent="0.25">
      <c r="A28" s="44"/>
      <c r="B28" s="45" t="str">
        <f t="shared" ca="1" si="3"/>
        <v/>
      </c>
      <c r="C28" s="1" t="str">
        <f>IF(ISERROR(D28),"",IF(D28="","",MAX($C$12:C27)+1))</f>
        <v/>
      </c>
      <c r="D28" t="e">
        <f t="shared" si="4"/>
        <v>#N/A</v>
      </c>
      <c r="E28" s="15"/>
      <c r="F28" s="62" t="str">
        <f t="shared" ca="1" si="7"/>
        <v>N/A</v>
      </c>
      <c r="G28" s="62" t="str">
        <f>IFERROR(IF(VLOOKUP($A28,'2022 Data (WP)'!$D$9:$AA$70,3,FALSE)=0,"",VLOOKUP($A28,'2022 Data (WP)'!$D$9:$AA$70,3,FALSE)),"N/A")</f>
        <v>N/A</v>
      </c>
      <c r="H28" s="62" t="str">
        <f>IFERROR(IF(VLOOKUP($A28,'2021 Data (WP)'!$D$9:$AA$70,3,FALSE)=0,"",VLOOKUP($A28,'2021 Data (WP)'!$D$9:$AA$70,3,FALSE)),"N/A")</f>
        <v>N/A</v>
      </c>
      <c r="I28" s="62" t="str">
        <f>IFERROR(IF(VLOOKUP($A28,'2020 Data (WP)'!$D$9:$AA$70,3,FALSE)=0,"",VLOOKUP($A28,'2020 Data (WP)'!$D$9:$AA$70,3,FALSE)),"N/A")</f>
        <v>N/A</v>
      </c>
      <c r="J28" s="62" t="str">
        <f t="shared" si="5"/>
        <v>N/A</v>
      </c>
      <c r="K28" s="62" t="str">
        <f t="shared" si="8"/>
        <v>N/A</v>
      </c>
      <c r="L28" s="62" t="str">
        <f ca="1">IFERROR(VLOOKUP($A28,LASTYR,'[3]2017'!$C$3,FALSE),"N/A")</f>
        <v>N/A</v>
      </c>
      <c r="M28" s="62" t="str">
        <f t="shared" ca="1" si="6"/>
        <v>N/A</v>
      </c>
      <c r="N28" s="62" t="str">
        <f t="shared" ca="1" si="6"/>
        <v>N/A</v>
      </c>
      <c r="O28" s="62" t="str">
        <f t="shared" ca="1" si="6"/>
        <v>N/A</v>
      </c>
      <c r="P28" s="62" t="str">
        <f t="shared" ca="1" si="6"/>
        <v>N/A</v>
      </c>
      <c r="Q28" s="62" t="str">
        <f t="shared" ca="1" si="6"/>
        <v>N/A</v>
      </c>
      <c r="R28" s="62" t="str">
        <f t="shared" ca="1" si="6"/>
        <v>N/A</v>
      </c>
      <c r="S28" s="62" t="str">
        <f t="shared" ca="1" si="6"/>
        <v>N/A</v>
      </c>
      <c r="T28" s="62" t="str">
        <f t="shared" ca="1" si="6"/>
        <v>N/A</v>
      </c>
      <c r="U28" s="62" t="str">
        <f t="shared" ca="1" si="6"/>
        <v>N/A</v>
      </c>
      <c r="V28" s="62" t="str">
        <f t="shared" ca="1" si="6"/>
        <v>N/A</v>
      </c>
      <c r="W28" s="62" t="str">
        <f t="shared" ca="1" si="6"/>
        <v>N/A</v>
      </c>
      <c r="X28" s="62"/>
      <c r="Y28" s="62"/>
      <c r="Z28" s="62"/>
      <c r="AA28" s="62"/>
    </row>
    <row r="29" spans="1:27" hidden="1" x14ac:dyDescent="0.25">
      <c r="A29" s="44"/>
      <c r="B29" s="45" t="str">
        <f t="shared" ca="1" si="3"/>
        <v/>
      </c>
      <c r="C29" s="1" t="str">
        <f>IF(ISERROR(D29),"",IF(D29="","",MAX($C$12:C28)+1))</f>
        <v/>
      </c>
      <c r="D29" t="e">
        <f t="shared" si="4"/>
        <v>#N/A</v>
      </c>
      <c r="E29" s="15"/>
      <c r="F29" s="62" t="str">
        <f t="shared" ca="1" si="7"/>
        <v>N/A</v>
      </c>
      <c r="G29" s="62" t="str">
        <f>IFERROR(IF(VLOOKUP($A29,'2022 Data (WP)'!$D$9:$AA$70,3,FALSE)=0,"",VLOOKUP($A29,'2022 Data (WP)'!$D$9:$AA$70,3,FALSE)),"N/A")</f>
        <v>N/A</v>
      </c>
      <c r="H29" s="62" t="str">
        <f>IFERROR(IF(VLOOKUP($A29,'2021 Data (WP)'!$D$9:$AA$70,3,FALSE)=0,"",VLOOKUP($A29,'2021 Data (WP)'!$D$9:$AA$70,3,FALSE)),"N/A")</f>
        <v>N/A</v>
      </c>
      <c r="I29" s="62" t="str">
        <f>IFERROR(IF(VLOOKUP($A29,'2020 Data (WP)'!$D$9:$AA$70,3,FALSE)=0,"",VLOOKUP($A29,'2020 Data (WP)'!$D$9:$AA$70,3,FALSE)),"N/A")</f>
        <v>N/A</v>
      </c>
      <c r="J29" s="62" t="str">
        <f t="shared" si="5"/>
        <v>N/A</v>
      </c>
      <c r="K29" s="62" t="str">
        <f t="shared" si="8"/>
        <v>N/A</v>
      </c>
      <c r="L29" s="62" t="str">
        <f ca="1">IFERROR(VLOOKUP($A29,LASTYR,'[3]2017'!$C$3,FALSE),"N/A")</f>
        <v>N/A</v>
      </c>
      <c r="M29" s="62" t="str">
        <f t="shared" ca="1" si="6"/>
        <v>N/A</v>
      </c>
      <c r="N29" s="62" t="str">
        <f t="shared" ca="1" si="6"/>
        <v>N/A</v>
      </c>
      <c r="O29" s="62" t="str">
        <f t="shared" ca="1" si="6"/>
        <v>N/A</v>
      </c>
      <c r="P29" s="62" t="str">
        <f t="shared" ca="1" si="6"/>
        <v>N/A</v>
      </c>
      <c r="Q29" s="62" t="str">
        <f t="shared" ca="1" si="6"/>
        <v>N/A</v>
      </c>
      <c r="R29" s="62" t="str">
        <f t="shared" ca="1" si="6"/>
        <v>N/A</v>
      </c>
      <c r="S29" s="62" t="str">
        <f t="shared" ca="1" si="6"/>
        <v>N/A</v>
      </c>
      <c r="T29" s="62" t="str">
        <f t="shared" ca="1" si="6"/>
        <v>N/A</v>
      </c>
      <c r="U29" s="62" t="str">
        <f t="shared" ca="1" si="6"/>
        <v>N/A</v>
      </c>
      <c r="V29" s="62" t="str">
        <f t="shared" ca="1" si="6"/>
        <v>N/A</v>
      </c>
      <c r="W29" s="62" t="str">
        <f t="shared" ca="1" si="6"/>
        <v>N/A</v>
      </c>
      <c r="X29" s="62"/>
      <c r="Y29" s="62"/>
      <c r="Z29" s="62"/>
      <c r="AA29" s="62"/>
    </row>
    <row r="30" spans="1:27" hidden="1" x14ac:dyDescent="0.25">
      <c r="A30" s="44"/>
      <c r="B30" s="45" t="str">
        <f t="shared" ca="1" si="3"/>
        <v/>
      </c>
      <c r="C30" s="1" t="str">
        <f>IF(ISERROR(D30),"",IF(D30="","",MAX($C$12:C29)+1))</f>
        <v/>
      </c>
      <c r="D30" t="e">
        <f t="shared" si="4"/>
        <v>#N/A</v>
      </c>
      <c r="E30" s="15"/>
      <c r="F30" s="62" t="str">
        <f t="shared" ca="1" si="7"/>
        <v>N/A</v>
      </c>
      <c r="G30" s="62" t="str">
        <f>IFERROR(IF(VLOOKUP($A30,'2022 Data (WP)'!$D$9:$AA$70,3,FALSE)=0,"",VLOOKUP($A30,'2022 Data (WP)'!$D$9:$AA$70,3,FALSE)),"N/A")</f>
        <v>N/A</v>
      </c>
      <c r="H30" s="62" t="str">
        <f>IFERROR(IF(VLOOKUP($A30,'2021 Data (WP)'!$D$9:$AA$70,3,FALSE)=0,"",VLOOKUP($A30,'2021 Data (WP)'!$D$9:$AA$70,3,FALSE)),"N/A")</f>
        <v>N/A</v>
      </c>
      <c r="I30" s="62" t="str">
        <f>IFERROR(IF(VLOOKUP($A30,'2020 Data (WP)'!$D$9:$AA$70,3,FALSE)=0,"",VLOOKUP($A30,'2020 Data (WP)'!$D$9:$AA$70,3,FALSE)),"N/A")</f>
        <v>N/A</v>
      </c>
      <c r="J30" s="62" t="str">
        <f t="shared" si="5"/>
        <v>N/A</v>
      </c>
      <c r="K30" s="62" t="str">
        <f t="shared" si="8"/>
        <v>N/A</v>
      </c>
      <c r="L30" s="62" t="str">
        <f ca="1">IFERROR(VLOOKUP($A30,LASTYR,'[3]2017'!$C$3,FALSE),"N/A")</f>
        <v>N/A</v>
      </c>
      <c r="M30" s="62" t="str">
        <f t="shared" ca="1" si="6"/>
        <v>N/A</v>
      </c>
      <c r="N30" s="62" t="str">
        <f t="shared" ca="1" si="6"/>
        <v>N/A</v>
      </c>
      <c r="O30" s="62" t="str">
        <f t="shared" ca="1" si="6"/>
        <v>N/A</v>
      </c>
      <c r="P30" s="62" t="str">
        <f t="shared" ca="1" si="6"/>
        <v>N/A</v>
      </c>
      <c r="Q30" s="62" t="str">
        <f t="shared" ca="1" si="6"/>
        <v>N/A</v>
      </c>
      <c r="R30" s="62" t="str">
        <f t="shared" ca="1" si="6"/>
        <v>N/A</v>
      </c>
      <c r="S30" s="62" t="str">
        <f t="shared" ca="1" si="6"/>
        <v>N/A</v>
      </c>
      <c r="T30" s="62" t="str">
        <f t="shared" ca="1" si="6"/>
        <v>N/A</v>
      </c>
      <c r="U30" s="62" t="str">
        <f t="shared" ca="1" si="6"/>
        <v>N/A</v>
      </c>
      <c r="V30" s="62" t="str">
        <f t="shared" ca="1" si="6"/>
        <v>N/A</v>
      </c>
      <c r="W30" s="62" t="str">
        <f t="shared" ca="1" si="6"/>
        <v>N/A</v>
      </c>
      <c r="X30" s="62"/>
      <c r="Y30" s="62"/>
      <c r="Z30" s="62"/>
      <c r="AA30" s="62"/>
    </row>
    <row r="31" spans="1:27" hidden="1" x14ac:dyDescent="0.25">
      <c r="A31" s="44"/>
      <c r="B31" s="45" t="str">
        <f t="shared" ca="1" si="3"/>
        <v/>
      </c>
      <c r="C31" s="1" t="str">
        <f>IF(ISERROR(D31),"",IF(D31="","",MAX($C$12:C30)+1))</f>
        <v/>
      </c>
      <c r="D31" t="e">
        <f t="shared" si="4"/>
        <v>#N/A</v>
      </c>
      <c r="E31" s="15"/>
      <c r="F31" s="62" t="str">
        <f t="shared" ca="1" si="7"/>
        <v>N/A</v>
      </c>
      <c r="G31" s="62" t="str">
        <f>IFERROR(IF(VLOOKUP($A31,'2022 Data (WP)'!$D$9:$AA$70,3,FALSE)=0,"",VLOOKUP($A31,'2022 Data (WP)'!$D$9:$AA$70,3,FALSE)),"N/A")</f>
        <v>N/A</v>
      </c>
      <c r="H31" s="62" t="str">
        <f>IFERROR(IF(VLOOKUP($A31,'2021 Data (WP)'!$D$9:$AA$70,3,FALSE)=0,"",VLOOKUP($A31,'2021 Data (WP)'!$D$9:$AA$70,3,FALSE)),"N/A")</f>
        <v>N/A</v>
      </c>
      <c r="I31" s="62" t="str">
        <f>IFERROR(IF(VLOOKUP($A31,'2020 Data (WP)'!$D$9:$AA$70,3,FALSE)=0,"",VLOOKUP($A31,'2020 Data (WP)'!$D$9:$AA$70,3,FALSE)),"N/A")</f>
        <v>N/A</v>
      </c>
      <c r="J31" s="62" t="str">
        <f t="shared" si="5"/>
        <v>N/A</v>
      </c>
      <c r="K31" s="62" t="str">
        <f t="shared" si="8"/>
        <v>N/A</v>
      </c>
      <c r="L31" s="62" t="str">
        <f ca="1">IFERROR(VLOOKUP($A31,LASTYR,'[3]2017'!$C$3,FALSE),"N/A")</f>
        <v>N/A</v>
      </c>
      <c r="M31" s="62" t="str">
        <f t="shared" ca="1" si="6"/>
        <v>N/A</v>
      </c>
      <c r="N31" s="62" t="str">
        <f t="shared" ca="1" si="6"/>
        <v>N/A</v>
      </c>
      <c r="O31" s="62" t="str">
        <f t="shared" ca="1" si="6"/>
        <v>N/A</v>
      </c>
      <c r="P31" s="62" t="str">
        <f t="shared" ca="1" si="6"/>
        <v>N/A</v>
      </c>
      <c r="Q31" s="62" t="str">
        <f t="shared" ca="1" si="6"/>
        <v>N/A</v>
      </c>
      <c r="R31" s="62" t="str">
        <f t="shared" ca="1" si="6"/>
        <v>N/A</v>
      </c>
      <c r="S31" s="62" t="str">
        <f t="shared" ca="1" si="6"/>
        <v>N/A</v>
      </c>
      <c r="T31" s="62" t="str">
        <f t="shared" ca="1" si="6"/>
        <v>N/A</v>
      </c>
      <c r="U31" s="62" t="str">
        <f t="shared" ca="1" si="6"/>
        <v>N/A</v>
      </c>
      <c r="V31" s="62" t="str">
        <f t="shared" ca="1" si="6"/>
        <v>N/A</v>
      </c>
      <c r="W31" s="62" t="str">
        <f t="shared" ca="1" si="6"/>
        <v>N/A</v>
      </c>
      <c r="X31" s="62"/>
      <c r="Y31" s="62"/>
      <c r="Z31" s="62"/>
      <c r="AA31" s="62"/>
    </row>
    <row r="32" spans="1:27" hidden="1" x14ac:dyDescent="0.25">
      <c r="A32" s="44"/>
      <c r="B32" s="45" t="str">
        <f t="shared" ca="1" si="3"/>
        <v/>
      </c>
      <c r="C32" s="1" t="str">
        <f>IF(ISERROR(D32),"",IF(D32="","",MAX($C$12:C31)+1))</f>
        <v/>
      </c>
      <c r="D32" t="e">
        <f t="shared" si="4"/>
        <v>#N/A</v>
      </c>
      <c r="E32" s="15"/>
      <c r="F32" s="62" t="str">
        <f t="shared" ca="1" si="7"/>
        <v>N/A</v>
      </c>
      <c r="G32" s="62" t="str">
        <f>IFERROR(IF(VLOOKUP($A32,'2022 Data (WP)'!$D$9:$AA$70,3,FALSE)=0,"",VLOOKUP($A32,'2022 Data (WP)'!$D$9:$AA$70,3,FALSE)),"N/A")</f>
        <v>N/A</v>
      </c>
      <c r="H32" s="62" t="str">
        <f>IFERROR(IF(VLOOKUP($A32,'2021 Data (WP)'!$D$9:$AA$70,3,FALSE)=0,"",VLOOKUP($A32,'2021 Data (WP)'!$D$9:$AA$70,3,FALSE)),"N/A")</f>
        <v>N/A</v>
      </c>
      <c r="I32" s="62" t="str">
        <f>IFERROR(IF(VLOOKUP($A32,'2020 Data (WP)'!$D$9:$AA$70,3,FALSE)=0,"",VLOOKUP($A32,'2020 Data (WP)'!$D$9:$AA$70,3,FALSE)),"N/A")</f>
        <v>N/A</v>
      </c>
      <c r="J32" s="62" t="str">
        <f t="shared" si="5"/>
        <v>N/A</v>
      </c>
      <c r="K32" s="62" t="str">
        <f t="shared" si="8"/>
        <v>N/A</v>
      </c>
      <c r="L32" s="62" t="str">
        <f ca="1">IFERROR(VLOOKUP($A32,LASTYR,'[3]2017'!$C$3,FALSE),"N/A")</f>
        <v>N/A</v>
      </c>
      <c r="M32" s="62" t="str">
        <f t="shared" ref="M32:W55" ca="1" si="9">IFERROR(INDEX(PE_WP,$B32,M$12),"N/A")</f>
        <v>N/A</v>
      </c>
      <c r="N32" s="62" t="str">
        <f t="shared" ca="1" si="9"/>
        <v>N/A</v>
      </c>
      <c r="O32" s="62" t="str">
        <f t="shared" ca="1" si="9"/>
        <v>N/A</v>
      </c>
      <c r="P32" s="62" t="str">
        <f t="shared" ca="1" si="9"/>
        <v>N/A</v>
      </c>
      <c r="Q32" s="62" t="str">
        <f t="shared" ca="1" si="9"/>
        <v>N/A</v>
      </c>
      <c r="R32" s="62" t="str">
        <f t="shared" ca="1" si="9"/>
        <v>N/A</v>
      </c>
      <c r="S32" s="62" t="str">
        <f t="shared" ca="1" si="9"/>
        <v>N/A</v>
      </c>
      <c r="T32" s="62" t="str">
        <f t="shared" ca="1" si="9"/>
        <v>N/A</v>
      </c>
      <c r="U32" s="62" t="str">
        <f t="shared" ca="1" si="9"/>
        <v>N/A</v>
      </c>
      <c r="V32" s="62" t="str">
        <f t="shared" ca="1" si="9"/>
        <v>N/A</v>
      </c>
      <c r="W32" s="62" t="str">
        <f t="shared" ca="1" si="9"/>
        <v>N/A</v>
      </c>
      <c r="X32" s="62"/>
      <c r="Y32" s="62"/>
      <c r="Z32" s="62"/>
      <c r="AA32" s="62"/>
    </row>
    <row r="33" spans="1:27" hidden="1" x14ac:dyDescent="0.25">
      <c r="A33" s="44"/>
      <c r="B33" s="45" t="str">
        <f t="shared" ca="1" si="3"/>
        <v/>
      </c>
      <c r="C33" s="1" t="str">
        <f>IF(ISERROR(D33),"",IF(D33="","",MAX($C$12:C32)+1))</f>
        <v/>
      </c>
      <c r="D33" t="e">
        <f t="shared" si="4"/>
        <v>#N/A</v>
      </c>
      <c r="E33" s="15"/>
      <c r="F33" s="62" t="str">
        <f t="shared" ca="1" si="7"/>
        <v>N/A</v>
      </c>
      <c r="G33" s="62" t="str">
        <f>IFERROR(IF(VLOOKUP($A33,'2022 Data (WP)'!$D$9:$AA$70,3,FALSE)=0,"",VLOOKUP($A33,'2022 Data (WP)'!$D$9:$AA$70,3,FALSE)),"N/A")</f>
        <v>N/A</v>
      </c>
      <c r="H33" s="62" t="str">
        <f>IFERROR(IF(VLOOKUP($A33,'2021 Data (WP)'!$D$9:$AA$70,3,FALSE)=0,"",VLOOKUP($A33,'2021 Data (WP)'!$D$9:$AA$70,3,FALSE)),"N/A")</f>
        <v>N/A</v>
      </c>
      <c r="I33" s="62" t="str">
        <f>IFERROR(IF(VLOOKUP($A33,'2020 Data (WP)'!$D$9:$AA$70,3,FALSE)=0,"",VLOOKUP($A33,'2020 Data (WP)'!$D$9:$AA$70,3,FALSE)),"N/A")</f>
        <v>N/A</v>
      </c>
      <c r="J33" s="62" t="str">
        <f t="shared" si="5"/>
        <v>N/A</v>
      </c>
      <c r="K33" s="62" t="str">
        <f t="shared" si="8"/>
        <v>N/A</v>
      </c>
      <c r="L33" s="62" t="str">
        <f ca="1">IFERROR(VLOOKUP($A33,LASTYR,'[3]2017'!$C$3,FALSE),"N/A")</f>
        <v>N/A</v>
      </c>
      <c r="M33" s="62" t="str">
        <f t="shared" ca="1" si="9"/>
        <v>N/A</v>
      </c>
      <c r="N33" s="62" t="str">
        <f t="shared" ca="1" si="9"/>
        <v>N/A</v>
      </c>
      <c r="O33" s="62" t="str">
        <f t="shared" ca="1" si="9"/>
        <v>N/A</v>
      </c>
      <c r="P33" s="62" t="str">
        <f t="shared" ca="1" si="9"/>
        <v>N/A</v>
      </c>
      <c r="Q33" s="62" t="str">
        <f t="shared" ca="1" si="9"/>
        <v>N/A</v>
      </c>
      <c r="R33" s="62" t="str">
        <f t="shared" ca="1" si="9"/>
        <v>N/A</v>
      </c>
      <c r="S33" s="62" t="str">
        <f t="shared" ca="1" si="9"/>
        <v>N/A</v>
      </c>
      <c r="T33" s="62" t="str">
        <f t="shared" ca="1" si="9"/>
        <v>N/A</v>
      </c>
      <c r="U33" s="62" t="str">
        <f t="shared" ca="1" si="9"/>
        <v>N/A</v>
      </c>
      <c r="V33" s="62" t="str">
        <f t="shared" ca="1" si="9"/>
        <v>N/A</v>
      </c>
      <c r="W33" s="62" t="str">
        <f t="shared" ca="1" si="9"/>
        <v>N/A</v>
      </c>
      <c r="X33" s="62"/>
      <c r="Y33" s="62"/>
      <c r="Z33" s="62"/>
      <c r="AA33" s="62"/>
    </row>
    <row r="34" spans="1:27" hidden="1" x14ac:dyDescent="0.25">
      <c r="A34" s="44"/>
      <c r="B34" s="45" t="str">
        <f t="shared" ca="1" si="3"/>
        <v/>
      </c>
      <c r="C34" s="1" t="str">
        <f>IF(ISERROR(D34),"",IF(D34="","",MAX($C$12:C33)+1))</f>
        <v/>
      </c>
      <c r="D34" t="e">
        <f t="shared" si="4"/>
        <v>#N/A</v>
      </c>
      <c r="E34" s="15"/>
      <c r="F34" s="62" t="str">
        <f t="shared" ca="1" si="7"/>
        <v>N/A</v>
      </c>
      <c r="G34" s="62" t="str">
        <f>IFERROR(IF(VLOOKUP($A34,'2022 Data (WP)'!$D$9:$AA$70,3,FALSE)=0,"",VLOOKUP($A34,'2022 Data (WP)'!$D$9:$AA$70,3,FALSE)),"N/A")</f>
        <v>N/A</v>
      </c>
      <c r="H34" s="62" t="str">
        <f>IFERROR(IF(VLOOKUP($A34,'2021 Data (WP)'!$D$9:$AA$70,3,FALSE)=0,"",VLOOKUP($A34,'2021 Data (WP)'!$D$9:$AA$70,3,FALSE)),"N/A")</f>
        <v>N/A</v>
      </c>
      <c r="I34" s="62" t="str">
        <f>IFERROR(IF(VLOOKUP($A34,'2020 Data (WP)'!$D$9:$AA$70,3,FALSE)=0,"",VLOOKUP($A34,'2020 Data (WP)'!$D$9:$AA$70,3,FALSE)),"N/A")</f>
        <v>N/A</v>
      </c>
      <c r="J34" s="62" t="str">
        <f t="shared" si="5"/>
        <v>N/A</v>
      </c>
      <c r="K34" s="62" t="str">
        <f t="shared" si="8"/>
        <v>N/A</v>
      </c>
      <c r="L34" s="62" t="str">
        <f ca="1">IFERROR(VLOOKUP($A34,LASTYR,'[3]2017'!$C$3,FALSE),"N/A")</f>
        <v>N/A</v>
      </c>
      <c r="M34" s="62" t="str">
        <f t="shared" ca="1" si="9"/>
        <v>N/A</v>
      </c>
      <c r="N34" s="62" t="str">
        <f t="shared" ca="1" si="9"/>
        <v>N/A</v>
      </c>
      <c r="O34" s="62" t="str">
        <f t="shared" ca="1" si="9"/>
        <v>N/A</v>
      </c>
      <c r="P34" s="62" t="str">
        <f t="shared" ca="1" si="9"/>
        <v>N/A</v>
      </c>
      <c r="Q34" s="62" t="str">
        <f t="shared" ca="1" si="9"/>
        <v>N/A</v>
      </c>
      <c r="R34" s="62" t="str">
        <f t="shared" ca="1" si="9"/>
        <v>N/A</v>
      </c>
      <c r="S34" s="62" t="str">
        <f t="shared" ca="1" si="9"/>
        <v>N/A</v>
      </c>
      <c r="T34" s="62" t="str">
        <f t="shared" ca="1" si="9"/>
        <v>N/A</v>
      </c>
      <c r="U34" s="62" t="str">
        <f t="shared" ca="1" si="9"/>
        <v>N/A</v>
      </c>
      <c r="V34" s="62" t="str">
        <f t="shared" ca="1" si="9"/>
        <v>N/A</v>
      </c>
      <c r="W34" s="62" t="str">
        <f t="shared" ca="1" si="9"/>
        <v>N/A</v>
      </c>
      <c r="X34" s="62"/>
      <c r="Y34" s="62"/>
      <c r="Z34" s="62"/>
      <c r="AA34" s="62"/>
    </row>
    <row r="35" spans="1:27" hidden="1" x14ac:dyDescent="0.25">
      <c r="A35" s="44"/>
      <c r="B35" s="45" t="str">
        <f t="shared" ca="1" si="3"/>
        <v/>
      </c>
      <c r="C35" s="1" t="str">
        <f>IF(ISERROR(D35),"",IF(D35="","",MAX($C$12:C34)+1))</f>
        <v/>
      </c>
      <c r="D35" t="e">
        <f t="shared" si="4"/>
        <v>#N/A</v>
      </c>
      <c r="E35" s="15"/>
      <c r="F35" s="62" t="str">
        <f t="shared" ca="1" si="7"/>
        <v>N/A</v>
      </c>
      <c r="G35" s="62" t="str">
        <f>IFERROR(IF(VLOOKUP($A35,'2022 Data (WP)'!$D$9:$AA$70,3,FALSE)=0,"",VLOOKUP($A35,'2022 Data (WP)'!$D$9:$AA$70,3,FALSE)),"N/A")</f>
        <v>N/A</v>
      </c>
      <c r="H35" s="62" t="str">
        <f>IFERROR(IF(VLOOKUP($A35,'2021 Data (WP)'!$D$9:$AA$70,3,FALSE)=0,"",VLOOKUP($A35,'2021 Data (WP)'!$D$9:$AA$70,3,FALSE)),"N/A")</f>
        <v>N/A</v>
      </c>
      <c r="I35" s="62" t="str">
        <f>IFERROR(IF(VLOOKUP($A35,'2020 Data (WP)'!$D$9:$AA$70,3,FALSE)=0,"",VLOOKUP($A35,'2020 Data (WP)'!$D$9:$AA$70,3,FALSE)),"N/A")</f>
        <v>N/A</v>
      </c>
      <c r="J35" s="62" t="str">
        <f t="shared" si="5"/>
        <v>N/A</v>
      </c>
      <c r="K35" s="62" t="str">
        <f t="shared" si="8"/>
        <v>N/A</v>
      </c>
      <c r="L35" s="62" t="str">
        <f ca="1">IFERROR(VLOOKUP($A35,LASTYR,'[3]2017'!$C$3,FALSE),"N/A")</f>
        <v>N/A</v>
      </c>
      <c r="M35" s="62" t="str">
        <f t="shared" ca="1" si="9"/>
        <v>N/A</v>
      </c>
      <c r="N35" s="62" t="str">
        <f t="shared" ca="1" si="9"/>
        <v>N/A</v>
      </c>
      <c r="O35" s="62" t="str">
        <f t="shared" ca="1" si="9"/>
        <v>N/A</v>
      </c>
      <c r="P35" s="62" t="str">
        <f t="shared" ca="1" si="9"/>
        <v>N/A</v>
      </c>
      <c r="Q35" s="62" t="str">
        <f t="shared" ca="1" si="9"/>
        <v>N/A</v>
      </c>
      <c r="R35" s="62" t="str">
        <f t="shared" ca="1" si="9"/>
        <v>N/A</v>
      </c>
      <c r="S35" s="62" t="str">
        <f t="shared" ca="1" si="9"/>
        <v>N/A</v>
      </c>
      <c r="T35" s="62" t="str">
        <f t="shared" ca="1" si="9"/>
        <v>N/A</v>
      </c>
      <c r="U35" s="62" t="str">
        <f t="shared" ca="1" si="9"/>
        <v>N/A</v>
      </c>
      <c r="V35" s="62" t="str">
        <f t="shared" ca="1" si="9"/>
        <v>N/A</v>
      </c>
      <c r="W35" s="62" t="str">
        <f t="shared" ca="1" si="9"/>
        <v>N/A</v>
      </c>
      <c r="X35" s="62"/>
      <c r="Y35" s="62"/>
      <c r="Z35" s="62"/>
      <c r="AA35" s="62"/>
    </row>
    <row r="36" spans="1:27" hidden="1" x14ac:dyDescent="0.25">
      <c r="A36" s="44"/>
      <c r="B36" s="45" t="str">
        <f t="shared" ca="1" si="3"/>
        <v/>
      </c>
      <c r="C36" s="1" t="str">
        <f>IF(ISERROR(D36),"",IF(D36="","",MAX($C$12:C35)+1))</f>
        <v/>
      </c>
      <c r="D36" t="e">
        <f t="shared" si="4"/>
        <v>#N/A</v>
      </c>
      <c r="E36" s="15"/>
      <c r="F36" s="62" t="str">
        <f t="shared" ca="1" si="7"/>
        <v>N/A</v>
      </c>
      <c r="G36" s="62" t="str">
        <f>IFERROR(IF(VLOOKUP($A36,'2022 Data (WP)'!$D$9:$AA$70,3,FALSE)=0,"",VLOOKUP($A36,'2022 Data (WP)'!$D$9:$AA$70,3,FALSE)),"N/A")</f>
        <v>N/A</v>
      </c>
      <c r="H36" s="62" t="str">
        <f>IFERROR(IF(VLOOKUP($A36,'2021 Data (WP)'!$D$9:$AA$70,3,FALSE)=0,"",VLOOKUP($A36,'2021 Data (WP)'!$D$9:$AA$70,3,FALSE)),"N/A")</f>
        <v>N/A</v>
      </c>
      <c r="I36" s="62" t="str">
        <f>IFERROR(IF(VLOOKUP($A36,'2020 Data (WP)'!$D$9:$AA$70,3,FALSE)=0,"",VLOOKUP($A36,'2020 Data (WP)'!$D$9:$AA$70,3,FALSE)),"N/A")</f>
        <v>N/A</v>
      </c>
      <c r="J36" s="62" t="str">
        <f t="shared" si="5"/>
        <v>N/A</v>
      </c>
      <c r="K36" s="62" t="str">
        <f t="shared" si="8"/>
        <v>N/A</v>
      </c>
      <c r="L36" s="62" t="str">
        <f ca="1">IFERROR(VLOOKUP($A36,LASTYR,'[3]2017'!$C$3,FALSE),"N/A")</f>
        <v>N/A</v>
      </c>
      <c r="M36" s="62" t="str">
        <f t="shared" ca="1" si="9"/>
        <v>N/A</v>
      </c>
      <c r="N36" s="62" t="str">
        <f t="shared" ca="1" si="9"/>
        <v>N/A</v>
      </c>
      <c r="O36" s="62" t="str">
        <f t="shared" ca="1" si="9"/>
        <v>N/A</v>
      </c>
      <c r="P36" s="62" t="str">
        <f t="shared" ca="1" si="9"/>
        <v>N/A</v>
      </c>
      <c r="Q36" s="62" t="str">
        <f t="shared" ca="1" si="9"/>
        <v>N/A</v>
      </c>
      <c r="R36" s="62" t="str">
        <f t="shared" ca="1" si="9"/>
        <v>N/A</v>
      </c>
      <c r="S36" s="62" t="str">
        <f t="shared" ca="1" si="9"/>
        <v>N/A</v>
      </c>
      <c r="T36" s="62" t="str">
        <f t="shared" ca="1" si="9"/>
        <v>N/A</v>
      </c>
      <c r="U36" s="62" t="str">
        <f t="shared" ca="1" si="9"/>
        <v>N/A</v>
      </c>
      <c r="V36" s="62" t="str">
        <f t="shared" ca="1" si="9"/>
        <v>N/A</v>
      </c>
      <c r="W36" s="62" t="str">
        <f t="shared" ca="1" si="9"/>
        <v>N/A</v>
      </c>
      <c r="X36" s="62"/>
      <c r="Y36" s="62"/>
      <c r="Z36" s="62"/>
      <c r="AA36" s="62"/>
    </row>
    <row r="37" spans="1:27" hidden="1" x14ac:dyDescent="0.25">
      <c r="A37" s="44"/>
      <c r="B37" s="45" t="str">
        <f t="shared" ca="1" si="3"/>
        <v/>
      </c>
      <c r="C37" s="1" t="str">
        <f>IF(ISERROR(D37),"",IF(D37="","",MAX($C$12:C36)+1))</f>
        <v/>
      </c>
      <c r="D37" t="e">
        <f t="shared" si="4"/>
        <v>#N/A</v>
      </c>
      <c r="E37" s="15"/>
      <c r="F37" s="62" t="str">
        <f t="shared" ca="1" si="7"/>
        <v>N/A</v>
      </c>
      <c r="G37" s="62" t="str">
        <f>IFERROR(IF(VLOOKUP($A37,'2022 Data (WP)'!$D$9:$AA$70,3,FALSE)=0,"",VLOOKUP($A37,'2022 Data (WP)'!$D$9:$AA$70,3,FALSE)),"N/A")</f>
        <v>N/A</v>
      </c>
      <c r="H37" s="62" t="str">
        <f>IFERROR(IF(VLOOKUP($A37,'2021 Data (WP)'!$D$9:$AA$70,3,FALSE)=0,"",VLOOKUP($A37,'2021 Data (WP)'!$D$9:$AA$70,3,FALSE)),"N/A")</f>
        <v>N/A</v>
      </c>
      <c r="I37" s="62" t="str">
        <f>IFERROR(IF(VLOOKUP($A37,'2020 Data (WP)'!$D$9:$AA$70,3,FALSE)=0,"",VLOOKUP($A37,'2020 Data (WP)'!$D$9:$AA$70,3,FALSE)),"N/A")</f>
        <v>N/A</v>
      </c>
      <c r="J37" s="62" t="str">
        <f t="shared" si="5"/>
        <v>N/A</v>
      </c>
      <c r="K37" s="62" t="str">
        <f t="shared" si="8"/>
        <v>N/A</v>
      </c>
      <c r="L37" s="62" t="str">
        <f ca="1">IFERROR(VLOOKUP($A37,LASTYR,'[3]2017'!$C$3,FALSE),"N/A")</f>
        <v>N/A</v>
      </c>
      <c r="M37" s="62" t="str">
        <f t="shared" ca="1" si="9"/>
        <v>N/A</v>
      </c>
      <c r="N37" s="62" t="str">
        <f t="shared" ca="1" si="9"/>
        <v>N/A</v>
      </c>
      <c r="O37" s="62" t="str">
        <f t="shared" ca="1" si="9"/>
        <v>N/A</v>
      </c>
      <c r="P37" s="62" t="str">
        <f t="shared" ca="1" si="9"/>
        <v>N/A</v>
      </c>
      <c r="Q37" s="62" t="str">
        <f t="shared" ca="1" si="9"/>
        <v>N/A</v>
      </c>
      <c r="R37" s="62" t="str">
        <f t="shared" ca="1" si="9"/>
        <v>N/A</v>
      </c>
      <c r="S37" s="62" t="str">
        <f t="shared" ca="1" si="9"/>
        <v>N/A</v>
      </c>
      <c r="T37" s="62" t="str">
        <f t="shared" ca="1" si="9"/>
        <v>N/A</v>
      </c>
      <c r="U37" s="62" t="str">
        <f t="shared" ca="1" si="9"/>
        <v>N/A</v>
      </c>
      <c r="V37" s="62" t="str">
        <f t="shared" ca="1" si="9"/>
        <v>N/A</v>
      </c>
      <c r="W37" s="62" t="str">
        <f t="shared" ca="1" si="9"/>
        <v>N/A</v>
      </c>
      <c r="X37" s="62"/>
      <c r="Y37" s="62"/>
      <c r="Z37" s="62"/>
      <c r="AA37" s="62"/>
    </row>
    <row r="38" spans="1:27" hidden="1" x14ac:dyDescent="0.25">
      <c r="A38" s="44"/>
      <c r="B38" s="45" t="str">
        <f t="shared" ca="1" si="3"/>
        <v/>
      </c>
      <c r="C38" s="1" t="str">
        <f>IF(ISERROR(D38),"",IF(D38="","",MAX($C$12:C37)+1))</f>
        <v/>
      </c>
      <c r="D38" t="e">
        <f t="shared" si="4"/>
        <v>#N/A</v>
      </c>
      <c r="E38" s="15"/>
      <c r="F38" s="62" t="str">
        <f t="shared" ca="1" si="7"/>
        <v>N/A</v>
      </c>
      <c r="G38" s="62" t="str">
        <f>IFERROR(IF(VLOOKUP($A38,'2022 Data (WP)'!$D$9:$AA$70,3,FALSE)=0,"",VLOOKUP($A38,'2022 Data (WP)'!$D$9:$AA$70,3,FALSE)),"N/A")</f>
        <v>N/A</v>
      </c>
      <c r="H38" s="62" t="str">
        <f>IFERROR(IF(VLOOKUP($A38,'2021 Data (WP)'!$D$9:$AA$70,3,FALSE)=0,"",VLOOKUP($A38,'2021 Data (WP)'!$D$9:$AA$70,3,FALSE)),"N/A")</f>
        <v>N/A</v>
      </c>
      <c r="I38" s="62" t="str">
        <f>IFERROR(IF(VLOOKUP($A38,'2020 Data (WP)'!$D$9:$AA$70,3,FALSE)=0,"",VLOOKUP($A38,'2020 Data (WP)'!$D$9:$AA$70,3,FALSE)),"N/A")</f>
        <v>N/A</v>
      </c>
      <c r="J38" s="62" t="str">
        <f t="shared" si="5"/>
        <v>N/A</v>
      </c>
      <c r="K38" s="62" t="str">
        <f t="shared" si="8"/>
        <v>N/A</v>
      </c>
      <c r="L38" s="62" t="str">
        <f ca="1">IFERROR(VLOOKUP($A38,LASTYR,'[3]2017'!$C$3,FALSE),"N/A")</f>
        <v>N/A</v>
      </c>
      <c r="M38" s="62" t="str">
        <f t="shared" ca="1" si="9"/>
        <v>N/A</v>
      </c>
      <c r="N38" s="62" t="str">
        <f t="shared" ca="1" si="9"/>
        <v>N/A</v>
      </c>
      <c r="O38" s="62" t="str">
        <f t="shared" ca="1" si="9"/>
        <v>N/A</v>
      </c>
      <c r="P38" s="62" t="str">
        <f t="shared" ca="1" si="9"/>
        <v>N/A</v>
      </c>
      <c r="Q38" s="62" t="str">
        <f t="shared" ca="1" si="9"/>
        <v>N/A</v>
      </c>
      <c r="R38" s="62" t="str">
        <f t="shared" ca="1" si="9"/>
        <v>N/A</v>
      </c>
      <c r="S38" s="62" t="str">
        <f t="shared" ca="1" si="9"/>
        <v>N/A</v>
      </c>
      <c r="T38" s="62" t="str">
        <f t="shared" ca="1" si="9"/>
        <v>N/A</v>
      </c>
      <c r="U38" s="62" t="str">
        <f t="shared" ca="1" si="9"/>
        <v>N/A</v>
      </c>
      <c r="V38" s="62" t="str">
        <f t="shared" ca="1" si="9"/>
        <v>N/A</v>
      </c>
      <c r="W38" s="62" t="str">
        <f t="shared" ca="1" si="9"/>
        <v>N/A</v>
      </c>
      <c r="X38" s="62"/>
      <c r="Y38" s="62"/>
      <c r="Z38" s="62"/>
      <c r="AA38" s="62"/>
    </row>
    <row r="39" spans="1:27" hidden="1" x14ac:dyDescent="0.25">
      <c r="A39" s="44"/>
      <c r="B39" s="45" t="str">
        <f t="shared" ca="1" si="3"/>
        <v/>
      </c>
      <c r="C39" s="1" t="str">
        <f>IF(ISERROR(D39),"",IF(D39="","",MAX($C$12:C38)+1))</f>
        <v/>
      </c>
      <c r="D39" t="e">
        <f t="shared" si="4"/>
        <v>#N/A</v>
      </c>
      <c r="E39" s="15"/>
      <c r="F39" s="62" t="str">
        <f t="shared" ca="1" si="7"/>
        <v>N/A</v>
      </c>
      <c r="G39" s="62" t="str">
        <f>IFERROR(IF(VLOOKUP($A39,'2022 Data (WP)'!$D$9:$AA$70,3,FALSE)=0,"",VLOOKUP($A39,'2022 Data (WP)'!$D$9:$AA$70,3,FALSE)),"N/A")</f>
        <v>N/A</v>
      </c>
      <c r="H39" s="62" t="str">
        <f>IFERROR(IF(VLOOKUP($A39,'2021 Data (WP)'!$D$9:$AA$70,3,FALSE)=0,"",VLOOKUP($A39,'2021 Data (WP)'!$D$9:$AA$70,3,FALSE)),"N/A")</f>
        <v>N/A</v>
      </c>
      <c r="I39" s="62" t="str">
        <f>IFERROR(IF(VLOOKUP($A39,'2020 Data (WP)'!$D$9:$AA$70,3,FALSE)=0,"",VLOOKUP($A39,'2020 Data (WP)'!$D$9:$AA$70,3,FALSE)),"N/A")</f>
        <v>N/A</v>
      </c>
      <c r="J39" s="62" t="str">
        <f t="shared" si="5"/>
        <v>N/A</v>
      </c>
      <c r="K39" s="62" t="str">
        <f t="shared" si="8"/>
        <v>N/A</v>
      </c>
      <c r="L39" s="62" t="str">
        <f ca="1">IFERROR(VLOOKUP($A39,LASTYR,'[3]2017'!$C$3,FALSE),"N/A")</f>
        <v>N/A</v>
      </c>
      <c r="M39" s="62" t="str">
        <f t="shared" ca="1" si="9"/>
        <v>N/A</v>
      </c>
      <c r="N39" s="62" t="str">
        <f t="shared" ca="1" si="9"/>
        <v>N/A</v>
      </c>
      <c r="O39" s="62" t="str">
        <f t="shared" ca="1" si="9"/>
        <v>N/A</v>
      </c>
      <c r="P39" s="62" t="str">
        <f t="shared" ca="1" si="9"/>
        <v>N/A</v>
      </c>
      <c r="Q39" s="62" t="str">
        <f t="shared" ca="1" si="9"/>
        <v>N/A</v>
      </c>
      <c r="R39" s="62" t="str">
        <f t="shared" ca="1" si="9"/>
        <v>N/A</v>
      </c>
      <c r="S39" s="62" t="str">
        <f t="shared" ca="1" si="9"/>
        <v>N/A</v>
      </c>
      <c r="T39" s="62" t="str">
        <f t="shared" ca="1" si="9"/>
        <v>N/A</v>
      </c>
      <c r="U39" s="62" t="str">
        <f t="shared" ca="1" si="9"/>
        <v>N/A</v>
      </c>
      <c r="V39" s="62" t="str">
        <f t="shared" ca="1" si="9"/>
        <v>N/A</v>
      </c>
      <c r="W39" s="62" t="str">
        <f t="shared" ca="1" si="9"/>
        <v>N/A</v>
      </c>
      <c r="X39" s="62"/>
      <c r="Y39" s="62"/>
      <c r="Z39" s="62"/>
      <c r="AA39" s="62"/>
    </row>
    <row r="40" spans="1:27" hidden="1" x14ac:dyDescent="0.25">
      <c r="A40" s="44"/>
      <c r="B40" s="45" t="str">
        <f t="shared" ca="1" si="3"/>
        <v/>
      </c>
      <c r="C40" s="1" t="str">
        <f>IF(ISERROR(D40),"",IF(D40="","",MAX($C$12:C39)+1))</f>
        <v/>
      </c>
      <c r="D40" t="e">
        <f t="shared" si="4"/>
        <v>#N/A</v>
      </c>
      <c r="E40" s="15"/>
      <c r="F40" s="62" t="str">
        <f t="shared" ca="1" si="7"/>
        <v>N/A</v>
      </c>
      <c r="G40" s="62" t="str">
        <f>IFERROR(IF(VLOOKUP($A40,'2022 Data (WP)'!$D$9:$AA$70,3,FALSE)=0,"",VLOOKUP($A40,'2022 Data (WP)'!$D$9:$AA$70,3,FALSE)),"N/A")</f>
        <v>N/A</v>
      </c>
      <c r="H40" s="62" t="str">
        <f>IFERROR(IF(VLOOKUP($A40,'2021 Data (WP)'!$D$9:$AA$70,3,FALSE)=0,"",VLOOKUP($A40,'2021 Data (WP)'!$D$9:$AA$70,3,FALSE)),"N/A")</f>
        <v>N/A</v>
      </c>
      <c r="I40" s="62" t="str">
        <f>IFERROR(IF(VLOOKUP($A40,'2020 Data (WP)'!$D$9:$AA$70,3,FALSE)=0,"",VLOOKUP($A40,'2020 Data (WP)'!$D$9:$AA$70,3,FALSE)),"N/A")</f>
        <v>N/A</v>
      </c>
      <c r="J40" s="62" t="str">
        <f t="shared" si="5"/>
        <v>N/A</v>
      </c>
      <c r="K40" s="62" t="str">
        <f t="shared" si="8"/>
        <v>N/A</v>
      </c>
      <c r="L40" s="62" t="str">
        <f ca="1">IFERROR(VLOOKUP($A40,LASTYR,'[3]2017'!$C$3,FALSE),"N/A")</f>
        <v>N/A</v>
      </c>
      <c r="M40" s="62" t="str">
        <f t="shared" ca="1" si="9"/>
        <v>N/A</v>
      </c>
      <c r="N40" s="62" t="str">
        <f t="shared" ca="1" si="9"/>
        <v>N/A</v>
      </c>
      <c r="O40" s="62" t="str">
        <f t="shared" ca="1" si="9"/>
        <v>N/A</v>
      </c>
      <c r="P40" s="62" t="str">
        <f t="shared" ca="1" si="9"/>
        <v>N/A</v>
      </c>
      <c r="Q40" s="62" t="str">
        <f t="shared" ca="1" si="9"/>
        <v>N/A</v>
      </c>
      <c r="R40" s="62" t="str">
        <f t="shared" ca="1" si="9"/>
        <v>N/A</v>
      </c>
      <c r="S40" s="62" t="str">
        <f t="shared" ca="1" si="9"/>
        <v>N/A</v>
      </c>
      <c r="T40" s="62" t="str">
        <f t="shared" ca="1" si="9"/>
        <v>N/A</v>
      </c>
      <c r="U40" s="62" t="str">
        <f t="shared" ca="1" si="9"/>
        <v>N/A</v>
      </c>
      <c r="V40" s="62" t="str">
        <f t="shared" ca="1" si="9"/>
        <v>N/A</v>
      </c>
      <c r="W40" s="62" t="str">
        <f t="shared" ca="1" si="9"/>
        <v>N/A</v>
      </c>
      <c r="X40" s="62"/>
      <c r="Y40" s="62"/>
      <c r="Z40" s="62"/>
      <c r="AA40" s="62"/>
    </row>
    <row r="41" spans="1:27" hidden="1" x14ac:dyDescent="0.25">
      <c r="A41" s="44"/>
      <c r="B41" s="45" t="str">
        <f t="shared" ca="1" si="3"/>
        <v/>
      </c>
      <c r="C41" s="1" t="str">
        <f>IF(ISERROR(D41),"",IF(D41="","",MAX($C$12:C40)+1))</f>
        <v/>
      </c>
      <c r="D41" t="e">
        <f t="shared" si="4"/>
        <v>#N/A</v>
      </c>
      <c r="E41" s="15"/>
      <c r="F41" s="62" t="str">
        <f t="shared" ca="1" si="7"/>
        <v>N/A</v>
      </c>
      <c r="G41" s="62" t="str">
        <f>IFERROR(IF(VLOOKUP($A41,'2022 Data (WP)'!$D$9:$AA$70,3,FALSE)=0,"",VLOOKUP($A41,'2022 Data (WP)'!$D$9:$AA$70,3,FALSE)),"N/A")</f>
        <v>N/A</v>
      </c>
      <c r="H41" s="62" t="str">
        <f>IFERROR(IF(VLOOKUP($A41,'2021 Data (WP)'!$D$9:$AA$70,3,FALSE)=0,"",VLOOKUP($A41,'2021 Data (WP)'!$D$9:$AA$70,3,FALSE)),"N/A")</f>
        <v>N/A</v>
      </c>
      <c r="I41" s="62" t="str">
        <f>IFERROR(IF(VLOOKUP($A41,'2020 Data (WP)'!$D$9:$AA$70,3,FALSE)=0,"",VLOOKUP($A41,'2020 Data (WP)'!$D$9:$AA$70,3,FALSE)),"N/A")</f>
        <v>N/A</v>
      </c>
      <c r="J41" s="62" t="str">
        <f t="shared" si="5"/>
        <v>N/A</v>
      </c>
      <c r="K41" s="62" t="str">
        <f t="shared" si="8"/>
        <v>N/A</v>
      </c>
      <c r="L41" s="62" t="str">
        <f ca="1">IFERROR(VLOOKUP($A41,LASTYR,'[3]2017'!$C$3,FALSE),"N/A")</f>
        <v>N/A</v>
      </c>
      <c r="M41" s="62" t="str">
        <f t="shared" ca="1" si="9"/>
        <v>N/A</v>
      </c>
      <c r="N41" s="62" t="str">
        <f t="shared" ca="1" si="9"/>
        <v>N/A</v>
      </c>
      <c r="O41" s="62" t="str">
        <f t="shared" ca="1" si="9"/>
        <v>N/A</v>
      </c>
      <c r="P41" s="62" t="str">
        <f t="shared" ca="1" si="9"/>
        <v>N/A</v>
      </c>
      <c r="Q41" s="62" t="str">
        <f t="shared" ca="1" si="9"/>
        <v>N/A</v>
      </c>
      <c r="R41" s="62" t="str">
        <f t="shared" ca="1" si="9"/>
        <v>N/A</v>
      </c>
      <c r="S41" s="62" t="str">
        <f t="shared" ca="1" si="9"/>
        <v>N/A</v>
      </c>
      <c r="T41" s="62" t="str">
        <f t="shared" ca="1" si="9"/>
        <v>N/A</v>
      </c>
      <c r="U41" s="62" t="str">
        <f t="shared" ca="1" si="9"/>
        <v>N/A</v>
      </c>
      <c r="V41" s="62" t="str">
        <f t="shared" ca="1" si="9"/>
        <v>N/A</v>
      </c>
      <c r="W41" s="62" t="str">
        <f t="shared" ca="1" si="9"/>
        <v>N/A</v>
      </c>
      <c r="X41" s="62"/>
      <c r="Y41" s="62"/>
      <c r="Z41" s="62"/>
      <c r="AA41" s="62"/>
    </row>
    <row r="42" spans="1:27" hidden="1" x14ac:dyDescent="0.25">
      <c r="A42" s="44"/>
      <c r="B42" s="45" t="str">
        <f t="shared" ca="1" si="3"/>
        <v/>
      </c>
      <c r="C42" s="1" t="str">
        <f>IF(ISERROR(D42),"",IF(D42="","",MAX($C$12:C41)+1))</f>
        <v/>
      </c>
      <c r="D42" t="e">
        <f t="shared" si="4"/>
        <v>#N/A</v>
      </c>
      <c r="E42" s="15"/>
      <c r="F42" s="62" t="str">
        <f t="shared" ca="1" si="7"/>
        <v>N/A</v>
      </c>
      <c r="G42" s="62" t="str">
        <f>IFERROR(IF(VLOOKUP($A42,'2022 Data (WP)'!$D$9:$AA$70,3,FALSE)=0,"",VLOOKUP($A42,'2022 Data (WP)'!$D$9:$AA$70,3,FALSE)),"N/A")</f>
        <v>N/A</v>
      </c>
      <c r="H42" s="62" t="str">
        <f>IFERROR(IF(VLOOKUP($A42,'2021 Data (WP)'!$D$9:$AA$70,3,FALSE)=0,"",VLOOKUP($A42,'2021 Data (WP)'!$D$9:$AA$70,3,FALSE)),"N/A")</f>
        <v>N/A</v>
      </c>
      <c r="I42" s="62" t="str">
        <f>IFERROR(IF(VLOOKUP($A42,'2020 Data (WP)'!$D$9:$AA$70,3,FALSE)=0,"",VLOOKUP($A42,'2020 Data (WP)'!$D$9:$AA$70,3,FALSE)),"N/A")</f>
        <v>N/A</v>
      </c>
      <c r="J42" s="62" t="str">
        <f t="shared" si="5"/>
        <v>N/A</v>
      </c>
      <c r="K42" s="62" t="str">
        <f t="shared" si="8"/>
        <v>N/A</v>
      </c>
      <c r="L42" s="62" t="str">
        <f ca="1">IFERROR(VLOOKUP($A42,LASTYR,'[3]2017'!$C$3,FALSE),"N/A")</f>
        <v>N/A</v>
      </c>
      <c r="M42" s="62" t="str">
        <f t="shared" ca="1" si="9"/>
        <v>N/A</v>
      </c>
      <c r="N42" s="62" t="str">
        <f t="shared" ca="1" si="9"/>
        <v>N/A</v>
      </c>
      <c r="O42" s="62" t="str">
        <f t="shared" ca="1" si="9"/>
        <v>N/A</v>
      </c>
      <c r="P42" s="62" t="str">
        <f t="shared" ca="1" si="9"/>
        <v>N/A</v>
      </c>
      <c r="Q42" s="62" t="str">
        <f t="shared" ca="1" si="9"/>
        <v>N/A</v>
      </c>
      <c r="R42" s="62" t="str">
        <f t="shared" ca="1" si="9"/>
        <v>N/A</v>
      </c>
      <c r="S42" s="62" t="str">
        <f t="shared" ca="1" si="9"/>
        <v>N/A</v>
      </c>
      <c r="T42" s="62" t="str">
        <f t="shared" ca="1" si="9"/>
        <v>N/A</v>
      </c>
      <c r="U42" s="62" t="str">
        <f t="shared" ca="1" si="9"/>
        <v>N/A</v>
      </c>
      <c r="V42" s="62" t="str">
        <f t="shared" ca="1" si="9"/>
        <v>N/A</v>
      </c>
      <c r="W42" s="62" t="str">
        <f t="shared" ca="1" si="9"/>
        <v>N/A</v>
      </c>
      <c r="X42" s="62"/>
      <c r="Y42" s="62"/>
      <c r="Z42" s="62"/>
      <c r="AA42" s="62"/>
    </row>
    <row r="43" spans="1:27" hidden="1" x14ac:dyDescent="0.25">
      <c r="A43" s="44"/>
      <c r="B43" s="45" t="str">
        <f t="shared" ca="1" si="3"/>
        <v/>
      </c>
      <c r="C43" s="1" t="str">
        <f>IF(ISERROR(D43),"",IF(D43="","",MAX($C$12:C42)+1))</f>
        <v/>
      </c>
      <c r="D43" t="e">
        <f t="shared" si="4"/>
        <v>#N/A</v>
      </c>
      <c r="E43" s="15"/>
      <c r="F43" s="62" t="str">
        <f t="shared" ca="1" si="7"/>
        <v>N/A</v>
      </c>
      <c r="G43" s="62" t="str">
        <f>IFERROR(IF(VLOOKUP($A43,'2022 Data (WP)'!$D$9:$AA$70,3,FALSE)=0,"",VLOOKUP($A43,'2022 Data (WP)'!$D$9:$AA$70,3,FALSE)),"N/A")</f>
        <v>N/A</v>
      </c>
      <c r="H43" s="62" t="str">
        <f>IFERROR(IF(VLOOKUP($A43,'2021 Data (WP)'!$D$9:$AA$70,3,FALSE)=0,"",VLOOKUP($A43,'2021 Data (WP)'!$D$9:$AA$70,3,FALSE)),"N/A")</f>
        <v>N/A</v>
      </c>
      <c r="I43" s="62" t="str">
        <f>IFERROR(IF(VLOOKUP($A43,'2020 Data (WP)'!$D$9:$AA$70,3,FALSE)=0,"",VLOOKUP($A43,'2020 Data (WP)'!$D$9:$AA$70,3,FALSE)),"N/A")</f>
        <v>N/A</v>
      </c>
      <c r="J43" s="62" t="str">
        <f t="shared" si="5"/>
        <v>N/A</v>
      </c>
      <c r="K43" s="62" t="str">
        <f t="shared" si="8"/>
        <v>N/A</v>
      </c>
      <c r="L43" s="62" t="str">
        <f ca="1">IFERROR(VLOOKUP($A43,LASTYR,'[3]2017'!$C$3,FALSE),"N/A")</f>
        <v>N/A</v>
      </c>
      <c r="M43" s="62" t="str">
        <f t="shared" ca="1" si="9"/>
        <v>N/A</v>
      </c>
      <c r="N43" s="62" t="str">
        <f t="shared" ca="1" si="9"/>
        <v>N/A</v>
      </c>
      <c r="O43" s="62" t="str">
        <f t="shared" ca="1" si="9"/>
        <v>N/A</v>
      </c>
      <c r="P43" s="62" t="str">
        <f t="shared" ca="1" si="9"/>
        <v>N/A</v>
      </c>
      <c r="Q43" s="62" t="str">
        <f t="shared" ca="1" si="9"/>
        <v>N/A</v>
      </c>
      <c r="R43" s="62" t="str">
        <f t="shared" ca="1" si="9"/>
        <v>N/A</v>
      </c>
      <c r="S43" s="62" t="str">
        <f t="shared" ca="1" si="9"/>
        <v>N/A</v>
      </c>
      <c r="T43" s="62" t="str">
        <f t="shared" ca="1" si="9"/>
        <v>N/A</v>
      </c>
      <c r="U43" s="62" t="str">
        <f t="shared" ca="1" si="9"/>
        <v>N/A</v>
      </c>
      <c r="V43" s="62" t="str">
        <f t="shared" ca="1" si="9"/>
        <v>N/A</v>
      </c>
      <c r="W43" s="62" t="str">
        <f t="shared" ca="1" si="9"/>
        <v>N/A</v>
      </c>
      <c r="X43" s="62"/>
      <c r="Y43" s="62"/>
      <c r="Z43" s="62"/>
      <c r="AA43" s="62"/>
    </row>
    <row r="44" spans="1:27" hidden="1" x14ac:dyDescent="0.25">
      <c r="A44" s="44"/>
      <c r="B44" s="45" t="str">
        <f t="shared" ca="1" si="3"/>
        <v/>
      </c>
      <c r="C44" s="1" t="str">
        <f>IF(ISERROR(D44),"",IF(D44="","",MAX($C$12:C43)+1))</f>
        <v/>
      </c>
      <c r="D44" t="e">
        <f t="shared" si="4"/>
        <v>#N/A</v>
      </c>
      <c r="E44" s="15"/>
      <c r="F44" s="62" t="str">
        <f t="shared" ca="1" si="7"/>
        <v>N/A</v>
      </c>
      <c r="G44" s="62" t="str">
        <f>IFERROR(IF(VLOOKUP($A44,'2022 Data (WP)'!$D$9:$AA$70,3,FALSE)=0,"",VLOOKUP($A44,'2022 Data (WP)'!$D$9:$AA$70,3,FALSE)),"N/A")</f>
        <v>N/A</v>
      </c>
      <c r="H44" s="62" t="str">
        <f>IFERROR(IF(VLOOKUP($A44,'2021 Data (WP)'!$D$9:$AA$70,3,FALSE)=0,"",VLOOKUP($A44,'2021 Data (WP)'!$D$9:$AA$70,3,FALSE)),"N/A")</f>
        <v>N/A</v>
      </c>
      <c r="I44" s="62" t="str">
        <f>IFERROR(IF(VLOOKUP($A44,'2020 Data (WP)'!$D$9:$AA$70,3,FALSE)=0,"",VLOOKUP($A44,'2020 Data (WP)'!$D$9:$AA$70,3,FALSE)),"N/A")</f>
        <v>N/A</v>
      </c>
      <c r="J44" s="62" t="str">
        <f t="shared" si="5"/>
        <v>N/A</v>
      </c>
      <c r="K44" s="62" t="str">
        <f t="shared" si="8"/>
        <v>N/A</v>
      </c>
      <c r="L44" s="62" t="str">
        <f ca="1">IFERROR(VLOOKUP($A44,LASTYR,'[3]2017'!$C$3,FALSE),"N/A")</f>
        <v>N/A</v>
      </c>
      <c r="M44" s="62" t="str">
        <f t="shared" ca="1" si="9"/>
        <v>N/A</v>
      </c>
      <c r="N44" s="62" t="str">
        <f t="shared" ca="1" si="9"/>
        <v>N/A</v>
      </c>
      <c r="O44" s="62" t="str">
        <f t="shared" ca="1" si="9"/>
        <v>N/A</v>
      </c>
      <c r="P44" s="62" t="str">
        <f t="shared" ca="1" si="9"/>
        <v>N/A</v>
      </c>
      <c r="Q44" s="62" t="str">
        <f t="shared" ca="1" si="9"/>
        <v>N/A</v>
      </c>
      <c r="R44" s="62" t="str">
        <f t="shared" ca="1" si="9"/>
        <v>N/A</v>
      </c>
      <c r="S44" s="62" t="str">
        <f t="shared" ca="1" si="9"/>
        <v>N/A</v>
      </c>
      <c r="T44" s="62" t="str">
        <f t="shared" ca="1" si="9"/>
        <v>N/A</v>
      </c>
      <c r="U44" s="62" t="str">
        <f t="shared" ca="1" si="9"/>
        <v>N/A</v>
      </c>
      <c r="V44" s="62" t="str">
        <f t="shared" ca="1" si="9"/>
        <v>N/A</v>
      </c>
      <c r="W44" s="62" t="str">
        <f t="shared" ca="1" si="9"/>
        <v>N/A</v>
      </c>
      <c r="X44" s="62"/>
      <c r="Y44" s="62"/>
      <c r="Z44" s="62"/>
      <c r="AA44" s="62"/>
    </row>
    <row r="45" spans="1:27" hidden="1" x14ac:dyDescent="0.25">
      <c r="A45" s="44"/>
      <c r="B45" s="45" t="str">
        <f t="shared" ca="1" si="3"/>
        <v/>
      </c>
      <c r="C45" s="1" t="str">
        <f>IF(ISERROR(D45),"",IF(D45="","",MAX($C$12:C44)+1))</f>
        <v/>
      </c>
      <c r="D45" t="e">
        <f t="shared" si="4"/>
        <v>#N/A</v>
      </c>
      <c r="E45" s="15"/>
      <c r="F45" s="62" t="str">
        <f t="shared" ca="1" si="7"/>
        <v>N/A</v>
      </c>
      <c r="G45" s="62" t="str">
        <f>IFERROR(IF(VLOOKUP($A45,'2022 Data (WP)'!$D$9:$AA$70,3,FALSE)=0,"",VLOOKUP($A45,'2022 Data (WP)'!$D$9:$AA$70,3,FALSE)),"N/A")</f>
        <v>N/A</v>
      </c>
      <c r="H45" s="62" t="str">
        <f>IFERROR(IF(VLOOKUP($A45,'2021 Data (WP)'!$D$9:$AA$70,3,FALSE)=0,"",VLOOKUP($A45,'2021 Data (WP)'!$D$9:$AA$70,3,FALSE)),"N/A")</f>
        <v>N/A</v>
      </c>
      <c r="I45" s="62" t="str">
        <f>IFERROR(IF(VLOOKUP($A45,'2020 Data (WP)'!$D$9:$AA$70,3,FALSE)=0,"",VLOOKUP($A45,'2020 Data (WP)'!$D$9:$AA$70,3,FALSE)),"N/A")</f>
        <v>N/A</v>
      </c>
      <c r="J45" s="62" t="str">
        <f t="shared" si="5"/>
        <v>N/A</v>
      </c>
      <c r="K45" s="62" t="str">
        <f t="shared" si="8"/>
        <v>N/A</v>
      </c>
      <c r="L45" s="62" t="str">
        <f ca="1">IFERROR(VLOOKUP($A45,LASTYR,'[3]2017'!$C$3,FALSE),"N/A")</f>
        <v>N/A</v>
      </c>
      <c r="M45" s="62" t="str">
        <f t="shared" ca="1" si="9"/>
        <v>N/A</v>
      </c>
      <c r="N45" s="62" t="str">
        <f t="shared" ca="1" si="9"/>
        <v>N/A</v>
      </c>
      <c r="O45" s="62" t="str">
        <f t="shared" ca="1" si="9"/>
        <v>N/A</v>
      </c>
      <c r="P45" s="62" t="str">
        <f t="shared" ca="1" si="9"/>
        <v>N/A</v>
      </c>
      <c r="Q45" s="62" t="str">
        <f t="shared" ca="1" si="9"/>
        <v>N/A</v>
      </c>
      <c r="R45" s="62" t="str">
        <f t="shared" ca="1" si="9"/>
        <v>N/A</v>
      </c>
      <c r="S45" s="62" t="str">
        <f t="shared" ca="1" si="9"/>
        <v>N/A</v>
      </c>
      <c r="T45" s="62" t="str">
        <f t="shared" ca="1" si="9"/>
        <v>N/A</v>
      </c>
      <c r="U45" s="62" t="str">
        <f t="shared" ca="1" si="9"/>
        <v>N/A</v>
      </c>
      <c r="V45" s="62" t="str">
        <f t="shared" ca="1" si="9"/>
        <v>N/A</v>
      </c>
      <c r="W45" s="62" t="str">
        <f t="shared" ca="1" si="9"/>
        <v>N/A</v>
      </c>
      <c r="X45" s="62"/>
      <c r="Y45" s="62"/>
      <c r="Z45" s="62"/>
      <c r="AA45" s="62"/>
    </row>
    <row r="46" spans="1:27" hidden="1" x14ac:dyDescent="0.25">
      <c r="A46" s="44"/>
      <c r="B46" s="45" t="str">
        <f t="shared" ca="1" si="3"/>
        <v/>
      </c>
      <c r="C46" s="1" t="str">
        <f>IF(ISERROR(D46),"",IF(D46="","",MAX($C$12:C45)+1))</f>
        <v/>
      </c>
      <c r="D46" t="e">
        <f>VLOOKUP(A46,LUCurYr,2,FALSE)</f>
        <v>#N/A</v>
      </c>
      <c r="E46" s="15"/>
      <c r="F46" s="62" t="str">
        <f t="shared" ca="1" si="7"/>
        <v>N/A</v>
      </c>
      <c r="G46" s="62" t="str">
        <f>IFERROR(IF(VLOOKUP($A46,'2022 Data (WP)'!$D$9:$AA$70,3,FALSE)=0,"",VLOOKUP($A46,'2022 Data (WP)'!$D$9:$AA$70,3,FALSE)),"N/A")</f>
        <v>N/A</v>
      </c>
      <c r="H46" s="62" t="str">
        <f>IFERROR(IF(VLOOKUP($A46,'2021 Data (WP)'!$D$9:$AA$70,3,FALSE)=0,"",VLOOKUP($A46,'2021 Data (WP)'!$D$9:$AA$70,3,FALSE)),"N/A")</f>
        <v>N/A</v>
      </c>
      <c r="I46" s="62" t="str">
        <f>IFERROR(IF(VLOOKUP($A46,'2020 Data (WP)'!$D$9:$AA$70,3,FALSE)=0,"",VLOOKUP($A46,'2020 Data (WP)'!$D$9:$AA$70,3,FALSE)),"N/A")</f>
        <v>N/A</v>
      </c>
      <c r="J46" s="62" t="str">
        <f t="shared" si="5"/>
        <v>N/A</v>
      </c>
      <c r="K46" s="62" t="str">
        <f t="shared" si="8"/>
        <v>N/A</v>
      </c>
      <c r="L46" s="62" t="str">
        <f ca="1">IFERROR(VLOOKUP($A46,LASTYR,'[3]2017'!$C$3,FALSE),"N/A")</f>
        <v>N/A</v>
      </c>
      <c r="M46" s="62" t="str">
        <f t="shared" ca="1" si="9"/>
        <v>N/A</v>
      </c>
      <c r="N46" s="62" t="str">
        <f t="shared" ca="1" si="9"/>
        <v>N/A</v>
      </c>
      <c r="O46" s="62" t="str">
        <f t="shared" ca="1" si="9"/>
        <v>N/A</v>
      </c>
      <c r="P46" s="62" t="str">
        <f t="shared" ca="1" si="9"/>
        <v>N/A</v>
      </c>
      <c r="Q46" s="62" t="str">
        <f t="shared" ca="1" si="9"/>
        <v>N/A</v>
      </c>
      <c r="R46" s="62" t="str">
        <f t="shared" ca="1" si="9"/>
        <v>N/A</v>
      </c>
      <c r="S46" s="62" t="str">
        <f t="shared" ca="1" si="9"/>
        <v>N/A</v>
      </c>
      <c r="T46" s="62" t="str">
        <f t="shared" ca="1" si="9"/>
        <v>N/A</v>
      </c>
      <c r="U46" s="62" t="str">
        <f t="shared" ca="1" si="9"/>
        <v>N/A</v>
      </c>
      <c r="V46" s="62" t="str">
        <f t="shared" ca="1" si="9"/>
        <v>N/A</v>
      </c>
      <c r="W46" s="62" t="str">
        <f t="shared" ca="1" si="9"/>
        <v>N/A</v>
      </c>
      <c r="X46" s="62"/>
      <c r="Y46" s="62"/>
      <c r="Z46" s="62"/>
      <c r="AA46" s="62"/>
    </row>
    <row r="47" spans="1:27" hidden="1" x14ac:dyDescent="0.25">
      <c r="A47" s="44"/>
      <c r="B47" s="45" t="str">
        <f t="shared" ca="1" si="3"/>
        <v/>
      </c>
      <c r="C47" s="1" t="str">
        <f>IF(ISERROR(D47),"",IF(D47="","",MAX($C$12:C46)+1))</f>
        <v/>
      </c>
      <c r="D47" t="e">
        <f t="shared" si="4"/>
        <v>#N/A</v>
      </c>
      <c r="E47" s="15"/>
      <c r="F47" s="62" t="str">
        <f t="shared" ca="1" si="7"/>
        <v>N/A</v>
      </c>
      <c r="G47" s="62" t="str">
        <f>IFERROR(IF(VLOOKUP($A47,'2022 Data (WP)'!$D$9:$AA$70,3,FALSE)=0,"",VLOOKUP($A47,'2022 Data (WP)'!$D$9:$AA$70,3,FALSE)),"N/A")</f>
        <v>N/A</v>
      </c>
      <c r="H47" s="62" t="str">
        <f>IFERROR(IF(VLOOKUP($A47,'2021 Data (WP)'!$D$9:$AA$70,3,FALSE)=0,"",VLOOKUP($A47,'2021 Data (WP)'!$D$9:$AA$70,3,FALSE)),"N/A")</f>
        <v>N/A</v>
      </c>
      <c r="I47" s="62" t="str">
        <f>IFERROR(IF(VLOOKUP($A47,'2020 Data (WP)'!$D$9:$AA$70,3,FALSE)=0,"",VLOOKUP($A47,'2020 Data (WP)'!$D$9:$AA$70,3,FALSE)),"N/A")</f>
        <v>N/A</v>
      </c>
      <c r="J47" s="62" t="str">
        <f t="shared" si="5"/>
        <v>N/A</v>
      </c>
      <c r="K47" s="62" t="str">
        <f t="shared" si="8"/>
        <v>N/A</v>
      </c>
      <c r="L47" s="62" t="str">
        <f ca="1">IFERROR(VLOOKUP($A47,LASTYR,'[3]2017'!$C$3,FALSE),"N/A")</f>
        <v>N/A</v>
      </c>
      <c r="M47" s="62" t="str">
        <f t="shared" ca="1" si="9"/>
        <v>N/A</v>
      </c>
      <c r="N47" s="62" t="str">
        <f t="shared" ca="1" si="9"/>
        <v>N/A</v>
      </c>
      <c r="O47" s="62" t="str">
        <f t="shared" ca="1" si="9"/>
        <v>N/A</v>
      </c>
      <c r="P47" s="62" t="str">
        <f t="shared" ca="1" si="9"/>
        <v>N/A</v>
      </c>
      <c r="Q47" s="62" t="str">
        <f t="shared" ca="1" si="9"/>
        <v>N/A</v>
      </c>
      <c r="R47" s="62" t="str">
        <f t="shared" ca="1" si="9"/>
        <v>N/A</v>
      </c>
      <c r="S47" s="62" t="str">
        <f t="shared" ca="1" si="9"/>
        <v>N/A</v>
      </c>
      <c r="T47" s="62" t="str">
        <f t="shared" ca="1" si="9"/>
        <v>N/A</v>
      </c>
      <c r="U47" s="62" t="str">
        <f t="shared" ca="1" si="9"/>
        <v>N/A</v>
      </c>
      <c r="V47" s="62" t="str">
        <f t="shared" ca="1" si="9"/>
        <v>N/A</v>
      </c>
      <c r="W47" s="62" t="str">
        <f t="shared" ca="1" si="9"/>
        <v>N/A</v>
      </c>
      <c r="X47" s="62"/>
      <c r="Y47" s="62"/>
      <c r="Z47" s="62"/>
      <c r="AA47" s="62"/>
    </row>
    <row r="48" spans="1:27" hidden="1" x14ac:dyDescent="0.25">
      <c r="A48" s="44"/>
      <c r="B48" s="45" t="str">
        <f t="shared" ca="1" si="3"/>
        <v/>
      </c>
      <c r="C48" s="1" t="str">
        <f>IF(ISERROR(D48),"",IF(D48="","",MAX($C$12:C47)+1))</f>
        <v/>
      </c>
      <c r="D48" t="e">
        <f t="shared" si="4"/>
        <v>#N/A</v>
      </c>
      <c r="E48" s="15"/>
      <c r="F48" s="62" t="str">
        <f t="shared" ca="1" si="7"/>
        <v>N/A</v>
      </c>
      <c r="G48" s="62" t="str">
        <f>IFERROR(IF(VLOOKUP($A48,'2022 Data (WP)'!$D$9:$AA$70,3,FALSE)=0,"",VLOOKUP($A48,'2022 Data (WP)'!$D$9:$AA$70,3,FALSE)),"N/A")</f>
        <v>N/A</v>
      </c>
      <c r="H48" s="62" t="str">
        <f>IFERROR(IF(VLOOKUP($A48,'2021 Data (WP)'!$D$9:$AA$70,3,FALSE)=0,"",VLOOKUP($A48,'2021 Data (WP)'!$D$9:$AA$70,3,FALSE)),"N/A")</f>
        <v>N/A</v>
      </c>
      <c r="I48" s="62" t="str">
        <f>IFERROR(IF(VLOOKUP($A48,'2020 Data (WP)'!$D$9:$AA$70,3,FALSE)=0,"",VLOOKUP($A48,'2020 Data (WP)'!$D$9:$AA$70,3,FALSE)),"N/A")</f>
        <v>N/A</v>
      </c>
      <c r="J48" s="62" t="str">
        <f t="shared" si="5"/>
        <v>N/A</v>
      </c>
      <c r="K48" s="62" t="str">
        <f t="shared" si="8"/>
        <v>N/A</v>
      </c>
      <c r="L48" s="62" t="str">
        <f ca="1">IFERROR(VLOOKUP($A48,LASTYR,'[3]2017'!$C$3,FALSE),"N/A")</f>
        <v>N/A</v>
      </c>
      <c r="M48" s="62" t="str">
        <f t="shared" ca="1" si="9"/>
        <v>N/A</v>
      </c>
      <c r="N48" s="62" t="str">
        <f t="shared" ca="1" si="9"/>
        <v>N/A</v>
      </c>
      <c r="O48" s="62" t="str">
        <f t="shared" ca="1" si="9"/>
        <v>N/A</v>
      </c>
      <c r="P48" s="62" t="str">
        <f t="shared" ca="1" si="9"/>
        <v>N/A</v>
      </c>
      <c r="Q48" s="62" t="str">
        <f t="shared" ca="1" si="9"/>
        <v>N/A</v>
      </c>
      <c r="R48" s="62" t="str">
        <f t="shared" ca="1" si="9"/>
        <v>N/A</v>
      </c>
      <c r="S48" s="62" t="str">
        <f t="shared" ca="1" si="9"/>
        <v>N/A</v>
      </c>
      <c r="T48" s="62" t="str">
        <f t="shared" ca="1" si="9"/>
        <v>N/A</v>
      </c>
      <c r="U48" s="62" t="str">
        <f t="shared" ca="1" si="9"/>
        <v>N/A</v>
      </c>
      <c r="V48" s="62" t="str">
        <f t="shared" ca="1" si="9"/>
        <v>N/A</v>
      </c>
      <c r="W48" s="62" t="str">
        <f t="shared" ca="1" si="9"/>
        <v>N/A</v>
      </c>
      <c r="X48" s="62"/>
      <c r="Y48" s="62"/>
      <c r="Z48" s="62"/>
      <c r="AA48" s="62"/>
    </row>
    <row r="49" spans="1:27" hidden="1" x14ac:dyDescent="0.25">
      <c r="A49" s="44"/>
      <c r="B49" s="45" t="str">
        <f t="shared" ca="1" si="3"/>
        <v/>
      </c>
      <c r="C49" s="1" t="str">
        <f>IF(ISERROR(D49),"",IF(D49="","",MAX($C$12:C48)+1))</f>
        <v/>
      </c>
      <c r="D49" t="e">
        <f t="shared" si="4"/>
        <v>#N/A</v>
      </c>
      <c r="E49" s="15"/>
      <c r="F49" s="62" t="str">
        <f t="shared" ca="1" si="7"/>
        <v>N/A</v>
      </c>
      <c r="G49" s="62" t="str">
        <f>IFERROR(IF(VLOOKUP($A49,'2022 Data (WP)'!$D$9:$AA$70,3,FALSE)=0,"",VLOOKUP($A49,'2022 Data (WP)'!$D$9:$AA$70,3,FALSE)),"N/A")</f>
        <v>N/A</v>
      </c>
      <c r="H49" s="62" t="str">
        <f>IFERROR(IF(VLOOKUP($A49,'2021 Data (WP)'!$D$9:$AA$70,3,FALSE)=0,"",VLOOKUP($A49,'2021 Data (WP)'!$D$9:$AA$70,3,FALSE)),"N/A")</f>
        <v>N/A</v>
      </c>
      <c r="I49" s="62" t="str">
        <f>IFERROR(IF(VLOOKUP($A49,'2020 Data (WP)'!$D$9:$AA$70,3,FALSE)=0,"",VLOOKUP($A49,'2020 Data (WP)'!$D$9:$AA$70,3,FALSE)),"N/A")</f>
        <v>N/A</v>
      </c>
      <c r="J49" s="62" t="str">
        <f t="shared" si="5"/>
        <v>N/A</v>
      </c>
      <c r="K49" s="62" t="str">
        <f t="shared" si="8"/>
        <v>N/A</v>
      </c>
      <c r="L49" s="62" t="str">
        <f ca="1">IFERROR(VLOOKUP($A49,LASTYR,'[3]2017'!$C$3,FALSE),"N/A")</f>
        <v>N/A</v>
      </c>
      <c r="M49" s="62" t="str">
        <f t="shared" ca="1" si="9"/>
        <v>N/A</v>
      </c>
      <c r="N49" s="62" t="str">
        <f t="shared" ca="1" si="9"/>
        <v>N/A</v>
      </c>
      <c r="O49" s="62" t="str">
        <f t="shared" ca="1" si="9"/>
        <v>N/A</v>
      </c>
      <c r="P49" s="62" t="str">
        <f t="shared" ca="1" si="9"/>
        <v>N/A</v>
      </c>
      <c r="Q49" s="62" t="str">
        <f t="shared" ca="1" si="9"/>
        <v>N/A</v>
      </c>
      <c r="R49" s="62" t="str">
        <f t="shared" ca="1" si="9"/>
        <v>N/A</v>
      </c>
      <c r="S49" s="62" t="str">
        <f t="shared" ca="1" si="9"/>
        <v>N/A</v>
      </c>
      <c r="T49" s="62" t="str">
        <f t="shared" ca="1" si="9"/>
        <v>N/A</v>
      </c>
      <c r="U49" s="62" t="str">
        <f t="shared" ca="1" si="9"/>
        <v>N/A</v>
      </c>
      <c r="V49" s="62" t="str">
        <f t="shared" ca="1" si="9"/>
        <v>N/A</v>
      </c>
      <c r="W49" s="62" t="str">
        <f t="shared" ca="1" si="9"/>
        <v>N/A</v>
      </c>
      <c r="X49" s="62"/>
      <c r="Y49" s="62"/>
      <c r="Z49" s="62"/>
      <c r="AA49" s="62"/>
    </row>
    <row r="50" spans="1:27" hidden="1" x14ac:dyDescent="0.25">
      <c r="A50" s="44"/>
      <c r="B50" s="45" t="str">
        <f t="shared" ca="1" si="3"/>
        <v/>
      </c>
      <c r="C50" s="1" t="str">
        <f>IF(ISERROR(D50),"",IF(D50="","",MAX($C$12:C49)+1))</f>
        <v/>
      </c>
      <c r="D50" t="e">
        <f t="shared" si="4"/>
        <v>#N/A</v>
      </c>
      <c r="E50" s="15"/>
      <c r="F50" s="62" t="str">
        <f t="shared" ca="1" si="7"/>
        <v>N/A</v>
      </c>
      <c r="G50" s="62" t="str">
        <f>IFERROR(IF(VLOOKUP($A50,'2022 Data (WP)'!$D$9:$AA$70,3,FALSE)=0,"",VLOOKUP($A50,'2022 Data (WP)'!$D$9:$AA$70,3,FALSE)),"N/A")</f>
        <v>N/A</v>
      </c>
      <c r="H50" s="62" t="str">
        <f>IFERROR(IF(VLOOKUP($A50,'2021 Data (WP)'!$D$9:$AA$70,3,FALSE)=0,"",VLOOKUP($A50,'2021 Data (WP)'!$D$9:$AA$70,3,FALSE)),"N/A")</f>
        <v>N/A</v>
      </c>
      <c r="I50" s="62" t="str">
        <f>IFERROR(IF(VLOOKUP($A50,'2020 Data (WP)'!$D$9:$AA$70,3,FALSE)=0,"",VLOOKUP($A50,'2020 Data (WP)'!$D$9:$AA$70,3,FALSE)),"N/A")</f>
        <v>N/A</v>
      </c>
      <c r="J50" s="62" t="str">
        <f t="shared" si="5"/>
        <v>N/A</v>
      </c>
      <c r="K50" s="62" t="str">
        <f t="shared" si="8"/>
        <v>N/A</v>
      </c>
      <c r="L50" s="62" t="str">
        <f ca="1">IFERROR(VLOOKUP($A50,LASTYR,'[3]2017'!$C$3,FALSE),"N/A")</f>
        <v>N/A</v>
      </c>
      <c r="M50" s="62" t="str">
        <f t="shared" ca="1" si="9"/>
        <v>N/A</v>
      </c>
      <c r="N50" s="62" t="str">
        <f t="shared" ca="1" si="9"/>
        <v>N/A</v>
      </c>
      <c r="O50" s="62" t="str">
        <f t="shared" ca="1" si="9"/>
        <v>N/A</v>
      </c>
      <c r="P50" s="62" t="str">
        <f t="shared" ca="1" si="9"/>
        <v>N/A</v>
      </c>
      <c r="Q50" s="62" t="str">
        <f t="shared" ca="1" si="9"/>
        <v>N/A</v>
      </c>
      <c r="R50" s="62" t="str">
        <f t="shared" ca="1" si="9"/>
        <v>N/A</v>
      </c>
      <c r="S50" s="62" t="str">
        <f t="shared" ca="1" si="9"/>
        <v>N/A</v>
      </c>
      <c r="T50" s="62" t="str">
        <f t="shared" ca="1" si="9"/>
        <v>N/A</v>
      </c>
      <c r="U50" s="62" t="str">
        <f t="shared" ca="1" si="9"/>
        <v>N/A</v>
      </c>
      <c r="V50" s="62" t="str">
        <f t="shared" ca="1" si="9"/>
        <v>N/A</v>
      </c>
      <c r="W50" s="62" t="str">
        <f t="shared" ca="1" si="9"/>
        <v>N/A</v>
      </c>
      <c r="X50" s="62"/>
      <c r="Y50" s="62"/>
      <c r="Z50" s="62"/>
      <c r="AA50" s="62"/>
    </row>
    <row r="51" spans="1:27" hidden="1" x14ac:dyDescent="0.25">
      <c r="A51" s="44"/>
      <c r="B51" s="45" t="str">
        <f t="shared" ca="1" si="3"/>
        <v/>
      </c>
      <c r="C51" s="1" t="str">
        <f>IF(ISERROR(D51),"",IF(D51="","",MAX($C$12:C50)+1))</f>
        <v/>
      </c>
      <c r="D51" t="e">
        <f t="shared" si="4"/>
        <v>#N/A</v>
      </c>
      <c r="E51" s="15"/>
      <c r="F51" s="62" t="str">
        <f t="shared" ca="1" si="7"/>
        <v>N/A</v>
      </c>
      <c r="G51" s="62" t="str">
        <f>IFERROR(IF(VLOOKUP($A51,'2022 Data (WP)'!$D$9:$AA$70,3,FALSE)=0,"",VLOOKUP($A51,'2022 Data (WP)'!$D$9:$AA$70,3,FALSE)),"N/A")</f>
        <v>N/A</v>
      </c>
      <c r="H51" s="62" t="str">
        <f>IFERROR(IF(VLOOKUP($A51,'2021 Data (WP)'!$D$9:$AA$70,3,FALSE)=0,"",VLOOKUP($A51,'2021 Data (WP)'!$D$9:$AA$70,3,FALSE)),"N/A")</f>
        <v>N/A</v>
      </c>
      <c r="I51" s="62" t="str">
        <f>IFERROR(IF(VLOOKUP($A51,'2020 Data (WP)'!$D$9:$AA$70,3,FALSE)=0,"",VLOOKUP($A51,'2020 Data (WP)'!$D$9:$AA$70,3,FALSE)),"N/A")</f>
        <v>N/A</v>
      </c>
      <c r="J51" s="62" t="str">
        <f t="shared" si="5"/>
        <v>N/A</v>
      </c>
      <c r="K51" s="62" t="str">
        <f t="shared" si="8"/>
        <v>N/A</v>
      </c>
      <c r="L51" s="62" t="str">
        <f ca="1">IFERROR(VLOOKUP($A51,LASTYR,'[3]2017'!$C$3,FALSE),"N/A")</f>
        <v>N/A</v>
      </c>
      <c r="M51" s="62" t="str">
        <f t="shared" ca="1" si="9"/>
        <v>N/A</v>
      </c>
      <c r="N51" s="62" t="str">
        <f t="shared" ca="1" si="9"/>
        <v>N/A</v>
      </c>
      <c r="O51" s="62" t="str">
        <f t="shared" ca="1" si="9"/>
        <v>N/A</v>
      </c>
      <c r="P51" s="62" t="str">
        <f t="shared" ca="1" si="9"/>
        <v>N/A</v>
      </c>
      <c r="Q51" s="62" t="str">
        <f t="shared" ca="1" si="9"/>
        <v>N/A</v>
      </c>
      <c r="R51" s="62" t="str">
        <f t="shared" ca="1" si="9"/>
        <v>N/A</v>
      </c>
      <c r="S51" s="62" t="str">
        <f t="shared" ca="1" si="9"/>
        <v>N/A</v>
      </c>
      <c r="T51" s="62" t="str">
        <f t="shared" ca="1" si="9"/>
        <v>N/A</v>
      </c>
      <c r="U51" s="62" t="str">
        <f t="shared" ca="1" si="9"/>
        <v>N/A</v>
      </c>
      <c r="V51" s="62" t="str">
        <f t="shared" ca="1" si="9"/>
        <v>N/A</v>
      </c>
      <c r="W51" s="62" t="str">
        <f t="shared" ca="1" si="9"/>
        <v>N/A</v>
      </c>
      <c r="X51" s="62"/>
      <c r="Y51" s="62"/>
      <c r="Z51" s="62"/>
      <c r="AA51" s="62"/>
    </row>
    <row r="52" spans="1:27" hidden="1" x14ac:dyDescent="0.25">
      <c r="A52" s="44"/>
      <c r="B52" s="45" t="str">
        <f t="shared" ca="1" si="3"/>
        <v/>
      </c>
      <c r="C52" s="1" t="str">
        <f>IF(ISERROR(D52),"",IF(D52="","",MAX($C$12:C51)+1))</f>
        <v/>
      </c>
      <c r="D52" t="e">
        <f t="shared" si="4"/>
        <v>#N/A</v>
      </c>
      <c r="E52" s="15"/>
      <c r="F52" s="62" t="str">
        <f t="shared" ca="1" si="7"/>
        <v>N/A</v>
      </c>
      <c r="G52" s="62" t="str">
        <f>IFERROR(IF(VLOOKUP($A52,'2022 Data (WP)'!$D$9:$AA$70,3,FALSE)=0,"",VLOOKUP($A52,'2022 Data (WP)'!$D$9:$AA$70,3,FALSE)),"N/A")</f>
        <v>N/A</v>
      </c>
      <c r="H52" s="62" t="str">
        <f>IFERROR(IF(VLOOKUP($A52,'2021 Data (WP)'!$D$9:$AA$70,3,FALSE)=0,"",VLOOKUP($A52,'2021 Data (WP)'!$D$9:$AA$70,3,FALSE)),"N/A")</f>
        <v>N/A</v>
      </c>
      <c r="I52" s="62" t="str">
        <f>IFERROR(IF(VLOOKUP($A52,'2020 Data (WP)'!$D$9:$AA$70,3,FALSE)=0,"",VLOOKUP($A52,'2020 Data (WP)'!$D$9:$AA$70,3,FALSE)),"N/A")</f>
        <v>N/A</v>
      </c>
      <c r="J52" s="62" t="str">
        <f t="shared" si="5"/>
        <v>N/A</v>
      </c>
      <c r="K52" s="62" t="str">
        <f t="shared" si="8"/>
        <v>N/A</v>
      </c>
      <c r="L52" s="62" t="str">
        <f ca="1">IFERROR(VLOOKUP($A52,LASTYR,'[3]2017'!$C$3,FALSE),"N/A")</f>
        <v>N/A</v>
      </c>
      <c r="M52" s="62" t="str">
        <f t="shared" ca="1" si="9"/>
        <v>N/A</v>
      </c>
      <c r="N52" s="62" t="str">
        <f t="shared" ca="1" si="9"/>
        <v>N/A</v>
      </c>
      <c r="O52" s="62" t="str">
        <f t="shared" ca="1" si="9"/>
        <v>N/A</v>
      </c>
      <c r="P52" s="62" t="str">
        <f t="shared" ca="1" si="9"/>
        <v>N/A</v>
      </c>
      <c r="Q52" s="62" t="str">
        <f t="shared" ca="1" si="9"/>
        <v>N/A</v>
      </c>
      <c r="R52" s="62" t="str">
        <f t="shared" ca="1" si="9"/>
        <v>N/A</v>
      </c>
      <c r="S52" s="62" t="str">
        <f t="shared" ca="1" si="9"/>
        <v>N/A</v>
      </c>
      <c r="T52" s="62" t="str">
        <f t="shared" ca="1" si="9"/>
        <v>N/A</v>
      </c>
      <c r="U52" s="62" t="str">
        <f t="shared" ca="1" si="9"/>
        <v>N/A</v>
      </c>
      <c r="V52" s="62" t="str">
        <f t="shared" ca="1" si="9"/>
        <v>N/A</v>
      </c>
      <c r="W52" s="62" t="str">
        <f t="shared" ca="1" si="9"/>
        <v>N/A</v>
      </c>
      <c r="X52" s="62"/>
      <c r="Y52" s="62"/>
      <c r="Z52" s="62"/>
      <c r="AA52" s="62"/>
    </row>
    <row r="53" spans="1:27" hidden="1" x14ac:dyDescent="0.25">
      <c r="A53" s="44"/>
      <c r="B53" s="45" t="str">
        <f t="shared" ca="1" si="3"/>
        <v/>
      </c>
      <c r="C53" s="1" t="str">
        <f>IF(ISERROR(D53),"",IF(D53="","",MAX($C$12:C52)+1))</f>
        <v/>
      </c>
      <c r="D53" t="e">
        <f t="shared" si="4"/>
        <v>#N/A</v>
      </c>
      <c r="E53" s="15"/>
      <c r="F53" s="62" t="str">
        <f t="shared" ca="1" si="7"/>
        <v>N/A</v>
      </c>
      <c r="G53" s="62" t="str">
        <f>IFERROR(IF(VLOOKUP($A53,'2022 Data (WP)'!$D$9:$AA$70,3,FALSE)=0,"",VLOOKUP($A53,'2022 Data (WP)'!$D$9:$AA$70,3,FALSE)),"N/A")</f>
        <v>N/A</v>
      </c>
      <c r="H53" s="62" t="str">
        <f>IFERROR(IF(VLOOKUP($A53,'2021 Data (WP)'!$D$9:$AA$70,3,FALSE)=0,"",VLOOKUP($A53,'2021 Data (WP)'!$D$9:$AA$70,3,FALSE)),"N/A")</f>
        <v>N/A</v>
      </c>
      <c r="I53" s="62" t="str">
        <f>IFERROR(IF(VLOOKUP($A53,'2020 Data (WP)'!$D$9:$AA$70,3,FALSE)=0,"",VLOOKUP($A53,'2020 Data (WP)'!$D$9:$AA$70,3,FALSE)),"N/A")</f>
        <v>N/A</v>
      </c>
      <c r="J53" s="62" t="str">
        <f t="shared" si="5"/>
        <v>N/A</v>
      </c>
      <c r="K53" s="62" t="str">
        <f t="shared" si="8"/>
        <v>N/A</v>
      </c>
      <c r="L53" s="62" t="str">
        <f ca="1">IFERROR(VLOOKUP($A53,LASTYR,'[3]2017'!$C$3,FALSE),"N/A")</f>
        <v>N/A</v>
      </c>
      <c r="M53" s="62" t="str">
        <f t="shared" ca="1" si="9"/>
        <v>N/A</v>
      </c>
      <c r="N53" s="62" t="str">
        <f t="shared" ca="1" si="9"/>
        <v>N/A</v>
      </c>
      <c r="O53" s="62" t="str">
        <f t="shared" ca="1" si="9"/>
        <v>N/A</v>
      </c>
      <c r="P53" s="62" t="str">
        <f t="shared" ca="1" si="9"/>
        <v>N/A</v>
      </c>
      <c r="Q53" s="62" t="str">
        <f t="shared" ca="1" si="9"/>
        <v>N/A</v>
      </c>
      <c r="R53" s="62" t="str">
        <f t="shared" ca="1" si="9"/>
        <v>N/A</v>
      </c>
      <c r="S53" s="62" t="str">
        <f t="shared" ca="1" si="9"/>
        <v>N/A</v>
      </c>
      <c r="T53" s="62" t="str">
        <f t="shared" ca="1" si="9"/>
        <v>N/A</v>
      </c>
      <c r="U53" s="62" t="str">
        <f t="shared" ca="1" si="9"/>
        <v>N/A</v>
      </c>
      <c r="V53" s="62" t="str">
        <f t="shared" ca="1" si="9"/>
        <v>N/A</v>
      </c>
      <c r="W53" s="62" t="str">
        <f t="shared" ca="1" si="9"/>
        <v>N/A</v>
      </c>
      <c r="X53" s="62"/>
      <c r="Y53" s="62"/>
      <c r="Z53" s="62"/>
      <c r="AA53" s="62"/>
    </row>
    <row r="54" spans="1:27" hidden="1" x14ac:dyDescent="0.25">
      <c r="A54" s="44"/>
      <c r="B54" s="45" t="str">
        <f t="shared" ca="1" si="3"/>
        <v/>
      </c>
      <c r="C54" s="1" t="str">
        <f>IF(ISERROR(D54),"",IF(D54="","",MAX($C$12:C53)+1))</f>
        <v/>
      </c>
      <c r="D54" t="e">
        <f t="shared" si="4"/>
        <v>#N/A</v>
      </c>
      <c r="E54" s="15"/>
      <c r="F54" s="62" t="str">
        <f t="shared" ca="1" si="7"/>
        <v>N/A</v>
      </c>
      <c r="G54" s="62" t="str">
        <f>IFERROR(IF(VLOOKUP($A54,'2022 Data (WP)'!$D$9:$AA$70,3,FALSE)=0,"",VLOOKUP($A54,'2022 Data (WP)'!$D$9:$AA$70,3,FALSE)),"N/A")</f>
        <v>N/A</v>
      </c>
      <c r="H54" s="62" t="str">
        <f>IFERROR(IF(VLOOKUP($A54,'2021 Data (WP)'!$D$9:$AA$70,3,FALSE)=0,"",VLOOKUP($A54,'2021 Data (WP)'!$D$9:$AA$70,3,FALSE)),"N/A")</f>
        <v>N/A</v>
      </c>
      <c r="I54" s="62" t="str">
        <f>IFERROR(IF(VLOOKUP($A54,'2020 Data (WP)'!$D$9:$AA$70,3,FALSE)=0,"",VLOOKUP($A54,'2020 Data (WP)'!$D$9:$AA$70,3,FALSE)),"N/A")</f>
        <v>N/A</v>
      </c>
      <c r="J54" s="62" t="str">
        <f t="shared" si="5"/>
        <v>N/A</v>
      </c>
      <c r="K54" s="62" t="str">
        <f t="shared" si="8"/>
        <v>N/A</v>
      </c>
      <c r="L54" s="62" t="str">
        <f ca="1">IFERROR(VLOOKUP($A54,LASTYR,'[3]2017'!$C$3,FALSE),"N/A")</f>
        <v>N/A</v>
      </c>
      <c r="M54" s="62" t="str">
        <f t="shared" ca="1" si="9"/>
        <v>N/A</v>
      </c>
      <c r="N54" s="62" t="str">
        <f t="shared" ca="1" si="9"/>
        <v>N/A</v>
      </c>
      <c r="O54" s="62" t="str">
        <f t="shared" ca="1" si="9"/>
        <v>N/A</v>
      </c>
      <c r="P54" s="62" t="str">
        <f t="shared" ca="1" si="9"/>
        <v>N/A</v>
      </c>
      <c r="Q54" s="62" t="str">
        <f t="shared" ca="1" si="9"/>
        <v>N/A</v>
      </c>
      <c r="R54" s="62" t="str">
        <f t="shared" ca="1" si="9"/>
        <v>N/A</v>
      </c>
      <c r="S54" s="62" t="str">
        <f t="shared" ca="1" si="9"/>
        <v>N/A</v>
      </c>
      <c r="T54" s="62" t="str">
        <f t="shared" ca="1" si="9"/>
        <v>N/A</v>
      </c>
      <c r="U54" s="62" t="str">
        <f t="shared" ca="1" si="9"/>
        <v>N/A</v>
      </c>
      <c r="V54" s="62" t="str">
        <f t="shared" ca="1" si="9"/>
        <v>N/A</v>
      </c>
      <c r="W54" s="62" t="str">
        <f t="shared" ca="1" si="9"/>
        <v>N/A</v>
      </c>
      <c r="X54" s="62"/>
      <c r="Y54" s="62"/>
      <c r="Z54" s="62"/>
      <c r="AA54" s="62"/>
    </row>
    <row r="55" spans="1:27" hidden="1" x14ac:dyDescent="0.25">
      <c r="A55" s="50"/>
      <c r="B55" s="45" t="str">
        <f t="shared" ca="1" si="3"/>
        <v/>
      </c>
      <c r="C55" s="1" t="str">
        <f>IF(ISERROR(D55),"",IF(D55="","",MAX($C$12:C54)+1))</f>
        <v/>
      </c>
      <c r="D55" t="e">
        <f t="shared" si="4"/>
        <v>#N/A</v>
      </c>
      <c r="F55" s="62" t="str">
        <f t="shared" ca="1" si="7"/>
        <v>N/A</v>
      </c>
      <c r="G55" s="62" t="str">
        <f>IFERROR(IF(VLOOKUP($A55,'2022 Data (WP)'!$D$9:$AA$70,3,FALSE)=0,"",VLOOKUP($A55,'2022 Data (WP)'!$D$9:$AA$70,3,FALSE)),"N/A")</f>
        <v>N/A</v>
      </c>
      <c r="H55" s="62" t="str">
        <f>IFERROR(IF(VLOOKUP($A55,'2021 Data (WP)'!$D$9:$AA$70,3,FALSE)=0,"",VLOOKUP($A55,'2021 Data (WP)'!$D$9:$AA$70,3,FALSE)),"N/A")</f>
        <v>N/A</v>
      </c>
      <c r="I55" s="62" t="str">
        <f>IFERROR(IF(VLOOKUP($A55,'2020 Data (WP)'!$D$9:$AA$70,3,FALSE)=0,"",VLOOKUP($A55,'2020 Data (WP)'!$D$9:$AA$70,3,FALSE)),"N/A")</f>
        <v>N/A</v>
      </c>
      <c r="J55" s="62" t="str">
        <f t="shared" si="5"/>
        <v>N/A</v>
      </c>
      <c r="K55" s="62" t="str">
        <f t="shared" si="8"/>
        <v>N/A</v>
      </c>
      <c r="L55" s="62" t="str">
        <f ca="1">IFERROR(VLOOKUP($A55,LASTYR,'[3]2017'!$C$3,FALSE),"N/A")</f>
        <v>N/A</v>
      </c>
      <c r="M55" s="62" t="str">
        <f t="shared" ca="1" si="9"/>
        <v>N/A</v>
      </c>
      <c r="N55" s="62" t="str">
        <f t="shared" ca="1" si="9"/>
        <v>N/A</v>
      </c>
      <c r="O55" s="62" t="str">
        <f t="shared" ref="N55:W57" ca="1" si="10">IFERROR(INDEX(PE_WP,$B55,O$12),"N/A")</f>
        <v>N/A</v>
      </c>
      <c r="P55" s="62" t="str">
        <f t="shared" ca="1" si="10"/>
        <v>N/A</v>
      </c>
      <c r="Q55" s="62" t="str">
        <f t="shared" ca="1" si="10"/>
        <v>N/A</v>
      </c>
      <c r="R55" s="62" t="str">
        <f t="shared" ca="1" si="10"/>
        <v>N/A</v>
      </c>
      <c r="S55" s="62" t="str">
        <f t="shared" ca="1" si="10"/>
        <v>N/A</v>
      </c>
      <c r="T55" s="62" t="str">
        <f t="shared" ca="1" si="10"/>
        <v>N/A</v>
      </c>
      <c r="U55" s="62" t="str">
        <f t="shared" ca="1" si="10"/>
        <v>N/A</v>
      </c>
      <c r="V55" s="62" t="str">
        <f t="shared" ca="1" si="10"/>
        <v>N/A</v>
      </c>
      <c r="W55" s="62" t="str">
        <f t="shared" ca="1" si="10"/>
        <v>N/A</v>
      </c>
      <c r="X55" s="62"/>
      <c r="Y55" s="62"/>
      <c r="Z55" s="62"/>
      <c r="AA55" s="62"/>
    </row>
    <row r="56" spans="1:27" hidden="1" x14ac:dyDescent="0.25">
      <c r="A56" s="50"/>
      <c r="B56" s="45" t="str">
        <f t="shared" ca="1" si="3"/>
        <v/>
      </c>
      <c r="C56" s="1" t="str">
        <f>IF(ISERROR(D56),"",IF(D56="","",MAX($C$12:C55)+1))</f>
        <v/>
      </c>
      <c r="D56" t="e">
        <f t="shared" si="4"/>
        <v>#N/A</v>
      </c>
      <c r="F56" s="62" t="str">
        <f t="shared" ca="1" si="7"/>
        <v>N/A</v>
      </c>
      <c r="G56" s="62" t="str">
        <f>IFERROR(IF(VLOOKUP($A56,'2022 Data (WP)'!$D$9:$AA$70,3,FALSE)=0,"",VLOOKUP($A56,'2022 Data (WP)'!$D$9:$AA$70,3,FALSE)),"N/A")</f>
        <v>N/A</v>
      </c>
      <c r="H56" s="62" t="str">
        <f>IFERROR(IF(VLOOKUP($A56,'2021 Data (WP)'!$D$9:$AA$70,3,FALSE)=0,"",VLOOKUP($A56,'2021 Data (WP)'!$D$9:$AA$70,3,FALSE)),"N/A")</f>
        <v>N/A</v>
      </c>
      <c r="I56" s="62" t="str">
        <f>IFERROR(IF(VLOOKUP($A56,'2020 Data (WP)'!$D$9:$AA$70,3,FALSE)=0,"",VLOOKUP($A56,'2020 Data (WP)'!$D$9:$AA$70,3,FALSE)),"N/A")</f>
        <v>N/A</v>
      </c>
      <c r="J56" s="62" t="str">
        <f t="shared" si="5"/>
        <v>N/A</v>
      </c>
      <c r="K56" s="62" t="str">
        <f t="shared" si="8"/>
        <v>N/A</v>
      </c>
      <c r="L56" s="62" t="str">
        <f ca="1">IFERROR(VLOOKUP($A56,LASTYR,'[3]2017'!$C$3,FALSE),"N/A")</f>
        <v>N/A</v>
      </c>
      <c r="M56" s="62" t="str">
        <f ca="1">IFERROR(INDEX(PE_WP,$B56,M$12),"N/A")</f>
        <v>N/A</v>
      </c>
      <c r="N56" s="62" t="str">
        <f t="shared" ca="1" si="10"/>
        <v>N/A</v>
      </c>
      <c r="O56" s="62" t="str">
        <f t="shared" ca="1" si="10"/>
        <v>N/A</v>
      </c>
      <c r="P56" s="62" t="str">
        <f t="shared" ca="1" si="10"/>
        <v>N/A</v>
      </c>
      <c r="Q56" s="62" t="str">
        <f t="shared" ca="1" si="10"/>
        <v>N/A</v>
      </c>
      <c r="R56" s="62" t="str">
        <f t="shared" ca="1" si="10"/>
        <v>N/A</v>
      </c>
      <c r="S56" s="62" t="str">
        <f t="shared" ca="1" si="10"/>
        <v>N/A</v>
      </c>
      <c r="T56" s="62" t="str">
        <f t="shared" ca="1" si="10"/>
        <v>N/A</v>
      </c>
      <c r="U56" s="62" t="str">
        <f t="shared" ca="1" si="10"/>
        <v>N/A</v>
      </c>
      <c r="V56" s="62" t="str">
        <f t="shared" ca="1" si="10"/>
        <v>N/A</v>
      </c>
      <c r="W56" s="62" t="str">
        <f t="shared" ca="1" si="10"/>
        <v>N/A</v>
      </c>
      <c r="X56" s="62"/>
      <c r="Y56" s="62"/>
      <c r="Z56" s="62"/>
      <c r="AA56" s="62"/>
    </row>
    <row r="57" spans="1:27" hidden="1" x14ac:dyDescent="0.25">
      <c r="A57" s="50"/>
      <c r="B57" s="45" t="str">
        <f t="shared" ca="1" si="3"/>
        <v/>
      </c>
      <c r="C57" s="1" t="str">
        <f>IF(ISERROR(D57),"",IF(D57="","",MAX($C$12:C56)+1))</f>
        <v/>
      </c>
      <c r="D57" t="e">
        <f t="shared" si="4"/>
        <v>#N/A</v>
      </c>
      <c r="F57" s="62" t="str">
        <f t="shared" ca="1" si="7"/>
        <v>N/A</v>
      </c>
      <c r="G57" s="62" t="str">
        <f>IFERROR(IF(VLOOKUP($A57,'2022 Data (WP)'!$D$9:$AA$70,3,FALSE)=0,"",VLOOKUP($A57,'2022 Data (WP)'!$D$9:$AA$70,3,FALSE)),"N/A")</f>
        <v>N/A</v>
      </c>
      <c r="H57" s="62" t="str">
        <f>IFERROR(IF(VLOOKUP($A57,'2021 Data (WP)'!$D$9:$AA$70,3,FALSE)=0,"",VLOOKUP($A57,'2021 Data (WP)'!$D$9:$AA$70,3,FALSE)),"N/A")</f>
        <v>N/A</v>
      </c>
      <c r="I57" s="62" t="str">
        <f>IFERROR(IF(VLOOKUP($A57,'2020 Data (WP)'!$D$9:$AA$70,3,FALSE)=0,"",VLOOKUP($A57,'2020 Data (WP)'!$D$9:$AA$70,3,FALSE)),"N/A")</f>
        <v>N/A</v>
      </c>
      <c r="J57" s="62" t="str">
        <f t="shared" si="5"/>
        <v>N/A</v>
      </c>
      <c r="K57" s="62" t="str">
        <f t="shared" si="8"/>
        <v>N/A</v>
      </c>
      <c r="L57" s="62" t="str">
        <f ca="1">IFERROR(VLOOKUP($A57,LASTYR,'[3]2017'!$C$3,FALSE),"N/A")</f>
        <v>N/A</v>
      </c>
      <c r="M57" s="62" t="str">
        <f ca="1">IFERROR(INDEX(PE_WP,$B57,M$12),"N/A")</f>
        <v>N/A</v>
      </c>
      <c r="N57" s="62" t="str">
        <f t="shared" ca="1" si="10"/>
        <v>N/A</v>
      </c>
      <c r="O57" s="62" t="str">
        <f t="shared" ca="1" si="10"/>
        <v>N/A</v>
      </c>
      <c r="P57" s="62" t="str">
        <f t="shared" ca="1" si="10"/>
        <v>N/A</v>
      </c>
      <c r="Q57" s="62" t="str">
        <f t="shared" ca="1" si="10"/>
        <v>N/A</v>
      </c>
      <c r="R57" s="62" t="str">
        <f t="shared" ca="1" si="10"/>
        <v>N/A</v>
      </c>
      <c r="S57" s="62" t="str">
        <f t="shared" ca="1" si="10"/>
        <v>N/A</v>
      </c>
      <c r="T57" s="62" t="str">
        <f t="shared" ca="1" si="10"/>
        <v>N/A</v>
      </c>
      <c r="U57" s="62" t="str">
        <f t="shared" ca="1" si="10"/>
        <v>N/A</v>
      </c>
      <c r="V57" s="62" t="str">
        <f t="shared" ca="1" si="10"/>
        <v>N/A</v>
      </c>
      <c r="W57" s="62" t="str">
        <f t="shared" ca="1" si="10"/>
        <v>N/A</v>
      </c>
      <c r="X57" s="62"/>
      <c r="Y57" s="62"/>
      <c r="Z57" s="62"/>
      <c r="AA57" s="62"/>
    </row>
    <row r="58" spans="1:27" x14ac:dyDescent="0.25">
      <c r="A58" s="31"/>
      <c r="B58" s="31"/>
      <c r="C58" s="1" t="str">
        <f>IF(ISERROR(D58),"",IF(D58="","",MAX($C$12:C57)+1))</f>
        <v/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</row>
    <row r="59" spans="1:27" x14ac:dyDescent="0.25">
      <c r="A59" s="31"/>
      <c r="B59" s="31"/>
      <c r="C59" s="1">
        <f ca="1">IF(ISERROR(D59),"",IF(D59="","",MAX($C$12:C58)+1))</f>
        <v>7</v>
      </c>
      <c r="D59" t="s">
        <v>98</v>
      </c>
      <c r="F59" s="62">
        <f ca="1">AVERAGE(G59:W59)</f>
        <v>24.183937254901963</v>
      </c>
      <c r="G59" s="62">
        <f>AVERAGE(G13:G58)</f>
        <v>33.35</v>
      </c>
      <c r="H59" s="62">
        <f>AVERAGE(H13:H58)</f>
        <v>32.133333333333333</v>
      </c>
      <c r="I59" s="62">
        <f>AVERAGE(I13:I58)</f>
        <v>31.650000000000002</v>
      </c>
      <c r="J59" s="62">
        <f t="shared" ref="J59:W59" si="11">AVERAGE(J13:J58)</f>
        <v>36.166666666666664</v>
      </c>
      <c r="K59" s="62">
        <f t="shared" ca="1" si="11"/>
        <v>28.033333333333331</v>
      </c>
      <c r="L59" s="62">
        <f t="shared" ca="1" si="11"/>
        <v>25.933333333333337</v>
      </c>
      <c r="M59" s="62">
        <f t="shared" ca="1" si="11"/>
        <v>24.166666666666661</v>
      </c>
      <c r="N59" s="62">
        <f t="shared" ca="1" si="11"/>
        <v>20.516666666666666</v>
      </c>
      <c r="O59" s="62">
        <f t="shared" ca="1" si="11"/>
        <v>17.600000000000001</v>
      </c>
      <c r="P59" s="62">
        <f t="shared" ca="1" si="11"/>
        <v>19.516666666666666</v>
      </c>
      <c r="Q59" s="62">
        <f t="shared" ca="1" si="11"/>
        <v>17.666666666666668</v>
      </c>
      <c r="R59" s="62">
        <f t="shared" ca="1" si="11"/>
        <v>18.466666666666669</v>
      </c>
      <c r="S59" s="62">
        <f t="shared" ca="1" si="11"/>
        <v>18.45</v>
      </c>
      <c r="T59" s="62">
        <f t="shared" ca="1" si="11"/>
        <v>19.783333333333335</v>
      </c>
      <c r="U59" s="62">
        <f t="shared" ca="1" si="11"/>
        <v>20.150000000000002</v>
      </c>
      <c r="V59" s="62">
        <f t="shared" ca="1" si="11"/>
        <v>24.2</v>
      </c>
      <c r="W59" s="62">
        <f t="shared" ca="1" si="11"/>
        <v>23.343600000000002</v>
      </c>
      <c r="X59" s="62"/>
      <c r="Y59" s="62"/>
      <c r="Z59" s="62"/>
      <c r="AA59" s="62"/>
    </row>
    <row r="60" spans="1:27" x14ac:dyDescent="0.25">
      <c r="A60" s="31"/>
      <c r="B60" s="31"/>
      <c r="C60" s="1">
        <f ca="1">IF(ISERROR(D60),"",IF(D60="","",MAX($C$12:C59)+1))</f>
        <v>8</v>
      </c>
      <c r="D60" t="s">
        <v>257</v>
      </c>
      <c r="F60" s="62">
        <f ca="1">AVERAGE(G60:W60)</f>
        <v>24.185764705882356</v>
      </c>
      <c r="G60" s="62">
        <f>MEDIAN(G13:G58)</f>
        <v>33.299999999999997</v>
      </c>
      <c r="H60" s="62">
        <f>MEDIAN(H13:H58)</f>
        <v>31.7</v>
      </c>
      <c r="I60" s="62">
        <f>MEDIAN(I13:I58)</f>
        <v>31.45</v>
      </c>
      <c r="J60" s="62">
        <f t="shared" ref="J60:W60" si="12">MEDIAN(J13:J58)</f>
        <v>34.599999999999994</v>
      </c>
      <c r="K60" s="62">
        <f t="shared" ca="1" si="12"/>
        <v>28.8</v>
      </c>
      <c r="L60" s="62">
        <f t="shared" ca="1" si="12"/>
        <v>26.299999999999997</v>
      </c>
      <c r="M60" s="62">
        <f t="shared" ca="1" si="12"/>
        <v>25.6</v>
      </c>
      <c r="N60" s="62">
        <f t="shared" ca="1" si="12"/>
        <v>19.8</v>
      </c>
      <c r="O60" s="62">
        <f t="shared" ca="1" si="12"/>
        <v>19.100000000000001</v>
      </c>
      <c r="P60" s="62">
        <f t="shared" ca="1" si="12"/>
        <v>19.799999999999997</v>
      </c>
      <c r="Q60" s="62">
        <f t="shared" ca="1" si="12"/>
        <v>17.299999999999997</v>
      </c>
      <c r="R60" s="62">
        <f t="shared" ca="1" si="12"/>
        <v>19</v>
      </c>
      <c r="S60" s="62">
        <f t="shared" ca="1" si="12"/>
        <v>16.75</v>
      </c>
      <c r="T60" s="62">
        <f t="shared" ca="1" si="12"/>
        <v>20.350000000000001</v>
      </c>
      <c r="U60" s="62">
        <f t="shared" ca="1" si="12"/>
        <v>19.8</v>
      </c>
      <c r="V60" s="62">
        <f t="shared" ca="1" si="12"/>
        <v>24</v>
      </c>
      <c r="W60" s="62">
        <f t="shared" ca="1" si="12"/>
        <v>23.507999999999999</v>
      </c>
      <c r="X60" s="62"/>
      <c r="Y60" s="62"/>
      <c r="Z60" s="62"/>
      <c r="AA60" s="62"/>
    </row>
    <row r="61" spans="1:27" x14ac:dyDescent="0.25">
      <c r="A61" s="31"/>
      <c r="B61" s="31"/>
      <c r="C61" s="1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</row>
    <row r="62" spans="1:27" x14ac:dyDescent="0.25">
      <c r="A62" s="31"/>
      <c r="B62" s="31"/>
      <c r="C62" s="1"/>
    </row>
    <row r="63" spans="1:27" ht="16.2" x14ac:dyDescent="0.25">
      <c r="A63" s="31"/>
      <c r="B63" s="31"/>
      <c r="C63" s="6"/>
      <c r="D63" s="6"/>
      <c r="E63" s="19"/>
      <c r="F63" s="276" t="s">
        <v>109</v>
      </c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</row>
    <row r="64" spans="1:27" x14ac:dyDescent="0.25">
      <c r="A64" s="31"/>
      <c r="B64" s="31"/>
      <c r="C64" s="6"/>
      <c r="D64" s="7"/>
      <c r="E64" s="7"/>
      <c r="F64" s="8" t="str">
        <f>F9</f>
        <v>17-Year</v>
      </c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7"/>
      <c r="U64" s="7"/>
      <c r="V64" s="7"/>
      <c r="W64" s="7"/>
      <c r="X64" s="7"/>
      <c r="Y64" s="7"/>
      <c r="Z64" s="7"/>
    </row>
    <row r="65" spans="1:27" ht="16.2" x14ac:dyDescent="0.25">
      <c r="A65" s="31"/>
      <c r="B65" s="31"/>
      <c r="C65" s="9" t="s">
        <v>96</v>
      </c>
      <c r="D65" s="275" t="s">
        <v>97</v>
      </c>
      <c r="E65" s="275"/>
      <c r="F65" s="10" t="s">
        <v>98</v>
      </c>
      <c r="G65" s="10" t="s">
        <v>540</v>
      </c>
      <c r="H65" s="40">
        <v>2021</v>
      </c>
      <c r="I65" s="40">
        <v>2020</v>
      </c>
      <c r="J65" s="40">
        <v>2019</v>
      </c>
      <c r="K65" s="40">
        <v>2018</v>
      </c>
      <c r="L65" s="40">
        <v>2017</v>
      </c>
      <c r="M65" s="40">
        <v>2016</v>
      </c>
      <c r="N65" s="40">
        <v>2015</v>
      </c>
      <c r="O65" s="40">
        <v>2014</v>
      </c>
      <c r="P65" s="40">
        <v>2013</v>
      </c>
      <c r="Q65" s="40">
        <v>2012</v>
      </c>
      <c r="R65" s="40">
        <v>2011</v>
      </c>
      <c r="S65" s="40">
        <v>2010</v>
      </c>
      <c r="T65" s="40">
        <v>2009</v>
      </c>
      <c r="U65" s="40">
        <v>2008</v>
      </c>
      <c r="V65" s="40">
        <v>2007</v>
      </c>
      <c r="W65" s="40">
        <v>2006</v>
      </c>
      <c r="X65" s="40">
        <v>2005</v>
      </c>
      <c r="Y65" s="40">
        <v>2004</v>
      </c>
      <c r="Z65" s="40">
        <v>2003</v>
      </c>
      <c r="AA65" s="40">
        <v>2002</v>
      </c>
    </row>
    <row r="66" spans="1:27" x14ac:dyDescent="0.25">
      <c r="A66" s="41"/>
      <c r="B66" s="41"/>
      <c r="C66" s="9"/>
      <c r="D66" s="11"/>
      <c r="E66" s="11"/>
      <c r="F66" s="12">
        <v>-1</v>
      </c>
      <c r="G66" s="12">
        <f>+F66-1</f>
        <v>-2</v>
      </c>
      <c r="H66" s="12">
        <f>+G66-1</f>
        <v>-3</v>
      </c>
      <c r="I66" s="12">
        <f>+H66-1</f>
        <v>-4</v>
      </c>
      <c r="J66" s="12">
        <f>+I66-1</f>
        <v>-5</v>
      </c>
      <c r="K66" s="12">
        <f t="shared" ref="K66:AA66" si="13">+J66-1</f>
        <v>-6</v>
      </c>
      <c r="L66" s="12">
        <f t="shared" si="13"/>
        <v>-7</v>
      </c>
      <c r="M66" s="12">
        <f t="shared" si="13"/>
        <v>-8</v>
      </c>
      <c r="N66" s="12">
        <f t="shared" si="13"/>
        <v>-9</v>
      </c>
      <c r="O66" s="12">
        <f t="shared" si="13"/>
        <v>-10</v>
      </c>
      <c r="P66" s="12">
        <f t="shared" si="13"/>
        <v>-11</v>
      </c>
      <c r="Q66" s="12">
        <f t="shared" si="13"/>
        <v>-12</v>
      </c>
      <c r="R66" s="12">
        <f t="shared" si="13"/>
        <v>-13</v>
      </c>
      <c r="S66" s="12">
        <f t="shared" si="13"/>
        <v>-14</v>
      </c>
      <c r="T66" s="12">
        <f t="shared" si="13"/>
        <v>-15</v>
      </c>
      <c r="U66" s="12">
        <f t="shared" si="13"/>
        <v>-16</v>
      </c>
      <c r="V66" s="12">
        <f t="shared" si="13"/>
        <v>-17</v>
      </c>
      <c r="W66" s="12">
        <f t="shared" si="13"/>
        <v>-18</v>
      </c>
      <c r="X66" s="12">
        <f t="shared" si="13"/>
        <v>-19</v>
      </c>
      <c r="Y66" s="12">
        <f t="shared" si="13"/>
        <v>-20</v>
      </c>
      <c r="Z66" s="12">
        <f t="shared" si="13"/>
        <v>-21</v>
      </c>
      <c r="AA66" s="12">
        <f t="shared" si="13"/>
        <v>-22</v>
      </c>
    </row>
    <row r="67" spans="1:27" x14ac:dyDescent="0.25">
      <c r="A67" s="42"/>
      <c r="B67" s="43"/>
      <c r="C67" s="6"/>
      <c r="E67" s="22"/>
      <c r="F67" s="36"/>
      <c r="G67" s="36"/>
      <c r="H67" s="36"/>
      <c r="I67" s="36"/>
      <c r="J67" s="36"/>
      <c r="K67" s="16">
        <f t="shared" ref="K67:AA67" ca="1" si="14">MATCH(VALUE(LEFT(K65,4)),OFFSET(MP_CF_WP,-1,0,1,),0)</f>
        <v>9</v>
      </c>
      <c r="L67" s="16">
        <f t="shared" ca="1" si="14"/>
        <v>10</v>
      </c>
      <c r="M67" s="16">
        <f t="shared" ca="1" si="14"/>
        <v>11</v>
      </c>
      <c r="N67" s="16">
        <f t="shared" ca="1" si="14"/>
        <v>12</v>
      </c>
      <c r="O67" s="16">
        <f t="shared" ca="1" si="14"/>
        <v>13</v>
      </c>
      <c r="P67" s="16">
        <f t="shared" ca="1" si="14"/>
        <v>14</v>
      </c>
      <c r="Q67" s="16">
        <f t="shared" ca="1" si="14"/>
        <v>15</v>
      </c>
      <c r="R67" s="16">
        <f t="shared" ca="1" si="14"/>
        <v>16</v>
      </c>
      <c r="S67" s="16">
        <f t="shared" ca="1" si="14"/>
        <v>17</v>
      </c>
      <c r="T67" s="16">
        <f t="shared" ca="1" si="14"/>
        <v>18</v>
      </c>
      <c r="U67" s="16">
        <f t="shared" ca="1" si="14"/>
        <v>19</v>
      </c>
      <c r="V67" s="16">
        <f t="shared" ca="1" si="14"/>
        <v>20</v>
      </c>
      <c r="W67" s="16">
        <f t="shared" ca="1" si="14"/>
        <v>21</v>
      </c>
      <c r="X67" s="16">
        <f t="shared" ca="1" si="14"/>
        <v>22</v>
      </c>
      <c r="Y67" s="16">
        <f t="shared" ca="1" si="14"/>
        <v>23</v>
      </c>
      <c r="Z67" s="16">
        <f t="shared" ca="1" si="14"/>
        <v>24</v>
      </c>
      <c r="AA67" s="16">
        <f t="shared" ca="1" si="14"/>
        <v>25</v>
      </c>
    </row>
    <row r="68" spans="1:27" x14ac:dyDescent="0.25">
      <c r="A68" s="50" t="str">
        <f t="shared" ref="A68:A112" si="15">A13</f>
        <v>AWR</v>
      </c>
      <c r="B68" s="45">
        <f t="shared" ref="B68:B112" ca="1" si="16">IFERROR(MATCH(A68,OFFSET(MP_CF_WP,0,0,,1),0),"")</f>
        <v>4</v>
      </c>
      <c r="C68" s="1">
        <f ca="1">C60+1</f>
        <v>9</v>
      </c>
      <c r="D68" t="str">
        <f t="shared" ref="D68:D112" ca="1" si="17">D13</f>
        <v>Amer. States Water</v>
      </c>
      <c r="E68" s="22"/>
      <c r="F68" s="62">
        <f ca="1">IFERROR(AVERAGE(G68:W68),"N/A")</f>
        <v>15.220065832975274</v>
      </c>
      <c r="G68" s="62">
        <f>IFERROR(IF(VLOOKUP($A68,'2022 Data (WP)'!$D$9:$AA$70,17,FALSE)=0,"",VLOOKUP($A68,'2022 Data (WP)'!$D$9:$AA$70,17,FALSE)),"N/A")</f>
        <v>26.861538461538466</v>
      </c>
      <c r="H68" s="62">
        <f>IFERROR(IF(VLOOKUP($A68,'2021 Data (WP)'!$D$9:$AA$70,17,FALSE)=0,"",VLOOKUP($A68,'2021 Data (WP)'!$D$9:$AA$70,17,FALSE)),"N/A")</f>
        <v>23.887362637362635</v>
      </c>
      <c r="I68" s="62">
        <f>IFERROR(IF(VLOOKUP($A68,'2020 Data (WP)'!$D$9:$AA$70,17,FALSE)=0,"",VLOOKUP($A68,'2020 Data (WP)'!$D$9:$AA$70,17,FALSE)),"N/A")</f>
        <v>24.206586826347305</v>
      </c>
      <c r="J68" s="62">
        <f t="shared" ref="J68:J112" si="18">IFERROR(IF(VLOOKUP($A68,LUCurYr,17,FALSE)=0,"",VLOOKUP($A68,LUCurYr,17,FALSE)),"N/A")</f>
        <v>25.693548387096776</v>
      </c>
      <c r="K68" s="62">
        <f t="shared" ref="K68:AA83" ca="1" si="19">IFERROR(IF(INDEX(MP_CF_WP,$B68,K$67)=0,"N/A",INDEX(MP_CF_WP,$B68,K$67)),"N/A")</f>
        <v>20.640817765244975</v>
      </c>
      <c r="L68" s="62">
        <f t="shared" ca="1" si="19"/>
        <v>16.35939086294416</v>
      </c>
      <c r="M68" s="62">
        <f t="shared" ca="1" si="19"/>
        <v>15.338882722900481</v>
      </c>
      <c r="N68" s="62">
        <f t="shared" ca="1" si="19"/>
        <v>14.08508365966536</v>
      </c>
      <c r="O68" s="62">
        <f t="shared" ca="1" si="19"/>
        <v>11.824962518740628</v>
      </c>
      <c r="P68" s="62">
        <f t="shared" ca="1" si="19"/>
        <v>10.413715146948004</v>
      </c>
      <c r="Q68" s="62">
        <f t="shared" ca="1" si="19"/>
        <v>8.1306451612903228</v>
      </c>
      <c r="R68" s="62">
        <f t="shared" ca="1" si="19"/>
        <v>8.0675422138836765</v>
      </c>
      <c r="S68" s="62">
        <f t="shared" ca="1" si="19"/>
        <v>8.25626477541371</v>
      </c>
      <c r="T68" s="62">
        <f t="shared" ca="1" si="19"/>
        <v>10.087544065804936</v>
      </c>
      <c r="U68" s="62">
        <f t="shared" ca="1" si="19"/>
        <v>10.381376037959669</v>
      </c>
      <c r="V68" s="62">
        <f t="shared" ca="1" si="19"/>
        <v>11.762250453720508</v>
      </c>
      <c r="W68" s="62">
        <f t="shared" ca="1" si="19"/>
        <v>12.743607463718037</v>
      </c>
      <c r="X68" s="62"/>
      <c r="Y68" s="62"/>
      <c r="Z68" s="62"/>
      <c r="AA68" s="62"/>
    </row>
    <row r="69" spans="1:27" x14ac:dyDescent="0.25">
      <c r="A69" s="50" t="str">
        <f t="shared" si="15"/>
        <v>AWK</v>
      </c>
      <c r="B69" s="45">
        <f t="shared" ca="1" si="16"/>
        <v>5</v>
      </c>
      <c r="C69" s="1">
        <f ca="1">IF(ISERROR(D69),"",IF(D69="","",MAX($C$66:C68)+1))</f>
        <v>10</v>
      </c>
      <c r="D69" t="str">
        <f t="shared" ca="1" si="17"/>
        <v>Amer. Water Works</v>
      </c>
      <c r="E69" s="22"/>
      <c r="F69" s="62">
        <f t="shared" ref="F69:F112" ca="1" si="20">IFERROR(AVERAGE(G69:W69),"N/A")</f>
        <v>11.921939494891507</v>
      </c>
      <c r="G69" s="62">
        <f>IFERROR(IF(VLOOKUP($A69,'2022 Data (WP)'!$D$9:$AA$70,17,FALSE)=0,"",VLOOKUP($A69,'2022 Data (WP)'!$D$9:$AA$70,17,FALSE)),"N/A")</f>
        <v>19.313118811881189</v>
      </c>
      <c r="H69" s="62">
        <f>IFERROR(IF(VLOOKUP($A69,'2021 Data (WP)'!$D$9:$AA$70,17,FALSE)=0,"",VLOOKUP($A69,'2021 Data (WP)'!$D$9:$AA$70,17,FALSE)),"N/A")</f>
        <v>15.33971291866029</v>
      </c>
      <c r="I69" s="62">
        <f>IFERROR(IF(VLOOKUP($A69,'2020 Data (WP)'!$D$9:$AA$70,17,FALSE)=0,"",VLOOKUP($A69,'2020 Data (WP)'!$D$9:$AA$70,17,FALSE)),"N/A")</f>
        <v>18.273480662983427</v>
      </c>
      <c r="J69" s="62">
        <f t="shared" si="18"/>
        <v>16.140740740740743</v>
      </c>
      <c r="K69" s="62">
        <f t="shared" ca="1" si="19"/>
        <v>13.986666666666666</v>
      </c>
      <c r="L69" s="62">
        <f t="shared" ca="1" si="19"/>
        <v>15.644747081712064</v>
      </c>
      <c r="M69" s="62">
        <f t="shared" ca="1" si="19"/>
        <v>13.800418171450294</v>
      </c>
      <c r="N69" s="62">
        <f t="shared" ca="1" si="19"/>
        <v>10.549688230709275</v>
      </c>
      <c r="O69" s="62">
        <f t="shared" ca="1" si="19"/>
        <v>10.065432358510414</v>
      </c>
      <c r="P69" s="62">
        <f t="shared" ca="1" si="19"/>
        <v>9.4051387933012158</v>
      </c>
      <c r="Q69" s="62">
        <f t="shared" ca="1" si="19"/>
        <v>8.2557377049180349</v>
      </c>
      <c r="R69" s="62">
        <f t="shared" ca="1" si="19"/>
        <v>7.735742971887551</v>
      </c>
      <c r="S69" s="62">
        <f t="shared" ca="1" si="19"/>
        <v>6.2856339612032617</v>
      </c>
      <c r="T69" s="62">
        <f t="shared" ca="1" si="19"/>
        <v>6.769657083477659</v>
      </c>
      <c r="U69" s="62">
        <f t="shared" ca="1" si="19"/>
        <v>7.2631762652705056</v>
      </c>
      <c r="V69" s="62" t="str">
        <f t="shared" ca="1" si="19"/>
        <v>N/A</v>
      </c>
      <c r="W69" s="62" t="str">
        <f t="shared" ca="1" si="19"/>
        <v>N/A</v>
      </c>
      <c r="X69" s="62"/>
      <c r="Y69" s="62"/>
      <c r="Z69" s="62"/>
      <c r="AA69" s="62"/>
    </row>
    <row r="70" spans="1:27" x14ac:dyDescent="0.25">
      <c r="A70" s="50" t="str">
        <f t="shared" si="15"/>
        <v>WTRG</v>
      </c>
      <c r="B70" s="45">
        <v>8</v>
      </c>
      <c r="C70" s="1">
        <f ca="1">IF(ISERROR(D70),"",IF(D70="","",MAX($C$66:C69)+1))</f>
        <v>11</v>
      </c>
      <c r="D70" t="str">
        <f t="shared" si="17"/>
        <v>Essential Utilities</v>
      </c>
      <c r="E70" s="22"/>
      <c r="F70" s="62">
        <f ca="1">IFERROR(AVERAGE(G70:W70),"N/A")</f>
        <v>15.231850349933294</v>
      </c>
      <c r="G70" s="62">
        <f>IFERROR(IF(VLOOKUP($A70,'2022 Data (WP)'!$D$9:$AA$70,17,FALSE)=0,"",VLOOKUP($A70,'2022 Data (WP)'!$D$9:$AA$70,17,FALSE)),"N/A")</f>
        <v>15.469798657718121</v>
      </c>
      <c r="H70" s="62">
        <f>IFERROR(IF(VLOOKUP($A70,'2021 Data (WP)'!$D$9:$AA$70,17,FALSE)=0,"",VLOOKUP($A70,'2021 Data (WP)'!$D$9:$AA$70,17,FALSE)),"N/A")</f>
        <v>16.435986159169548</v>
      </c>
      <c r="I70" s="62">
        <f>IFERROR(IF(VLOOKUP($A70,'2020 Data (WP)'!$D$9:$AA$70,17,FALSE)=0,"",VLOOKUP($A70,'2020 Data (WP)'!$D$9:$AA$70,17,FALSE)),"N/A")</f>
        <v>19.208144796380093</v>
      </c>
      <c r="J70" s="62">
        <f>IFERROR(IF(VLOOKUP("WTR",LUCurYr,17,FALSE)=0,"",VLOOKUP("WTR",LUCurYr,17,FALSE)),"N/A")</f>
        <v>22.166666666666668</v>
      </c>
      <c r="K70" s="62">
        <f t="shared" ca="1" si="19"/>
        <v>18.493165089379602</v>
      </c>
      <c r="L70" s="62">
        <f t="shared" ca="1" si="19"/>
        <v>15.7204910292729</v>
      </c>
      <c r="M70" s="62">
        <f t="shared" ca="1" si="19"/>
        <v>15.216908212560387</v>
      </c>
      <c r="N70" s="62">
        <f t="shared" ca="1" si="19"/>
        <v>14.316239316239315</v>
      </c>
      <c r="O70" s="62">
        <f t="shared" ca="1" si="19"/>
        <v>13.202437731849496</v>
      </c>
      <c r="P70" s="62">
        <f t="shared" ca="1" si="19"/>
        <v>13.484632272228319</v>
      </c>
      <c r="Q70" s="62">
        <f t="shared" ca="1" si="19"/>
        <v>12.668211920529803</v>
      </c>
      <c r="R70" s="62">
        <f t="shared" ca="1" si="19"/>
        <v>12.214088397790055</v>
      </c>
      <c r="S70" s="62">
        <f t="shared" ca="1" si="19"/>
        <v>10.679802955665025</v>
      </c>
      <c r="T70" s="62">
        <f t="shared" ca="1" si="19"/>
        <v>11.07081712062257</v>
      </c>
      <c r="U70" s="62">
        <f t="shared" ca="1" si="19"/>
        <v>12.815140845070424</v>
      </c>
      <c r="V70" s="62">
        <f t="shared" ca="1" si="19"/>
        <v>16.537340619307834</v>
      </c>
      <c r="W70" s="62">
        <f t="shared" ca="1" si="19"/>
        <v>19.241584158415844</v>
      </c>
      <c r="X70" s="62"/>
      <c r="Y70" s="62"/>
      <c r="Z70" s="62"/>
      <c r="AA70" s="62"/>
    </row>
    <row r="71" spans="1:27" x14ac:dyDescent="0.25">
      <c r="A71" s="50" t="str">
        <f t="shared" si="15"/>
        <v>CWT</v>
      </c>
      <c r="B71" s="45">
        <f t="shared" ca="1" si="16"/>
        <v>13</v>
      </c>
      <c r="C71" s="1">
        <f ca="1">IF(ISERROR(D71),"",IF(D71="","",MAX($C$66:C70)+1))</f>
        <v>12</v>
      </c>
      <c r="D71" t="str">
        <f t="shared" ca="1" si="17"/>
        <v>California Water</v>
      </c>
      <c r="E71" s="22"/>
      <c r="F71" s="62">
        <f t="shared" ca="1" si="20"/>
        <v>11.879611803510949</v>
      </c>
      <c r="G71" s="62">
        <f>IFERROR(IF(VLOOKUP($A71,'2022 Data (WP)'!$D$9:$AA$70,17,FALSE)=0,"",VLOOKUP($A71,'2022 Data (WP)'!$D$9:$AA$70,17,FALSE)),"N/A")</f>
        <v>15.897097625329815</v>
      </c>
      <c r="H71" s="62">
        <f>IFERROR(IF(VLOOKUP($A71,'2021 Data (WP)'!$D$9:$AA$70,17,FALSE)=0,"",VLOOKUP($A71,'2021 Data (WP)'!$D$9:$AA$70,17,FALSE)),"N/A")</f>
        <v>15.741687979539641</v>
      </c>
      <c r="I71" s="62">
        <f>IFERROR(IF(VLOOKUP($A71,'2020 Data (WP)'!$D$9:$AA$70,17,FALSE)=0,"",VLOOKUP($A71,'2020 Data (WP)'!$D$9:$AA$70,17,FALSE)),"N/A")</f>
        <v>12.512886597938143</v>
      </c>
      <c r="J71" s="62">
        <f t="shared" si="18"/>
        <v>16.737704918032787</v>
      </c>
      <c r="K71" s="62">
        <f t="shared" ca="1" si="19"/>
        <v>13.25965250965251</v>
      </c>
      <c r="L71" s="62">
        <f t="shared" ca="1" si="19"/>
        <v>12.555518506168724</v>
      </c>
      <c r="M71" s="62">
        <f t="shared" ca="1" si="19"/>
        <v>12.791969243912858</v>
      </c>
      <c r="N71" s="62">
        <f t="shared" ca="1" si="19"/>
        <v>10.489639639639638</v>
      </c>
      <c r="O71" s="62">
        <f t="shared" ca="1" si="19"/>
        <v>9.4981759221726794</v>
      </c>
      <c r="P71" s="62">
        <f t="shared" ca="1" si="19"/>
        <v>9.2844866576209863</v>
      </c>
      <c r="Q71" s="62">
        <f t="shared" ca="1" si="19"/>
        <v>7.8671268334771352</v>
      </c>
      <c r="R71" s="62">
        <f t="shared" ca="1" si="19"/>
        <v>8.8481624758220487</v>
      </c>
      <c r="S71" s="62">
        <f t="shared" ca="1" si="19"/>
        <v>9.5067287784679095</v>
      </c>
      <c r="T71" s="62">
        <f t="shared" ca="1" si="19"/>
        <v>9.9245087900723892</v>
      </c>
      <c r="U71" s="62">
        <f t="shared" ca="1" si="19"/>
        <v>10.090274046211713</v>
      </c>
      <c r="V71" s="62">
        <f t="shared" ca="1" si="19"/>
        <v>12.511523687580025</v>
      </c>
      <c r="W71" s="62">
        <f t="shared" ca="1" si="19"/>
        <v>14.436256448047162</v>
      </c>
      <c r="X71" s="62"/>
      <c r="Y71" s="62"/>
      <c r="Z71" s="62"/>
      <c r="AA71" s="62"/>
    </row>
    <row r="72" spans="1:27" x14ac:dyDescent="0.25">
      <c r="A72" s="50" t="str">
        <f t="shared" si="15"/>
        <v>MSEX</v>
      </c>
      <c r="B72" s="45">
        <f t="shared" ca="1" si="16"/>
        <v>41</v>
      </c>
      <c r="C72" s="1">
        <f ca="1">IF(ISERROR(D72),"",IF(D72="","",MAX($C$66:C71)+1))</f>
        <v>13</v>
      </c>
      <c r="D72" t="str">
        <f t="shared" ca="1" si="17"/>
        <v>Middlesex Water</v>
      </c>
      <c r="E72" s="22"/>
      <c r="F72" s="62">
        <f t="shared" ca="1" si="20"/>
        <v>15.518156502298242</v>
      </c>
      <c r="G72" s="62">
        <f>IFERROR(IF(VLOOKUP($A72,'2022 Data (WP)'!$D$9:$AA$70,17,FALSE)=0,"",VLOOKUP($A72,'2022 Data (WP)'!$D$9:$AA$70,17,FALSE)),"N/A")</f>
        <v>26.391891891891891</v>
      </c>
      <c r="H72" s="62">
        <f>IFERROR(IF(VLOOKUP($A72,'2021 Data (WP)'!$D$9:$AA$70,17,FALSE)=0,"",VLOOKUP($A72,'2021 Data (WP)'!$D$9:$AA$70,17,FALSE)),"N/A")</f>
        <v>28.734756097560979</v>
      </c>
      <c r="I72" s="62">
        <f>IFERROR(IF(VLOOKUP($A72,'2020 Data (WP)'!$D$9:$AA$70,17,FALSE)=0,"",VLOOKUP($A72,'2020 Data (WP)'!$D$9:$AA$70,17,FALSE)),"N/A")</f>
        <v>19.215384615384615</v>
      </c>
      <c r="J72" s="62">
        <f t="shared" si="18"/>
        <v>21.196428571428573</v>
      </c>
      <c r="K72" s="62">
        <f t="shared" ca="1" si="19"/>
        <v>15.061330561330561</v>
      </c>
      <c r="L72" s="62">
        <f t="shared" ca="1" si="19"/>
        <v>17.511399195350915</v>
      </c>
      <c r="M72" s="62">
        <f t="shared" ca="1" si="19"/>
        <v>16.293738489871085</v>
      </c>
      <c r="N72" s="62">
        <f t="shared" ca="1" si="19"/>
        <v>11.846544715447155</v>
      </c>
      <c r="O72" s="62">
        <f t="shared" ca="1" si="19"/>
        <v>11.328633405639913</v>
      </c>
      <c r="P72" s="62">
        <f t="shared" ca="1" si="19"/>
        <v>11.81315483119907</v>
      </c>
      <c r="Q72" s="62">
        <f t="shared" ca="1" si="19"/>
        <v>12.055305466237941</v>
      </c>
      <c r="R72" s="62">
        <f t="shared" ca="1" si="19"/>
        <v>12.46584699453552</v>
      </c>
      <c r="S72" s="62">
        <f t="shared" ca="1" si="19"/>
        <v>11.051712992889465</v>
      </c>
      <c r="T72" s="62">
        <f t="shared" ca="1" si="19"/>
        <v>10.777777777777779</v>
      </c>
      <c r="U72" s="62">
        <f t="shared" ca="1" si="19"/>
        <v>11.509470934030045</v>
      </c>
      <c r="V72" s="62">
        <f t="shared" ca="1" si="19"/>
        <v>12.580040187541861</v>
      </c>
      <c r="W72" s="62">
        <f t="shared" ca="1" si="19"/>
        <v>13.97524381095274</v>
      </c>
      <c r="X72" s="62"/>
      <c r="Y72" s="62"/>
      <c r="Z72" s="62"/>
      <c r="AA72" s="62"/>
    </row>
    <row r="73" spans="1:27" x14ac:dyDescent="0.25">
      <c r="A73" s="50" t="str">
        <f t="shared" si="15"/>
        <v>SJW</v>
      </c>
      <c r="B73" s="45">
        <f t="shared" ca="1" si="16"/>
        <v>60</v>
      </c>
      <c r="C73" s="1">
        <f ca="1">IF(ISERROR(D73),"",IF(D73="","",MAX($C$66:C72)+1))</f>
        <v>14</v>
      </c>
      <c r="D73" t="str">
        <f t="shared" ca="1" si="17"/>
        <v>SJW Corp.</v>
      </c>
      <c r="E73" s="22"/>
      <c r="F73" s="62">
        <f t="shared" ca="1" si="20"/>
        <v>11.36677342783465</v>
      </c>
      <c r="G73" s="62">
        <f>IFERROR(IF(VLOOKUP($A73,'2022 Data (WP)'!$D$9:$AA$70,17,FALSE)=0,"",VLOOKUP($A73,'2022 Data (WP)'!$D$9:$AA$70,17,FALSE)),"N/A")</f>
        <v>12.055267702936099</v>
      </c>
      <c r="H73" s="62">
        <f>IFERROR(IF(VLOOKUP($A73,'2021 Data (WP)'!$D$9:$AA$70,17,FALSE)=0,"",VLOOKUP($A73,'2021 Data (WP)'!$D$9:$AA$70,17,FALSE)),"N/A")</f>
        <v>12.836257309941519</v>
      </c>
      <c r="I73" s="62">
        <f>IFERROR(IF(VLOOKUP($A73,'2020 Data (WP)'!$D$9:$AA$70,17,FALSE)=0,"",VLOOKUP($A73,'2020 Data (WP)'!$D$9:$AA$70,17,FALSE)),"N/A")</f>
        <v>11.420454545454545</v>
      </c>
      <c r="J73" s="62">
        <f t="shared" si="18"/>
        <v>20.380952380952383</v>
      </c>
      <c r="K73" s="62">
        <f t="shared" ca="1" si="19"/>
        <v>18.131426832978399</v>
      </c>
      <c r="L73" s="62">
        <f t="shared" ca="1" si="19"/>
        <v>10.287323405880105</v>
      </c>
      <c r="M73" s="62">
        <f t="shared" ca="1" si="19"/>
        <v>8.4547743966421827</v>
      </c>
      <c r="N73" s="62">
        <f t="shared" ca="1" si="19"/>
        <v>7.9823697173969403</v>
      </c>
      <c r="O73" s="62">
        <f t="shared" ca="1" si="19"/>
        <v>6.4265038444142926</v>
      </c>
      <c r="P73" s="62">
        <f t="shared" ca="1" si="19"/>
        <v>9.3993103448275868</v>
      </c>
      <c r="Q73" s="62">
        <f t="shared" ca="1" si="19"/>
        <v>8.0970350404312672</v>
      </c>
      <c r="R73" s="62">
        <f t="shared" ca="1" si="19"/>
        <v>8.3909318100678316</v>
      </c>
      <c r="S73" s="62">
        <f t="shared" ca="1" si="19"/>
        <v>10.28721614802355</v>
      </c>
      <c r="T73" s="62">
        <f t="shared" ca="1" si="19"/>
        <v>10.525838621940164</v>
      </c>
      <c r="U73" s="62">
        <f t="shared" ca="1" si="19"/>
        <v>11.675697865353039</v>
      </c>
      <c r="V73" s="62">
        <f t="shared" ca="1" si="19"/>
        <v>15.134523291249456</v>
      </c>
      <c r="W73" s="62">
        <f t="shared" ca="1" si="19"/>
        <v>11.749265014699708</v>
      </c>
      <c r="X73" s="62"/>
      <c r="Y73" s="62"/>
      <c r="Z73" s="62"/>
      <c r="AA73" s="62"/>
    </row>
    <row r="74" spans="1:27" hidden="1" x14ac:dyDescent="0.25">
      <c r="A74" s="50"/>
      <c r="B74" s="45" t="str">
        <f t="shared" ca="1" si="16"/>
        <v/>
      </c>
      <c r="C74" s="1" t="str">
        <f>IF(ISERROR(D74),"",IF(D74="","",MAX($C$66:C73)+1))</f>
        <v/>
      </c>
      <c r="D74" t="e">
        <f t="shared" si="17"/>
        <v>#N/A</v>
      </c>
      <c r="E74" s="22"/>
      <c r="F74" s="62" t="str">
        <f t="shared" ca="1" si="20"/>
        <v>N/A</v>
      </c>
      <c r="G74" s="62" t="str">
        <f>IFERROR(IF(VLOOKUP($A74,'2022 Data (WP)'!$D$9:$AA$70,17,FALSE)=0,"",VLOOKUP($A74,'2022 Data (WP)'!$D$9:$AA$70,17,FALSE)),"N/A")</f>
        <v>N/A</v>
      </c>
      <c r="H74" s="62" t="str">
        <f>IFERROR(IF(VLOOKUP($A74,'2021 Data (WP)'!$D$9:$AA$70,17,FALSE)=0,"",VLOOKUP($A74,'2021 Data (WP)'!$D$9:$AA$70,17,FALSE)),"N/A")</f>
        <v>N/A</v>
      </c>
      <c r="I74" s="62" t="str">
        <f>IFERROR(IF(VLOOKUP($A74,'2020 Data (WP)'!$D$9:$AA$70,17,FALSE)=0,"",VLOOKUP($A74,'2020 Data (WP)'!$D$9:$AA$70,17,FALSE)),"N/A")</f>
        <v>N/A</v>
      </c>
      <c r="J74" s="62" t="str">
        <f t="shared" si="18"/>
        <v>N/A</v>
      </c>
      <c r="K74" s="62" t="str">
        <f t="shared" ca="1" si="19"/>
        <v>N/A</v>
      </c>
      <c r="L74" s="62" t="str">
        <f t="shared" ca="1" si="19"/>
        <v>N/A</v>
      </c>
      <c r="M74" s="62" t="str">
        <f t="shared" ca="1" si="19"/>
        <v>N/A</v>
      </c>
      <c r="N74" s="62" t="str">
        <f t="shared" ca="1" si="19"/>
        <v>N/A</v>
      </c>
      <c r="O74" s="62" t="str">
        <f t="shared" ca="1" si="19"/>
        <v>N/A</v>
      </c>
      <c r="P74" s="62" t="str">
        <f t="shared" ca="1" si="19"/>
        <v>N/A</v>
      </c>
      <c r="Q74" s="62" t="str">
        <f t="shared" ca="1" si="19"/>
        <v>N/A</v>
      </c>
      <c r="R74" s="62" t="str">
        <f t="shared" ca="1" si="19"/>
        <v>N/A</v>
      </c>
      <c r="S74" s="62" t="str">
        <f t="shared" ca="1" si="19"/>
        <v>N/A</v>
      </c>
      <c r="T74" s="62" t="str">
        <f t="shared" ca="1" si="19"/>
        <v>N/A</v>
      </c>
      <c r="U74" s="62" t="str">
        <f t="shared" ca="1" si="19"/>
        <v>N/A</v>
      </c>
      <c r="V74" s="62" t="str">
        <f t="shared" ca="1" si="19"/>
        <v>N/A</v>
      </c>
      <c r="W74" s="62" t="str">
        <f t="shared" ca="1" si="19"/>
        <v>N/A</v>
      </c>
      <c r="X74" s="62"/>
      <c r="Y74" s="62"/>
      <c r="Z74" s="62"/>
      <c r="AA74" s="62"/>
    </row>
    <row r="75" spans="1:27" hidden="1" x14ac:dyDescent="0.25">
      <c r="A75" s="50"/>
      <c r="B75" s="45" t="str">
        <f t="shared" ca="1" si="16"/>
        <v/>
      </c>
      <c r="C75" s="1" t="str">
        <f>IF(ISERROR(D75),"",IF(D75="","",MAX($C$66:C74)+1))</f>
        <v/>
      </c>
      <c r="D75" t="e">
        <f t="shared" si="17"/>
        <v>#N/A</v>
      </c>
      <c r="E75" s="22"/>
      <c r="F75" s="62" t="str">
        <f t="shared" ca="1" si="20"/>
        <v>N/A</v>
      </c>
      <c r="G75" s="62" t="str">
        <f>IFERROR(IF(VLOOKUP($A75,'2022 Data (WP)'!$D$9:$AA$70,17,FALSE)=0,"",VLOOKUP($A75,'2022 Data (WP)'!$D$9:$AA$70,17,FALSE)),"N/A")</f>
        <v>N/A</v>
      </c>
      <c r="H75" s="62" t="str">
        <f>IFERROR(IF(VLOOKUP($A75,'2021 Data (WP)'!$D$9:$AA$70,17,FALSE)=0,"",VLOOKUP($A75,'2021 Data (WP)'!$D$9:$AA$70,17,FALSE)),"N/A")</f>
        <v>N/A</v>
      </c>
      <c r="I75" s="62" t="str">
        <f>IFERROR(IF(VLOOKUP($A75,'2020 Data (WP)'!$D$9:$AA$70,17,FALSE)=0,"",VLOOKUP($A75,'2020 Data (WP)'!$D$9:$AA$70,17,FALSE)),"N/A")</f>
        <v>N/A</v>
      </c>
      <c r="J75" s="62" t="str">
        <f t="shared" si="18"/>
        <v>N/A</v>
      </c>
      <c r="K75" s="62" t="str">
        <f t="shared" ca="1" si="19"/>
        <v>N/A</v>
      </c>
      <c r="L75" s="62" t="str">
        <f t="shared" ca="1" si="19"/>
        <v>N/A</v>
      </c>
      <c r="M75" s="62" t="str">
        <f t="shared" ca="1" si="19"/>
        <v>N/A</v>
      </c>
      <c r="N75" s="62" t="str">
        <f t="shared" ca="1" si="19"/>
        <v>N/A</v>
      </c>
      <c r="O75" s="62" t="str">
        <f t="shared" ca="1" si="19"/>
        <v>N/A</v>
      </c>
      <c r="P75" s="62" t="str">
        <f t="shared" ca="1" si="19"/>
        <v>N/A</v>
      </c>
      <c r="Q75" s="62" t="str">
        <f t="shared" ca="1" si="19"/>
        <v>N/A</v>
      </c>
      <c r="R75" s="62" t="str">
        <f t="shared" ca="1" si="19"/>
        <v>N/A</v>
      </c>
      <c r="S75" s="62" t="str">
        <f t="shared" ca="1" si="19"/>
        <v>N/A</v>
      </c>
      <c r="T75" s="62" t="str">
        <f t="shared" ca="1" si="19"/>
        <v>N/A</v>
      </c>
      <c r="U75" s="62" t="str">
        <f t="shared" ca="1" si="19"/>
        <v>N/A</v>
      </c>
      <c r="V75" s="62" t="str">
        <f t="shared" ca="1" si="19"/>
        <v>N/A</v>
      </c>
      <c r="W75" s="62" t="str">
        <f t="shared" ca="1" si="19"/>
        <v>N/A</v>
      </c>
      <c r="X75" s="62"/>
      <c r="Y75" s="62"/>
      <c r="Z75" s="62"/>
      <c r="AA75" s="62"/>
    </row>
    <row r="76" spans="1:27" hidden="1" x14ac:dyDescent="0.25">
      <c r="A76" s="50">
        <f t="shared" si="15"/>
        <v>0</v>
      </c>
      <c r="B76" s="45" t="str">
        <f t="shared" ca="1" si="16"/>
        <v/>
      </c>
      <c r="C76" s="1" t="str">
        <f>IF(ISERROR(D76),"",IF(D76="","",MAX($C$66:C75)+1))</f>
        <v/>
      </c>
      <c r="D76" t="e">
        <f t="shared" si="17"/>
        <v>#N/A</v>
      </c>
      <c r="E76" s="22"/>
      <c r="F76" s="62" t="str">
        <f t="shared" ca="1" si="20"/>
        <v>N/A</v>
      </c>
      <c r="G76" s="62"/>
      <c r="H76" s="62"/>
      <c r="I76" s="62"/>
      <c r="J76" s="62" t="str">
        <f t="shared" si="18"/>
        <v>N/A</v>
      </c>
      <c r="K76" s="62" t="str">
        <f t="shared" ca="1" si="19"/>
        <v>N/A</v>
      </c>
      <c r="L76" s="62" t="str">
        <f t="shared" ca="1" si="19"/>
        <v>N/A</v>
      </c>
      <c r="M76" s="62" t="str">
        <f t="shared" ca="1" si="19"/>
        <v>N/A</v>
      </c>
      <c r="N76" s="62" t="str">
        <f t="shared" ca="1" si="19"/>
        <v>N/A</v>
      </c>
      <c r="O76" s="62" t="str">
        <f t="shared" ca="1" si="19"/>
        <v>N/A</v>
      </c>
      <c r="P76" s="62" t="str">
        <f t="shared" ca="1" si="19"/>
        <v>N/A</v>
      </c>
      <c r="Q76" s="62" t="str">
        <f t="shared" ca="1" si="19"/>
        <v>N/A</v>
      </c>
      <c r="R76" s="62" t="str">
        <f t="shared" ca="1" si="19"/>
        <v>N/A</v>
      </c>
      <c r="S76" s="62" t="str">
        <f t="shared" ca="1" si="19"/>
        <v>N/A</v>
      </c>
      <c r="T76" s="62" t="str">
        <f t="shared" ca="1" si="19"/>
        <v>N/A</v>
      </c>
      <c r="U76" s="62" t="str">
        <f t="shared" ca="1" si="19"/>
        <v>N/A</v>
      </c>
      <c r="V76" s="62" t="str">
        <f t="shared" ca="1" si="19"/>
        <v>N/A</v>
      </c>
      <c r="W76" s="62" t="str">
        <f t="shared" ca="1" si="19"/>
        <v>N/A</v>
      </c>
      <c r="X76" s="62"/>
      <c r="Y76" s="62"/>
      <c r="Z76" s="62"/>
      <c r="AA76" s="62"/>
    </row>
    <row r="77" spans="1:27" hidden="1" x14ac:dyDescent="0.25">
      <c r="A77" s="50">
        <f t="shared" si="15"/>
        <v>0</v>
      </c>
      <c r="B77" s="45" t="str">
        <f t="shared" ca="1" si="16"/>
        <v/>
      </c>
      <c r="C77" s="1" t="str">
        <f>IF(ISERROR(D77),"",IF(D77="","",MAX($C$66:C76)+1))</f>
        <v/>
      </c>
      <c r="D77" t="e">
        <f t="shared" si="17"/>
        <v>#N/A</v>
      </c>
      <c r="E77" s="22"/>
      <c r="F77" s="62" t="str">
        <f t="shared" ca="1" si="20"/>
        <v>N/A</v>
      </c>
      <c r="G77" s="62"/>
      <c r="H77" s="62"/>
      <c r="I77" s="62"/>
      <c r="J77" s="62" t="str">
        <f t="shared" si="18"/>
        <v>N/A</v>
      </c>
      <c r="K77" s="62" t="str">
        <f t="shared" ca="1" si="19"/>
        <v>N/A</v>
      </c>
      <c r="L77" s="62" t="str">
        <f t="shared" ca="1" si="19"/>
        <v>N/A</v>
      </c>
      <c r="M77" s="62" t="str">
        <f t="shared" ca="1" si="19"/>
        <v>N/A</v>
      </c>
      <c r="N77" s="62" t="str">
        <f t="shared" ca="1" si="19"/>
        <v>N/A</v>
      </c>
      <c r="O77" s="62" t="str">
        <f t="shared" ca="1" si="19"/>
        <v>N/A</v>
      </c>
      <c r="P77" s="62" t="str">
        <f t="shared" ca="1" si="19"/>
        <v>N/A</v>
      </c>
      <c r="Q77" s="62" t="str">
        <f t="shared" ca="1" si="19"/>
        <v>N/A</v>
      </c>
      <c r="R77" s="62" t="str">
        <f t="shared" ca="1" si="19"/>
        <v>N/A</v>
      </c>
      <c r="S77" s="62" t="str">
        <f t="shared" ca="1" si="19"/>
        <v>N/A</v>
      </c>
      <c r="T77" s="62" t="str">
        <f t="shared" ca="1" si="19"/>
        <v>N/A</v>
      </c>
      <c r="U77" s="62" t="str">
        <f t="shared" ca="1" si="19"/>
        <v>N/A</v>
      </c>
      <c r="V77" s="62" t="str">
        <f t="shared" ca="1" si="19"/>
        <v>N/A</v>
      </c>
      <c r="W77" s="62" t="str">
        <f t="shared" ca="1" si="19"/>
        <v>N/A</v>
      </c>
      <c r="X77" s="62"/>
      <c r="Y77" s="62"/>
      <c r="Z77" s="62"/>
      <c r="AA77" s="62"/>
    </row>
    <row r="78" spans="1:27" hidden="1" x14ac:dyDescent="0.25">
      <c r="A78" s="50">
        <f t="shared" si="15"/>
        <v>0</v>
      </c>
      <c r="B78" s="45" t="str">
        <f t="shared" ca="1" si="16"/>
        <v/>
      </c>
      <c r="C78" s="1" t="str">
        <f>IF(ISERROR(D78),"",IF(D78="","",MAX($C$66:C77)+1))</f>
        <v/>
      </c>
      <c r="D78" t="e">
        <f t="shared" si="17"/>
        <v>#N/A</v>
      </c>
      <c r="E78" s="22"/>
      <c r="F78" s="62" t="str">
        <f t="shared" ca="1" si="20"/>
        <v>N/A</v>
      </c>
      <c r="G78" s="62"/>
      <c r="H78" s="62"/>
      <c r="I78" s="62"/>
      <c r="J78" s="62" t="str">
        <f t="shared" si="18"/>
        <v>N/A</v>
      </c>
      <c r="K78" s="62" t="str">
        <f t="shared" ca="1" si="19"/>
        <v>N/A</v>
      </c>
      <c r="L78" s="62" t="str">
        <f t="shared" ca="1" si="19"/>
        <v>N/A</v>
      </c>
      <c r="M78" s="62" t="str">
        <f t="shared" ca="1" si="19"/>
        <v>N/A</v>
      </c>
      <c r="N78" s="62" t="str">
        <f t="shared" ca="1" si="19"/>
        <v>N/A</v>
      </c>
      <c r="O78" s="62" t="str">
        <f t="shared" ca="1" si="19"/>
        <v>N/A</v>
      </c>
      <c r="P78" s="62" t="str">
        <f t="shared" ca="1" si="19"/>
        <v>N/A</v>
      </c>
      <c r="Q78" s="62" t="str">
        <f t="shared" ca="1" si="19"/>
        <v>N/A</v>
      </c>
      <c r="R78" s="62" t="str">
        <f t="shared" ca="1" si="19"/>
        <v>N/A</v>
      </c>
      <c r="S78" s="62" t="str">
        <f t="shared" ca="1" si="19"/>
        <v>N/A</v>
      </c>
      <c r="T78" s="62" t="str">
        <f t="shared" ca="1" si="19"/>
        <v>N/A</v>
      </c>
      <c r="U78" s="62" t="str">
        <f t="shared" ca="1" si="19"/>
        <v>N/A</v>
      </c>
      <c r="V78" s="62" t="str">
        <f t="shared" ca="1" si="19"/>
        <v>N/A</v>
      </c>
      <c r="W78" s="62" t="str">
        <f t="shared" ca="1" si="19"/>
        <v>N/A</v>
      </c>
      <c r="X78" s="62" t="str">
        <f t="shared" ca="1" si="19"/>
        <v>N/A</v>
      </c>
      <c r="Y78" s="62" t="str">
        <f t="shared" ca="1" si="19"/>
        <v>N/A</v>
      </c>
      <c r="Z78" s="62" t="str">
        <f t="shared" ca="1" si="19"/>
        <v>N/A</v>
      </c>
      <c r="AA78" s="62" t="str">
        <f t="shared" ca="1" si="19"/>
        <v>N/A</v>
      </c>
    </row>
    <row r="79" spans="1:27" hidden="1" x14ac:dyDescent="0.25">
      <c r="A79" s="50">
        <f t="shared" si="15"/>
        <v>0</v>
      </c>
      <c r="B79" s="45" t="str">
        <f t="shared" ca="1" si="16"/>
        <v/>
      </c>
      <c r="C79" s="1" t="str">
        <f>IF(ISERROR(D79),"",IF(D79="","",MAX($C$66:C78)+1))</f>
        <v/>
      </c>
      <c r="D79" t="e">
        <f t="shared" si="17"/>
        <v>#N/A</v>
      </c>
      <c r="E79" s="22"/>
      <c r="F79" s="62" t="str">
        <f t="shared" ca="1" si="20"/>
        <v>N/A</v>
      </c>
      <c r="G79" s="62"/>
      <c r="H79" s="62"/>
      <c r="I79" s="62"/>
      <c r="J79" s="62" t="str">
        <f t="shared" si="18"/>
        <v>N/A</v>
      </c>
      <c r="K79" s="62" t="str">
        <f t="shared" ref="K79:K112" si="21">IFERROR(IF(VLOOKUP(A79,LUCurYr,17,FALSE)=0,"",VLOOKUP(A79,LUCurYr,17,FALSE)),"N/A")</f>
        <v>N/A</v>
      </c>
      <c r="L79" s="62" t="str">
        <f ca="1">IFERROR(VLOOKUP($A79,LASTYR,'[3]2017'!$L$3,FALSE),"N/A")</f>
        <v>N/A</v>
      </c>
      <c r="M79" s="62" t="str">
        <f t="shared" ca="1" si="19"/>
        <v>N/A</v>
      </c>
      <c r="N79" s="62" t="str">
        <f t="shared" ca="1" si="19"/>
        <v>N/A</v>
      </c>
      <c r="O79" s="62" t="str">
        <f t="shared" ca="1" si="19"/>
        <v>N/A</v>
      </c>
      <c r="P79" s="62" t="str">
        <f t="shared" ca="1" si="19"/>
        <v>N/A</v>
      </c>
      <c r="Q79" s="62" t="str">
        <f t="shared" ca="1" si="19"/>
        <v>N/A</v>
      </c>
      <c r="R79" s="62" t="str">
        <f t="shared" ca="1" si="19"/>
        <v>N/A</v>
      </c>
      <c r="S79" s="62" t="str">
        <f t="shared" ca="1" si="19"/>
        <v>N/A</v>
      </c>
      <c r="T79" s="62" t="str">
        <f t="shared" ca="1" si="19"/>
        <v>N/A</v>
      </c>
      <c r="U79" s="62" t="str">
        <f t="shared" ca="1" si="19"/>
        <v>N/A</v>
      </c>
      <c r="V79" s="62" t="str">
        <f t="shared" ca="1" si="19"/>
        <v>N/A</v>
      </c>
      <c r="W79" s="62" t="str">
        <f t="shared" ca="1" si="19"/>
        <v>N/A</v>
      </c>
      <c r="X79" s="62" t="str">
        <f t="shared" ca="1" si="19"/>
        <v>N/A</v>
      </c>
      <c r="Y79" s="62" t="str">
        <f t="shared" ca="1" si="19"/>
        <v>N/A</v>
      </c>
      <c r="Z79" s="62" t="str">
        <f t="shared" ca="1" si="19"/>
        <v>N/A</v>
      </c>
      <c r="AA79" s="62" t="str">
        <f t="shared" ca="1" si="19"/>
        <v>N/A</v>
      </c>
    </row>
    <row r="80" spans="1:27" hidden="1" x14ac:dyDescent="0.25">
      <c r="A80" s="50">
        <f t="shared" si="15"/>
        <v>0</v>
      </c>
      <c r="B80" s="45" t="str">
        <f t="shared" ca="1" si="16"/>
        <v/>
      </c>
      <c r="C80" s="1" t="str">
        <f>IF(ISERROR(D80),"",IF(D80="","",MAX($C$66:C79)+1))</f>
        <v/>
      </c>
      <c r="D80" t="e">
        <f t="shared" si="17"/>
        <v>#N/A</v>
      </c>
      <c r="E80" s="22"/>
      <c r="F80" s="62" t="str">
        <f t="shared" ca="1" si="20"/>
        <v>N/A</v>
      </c>
      <c r="G80" s="62"/>
      <c r="H80" s="62"/>
      <c r="I80" s="62"/>
      <c r="J80" s="62" t="str">
        <f t="shared" si="18"/>
        <v>N/A</v>
      </c>
      <c r="K80" s="62" t="str">
        <f t="shared" si="21"/>
        <v>N/A</v>
      </c>
      <c r="L80" s="62" t="str">
        <f ca="1">IFERROR(VLOOKUP($A80,LASTYR,'[3]2017'!$L$3,FALSE),"N/A")</f>
        <v>N/A</v>
      </c>
      <c r="M80" s="62" t="str">
        <f t="shared" ca="1" si="19"/>
        <v>N/A</v>
      </c>
      <c r="N80" s="62" t="str">
        <f t="shared" ca="1" si="19"/>
        <v>N/A</v>
      </c>
      <c r="O80" s="62" t="str">
        <f t="shared" ca="1" si="19"/>
        <v>N/A</v>
      </c>
      <c r="P80" s="62" t="str">
        <f t="shared" ca="1" si="19"/>
        <v>N/A</v>
      </c>
      <c r="Q80" s="62" t="str">
        <f t="shared" ca="1" si="19"/>
        <v>N/A</v>
      </c>
      <c r="R80" s="62" t="str">
        <f t="shared" ca="1" si="19"/>
        <v>N/A</v>
      </c>
      <c r="S80" s="62" t="str">
        <f t="shared" ca="1" si="19"/>
        <v>N/A</v>
      </c>
      <c r="T80" s="62" t="str">
        <f t="shared" ca="1" si="19"/>
        <v>N/A</v>
      </c>
      <c r="U80" s="62" t="str">
        <f t="shared" ca="1" si="19"/>
        <v>N/A</v>
      </c>
      <c r="V80" s="62" t="str">
        <f t="shared" ca="1" si="19"/>
        <v>N/A</v>
      </c>
      <c r="W80" s="62" t="str">
        <f t="shared" ca="1" si="19"/>
        <v>N/A</v>
      </c>
      <c r="X80" s="62" t="str">
        <f t="shared" ca="1" si="19"/>
        <v>N/A</v>
      </c>
      <c r="Y80" s="62" t="str">
        <f t="shared" ca="1" si="19"/>
        <v>N/A</v>
      </c>
      <c r="Z80" s="62" t="str">
        <f t="shared" ca="1" si="19"/>
        <v>N/A</v>
      </c>
      <c r="AA80" s="62" t="str">
        <f t="shared" ca="1" si="19"/>
        <v>N/A</v>
      </c>
    </row>
    <row r="81" spans="1:27" hidden="1" x14ac:dyDescent="0.25">
      <c r="A81" s="50">
        <f t="shared" si="15"/>
        <v>0</v>
      </c>
      <c r="B81" s="45" t="str">
        <f t="shared" ca="1" si="16"/>
        <v/>
      </c>
      <c r="C81" s="1" t="str">
        <f>IF(ISERROR(D81),"",IF(D81="","",MAX($C$66:C80)+1))</f>
        <v/>
      </c>
      <c r="D81" t="e">
        <f t="shared" si="17"/>
        <v>#N/A</v>
      </c>
      <c r="E81" s="22"/>
      <c r="F81" s="62" t="str">
        <f t="shared" ca="1" si="20"/>
        <v>N/A</v>
      </c>
      <c r="G81" s="62"/>
      <c r="H81" s="62"/>
      <c r="I81" s="62"/>
      <c r="J81" s="62" t="str">
        <f t="shared" si="18"/>
        <v>N/A</v>
      </c>
      <c r="K81" s="62" t="str">
        <f t="shared" si="21"/>
        <v>N/A</v>
      </c>
      <c r="L81" s="62" t="str">
        <f ca="1">IFERROR(VLOOKUP($A81,LASTYR,'[3]2017'!$L$3,FALSE),"N/A")</f>
        <v>N/A</v>
      </c>
      <c r="M81" s="62" t="str">
        <f t="shared" ca="1" si="19"/>
        <v>N/A</v>
      </c>
      <c r="N81" s="62" t="str">
        <f t="shared" ca="1" si="19"/>
        <v>N/A</v>
      </c>
      <c r="O81" s="62" t="str">
        <f t="shared" ca="1" si="19"/>
        <v>N/A</v>
      </c>
      <c r="P81" s="62" t="str">
        <f t="shared" ca="1" si="19"/>
        <v>N/A</v>
      </c>
      <c r="Q81" s="62" t="str">
        <f t="shared" ca="1" si="19"/>
        <v>N/A</v>
      </c>
      <c r="R81" s="62" t="str">
        <f t="shared" ca="1" si="19"/>
        <v>N/A</v>
      </c>
      <c r="S81" s="62" t="str">
        <f t="shared" ca="1" si="19"/>
        <v>N/A</v>
      </c>
      <c r="T81" s="62" t="str">
        <f t="shared" ca="1" si="19"/>
        <v>N/A</v>
      </c>
      <c r="U81" s="62" t="str">
        <f t="shared" ca="1" si="19"/>
        <v>N/A</v>
      </c>
      <c r="V81" s="62" t="str">
        <f t="shared" ca="1" si="19"/>
        <v>N/A</v>
      </c>
      <c r="W81" s="62" t="str">
        <f t="shared" ca="1" si="19"/>
        <v>N/A</v>
      </c>
      <c r="X81" s="62" t="str">
        <f t="shared" ca="1" si="19"/>
        <v>N/A</v>
      </c>
      <c r="Y81" s="62" t="str">
        <f t="shared" ca="1" si="19"/>
        <v>N/A</v>
      </c>
      <c r="Z81" s="62" t="str">
        <f t="shared" ca="1" si="19"/>
        <v>N/A</v>
      </c>
      <c r="AA81" s="62" t="str">
        <f t="shared" ca="1" si="19"/>
        <v>N/A</v>
      </c>
    </row>
    <row r="82" spans="1:27" hidden="1" x14ac:dyDescent="0.25">
      <c r="A82" s="50">
        <f t="shared" si="15"/>
        <v>0</v>
      </c>
      <c r="B82" s="45" t="str">
        <f t="shared" ca="1" si="16"/>
        <v/>
      </c>
      <c r="C82" s="1" t="str">
        <f>IF(ISERROR(D82),"",IF(D82="","",MAX($C$66:C81)+1))</f>
        <v/>
      </c>
      <c r="D82" t="e">
        <f t="shared" si="17"/>
        <v>#N/A</v>
      </c>
      <c r="E82" s="22"/>
      <c r="F82" s="62" t="str">
        <f t="shared" ca="1" si="20"/>
        <v>N/A</v>
      </c>
      <c r="G82" s="62"/>
      <c r="H82" s="62"/>
      <c r="I82" s="62"/>
      <c r="J82" s="62" t="str">
        <f t="shared" si="18"/>
        <v>N/A</v>
      </c>
      <c r="K82" s="62" t="str">
        <f t="shared" si="21"/>
        <v>N/A</v>
      </c>
      <c r="L82" s="62" t="str">
        <f ca="1">IFERROR(VLOOKUP($A82,LASTYR,'[3]2017'!$L$3,FALSE),"N/A")</f>
        <v>N/A</v>
      </c>
      <c r="M82" s="62" t="str">
        <f t="shared" ca="1" si="19"/>
        <v>N/A</v>
      </c>
      <c r="N82" s="62" t="str">
        <f t="shared" ca="1" si="19"/>
        <v>N/A</v>
      </c>
      <c r="O82" s="62" t="str">
        <f t="shared" ca="1" si="19"/>
        <v>N/A</v>
      </c>
      <c r="P82" s="62" t="str">
        <f t="shared" ca="1" si="19"/>
        <v>N/A</v>
      </c>
      <c r="Q82" s="62" t="str">
        <f t="shared" ca="1" si="19"/>
        <v>N/A</v>
      </c>
      <c r="R82" s="62" t="str">
        <f t="shared" ca="1" si="19"/>
        <v>N/A</v>
      </c>
      <c r="S82" s="62" t="str">
        <f t="shared" ca="1" si="19"/>
        <v>N/A</v>
      </c>
      <c r="T82" s="62" t="str">
        <f t="shared" ca="1" si="19"/>
        <v>N/A</v>
      </c>
      <c r="U82" s="62" t="str">
        <f t="shared" ca="1" si="19"/>
        <v>N/A</v>
      </c>
      <c r="V82" s="62" t="str">
        <f t="shared" ca="1" si="19"/>
        <v>N/A</v>
      </c>
      <c r="W82" s="62" t="str">
        <f t="shared" ca="1" si="19"/>
        <v>N/A</v>
      </c>
      <c r="X82" s="62" t="str">
        <f t="shared" ca="1" si="19"/>
        <v>N/A</v>
      </c>
      <c r="Y82" s="62" t="str">
        <f t="shared" ca="1" si="19"/>
        <v>N/A</v>
      </c>
      <c r="Z82" s="62" t="str">
        <f t="shared" ca="1" si="19"/>
        <v>N/A</v>
      </c>
      <c r="AA82" s="62" t="str">
        <f t="shared" ca="1" si="19"/>
        <v>N/A</v>
      </c>
    </row>
    <row r="83" spans="1:27" hidden="1" x14ac:dyDescent="0.25">
      <c r="A83" s="50">
        <f t="shared" si="15"/>
        <v>0</v>
      </c>
      <c r="B83" s="45" t="str">
        <f t="shared" ca="1" si="16"/>
        <v/>
      </c>
      <c r="C83" s="1" t="str">
        <f>IF(ISERROR(D83),"",IF(D83="","",MAX($C$66:C82)+1))</f>
        <v/>
      </c>
      <c r="D83" t="e">
        <f t="shared" si="17"/>
        <v>#N/A</v>
      </c>
      <c r="E83" s="22"/>
      <c r="F83" s="62" t="str">
        <f t="shared" ca="1" si="20"/>
        <v>N/A</v>
      </c>
      <c r="G83" s="62"/>
      <c r="H83" s="62"/>
      <c r="I83" s="62"/>
      <c r="J83" s="62" t="str">
        <f t="shared" si="18"/>
        <v>N/A</v>
      </c>
      <c r="K83" s="62" t="str">
        <f t="shared" si="21"/>
        <v>N/A</v>
      </c>
      <c r="L83" s="62" t="str">
        <f ca="1">IFERROR(VLOOKUP($A83,LASTYR,'[3]2017'!$L$3,FALSE),"N/A")</f>
        <v>N/A</v>
      </c>
      <c r="M83" s="62" t="str">
        <f t="shared" ca="1" si="19"/>
        <v>N/A</v>
      </c>
      <c r="N83" s="62" t="str">
        <f t="shared" ca="1" si="19"/>
        <v>N/A</v>
      </c>
      <c r="O83" s="62" t="str">
        <f t="shared" ca="1" si="19"/>
        <v>N/A</v>
      </c>
      <c r="P83" s="62" t="str">
        <f t="shared" ca="1" si="19"/>
        <v>N/A</v>
      </c>
      <c r="Q83" s="62" t="str">
        <f t="shared" ca="1" si="19"/>
        <v>N/A</v>
      </c>
      <c r="R83" s="62" t="str">
        <f t="shared" ca="1" si="19"/>
        <v>N/A</v>
      </c>
      <c r="S83" s="62" t="str">
        <f t="shared" ca="1" si="19"/>
        <v>N/A</v>
      </c>
      <c r="T83" s="62" t="str">
        <f t="shared" ca="1" si="19"/>
        <v>N/A</v>
      </c>
      <c r="U83" s="62" t="str">
        <f t="shared" ca="1" si="19"/>
        <v>N/A</v>
      </c>
      <c r="V83" s="62" t="str">
        <f t="shared" ca="1" si="19"/>
        <v>N/A</v>
      </c>
      <c r="W83" s="62" t="str">
        <f t="shared" ca="1" si="19"/>
        <v>N/A</v>
      </c>
      <c r="X83" s="62" t="str">
        <f t="shared" ca="1" si="19"/>
        <v>N/A</v>
      </c>
      <c r="Y83" s="62" t="str">
        <f t="shared" ca="1" si="19"/>
        <v>N/A</v>
      </c>
      <c r="Z83" s="62" t="str">
        <f t="shared" ca="1" si="19"/>
        <v>N/A</v>
      </c>
      <c r="AA83" s="62" t="str">
        <f t="shared" ca="1" si="19"/>
        <v>N/A</v>
      </c>
    </row>
    <row r="84" spans="1:27" hidden="1" x14ac:dyDescent="0.25">
      <c r="A84" s="50">
        <f t="shared" si="15"/>
        <v>0</v>
      </c>
      <c r="B84" s="45" t="str">
        <f t="shared" ca="1" si="16"/>
        <v/>
      </c>
      <c r="C84" s="1" t="str">
        <f>IF(ISERROR(D84),"",IF(D84="","",MAX($C$66:C83)+1))</f>
        <v/>
      </c>
      <c r="D84" t="e">
        <f t="shared" si="17"/>
        <v>#N/A</v>
      </c>
      <c r="E84" s="22"/>
      <c r="F84" s="62" t="str">
        <f t="shared" ca="1" si="20"/>
        <v>N/A</v>
      </c>
      <c r="G84" s="62"/>
      <c r="H84" s="62"/>
      <c r="I84" s="62"/>
      <c r="J84" s="62" t="str">
        <f t="shared" si="18"/>
        <v>N/A</v>
      </c>
      <c r="K84" s="62" t="str">
        <f t="shared" si="21"/>
        <v>N/A</v>
      </c>
      <c r="L84" s="62" t="str">
        <f ca="1">IFERROR(VLOOKUP($A84,LASTYR,'[3]2017'!$L$3,FALSE),"N/A")</f>
        <v>N/A</v>
      </c>
      <c r="M84" s="62" t="str">
        <f t="shared" ref="M84:AA100" ca="1" si="22">IFERROR(IF(INDEX(MP_CF_WP,$B84,M$67)=0,"N/A",INDEX(MP_CF_WP,$B84,M$67)),"N/A")</f>
        <v>N/A</v>
      </c>
      <c r="N84" s="62" t="str">
        <f t="shared" ca="1" si="22"/>
        <v>N/A</v>
      </c>
      <c r="O84" s="62" t="str">
        <f t="shared" ca="1" si="22"/>
        <v>N/A</v>
      </c>
      <c r="P84" s="62" t="str">
        <f t="shared" ca="1" si="22"/>
        <v>N/A</v>
      </c>
      <c r="Q84" s="62" t="str">
        <f t="shared" ca="1" si="22"/>
        <v>N/A</v>
      </c>
      <c r="R84" s="62" t="str">
        <f t="shared" ca="1" si="22"/>
        <v>N/A</v>
      </c>
      <c r="S84" s="62" t="str">
        <f t="shared" ca="1" si="22"/>
        <v>N/A</v>
      </c>
      <c r="T84" s="62" t="str">
        <f t="shared" ca="1" si="22"/>
        <v>N/A</v>
      </c>
      <c r="U84" s="62" t="str">
        <f t="shared" ca="1" si="22"/>
        <v>N/A</v>
      </c>
      <c r="V84" s="62" t="str">
        <f t="shared" ca="1" si="22"/>
        <v>N/A</v>
      </c>
      <c r="W84" s="62" t="str">
        <f t="shared" ca="1" si="22"/>
        <v>N/A</v>
      </c>
      <c r="X84" s="62" t="str">
        <f t="shared" ca="1" si="22"/>
        <v>N/A</v>
      </c>
      <c r="Y84" s="62" t="str">
        <f t="shared" ca="1" si="22"/>
        <v>N/A</v>
      </c>
      <c r="Z84" s="62" t="str">
        <f t="shared" ca="1" si="22"/>
        <v>N/A</v>
      </c>
      <c r="AA84" s="62" t="str">
        <f t="shared" ca="1" si="22"/>
        <v>N/A</v>
      </c>
    </row>
    <row r="85" spans="1:27" hidden="1" x14ac:dyDescent="0.25">
      <c r="A85" s="50">
        <f t="shared" si="15"/>
        <v>0</v>
      </c>
      <c r="B85" s="45" t="str">
        <f t="shared" ca="1" si="16"/>
        <v/>
      </c>
      <c r="C85" s="1" t="str">
        <f>IF(ISERROR(D85),"",IF(D85="","",MAX($C$66:C84)+1))</f>
        <v/>
      </c>
      <c r="D85" t="e">
        <f t="shared" si="17"/>
        <v>#N/A</v>
      </c>
      <c r="E85" s="22"/>
      <c r="F85" s="62" t="str">
        <f t="shared" ca="1" si="20"/>
        <v>N/A</v>
      </c>
      <c r="G85" s="62"/>
      <c r="H85" s="62"/>
      <c r="I85" s="62"/>
      <c r="J85" s="62" t="str">
        <f t="shared" si="18"/>
        <v>N/A</v>
      </c>
      <c r="K85" s="62" t="str">
        <f t="shared" si="21"/>
        <v>N/A</v>
      </c>
      <c r="L85" s="62" t="str">
        <f ca="1">IFERROR(VLOOKUP($A85,LASTYR,'[3]2017'!$L$3,FALSE),"N/A")</f>
        <v>N/A</v>
      </c>
      <c r="M85" s="62" t="str">
        <f t="shared" ca="1" si="22"/>
        <v>N/A</v>
      </c>
      <c r="N85" s="62" t="str">
        <f t="shared" ca="1" si="22"/>
        <v>N/A</v>
      </c>
      <c r="O85" s="62" t="str">
        <f t="shared" ca="1" si="22"/>
        <v>N/A</v>
      </c>
      <c r="P85" s="62" t="str">
        <f t="shared" ca="1" si="22"/>
        <v>N/A</v>
      </c>
      <c r="Q85" s="62" t="str">
        <f t="shared" ca="1" si="22"/>
        <v>N/A</v>
      </c>
      <c r="R85" s="62" t="str">
        <f t="shared" ca="1" si="22"/>
        <v>N/A</v>
      </c>
      <c r="S85" s="62" t="str">
        <f t="shared" ca="1" si="22"/>
        <v>N/A</v>
      </c>
      <c r="T85" s="62" t="str">
        <f t="shared" ca="1" si="22"/>
        <v>N/A</v>
      </c>
      <c r="U85" s="62" t="str">
        <f t="shared" ca="1" si="22"/>
        <v>N/A</v>
      </c>
      <c r="V85" s="62" t="str">
        <f t="shared" ca="1" si="22"/>
        <v>N/A</v>
      </c>
      <c r="W85" s="62" t="str">
        <f t="shared" ca="1" si="22"/>
        <v>N/A</v>
      </c>
      <c r="X85" s="62" t="str">
        <f t="shared" ca="1" si="22"/>
        <v>N/A</v>
      </c>
      <c r="Y85" s="62" t="str">
        <f t="shared" ca="1" si="22"/>
        <v>N/A</v>
      </c>
      <c r="Z85" s="62" t="str">
        <f t="shared" ca="1" si="22"/>
        <v>N/A</v>
      </c>
      <c r="AA85" s="62" t="str">
        <f t="shared" ca="1" si="22"/>
        <v>N/A</v>
      </c>
    </row>
    <row r="86" spans="1:27" hidden="1" x14ac:dyDescent="0.25">
      <c r="A86" s="50">
        <f t="shared" si="15"/>
        <v>0</v>
      </c>
      <c r="B86" s="45" t="str">
        <f t="shared" ca="1" si="16"/>
        <v/>
      </c>
      <c r="C86" s="1" t="str">
        <f>IF(ISERROR(D86),"",IF(D86="","",MAX($C$66:C85)+1))</f>
        <v/>
      </c>
      <c r="D86" t="e">
        <f t="shared" si="17"/>
        <v>#N/A</v>
      </c>
      <c r="E86" s="22"/>
      <c r="F86" s="62" t="str">
        <f t="shared" ca="1" si="20"/>
        <v>N/A</v>
      </c>
      <c r="G86" s="62"/>
      <c r="H86" s="62"/>
      <c r="I86" s="62"/>
      <c r="J86" s="62" t="str">
        <f t="shared" si="18"/>
        <v>N/A</v>
      </c>
      <c r="K86" s="62" t="str">
        <f t="shared" si="21"/>
        <v>N/A</v>
      </c>
      <c r="L86" s="62" t="str">
        <f ca="1">IFERROR(VLOOKUP($A86,LASTYR,'[3]2017'!$L$3,FALSE),"N/A")</f>
        <v>N/A</v>
      </c>
      <c r="M86" s="62" t="str">
        <f t="shared" ca="1" si="22"/>
        <v>N/A</v>
      </c>
      <c r="N86" s="62" t="str">
        <f t="shared" ca="1" si="22"/>
        <v>N/A</v>
      </c>
      <c r="O86" s="62" t="str">
        <f t="shared" ca="1" si="22"/>
        <v>N/A</v>
      </c>
      <c r="P86" s="62" t="str">
        <f t="shared" ca="1" si="22"/>
        <v>N/A</v>
      </c>
      <c r="Q86" s="62" t="str">
        <f t="shared" ca="1" si="22"/>
        <v>N/A</v>
      </c>
      <c r="R86" s="62" t="str">
        <f t="shared" ca="1" si="22"/>
        <v>N/A</v>
      </c>
      <c r="S86" s="62" t="str">
        <f t="shared" ca="1" si="22"/>
        <v>N/A</v>
      </c>
      <c r="T86" s="62" t="str">
        <f t="shared" ca="1" si="22"/>
        <v>N/A</v>
      </c>
      <c r="U86" s="62" t="str">
        <f t="shared" ca="1" si="22"/>
        <v>N/A</v>
      </c>
      <c r="V86" s="62" t="str">
        <f t="shared" ca="1" si="22"/>
        <v>N/A</v>
      </c>
      <c r="W86" s="62" t="str">
        <f t="shared" ca="1" si="22"/>
        <v>N/A</v>
      </c>
      <c r="X86" s="62" t="str">
        <f t="shared" ca="1" si="22"/>
        <v>N/A</v>
      </c>
      <c r="Y86" s="62" t="str">
        <f t="shared" ca="1" si="22"/>
        <v>N/A</v>
      </c>
      <c r="Z86" s="62" t="str">
        <f t="shared" ca="1" si="22"/>
        <v>N/A</v>
      </c>
      <c r="AA86" s="62" t="str">
        <f t="shared" ca="1" si="22"/>
        <v>N/A</v>
      </c>
    </row>
    <row r="87" spans="1:27" hidden="1" x14ac:dyDescent="0.25">
      <c r="A87" s="50">
        <f t="shared" si="15"/>
        <v>0</v>
      </c>
      <c r="B87" s="45" t="str">
        <f t="shared" ca="1" si="16"/>
        <v/>
      </c>
      <c r="C87" s="1" t="str">
        <f>IF(ISERROR(D87),"",IF(D87="","",MAX($C$66:C86)+1))</f>
        <v/>
      </c>
      <c r="D87" t="e">
        <f t="shared" si="17"/>
        <v>#N/A</v>
      </c>
      <c r="E87" s="22"/>
      <c r="F87" s="62" t="str">
        <f t="shared" ca="1" si="20"/>
        <v>N/A</v>
      </c>
      <c r="G87" s="62"/>
      <c r="H87" s="62"/>
      <c r="I87" s="62"/>
      <c r="J87" s="62" t="str">
        <f t="shared" si="18"/>
        <v>N/A</v>
      </c>
      <c r="K87" s="62" t="str">
        <f t="shared" si="21"/>
        <v>N/A</v>
      </c>
      <c r="L87" s="62" t="str">
        <f ca="1">IFERROR(VLOOKUP($A87,LASTYR,'[3]2017'!$L$3,FALSE),"N/A")</f>
        <v>N/A</v>
      </c>
      <c r="M87" s="62" t="str">
        <f t="shared" ca="1" si="22"/>
        <v>N/A</v>
      </c>
      <c r="N87" s="62" t="str">
        <f t="shared" ca="1" si="22"/>
        <v>N/A</v>
      </c>
      <c r="O87" s="62" t="str">
        <f t="shared" ca="1" si="22"/>
        <v>N/A</v>
      </c>
      <c r="P87" s="62" t="str">
        <f t="shared" ca="1" si="22"/>
        <v>N/A</v>
      </c>
      <c r="Q87" s="62" t="str">
        <f t="shared" ca="1" si="22"/>
        <v>N/A</v>
      </c>
      <c r="R87" s="62" t="str">
        <f t="shared" ca="1" si="22"/>
        <v>N/A</v>
      </c>
      <c r="S87" s="62" t="str">
        <f t="shared" ca="1" si="22"/>
        <v>N/A</v>
      </c>
      <c r="T87" s="62" t="str">
        <f t="shared" ca="1" si="22"/>
        <v>N/A</v>
      </c>
      <c r="U87" s="62" t="str">
        <f t="shared" ca="1" si="22"/>
        <v>N/A</v>
      </c>
      <c r="V87" s="62" t="str">
        <f t="shared" ca="1" si="22"/>
        <v>N/A</v>
      </c>
      <c r="W87" s="62" t="str">
        <f t="shared" ca="1" si="22"/>
        <v>N/A</v>
      </c>
      <c r="X87" s="62" t="str">
        <f t="shared" ca="1" si="22"/>
        <v>N/A</v>
      </c>
      <c r="Y87" s="62" t="str">
        <f t="shared" ca="1" si="22"/>
        <v>N/A</v>
      </c>
      <c r="Z87" s="62" t="str">
        <f t="shared" ca="1" si="22"/>
        <v>N/A</v>
      </c>
      <c r="AA87" s="62" t="str">
        <f t="shared" ca="1" si="22"/>
        <v>N/A</v>
      </c>
    </row>
    <row r="88" spans="1:27" hidden="1" x14ac:dyDescent="0.25">
      <c r="A88" s="50">
        <f t="shared" si="15"/>
        <v>0</v>
      </c>
      <c r="B88" s="45" t="str">
        <f t="shared" ca="1" si="16"/>
        <v/>
      </c>
      <c r="C88" s="1" t="str">
        <f>IF(ISERROR(D88),"",IF(D88="","",MAX($C$66:C87)+1))</f>
        <v/>
      </c>
      <c r="D88" t="e">
        <f t="shared" si="17"/>
        <v>#N/A</v>
      </c>
      <c r="E88" s="22"/>
      <c r="F88" s="62" t="str">
        <f t="shared" ca="1" si="20"/>
        <v>N/A</v>
      </c>
      <c r="G88" s="62"/>
      <c r="H88" s="62"/>
      <c r="I88" s="62"/>
      <c r="J88" s="62" t="str">
        <f t="shared" si="18"/>
        <v>N/A</v>
      </c>
      <c r="K88" s="62" t="str">
        <f t="shared" si="21"/>
        <v>N/A</v>
      </c>
      <c r="L88" s="62" t="str">
        <f ca="1">IFERROR(VLOOKUP($A88,LASTYR,'[3]2017'!$L$3,FALSE),"N/A")</f>
        <v>N/A</v>
      </c>
      <c r="M88" s="62" t="str">
        <f t="shared" ca="1" si="22"/>
        <v>N/A</v>
      </c>
      <c r="N88" s="62" t="str">
        <f t="shared" ca="1" si="22"/>
        <v>N/A</v>
      </c>
      <c r="O88" s="62" t="str">
        <f t="shared" ca="1" si="22"/>
        <v>N/A</v>
      </c>
      <c r="P88" s="62" t="str">
        <f t="shared" ca="1" si="22"/>
        <v>N/A</v>
      </c>
      <c r="Q88" s="62" t="str">
        <f t="shared" ca="1" si="22"/>
        <v>N/A</v>
      </c>
      <c r="R88" s="62" t="str">
        <f t="shared" ca="1" si="22"/>
        <v>N/A</v>
      </c>
      <c r="S88" s="62" t="str">
        <f t="shared" ca="1" si="22"/>
        <v>N/A</v>
      </c>
      <c r="T88" s="62" t="str">
        <f t="shared" ca="1" si="22"/>
        <v>N/A</v>
      </c>
      <c r="U88" s="62" t="str">
        <f t="shared" ca="1" si="22"/>
        <v>N/A</v>
      </c>
      <c r="V88" s="62" t="str">
        <f t="shared" ca="1" si="22"/>
        <v>N/A</v>
      </c>
      <c r="W88" s="62" t="str">
        <f t="shared" ca="1" si="22"/>
        <v>N/A</v>
      </c>
      <c r="X88" s="62" t="str">
        <f t="shared" ca="1" si="22"/>
        <v>N/A</v>
      </c>
      <c r="Y88" s="62" t="str">
        <f t="shared" ca="1" si="22"/>
        <v>N/A</v>
      </c>
      <c r="Z88" s="62" t="str">
        <f t="shared" ca="1" si="22"/>
        <v>N/A</v>
      </c>
      <c r="AA88" s="62" t="str">
        <f t="shared" ca="1" si="22"/>
        <v>N/A</v>
      </c>
    </row>
    <row r="89" spans="1:27" hidden="1" x14ac:dyDescent="0.25">
      <c r="A89" s="50">
        <f t="shared" si="15"/>
        <v>0</v>
      </c>
      <c r="B89" s="45" t="str">
        <f t="shared" ca="1" si="16"/>
        <v/>
      </c>
      <c r="C89" s="1" t="str">
        <f>IF(ISERROR(D89),"",IF(D89="","",MAX($C$66:C88)+1))</f>
        <v/>
      </c>
      <c r="D89" t="e">
        <f t="shared" si="17"/>
        <v>#N/A</v>
      </c>
      <c r="E89" s="22"/>
      <c r="F89" s="62" t="str">
        <f t="shared" ca="1" si="20"/>
        <v>N/A</v>
      </c>
      <c r="G89" s="62"/>
      <c r="H89" s="62"/>
      <c r="I89" s="62"/>
      <c r="J89" s="62" t="str">
        <f t="shared" si="18"/>
        <v>N/A</v>
      </c>
      <c r="K89" s="62" t="str">
        <f t="shared" si="21"/>
        <v>N/A</v>
      </c>
      <c r="L89" s="62" t="str">
        <f ca="1">IFERROR(VLOOKUP($A89,LASTYR,'[3]2017'!$L$3,FALSE),"N/A")</f>
        <v>N/A</v>
      </c>
      <c r="M89" s="62" t="str">
        <f t="shared" ca="1" si="22"/>
        <v>N/A</v>
      </c>
      <c r="N89" s="62" t="str">
        <f t="shared" ca="1" si="22"/>
        <v>N/A</v>
      </c>
      <c r="O89" s="62" t="str">
        <f t="shared" ca="1" si="22"/>
        <v>N/A</v>
      </c>
      <c r="P89" s="62" t="str">
        <f t="shared" ca="1" si="22"/>
        <v>N/A</v>
      </c>
      <c r="Q89" s="62" t="str">
        <f t="shared" ca="1" si="22"/>
        <v>N/A</v>
      </c>
      <c r="R89" s="62" t="str">
        <f t="shared" ca="1" si="22"/>
        <v>N/A</v>
      </c>
      <c r="S89" s="62" t="str">
        <f t="shared" ca="1" si="22"/>
        <v>N/A</v>
      </c>
      <c r="T89" s="62" t="str">
        <f t="shared" ca="1" si="22"/>
        <v>N/A</v>
      </c>
      <c r="U89" s="62" t="str">
        <f t="shared" ca="1" si="22"/>
        <v>N/A</v>
      </c>
      <c r="V89" s="62" t="str">
        <f t="shared" ca="1" si="22"/>
        <v>N/A</v>
      </c>
      <c r="W89" s="62" t="str">
        <f t="shared" ca="1" si="22"/>
        <v>N/A</v>
      </c>
      <c r="X89" s="62" t="str">
        <f t="shared" ca="1" si="22"/>
        <v>N/A</v>
      </c>
      <c r="Y89" s="62" t="str">
        <f t="shared" ca="1" si="22"/>
        <v>N/A</v>
      </c>
      <c r="Z89" s="62" t="str">
        <f t="shared" ca="1" si="22"/>
        <v>N/A</v>
      </c>
      <c r="AA89" s="62" t="str">
        <f t="shared" ca="1" si="22"/>
        <v>N/A</v>
      </c>
    </row>
    <row r="90" spans="1:27" hidden="1" x14ac:dyDescent="0.25">
      <c r="A90" s="50">
        <f t="shared" si="15"/>
        <v>0</v>
      </c>
      <c r="B90" s="45" t="str">
        <f t="shared" ca="1" si="16"/>
        <v/>
      </c>
      <c r="C90" s="1" t="str">
        <f>IF(ISERROR(D90),"",IF(D90="","",MAX($C$66:C89)+1))</f>
        <v/>
      </c>
      <c r="D90" t="e">
        <f t="shared" si="17"/>
        <v>#N/A</v>
      </c>
      <c r="E90" s="22"/>
      <c r="F90" s="62" t="str">
        <f t="shared" ca="1" si="20"/>
        <v>N/A</v>
      </c>
      <c r="G90" s="62"/>
      <c r="H90" s="62"/>
      <c r="I90" s="62"/>
      <c r="J90" s="62" t="str">
        <f t="shared" si="18"/>
        <v>N/A</v>
      </c>
      <c r="K90" s="62" t="str">
        <f t="shared" si="21"/>
        <v>N/A</v>
      </c>
      <c r="L90" s="62" t="str">
        <f ca="1">IFERROR(VLOOKUP($A90,LASTYR,'[3]2017'!$L$3,FALSE),"N/A")</f>
        <v>N/A</v>
      </c>
      <c r="M90" s="62" t="str">
        <f t="shared" ca="1" si="22"/>
        <v>N/A</v>
      </c>
      <c r="N90" s="62" t="str">
        <f t="shared" ca="1" si="22"/>
        <v>N/A</v>
      </c>
      <c r="O90" s="62" t="str">
        <f t="shared" ca="1" si="22"/>
        <v>N/A</v>
      </c>
      <c r="P90" s="62" t="str">
        <f t="shared" ca="1" si="22"/>
        <v>N/A</v>
      </c>
      <c r="Q90" s="62" t="str">
        <f t="shared" ca="1" si="22"/>
        <v>N/A</v>
      </c>
      <c r="R90" s="62" t="str">
        <f t="shared" ca="1" si="22"/>
        <v>N/A</v>
      </c>
      <c r="S90" s="62" t="str">
        <f t="shared" ca="1" si="22"/>
        <v>N/A</v>
      </c>
      <c r="T90" s="62" t="str">
        <f t="shared" ca="1" si="22"/>
        <v>N/A</v>
      </c>
      <c r="U90" s="62" t="str">
        <f t="shared" ca="1" si="22"/>
        <v>N/A</v>
      </c>
      <c r="V90" s="62" t="str">
        <f t="shared" ca="1" si="22"/>
        <v>N/A</v>
      </c>
      <c r="W90" s="62" t="str">
        <f t="shared" ca="1" si="22"/>
        <v>N/A</v>
      </c>
      <c r="X90" s="62" t="str">
        <f t="shared" ca="1" si="22"/>
        <v>N/A</v>
      </c>
      <c r="Y90" s="62" t="str">
        <f t="shared" ca="1" si="22"/>
        <v>N/A</v>
      </c>
      <c r="Z90" s="62" t="str">
        <f t="shared" ca="1" si="22"/>
        <v>N/A</v>
      </c>
      <c r="AA90" s="62" t="str">
        <f t="shared" ca="1" si="22"/>
        <v>N/A</v>
      </c>
    </row>
    <row r="91" spans="1:27" hidden="1" x14ac:dyDescent="0.25">
      <c r="A91" s="50">
        <f t="shared" si="15"/>
        <v>0</v>
      </c>
      <c r="B91" s="45" t="str">
        <f t="shared" ca="1" si="16"/>
        <v/>
      </c>
      <c r="C91" s="1" t="str">
        <f>IF(ISERROR(D91),"",IF(D91="","",MAX($C$66:C90)+1))</f>
        <v/>
      </c>
      <c r="D91" t="e">
        <f t="shared" si="17"/>
        <v>#N/A</v>
      </c>
      <c r="E91" s="22"/>
      <c r="F91" s="62" t="str">
        <f t="shared" ca="1" si="20"/>
        <v>N/A</v>
      </c>
      <c r="G91" s="62"/>
      <c r="H91" s="62"/>
      <c r="I91" s="62"/>
      <c r="J91" s="62" t="str">
        <f t="shared" si="18"/>
        <v>N/A</v>
      </c>
      <c r="K91" s="62" t="str">
        <f t="shared" si="21"/>
        <v>N/A</v>
      </c>
      <c r="L91" s="62" t="str">
        <f ca="1">IFERROR(VLOOKUP($A91,LASTYR,'[3]2017'!$L$3,FALSE),"N/A")</f>
        <v>N/A</v>
      </c>
      <c r="M91" s="62" t="str">
        <f t="shared" ca="1" si="22"/>
        <v>N/A</v>
      </c>
      <c r="N91" s="62" t="str">
        <f t="shared" ca="1" si="22"/>
        <v>N/A</v>
      </c>
      <c r="O91" s="62" t="str">
        <f t="shared" ca="1" si="22"/>
        <v>N/A</v>
      </c>
      <c r="P91" s="62" t="str">
        <f t="shared" ca="1" si="22"/>
        <v>N/A</v>
      </c>
      <c r="Q91" s="62" t="str">
        <f t="shared" ca="1" si="22"/>
        <v>N/A</v>
      </c>
      <c r="R91" s="62" t="str">
        <f t="shared" ca="1" si="22"/>
        <v>N/A</v>
      </c>
      <c r="S91" s="62" t="str">
        <f t="shared" ca="1" si="22"/>
        <v>N/A</v>
      </c>
      <c r="T91" s="62" t="str">
        <f t="shared" ca="1" si="22"/>
        <v>N/A</v>
      </c>
      <c r="U91" s="62" t="str">
        <f t="shared" ca="1" si="22"/>
        <v>N/A</v>
      </c>
      <c r="V91" s="62" t="str">
        <f t="shared" ca="1" si="22"/>
        <v>N/A</v>
      </c>
      <c r="W91" s="62" t="str">
        <f t="shared" ca="1" si="22"/>
        <v>N/A</v>
      </c>
      <c r="X91" s="62" t="str">
        <f t="shared" ca="1" si="22"/>
        <v>N/A</v>
      </c>
      <c r="Y91" s="62" t="str">
        <f t="shared" ca="1" si="22"/>
        <v>N/A</v>
      </c>
      <c r="Z91" s="62" t="str">
        <f t="shared" ca="1" si="22"/>
        <v>N/A</v>
      </c>
      <c r="AA91" s="62" t="str">
        <f t="shared" ca="1" si="22"/>
        <v>N/A</v>
      </c>
    </row>
    <row r="92" spans="1:27" hidden="1" x14ac:dyDescent="0.25">
      <c r="A92" s="50">
        <f t="shared" si="15"/>
        <v>0</v>
      </c>
      <c r="B92" s="45" t="str">
        <f t="shared" ca="1" si="16"/>
        <v/>
      </c>
      <c r="C92" s="1" t="str">
        <f>IF(ISERROR(D92),"",IF(D92="","",MAX($C$66:C91)+1))</f>
        <v/>
      </c>
      <c r="D92" t="e">
        <f t="shared" si="17"/>
        <v>#N/A</v>
      </c>
      <c r="E92" s="22"/>
      <c r="F92" s="62" t="str">
        <f t="shared" ca="1" si="20"/>
        <v>N/A</v>
      </c>
      <c r="G92" s="62"/>
      <c r="H92" s="62"/>
      <c r="I92" s="62"/>
      <c r="J92" s="62" t="str">
        <f t="shared" si="18"/>
        <v>N/A</v>
      </c>
      <c r="K92" s="62" t="str">
        <f t="shared" si="21"/>
        <v>N/A</v>
      </c>
      <c r="L92" s="62" t="str">
        <f ca="1">IFERROR(VLOOKUP($A92,LASTYR,'[3]2017'!$L$3,FALSE),"N/A")</f>
        <v>N/A</v>
      </c>
      <c r="M92" s="62" t="str">
        <f t="shared" ca="1" si="22"/>
        <v>N/A</v>
      </c>
      <c r="N92" s="62" t="str">
        <f t="shared" ca="1" si="22"/>
        <v>N/A</v>
      </c>
      <c r="O92" s="62" t="str">
        <f t="shared" ca="1" si="22"/>
        <v>N/A</v>
      </c>
      <c r="P92" s="62" t="str">
        <f t="shared" ca="1" si="22"/>
        <v>N/A</v>
      </c>
      <c r="Q92" s="62" t="str">
        <f t="shared" ca="1" si="22"/>
        <v>N/A</v>
      </c>
      <c r="R92" s="62" t="str">
        <f t="shared" ca="1" si="22"/>
        <v>N/A</v>
      </c>
      <c r="S92" s="62" t="str">
        <f t="shared" ca="1" si="22"/>
        <v>N/A</v>
      </c>
      <c r="T92" s="62" t="str">
        <f t="shared" ca="1" si="22"/>
        <v>N/A</v>
      </c>
      <c r="U92" s="62" t="str">
        <f t="shared" ca="1" si="22"/>
        <v>N/A</v>
      </c>
      <c r="V92" s="62" t="str">
        <f t="shared" ca="1" si="22"/>
        <v>N/A</v>
      </c>
      <c r="W92" s="62" t="str">
        <f t="shared" ca="1" si="22"/>
        <v>N/A</v>
      </c>
      <c r="X92" s="62" t="str">
        <f t="shared" ca="1" si="22"/>
        <v>N/A</v>
      </c>
      <c r="Y92" s="62" t="str">
        <f t="shared" ca="1" si="22"/>
        <v>N/A</v>
      </c>
      <c r="Z92" s="62" t="str">
        <f t="shared" ca="1" si="22"/>
        <v>N/A</v>
      </c>
      <c r="AA92" s="62" t="str">
        <f t="shared" ca="1" si="22"/>
        <v>N/A</v>
      </c>
    </row>
    <row r="93" spans="1:27" hidden="1" x14ac:dyDescent="0.25">
      <c r="A93" s="50">
        <f t="shared" si="15"/>
        <v>0</v>
      </c>
      <c r="B93" s="45" t="str">
        <f t="shared" ca="1" si="16"/>
        <v/>
      </c>
      <c r="C93" s="1" t="str">
        <f>IF(ISERROR(D93),"",IF(D93="","",MAX($C$66:C92)+1))</f>
        <v/>
      </c>
      <c r="D93" t="e">
        <f t="shared" si="17"/>
        <v>#N/A</v>
      </c>
      <c r="E93" s="22"/>
      <c r="F93" s="62" t="str">
        <f t="shared" ca="1" si="20"/>
        <v>N/A</v>
      </c>
      <c r="G93" s="62"/>
      <c r="H93" s="62"/>
      <c r="I93" s="62"/>
      <c r="J93" s="62" t="str">
        <f t="shared" si="18"/>
        <v>N/A</v>
      </c>
      <c r="K93" s="62" t="str">
        <f t="shared" si="21"/>
        <v>N/A</v>
      </c>
      <c r="L93" s="62" t="str">
        <f ca="1">IFERROR(VLOOKUP($A93,LASTYR,'[3]2017'!$L$3,FALSE),"N/A")</f>
        <v>N/A</v>
      </c>
      <c r="M93" s="62" t="str">
        <f t="shared" ca="1" si="22"/>
        <v>N/A</v>
      </c>
      <c r="N93" s="62" t="str">
        <f t="shared" ca="1" si="22"/>
        <v>N/A</v>
      </c>
      <c r="O93" s="62" t="str">
        <f t="shared" ca="1" si="22"/>
        <v>N/A</v>
      </c>
      <c r="P93" s="62" t="str">
        <f t="shared" ca="1" si="22"/>
        <v>N/A</v>
      </c>
      <c r="Q93" s="62" t="str">
        <f t="shared" ca="1" si="22"/>
        <v>N/A</v>
      </c>
      <c r="R93" s="62" t="str">
        <f t="shared" ca="1" si="22"/>
        <v>N/A</v>
      </c>
      <c r="S93" s="62" t="str">
        <f t="shared" ca="1" si="22"/>
        <v>N/A</v>
      </c>
      <c r="T93" s="62" t="str">
        <f t="shared" ca="1" si="22"/>
        <v>N/A</v>
      </c>
      <c r="U93" s="62" t="str">
        <f t="shared" ca="1" si="22"/>
        <v>N/A</v>
      </c>
      <c r="V93" s="62" t="str">
        <f t="shared" ca="1" si="22"/>
        <v>N/A</v>
      </c>
      <c r="W93" s="62" t="str">
        <f t="shared" ca="1" si="22"/>
        <v>N/A</v>
      </c>
      <c r="X93" s="62" t="str">
        <f t="shared" ca="1" si="22"/>
        <v>N/A</v>
      </c>
      <c r="Y93" s="62" t="str">
        <f t="shared" ca="1" si="22"/>
        <v>N/A</v>
      </c>
      <c r="Z93" s="62" t="str">
        <f t="shared" ca="1" si="22"/>
        <v>N/A</v>
      </c>
      <c r="AA93" s="62" t="str">
        <f t="shared" ca="1" si="22"/>
        <v>N/A</v>
      </c>
    </row>
    <row r="94" spans="1:27" hidden="1" x14ac:dyDescent="0.25">
      <c r="A94" s="50">
        <f t="shared" si="15"/>
        <v>0</v>
      </c>
      <c r="B94" s="45" t="str">
        <f t="shared" ca="1" si="16"/>
        <v/>
      </c>
      <c r="C94" s="1" t="str">
        <f>IF(ISERROR(D94),"",IF(D94="","",MAX($C$66:C93)+1))</f>
        <v/>
      </c>
      <c r="D94" t="e">
        <f t="shared" si="17"/>
        <v>#N/A</v>
      </c>
      <c r="E94" s="22"/>
      <c r="F94" s="62" t="str">
        <f t="shared" ca="1" si="20"/>
        <v>N/A</v>
      </c>
      <c r="G94" s="62"/>
      <c r="H94" s="62"/>
      <c r="I94" s="62"/>
      <c r="J94" s="62" t="str">
        <f t="shared" si="18"/>
        <v>N/A</v>
      </c>
      <c r="K94" s="62" t="str">
        <f t="shared" si="21"/>
        <v>N/A</v>
      </c>
      <c r="L94" s="62" t="str">
        <f ca="1">IFERROR(VLOOKUP($A94,LASTYR,'[3]2017'!$L$3,FALSE),"N/A")</f>
        <v>N/A</v>
      </c>
      <c r="M94" s="62" t="str">
        <f t="shared" ca="1" si="22"/>
        <v>N/A</v>
      </c>
      <c r="N94" s="62" t="str">
        <f t="shared" ca="1" si="22"/>
        <v>N/A</v>
      </c>
      <c r="O94" s="62" t="str">
        <f t="shared" ca="1" si="22"/>
        <v>N/A</v>
      </c>
      <c r="P94" s="62" t="str">
        <f t="shared" ca="1" si="22"/>
        <v>N/A</v>
      </c>
      <c r="Q94" s="62" t="str">
        <f t="shared" ca="1" si="22"/>
        <v>N/A</v>
      </c>
      <c r="R94" s="62" t="str">
        <f t="shared" ca="1" si="22"/>
        <v>N/A</v>
      </c>
      <c r="S94" s="62" t="str">
        <f t="shared" ca="1" si="22"/>
        <v>N/A</v>
      </c>
      <c r="T94" s="62" t="str">
        <f t="shared" ca="1" si="22"/>
        <v>N/A</v>
      </c>
      <c r="U94" s="62" t="str">
        <f t="shared" ca="1" si="22"/>
        <v>N/A</v>
      </c>
      <c r="V94" s="62" t="str">
        <f t="shared" ca="1" si="22"/>
        <v>N/A</v>
      </c>
      <c r="W94" s="62" t="str">
        <f t="shared" ca="1" si="22"/>
        <v>N/A</v>
      </c>
      <c r="X94" s="62" t="str">
        <f t="shared" ca="1" si="22"/>
        <v>N/A</v>
      </c>
      <c r="Y94" s="62" t="str">
        <f t="shared" ca="1" si="22"/>
        <v>N/A</v>
      </c>
      <c r="Z94" s="62" t="str">
        <f t="shared" ca="1" si="22"/>
        <v>N/A</v>
      </c>
      <c r="AA94" s="62" t="str">
        <f t="shared" ca="1" si="22"/>
        <v>N/A</v>
      </c>
    </row>
    <row r="95" spans="1:27" hidden="1" x14ac:dyDescent="0.25">
      <c r="A95" s="50">
        <f t="shared" si="15"/>
        <v>0</v>
      </c>
      <c r="B95" s="45" t="str">
        <f t="shared" ca="1" si="16"/>
        <v/>
      </c>
      <c r="C95" s="1" t="str">
        <f>IF(ISERROR(D95),"",IF(D95="","",MAX($C$66:C94)+1))</f>
        <v/>
      </c>
      <c r="D95" t="e">
        <f t="shared" si="17"/>
        <v>#N/A</v>
      </c>
      <c r="E95" s="22"/>
      <c r="F95" s="62" t="str">
        <f t="shared" ca="1" si="20"/>
        <v>N/A</v>
      </c>
      <c r="G95" s="62"/>
      <c r="H95" s="62"/>
      <c r="I95" s="62"/>
      <c r="J95" s="62" t="str">
        <f t="shared" si="18"/>
        <v>N/A</v>
      </c>
      <c r="K95" s="62" t="str">
        <f t="shared" si="21"/>
        <v>N/A</v>
      </c>
      <c r="L95" s="62" t="str">
        <f ca="1">IFERROR(VLOOKUP($A95,LASTYR,'[3]2017'!$L$3,FALSE),"N/A")</f>
        <v>N/A</v>
      </c>
      <c r="M95" s="62" t="str">
        <f t="shared" ca="1" si="22"/>
        <v>N/A</v>
      </c>
      <c r="N95" s="62" t="str">
        <f t="shared" ca="1" si="22"/>
        <v>N/A</v>
      </c>
      <c r="O95" s="62" t="str">
        <f t="shared" ca="1" si="22"/>
        <v>N/A</v>
      </c>
      <c r="P95" s="62" t="str">
        <f t="shared" ca="1" si="22"/>
        <v>N/A</v>
      </c>
      <c r="Q95" s="62" t="str">
        <f t="shared" ca="1" si="22"/>
        <v>N/A</v>
      </c>
      <c r="R95" s="62" t="str">
        <f t="shared" ca="1" si="22"/>
        <v>N/A</v>
      </c>
      <c r="S95" s="62" t="str">
        <f t="shared" ca="1" si="22"/>
        <v>N/A</v>
      </c>
      <c r="T95" s="62" t="str">
        <f t="shared" ca="1" si="22"/>
        <v>N/A</v>
      </c>
      <c r="U95" s="62" t="str">
        <f t="shared" ca="1" si="22"/>
        <v>N/A</v>
      </c>
      <c r="V95" s="62" t="str">
        <f t="shared" ca="1" si="22"/>
        <v>N/A</v>
      </c>
      <c r="W95" s="62" t="str">
        <f t="shared" ca="1" si="22"/>
        <v>N/A</v>
      </c>
      <c r="X95" s="62" t="str">
        <f t="shared" ca="1" si="22"/>
        <v>N/A</v>
      </c>
      <c r="Y95" s="62" t="str">
        <f t="shared" ca="1" si="22"/>
        <v>N/A</v>
      </c>
      <c r="Z95" s="62" t="str">
        <f t="shared" ca="1" si="22"/>
        <v>N/A</v>
      </c>
      <c r="AA95" s="62" t="str">
        <f t="shared" ca="1" si="22"/>
        <v>N/A</v>
      </c>
    </row>
    <row r="96" spans="1:27" hidden="1" x14ac:dyDescent="0.25">
      <c r="A96" s="50">
        <f t="shared" si="15"/>
        <v>0</v>
      </c>
      <c r="B96" s="45" t="str">
        <f t="shared" ca="1" si="16"/>
        <v/>
      </c>
      <c r="C96" s="1" t="str">
        <f>IF(ISERROR(D96),"",IF(D96="","",MAX($C$66:C95)+1))</f>
        <v/>
      </c>
      <c r="D96" t="e">
        <f t="shared" si="17"/>
        <v>#N/A</v>
      </c>
      <c r="E96" s="22"/>
      <c r="F96" s="62" t="str">
        <f t="shared" ca="1" si="20"/>
        <v>N/A</v>
      </c>
      <c r="G96" s="62"/>
      <c r="H96" s="62"/>
      <c r="I96" s="62"/>
      <c r="J96" s="62" t="str">
        <f t="shared" si="18"/>
        <v>N/A</v>
      </c>
      <c r="K96" s="62" t="str">
        <f t="shared" si="21"/>
        <v>N/A</v>
      </c>
      <c r="L96" s="62" t="str">
        <f ca="1">IFERROR(VLOOKUP($A96,LASTYR,'[3]2017'!$L$3,FALSE),"N/A")</f>
        <v>N/A</v>
      </c>
      <c r="M96" s="62" t="str">
        <f t="shared" ca="1" si="22"/>
        <v>N/A</v>
      </c>
      <c r="N96" s="62" t="str">
        <f t="shared" ca="1" si="22"/>
        <v>N/A</v>
      </c>
      <c r="O96" s="62" t="str">
        <f t="shared" ca="1" si="22"/>
        <v>N/A</v>
      </c>
      <c r="P96" s="62" t="str">
        <f t="shared" ca="1" si="22"/>
        <v>N/A</v>
      </c>
      <c r="Q96" s="62" t="str">
        <f t="shared" ca="1" si="22"/>
        <v>N/A</v>
      </c>
      <c r="R96" s="62" t="str">
        <f t="shared" ca="1" si="22"/>
        <v>N/A</v>
      </c>
      <c r="S96" s="62" t="str">
        <f t="shared" ca="1" si="22"/>
        <v>N/A</v>
      </c>
      <c r="T96" s="62" t="str">
        <f t="shared" ca="1" si="22"/>
        <v>N/A</v>
      </c>
      <c r="U96" s="62" t="str">
        <f t="shared" ca="1" si="22"/>
        <v>N/A</v>
      </c>
      <c r="V96" s="62" t="str">
        <f t="shared" ca="1" si="22"/>
        <v>N/A</v>
      </c>
      <c r="W96" s="62" t="str">
        <f t="shared" ca="1" si="22"/>
        <v>N/A</v>
      </c>
      <c r="X96" s="62" t="str">
        <f t="shared" ca="1" si="22"/>
        <v>N/A</v>
      </c>
      <c r="Y96" s="62" t="str">
        <f t="shared" ca="1" si="22"/>
        <v>N/A</v>
      </c>
      <c r="Z96" s="62" t="str">
        <f t="shared" ca="1" si="22"/>
        <v>N/A</v>
      </c>
      <c r="AA96" s="62" t="str">
        <f t="shared" ca="1" si="22"/>
        <v>N/A</v>
      </c>
    </row>
    <row r="97" spans="1:27" hidden="1" x14ac:dyDescent="0.25">
      <c r="A97" s="50">
        <f t="shared" si="15"/>
        <v>0</v>
      </c>
      <c r="B97" s="45" t="str">
        <f t="shared" ca="1" si="16"/>
        <v/>
      </c>
      <c r="C97" s="1" t="str">
        <f>IF(ISERROR(D97),"",IF(D97="","",MAX($C$66:C96)+1))</f>
        <v/>
      </c>
      <c r="D97" t="e">
        <f t="shared" si="17"/>
        <v>#N/A</v>
      </c>
      <c r="E97" s="22"/>
      <c r="F97" s="62" t="str">
        <f t="shared" ca="1" si="20"/>
        <v>N/A</v>
      </c>
      <c r="G97" s="62"/>
      <c r="H97" s="62"/>
      <c r="I97" s="62"/>
      <c r="J97" s="62" t="str">
        <f t="shared" si="18"/>
        <v>N/A</v>
      </c>
      <c r="K97" s="62" t="str">
        <f t="shared" si="21"/>
        <v>N/A</v>
      </c>
      <c r="L97" s="62" t="str">
        <f ca="1">IFERROR(VLOOKUP($A97,LASTYR,'[3]2017'!$L$3,FALSE),"N/A")</f>
        <v>N/A</v>
      </c>
      <c r="M97" s="62" t="str">
        <f t="shared" ca="1" si="22"/>
        <v>N/A</v>
      </c>
      <c r="N97" s="62" t="str">
        <f t="shared" ca="1" si="22"/>
        <v>N/A</v>
      </c>
      <c r="O97" s="62" t="str">
        <f t="shared" ca="1" si="22"/>
        <v>N/A</v>
      </c>
      <c r="P97" s="62" t="str">
        <f t="shared" ca="1" si="22"/>
        <v>N/A</v>
      </c>
      <c r="Q97" s="62" t="str">
        <f t="shared" ca="1" si="22"/>
        <v>N/A</v>
      </c>
      <c r="R97" s="62" t="str">
        <f t="shared" ca="1" si="22"/>
        <v>N/A</v>
      </c>
      <c r="S97" s="62" t="str">
        <f t="shared" ca="1" si="22"/>
        <v>N/A</v>
      </c>
      <c r="T97" s="62" t="str">
        <f t="shared" ca="1" si="22"/>
        <v>N/A</v>
      </c>
      <c r="U97" s="62" t="str">
        <f t="shared" ca="1" si="22"/>
        <v>N/A</v>
      </c>
      <c r="V97" s="62" t="str">
        <f t="shared" ca="1" si="22"/>
        <v>N/A</v>
      </c>
      <c r="W97" s="62" t="str">
        <f t="shared" ca="1" si="22"/>
        <v>N/A</v>
      </c>
      <c r="X97" s="62" t="str">
        <f t="shared" ca="1" si="22"/>
        <v>N/A</v>
      </c>
      <c r="Y97" s="62" t="str">
        <f t="shared" ca="1" si="22"/>
        <v>N/A</v>
      </c>
      <c r="Z97" s="62" t="str">
        <f t="shared" ca="1" si="22"/>
        <v>N/A</v>
      </c>
      <c r="AA97" s="62" t="str">
        <f t="shared" ca="1" si="22"/>
        <v>N/A</v>
      </c>
    </row>
    <row r="98" spans="1:27" hidden="1" x14ac:dyDescent="0.25">
      <c r="A98" s="50">
        <f t="shared" si="15"/>
        <v>0</v>
      </c>
      <c r="B98" s="45" t="str">
        <f t="shared" ca="1" si="16"/>
        <v/>
      </c>
      <c r="C98" s="1" t="str">
        <f>IF(ISERROR(D98),"",IF(D98="","",MAX($C$66:C97)+1))</f>
        <v/>
      </c>
      <c r="D98" t="e">
        <f t="shared" si="17"/>
        <v>#N/A</v>
      </c>
      <c r="E98" s="22"/>
      <c r="F98" s="62" t="str">
        <f t="shared" ca="1" si="20"/>
        <v>N/A</v>
      </c>
      <c r="G98" s="62"/>
      <c r="H98" s="62"/>
      <c r="I98" s="62"/>
      <c r="J98" s="62" t="str">
        <f t="shared" si="18"/>
        <v>N/A</v>
      </c>
      <c r="K98" s="62" t="str">
        <f t="shared" si="21"/>
        <v>N/A</v>
      </c>
      <c r="L98" s="62" t="str">
        <f ca="1">IFERROR(VLOOKUP($A98,LASTYR,'[3]2017'!$L$3,FALSE),"N/A")</f>
        <v>N/A</v>
      </c>
      <c r="M98" s="62" t="str">
        <f t="shared" ca="1" si="22"/>
        <v>N/A</v>
      </c>
      <c r="N98" s="62" t="str">
        <f t="shared" ca="1" si="22"/>
        <v>N/A</v>
      </c>
      <c r="O98" s="62" t="str">
        <f t="shared" ca="1" si="22"/>
        <v>N/A</v>
      </c>
      <c r="P98" s="62" t="str">
        <f t="shared" ca="1" si="22"/>
        <v>N/A</v>
      </c>
      <c r="Q98" s="62" t="str">
        <f t="shared" ca="1" si="22"/>
        <v>N/A</v>
      </c>
      <c r="R98" s="62" t="str">
        <f t="shared" ca="1" si="22"/>
        <v>N/A</v>
      </c>
      <c r="S98" s="62" t="str">
        <f t="shared" ca="1" si="22"/>
        <v>N/A</v>
      </c>
      <c r="T98" s="62" t="str">
        <f t="shared" ca="1" si="22"/>
        <v>N/A</v>
      </c>
      <c r="U98" s="62" t="str">
        <f t="shared" ca="1" si="22"/>
        <v>N/A</v>
      </c>
      <c r="V98" s="62" t="str">
        <f t="shared" ca="1" si="22"/>
        <v>N/A</v>
      </c>
      <c r="W98" s="62" t="str">
        <f t="shared" ca="1" si="22"/>
        <v>N/A</v>
      </c>
      <c r="X98" s="62" t="str">
        <f t="shared" ca="1" si="22"/>
        <v>N/A</v>
      </c>
      <c r="Y98" s="62" t="str">
        <f t="shared" ca="1" si="22"/>
        <v>N/A</v>
      </c>
      <c r="Z98" s="62" t="str">
        <f t="shared" ca="1" si="22"/>
        <v>N/A</v>
      </c>
      <c r="AA98" s="62" t="str">
        <f t="shared" ca="1" si="22"/>
        <v>N/A</v>
      </c>
    </row>
    <row r="99" spans="1:27" hidden="1" x14ac:dyDescent="0.25">
      <c r="A99" s="50">
        <f t="shared" si="15"/>
        <v>0</v>
      </c>
      <c r="B99" s="45" t="str">
        <f t="shared" ca="1" si="16"/>
        <v/>
      </c>
      <c r="C99" s="1" t="str">
        <f>IF(ISERROR(D99),"",IF(D99="","",MAX($C$66:C98)+1))</f>
        <v/>
      </c>
      <c r="D99" t="e">
        <f t="shared" si="17"/>
        <v>#N/A</v>
      </c>
      <c r="E99" s="22"/>
      <c r="F99" s="62" t="str">
        <f t="shared" ca="1" si="20"/>
        <v>N/A</v>
      </c>
      <c r="G99" s="62"/>
      <c r="H99" s="62"/>
      <c r="I99" s="62"/>
      <c r="J99" s="62" t="str">
        <f t="shared" si="18"/>
        <v>N/A</v>
      </c>
      <c r="K99" s="62" t="str">
        <f t="shared" si="21"/>
        <v>N/A</v>
      </c>
      <c r="L99" s="62" t="str">
        <f ca="1">IFERROR(VLOOKUP($A99,LASTYR,'[3]2017'!$L$3,FALSE),"N/A")</f>
        <v>N/A</v>
      </c>
      <c r="M99" s="62" t="str">
        <f t="shared" ca="1" si="22"/>
        <v>N/A</v>
      </c>
      <c r="N99" s="62" t="str">
        <f t="shared" ca="1" si="22"/>
        <v>N/A</v>
      </c>
      <c r="O99" s="62" t="str">
        <f t="shared" ca="1" si="22"/>
        <v>N/A</v>
      </c>
      <c r="P99" s="62" t="str">
        <f t="shared" ca="1" si="22"/>
        <v>N/A</v>
      </c>
      <c r="Q99" s="62" t="str">
        <f t="shared" ca="1" si="22"/>
        <v>N/A</v>
      </c>
      <c r="R99" s="62" t="str">
        <f t="shared" ca="1" si="22"/>
        <v>N/A</v>
      </c>
      <c r="S99" s="62" t="str">
        <f t="shared" ca="1" si="22"/>
        <v>N/A</v>
      </c>
      <c r="T99" s="62" t="str">
        <f t="shared" ca="1" si="22"/>
        <v>N/A</v>
      </c>
      <c r="U99" s="62" t="str">
        <f t="shared" ca="1" si="22"/>
        <v>N/A</v>
      </c>
      <c r="V99" s="62" t="str">
        <f t="shared" ca="1" si="22"/>
        <v>N/A</v>
      </c>
      <c r="W99" s="62" t="str">
        <f t="shared" ca="1" si="22"/>
        <v>N/A</v>
      </c>
      <c r="X99" s="62" t="str">
        <f t="shared" ca="1" si="22"/>
        <v>N/A</v>
      </c>
      <c r="Y99" s="62" t="str">
        <f t="shared" ca="1" si="22"/>
        <v>N/A</v>
      </c>
      <c r="Z99" s="62" t="str">
        <f t="shared" ca="1" si="22"/>
        <v>N/A</v>
      </c>
      <c r="AA99" s="62" t="str">
        <f t="shared" ca="1" si="22"/>
        <v>N/A</v>
      </c>
    </row>
    <row r="100" spans="1:27" hidden="1" x14ac:dyDescent="0.25">
      <c r="A100" s="50">
        <f t="shared" si="15"/>
        <v>0</v>
      </c>
      <c r="B100" s="45" t="str">
        <f t="shared" ca="1" si="16"/>
        <v/>
      </c>
      <c r="C100" s="1" t="str">
        <f>IF(ISERROR(D100),"",IF(D100="","",MAX($C$66:C99)+1))</f>
        <v/>
      </c>
      <c r="D100" t="e">
        <f t="shared" si="17"/>
        <v>#N/A</v>
      </c>
      <c r="E100" s="22"/>
      <c r="F100" s="62" t="str">
        <f t="shared" ca="1" si="20"/>
        <v>N/A</v>
      </c>
      <c r="G100" s="62"/>
      <c r="H100" s="62"/>
      <c r="I100" s="62"/>
      <c r="J100" s="62" t="str">
        <f t="shared" si="18"/>
        <v>N/A</v>
      </c>
      <c r="K100" s="62" t="str">
        <f t="shared" si="21"/>
        <v>N/A</v>
      </c>
      <c r="L100" s="62" t="str">
        <f ca="1">IFERROR(VLOOKUP($A100,LASTYR,'[3]2017'!$L$3,FALSE),"N/A")</f>
        <v>N/A</v>
      </c>
      <c r="M100" s="62" t="str">
        <f t="shared" ca="1" si="22"/>
        <v>N/A</v>
      </c>
      <c r="N100" s="62" t="str">
        <f t="shared" ca="1" si="22"/>
        <v>N/A</v>
      </c>
      <c r="O100" s="62" t="str">
        <f t="shared" ca="1" si="22"/>
        <v>N/A</v>
      </c>
      <c r="P100" s="62" t="str">
        <f t="shared" ca="1" si="22"/>
        <v>N/A</v>
      </c>
      <c r="Q100" s="62" t="str">
        <f t="shared" ca="1" si="22"/>
        <v>N/A</v>
      </c>
      <c r="R100" s="62" t="str">
        <f t="shared" ca="1" si="22"/>
        <v>N/A</v>
      </c>
      <c r="S100" s="62" t="str">
        <f t="shared" ca="1" si="22"/>
        <v>N/A</v>
      </c>
      <c r="T100" s="62" t="str">
        <f t="shared" ca="1" si="22"/>
        <v>N/A</v>
      </c>
      <c r="U100" s="62" t="str">
        <f t="shared" ca="1" si="22"/>
        <v>N/A</v>
      </c>
      <c r="V100" s="62" t="str">
        <f t="shared" ca="1" si="22"/>
        <v>N/A</v>
      </c>
      <c r="W100" s="62" t="str">
        <f t="shared" ca="1" si="22"/>
        <v>N/A</v>
      </c>
      <c r="X100" s="62" t="str">
        <f t="shared" ca="1" si="22"/>
        <v>N/A</v>
      </c>
      <c r="Y100" s="62" t="str">
        <f t="shared" ca="1" si="22"/>
        <v>N/A</v>
      </c>
      <c r="Z100" s="62" t="str">
        <f t="shared" ca="1" si="22"/>
        <v>N/A</v>
      </c>
      <c r="AA100" s="62" t="str">
        <f t="shared" ca="1" si="22"/>
        <v>N/A</v>
      </c>
    </row>
    <row r="101" spans="1:27" hidden="1" x14ac:dyDescent="0.25">
      <c r="A101" s="50">
        <f t="shared" si="15"/>
        <v>0</v>
      </c>
      <c r="B101" s="45" t="str">
        <f t="shared" ca="1" si="16"/>
        <v/>
      </c>
      <c r="C101" s="1" t="str">
        <f>IF(ISERROR(D101),"",IF(D101="","",MAX($C$66:C100)+1))</f>
        <v/>
      </c>
      <c r="D101" t="e">
        <f t="shared" si="17"/>
        <v>#N/A</v>
      </c>
      <c r="E101" s="22"/>
      <c r="F101" s="62" t="str">
        <f t="shared" ca="1" si="20"/>
        <v>N/A</v>
      </c>
      <c r="G101" s="62"/>
      <c r="H101" s="62"/>
      <c r="I101" s="62"/>
      <c r="J101" s="62" t="str">
        <f t="shared" si="18"/>
        <v>N/A</v>
      </c>
      <c r="K101" s="62" t="str">
        <f t="shared" si="21"/>
        <v>N/A</v>
      </c>
      <c r="L101" s="62" t="str">
        <f ca="1">IFERROR(VLOOKUP($A101,LASTYR,'[3]2017'!$L$3,FALSE),"N/A")</f>
        <v>N/A</v>
      </c>
      <c r="M101" s="62" t="str">
        <f t="shared" ref="M101:AA112" ca="1" si="23">IFERROR(IF(INDEX(MP_CF_WP,$B101,M$67)=0,"N/A",INDEX(MP_CF_WP,$B101,M$67)),"N/A")</f>
        <v>N/A</v>
      </c>
      <c r="N101" s="62" t="str">
        <f t="shared" ca="1" si="23"/>
        <v>N/A</v>
      </c>
      <c r="O101" s="62" t="str">
        <f t="shared" ca="1" si="23"/>
        <v>N/A</v>
      </c>
      <c r="P101" s="62" t="str">
        <f t="shared" ca="1" si="23"/>
        <v>N/A</v>
      </c>
      <c r="Q101" s="62" t="str">
        <f t="shared" ca="1" si="23"/>
        <v>N/A</v>
      </c>
      <c r="R101" s="62" t="str">
        <f t="shared" ca="1" si="23"/>
        <v>N/A</v>
      </c>
      <c r="S101" s="62" t="str">
        <f t="shared" ca="1" si="23"/>
        <v>N/A</v>
      </c>
      <c r="T101" s="62" t="str">
        <f t="shared" ca="1" si="23"/>
        <v>N/A</v>
      </c>
      <c r="U101" s="62" t="str">
        <f t="shared" ca="1" si="23"/>
        <v>N/A</v>
      </c>
      <c r="V101" s="62" t="str">
        <f t="shared" ca="1" si="23"/>
        <v>N/A</v>
      </c>
      <c r="W101" s="62" t="str">
        <f t="shared" ca="1" si="23"/>
        <v>N/A</v>
      </c>
      <c r="X101" s="62" t="str">
        <f t="shared" ca="1" si="23"/>
        <v>N/A</v>
      </c>
      <c r="Y101" s="62" t="str">
        <f t="shared" ca="1" si="23"/>
        <v>N/A</v>
      </c>
      <c r="Z101" s="62" t="str">
        <f t="shared" ca="1" si="23"/>
        <v>N/A</v>
      </c>
      <c r="AA101" s="62" t="str">
        <f t="shared" ca="1" si="23"/>
        <v>N/A</v>
      </c>
    </row>
    <row r="102" spans="1:27" hidden="1" x14ac:dyDescent="0.25">
      <c r="A102" s="50">
        <f t="shared" si="15"/>
        <v>0</v>
      </c>
      <c r="B102" s="45" t="str">
        <f t="shared" ca="1" si="16"/>
        <v/>
      </c>
      <c r="C102" s="1" t="str">
        <f>IF(ISERROR(D102),"",IF(D102="","",MAX($C$66:C101)+1))</f>
        <v/>
      </c>
      <c r="D102" t="e">
        <f t="shared" si="17"/>
        <v>#N/A</v>
      </c>
      <c r="E102" s="22"/>
      <c r="F102" s="62" t="str">
        <f t="shared" ca="1" si="20"/>
        <v>N/A</v>
      </c>
      <c r="G102" s="62"/>
      <c r="H102" s="62"/>
      <c r="I102" s="62"/>
      <c r="J102" s="62" t="str">
        <f t="shared" si="18"/>
        <v>N/A</v>
      </c>
      <c r="K102" s="62" t="str">
        <f t="shared" si="21"/>
        <v>N/A</v>
      </c>
      <c r="L102" s="62" t="str">
        <f ca="1">IFERROR(VLOOKUP($A102,LASTYR,'[3]2017'!$L$3,FALSE),"N/A")</f>
        <v>N/A</v>
      </c>
      <c r="M102" s="62" t="str">
        <f t="shared" ca="1" si="23"/>
        <v>N/A</v>
      </c>
      <c r="N102" s="62" t="str">
        <f t="shared" ca="1" si="23"/>
        <v>N/A</v>
      </c>
      <c r="O102" s="62" t="str">
        <f t="shared" ca="1" si="23"/>
        <v>N/A</v>
      </c>
      <c r="P102" s="62" t="str">
        <f t="shared" ca="1" si="23"/>
        <v>N/A</v>
      </c>
      <c r="Q102" s="62" t="str">
        <f t="shared" ca="1" si="23"/>
        <v>N/A</v>
      </c>
      <c r="R102" s="62" t="str">
        <f t="shared" ca="1" si="23"/>
        <v>N/A</v>
      </c>
      <c r="S102" s="62" t="str">
        <f t="shared" ca="1" si="23"/>
        <v>N/A</v>
      </c>
      <c r="T102" s="62" t="str">
        <f t="shared" ca="1" si="23"/>
        <v>N/A</v>
      </c>
      <c r="U102" s="62" t="str">
        <f t="shared" ca="1" si="23"/>
        <v>N/A</v>
      </c>
      <c r="V102" s="62" t="str">
        <f t="shared" ca="1" si="23"/>
        <v>N/A</v>
      </c>
      <c r="W102" s="62" t="str">
        <f t="shared" ca="1" si="23"/>
        <v>N/A</v>
      </c>
      <c r="X102" s="62" t="str">
        <f t="shared" ca="1" si="23"/>
        <v>N/A</v>
      </c>
      <c r="Y102" s="62" t="str">
        <f t="shared" ca="1" si="23"/>
        <v>N/A</v>
      </c>
      <c r="Z102" s="62" t="str">
        <f t="shared" ca="1" si="23"/>
        <v>N/A</v>
      </c>
      <c r="AA102" s="62" t="str">
        <f t="shared" ca="1" si="23"/>
        <v>N/A</v>
      </c>
    </row>
    <row r="103" spans="1:27" hidden="1" x14ac:dyDescent="0.25">
      <c r="A103" s="50">
        <f t="shared" si="15"/>
        <v>0</v>
      </c>
      <c r="B103" s="45" t="str">
        <f t="shared" ca="1" si="16"/>
        <v/>
      </c>
      <c r="C103" s="1" t="str">
        <f>IF(ISERROR(D103),"",IF(D103="","",MAX($C$66:C102)+1))</f>
        <v/>
      </c>
      <c r="D103" t="e">
        <f t="shared" si="17"/>
        <v>#N/A</v>
      </c>
      <c r="E103" s="22"/>
      <c r="F103" s="62" t="str">
        <f t="shared" ca="1" si="20"/>
        <v>N/A</v>
      </c>
      <c r="G103" s="62"/>
      <c r="H103" s="62"/>
      <c r="I103" s="62"/>
      <c r="J103" s="62" t="str">
        <f t="shared" si="18"/>
        <v>N/A</v>
      </c>
      <c r="K103" s="62" t="str">
        <f t="shared" si="21"/>
        <v>N/A</v>
      </c>
      <c r="L103" s="62" t="str">
        <f ca="1">IFERROR(VLOOKUP($A103,LASTYR,'[3]2017'!$L$3,FALSE),"N/A")</f>
        <v>N/A</v>
      </c>
      <c r="M103" s="62" t="str">
        <f t="shared" ca="1" si="23"/>
        <v>N/A</v>
      </c>
      <c r="N103" s="62" t="str">
        <f t="shared" ca="1" si="23"/>
        <v>N/A</v>
      </c>
      <c r="O103" s="62" t="str">
        <f t="shared" ca="1" si="23"/>
        <v>N/A</v>
      </c>
      <c r="P103" s="62" t="str">
        <f t="shared" ca="1" si="23"/>
        <v>N/A</v>
      </c>
      <c r="Q103" s="62" t="str">
        <f t="shared" ca="1" si="23"/>
        <v>N/A</v>
      </c>
      <c r="R103" s="62" t="str">
        <f t="shared" ca="1" si="23"/>
        <v>N/A</v>
      </c>
      <c r="S103" s="62" t="str">
        <f t="shared" ca="1" si="23"/>
        <v>N/A</v>
      </c>
      <c r="T103" s="62" t="str">
        <f t="shared" ca="1" si="23"/>
        <v>N/A</v>
      </c>
      <c r="U103" s="62" t="str">
        <f t="shared" ca="1" si="23"/>
        <v>N/A</v>
      </c>
      <c r="V103" s="62" t="str">
        <f t="shared" ca="1" si="23"/>
        <v>N/A</v>
      </c>
      <c r="W103" s="62" t="str">
        <f t="shared" ca="1" si="23"/>
        <v>N/A</v>
      </c>
      <c r="X103" s="62" t="str">
        <f t="shared" ca="1" si="23"/>
        <v>N/A</v>
      </c>
      <c r="Y103" s="62" t="str">
        <f t="shared" ca="1" si="23"/>
        <v>N/A</v>
      </c>
      <c r="Z103" s="62" t="str">
        <f t="shared" ca="1" si="23"/>
        <v>N/A</v>
      </c>
      <c r="AA103" s="62" t="str">
        <f t="shared" ca="1" si="23"/>
        <v>N/A</v>
      </c>
    </row>
    <row r="104" spans="1:27" hidden="1" x14ac:dyDescent="0.25">
      <c r="A104" s="50">
        <f t="shared" si="15"/>
        <v>0</v>
      </c>
      <c r="B104" s="45" t="str">
        <f t="shared" ca="1" si="16"/>
        <v/>
      </c>
      <c r="C104" s="1" t="str">
        <f>IF(ISERROR(D104),"",IF(D104="","",MAX($C$66:C103)+1))</f>
        <v/>
      </c>
      <c r="D104" t="e">
        <f t="shared" si="17"/>
        <v>#N/A</v>
      </c>
      <c r="E104" s="22"/>
      <c r="F104" s="62" t="str">
        <f t="shared" ca="1" si="20"/>
        <v>N/A</v>
      </c>
      <c r="G104" s="62"/>
      <c r="H104" s="62"/>
      <c r="I104" s="62"/>
      <c r="J104" s="62" t="str">
        <f t="shared" si="18"/>
        <v>N/A</v>
      </c>
      <c r="K104" s="62" t="str">
        <f t="shared" si="21"/>
        <v>N/A</v>
      </c>
      <c r="L104" s="62" t="str">
        <f ca="1">IFERROR(VLOOKUP($A104,LASTYR,'[3]2017'!$L$3,FALSE),"N/A")</f>
        <v>N/A</v>
      </c>
      <c r="M104" s="62" t="str">
        <f t="shared" ca="1" si="23"/>
        <v>N/A</v>
      </c>
      <c r="N104" s="62" t="str">
        <f t="shared" ca="1" si="23"/>
        <v>N/A</v>
      </c>
      <c r="O104" s="62" t="str">
        <f t="shared" ca="1" si="23"/>
        <v>N/A</v>
      </c>
      <c r="P104" s="62" t="str">
        <f t="shared" ca="1" si="23"/>
        <v>N/A</v>
      </c>
      <c r="Q104" s="62" t="str">
        <f t="shared" ca="1" si="23"/>
        <v>N/A</v>
      </c>
      <c r="R104" s="62" t="str">
        <f t="shared" ca="1" si="23"/>
        <v>N/A</v>
      </c>
      <c r="S104" s="62" t="str">
        <f t="shared" ca="1" si="23"/>
        <v>N/A</v>
      </c>
      <c r="T104" s="62" t="str">
        <f t="shared" ca="1" si="23"/>
        <v>N/A</v>
      </c>
      <c r="U104" s="62" t="str">
        <f t="shared" ca="1" si="23"/>
        <v>N/A</v>
      </c>
      <c r="V104" s="62" t="str">
        <f t="shared" ca="1" si="23"/>
        <v>N/A</v>
      </c>
      <c r="W104" s="62" t="str">
        <f t="shared" ca="1" si="23"/>
        <v>N/A</v>
      </c>
      <c r="X104" s="62" t="str">
        <f t="shared" ca="1" si="23"/>
        <v>N/A</v>
      </c>
      <c r="Y104" s="62" t="str">
        <f t="shared" ca="1" si="23"/>
        <v>N/A</v>
      </c>
      <c r="Z104" s="62" t="str">
        <f t="shared" ca="1" si="23"/>
        <v>N/A</v>
      </c>
      <c r="AA104" s="62" t="str">
        <f t="shared" ca="1" si="23"/>
        <v>N/A</v>
      </c>
    </row>
    <row r="105" spans="1:27" hidden="1" x14ac:dyDescent="0.25">
      <c r="A105" s="50">
        <f t="shared" si="15"/>
        <v>0</v>
      </c>
      <c r="B105" s="45" t="str">
        <f t="shared" ca="1" si="16"/>
        <v/>
      </c>
      <c r="C105" s="1" t="str">
        <f>IF(ISERROR(D105),"",IF(D105="","",MAX($C$66:C104)+1))</f>
        <v/>
      </c>
      <c r="D105" t="e">
        <f t="shared" si="17"/>
        <v>#N/A</v>
      </c>
      <c r="E105" s="22"/>
      <c r="F105" s="62" t="str">
        <f t="shared" ca="1" si="20"/>
        <v>N/A</v>
      </c>
      <c r="G105" s="62"/>
      <c r="H105" s="62"/>
      <c r="I105" s="62"/>
      <c r="J105" s="62" t="str">
        <f t="shared" si="18"/>
        <v>N/A</v>
      </c>
      <c r="K105" s="62" t="str">
        <f t="shared" si="21"/>
        <v>N/A</v>
      </c>
      <c r="L105" s="62" t="str">
        <f ca="1">IFERROR(VLOOKUP($A105,LASTYR,'[3]2017'!$L$3,FALSE),"N/A")</f>
        <v>N/A</v>
      </c>
      <c r="M105" s="62" t="str">
        <f t="shared" ca="1" si="23"/>
        <v>N/A</v>
      </c>
      <c r="N105" s="62" t="str">
        <f t="shared" ca="1" si="23"/>
        <v>N/A</v>
      </c>
      <c r="O105" s="62" t="str">
        <f t="shared" ca="1" si="23"/>
        <v>N/A</v>
      </c>
      <c r="P105" s="62" t="str">
        <f t="shared" ca="1" si="23"/>
        <v>N/A</v>
      </c>
      <c r="Q105" s="62" t="str">
        <f t="shared" ca="1" si="23"/>
        <v>N/A</v>
      </c>
      <c r="R105" s="62" t="str">
        <f t="shared" ca="1" si="23"/>
        <v>N/A</v>
      </c>
      <c r="S105" s="62" t="str">
        <f t="shared" ca="1" si="23"/>
        <v>N/A</v>
      </c>
      <c r="T105" s="62" t="str">
        <f t="shared" ca="1" si="23"/>
        <v>N/A</v>
      </c>
      <c r="U105" s="62" t="str">
        <f t="shared" ca="1" si="23"/>
        <v>N/A</v>
      </c>
      <c r="V105" s="62" t="str">
        <f t="shared" ca="1" si="23"/>
        <v>N/A</v>
      </c>
      <c r="W105" s="62" t="str">
        <f t="shared" ca="1" si="23"/>
        <v>N/A</v>
      </c>
      <c r="X105" s="62" t="str">
        <f t="shared" ca="1" si="23"/>
        <v>N/A</v>
      </c>
      <c r="Y105" s="62" t="str">
        <f t="shared" ca="1" si="23"/>
        <v>N/A</v>
      </c>
      <c r="Z105" s="62" t="str">
        <f t="shared" ca="1" si="23"/>
        <v>N/A</v>
      </c>
      <c r="AA105" s="62" t="str">
        <f t="shared" ca="1" si="23"/>
        <v>N/A</v>
      </c>
    </row>
    <row r="106" spans="1:27" hidden="1" x14ac:dyDescent="0.25">
      <c r="A106" s="50">
        <f t="shared" si="15"/>
        <v>0</v>
      </c>
      <c r="B106" s="45" t="str">
        <f t="shared" ca="1" si="16"/>
        <v/>
      </c>
      <c r="C106" s="1" t="str">
        <f>IF(ISERROR(D106),"",IF(D106="","",MAX($C$66:C105)+1))</f>
        <v/>
      </c>
      <c r="D106" t="e">
        <f t="shared" si="17"/>
        <v>#N/A</v>
      </c>
      <c r="E106" s="22"/>
      <c r="F106" s="62" t="str">
        <f t="shared" ca="1" si="20"/>
        <v>N/A</v>
      </c>
      <c r="G106" s="62"/>
      <c r="H106" s="62"/>
      <c r="I106" s="62"/>
      <c r="J106" s="62" t="str">
        <f t="shared" si="18"/>
        <v>N/A</v>
      </c>
      <c r="K106" s="62" t="str">
        <f t="shared" si="21"/>
        <v>N/A</v>
      </c>
      <c r="L106" s="62" t="str">
        <f ca="1">IFERROR(VLOOKUP($A106,LASTYR,'[3]2017'!$L$3,FALSE),"N/A")</f>
        <v>N/A</v>
      </c>
      <c r="M106" s="62" t="str">
        <f t="shared" ca="1" si="23"/>
        <v>N/A</v>
      </c>
      <c r="N106" s="62" t="str">
        <f t="shared" ca="1" si="23"/>
        <v>N/A</v>
      </c>
      <c r="O106" s="62" t="str">
        <f t="shared" ca="1" si="23"/>
        <v>N/A</v>
      </c>
      <c r="P106" s="62" t="str">
        <f t="shared" ca="1" si="23"/>
        <v>N/A</v>
      </c>
      <c r="Q106" s="62" t="str">
        <f t="shared" ca="1" si="23"/>
        <v>N/A</v>
      </c>
      <c r="R106" s="62" t="str">
        <f t="shared" ca="1" si="23"/>
        <v>N/A</v>
      </c>
      <c r="S106" s="62" t="str">
        <f t="shared" ca="1" si="23"/>
        <v>N/A</v>
      </c>
      <c r="T106" s="62" t="str">
        <f t="shared" ca="1" si="23"/>
        <v>N/A</v>
      </c>
      <c r="U106" s="62" t="str">
        <f t="shared" ca="1" si="23"/>
        <v>N/A</v>
      </c>
      <c r="V106" s="62" t="str">
        <f t="shared" ca="1" si="23"/>
        <v>N/A</v>
      </c>
      <c r="W106" s="62" t="str">
        <f t="shared" ca="1" si="23"/>
        <v>N/A</v>
      </c>
      <c r="X106" s="62" t="str">
        <f t="shared" ca="1" si="23"/>
        <v>N/A</v>
      </c>
      <c r="Y106" s="62" t="str">
        <f t="shared" ca="1" si="23"/>
        <v>N/A</v>
      </c>
      <c r="Z106" s="62" t="str">
        <f t="shared" ca="1" si="23"/>
        <v>N/A</v>
      </c>
      <c r="AA106" s="62" t="str">
        <f t="shared" ca="1" si="23"/>
        <v>N/A</v>
      </c>
    </row>
    <row r="107" spans="1:27" hidden="1" x14ac:dyDescent="0.25">
      <c r="A107" s="50">
        <f t="shared" si="15"/>
        <v>0</v>
      </c>
      <c r="B107" s="45" t="str">
        <f t="shared" ca="1" si="16"/>
        <v/>
      </c>
      <c r="C107" s="1" t="str">
        <f>IF(ISERROR(D107),"",IF(D107="","",MAX($C$66:C106)+1))</f>
        <v/>
      </c>
      <c r="D107" t="e">
        <f t="shared" si="17"/>
        <v>#N/A</v>
      </c>
      <c r="E107" s="22"/>
      <c r="F107" s="62" t="str">
        <f t="shared" ca="1" si="20"/>
        <v>N/A</v>
      </c>
      <c r="G107" s="62"/>
      <c r="H107" s="62"/>
      <c r="I107" s="62"/>
      <c r="J107" s="62" t="str">
        <f t="shared" si="18"/>
        <v>N/A</v>
      </c>
      <c r="K107" s="62" t="str">
        <f t="shared" si="21"/>
        <v>N/A</v>
      </c>
      <c r="L107" s="62" t="str">
        <f ca="1">IFERROR(VLOOKUP($A107,LASTYR,'[3]2017'!$L$3,FALSE),"N/A")</f>
        <v>N/A</v>
      </c>
      <c r="M107" s="62" t="str">
        <f t="shared" ca="1" si="23"/>
        <v>N/A</v>
      </c>
      <c r="N107" s="62" t="str">
        <f t="shared" ca="1" si="23"/>
        <v>N/A</v>
      </c>
      <c r="O107" s="62" t="str">
        <f t="shared" ca="1" si="23"/>
        <v>N/A</v>
      </c>
      <c r="P107" s="62" t="str">
        <f t="shared" ca="1" si="23"/>
        <v>N/A</v>
      </c>
      <c r="Q107" s="62" t="str">
        <f t="shared" ca="1" si="23"/>
        <v>N/A</v>
      </c>
      <c r="R107" s="62" t="str">
        <f t="shared" ca="1" si="23"/>
        <v>N/A</v>
      </c>
      <c r="S107" s="62" t="str">
        <f t="shared" ca="1" si="23"/>
        <v>N/A</v>
      </c>
      <c r="T107" s="62" t="str">
        <f t="shared" ca="1" si="23"/>
        <v>N/A</v>
      </c>
      <c r="U107" s="62" t="str">
        <f t="shared" ca="1" si="23"/>
        <v>N/A</v>
      </c>
      <c r="V107" s="62" t="str">
        <f t="shared" ca="1" si="23"/>
        <v>N/A</v>
      </c>
      <c r="W107" s="62" t="str">
        <f t="shared" ca="1" si="23"/>
        <v>N/A</v>
      </c>
      <c r="X107" s="62" t="str">
        <f t="shared" ca="1" si="23"/>
        <v>N/A</v>
      </c>
      <c r="Y107" s="62" t="str">
        <f t="shared" ca="1" si="23"/>
        <v>N/A</v>
      </c>
      <c r="Z107" s="62" t="str">
        <f t="shared" ca="1" si="23"/>
        <v>N/A</v>
      </c>
      <c r="AA107" s="62" t="str">
        <f t="shared" ca="1" si="23"/>
        <v>N/A</v>
      </c>
    </row>
    <row r="108" spans="1:27" hidden="1" x14ac:dyDescent="0.25">
      <c r="A108" s="50">
        <f t="shared" si="15"/>
        <v>0</v>
      </c>
      <c r="B108" s="45" t="str">
        <f t="shared" ca="1" si="16"/>
        <v/>
      </c>
      <c r="C108" s="1" t="str">
        <f>IF(ISERROR(D108),"",IF(D108="","",MAX($C$66:C107)+1))</f>
        <v/>
      </c>
      <c r="D108" t="e">
        <f t="shared" si="17"/>
        <v>#N/A</v>
      </c>
      <c r="E108" s="22"/>
      <c r="F108" s="62" t="str">
        <f t="shared" ca="1" si="20"/>
        <v>N/A</v>
      </c>
      <c r="G108" s="62"/>
      <c r="H108" s="62"/>
      <c r="I108" s="62"/>
      <c r="J108" s="62" t="str">
        <f t="shared" si="18"/>
        <v>N/A</v>
      </c>
      <c r="K108" s="62" t="str">
        <f t="shared" si="21"/>
        <v>N/A</v>
      </c>
      <c r="L108" s="62" t="str">
        <f ca="1">IFERROR(VLOOKUP($A108,LASTYR,'[3]2017'!$L$3,FALSE),"N/A")</f>
        <v>N/A</v>
      </c>
      <c r="M108" s="62" t="str">
        <f t="shared" ca="1" si="23"/>
        <v>N/A</v>
      </c>
      <c r="N108" s="62" t="str">
        <f t="shared" ca="1" si="23"/>
        <v>N/A</v>
      </c>
      <c r="O108" s="62" t="str">
        <f t="shared" ca="1" si="23"/>
        <v>N/A</v>
      </c>
      <c r="P108" s="62" t="str">
        <f t="shared" ca="1" si="23"/>
        <v>N/A</v>
      </c>
      <c r="Q108" s="62" t="str">
        <f t="shared" ca="1" si="23"/>
        <v>N/A</v>
      </c>
      <c r="R108" s="62" t="str">
        <f t="shared" ca="1" si="23"/>
        <v>N/A</v>
      </c>
      <c r="S108" s="62" t="str">
        <f t="shared" ca="1" si="23"/>
        <v>N/A</v>
      </c>
      <c r="T108" s="62" t="str">
        <f t="shared" ca="1" si="23"/>
        <v>N/A</v>
      </c>
      <c r="U108" s="62" t="str">
        <f t="shared" ca="1" si="23"/>
        <v>N/A</v>
      </c>
      <c r="V108" s="62" t="str">
        <f t="shared" ca="1" si="23"/>
        <v>N/A</v>
      </c>
      <c r="W108" s="62" t="str">
        <f t="shared" ca="1" si="23"/>
        <v>N/A</v>
      </c>
      <c r="X108" s="62" t="str">
        <f t="shared" ca="1" si="23"/>
        <v>N/A</v>
      </c>
      <c r="Y108" s="62" t="str">
        <f t="shared" ca="1" si="23"/>
        <v>N/A</v>
      </c>
      <c r="Z108" s="62" t="str">
        <f t="shared" ca="1" si="23"/>
        <v>N/A</v>
      </c>
      <c r="AA108" s="62" t="str">
        <f t="shared" ca="1" si="23"/>
        <v>N/A</v>
      </c>
    </row>
    <row r="109" spans="1:27" hidden="1" x14ac:dyDescent="0.25">
      <c r="A109" s="50">
        <f t="shared" si="15"/>
        <v>0</v>
      </c>
      <c r="B109" s="45" t="str">
        <f t="shared" ca="1" si="16"/>
        <v/>
      </c>
      <c r="C109" s="1" t="str">
        <f>IF(ISERROR(D109),"",IF(D109="","",MAX($C$66:C108)+1))</f>
        <v/>
      </c>
      <c r="D109" t="e">
        <f t="shared" si="17"/>
        <v>#N/A</v>
      </c>
      <c r="E109" s="22"/>
      <c r="F109" s="62" t="str">
        <f t="shared" ca="1" si="20"/>
        <v>N/A</v>
      </c>
      <c r="G109" s="62"/>
      <c r="H109" s="62"/>
      <c r="I109" s="62"/>
      <c r="J109" s="62" t="str">
        <f t="shared" si="18"/>
        <v>N/A</v>
      </c>
      <c r="K109" s="62" t="str">
        <f t="shared" si="21"/>
        <v>N/A</v>
      </c>
      <c r="L109" s="62" t="str">
        <f ca="1">IFERROR(VLOOKUP($A109,LASTYR,'[3]2017'!$L$3,FALSE),"N/A")</f>
        <v>N/A</v>
      </c>
      <c r="M109" s="62" t="str">
        <f t="shared" ca="1" si="23"/>
        <v>N/A</v>
      </c>
      <c r="N109" s="62" t="str">
        <f t="shared" ca="1" si="23"/>
        <v>N/A</v>
      </c>
      <c r="O109" s="62" t="str">
        <f t="shared" ca="1" si="23"/>
        <v>N/A</v>
      </c>
      <c r="P109" s="62" t="str">
        <f t="shared" ca="1" si="23"/>
        <v>N/A</v>
      </c>
      <c r="Q109" s="62" t="str">
        <f t="shared" ca="1" si="23"/>
        <v>N/A</v>
      </c>
      <c r="R109" s="62" t="str">
        <f t="shared" ca="1" si="23"/>
        <v>N/A</v>
      </c>
      <c r="S109" s="62" t="str">
        <f t="shared" ca="1" si="23"/>
        <v>N/A</v>
      </c>
      <c r="T109" s="62" t="str">
        <f t="shared" ca="1" si="23"/>
        <v>N/A</v>
      </c>
      <c r="U109" s="62" t="str">
        <f t="shared" ca="1" si="23"/>
        <v>N/A</v>
      </c>
      <c r="V109" s="62" t="str">
        <f t="shared" ca="1" si="23"/>
        <v>N/A</v>
      </c>
      <c r="W109" s="62" t="str">
        <f t="shared" ca="1" si="23"/>
        <v>N/A</v>
      </c>
      <c r="X109" s="62" t="str">
        <f t="shared" ca="1" si="23"/>
        <v>N/A</v>
      </c>
      <c r="Y109" s="62" t="str">
        <f t="shared" ca="1" si="23"/>
        <v>N/A</v>
      </c>
      <c r="Z109" s="62" t="str">
        <f t="shared" ca="1" si="23"/>
        <v>N/A</v>
      </c>
      <c r="AA109" s="62" t="str">
        <f t="shared" ca="1" si="23"/>
        <v>N/A</v>
      </c>
    </row>
    <row r="110" spans="1:27" hidden="1" x14ac:dyDescent="0.25">
      <c r="A110" s="50">
        <f t="shared" si="15"/>
        <v>0</v>
      </c>
      <c r="B110" s="45" t="str">
        <f t="shared" ca="1" si="16"/>
        <v/>
      </c>
      <c r="C110" s="1" t="str">
        <f>IF(ISERROR(D110),"",IF(D110="","",MAX($C$66:C109)+1))</f>
        <v/>
      </c>
      <c r="D110" t="e">
        <f t="shared" si="17"/>
        <v>#N/A</v>
      </c>
      <c r="F110" s="62" t="str">
        <f t="shared" ca="1" si="20"/>
        <v>N/A</v>
      </c>
      <c r="G110" s="62"/>
      <c r="H110" s="62"/>
      <c r="I110" s="62"/>
      <c r="J110" s="62" t="str">
        <f t="shared" si="18"/>
        <v>N/A</v>
      </c>
      <c r="K110" s="62" t="str">
        <f t="shared" si="21"/>
        <v>N/A</v>
      </c>
      <c r="L110" s="62" t="str">
        <f ca="1">IFERROR(VLOOKUP($A110,LASTYR,'[3]2017'!$L$3,FALSE),"N/A")</f>
        <v>N/A</v>
      </c>
      <c r="M110" s="62" t="str">
        <f t="shared" ca="1" si="23"/>
        <v>N/A</v>
      </c>
      <c r="N110" s="62" t="str">
        <f t="shared" ca="1" si="23"/>
        <v>N/A</v>
      </c>
      <c r="O110" s="62" t="str">
        <f t="shared" ca="1" si="23"/>
        <v>N/A</v>
      </c>
      <c r="P110" s="62" t="str">
        <f t="shared" ca="1" si="23"/>
        <v>N/A</v>
      </c>
      <c r="Q110" s="62" t="str">
        <f t="shared" ca="1" si="23"/>
        <v>N/A</v>
      </c>
      <c r="R110" s="62" t="str">
        <f t="shared" ca="1" si="23"/>
        <v>N/A</v>
      </c>
      <c r="S110" s="62" t="str">
        <f t="shared" ca="1" si="23"/>
        <v>N/A</v>
      </c>
      <c r="T110" s="62" t="str">
        <f t="shared" ca="1" si="23"/>
        <v>N/A</v>
      </c>
      <c r="U110" s="62" t="str">
        <f t="shared" ca="1" si="23"/>
        <v>N/A</v>
      </c>
      <c r="V110" s="62" t="str">
        <f t="shared" ca="1" si="23"/>
        <v>N/A</v>
      </c>
      <c r="W110" s="62" t="str">
        <f t="shared" ca="1" si="23"/>
        <v>N/A</v>
      </c>
      <c r="X110" s="62" t="str">
        <f t="shared" ca="1" si="23"/>
        <v>N/A</v>
      </c>
      <c r="Y110" s="62" t="str">
        <f t="shared" ca="1" si="23"/>
        <v>N/A</v>
      </c>
      <c r="Z110" s="62" t="str">
        <f t="shared" ca="1" si="23"/>
        <v>N/A</v>
      </c>
      <c r="AA110" s="62" t="str">
        <f t="shared" ca="1" si="23"/>
        <v>N/A</v>
      </c>
    </row>
    <row r="111" spans="1:27" hidden="1" x14ac:dyDescent="0.25">
      <c r="A111" s="50">
        <f t="shared" si="15"/>
        <v>0</v>
      </c>
      <c r="B111" s="45" t="str">
        <f t="shared" ca="1" si="16"/>
        <v/>
      </c>
      <c r="C111" s="1" t="str">
        <f>IF(ISERROR(D111),"",IF(D111="","",MAX($C$66:C110)+1))</f>
        <v/>
      </c>
      <c r="D111" t="e">
        <f t="shared" si="17"/>
        <v>#N/A</v>
      </c>
      <c r="F111" s="62" t="str">
        <f t="shared" ca="1" si="20"/>
        <v>N/A</v>
      </c>
      <c r="G111" s="62"/>
      <c r="H111" s="62"/>
      <c r="I111" s="62"/>
      <c r="J111" s="62" t="str">
        <f t="shared" si="18"/>
        <v>N/A</v>
      </c>
      <c r="K111" s="62" t="str">
        <f t="shared" si="21"/>
        <v>N/A</v>
      </c>
      <c r="L111" s="62" t="str">
        <f ca="1">IFERROR(VLOOKUP($A111,LASTYR,'[3]2017'!$L$3,FALSE),"N/A")</f>
        <v>N/A</v>
      </c>
      <c r="M111" s="62" t="str">
        <f t="shared" ca="1" si="23"/>
        <v>N/A</v>
      </c>
      <c r="N111" s="62" t="str">
        <f t="shared" ca="1" si="23"/>
        <v>N/A</v>
      </c>
      <c r="O111" s="62" t="str">
        <f t="shared" ca="1" si="23"/>
        <v>N/A</v>
      </c>
      <c r="P111" s="62" t="str">
        <f t="shared" ca="1" si="23"/>
        <v>N/A</v>
      </c>
      <c r="Q111" s="62" t="str">
        <f t="shared" ca="1" si="23"/>
        <v>N/A</v>
      </c>
      <c r="R111" s="62" t="str">
        <f t="shared" ca="1" si="23"/>
        <v>N/A</v>
      </c>
      <c r="S111" s="62" t="str">
        <f t="shared" ca="1" si="23"/>
        <v>N/A</v>
      </c>
      <c r="T111" s="62" t="str">
        <f t="shared" ca="1" si="23"/>
        <v>N/A</v>
      </c>
      <c r="U111" s="62" t="str">
        <f t="shared" ca="1" si="23"/>
        <v>N/A</v>
      </c>
      <c r="V111" s="62" t="str">
        <f t="shared" ca="1" si="23"/>
        <v>N/A</v>
      </c>
      <c r="W111" s="62" t="str">
        <f t="shared" ca="1" si="23"/>
        <v>N/A</v>
      </c>
      <c r="X111" s="62" t="str">
        <f t="shared" ca="1" si="23"/>
        <v>N/A</v>
      </c>
      <c r="Y111" s="62" t="str">
        <f t="shared" ca="1" si="23"/>
        <v>N/A</v>
      </c>
      <c r="Z111" s="62" t="str">
        <f t="shared" ca="1" si="23"/>
        <v>N/A</v>
      </c>
      <c r="AA111" s="62" t="str">
        <f t="shared" ca="1" si="23"/>
        <v>N/A</v>
      </c>
    </row>
    <row r="112" spans="1:27" hidden="1" x14ac:dyDescent="0.25">
      <c r="A112" s="50">
        <f t="shared" si="15"/>
        <v>0</v>
      </c>
      <c r="B112" s="45" t="str">
        <f t="shared" ca="1" si="16"/>
        <v/>
      </c>
      <c r="C112" s="1" t="str">
        <f>IF(ISERROR(D112),"",IF(D112="","",MAX($C$66:C111)+1))</f>
        <v/>
      </c>
      <c r="D112" t="e">
        <f t="shared" si="17"/>
        <v>#N/A</v>
      </c>
      <c r="F112" s="62" t="str">
        <f t="shared" ca="1" si="20"/>
        <v>N/A</v>
      </c>
      <c r="G112" s="62"/>
      <c r="H112" s="62"/>
      <c r="I112" s="62"/>
      <c r="J112" s="62" t="str">
        <f t="shared" si="18"/>
        <v>N/A</v>
      </c>
      <c r="K112" s="62" t="str">
        <f t="shared" si="21"/>
        <v>N/A</v>
      </c>
      <c r="L112" s="62" t="str">
        <f ca="1">IFERROR(VLOOKUP($A112,LASTYR,'[3]2017'!$L$3,FALSE),"N/A")</f>
        <v>N/A</v>
      </c>
      <c r="M112" s="62" t="str">
        <f t="shared" ca="1" si="23"/>
        <v>N/A</v>
      </c>
      <c r="N112" s="62" t="str">
        <f t="shared" ca="1" si="23"/>
        <v>N/A</v>
      </c>
      <c r="O112" s="62" t="str">
        <f t="shared" ca="1" si="23"/>
        <v>N/A</v>
      </c>
      <c r="P112" s="62" t="str">
        <f t="shared" ca="1" si="23"/>
        <v>N/A</v>
      </c>
      <c r="Q112" s="62" t="str">
        <f t="shared" ca="1" si="23"/>
        <v>N/A</v>
      </c>
      <c r="R112" s="62" t="str">
        <f t="shared" ca="1" si="23"/>
        <v>N/A</v>
      </c>
      <c r="S112" s="62" t="str">
        <f t="shared" ca="1" si="23"/>
        <v>N/A</v>
      </c>
      <c r="T112" s="62" t="str">
        <f t="shared" ca="1" si="23"/>
        <v>N/A</v>
      </c>
      <c r="U112" s="62" t="str">
        <f t="shared" ca="1" si="23"/>
        <v>N/A</v>
      </c>
      <c r="V112" s="62" t="str">
        <f t="shared" ca="1" si="23"/>
        <v>N/A</v>
      </c>
      <c r="W112" s="62" t="str">
        <f t="shared" ca="1" si="23"/>
        <v>N/A</v>
      </c>
      <c r="X112" s="62" t="str">
        <f t="shared" ca="1" si="23"/>
        <v>N/A</v>
      </c>
      <c r="Y112" s="62" t="str">
        <f t="shared" ca="1" si="23"/>
        <v>N/A</v>
      </c>
      <c r="Z112" s="62" t="str">
        <f t="shared" ca="1" si="23"/>
        <v>N/A</v>
      </c>
      <c r="AA112" s="62" t="str">
        <f t="shared" ca="1" si="23"/>
        <v>N/A</v>
      </c>
    </row>
    <row r="113" spans="1:27" x14ac:dyDescent="0.25">
      <c r="A113" s="31"/>
      <c r="B113" s="31"/>
      <c r="C113" s="1" t="str">
        <f>IF(ISERROR(D113),"",IF(D113="","",MAX($C$66:C112)+1))</f>
        <v/>
      </c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</row>
    <row r="114" spans="1:27" x14ac:dyDescent="0.25">
      <c r="A114" s="31"/>
      <c r="B114" s="31"/>
      <c r="C114" s="1">
        <f ca="1">IF(ISERROR(D114),"",IF(D114="","",MAX($C$66:C113)+1))</f>
        <v>15</v>
      </c>
      <c r="D114" t="s">
        <v>98</v>
      </c>
      <c r="F114" s="62">
        <f ca="1">AVERAGE(G114:W114)</f>
        <v>13.565129451292258</v>
      </c>
      <c r="G114" s="62">
        <f>AVERAGE(G68:G113)</f>
        <v>19.331452191882594</v>
      </c>
      <c r="H114" s="62">
        <f>AVERAGE(H68:H113)</f>
        <v>18.829293850372434</v>
      </c>
      <c r="I114" s="62">
        <f>AVERAGE(I68:I113)</f>
        <v>17.472823007414693</v>
      </c>
      <c r="J114" s="62">
        <f t="shared" ref="J114:W114" si="24">AVERAGE(J68:J113)</f>
        <v>20.386006944152989</v>
      </c>
      <c r="K114" s="62">
        <f t="shared" ca="1" si="24"/>
        <v>16.595509904208786</v>
      </c>
      <c r="L114" s="62">
        <f t="shared" ca="1" si="24"/>
        <v>14.679811680221476</v>
      </c>
      <c r="M114" s="62">
        <f t="shared" ca="1" si="24"/>
        <v>13.649448539556216</v>
      </c>
      <c r="N114" s="62">
        <f t="shared" ca="1" si="24"/>
        <v>11.544927546516279</v>
      </c>
      <c r="O114" s="62">
        <f t="shared" ca="1" si="24"/>
        <v>10.391024296887904</v>
      </c>
      <c r="P114" s="62">
        <f t="shared" ca="1" si="24"/>
        <v>10.633406341020864</v>
      </c>
      <c r="Q114" s="62">
        <f t="shared" ca="1" si="24"/>
        <v>9.5123436878140826</v>
      </c>
      <c r="R114" s="62">
        <f t="shared" ca="1" si="24"/>
        <v>9.6203858106644464</v>
      </c>
      <c r="S114" s="62">
        <f t="shared" ca="1" si="24"/>
        <v>9.3445599352771538</v>
      </c>
      <c r="T114" s="62">
        <f t="shared" ca="1" si="24"/>
        <v>9.8593572432825827</v>
      </c>
      <c r="U114" s="62">
        <f t="shared" ca="1" si="24"/>
        <v>10.622522665649232</v>
      </c>
      <c r="V114" s="62">
        <f t="shared" ca="1" si="24"/>
        <v>13.705135647879937</v>
      </c>
      <c r="W114" s="62">
        <f t="shared" ca="1" si="24"/>
        <v>14.429191379166699</v>
      </c>
      <c r="X114" s="62"/>
      <c r="Y114" s="62"/>
      <c r="Z114" s="62"/>
      <c r="AA114" s="62"/>
    </row>
    <row r="115" spans="1:27" x14ac:dyDescent="0.25">
      <c r="A115" s="31"/>
      <c r="B115" s="31"/>
      <c r="C115" s="1">
        <f ca="1">IF(ISERROR(D115),"",IF(D115="","",MAX($C$66:C114)+1))</f>
        <v>16</v>
      </c>
      <c r="D115" t="s">
        <v>257</v>
      </c>
      <c r="F115" s="62">
        <f ca="1">AVERAGE(G115:W115)</f>
        <v>13.313693860671735</v>
      </c>
      <c r="G115" s="62">
        <f>MEDIAN(G68:G113)</f>
        <v>17.605108218605501</v>
      </c>
      <c r="H115" s="62">
        <f>MEDIAN(H68:H113)</f>
        <v>16.088837069354597</v>
      </c>
      <c r="I115" s="62">
        <f>MEDIAN(I68:I113)</f>
        <v>18.74081272968176</v>
      </c>
      <c r="J115" s="62">
        <f>MEDIAN(J68:J113)</f>
        <v>20.788690476190478</v>
      </c>
      <c r="K115" s="62">
        <f ca="1">MEDIAN(K68:K113)</f>
        <v>16.596378697154478</v>
      </c>
      <c r="L115" s="62">
        <f t="shared" ref="L115:W115" ca="1" si="25">MEDIAN(L68:L113)</f>
        <v>15.682619055492481</v>
      </c>
      <c r="M115" s="62">
        <f t="shared" ca="1" si="25"/>
        <v>14.50866319200534</v>
      </c>
      <c r="N115" s="62">
        <f t="shared" ca="1" si="25"/>
        <v>11.198116473078215</v>
      </c>
      <c r="O115" s="62">
        <f t="shared" ca="1" si="25"/>
        <v>10.697032882075163</v>
      </c>
      <c r="P115" s="62">
        <f t="shared" ca="1" si="25"/>
        <v>9.9094269701246098</v>
      </c>
      <c r="Q115" s="62">
        <f t="shared" ca="1" si="25"/>
        <v>8.1931914331041789</v>
      </c>
      <c r="R115" s="62">
        <f t="shared" ca="1" si="25"/>
        <v>8.6195471429449402</v>
      </c>
      <c r="S115" s="62">
        <f t="shared" ca="1" si="25"/>
        <v>9.8969724632457297</v>
      </c>
      <c r="T115" s="62">
        <f t="shared" ca="1" si="25"/>
        <v>10.306691343872551</v>
      </c>
      <c r="U115" s="62">
        <f t="shared" ca="1" si="25"/>
        <v>10.945423485994857</v>
      </c>
      <c r="V115" s="62">
        <f t="shared" ca="1" si="25"/>
        <v>12.580040187541861</v>
      </c>
      <c r="W115" s="62">
        <f t="shared" ca="1" si="25"/>
        <v>13.97524381095274</v>
      </c>
      <c r="X115" s="62"/>
      <c r="Y115" s="62"/>
      <c r="Z115" s="62"/>
      <c r="AA115" s="62"/>
    </row>
    <row r="116" spans="1:27" x14ac:dyDescent="0.25">
      <c r="A116" s="31"/>
      <c r="B116" s="31"/>
      <c r="C116" s="1"/>
      <c r="J116" s="187"/>
      <c r="K116" s="187"/>
    </row>
    <row r="117" spans="1:27" x14ac:dyDescent="0.25">
      <c r="A117" s="31"/>
      <c r="B117" s="31"/>
      <c r="C117" s="1"/>
    </row>
    <row r="118" spans="1:27" ht="16.2" x14ac:dyDescent="0.25">
      <c r="A118" s="31"/>
      <c r="B118" s="31"/>
      <c r="C118" s="6"/>
      <c r="D118" s="6"/>
      <c r="E118" s="19"/>
      <c r="F118" s="276" t="s">
        <v>259</v>
      </c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</row>
    <row r="119" spans="1:27" x14ac:dyDescent="0.25">
      <c r="A119" s="31"/>
      <c r="B119" s="31"/>
      <c r="C119" s="6"/>
      <c r="D119" s="7"/>
      <c r="E119" s="7"/>
      <c r="F119" s="8" t="str">
        <f>F64</f>
        <v>17-Year</v>
      </c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7"/>
      <c r="U119" s="7"/>
      <c r="V119" s="7"/>
      <c r="W119" s="7"/>
      <c r="X119" s="7"/>
      <c r="Y119" s="7"/>
      <c r="Z119" s="7"/>
    </row>
    <row r="120" spans="1:27" ht="16.2" x14ac:dyDescent="0.25">
      <c r="A120" s="31"/>
      <c r="B120" s="31"/>
      <c r="C120" s="9" t="s">
        <v>96</v>
      </c>
      <c r="D120" s="275" t="s">
        <v>97</v>
      </c>
      <c r="E120" s="275"/>
      <c r="F120" s="10" t="s">
        <v>98</v>
      </c>
      <c r="G120" s="10" t="s">
        <v>542</v>
      </c>
      <c r="H120" s="40">
        <v>2021</v>
      </c>
      <c r="I120" s="40">
        <v>2020</v>
      </c>
      <c r="J120" s="40">
        <v>2019</v>
      </c>
      <c r="K120" s="40">
        <v>2018</v>
      </c>
      <c r="L120" s="40">
        <v>2017</v>
      </c>
      <c r="M120" s="40">
        <v>2016</v>
      </c>
      <c r="N120" s="40">
        <v>2015</v>
      </c>
      <c r="O120" s="40">
        <v>2014</v>
      </c>
      <c r="P120" s="40">
        <v>2013</v>
      </c>
      <c r="Q120" s="40">
        <v>2012</v>
      </c>
      <c r="R120" s="40">
        <v>2011</v>
      </c>
      <c r="S120" s="40">
        <v>2010</v>
      </c>
      <c r="T120" s="40">
        <v>2009</v>
      </c>
      <c r="U120" s="40">
        <v>2008</v>
      </c>
      <c r="V120" s="40">
        <v>2007</v>
      </c>
      <c r="W120" s="40">
        <v>2006</v>
      </c>
      <c r="X120" s="40">
        <v>2005</v>
      </c>
      <c r="Y120" s="40"/>
      <c r="Z120" s="40"/>
      <c r="AA120" s="40"/>
    </row>
    <row r="121" spans="1:27" x14ac:dyDescent="0.25">
      <c r="A121" s="41"/>
      <c r="B121" s="41"/>
      <c r="C121" s="9"/>
      <c r="D121" s="11"/>
      <c r="E121" s="11"/>
      <c r="F121" s="12">
        <v>-1</v>
      </c>
      <c r="G121" s="12">
        <f>+F121-1</f>
        <v>-2</v>
      </c>
      <c r="H121" s="12">
        <f>+G121-1</f>
        <v>-3</v>
      </c>
      <c r="I121" s="12">
        <f>+H121-1</f>
        <v>-4</v>
      </c>
      <c r="J121" s="12">
        <f>+I121-1</f>
        <v>-5</v>
      </c>
      <c r="K121" s="12">
        <f t="shared" ref="K121:X121" si="26">+J121-1</f>
        <v>-6</v>
      </c>
      <c r="L121" s="12">
        <f t="shared" si="26"/>
        <v>-7</v>
      </c>
      <c r="M121" s="12">
        <f t="shared" si="26"/>
        <v>-8</v>
      </c>
      <c r="N121" s="12">
        <f t="shared" si="26"/>
        <v>-9</v>
      </c>
      <c r="O121" s="12">
        <f t="shared" si="26"/>
        <v>-10</v>
      </c>
      <c r="P121" s="12">
        <f t="shared" si="26"/>
        <v>-11</v>
      </c>
      <c r="Q121" s="12">
        <f t="shared" si="26"/>
        <v>-12</v>
      </c>
      <c r="R121" s="12">
        <f t="shared" si="26"/>
        <v>-13</v>
      </c>
      <c r="S121" s="12">
        <f t="shared" si="26"/>
        <v>-14</v>
      </c>
      <c r="T121" s="12">
        <f t="shared" si="26"/>
        <v>-15</v>
      </c>
      <c r="U121" s="12">
        <f t="shared" si="26"/>
        <v>-16</v>
      </c>
      <c r="V121" s="12">
        <f t="shared" si="26"/>
        <v>-17</v>
      </c>
      <c r="W121" s="12">
        <f t="shared" si="26"/>
        <v>-18</v>
      </c>
      <c r="X121" s="12">
        <f t="shared" si="26"/>
        <v>-19</v>
      </c>
      <c r="Y121" s="12"/>
      <c r="Z121" s="12"/>
      <c r="AA121" s="12"/>
    </row>
    <row r="122" spans="1:27" x14ac:dyDescent="0.25">
      <c r="A122" s="42"/>
      <c r="B122" s="43"/>
      <c r="C122" s="6"/>
      <c r="E122" s="22"/>
      <c r="F122" s="36"/>
      <c r="G122" s="36"/>
      <c r="H122" s="36"/>
      <c r="I122" s="36"/>
      <c r="J122" s="36"/>
      <c r="K122" s="16">
        <f t="shared" ref="K122:X122" ca="1" si="27">MATCH(VALUE(LEFT(K120,4)),OFFSET(MP_BV_WP,-1,0,1,),0)</f>
        <v>8</v>
      </c>
      <c r="L122" s="16">
        <f t="shared" ca="1" si="27"/>
        <v>9</v>
      </c>
      <c r="M122" s="16">
        <f t="shared" ca="1" si="27"/>
        <v>10</v>
      </c>
      <c r="N122" s="16">
        <f t="shared" ca="1" si="27"/>
        <v>11</v>
      </c>
      <c r="O122" s="16">
        <f t="shared" ca="1" si="27"/>
        <v>12</v>
      </c>
      <c r="P122" s="16">
        <f t="shared" ca="1" si="27"/>
        <v>13</v>
      </c>
      <c r="Q122" s="16">
        <f t="shared" ca="1" si="27"/>
        <v>14</v>
      </c>
      <c r="R122" s="16">
        <f t="shared" ca="1" si="27"/>
        <v>15</v>
      </c>
      <c r="S122" s="16">
        <f t="shared" ca="1" si="27"/>
        <v>16</v>
      </c>
      <c r="T122" s="16">
        <f t="shared" ca="1" si="27"/>
        <v>17</v>
      </c>
      <c r="U122" s="16">
        <f t="shared" ca="1" si="27"/>
        <v>18</v>
      </c>
      <c r="V122" s="16">
        <f t="shared" ca="1" si="27"/>
        <v>19</v>
      </c>
      <c r="W122" s="16">
        <f t="shared" ca="1" si="27"/>
        <v>20</v>
      </c>
      <c r="X122" s="16">
        <f t="shared" ca="1" si="27"/>
        <v>21</v>
      </c>
      <c r="Y122" s="51"/>
      <c r="Z122" s="51"/>
      <c r="AA122" s="51"/>
    </row>
    <row r="123" spans="1:27" x14ac:dyDescent="0.25">
      <c r="A123" s="50" t="str">
        <f t="shared" ref="A123:A167" si="28">A13</f>
        <v>AWR</v>
      </c>
      <c r="B123" s="45">
        <f t="shared" ref="B123:B167" ca="1" si="29">MATCH(A123,OFFSET(MP_BV_WP,0,0,,1),0)</f>
        <v>4</v>
      </c>
      <c r="C123" s="1">
        <f ca="1">C115+1</f>
        <v>17</v>
      </c>
      <c r="D123" t="str">
        <f t="shared" ref="D123:D167" ca="1" si="30">D13</f>
        <v>Amer. States Water</v>
      </c>
      <c r="E123" s="22"/>
      <c r="F123" s="62">
        <f ca="1">IFERROR(AVERAGE(G123:W123),"N/A")</f>
        <v>2.9367831467796766</v>
      </c>
      <c r="G123" s="62">
        <f>IFERROR(IF(VLOOKUP($A123,'2022 Data (WP)'!$D$9:$AA$70,18,FALSE)=0,"",VLOOKUP($A123,'2022 Data (WP)'!$D$9:$AA$70,18,FALSE)),"N/A")</f>
        <v>4.5468750000000009</v>
      </c>
      <c r="H123" s="62">
        <f>IFERROR(IF(VLOOKUP($A123,'2021 Data (WP)'!$D$9:$AA$70,18,FALSE)=0,"",VLOOKUP($A123,'2021 Data (WP)'!$D$9:$AA$70,18,FALSE)),"N/A")</f>
        <v>4.6822832525578884</v>
      </c>
      <c r="I123" s="62">
        <f>IFERROR(IF(VLOOKUP($A123,'2020 Data (WP)'!$D$9:$AA$70,18,FALSE)=0,"",VLOOKUP($A123,'2020 Data (WP)'!$D$9:$AA$70,18,FALSE)),"N/A")</f>
        <v>4.649223691776883</v>
      </c>
      <c r="J123" s="62">
        <f t="shared" ref="J123:J167" si="31">IFERROR(IF(VLOOKUP($A123,LUCurYr,18,FALSE)=0,"",VLOOKUP($A123,LUCurYr,18,FALSE)),"N/A")</f>
        <v>4.9472049689440993</v>
      </c>
      <c r="K123" s="62">
        <f t="shared" ref="K123:W138" ca="1" si="32">IFERROR(IF(INDEX(MP_BV_WP,$B123,K$122)=0,"N/A",INDEX(MP_BV_WP,$B123,K$122)),"N/A")</f>
        <v>3.8560516264980902</v>
      </c>
      <c r="L123" s="62">
        <f t="shared" ca="1" si="32"/>
        <v>3.3461618329064859</v>
      </c>
      <c r="M123" s="62">
        <f t="shared" ca="1" si="32"/>
        <v>3.067549570878958</v>
      </c>
      <c r="N123" s="62">
        <f t="shared" ca="1" si="32"/>
        <v>3.0994907951429687</v>
      </c>
      <c r="O123" s="62">
        <f t="shared" ca="1" si="32"/>
        <v>2.3833950290851402</v>
      </c>
      <c r="P123" s="62">
        <f t="shared" ca="1" si="32"/>
        <v>2.1733113155618464</v>
      </c>
      <c r="Q123" s="62">
        <f t="shared" ca="1" si="32"/>
        <v>1.7089583863039242</v>
      </c>
      <c r="R123" s="62">
        <f t="shared" ca="1" si="32"/>
        <v>1.586569504658242</v>
      </c>
      <c r="S123" s="62">
        <f t="shared" ca="1" si="32"/>
        <v>1.7234504540071063</v>
      </c>
      <c r="T123" s="62">
        <f t="shared" ca="1" si="32"/>
        <v>1.770547592038775</v>
      </c>
      <c r="U123" s="62">
        <f t="shared" ca="1" si="32"/>
        <v>1.950412302206374</v>
      </c>
      <c r="V123" s="62">
        <f t="shared" ca="1" si="32"/>
        <v>2.2177483745865181</v>
      </c>
      <c r="W123" s="62">
        <f t="shared" ca="1" si="32"/>
        <v>2.2160797981011902</v>
      </c>
      <c r="X123" s="62"/>
      <c r="Y123" s="17"/>
      <c r="Z123" s="17"/>
      <c r="AA123" s="17"/>
    </row>
    <row r="124" spans="1:27" x14ac:dyDescent="0.25">
      <c r="A124" s="50" t="str">
        <f t="shared" si="28"/>
        <v>AWK</v>
      </c>
      <c r="B124" s="45">
        <f t="shared" ca="1" si="29"/>
        <v>5</v>
      </c>
      <c r="C124" s="1">
        <f ca="1">IF(ISERROR(D124),"",IF(D124="","",MAX($C$121:C123)+1))</f>
        <v>18</v>
      </c>
      <c r="D124" t="str">
        <f t="shared" ca="1" si="30"/>
        <v>Amer. Water Works</v>
      </c>
      <c r="E124" s="22"/>
      <c r="F124" s="62">
        <f t="shared" ref="F124:F167" ca="1" si="33">IFERROR(AVERAGE(G124:W124),"N/A")</f>
        <v>2.1861156706646896</v>
      </c>
      <c r="G124" s="62">
        <f>IFERROR(IF(VLOOKUP($A124,'2022 Data (WP)'!$D$9:$AA$70,18,FALSE)=0,"",VLOOKUP($A124,'2022 Data (WP)'!$D$9:$AA$70,18,FALSE)),"N/A")</f>
        <v>3.6891252955082749</v>
      </c>
      <c r="H124" s="62">
        <f>IFERROR(IF(VLOOKUP($A124,'2021 Data (WP)'!$D$9:$AA$70,18,FALSE)=0,"",VLOOKUP($A124,'2021 Data (WP)'!$D$9:$AA$70,18,FALSE)),"N/A")</f>
        <v>3.9885543667579006</v>
      </c>
      <c r="I124" s="62">
        <f>IFERROR(IF(VLOOKUP($A124,'2020 Data (WP)'!$D$9:$AA$70,18,FALSE)=0,"",VLOOKUP($A124,'2020 Data (WP)'!$D$9:$AA$70,18,FALSE)),"N/A")</f>
        <v>3.7183811129848232</v>
      </c>
      <c r="J124" s="62">
        <f t="shared" si="31"/>
        <v>3.1671511627906979</v>
      </c>
      <c r="K124" s="62">
        <f t="shared" ca="1" si="32"/>
        <v>2.6535661401776904</v>
      </c>
      <c r="L124" s="62">
        <f t="shared" ca="1" si="32"/>
        <v>2.6686357149968476</v>
      </c>
      <c r="M124" s="62">
        <f t="shared" ca="1" si="32"/>
        <v>2.4827822042882057</v>
      </c>
      <c r="N124" s="62">
        <f t="shared" ca="1" si="32"/>
        <v>1.9162920751778572</v>
      </c>
      <c r="O124" s="62">
        <f t="shared" ca="1" si="32"/>
        <v>1.7465955970939362</v>
      </c>
      <c r="P124" s="62">
        <f t="shared" ca="1" si="32"/>
        <v>1.5456567636857186</v>
      </c>
      <c r="Q124" s="62">
        <f t="shared" ca="1" si="32"/>
        <v>1.4041824337781319</v>
      </c>
      <c r="R124" s="62">
        <f t="shared" ca="1" si="32"/>
        <v>1.1982333181271514</v>
      </c>
      <c r="S124" s="62">
        <f t="shared" ca="1" si="32"/>
        <v>0.94785484144480248</v>
      </c>
      <c r="T124" s="62">
        <f t="shared" ca="1" si="32"/>
        <v>0.85307725883893493</v>
      </c>
      <c r="U124" s="62">
        <f t="shared" ca="1" si="32"/>
        <v>0.81164677431936971</v>
      </c>
      <c r="V124" s="62" t="str">
        <f t="shared" ca="1" si="32"/>
        <v>N/A</v>
      </c>
      <c r="W124" s="62" t="str">
        <f t="shared" ca="1" si="32"/>
        <v>N/A</v>
      </c>
      <c r="X124" s="62"/>
      <c r="Y124" s="17"/>
      <c r="Z124" s="17"/>
      <c r="AA124" s="17"/>
    </row>
    <row r="125" spans="1:27" x14ac:dyDescent="0.25">
      <c r="A125" s="50" t="str">
        <f t="shared" si="28"/>
        <v>WTRG</v>
      </c>
      <c r="B125" s="45">
        <v>8</v>
      </c>
      <c r="C125" s="1">
        <f ca="1">IF(ISERROR(D125),"",IF(D125="","",MAX($C$121:C124)+1))</f>
        <v>19</v>
      </c>
      <c r="D125" t="str">
        <f t="shared" si="30"/>
        <v>Essential Utilities</v>
      </c>
      <c r="E125" s="22"/>
      <c r="F125" s="62">
        <f ca="1">IFERROR(AVERAGE(G125:W125),"N/A")</f>
        <v>2.6273525591603839</v>
      </c>
      <c r="G125" s="62">
        <f>IFERROR(IF(VLOOKUP($A125,'2022 Data (WP)'!$D$9:$AA$70,18,FALSE)=0,"",VLOOKUP($A125,'2022 Data (WP)'!$D$9:$AA$70,18,FALSE)),"N/A")</f>
        <v>2.2609122118685629</v>
      </c>
      <c r="H125" s="62">
        <f>IFERROR(IF(VLOOKUP($A125,'2021 Data (WP)'!$D$9:$AA$70,18,FALSE)=0,"",VLOOKUP($A125,'2021 Data (WP)'!$D$9:$AA$70,18,FALSE)),"N/A")</f>
        <v>2.3170731707317072</v>
      </c>
      <c r="I125" s="62">
        <f>IFERROR(IF(VLOOKUP($A125,'2020 Data (WP)'!$D$9:$AA$70,18,FALSE)=0,"",VLOOKUP($A125,'2020 Data (WP)'!$D$9:$AA$70,18,FALSE)),"N/A")</f>
        <v>2.2236773179675224</v>
      </c>
      <c r="J125" s="62">
        <f>IFERROR(IF(VLOOKUP("WTR",LUCurYr,18,FALSE)=0,"",VLOOKUP("WTR",LUCurYr,18,FALSE)),"N/A")</f>
        <v>2.2166666666666668</v>
      </c>
      <c r="K125" s="62">
        <f t="shared" ca="1" si="32"/>
        <v>3.11743330674466</v>
      </c>
      <c r="L125" s="62">
        <f t="shared" ca="1" si="32"/>
        <v>3.0225127087872186</v>
      </c>
      <c r="M125" s="62">
        <f t="shared" ca="1" si="32"/>
        <v>3.0203279317288327</v>
      </c>
      <c r="N125" s="62">
        <f t="shared" ca="1" si="32"/>
        <v>2.7414075286415711</v>
      </c>
      <c r="O125" s="62">
        <f t="shared" ca="1" si="32"/>
        <v>2.6877764591649584</v>
      </c>
      <c r="P125" s="62">
        <f t="shared" ca="1" si="32"/>
        <v>2.8479193230555229</v>
      </c>
      <c r="Q125" s="62">
        <f t="shared" ca="1" si="32"/>
        <v>2.4216989492340804</v>
      </c>
      <c r="R125" s="62">
        <f t="shared" ca="1" si="32"/>
        <v>2.4536625971143176</v>
      </c>
      <c r="S125" s="62">
        <f t="shared" ca="1" si="32"/>
        <v>2.228814803935967</v>
      </c>
      <c r="T125" s="62">
        <f t="shared" ca="1" si="32"/>
        <v>2.1886153846153849</v>
      </c>
      <c r="U125" s="62">
        <f t="shared" ca="1" si="32"/>
        <v>2.3274180655475618</v>
      </c>
      <c r="V125" s="62">
        <f t="shared" ca="1" si="32"/>
        <v>3.1012809564474808</v>
      </c>
      <c r="W125" s="62">
        <f t="shared" ca="1" si="32"/>
        <v>3.4877961234745154</v>
      </c>
      <c r="X125" s="62"/>
      <c r="Y125" s="17"/>
      <c r="Z125" s="17"/>
      <c r="AA125" s="17"/>
    </row>
    <row r="126" spans="1:27" x14ac:dyDescent="0.25">
      <c r="A126" s="50" t="str">
        <f t="shared" si="28"/>
        <v>CWT</v>
      </c>
      <c r="B126" s="45">
        <f t="shared" ca="1" si="29"/>
        <v>13</v>
      </c>
      <c r="C126" s="1">
        <f ca="1">IF(ISERROR(D126),"",IF(D126="","",MAX($C$121:C125)+1))</f>
        <v>20</v>
      </c>
      <c r="D126" t="str">
        <f t="shared" ca="1" si="30"/>
        <v>California Water</v>
      </c>
      <c r="E126" s="22"/>
      <c r="F126" s="62">
        <f t="shared" ca="1" si="33"/>
        <v>2.179735013305653</v>
      </c>
      <c r="G126" s="62">
        <f>IFERROR(IF(VLOOKUP($A126,'2022 Data (WP)'!$D$9:$AA$70,18,FALSE)=0,"",VLOOKUP($A126,'2022 Data (WP)'!$D$9:$AA$70,18,FALSE)),"N/A")</f>
        <v>2.5421940928270041</v>
      </c>
      <c r="H126" s="62">
        <f>IFERROR(IF(VLOOKUP($A126,'2021 Data (WP)'!$D$9:$AA$70,18,FALSE)=0,"",VLOOKUP($A126,'2021 Data (WP)'!$D$9:$AA$70,18,FALSE)),"N/A")</f>
        <v>2.8079379562043791</v>
      </c>
      <c r="I126" s="62">
        <f>IFERROR(IF(VLOOKUP($A126,'2020 Data (WP)'!$D$9:$AA$70,18,FALSE)=0,"",VLOOKUP($A126,'2020 Data (WP)'!$D$9:$AA$70,18,FALSE)),"N/A")</f>
        <v>2.653005464480874</v>
      </c>
      <c r="J126" s="62">
        <f t="shared" si="31"/>
        <v>3.2208201892744479</v>
      </c>
      <c r="K126" s="62">
        <f t="shared" ca="1" si="32"/>
        <v>2.7128562964913434</v>
      </c>
      <c r="L126" s="62">
        <f t="shared" ca="1" si="32"/>
        <v>2.6068955967875937</v>
      </c>
      <c r="M126" s="62">
        <f t="shared" ca="1" si="32"/>
        <v>2.1780493126772855</v>
      </c>
      <c r="N126" s="62">
        <f t="shared" ca="1" si="32"/>
        <v>1.7361514948184595</v>
      </c>
      <c r="O126" s="62">
        <f t="shared" ca="1" si="32"/>
        <v>1.7876106194690264</v>
      </c>
      <c r="P126" s="62">
        <f t="shared" ca="1" si="32"/>
        <v>1.6367405517461329</v>
      </c>
      <c r="Q126" s="62">
        <f t="shared" ca="1" si="32"/>
        <v>1.6160935838355193</v>
      </c>
      <c r="R126" s="62">
        <f t="shared" ca="1" si="32"/>
        <v>1.7010318862136282</v>
      </c>
      <c r="S126" s="62">
        <f t="shared" ca="1" si="32"/>
        <v>1.7571032239548456</v>
      </c>
      <c r="T126" s="62">
        <f t="shared" ca="1" si="32"/>
        <v>1.8951421800947865</v>
      </c>
      <c r="U126" s="62">
        <f t="shared" ca="1" si="32"/>
        <v>1.931495577041761</v>
      </c>
      <c r="V126" s="62">
        <f t="shared" ca="1" si="32"/>
        <v>2.1132136678200695</v>
      </c>
      <c r="W126" s="62">
        <f t="shared" ca="1" si="32"/>
        <v>2.1591535324589439</v>
      </c>
      <c r="X126" s="62"/>
      <c r="Y126" s="17"/>
      <c r="Z126" s="17"/>
      <c r="AA126" s="17"/>
    </row>
    <row r="127" spans="1:27" x14ac:dyDescent="0.25">
      <c r="A127" s="50" t="str">
        <f t="shared" si="28"/>
        <v>MSEX</v>
      </c>
      <c r="B127" s="45">
        <f t="shared" ca="1" si="29"/>
        <v>41</v>
      </c>
      <c r="C127" s="1">
        <f ca="1">IF(ISERROR(D127),"",IF(D127="","",MAX($C$121:C126)+1))</f>
        <v>21</v>
      </c>
      <c r="D127" t="str">
        <f t="shared" ca="1" si="30"/>
        <v>Middlesex Water</v>
      </c>
      <c r="E127" s="22"/>
      <c r="F127" s="62">
        <f t="shared" ca="1" si="33"/>
        <v>2.4190182193316279</v>
      </c>
      <c r="G127" s="62">
        <f>IFERROR(IF(VLOOKUP($A127,'2022 Data (WP)'!$D$9:$AA$70,18,FALSE)=0,"",VLOOKUP($A127,'2022 Data (WP)'!$D$9:$AA$70,18,FALSE)),"N/A")</f>
        <v>4.3112582781456963</v>
      </c>
      <c r="H127" s="62">
        <f>IFERROR(IF(VLOOKUP($A127,'2021 Data (WP)'!$D$9:$AA$70,18,FALSE)=0,"",VLOOKUP($A127,'2021 Data (WP)'!$D$9:$AA$70,18,FALSE)),"N/A")</f>
        <v>4.4902334444973802</v>
      </c>
      <c r="I127" s="62">
        <f>IFERROR(IF(VLOOKUP($A127,'2020 Data (WP)'!$D$9:$AA$70,18,FALSE)=0,"",VLOOKUP($A127,'2020 Data (WP)'!$D$9:$AA$70,18,FALSE)),"N/A")</f>
        <v>3.1524482584553257</v>
      </c>
      <c r="J127" s="62">
        <f t="shared" si="31"/>
        <v>3.7802547770700641</v>
      </c>
      <c r="K127" s="62">
        <f t="shared" ca="1" si="32"/>
        <v>2.8658930572954442</v>
      </c>
      <c r="L127" s="62">
        <f t="shared" ca="1" si="32"/>
        <v>2.7950767035319299</v>
      </c>
      <c r="M127" s="62">
        <f t="shared" ca="1" si="32"/>
        <v>2.6402566398090124</v>
      </c>
      <c r="N127" s="62">
        <f t="shared" ca="1" si="32"/>
        <v>1.8301279535285344</v>
      </c>
      <c r="O127" s="62">
        <f t="shared" ca="1" si="32"/>
        <v>1.7072572736188296</v>
      </c>
      <c r="P127" s="62">
        <f t="shared" ca="1" si="32"/>
        <v>1.7164242219215158</v>
      </c>
      <c r="Q127" s="62">
        <f t="shared" ca="1" si="32"/>
        <v>1.6323580633925461</v>
      </c>
      <c r="R127" s="62">
        <f t="shared" ca="1" si="32"/>
        <v>1.6193433895297249</v>
      </c>
      <c r="S127" s="62">
        <f t="shared" ca="1" si="32"/>
        <v>1.5358426158821417</v>
      </c>
      <c r="T127" s="62">
        <f t="shared" ca="1" si="32"/>
        <v>1.4650014522218995</v>
      </c>
      <c r="U127" s="62">
        <f t="shared" ca="1" si="32"/>
        <v>1.7570046864094127</v>
      </c>
      <c r="V127" s="62">
        <f t="shared" ca="1" si="32"/>
        <v>1.8681121941515815</v>
      </c>
      <c r="W127" s="62">
        <f t="shared" ca="1" si="32"/>
        <v>1.9564167191766437</v>
      </c>
      <c r="X127" s="62"/>
      <c r="Y127" s="17"/>
      <c r="Z127" s="17"/>
      <c r="AA127" s="17"/>
    </row>
    <row r="128" spans="1:27" x14ac:dyDescent="0.25">
      <c r="A128" s="50" t="str">
        <f t="shared" si="28"/>
        <v>SJW</v>
      </c>
      <c r="B128" s="45">
        <f t="shared" ca="1" si="29"/>
        <v>60</v>
      </c>
      <c r="C128" s="1">
        <f ca="1">IF(ISERROR(D128),"",IF(D128="","",MAX($C$121:C127)+1))</f>
        <v>22</v>
      </c>
      <c r="D128" t="str">
        <f t="shared" ca="1" si="30"/>
        <v>SJW Corp.</v>
      </c>
      <c r="E128" s="22"/>
      <c r="F128" s="62">
        <f t="shared" ca="1" si="33"/>
        <v>1.924757607910045</v>
      </c>
      <c r="G128" s="62">
        <f>IFERROR(IF(VLOOKUP($A128,'2022 Data (WP)'!$D$9:$AA$70,18,FALSE)=0,"",VLOOKUP($A128,'2022 Data (WP)'!$D$9:$AA$70,18,FALSE)),"N/A")</f>
        <v>1.935662784248475</v>
      </c>
      <c r="H128" s="62">
        <f>IFERROR(IF(VLOOKUP($A128,'2021 Data (WP)'!$D$9:$AA$70,18,FALSE)=0,"",VLOOKUP($A128,'2021 Data (WP)'!$D$9:$AA$70,18,FALSE)),"N/A")</f>
        <v>1.9209451575262542</v>
      </c>
      <c r="I128" s="62">
        <f>IFERROR(IF(VLOOKUP($A128,'2020 Data (WP)'!$D$9:$AA$70,18,FALSE)=0,"",VLOOKUP($A128,'2020 Data (WP)'!$D$9:$AA$70,18,FALSE)),"N/A")</f>
        <v>1.8773349937733499</v>
      </c>
      <c r="J128" s="62">
        <f t="shared" si="31"/>
        <v>2.0576923076923079</v>
      </c>
      <c r="K128" s="62">
        <f t="shared" ca="1" si="32"/>
        <v>1.9035421124916156</v>
      </c>
      <c r="L128" s="62">
        <f t="shared" ca="1" si="32"/>
        <v>2.3872496898812687</v>
      </c>
      <c r="M128" s="62">
        <f t="shared" ca="1" si="32"/>
        <v>1.9545410440520086</v>
      </c>
      <c r="N128" s="62">
        <f t="shared" ca="1" si="32"/>
        <v>1.635050451407329</v>
      </c>
      <c r="O128" s="62">
        <f t="shared" ca="1" si="32"/>
        <v>1.6007435363037232</v>
      </c>
      <c r="P128" s="62">
        <f t="shared" ca="1" si="32"/>
        <v>1.7117558402411455</v>
      </c>
      <c r="Q128" s="62">
        <f t="shared" ca="1" si="32"/>
        <v>1.6339407125373946</v>
      </c>
      <c r="R128" s="62">
        <f t="shared" ca="1" si="32"/>
        <v>1.6552574124938375</v>
      </c>
      <c r="S128" s="62">
        <f t="shared" ca="1" si="32"/>
        <v>1.7795155306612354</v>
      </c>
      <c r="T128" s="62">
        <f t="shared" ca="1" si="32"/>
        <v>1.6996047430830037</v>
      </c>
      <c r="U128" s="62">
        <f t="shared" ca="1" si="32"/>
        <v>2.0325877224326447</v>
      </c>
      <c r="V128" s="62">
        <f t="shared" ca="1" si="32"/>
        <v>2.6940483570985743</v>
      </c>
      <c r="W128" s="62">
        <f t="shared" ca="1" si="32"/>
        <v>2.2414069385465911</v>
      </c>
      <c r="X128" s="62"/>
      <c r="Y128" s="17"/>
      <c r="Z128" s="17"/>
      <c r="AA128" s="17"/>
    </row>
    <row r="129" spans="1:27" hidden="1" x14ac:dyDescent="0.25">
      <c r="A129" s="50"/>
      <c r="B129" s="45" t="e">
        <f t="shared" ca="1" si="29"/>
        <v>#N/A</v>
      </c>
      <c r="C129" s="1" t="str">
        <f>IF(ISERROR(D129),"",IF(D129="","",MAX($C$121:C128)+1))</f>
        <v/>
      </c>
      <c r="D129" t="e">
        <f t="shared" si="30"/>
        <v>#N/A</v>
      </c>
      <c r="E129" s="22"/>
      <c r="F129" s="62" t="str">
        <f t="shared" ca="1" si="33"/>
        <v>N/A</v>
      </c>
      <c r="G129" s="62" t="str">
        <f>IFERROR(IF(VLOOKUP($A129,'2022 Data (WP)'!$D$9:$AA$70,18,FALSE)=0,"",VLOOKUP($A129,'2022 Data (WP)'!$D$9:$AA$70,18,FALSE)),"N/A")</f>
        <v>N/A</v>
      </c>
      <c r="H129" s="62" t="str">
        <f>IFERROR(IF(VLOOKUP($A129,'2021 Data (WP)'!$D$9:$AA$70,18,FALSE)=0,"",VLOOKUP($A129,'2021 Data (WP)'!$D$9:$AA$70,18,FALSE)),"N/A")</f>
        <v>N/A</v>
      </c>
      <c r="I129" s="62" t="str">
        <f>IFERROR(IF(VLOOKUP($A129,'2020 Data (WP)'!$D$9:$AA$70,18,FALSE)=0,"",VLOOKUP($A129,'2020 Data (WP)'!$D$9:$AA$70,18,FALSE)),"N/A")</f>
        <v>N/A</v>
      </c>
      <c r="J129" s="62" t="str">
        <f t="shared" si="31"/>
        <v>N/A</v>
      </c>
      <c r="K129" s="62" t="str">
        <f t="shared" ca="1" si="32"/>
        <v>N/A</v>
      </c>
      <c r="L129" s="62" t="str">
        <f t="shared" ca="1" si="32"/>
        <v>N/A</v>
      </c>
      <c r="M129" s="62" t="str">
        <f t="shared" ca="1" si="32"/>
        <v>N/A</v>
      </c>
      <c r="N129" s="62" t="str">
        <f t="shared" ca="1" si="32"/>
        <v>N/A</v>
      </c>
      <c r="O129" s="62" t="str">
        <f t="shared" ca="1" si="32"/>
        <v>N/A</v>
      </c>
      <c r="P129" s="62" t="str">
        <f t="shared" ca="1" si="32"/>
        <v>N/A</v>
      </c>
      <c r="Q129" s="62" t="str">
        <f t="shared" ca="1" si="32"/>
        <v>N/A</v>
      </c>
      <c r="R129" s="62" t="str">
        <f t="shared" ca="1" si="32"/>
        <v>N/A</v>
      </c>
      <c r="S129" s="62" t="str">
        <f t="shared" ca="1" si="32"/>
        <v>N/A</v>
      </c>
      <c r="T129" s="62" t="str">
        <f t="shared" ca="1" si="32"/>
        <v>N/A</v>
      </c>
      <c r="U129" s="62" t="str">
        <f t="shared" ca="1" si="32"/>
        <v>N/A</v>
      </c>
      <c r="V129" s="62" t="str">
        <f t="shared" ca="1" si="32"/>
        <v>N/A</v>
      </c>
      <c r="W129" s="62" t="str">
        <f t="shared" ca="1" si="32"/>
        <v>N/A</v>
      </c>
      <c r="X129" s="62"/>
      <c r="Y129" s="17"/>
      <c r="Z129" s="17"/>
      <c r="AA129" s="17"/>
    </row>
    <row r="130" spans="1:27" hidden="1" x14ac:dyDescent="0.25">
      <c r="A130" s="50"/>
      <c r="B130" s="45" t="e">
        <f t="shared" ca="1" si="29"/>
        <v>#N/A</v>
      </c>
      <c r="C130" s="1" t="str">
        <f>IF(ISERROR(D130),"",IF(D130="","",MAX($C$121:C129)+1))</f>
        <v/>
      </c>
      <c r="D130" t="e">
        <f t="shared" si="30"/>
        <v>#N/A</v>
      </c>
      <c r="E130" s="22"/>
      <c r="F130" s="62" t="str">
        <f t="shared" ca="1" si="33"/>
        <v>N/A</v>
      </c>
      <c r="G130" s="62" t="str">
        <f>IFERROR(IF(VLOOKUP($A130,'2022 Data (WP)'!$D$9:$AA$70,18,FALSE)=0,"",VLOOKUP($A130,'2022 Data (WP)'!$D$9:$AA$70,18,FALSE)),"N/A")</f>
        <v>N/A</v>
      </c>
      <c r="H130" s="62" t="str">
        <f>IFERROR(IF(VLOOKUP($A130,'2021 Data (WP)'!$D$9:$AA$70,18,FALSE)=0,"",VLOOKUP($A130,'2021 Data (WP)'!$D$9:$AA$70,18,FALSE)),"N/A")</f>
        <v>N/A</v>
      </c>
      <c r="I130" s="62" t="str">
        <f>IFERROR(IF(VLOOKUP($A130,'2020 Data (WP)'!$D$9:$AA$70,18,FALSE)=0,"",VLOOKUP($A130,'2020 Data (WP)'!$D$9:$AA$70,18,FALSE)),"N/A")</f>
        <v>N/A</v>
      </c>
      <c r="J130" s="62" t="str">
        <f t="shared" si="31"/>
        <v>N/A</v>
      </c>
      <c r="K130" s="62" t="str">
        <f t="shared" ca="1" si="32"/>
        <v>N/A</v>
      </c>
      <c r="L130" s="62" t="str">
        <f t="shared" ca="1" si="32"/>
        <v>N/A</v>
      </c>
      <c r="M130" s="62" t="str">
        <f t="shared" ca="1" si="32"/>
        <v>N/A</v>
      </c>
      <c r="N130" s="62" t="str">
        <f t="shared" ca="1" si="32"/>
        <v>N/A</v>
      </c>
      <c r="O130" s="62" t="str">
        <f t="shared" ca="1" si="32"/>
        <v>N/A</v>
      </c>
      <c r="P130" s="62" t="str">
        <f t="shared" ca="1" si="32"/>
        <v>N/A</v>
      </c>
      <c r="Q130" s="62" t="str">
        <f t="shared" ca="1" si="32"/>
        <v>N/A</v>
      </c>
      <c r="R130" s="62" t="str">
        <f t="shared" ca="1" si="32"/>
        <v>N/A</v>
      </c>
      <c r="S130" s="62" t="str">
        <f t="shared" ca="1" si="32"/>
        <v>N/A</v>
      </c>
      <c r="T130" s="62" t="str">
        <f t="shared" ca="1" si="32"/>
        <v>N/A</v>
      </c>
      <c r="U130" s="62" t="str">
        <f t="shared" ca="1" si="32"/>
        <v>N/A</v>
      </c>
      <c r="V130" s="62" t="str">
        <f t="shared" ca="1" si="32"/>
        <v>N/A</v>
      </c>
      <c r="W130" s="62" t="str">
        <f t="shared" ca="1" si="32"/>
        <v>N/A</v>
      </c>
      <c r="X130" s="62"/>
      <c r="Y130" s="17"/>
      <c r="Z130" s="17"/>
      <c r="AA130" s="17"/>
    </row>
    <row r="131" spans="1:27" hidden="1" x14ac:dyDescent="0.25">
      <c r="A131" s="50">
        <f t="shared" si="28"/>
        <v>0</v>
      </c>
      <c r="B131" s="45" t="e">
        <f t="shared" ca="1" si="29"/>
        <v>#N/A</v>
      </c>
      <c r="C131" s="1" t="str">
        <f>IF(ISERROR(D131),"",IF(D131="","",MAX($C$121:C130)+1))</f>
        <v/>
      </c>
      <c r="D131" t="e">
        <f t="shared" si="30"/>
        <v>#N/A</v>
      </c>
      <c r="E131" s="22"/>
      <c r="F131" s="62" t="str">
        <f t="shared" ca="1" si="33"/>
        <v>N/A</v>
      </c>
      <c r="G131" s="62" t="str">
        <f>IFERROR(IF(VLOOKUP($A131,'2022 Data (WP)'!$D$9:$AA$70,18,FALSE)=0,"",VLOOKUP($A131,'2022 Data (WP)'!$D$9:$AA$70,18,FALSE)),"N/A")</f>
        <v>N/A</v>
      </c>
      <c r="H131" s="62" t="str">
        <f>IFERROR(IF(VLOOKUP($A131,'2021 Data (WP)'!$D$9:$AA$70,18,FALSE)=0,"",VLOOKUP($A131,'2021 Data (WP)'!$D$9:$AA$70,18,FALSE)),"N/A")</f>
        <v>N/A</v>
      </c>
      <c r="I131" s="62" t="str">
        <f>IFERROR(IF(VLOOKUP($A131,'2020 Data (WP)'!$D$9:$AA$70,18,FALSE)=0,"",VLOOKUP($A131,'2020 Data (WP)'!$D$9:$AA$70,18,FALSE)),"N/A")</f>
        <v>N/A</v>
      </c>
      <c r="J131" s="62" t="str">
        <f t="shared" si="31"/>
        <v>N/A</v>
      </c>
      <c r="K131" s="62" t="str">
        <f t="shared" ca="1" si="32"/>
        <v>N/A</v>
      </c>
      <c r="L131" s="62" t="str">
        <f t="shared" ca="1" si="32"/>
        <v>N/A</v>
      </c>
      <c r="M131" s="62" t="str">
        <f t="shared" ca="1" si="32"/>
        <v>N/A</v>
      </c>
      <c r="N131" s="62" t="str">
        <f t="shared" ca="1" si="32"/>
        <v>N/A</v>
      </c>
      <c r="O131" s="62" t="str">
        <f t="shared" ca="1" si="32"/>
        <v>N/A</v>
      </c>
      <c r="P131" s="62" t="str">
        <f t="shared" ca="1" si="32"/>
        <v>N/A</v>
      </c>
      <c r="Q131" s="62" t="str">
        <f t="shared" ca="1" si="32"/>
        <v>N/A</v>
      </c>
      <c r="R131" s="62" t="str">
        <f t="shared" ca="1" si="32"/>
        <v>N/A</v>
      </c>
      <c r="S131" s="62" t="str">
        <f t="shared" ca="1" si="32"/>
        <v>N/A</v>
      </c>
      <c r="T131" s="62" t="str">
        <f t="shared" ca="1" si="32"/>
        <v>N/A</v>
      </c>
      <c r="U131" s="62" t="str">
        <f t="shared" ca="1" si="32"/>
        <v>N/A</v>
      </c>
      <c r="V131" s="62" t="str">
        <f t="shared" ca="1" si="32"/>
        <v>N/A</v>
      </c>
      <c r="W131" s="62" t="str">
        <f t="shared" ca="1" si="32"/>
        <v>N/A</v>
      </c>
      <c r="X131" s="62"/>
      <c r="Y131" s="17"/>
      <c r="Z131" s="17"/>
      <c r="AA131" s="17"/>
    </row>
    <row r="132" spans="1:27" hidden="1" x14ac:dyDescent="0.25">
      <c r="A132" s="50">
        <f t="shared" si="28"/>
        <v>0</v>
      </c>
      <c r="B132" s="45" t="e">
        <f t="shared" ca="1" si="29"/>
        <v>#N/A</v>
      </c>
      <c r="C132" s="1" t="str">
        <f>IF(ISERROR(D132),"",IF(D132="","",MAX($C$121:C131)+1))</f>
        <v/>
      </c>
      <c r="D132" t="e">
        <f t="shared" si="30"/>
        <v>#N/A</v>
      </c>
      <c r="E132" s="22"/>
      <c r="F132" s="62" t="str">
        <f t="shared" ca="1" si="33"/>
        <v>N/A</v>
      </c>
      <c r="G132" s="62" t="str">
        <f>IFERROR(IF(VLOOKUP($A132,'2022 Data (WP)'!$D$9:$AA$70,18,FALSE)=0,"",VLOOKUP($A132,'2022 Data (WP)'!$D$9:$AA$70,18,FALSE)),"N/A")</f>
        <v>N/A</v>
      </c>
      <c r="H132" s="62" t="str">
        <f>IFERROR(IF(VLOOKUP($A132,'2021 Data (WP)'!$D$9:$AA$70,18,FALSE)=0,"",VLOOKUP($A132,'2021 Data (WP)'!$D$9:$AA$70,18,FALSE)),"N/A")</f>
        <v>N/A</v>
      </c>
      <c r="I132" s="62" t="str">
        <f>IFERROR(IF(VLOOKUP($A132,'2020 Data (WP)'!$D$9:$AA$70,18,FALSE)=0,"",VLOOKUP($A132,'2020 Data (WP)'!$D$9:$AA$70,18,FALSE)),"N/A")</f>
        <v>N/A</v>
      </c>
      <c r="J132" s="62" t="str">
        <f t="shared" si="31"/>
        <v>N/A</v>
      </c>
      <c r="K132" s="62" t="str">
        <f t="shared" ca="1" si="32"/>
        <v>N/A</v>
      </c>
      <c r="L132" s="62" t="str">
        <f t="shared" ca="1" si="32"/>
        <v>N/A</v>
      </c>
      <c r="M132" s="62" t="str">
        <f t="shared" ca="1" si="32"/>
        <v>N/A</v>
      </c>
      <c r="N132" s="62" t="str">
        <f t="shared" ca="1" si="32"/>
        <v>N/A</v>
      </c>
      <c r="O132" s="62" t="str">
        <f t="shared" ca="1" si="32"/>
        <v>N/A</v>
      </c>
      <c r="P132" s="62" t="str">
        <f t="shared" ca="1" si="32"/>
        <v>N/A</v>
      </c>
      <c r="Q132" s="62" t="str">
        <f t="shared" ca="1" si="32"/>
        <v>N/A</v>
      </c>
      <c r="R132" s="62" t="str">
        <f t="shared" ca="1" si="32"/>
        <v>N/A</v>
      </c>
      <c r="S132" s="62" t="str">
        <f t="shared" ca="1" si="32"/>
        <v>N/A</v>
      </c>
      <c r="T132" s="62" t="str">
        <f t="shared" ca="1" si="32"/>
        <v>N/A</v>
      </c>
      <c r="U132" s="62" t="str">
        <f t="shared" ca="1" si="32"/>
        <v>N/A</v>
      </c>
      <c r="V132" s="62" t="str">
        <f t="shared" ca="1" si="32"/>
        <v>N/A</v>
      </c>
      <c r="W132" s="62" t="str">
        <f t="shared" ca="1" si="32"/>
        <v>N/A</v>
      </c>
      <c r="X132" s="62"/>
      <c r="Y132" s="17"/>
      <c r="Z132" s="17"/>
      <c r="AA132" s="17"/>
    </row>
    <row r="133" spans="1:27" hidden="1" x14ac:dyDescent="0.25">
      <c r="A133" s="50">
        <f t="shared" si="28"/>
        <v>0</v>
      </c>
      <c r="B133" s="45" t="e">
        <f t="shared" ca="1" si="29"/>
        <v>#N/A</v>
      </c>
      <c r="C133" s="1" t="str">
        <f>IF(ISERROR(D133),"",IF(D133="","",MAX($C$121:C132)+1))</f>
        <v/>
      </c>
      <c r="D133" t="e">
        <f t="shared" si="30"/>
        <v>#N/A</v>
      </c>
      <c r="E133" s="22"/>
      <c r="F133" s="62" t="str">
        <f t="shared" ca="1" si="33"/>
        <v>N/A</v>
      </c>
      <c r="G133" s="62" t="str">
        <f>IFERROR(IF(VLOOKUP($A133,'2022 Data (WP)'!$D$9:$AA$70,18,FALSE)=0,"",VLOOKUP($A133,'2022 Data (WP)'!$D$9:$AA$70,18,FALSE)),"N/A")</f>
        <v>N/A</v>
      </c>
      <c r="H133" s="62" t="str">
        <f>IFERROR(IF(VLOOKUP($A133,'2021 Data (WP)'!$D$9:$AA$70,18,FALSE)=0,"",VLOOKUP($A133,'2021 Data (WP)'!$D$9:$AA$70,18,FALSE)),"N/A")</f>
        <v>N/A</v>
      </c>
      <c r="I133" s="62" t="str">
        <f>IFERROR(IF(VLOOKUP($A133,'2020 Data (WP)'!$D$9:$AA$70,18,FALSE)=0,"",VLOOKUP($A133,'2020 Data (WP)'!$D$9:$AA$70,18,FALSE)),"N/A")</f>
        <v>N/A</v>
      </c>
      <c r="J133" s="62" t="str">
        <f t="shared" si="31"/>
        <v>N/A</v>
      </c>
      <c r="K133" s="62" t="str">
        <f t="shared" ca="1" si="32"/>
        <v>N/A</v>
      </c>
      <c r="L133" s="62" t="str">
        <f t="shared" ca="1" si="32"/>
        <v>N/A</v>
      </c>
      <c r="M133" s="62" t="str">
        <f t="shared" ca="1" si="32"/>
        <v>N/A</v>
      </c>
      <c r="N133" s="62" t="str">
        <f t="shared" ca="1" si="32"/>
        <v>N/A</v>
      </c>
      <c r="O133" s="62" t="str">
        <f t="shared" ca="1" si="32"/>
        <v>N/A</v>
      </c>
      <c r="P133" s="62" t="str">
        <f t="shared" ca="1" si="32"/>
        <v>N/A</v>
      </c>
      <c r="Q133" s="62" t="str">
        <f t="shared" ca="1" si="32"/>
        <v>N/A</v>
      </c>
      <c r="R133" s="62" t="str">
        <f t="shared" ca="1" si="32"/>
        <v>N/A</v>
      </c>
      <c r="S133" s="62" t="str">
        <f t="shared" ca="1" si="32"/>
        <v>N/A</v>
      </c>
      <c r="T133" s="62" t="str">
        <f t="shared" ca="1" si="32"/>
        <v>N/A</v>
      </c>
      <c r="U133" s="62" t="str">
        <f t="shared" ca="1" si="32"/>
        <v>N/A</v>
      </c>
      <c r="V133" s="62" t="str">
        <f t="shared" ca="1" si="32"/>
        <v>N/A</v>
      </c>
      <c r="W133" s="62" t="str">
        <f t="shared" ca="1" si="32"/>
        <v>N/A</v>
      </c>
      <c r="X133" s="62"/>
      <c r="Y133" s="17"/>
      <c r="Z133" s="17"/>
      <c r="AA133" s="17"/>
    </row>
    <row r="134" spans="1:27" hidden="1" x14ac:dyDescent="0.25">
      <c r="A134" s="50">
        <f t="shared" si="28"/>
        <v>0</v>
      </c>
      <c r="B134" s="45" t="e">
        <f t="shared" ca="1" si="29"/>
        <v>#N/A</v>
      </c>
      <c r="C134" s="1" t="str">
        <f>IF(ISERROR(D134),"",IF(D134="","",MAX($C$121:C133)+1))</f>
        <v/>
      </c>
      <c r="D134" t="e">
        <f t="shared" si="30"/>
        <v>#N/A</v>
      </c>
      <c r="E134" s="22"/>
      <c r="F134" s="62" t="str">
        <f t="shared" ca="1" si="33"/>
        <v>N/A</v>
      </c>
      <c r="G134" s="62" t="str">
        <f>IFERROR(IF(VLOOKUP($A134,'2022 Data (WP)'!$D$9:$AA$70,18,FALSE)=0,"",VLOOKUP($A134,'2022 Data (WP)'!$D$9:$AA$70,18,FALSE)),"N/A")</f>
        <v>N/A</v>
      </c>
      <c r="H134" s="62" t="str">
        <f>IFERROR(IF(VLOOKUP($A134,'2021 Data (WP)'!$D$9:$AA$70,18,FALSE)=0,"",VLOOKUP($A134,'2021 Data (WP)'!$D$9:$AA$70,18,FALSE)),"N/A")</f>
        <v>N/A</v>
      </c>
      <c r="I134" s="62" t="str">
        <f>IFERROR(IF(VLOOKUP($A134,'2020 Data (WP)'!$D$9:$AA$70,18,FALSE)=0,"",VLOOKUP($A134,'2020 Data (WP)'!$D$9:$AA$70,18,FALSE)),"N/A")</f>
        <v>N/A</v>
      </c>
      <c r="J134" s="62" t="str">
        <f t="shared" si="31"/>
        <v>N/A</v>
      </c>
      <c r="K134" s="62" t="str">
        <f t="shared" ref="K134:K167" si="34">IFERROR(IF(VLOOKUP(A134,LUCurYr,18,FALSE)=0,"",VLOOKUP(A134,LUCurYr,18,FALSE)),"N/A")</f>
        <v>N/A</v>
      </c>
      <c r="L134" s="62"/>
      <c r="M134" s="62" t="str">
        <f t="shared" ca="1" si="32"/>
        <v>N/A</v>
      </c>
      <c r="N134" s="62" t="str">
        <f t="shared" ca="1" si="32"/>
        <v>N/A</v>
      </c>
      <c r="O134" s="62" t="str">
        <f t="shared" ca="1" si="32"/>
        <v>N/A</v>
      </c>
      <c r="P134" s="62" t="str">
        <f t="shared" ca="1" si="32"/>
        <v>N/A</v>
      </c>
      <c r="Q134" s="62" t="str">
        <f t="shared" ca="1" si="32"/>
        <v>N/A</v>
      </c>
      <c r="R134" s="62" t="str">
        <f t="shared" ca="1" si="32"/>
        <v>N/A</v>
      </c>
      <c r="S134" s="62" t="str">
        <f t="shared" ca="1" si="32"/>
        <v>N/A</v>
      </c>
      <c r="T134" s="62" t="str">
        <f t="shared" ca="1" si="32"/>
        <v>N/A</v>
      </c>
      <c r="U134" s="62" t="str">
        <f t="shared" ca="1" si="32"/>
        <v>N/A</v>
      </c>
      <c r="V134" s="62" t="str">
        <f t="shared" ca="1" si="32"/>
        <v>N/A</v>
      </c>
      <c r="W134" s="62" t="str">
        <f t="shared" ca="1" si="32"/>
        <v>N/A</v>
      </c>
      <c r="X134" s="62"/>
      <c r="Y134" s="17"/>
      <c r="Z134" s="17"/>
      <c r="AA134" s="17"/>
    </row>
    <row r="135" spans="1:27" hidden="1" x14ac:dyDescent="0.25">
      <c r="A135" s="50">
        <f t="shared" si="28"/>
        <v>0</v>
      </c>
      <c r="B135" s="45" t="e">
        <f t="shared" ca="1" si="29"/>
        <v>#N/A</v>
      </c>
      <c r="C135" s="1" t="str">
        <f>IF(ISERROR(D135),"",IF(D135="","",MAX($C$121:C134)+1))</f>
        <v/>
      </c>
      <c r="D135" t="e">
        <f t="shared" si="30"/>
        <v>#N/A</v>
      </c>
      <c r="E135" s="22"/>
      <c r="F135" s="62" t="str">
        <f t="shared" ca="1" si="33"/>
        <v>N/A</v>
      </c>
      <c r="G135" s="62" t="str">
        <f>IFERROR(IF(VLOOKUP($A135,'2022 Data (WP)'!$D$9:$AA$70,18,FALSE)=0,"",VLOOKUP($A135,'2022 Data (WP)'!$D$9:$AA$70,18,FALSE)),"N/A")</f>
        <v>N/A</v>
      </c>
      <c r="H135" s="62" t="str">
        <f>IFERROR(IF(VLOOKUP($A135,'2021 Data (WP)'!$D$9:$AA$70,18,FALSE)=0,"",VLOOKUP($A135,'2021 Data (WP)'!$D$9:$AA$70,18,FALSE)),"N/A")</f>
        <v>N/A</v>
      </c>
      <c r="I135" s="62" t="str">
        <f>IFERROR(IF(VLOOKUP($A135,'2020 Data (WP)'!$D$9:$AA$70,18,FALSE)=0,"",VLOOKUP($A135,'2020 Data (WP)'!$D$9:$AA$70,18,FALSE)),"N/A")</f>
        <v>N/A</v>
      </c>
      <c r="J135" s="62" t="str">
        <f t="shared" si="31"/>
        <v>N/A</v>
      </c>
      <c r="K135" s="62" t="str">
        <f t="shared" si="34"/>
        <v>N/A</v>
      </c>
      <c r="L135" s="62"/>
      <c r="M135" s="62" t="str">
        <f t="shared" ca="1" si="32"/>
        <v>N/A</v>
      </c>
      <c r="N135" s="62" t="str">
        <f t="shared" ca="1" si="32"/>
        <v>N/A</v>
      </c>
      <c r="O135" s="62" t="str">
        <f t="shared" ca="1" si="32"/>
        <v>N/A</v>
      </c>
      <c r="P135" s="62" t="str">
        <f t="shared" ca="1" si="32"/>
        <v>N/A</v>
      </c>
      <c r="Q135" s="62" t="str">
        <f t="shared" ca="1" si="32"/>
        <v>N/A</v>
      </c>
      <c r="R135" s="62" t="str">
        <f t="shared" ca="1" si="32"/>
        <v>N/A</v>
      </c>
      <c r="S135" s="62" t="str">
        <f t="shared" ca="1" si="32"/>
        <v>N/A</v>
      </c>
      <c r="T135" s="62" t="str">
        <f t="shared" ca="1" si="32"/>
        <v>N/A</v>
      </c>
      <c r="U135" s="62" t="str">
        <f t="shared" ca="1" si="32"/>
        <v>N/A</v>
      </c>
      <c r="V135" s="62" t="str">
        <f t="shared" ca="1" si="32"/>
        <v>N/A</v>
      </c>
      <c r="W135" s="62" t="str">
        <f t="shared" ca="1" si="32"/>
        <v>N/A</v>
      </c>
      <c r="X135" s="62"/>
      <c r="Y135" s="17"/>
      <c r="Z135" s="17"/>
      <c r="AA135" s="17"/>
    </row>
    <row r="136" spans="1:27" hidden="1" x14ac:dyDescent="0.25">
      <c r="A136" s="50">
        <f t="shared" si="28"/>
        <v>0</v>
      </c>
      <c r="B136" s="45" t="e">
        <f t="shared" ca="1" si="29"/>
        <v>#N/A</v>
      </c>
      <c r="C136" s="1" t="str">
        <f>IF(ISERROR(D136),"",IF(D136="","",MAX($C$121:C135)+1))</f>
        <v/>
      </c>
      <c r="D136" t="e">
        <f t="shared" si="30"/>
        <v>#N/A</v>
      </c>
      <c r="E136" s="22"/>
      <c r="F136" s="62" t="str">
        <f t="shared" ca="1" si="33"/>
        <v>N/A</v>
      </c>
      <c r="G136" s="62" t="str">
        <f>IFERROR(IF(VLOOKUP($A136,'2022 Data (WP)'!$D$9:$AA$70,18,FALSE)=0,"",VLOOKUP($A136,'2022 Data (WP)'!$D$9:$AA$70,18,FALSE)),"N/A")</f>
        <v>N/A</v>
      </c>
      <c r="H136" s="62" t="str">
        <f>IFERROR(IF(VLOOKUP($A136,'2021 Data (WP)'!$D$9:$AA$70,18,FALSE)=0,"",VLOOKUP($A136,'2021 Data (WP)'!$D$9:$AA$70,18,FALSE)),"N/A")</f>
        <v>N/A</v>
      </c>
      <c r="I136" s="62" t="str">
        <f>IFERROR(IF(VLOOKUP($A136,'2020 Data (WP)'!$D$9:$AA$70,18,FALSE)=0,"",VLOOKUP($A136,'2020 Data (WP)'!$D$9:$AA$70,18,FALSE)),"N/A")</f>
        <v>N/A</v>
      </c>
      <c r="J136" s="62" t="str">
        <f t="shared" si="31"/>
        <v>N/A</v>
      </c>
      <c r="K136" s="62" t="str">
        <f t="shared" si="34"/>
        <v>N/A</v>
      </c>
      <c r="L136" s="62"/>
      <c r="M136" s="62" t="str">
        <f t="shared" ca="1" si="32"/>
        <v>N/A</v>
      </c>
      <c r="N136" s="62" t="str">
        <f t="shared" ca="1" si="32"/>
        <v>N/A</v>
      </c>
      <c r="O136" s="62" t="str">
        <f t="shared" ca="1" si="32"/>
        <v>N/A</v>
      </c>
      <c r="P136" s="62" t="str">
        <f t="shared" ca="1" si="32"/>
        <v>N/A</v>
      </c>
      <c r="Q136" s="62" t="str">
        <f t="shared" ca="1" si="32"/>
        <v>N/A</v>
      </c>
      <c r="R136" s="62" t="str">
        <f t="shared" ca="1" si="32"/>
        <v>N/A</v>
      </c>
      <c r="S136" s="62" t="str">
        <f t="shared" ca="1" si="32"/>
        <v>N/A</v>
      </c>
      <c r="T136" s="62" t="str">
        <f t="shared" ca="1" si="32"/>
        <v>N/A</v>
      </c>
      <c r="U136" s="62" t="str">
        <f t="shared" ca="1" si="32"/>
        <v>N/A</v>
      </c>
      <c r="V136" s="62" t="str">
        <f t="shared" ca="1" si="32"/>
        <v>N/A</v>
      </c>
      <c r="W136" s="62" t="str">
        <f t="shared" ca="1" si="32"/>
        <v>N/A</v>
      </c>
      <c r="X136" s="62"/>
      <c r="Y136" s="17"/>
      <c r="Z136" s="17"/>
      <c r="AA136" s="17"/>
    </row>
    <row r="137" spans="1:27" hidden="1" x14ac:dyDescent="0.25">
      <c r="A137" s="50">
        <f t="shared" si="28"/>
        <v>0</v>
      </c>
      <c r="B137" s="45" t="e">
        <f t="shared" ca="1" si="29"/>
        <v>#N/A</v>
      </c>
      <c r="C137" s="1" t="str">
        <f>IF(ISERROR(D137),"",IF(D137="","",MAX($C$121:C136)+1))</f>
        <v/>
      </c>
      <c r="D137" t="e">
        <f t="shared" si="30"/>
        <v>#N/A</v>
      </c>
      <c r="E137" s="22"/>
      <c r="F137" s="62" t="str">
        <f t="shared" ca="1" si="33"/>
        <v>N/A</v>
      </c>
      <c r="G137" s="62" t="str">
        <f>IFERROR(IF(VLOOKUP($A137,'2022 Data (WP)'!$D$9:$AA$70,18,FALSE)=0,"",VLOOKUP($A137,'2022 Data (WP)'!$D$9:$AA$70,18,FALSE)),"N/A")</f>
        <v>N/A</v>
      </c>
      <c r="H137" s="62" t="str">
        <f>IFERROR(IF(VLOOKUP($A137,'2021 Data (WP)'!$D$9:$AA$70,18,FALSE)=0,"",VLOOKUP($A137,'2021 Data (WP)'!$D$9:$AA$70,18,FALSE)),"N/A")</f>
        <v>N/A</v>
      </c>
      <c r="I137" s="62" t="str">
        <f>IFERROR(IF(VLOOKUP($A137,'2020 Data (WP)'!$D$9:$AA$70,18,FALSE)=0,"",VLOOKUP($A137,'2020 Data (WP)'!$D$9:$AA$70,18,FALSE)),"N/A")</f>
        <v>N/A</v>
      </c>
      <c r="J137" s="62" t="str">
        <f t="shared" si="31"/>
        <v>N/A</v>
      </c>
      <c r="K137" s="62" t="str">
        <f t="shared" si="34"/>
        <v>N/A</v>
      </c>
      <c r="L137" s="62"/>
      <c r="M137" s="62" t="str">
        <f t="shared" ca="1" si="32"/>
        <v>N/A</v>
      </c>
      <c r="N137" s="62" t="str">
        <f t="shared" ca="1" si="32"/>
        <v>N/A</v>
      </c>
      <c r="O137" s="62" t="str">
        <f t="shared" ca="1" si="32"/>
        <v>N/A</v>
      </c>
      <c r="P137" s="62" t="str">
        <f t="shared" ca="1" si="32"/>
        <v>N/A</v>
      </c>
      <c r="Q137" s="62" t="str">
        <f t="shared" ca="1" si="32"/>
        <v>N/A</v>
      </c>
      <c r="R137" s="62" t="str">
        <f t="shared" ca="1" si="32"/>
        <v>N/A</v>
      </c>
      <c r="S137" s="62" t="str">
        <f t="shared" ca="1" si="32"/>
        <v>N/A</v>
      </c>
      <c r="T137" s="62" t="str">
        <f t="shared" ca="1" si="32"/>
        <v>N/A</v>
      </c>
      <c r="U137" s="62" t="str">
        <f t="shared" ca="1" si="32"/>
        <v>N/A</v>
      </c>
      <c r="V137" s="62" t="str">
        <f t="shared" ca="1" si="32"/>
        <v>N/A</v>
      </c>
      <c r="W137" s="62" t="str">
        <f t="shared" ca="1" si="32"/>
        <v>N/A</v>
      </c>
      <c r="X137" s="62"/>
      <c r="Y137" s="17"/>
      <c r="Z137" s="17"/>
      <c r="AA137" s="17"/>
    </row>
    <row r="138" spans="1:27" hidden="1" x14ac:dyDescent="0.25">
      <c r="A138" s="50">
        <f t="shared" si="28"/>
        <v>0</v>
      </c>
      <c r="B138" s="45" t="e">
        <f t="shared" ca="1" si="29"/>
        <v>#N/A</v>
      </c>
      <c r="C138" s="1" t="str">
        <f>IF(ISERROR(D138),"",IF(D138="","",MAX($C$121:C137)+1))</f>
        <v/>
      </c>
      <c r="D138" t="e">
        <f t="shared" si="30"/>
        <v>#N/A</v>
      </c>
      <c r="E138" s="22"/>
      <c r="F138" s="62" t="str">
        <f t="shared" ca="1" si="33"/>
        <v>N/A</v>
      </c>
      <c r="G138" s="62" t="str">
        <f>IFERROR(IF(VLOOKUP($A138,'2022 Data (WP)'!$D$9:$AA$70,18,FALSE)=0,"",VLOOKUP($A138,'2022 Data (WP)'!$D$9:$AA$70,18,FALSE)),"N/A")</f>
        <v>N/A</v>
      </c>
      <c r="H138" s="62" t="str">
        <f>IFERROR(IF(VLOOKUP($A138,'2021 Data (WP)'!$D$9:$AA$70,18,FALSE)=0,"",VLOOKUP($A138,'2021 Data (WP)'!$D$9:$AA$70,18,FALSE)),"N/A")</f>
        <v>N/A</v>
      </c>
      <c r="I138" s="62" t="str">
        <f>IFERROR(IF(VLOOKUP($A138,'2020 Data (WP)'!$D$9:$AA$70,18,FALSE)=0,"",VLOOKUP($A138,'2020 Data (WP)'!$D$9:$AA$70,18,FALSE)),"N/A")</f>
        <v>N/A</v>
      </c>
      <c r="J138" s="62" t="str">
        <f t="shared" si="31"/>
        <v>N/A</v>
      </c>
      <c r="K138" s="62" t="str">
        <f t="shared" si="34"/>
        <v>N/A</v>
      </c>
      <c r="L138" s="62"/>
      <c r="M138" s="62" t="str">
        <f t="shared" ca="1" si="32"/>
        <v>N/A</v>
      </c>
      <c r="N138" s="62" t="str">
        <f t="shared" ca="1" si="32"/>
        <v>N/A</v>
      </c>
      <c r="O138" s="62" t="str">
        <f t="shared" ca="1" si="32"/>
        <v>N/A</v>
      </c>
      <c r="P138" s="62" t="str">
        <f t="shared" ca="1" si="32"/>
        <v>N/A</v>
      </c>
      <c r="Q138" s="62" t="str">
        <f t="shared" ca="1" si="32"/>
        <v>N/A</v>
      </c>
      <c r="R138" s="62" t="str">
        <f t="shared" ca="1" si="32"/>
        <v>N/A</v>
      </c>
      <c r="S138" s="62" t="str">
        <f t="shared" ca="1" si="32"/>
        <v>N/A</v>
      </c>
      <c r="T138" s="62" t="str">
        <f t="shared" ca="1" si="32"/>
        <v>N/A</v>
      </c>
      <c r="U138" s="62" t="str">
        <f t="shared" ca="1" si="32"/>
        <v>N/A</v>
      </c>
      <c r="V138" s="62" t="str">
        <f t="shared" ca="1" si="32"/>
        <v>N/A</v>
      </c>
      <c r="W138" s="62" t="str">
        <f t="shared" ca="1" si="32"/>
        <v>N/A</v>
      </c>
      <c r="X138" s="62"/>
      <c r="Y138" s="17"/>
      <c r="Z138" s="17"/>
      <c r="AA138" s="17"/>
    </row>
    <row r="139" spans="1:27" hidden="1" x14ac:dyDescent="0.25">
      <c r="A139" s="50">
        <f t="shared" si="28"/>
        <v>0</v>
      </c>
      <c r="B139" s="45" t="e">
        <f t="shared" ca="1" si="29"/>
        <v>#N/A</v>
      </c>
      <c r="C139" s="1" t="str">
        <f>IF(ISERROR(D139),"",IF(D139="","",MAX($C$121:C138)+1))</f>
        <v/>
      </c>
      <c r="D139" t="e">
        <f t="shared" si="30"/>
        <v>#N/A</v>
      </c>
      <c r="E139" s="22"/>
      <c r="F139" s="62" t="str">
        <f t="shared" ca="1" si="33"/>
        <v>N/A</v>
      </c>
      <c r="G139" s="62" t="str">
        <f>IFERROR(IF(VLOOKUP($A139,'2022 Data (WP)'!$D$9:$AA$70,18,FALSE)=0,"",VLOOKUP($A139,'2022 Data (WP)'!$D$9:$AA$70,18,FALSE)),"N/A")</f>
        <v>N/A</v>
      </c>
      <c r="H139" s="62" t="str">
        <f>IFERROR(IF(VLOOKUP($A139,'2021 Data (WP)'!$D$9:$AA$70,18,FALSE)=0,"",VLOOKUP($A139,'2021 Data (WP)'!$D$9:$AA$70,18,FALSE)),"N/A")</f>
        <v>N/A</v>
      </c>
      <c r="I139" s="62" t="str">
        <f>IFERROR(IF(VLOOKUP($A139,'2020 Data (WP)'!$D$9:$AA$70,18,FALSE)=0,"",VLOOKUP($A139,'2020 Data (WP)'!$D$9:$AA$70,18,FALSE)),"N/A")</f>
        <v>N/A</v>
      </c>
      <c r="J139" s="62" t="str">
        <f t="shared" si="31"/>
        <v>N/A</v>
      </c>
      <c r="K139" s="62" t="str">
        <f t="shared" si="34"/>
        <v>N/A</v>
      </c>
      <c r="L139" s="62"/>
      <c r="M139" s="62" t="str">
        <f t="shared" ref="M139:W162" ca="1" si="35">IFERROR(IF(INDEX(MP_BV_WP,$B139,M$122)=0,"N/A",INDEX(MP_BV_WP,$B139,M$122)),"N/A")</f>
        <v>N/A</v>
      </c>
      <c r="N139" s="62" t="str">
        <f t="shared" ca="1" si="35"/>
        <v>N/A</v>
      </c>
      <c r="O139" s="62" t="str">
        <f t="shared" ca="1" si="35"/>
        <v>N/A</v>
      </c>
      <c r="P139" s="62" t="str">
        <f t="shared" ca="1" si="35"/>
        <v>N/A</v>
      </c>
      <c r="Q139" s="62" t="str">
        <f t="shared" ca="1" si="35"/>
        <v>N/A</v>
      </c>
      <c r="R139" s="62" t="str">
        <f t="shared" ca="1" si="35"/>
        <v>N/A</v>
      </c>
      <c r="S139" s="62" t="str">
        <f t="shared" ca="1" si="35"/>
        <v>N/A</v>
      </c>
      <c r="T139" s="62" t="str">
        <f t="shared" ca="1" si="35"/>
        <v>N/A</v>
      </c>
      <c r="U139" s="62" t="str">
        <f t="shared" ca="1" si="35"/>
        <v>N/A</v>
      </c>
      <c r="V139" s="62" t="str">
        <f t="shared" ca="1" si="35"/>
        <v>N/A</v>
      </c>
      <c r="W139" s="62" t="str">
        <f t="shared" ca="1" si="35"/>
        <v>N/A</v>
      </c>
      <c r="X139" s="62"/>
      <c r="Y139" s="17"/>
      <c r="Z139" s="17"/>
      <c r="AA139" s="17"/>
    </row>
    <row r="140" spans="1:27" hidden="1" x14ac:dyDescent="0.25">
      <c r="A140" s="50">
        <f t="shared" si="28"/>
        <v>0</v>
      </c>
      <c r="B140" s="45" t="e">
        <f t="shared" ca="1" si="29"/>
        <v>#N/A</v>
      </c>
      <c r="C140" s="1" t="str">
        <f>IF(ISERROR(D140),"",IF(D140="","",MAX($C$121:C139)+1))</f>
        <v/>
      </c>
      <c r="D140" t="e">
        <f t="shared" si="30"/>
        <v>#N/A</v>
      </c>
      <c r="E140" s="22"/>
      <c r="F140" s="62" t="str">
        <f t="shared" ca="1" si="33"/>
        <v>N/A</v>
      </c>
      <c r="G140" s="62" t="str">
        <f>IFERROR(IF(VLOOKUP($A140,'2022 Data (WP)'!$D$9:$AA$70,18,FALSE)=0,"",VLOOKUP($A140,'2022 Data (WP)'!$D$9:$AA$70,18,FALSE)),"N/A")</f>
        <v>N/A</v>
      </c>
      <c r="H140" s="62" t="str">
        <f>IFERROR(IF(VLOOKUP($A140,'2021 Data (WP)'!$D$9:$AA$70,18,FALSE)=0,"",VLOOKUP($A140,'2021 Data (WP)'!$D$9:$AA$70,18,FALSE)),"N/A")</f>
        <v>N/A</v>
      </c>
      <c r="I140" s="62" t="str">
        <f>IFERROR(IF(VLOOKUP($A140,'2020 Data (WP)'!$D$9:$AA$70,18,FALSE)=0,"",VLOOKUP($A140,'2020 Data (WP)'!$D$9:$AA$70,18,FALSE)),"N/A")</f>
        <v>N/A</v>
      </c>
      <c r="J140" s="62" t="str">
        <f t="shared" si="31"/>
        <v>N/A</v>
      </c>
      <c r="K140" s="62" t="str">
        <f t="shared" si="34"/>
        <v>N/A</v>
      </c>
      <c r="L140" s="62"/>
      <c r="M140" s="62" t="str">
        <f t="shared" ca="1" si="35"/>
        <v>N/A</v>
      </c>
      <c r="N140" s="62" t="str">
        <f t="shared" ca="1" si="35"/>
        <v>N/A</v>
      </c>
      <c r="O140" s="62" t="str">
        <f t="shared" ca="1" si="35"/>
        <v>N/A</v>
      </c>
      <c r="P140" s="62" t="str">
        <f t="shared" ca="1" si="35"/>
        <v>N/A</v>
      </c>
      <c r="Q140" s="62" t="str">
        <f t="shared" ca="1" si="35"/>
        <v>N/A</v>
      </c>
      <c r="R140" s="62" t="str">
        <f t="shared" ca="1" si="35"/>
        <v>N/A</v>
      </c>
      <c r="S140" s="62" t="str">
        <f t="shared" ca="1" si="35"/>
        <v>N/A</v>
      </c>
      <c r="T140" s="62" t="str">
        <f t="shared" ca="1" si="35"/>
        <v>N/A</v>
      </c>
      <c r="U140" s="62" t="str">
        <f t="shared" ca="1" si="35"/>
        <v>N/A</v>
      </c>
      <c r="V140" s="62" t="str">
        <f t="shared" ca="1" si="35"/>
        <v>N/A</v>
      </c>
      <c r="W140" s="62" t="str">
        <f t="shared" ca="1" si="35"/>
        <v>N/A</v>
      </c>
      <c r="X140" s="62"/>
      <c r="Y140" s="17"/>
      <c r="Z140" s="17"/>
      <c r="AA140" s="17"/>
    </row>
    <row r="141" spans="1:27" hidden="1" x14ac:dyDescent="0.25">
      <c r="A141" s="50">
        <f t="shared" si="28"/>
        <v>0</v>
      </c>
      <c r="B141" s="45" t="e">
        <f t="shared" ca="1" si="29"/>
        <v>#N/A</v>
      </c>
      <c r="C141" s="1" t="str">
        <f>IF(ISERROR(D141),"",IF(D141="","",MAX($C$121:C140)+1))</f>
        <v/>
      </c>
      <c r="D141" t="e">
        <f t="shared" si="30"/>
        <v>#N/A</v>
      </c>
      <c r="E141" s="22"/>
      <c r="F141" s="62" t="str">
        <f t="shared" ca="1" si="33"/>
        <v>N/A</v>
      </c>
      <c r="G141" s="62" t="str">
        <f>IFERROR(IF(VLOOKUP($A141,'2022 Data (WP)'!$D$9:$AA$70,18,FALSE)=0,"",VLOOKUP($A141,'2022 Data (WP)'!$D$9:$AA$70,18,FALSE)),"N/A")</f>
        <v>N/A</v>
      </c>
      <c r="H141" s="62" t="str">
        <f>IFERROR(IF(VLOOKUP($A141,'2021 Data (WP)'!$D$9:$AA$70,18,FALSE)=0,"",VLOOKUP($A141,'2021 Data (WP)'!$D$9:$AA$70,18,FALSE)),"N/A")</f>
        <v>N/A</v>
      </c>
      <c r="I141" s="62" t="str">
        <f>IFERROR(IF(VLOOKUP($A141,'2020 Data (WP)'!$D$9:$AA$70,18,FALSE)=0,"",VLOOKUP($A141,'2020 Data (WP)'!$D$9:$AA$70,18,FALSE)),"N/A")</f>
        <v>N/A</v>
      </c>
      <c r="J141" s="62" t="str">
        <f t="shared" si="31"/>
        <v>N/A</v>
      </c>
      <c r="K141" s="62" t="str">
        <f t="shared" si="34"/>
        <v>N/A</v>
      </c>
      <c r="L141" s="62"/>
      <c r="M141" s="62" t="str">
        <f t="shared" ca="1" si="35"/>
        <v>N/A</v>
      </c>
      <c r="N141" s="62" t="str">
        <f t="shared" ca="1" si="35"/>
        <v>N/A</v>
      </c>
      <c r="O141" s="62" t="str">
        <f t="shared" ca="1" si="35"/>
        <v>N/A</v>
      </c>
      <c r="P141" s="62" t="str">
        <f t="shared" ca="1" si="35"/>
        <v>N/A</v>
      </c>
      <c r="Q141" s="62" t="str">
        <f t="shared" ca="1" si="35"/>
        <v>N/A</v>
      </c>
      <c r="R141" s="62" t="str">
        <f t="shared" ca="1" si="35"/>
        <v>N/A</v>
      </c>
      <c r="S141" s="62" t="str">
        <f t="shared" ca="1" si="35"/>
        <v>N/A</v>
      </c>
      <c r="T141" s="62" t="str">
        <f t="shared" ca="1" si="35"/>
        <v>N/A</v>
      </c>
      <c r="U141" s="62" t="str">
        <f t="shared" ca="1" si="35"/>
        <v>N/A</v>
      </c>
      <c r="V141" s="62" t="str">
        <f t="shared" ca="1" si="35"/>
        <v>N/A</v>
      </c>
      <c r="W141" s="62" t="str">
        <f t="shared" ca="1" si="35"/>
        <v>N/A</v>
      </c>
      <c r="X141" s="62"/>
      <c r="Y141" s="17"/>
      <c r="Z141" s="17"/>
      <c r="AA141" s="17"/>
    </row>
    <row r="142" spans="1:27" hidden="1" x14ac:dyDescent="0.25">
      <c r="A142" s="50">
        <f t="shared" si="28"/>
        <v>0</v>
      </c>
      <c r="B142" s="45" t="e">
        <f t="shared" ca="1" si="29"/>
        <v>#N/A</v>
      </c>
      <c r="C142" s="1" t="str">
        <f>IF(ISERROR(D142),"",IF(D142="","",MAX($C$121:C141)+1))</f>
        <v/>
      </c>
      <c r="D142" t="e">
        <f t="shared" si="30"/>
        <v>#N/A</v>
      </c>
      <c r="E142" s="22"/>
      <c r="F142" s="62" t="str">
        <f t="shared" ca="1" si="33"/>
        <v>N/A</v>
      </c>
      <c r="G142" s="62" t="str">
        <f>IFERROR(IF(VLOOKUP($A142,'2022 Data (WP)'!$D$9:$AA$70,18,FALSE)=0,"",VLOOKUP($A142,'2022 Data (WP)'!$D$9:$AA$70,18,FALSE)),"N/A")</f>
        <v>N/A</v>
      </c>
      <c r="H142" s="62" t="str">
        <f>IFERROR(IF(VLOOKUP($A142,'2021 Data (WP)'!$D$9:$AA$70,18,FALSE)=0,"",VLOOKUP($A142,'2021 Data (WP)'!$D$9:$AA$70,18,FALSE)),"N/A")</f>
        <v>N/A</v>
      </c>
      <c r="I142" s="62" t="str">
        <f>IFERROR(IF(VLOOKUP($A142,'2020 Data (WP)'!$D$9:$AA$70,18,FALSE)=0,"",VLOOKUP($A142,'2020 Data (WP)'!$D$9:$AA$70,18,FALSE)),"N/A")</f>
        <v>N/A</v>
      </c>
      <c r="J142" s="62" t="str">
        <f t="shared" si="31"/>
        <v>N/A</v>
      </c>
      <c r="K142" s="62" t="str">
        <f t="shared" si="34"/>
        <v>N/A</v>
      </c>
      <c r="L142" s="62"/>
      <c r="M142" s="62" t="str">
        <f t="shared" ca="1" si="35"/>
        <v>N/A</v>
      </c>
      <c r="N142" s="62" t="str">
        <f t="shared" ca="1" si="35"/>
        <v>N/A</v>
      </c>
      <c r="O142" s="62" t="str">
        <f t="shared" ca="1" si="35"/>
        <v>N/A</v>
      </c>
      <c r="P142" s="62" t="str">
        <f t="shared" ca="1" si="35"/>
        <v>N/A</v>
      </c>
      <c r="Q142" s="62" t="str">
        <f t="shared" ca="1" si="35"/>
        <v>N/A</v>
      </c>
      <c r="R142" s="62" t="str">
        <f t="shared" ca="1" si="35"/>
        <v>N/A</v>
      </c>
      <c r="S142" s="62" t="str">
        <f t="shared" ca="1" si="35"/>
        <v>N/A</v>
      </c>
      <c r="T142" s="62" t="str">
        <f t="shared" ca="1" si="35"/>
        <v>N/A</v>
      </c>
      <c r="U142" s="62" t="str">
        <f t="shared" ca="1" si="35"/>
        <v>N/A</v>
      </c>
      <c r="V142" s="62" t="str">
        <f t="shared" ca="1" si="35"/>
        <v>N/A</v>
      </c>
      <c r="W142" s="62" t="str">
        <f t="shared" ca="1" si="35"/>
        <v>N/A</v>
      </c>
      <c r="X142" s="62"/>
      <c r="Y142" s="17"/>
      <c r="Z142" s="17"/>
      <c r="AA142" s="17"/>
    </row>
    <row r="143" spans="1:27" hidden="1" x14ac:dyDescent="0.25">
      <c r="A143" s="50">
        <f t="shared" si="28"/>
        <v>0</v>
      </c>
      <c r="B143" s="45" t="e">
        <f t="shared" ca="1" si="29"/>
        <v>#N/A</v>
      </c>
      <c r="C143" s="1" t="str">
        <f>IF(ISERROR(D143),"",IF(D143="","",MAX($C$121:C142)+1))</f>
        <v/>
      </c>
      <c r="D143" t="e">
        <f t="shared" si="30"/>
        <v>#N/A</v>
      </c>
      <c r="E143" s="22"/>
      <c r="F143" s="62" t="str">
        <f t="shared" ca="1" si="33"/>
        <v>N/A</v>
      </c>
      <c r="G143" s="62" t="str">
        <f>IFERROR(IF(VLOOKUP($A143,'2022 Data (WP)'!$D$9:$AA$70,18,FALSE)=0,"",VLOOKUP($A143,'2022 Data (WP)'!$D$9:$AA$70,18,FALSE)),"N/A")</f>
        <v>N/A</v>
      </c>
      <c r="H143" s="62" t="str">
        <f>IFERROR(IF(VLOOKUP($A143,'2021 Data (WP)'!$D$9:$AA$70,18,FALSE)=0,"",VLOOKUP($A143,'2021 Data (WP)'!$D$9:$AA$70,18,FALSE)),"N/A")</f>
        <v>N/A</v>
      </c>
      <c r="I143" s="62" t="str">
        <f>IFERROR(IF(VLOOKUP($A143,'2020 Data (WP)'!$D$9:$AA$70,18,FALSE)=0,"",VLOOKUP($A143,'2020 Data (WP)'!$D$9:$AA$70,18,FALSE)),"N/A")</f>
        <v>N/A</v>
      </c>
      <c r="J143" s="62" t="str">
        <f t="shared" si="31"/>
        <v>N/A</v>
      </c>
      <c r="K143" s="62" t="str">
        <f t="shared" si="34"/>
        <v>N/A</v>
      </c>
      <c r="L143" s="62"/>
      <c r="M143" s="62" t="str">
        <f t="shared" ca="1" si="35"/>
        <v>N/A</v>
      </c>
      <c r="N143" s="62" t="str">
        <f t="shared" ca="1" si="35"/>
        <v>N/A</v>
      </c>
      <c r="O143" s="62" t="str">
        <f t="shared" ca="1" si="35"/>
        <v>N/A</v>
      </c>
      <c r="P143" s="62" t="str">
        <f t="shared" ca="1" si="35"/>
        <v>N/A</v>
      </c>
      <c r="Q143" s="62" t="str">
        <f t="shared" ca="1" si="35"/>
        <v>N/A</v>
      </c>
      <c r="R143" s="62" t="str">
        <f t="shared" ca="1" si="35"/>
        <v>N/A</v>
      </c>
      <c r="S143" s="62" t="str">
        <f t="shared" ca="1" si="35"/>
        <v>N/A</v>
      </c>
      <c r="T143" s="62" t="str">
        <f t="shared" ca="1" si="35"/>
        <v>N/A</v>
      </c>
      <c r="U143" s="62" t="str">
        <f t="shared" ca="1" si="35"/>
        <v>N/A</v>
      </c>
      <c r="V143" s="62" t="str">
        <f t="shared" ca="1" si="35"/>
        <v>N/A</v>
      </c>
      <c r="W143" s="62" t="str">
        <f t="shared" ca="1" si="35"/>
        <v>N/A</v>
      </c>
      <c r="X143" s="62"/>
      <c r="Y143" s="17"/>
      <c r="Z143" s="17"/>
      <c r="AA143" s="17"/>
    </row>
    <row r="144" spans="1:27" hidden="1" x14ac:dyDescent="0.25">
      <c r="A144" s="50">
        <f t="shared" si="28"/>
        <v>0</v>
      </c>
      <c r="B144" s="45" t="e">
        <f t="shared" ca="1" si="29"/>
        <v>#N/A</v>
      </c>
      <c r="C144" s="1" t="str">
        <f>IF(ISERROR(D144),"",IF(D144="","",MAX($C$121:C143)+1))</f>
        <v/>
      </c>
      <c r="D144" t="e">
        <f t="shared" si="30"/>
        <v>#N/A</v>
      </c>
      <c r="E144" s="22"/>
      <c r="F144" s="62" t="str">
        <f t="shared" ca="1" si="33"/>
        <v>N/A</v>
      </c>
      <c r="G144" s="62" t="str">
        <f>IFERROR(IF(VLOOKUP($A144,'2022 Data (WP)'!$D$9:$AA$70,18,FALSE)=0,"",VLOOKUP($A144,'2022 Data (WP)'!$D$9:$AA$70,18,FALSE)),"N/A")</f>
        <v>N/A</v>
      </c>
      <c r="H144" s="62" t="str">
        <f>IFERROR(IF(VLOOKUP($A144,'2021 Data (WP)'!$D$9:$AA$70,18,FALSE)=0,"",VLOOKUP($A144,'2021 Data (WP)'!$D$9:$AA$70,18,FALSE)),"N/A")</f>
        <v>N/A</v>
      </c>
      <c r="I144" s="62" t="str">
        <f>IFERROR(IF(VLOOKUP($A144,'2020 Data (WP)'!$D$9:$AA$70,18,FALSE)=0,"",VLOOKUP($A144,'2020 Data (WP)'!$D$9:$AA$70,18,FALSE)),"N/A")</f>
        <v>N/A</v>
      </c>
      <c r="J144" s="62" t="str">
        <f t="shared" si="31"/>
        <v>N/A</v>
      </c>
      <c r="K144" s="62" t="str">
        <f t="shared" si="34"/>
        <v>N/A</v>
      </c>
      <c r="L144" s="62"/>
      <c r="M144" s="62" t="str">
        <f t="shared" ca="1" si="35"/>
        <v>N/A</v>
      </c>
      <c r="N144" s="62" t="str">
        <f t="shared" ca="1" si="35"/>
        <v>N/A</v>
      </c>
      <c r="O144" s="62" t="str">
        <f t="shared" ca="1" si="35"/>
        <v>N/A</v>
      </c>
      <c r="P144" s="62" t="str">
        <f t="shared" ca="1" si="35"/>
        <v>N/A</v>
      </c>
      <c r="Q144" s="62" t="str">
        <f t="shared" ca="1" si="35"/>
        <v>N/A</v>
      </c>
      <c r="R144" s="62" t="str">
        <f t="shared" ca="1" si="35"/>
        <v>N/A</v>
      </c>
      <c r="S144" s="62" t="str">
        <f t="shared" ca="1" si="35"/>
        <v>N/A</v>
      </c>
      <c r="T144" s="62" t="str">
        <f t="shared" ca="1" si="35"/>
        <v>N/A</v>
      </c>
      <c r="U144" s="62" t="str">
        <f t="shared" ca="1" si="35"/>
        <v>N/A</v>
      </c>
      <c r="V144" s="62" t="str">
        <f t="shared" ca="1" si="35"/>
        <v>N/A</v>
      </c>
      <c r="W144" s="62" t="str">
        <f t="shared" ca="1" si="35"/>
        <v>N/A</v>
      </c>
      <c r="X144" s="62"/>
      <c r="Y144" s="17"/>
      <c r="Z144" s="17"/>
      <c r="AA144" s="17"/>
    </row>
    <row r="145" spans="1:27" hidden="1" x14ac:dyDescent="0.25">
      <c r="A145" s="50">
        <f t="shared" si="28"/>
        <v>0</v>
      </c>
      <c r="B145" s="45" t="e">
        <f t="shared" ca="1" si="29"/>
        <v>#N/A</v>
      </c>
      <c r="C145" s="1" t="str">
        <f>IF(ISERROR(D145),"",IF(D145="","",MAX($C$121:C144)+1))</f>
        <v/>
      </c>
      <c r="D145" t="e">
        <f t="shared" si="30"/>
        <v>#N/A</v>
      </c>
      <c r="E145" s="22"/>
      <c r="F145" s="62" t="str">
        <f t="shared" ca="1" si="33"/>
        <v>N/A</v>
      </c>
      <c r="G145" s="62" t="str">
        <f>IFERROR(IF(VLOOKUP($A145,'2022 Data (WP)'!$D$9:$AA$70,18,FALSE)=0,"",VLOOKUP($A145,'2022 Data (WP)'!$D$9:$AA$70,18,FALSE)),"N/A")</f>
        <v>N/A</v>
      </c>
      <c r="H145" s="62" t="str">
        <f>IFERROR(IF(VLOOKUP($A145,'2021 Data (WP)'!$D$9:$AA$70,18,FALSE)=0,"",VLOOKUP($A145,'2021 Data (WP)'!$D$9:$AA$70,18,FALSE)),"N/A")</f>
        <v>N/A</v>
      </c>
      <c r="I145" s="62" t="str">
        <f>IFERROR(IF(VLOOKUP($A145,'2020 Data (WP)'!$D$9:$AA$70,18,FALSE)=0,"",VLOOKUP($A145,'2020 Data (WP)'!$D$9:$AA$70,18,FALSE)),"N/A")</f>
        <v>N/A</v>
      </c>
      <c r="J145" s="62" t="str">
        <f t="shared" si="31"/>
        <v>N/A</v>
      </c>
      <c r="K145" s="62" t="str">
        <f t="shared" si="34"/>
        <v>N/A</v>
      </c>
      <c r="L145" s="62"/>
      <c r="M145" s="62" t="str">
        <f t="shared" ca="1" si="35"/>
        <v>N/A</v>
      </c>
      <c r="N145" s="62" t="str">
        <f t="shared" ca="1" si="35"/>
        <v>N/A</v>
      </c>
      <c r="O145" s="62" t="str">
        <f t="shared" ca="1" si="35"/>
        <v>N/A</v>
      </c>
      <c r="P145" s="62" t="str">
        <f t="shared" ca="1" si="35"/>
        <v>N/A</v>
      </c>
      <c r="Q145" s="62" t="str">
        <f t="shared" ca="1" si="35"/>
        <v>N/A</v>
      </c>
      <c r="R145" s="62" t="str">
        <f t="shared" ca="1" si="35"/>
        <v>N/A</v>
      </c>
      <c r="S145" s="62" t="str">
        <f t="shared" ca="1" si="35"/>
        <v>N/A</v>
      </c>
      <c r="T145" s="62" t="str">
        <f t="shared" ca="1" si="35"/>
        <v>N/A</v>
      </c>
      <c r="U145" s="62" t="str">
        <f t="shared" ca="1" si="35"/>
        <v>N/A</v>
      </c>
      <c r="V145" s="62" t="str">
        <f t="shared" ca="1" si="35"/>
        <v>N/A</v>
      </c>
      <c r="W145" s="62" t="str">
        <f t="shared" ca="1" si="35"/>
        <v>N/A</v>
      </c>
      <c r="X145" s="62"/>
      <c r="Y145" s="17"/>
      <c r="Z145" s="17"/>
      <c r="AA145" s="17"/>
    </row>
    <row r="146" spans="1:27" hidden="1" x14ac:dyDescent="0.25">
      <c r="A146" s="50">
        <f t="shared" si="28"/>
        <v>0</v>
      </c>
      <c r="B146" s="45" t="e">
        <f t="shared" ca="1" si="29"/>
        <v>#N/A</v>
      </c>
      <c r="C146" s="1" t="str">
        <f>IF(ISERROR(D146),"",IF(D146="","",MAX($C$121:C145)+1))</f>
        <v/>
      </c>
      <c r="D146" t="e">
        <f t="shared" si="30"/>
        <v>#N/A</v>
      </c>
      <c r="E146" s="22"/>
      <c r="F146" s="62" t="str">
        <f t="shared" ca="1" si="33"/>
        <v>N/A</v>
      </c>
      <c r="G146" s="62" t="str">
        <f>IFERROR(IF(VLOOKUP($A146,'2022 Data (WP)'!$D$9:$AA$70,18,FALSE)=0,"",VLOOKUP($A146,'2022 Data (WP)'!$D$9:$AA$70,18,FALSE)),"N/A")</f>
        <v>N/A</v>
      </c>
      <c r="H146" s="62" t="str">
        <f>IFERROR(IF(VLOOKUP($A146,'2021 Data (WP)'!$D$9:$AA$70,18,FALSE)=0,"",VLOOKUP($A146,'2021 Data (WP)'!$D$9:$AA$70,18,FALSE)),"N/A")</f>
        <v>N/A</v>
      </c>
      <c r="I146" s="62" t="str">
        <f>IFERROR(IF(VLOOKUP($A146,'2020 Data (WP)'!$D$9:$AA$70,18,FALSE)=0,"",VLOOKUP($A146,'2020 Data (WP)'!$D$9:$AA$70,18,FALSE)),"N/A")</f>
        <v>N/A</v>
      </c>
      <c r="J146" s="62" t="str">
        <f t="shared" si="31"/>
        <v>N/A</v>
      </c>
      <c r="K146" s="62" t="str">
        <f t="shared" si="34"/>
        <v>N/A</v>
      </c>
      <c r="L146" s="62"/>
      <c r="M146" s="62" t="str">
        <f t="shared" ca="1" si="35"/>
        <v>N/A</v>
      </c>
      <c r="N146" s="62" t="str">
        <f t="shared" ca="1" si="35"/>
        <v>N/A</v>
      </c>
      <c r="O146" s="62" t="str">
        <f t="shared" ca="1" si="35"/>
        <v>N/A</v>
      </c>
      <c r="P146" s="62" t="str">
        <f t="shared" ca="1" si="35"/>
        <v>N/A</v>
      </c>
      <c r="Q146" s="62" t="str">
        <f t="shared" ca="1" si="35"/>
        <v>N/A</v>
      </c>
      <c r="R146" s="62" t="str">
        <f t="shared" ca="1" si="35"/>
        <v>N/A</v>
      </c>
      <c r="S146" s="62" t="str">
        <f t="shared" ca="1" si="35"/>
        <v>N/A</v>
      </c>
      <c r="T146" s="62" t="str">
        <f t="shared" ca="1" si="35"/>
        <v>N/A</v>
      </c>
      <c r="U146" s="62" t="str">
        <f t="shared" ca="1" si="35"/>
        <v>N/A</v>
      </c>
      <c r="V146" s="62" t="str">
        <f t="shared" ca="1" si="35"/>
        <v>N/A</v>
      </c>
      <c r="W146" s="62" t="str">
        <f t="shared" ca="1" si="35"/>
        <v>N/A</v>
      </c>
      <c r="X146" s="62"/>
      <c r="Y146" s="17"/>
      <c r="Z146" s="17"/>
      <c r="AA146" s="17"/>
    </row>
    <row r="147" spans="1:27" hidden="1" x14ac:dyDescent="0.25">
      <c r="A147" s="50">
        <f t="shared" si="28"/>
        <v>0</v>
      </c>
      <c r="B147" s="45" t="e">
        <f t="shared" ca="1" si="29"/>
        <v>#N/A</v>
      </c>
      <c r="C147" s="1" t="str">
        <f>IF(ISERROR(D147),"",IF(D147="","",MAX($C$121:C146)+1))</f>
        <v/>
      </c>
      <c r="D147" t="e">
        <f t="shared" si="30"/>
        <v>#N/A</v>
      </c>
      <c r="E147" s="22"/>
      <c r="F147" s="62" t="str">
        <f t="shared" ca="1" si="33"/>
        <v>N/A</v>
      </c>
      <c r="G147" s="62" t="str">
        <f>IFERROR(IF(VLOOKUP($A147,'2022 Data (WP)'!$D$9:$AA$70,18,FALSE)=0,"",VLOOKUP($A147,'2022 Data (WP)'!$D$9:$AA$70,18,FALSE)),"N/A")</f>
        <v>N/A</v>
      </c>
      <c r="H147" s="62" t="str">
        <f>IFERROR(IF(VLOOKUP($A147,'2021 Data (WP)'!$D$9:$AA$70,18,FALSE)=0,"",VLOOKUP($A147,'2021 Data (WP)'!$D$9:$AA$70,18,FALSE)),"N/A")</f>
        <v>N/A</v>
      </c>
      <c r="I147" s="62" t="str">
        <f>IFERROR(IF(VLOOKUP($A147,'2020 Data (WP)'!$D$9:$AA$70,18,FALSE)=0,"",VLOOKUP($A147,'2020 Data (WP)'!$D$9:$AA$70,18,FALSE)),"N/A")</f>
        <v>N/A</v>
      </c>
      <c r="J147" s="62" t="str">
        <f t="shared" si="31"/>
        <v>N/A</v>
      </c>
      <c r="K147" s="62" t="str">
        <f t="shared" si="34"/>
        <v>N/A</v>
      </c>
      <c r="L147" s="62"/>
      <c r="M147" s="62" t="str">
        <f t="shared" ca="1" si="35"/>
        <v>N/A</v>
      </c>
      <c r="N147" s="62" t="str">
        <f t="shared" ca="1" si="35"/>
        <v>N/A</v>
      </c>
      <c r="O147" s="62" t="str">
        <f t="shared" ca="1" si="35"/>
        <v>N/A</v>
      </c>
      <c r="P147" s="62" t="str">
        <f t="shared" ca="1" si="35"/>
        <v>N/A</v>
      </c>
      <c r="Q147" s="62" t="str">
        <f t="shared" ca="1" si="35"/>
        <v>N/A</v>
      </c>
      <c r="R147" s="62" t="str">
        <f t="shared" ca="1" si="35"/>
        <v>N/A</v>
      </c>
      <c r="S147" s="62" t="str">
        <f t="shared" ca="1" si="35"/>
        <v>N/A</v>
      </c>
      <c r="T147" s="62" t="str">
        <f t="shared" ca="1" si="35"/>
        <v>N/A</v>
      </c>
      <c r="U147" s="62" t="str">
        <f t="shared" ca="1" si="35"/>
        <v>N/A</v>
      </c>
      <c r="V147" s="62" t="str">
        <f t="shared" ca="1" si="35"/>
        <v>N/A</v>
      </c>
      <c r="W147" s="62" t="str">
        <f t="shared" ca="1" si="35"/>
        <v>N/A</v>
      </c>
      <c r="X147" s="62"/>
      <c r="Y147" s="17"/>
      <c r="Z147" s="17"/>
      <c r="AA147" s="17"/>
    </row>
    <row r="148" spans="1:27" hidden="1" x14ac:dyDescent="0.25">
      <c r="A148" s="50">
        <f t="shared" si="28"/>
        <v>0</v>
      </c>
      <c r="B148" s="45" t="e">
        <f t="shared" ca="1" si="29"/>
        <v>#N/A</v>
      </c>
      <c r="C148" s="1" t="str">
        <f>IF(ISERROR(D148),"",IF(D148="","",MAX($C$121:C147)+1))</f>
        <v/>
      </c>
      <c r="D148" t="e">
        <f t="shared" si="30"/>
        <v>#N/A</v>
      </c>
      <c r="E148" s="22"/>
      <c r="F148" s="62" t="str">
        <f t="shared" ca="1" si="33"/>
        <v>N/A</v>
      </c>
      <c r="G148" s="62" t="str">
        <f>IFERROR(IF(VLOOKUP($A148,'2022 Data (WP)'!$D$9:$AA$70,18,FALSE)=0,"",VLOOKUP($A148,'2022 Data (WP)'!$D$9:$AA$70,18,FALSE)),"N/A")</f>
        <v>N/A</v>
      </c>
      <c r="H148" s="62" t="str">
        <f>IFERROR(IF(VLOOKUP($A148,'2021 Data (WP)'!$D$9:$AA$70,18,FALSE)=0,"",VLOOKUP($A148,'2021 Data (WP)'!$D$9:$AA$70,18,FALSE)),"N/A")</f>
        <v>N/A</v>
      </c>
      <c r="I148" s="62" t="str">
        <f>IFERROR(IF(VLOOKUP($A148,'2020 Data (WP)'!$D$9:$AA$70,18,FALSE)=0,"",VLOOKUP($A148,'2020 Data (WP)'!$D$9:$AA$70,18,FALSE)),"N/A")</f>
        <v>N/A</v>
      </c>
      <c r="J148" s="62" t="str">
        <f t="shared" si="31"/>
        <v>N/A</v>
      </c>
      <c r="K148" s="62" t="str">
        <f t="shared" si="34"/>
        <v>N/A</v>
      </c>
      <c r="L148" s="62"/>
      <c r="M148" s="62" t="str">
        <f t="shared" ca="1" si="35"/>
        <v>N/A</v>
      </c>
      <c r="N148" s="62" t="str">
        <f t="shared" ca="1" si="35"/>
        <v>N/A</v>
      </c>
      <c r="O148" s="62" t="str">
        <f t="shared" ca="1" si="35"/>
        <v>N/A</v>
      </c>
      <c r="P148" s="62" t="str">
        <f t="shared" ca="1" si="35"/>
        <v>N/A</v>
      </c>
      <c r="Q148" s="62" t="str">
        <f t="shared" ca="1" si="35"/>
        <v>N/A</v>
      </c>
      <c r="R148" s="62" t="str">
        <f t="shared" ca="1" si="35"/>
        <v>N/A</v>
      </c>
      <c r="S148" s="62" t="str">
        <f t="shared" ca="1" si="35"/>
        <v>N/A</v>
      </c>
      <c r="T148" s="62" t="str">
        <f t="shared" ca="1" si="35"/>
        <v>N/A</v>
      </c>
      <c r="U148" s="62" t="str">
        <f t="shared" ca="1" si="35"/>
        <v>N/A</v>
      </c>
      <c r="V148" s="62" t="str">
        <f t="shared" ca="1" si="35"/>
        <v>N/A</v>
      </c>
      <c r="W148" s="62" t="str">
        <f t="shared" ca="1" si="35"/>
        <v>N/A</v>
      </c>
      <c r="X148" s="62"/>
      <c r="Y148" s="17"/>
      <c r="Z148" s="17"/>
      <c r="AA148" s="17"/>
    </row>
    <row r="149" spans="1:27" hidden="1" x14ac:dyDescent="0.25">
      <c r="A149" s="50">
        <f t="shared" si="28"/>
        <v>0</v>
      </c>
      <c r="B149" s="45" t="e">
        <f t="shared" ca="1" si="29"/>
        <v>#N/A</v>
      </c>
      <c r="C149" s="1" t="str">
        <f>IF(ISERROR(D149),"",IF(D149="","",MAX($C$121:C148)+1))</f>
        <v/>
      </c>
      <c r="D149" t="e">
        <f t="shared" si="30"/>
        <v>#N/A</v>
      </c>
      <c r="E149" s="22"/>
      <c r="F149" s="62" t="str">
        <f t="shared" ca="1" si="33"/>
        <v>N/A</v>
      </c>
      <c r="G149" s="62" t="str">
        <f>IFERROR(IF(VLOOKUP($A149,'2022 Data (WP)'!$D$9:$AA$70,18,FALSE)=0,"",VLOOKUP($A149,'2022 Data (WP)'!$D$9:$AA$70,18,FALSE)),"N/A")</f>
        <v>N/A</v>
      </c>
      <c r="H149" s="62" t="str">
        <f>IFERROR(IF(VLOOKUP($A149,'2021 Data (WP)'!$D$9:$AA$70,18,FALSE)=0,"",VLOOKUP($A149,'2021 Data (WP)'!$D$9:$AA$70,18,FALSE)),"N/A")</f>
        <v>N/A</v>
      </c>
      <c r="I149" s="62" t="str">
        <f>IFERROR(IF(VLOOKUP($A149,'2020 Data (WP)'!$D$9:$AA$70,18,FALSE)=0,"",VLOOKUP($A149,'2020 Data (WP)'!$D$9:$AA$70,18,FALSE)),"N/A")</f>
        <v>N/A</v>
      </c>
      <c r="J149" s="62" t="str">
        <f t="shared" si="31"/>
        <v>N/A</v>
      </c>
      <c r="K149" s="62" t="str">
        <f t="shared" si="34"/>
        <v>N/A</v>
      </c>
      <c r="L149" s="62"/>
      <c r="M149" s="62" t="str">
        <f t="shared" ca="1" si="35"/>
        <v>N/A</v>
      </c>
      <c r="N149" s="62" t="str">
        <f t="shared" ca="1" si="35"/>
        <v>N/A</v>
      </c>
      <c r="O149" s="62" t="str">
        <f t="shared" ca="1" si="35"/>
        <v>N/A</v>
      </c>
      <c r="P149" s="62" t="str">
        <f t="shared" ca="1" si="35"/>
        <v>N/A</v>
      </c>
      <c r="Q149" s="62" t="str">
        <f t="shared" ca="1" si="35"/>
        <v>N/A</v>
      </c>
      <c r="R149" s="62" t="str">
        <f t="shared" ca="1" si="35"/>
        <v>N/A</v>
      </c>
      <c r="S149" s="62" t="str">
        <f t="shared" ca="1" si="35"/>
        <v>N/A</v>
      </c>
      <c r="T149" s="62" t="str">
        <f t="shared" ca="1" si="35"/>
        <v>N/A</v>
      </c>
      <c r="U149" s="62" t="str">
        <f t="shared" ca="1" si="35"/>
        <v>N/A</v>
      </c>
      <c r="V149" s="62" t="str">
        <f t="shared" ca="1" si="35"/>
        <v>N/A</v>
      </c>
      <c r="W149" s="62" t="str">
        <f t="shared" ca="1" si="35"/>
        <v>N/A</v>
      </c>
      <c r="X149" s="62"/>
      <c r="Y149" s="17"/>
      <c r="Z149" s="17"/>
      <c r="AA149" s="17"/>
    </row>
    <row r="150" spans="1:27" hidden="1" x14ac:dyDescent="0.25">
      <c r="A150" s="50">
        <f t="shared" si="28"/>
        <v>0</v>
      </c>
      <c r="B150" s="45" t="e">
        <f t="shared" ca="1" si="29"/>
        <v>#N/A</v>
      </c>
      <c r="C150" s="1" t="str">
        <f>IF(ISERROR(D150),"",IF(D150="","",MAX($C$121:C149)+1))</f>
        <v/>
      </c>
      <c r="D150" t="e">
        <f t="shared" si="30"/>
        <v>#N/A</v>
      </c>
      <c r="E150" s="22"/>
      <c r="F150" s="62" t="str">
        <f t="shared" ca="1" si="33"/>
        <v>N/A</v>
      </c>
      <c r="G150" s="62" t="str">
        <f>IFERROR(IF(VLOOKUP($A150,'2022 Data (WP)'!$D$9:$AA$70,18,FALSE)=0,"",VLOOKUP($A150,'2022 Data (WP)'!$D$9:$AA$70,18,FALSE)),"N/A")</f>
        <v>N/A</v>
      </c>
      <c r="H150" s="62" t="str">
        <f>IFERROR(IF(VLOOKUP($A150,'2021 Data (WP)'!$D$9:$AA$70,18,FALSE)=0,"",VLOOKUP($A150,'2021 Data (WP)'!$D$9:$AA$70,18,FALSE)),"N/A")</f>
        <v>N/A</v>
      </c>
      <c r="I150" s="62" t="str">
        <f>IFERROR(IF(VLOOKUP($A150,'2020 Data (WP)'!$D$9:$AA$70,18,FALSE)=0,"",VLOOKUP($A150,'2020 Data (WP)'!$D$9:$AA$70,18,FALSE)),"N/A")</f>
        <v>N/A</v>
      </c>
      <c r="J150" s="62" t="str">
        <f t="shared" si="31"/>
        <v>N/A</v>
      </c>
      <c r="K150" s="62" t="str">
        <f t="shared" si="34"/>
        <v>N/A</v>
      </c>
      <c r="L150" s="62"/>
      <c r="M150" s="62" t="str">
        <f t="shared" ca="1" si="35"/>
        <v>N/A</v>
      </c>
      <c r="N150" s="62" t="str">
        <f t="shared" ca="1" si="35"/>
        <v>N/A</v>
      </c>
      <c r="O150" s="62" t="str">
        <f t="shared" ca="1" si="35"/>
        <v>N/A</v>
      </c>
      <c r="P150" s="62" t="str">
        <f t="shared" ca="1" si="35"/>
        <v>N/A</v>
      </c>
      <c r="Q150" s="62" t="str">
        <f t="shared" ca="1" si="35"/>
        <v>N/A</v>
      </c>
      <c r="R150" s="62" t="str">
        <f t="shared" ca="1" si="35"/>
        <v>N/A</v>
      </c>
      <c r="S150" s="62" t="str">
        <f t="shared" ca="1" si="35"/>
        <v>N/A</v>
      </c>
      <c r="T150" s="62" t="str">
        <f t="shared" ca="1" si="35"/>
        <v>N/A</v>
      </c>
      <c r="U150" s="62" t="str">
        <f t="shared" ca="1" si="35"/>
        <v>N/A</v>
      </c>
      <c r="V150" s="62" t="str">
        <f t="shared" ca="1" si="35"/>
        <v>N/A</v>
      </c>
      <c r="W150" s="62" t="str">
        <f t="shared" ca="1" si="35"/>
        <v>N/A</v>
      </c>
      <c r="X150" s="62"/>
      <c r="Y150" s="17"/>
      <c r="Z150" s="17"/>
      <c r="AA150" s="17"/>
    </row>
    <row r="151" spans="1:27" hidden="1" x14ac:dyDescent="0.25">
      <c r="A151" s="50">
        <f t="shared" si="28"/>
        <v>0</v>
      </c>
      <c r="B151" s="45" t="e">
        <f t="shared" ca="1" si="29"/>
        <v>#N/A</v>
      </c>
      <c r="C151" s="1" t="str">
        <f>IF(ISERROR(D151),"",IF(D151="","",MAX($C$121:C150)+1))</f>
        <v/>
      </c>
      <c r="D151" t="e">
        <f t="shared" si="30"/>
        <v>#N/A</v>
      </c>
      <c r="E151" s="22"/>
      <c r="F151" s="62" t="str">
        <f t="shared" ca="1" si="33"/>
        <v>N/A</v>
      </c>
      <c r="G151" s="62" t="str">
        <f>IFERROR(IF(VLOOKUP($A151,'2022 Data (WP)'!$D$9:$AA$70,18,FALSE)=0,"",VLOOKUP($A151,'2022 Data (WP)'!$D$9:$AA$70,18,FALSE)),"N/A")</f>
        <v>N/A</v>
      </c>
      <c r="H151" s="62" t="str">
        <f>IFERROR(IF(VLOOKUP($A151,'2021 Data (WP)'!$D$9:$AA$70,18,FALSE)=0,"",VLOOKUP($A151,'2021 Data (WP)'!$D$9:$AA$70,18,FALSE)),"N/A")</f>
        <v>N/A</v>
      </c>
      <c r="I151" s="62" t="str">
        <f>IFERROR(IF(VLOOKUP($A151,'2020 Data (WP)'!$D$9:$AA$70,18,FALSE)=0,"",VLOOKUP($A151,'2020 Data (WP)'!$D$9:$AA$70,18,FALSE)),"N/A")</f>
        <v>N/A</v>
      </c>
      <c r="J151" s="62" t="str">
        <f t="shared" si="31"/>
        <v>N/A</v>
      </c>
      <c r="K151" s="62" t="str">
        <f t="shared" si="34"/>
        <v>N/A</v>
      </c>
      <c r="L151" s="62"/>
      <c r="M151" s="62" t="str">
        <f t="shared" ca="1" si="35"/>
        <v>N/A</v>
      </c>
      <c r="N151" s="62" t="str">
        <f t="shared" ca="1" si="35"/>
        <v>N/A</v>
      </c>
      <c r="O151" s="62" t="str">
        <f t="shared" ca="1" si="35"/>
        <v>N/A</v>
      </c>
      <c r="P151" s="62" t="str">
        <f t="shared" ca="1" si="35"/>
        <v>N/A</v>
      </c>
      <c r="Q151" s="62" t="str">
        <f t="shared" ca="1" si="35"/>
        <v>N/A</v>
      </c>
      <c r="R151" s="62" t="str">
        <f t="shared" ca="1" si="35"/>
        <v>N/A</v>
      </c>
      <c r="S151" s="62" t="str">
        <f t="shared" ca="1" si="35"/>
        <v>N/A</v>
      </c>
      <c r="T151" s="62" t="str">
        <f t="shared" ca="1" si="35"/>
        <v>N/A</v>
      </c>
      <c r="U151" s="62" t="str">
        <f t="shared" ca="1" si="35"/>
        <v>N/A</v>
      </c>
      <c r="V151" s="62" t="str">
        <f t="shared" ca="1" si="35"/>
        <v>N/A</v>
      </c>
      <c r="W151" s="62" t="str">
        <f t="shared" ca="1" si="35"/>
        <v>N/A</v>
      </c>
      <c r="X151" s="62"/>
      <c r="Y151" s="17"/>
      <c r="Z151" s="17"/>
      <c r="AA151" s="17"/>
    </row>
    <row r="152" spans="1:27" hidden="1" x14ac:dyDescent="0.25">
      <c r="A152" s="50">
        <f t="shared" si="28"/>
        <v>0</v>
      </c>
      <c r="B152" s="45" t="e">
        <f t="shared" ca="1" si="29"/>
        <v>#N/A</v>
      </c>
      <c r="C152" s="1" t="str">
        <f>IF(ISERROR(D152),"",IF(D152="","",MAX($C$121:C151)+1))</f>
        <v/>
      </c>
      <c r="D152" t="e">
        <f t="shared" si="30"/>
        <v>#N/A</v>
      </c>
      <c r="E152" s="22"/>
      <c r="F152" s="62" t="str">
        <f t="shared" ca="1" si="33"/>
        <v>N/A</v>
      </c>
      <c r="G152" s="62" t="str">
        <f>IFERROR(IF(VLOOKUP($A152,'2022 Data (WP)'!$D$9:$AA$70,18,FALSE)=0,"",VLOOKUP($A152,'2022 Data (WP)'!$D$9:$AA$70,18,FALSE)),"N/A")</f>
        <v>N/A</v>
      </c>
      <c r="H152" s="62" t="str">
        <f>IFERROR(IF(VLOOKUP($A152,'2021 Data (WP)'!$D$9:$AA$70,18,FALSE)=0,"",VLOOKUP($A152,'2021 Data (WP)'!$D$9:$AA$70,18,FALSE)),"N/A")</f>
        <v>N/A</v>
      </c>
      <c r="I152" s="62" t="str">
        <f>IFERROR(IF(VLOOKUP($A152,'2020 Data (WP)'!$D$9:$AA$70,18,FALSE)=0,"",VLOOKUP($A152,'2020 Data (WP)'!$D$9:$AA$70,18,FALSE)),"N/A")</f>
        <v>N/A</v>
      </c>
      <c r="J152" s="62" t="str">
        <f t="shared" si="31"/>
        <v>N/A</v>
      </c>
      <c r="K152" s="62" t="str">
        <f t="shared" si="34"/>
        <v>N/A</v>
      </c>
      <c r="L152" s="62"/>
      <c r="M152" s="62" t="str">
        <f t="shared" ca="1" si="35"/>
        <v>N/A</v>
      </c>
      <c r="N152" s="62" t="str">
        <f t="shared" ca="1" si="35"/>
        <v>N/A</v>
      </c>
      <c r="O152" s="62" t="str">
        <f t="shared" ca="1" si="35"/>
        <v>N/A</v>
      </c>
      <c r="P152" s="62" t="str">
        <f t="shared" ca="1" si="35"/>
        <v>N/A</v>
      </c>
      <c r="Q152" s="62" t="str">
        <f t="shared" ca="1" si="35"/>
        <v>N/A</v>
      </c>
      <c r="R152" s="62" t="str">
        <f t="shared" ca="1" si="35"/>
        <v>N/A</v>
      </c>
      <c r="S152" s="62" t="str">
        <f t="shared" ca="1" si="35"/>
        <v>N/A</v>
      </c>
      <c r="T152" s="62" t="str">
        <f t="shared" ca="1" si="35"/>
        <v>N/A</v>
      </c>
      <c r="U152" s="62" t="str">
        <f t="shared" ca="1" si="35"/>
        <v>N/A</v>
      </c>
      <c r="V152" s="62" t="str">
        <f t="shared" ca="1" si="35"/>
        <v>N/A</v>
      </c>
      <c r="W152" s="62" t="str">
        <f t="shared" ca="1" si="35"/>
        <v>N/A</v>
      </c>
      <c r="X152" s="62"/>
      <c r="Y152" s="17"/>
      <c r="Z152" s="17"/>
      <c r="AA152" s="17"/>
    </row>
    <row r="153" spans="1:27" hidden="1" x14ac:dyDescent="0.25">
      <c r="A153" s="50">
        <f t="shared" si="28"/>
        <v>0</v>
      </c>
      <c r="B153" s="45" t="e">
        <f t="shared" ca="1" si="29"/>
        <v>#N/A</v>
      </c>
      <c r="C153" s="1" t="str">
        <f>IF(ISERROR(D153),"",IF(D153="","",MAX($C$121:C152)+1))</f>
        <v/>
      </c>
      <c r="D153" t="e">
        <f t="shared" si="30"/>
        <v>#N/A</v>
      </c>
      <c r="E153" s="22"/>
      <c r="F153" s="62" t="str">
        <f t="shared" ca="1" si="33"/>
        <v>N/A</v>
      </c>
      <c r="G153" s="62" t="str">
        <f>IFERROR(IF(VLOOKUP($A153,'2022 Data (WP)'!$D$9:$AA$70,18,FALSE)=0,"",VLOOKUP($A153,'2022 Data (WP)'!$D$9:$AA$70,18,FALSE)),"N/A")</f>
        <v>N/A</v>
      </c>
      <c r="H153" s="62" t="str">
        <f>IFERROR(IF(VLOOKUP($A153,'2021 Data (WP)'!$D$9:$AA$70,18,FALSE)=0,"",VLOOKUP($A153,'2021 Data (WP)'!$D$9:$AA$70,18,FALSE)),"N/A")</f>
        <v>N/A</v>
      </c>
      <c r="I153" s="62" t="str">
        <f>IFERROR(IF(VLOOKUP($A153,'2020 Data (WP)'!$D$9:$AA$70,18,FALSE)=0,"",VLOOKUP($A153,'2020 Data (WP)'!$D$9:$AA$70,18,FALSE)),"N/A")</f>
        <v>N/A</v>
      </c>
      <c r="J153" s="62" t="str">
        <f t="shared" si="31"/>
        <v>N/A</v>
      </c>
      <c r="K153" s="62" t="str">
        <f t="shared" si="34"/>
        <v>N/A</v>
      </c>
      <c r="L153" s="62"/>
      <c r="M153" s="62" t="str">
        <f t="shared" ca="1" si="35"/>
        <v>N/A</v>
      </c>
      <c r="N153" s="62" t="str">
        <f t="shared" ca="1" si="35"/>
        <v>N/A</v>
      </c>
      <c r="O153" s="62" t="str">
        <f t="shared" ca="1" si="35"/>
        <v>N/A</v>
      </c>
      <c r="P153" s="62" t="str">
        <f t="shared" ca="1" si="35"/>
        <v>N/A</v>
      </c>
      <c r="Q153" s="62" t="str">
        <f t="shared" ca="1" si="35"/>
        <v>N/A</v>
      </c>
      <c r="R153" s="62" t="str">
        <f t="shared" ca="1" si="35"/>
        <v>N/A</v>
      </c>
      <c r="S153" s="62" t="str">
        <f t="shared" ca="1" si="35"/>
        <v>N/A</v>
      </c>
      <c r="T153" s="62" t="str">
        <f t="shared" ca="1" si="35"/>
        <v>N/A</v>
      </c>
      <c r="U153" s="62" t="str">
        <f t="shared" ca="1" si="35"/>
        <v>N/A</v>
      </c>
      <c r="V153" s="62" t="str">
        <f t="shared" ca="1" si="35"/>
        <v>N/A</v>
      </c>
      <c r="W153" s="62" t="str">
        <f t="shared" ca="1" si="35"/>
        <v>N/A</v>
      </c>
      <c r="X153" s="62"/>
      <c r="Y153" s="17"/>
      <c r="Z153" s="17"/>
      <c r="AA153" s="17"/>
    </row>
    <row r="154" spans="1:27" hidden="1" x14ac:dyDescent="0.25">
      <c r="A154" s="50">
        <f t="shared" si="28"/>
        <v>0</v>
      </c>
      <c r="B154" s="45" t="e">
        <f t="shared" ca="1" si="29"/>
        <v>#N/A</v>
      </c>
      <c r="C154" s="1" t="str">
        <f>IF(ISERROR(D154),"",IF(D154="","",MAX($C$121:C153)+1))</f>
        <v/>
      </c>
      <c r="D154" t="e">
        <f t="shared" si="30"/>
        <v>#N/A</v>
      </c>
      <c r="E154" s="22"/>
      <c r="F154" s="62" t="str">
        <f t="shared" ca="1" si="33"/>
        <v>N/A</v>
      </c>
      <c r="G154" s="62" t="str">
        <f>IFERROR(IF(VLOOKUP($A154,'2022 Data (WP)'!$D$9:$AA$70,18,FALSE)=0,"",VLOOKUP($A154,'2022 Data (WP)'!$D$9:$AA$70,18,FALSE)),"N/A")</f>
        <v>N/A</v>
      </c>
      <c r="H154" s="62" t="str">
        <f>IFERROR(IF(VLOOKUP($A154,'2021 Data (WP)'!$D$9:$AA$70,18,FALSE)=0,"",VLOOKUP($A154,'2021 Data (WP)'!$D$9:$AA$70,18,FALSE)),"N/A")</f>
        <v>N/A</v>
      </c>
      <c r="I154" s="62" t="str">
        <f>IFERROR(IF(VLOOKUP($A154,'2020 Data (WP)'!$D$9:$AA$70,18,FALSE)=0,"",VLOOKUP($A154,'2020 Data (WP)'!$D$9:$AA$70,18,FALSE)),"N/A")</f>
        <v>N/A</v>
      </c>
      <c r="J154" s="62" t="str">
        <f t="shared" si="31"/>
        <v>N/A</v>
      </c>
      <c r="K154" s="62" t="str">
        <f t="shared" si="34"/>
        <v>N/A</v>
      </c>
      <c r="L154" s="62"/>
      <c r="M154" s="62" t="str">
        <f t="shared" ca="1" si="35"/>
        <v>N/A</v>
      </c>
      <c r="N154" s="62" t="str">
        <f t="shared" ca="1" si="35"/>
        <v>N/A</v>
      </c>
      <c r="O154" s="62" t="str">
        <f t="shared" ca="1" si="35"/>
        <v>N/A</v>
      </c>
      <c r="P154" s="62" t="str">
        <f t="shared" ca="1" si="35"/>
        <v>N/A</v>
      </c>
      <c r="Q154" s="62" t="str">
        <f t="shared" ca="1" si="35"/>
        <v>N/A</v>
      </c>
      <c r="R154" s="62" t="str">
        <f t="shared" ca="1" si="35"/>
        <v>N/A</v>
      </c>
      <c r="S154" s="62" t="str">
        <f t="shared" ca="1" si="35"/>
        <v>N/A</v>
      </c>
      <c r="T154" s="62" t="str">
        <f t="shared" ca="1" si="35"/>
        <v>N/A</v>
      </c>
      <c r="U154" s="62" t="str">
        <f t="shared" ca="1" si="35"/>
        <v>N/A</v>
      </c>
      <c r="V154" s="62" t="str">
        <f t="shared" ca="1" si="35"/>
        <v>N/A</v>
      </c>
      <c r="W154" s="62" t="str">
        <f t="shared" ca="1" si="35"/>
        <v>N/A</v>
      </c>
      <c r="X154" s="62"/>
      <c r="Y154" s="17"/>
      <c r="Z154" s="17"/>
      <c r="AA154" s="17"/>
    </row>
    <row r="155" spans="1:27" hidden="1" x14ac:dyDescent="0.25">
      <c r="A155" s="50">
        <f t="shared" si="28"/>
        <v>0</v>
      </c>
      <c r="B155" s="45" t="e">
        <f t="shared" ca="1" si="29"/>
        <v>#N/A</v>
      </c>
      <c r="C155" s="1" t="str">
        <f>IF(ISERROR(D155),"",IF(D155="","",MAX($C$121:C154)+1))</f>
        <v/>
      </c>
      <c r="D155" t="e">
        <f t="shared" si="30"/>
        <v>#N/A</v>
      </c>
      <c r="E155" s="22"/>
      <c r="F155" s="62" t="str">
        <f t="shared" ca="1" si="33"/>
        <v>N/A</v>
      </c>
      <c r="G155" s="62" t="str">
        <f>IFERROR(IF(VLOOKUP($A155,'2022 Data (WP)'!$D$9:$AA$70,18,FALSE)=0,"",VLOOKUP($A155,'2022 Data (WP)'!$D$9:$AA$70,18,FALSE)),"N/A")</f>
        <v>N/A</v>
      </c>
      <c r="H155" s="62" t="str">
        <f>IFERROR(IF(VLOOKUP($A155,'2021 Data (WP)'!$D$9:$AA$70,18,FALSE)=0,"",VLOOKUP($A155,'2021 Data (WP)'!$D$9:$AA$70,18,FALSE)),"N/A")</f>
        <v>N/A</v>
      </c>
      <c r="I155" s="62" t="str">
        <f>IFERROR(IF(VLOOKUP($A155,'2020 Data (WP)'!$D$9:$AA$70,18,FALSE)=0,"",VLOOKUP($A155,'2020 Data (WP)'!$D$9:$AA$70,18,FALSE)),"N/A")</f>
        <v>N/A</v>
      </c>
      <c r="J155" s="62" t="str">
        <f t="shared" si="31"/>
        <v>N/A</v>
      </c>
      <c r="K155" s="62" t="str">
        <f t="shared" si="34"/>
        <v>N/A</v>
      </c>
      <c r="L155" s="62"/>
      <c r="M155" s="62" t="str">
        <f t="shared" ca="1" si="35"/>
        <v>N/A</v>
      </c>
      <c r="N155" s="62" t="str">
        <f t="shared" ca="1" si="35"/>
        <v>N/A</v>
      </c>
      <c r="O155" s="62" t="str">
        <f t="shared" ca="1" si="35"/>
        <v>N/A</v>
      </c>
      <c r="P155" s="62" t="str">
        <f t="shared" ca="1" si="35"/>
        <v>N/A</v>
      </c>
      <c r="Q155" s="62" t="str">
        <f t="shared" ca="1" si="35"/>
        <v>N/A</v>
      </c>
      <c r="R155" s="62" t="str">
        <f t="shared" ca="1" si="35"/>
        <v>N/A</v>
      </c>
      <c r="S155" s="62" t="str">
        <f t="shared" ca="1" si="35"/>
        <v>N/A</v>
      </c>
      <c r="T155" s="62" t="str">
        <f t="shared" ca="1" si="35"/>
        <v>N/A</v>
      </c>
      <c r="U155" s="62" t="str">
        <f t="shared" ca="1" si="35"/>
        <v>N/A</v>
      </c>
      <c r="V155" s="62" t="str">
        <f t="shared" ca="1" si="35"/>
        <v>N/A</v>
      </c>
      <c r="W155" s="62" t="str">
        <f t="shared" ca="1" si="35"/>
        <v>N/A</v>
      </c>
      <c r="X155" s="62"/>
      <c r="Y155" s="17"/>
      <c r="Z155" s="17"/>
      <c r="AA155" s="17"/>
    </row>
    <row r="156" spans="1:27" hidden="1" x14ac:dyDescent="0.25">
      <c r="A156" s="50">
        <f t="shared" si="28"/>
        <v>0</v>
      </c>
      <c r="B156" s="45" t="e">
        <f t="shared" ca="1" si="29"/>
        <v>#N/A</v>
      </c>
      <c r="C156" s="1" t="str">
        <f>IF(ISERROR(D156),"",IF(D156="","",MAX($C$121:C155)+1))</f>
        <v/>
      </c>
      <c r="D156" t="e">
        <f t="shared" si="30"/>
        <v>#N/A</v>
      </c>
      <c r="E156" s="22"/>
      <c r="F156" s="62" t="str">
        <f t="shared" ca="1" si="33"/>
        <v>N/A</v>
      </c>
      <c r="G156" s="62" t="str">
        <f>IFERROR(IF(VLOOKUP($A156,'2022 Data (WP)'!$D$9:$AA$70,18,FALSE)=0,"",VLOOKUP($A156,'2022 Data (WP)'!$D$9:$AA$70,18,FALSE)),"N/A")</f>
        <v>N/A</v>
      </c>
      <c r="H156" s="62" t="str">
        <f>IFERROR(IF(VLOOKUP($A156,'2021 Data (WP)'!$D$9:$AA$70,18,FALSE)=0,"",VLOOKUP($A156,'2021 Data (WP)'!$D$9:$AA$70,18,FALSE)),"N/A")</f>
        <v>N/A</v>
      </c>
      <c r="I156" s="62" t="str">
        <f>IFERROR(IF(VLOOKUP($A156,'2020 Data (WP)'!$D$9:$AA$70,18,FALSE)=0,"",VLOOKUP($A156,'2020 Data (WP)'!$D$9:$AA$70,18,FALSE)),"N/A")</f>
        <v>N/A</v>
      </c>
      <c r="J156" s="62" t="str">
        <f t="shared" si="31"/>
        <v>N/A</v>
      </c>
      <c r="K156" s="62" t="str">
        <f t="shared" si="34"/>
        <v>N/A</v>
      </c>
      <c r="L156" s="62"/>
      <c r="M156" s="62" t="str">
        <f t="shared" ca="1" si="35"/>
        <v>N/A</v>
      </c>
      <c r="N156" s="62" t="str">
        <f t="shared" ca="1" si="35"/>
        <v>N/A</v>
      </c>
      <c r="O156" s="62" t="str">
        <f t="shared" ca="1" si="35"/>
        <v>N/A</v>
      </c>
      <c r="P156" s="62" t="str">
        <f t="shared" ca="1" si="35"/>
        <v>N/A</v>
      </c>
      <c r="Q156" s="62" t="str">
        <f t="shared" ca="1" si="35"/>
        <v>N/A</v>
      </c>
      <c r="R156" s="62" t="str">
        <f t="shared" ca="1" si="35"/>
        <v>N/A</v>
      </c>
      <c r="S156" s="62" t="str">
        <f t="shared" ca="1" si="35"/>
        <v>N/A</v>
      </c>
      <c r="T156" s="62" t="str">
        <f t="shared" ca="1" si="35"/>
        <v>N/A</v>
      </c>
      <c r="U156" s="62" t="str">
        <f t="shared" ca="1" si="35"/>
        <v>N/A</v>
      </c>
      <c r="V156" s="62" t="str">
        <f t="shared" ca="1" si="35"/>
        <v>N/A</v>
      </c>
      <c r="W156" s="62" t="str">
        <f t="shared" ca="1" si="35"/>
        <v>N/A</v>
      </c>
      <c r="X156" s="62"/>
      <c r="Y156" s="17"/>
      <c r="Z156" s="17"/>
      <c r="AA156" s="17"/>
    </row>
    <row r="157" spans="1:27" hidden="1" x14ac:dyDescent="0.25">
      <c r="A157" s="50">
        <f t="shared" si="28"/>
        <v>0</v>
      </c>
      <c r="B157" s="45" t="e">
        <f t="shared" ca="1" si="29"/>
        <v>#N/A</v>
      </c>
      <c r="C157" s="1" t="str">
        <f>IF(ISERROR(D157),"",IF(D157="","",MAX($C$121:C156)+1))</f>
        <v/>
      </c>
      <c r="D157" t="e">
        <f t="shared" si="30"/>
        <v>#N/A</v>
      </c>
      <c r="E157" s="22"/>
      <c r="F157" s="62" t="str">
        <f t="shared" ca="1" si="33"/>
        <v>N/A</v>
      </c>
      <c r="G157" s="62" t="str">
        <f>IFERROR(IF(VLOOKUP($A157,'2022 Data (WP)'!$D$9:$AA$70,18,FALSE)=0,"",VLOOKUP($A157,'2022 Data (WP)'!$D$9:$AA$70,18,FALSE)),"N/A")</f>
        <v>N/A</v>
      </c>
      <c r="H157" s="62" t="str">
        <f>IFERROR(IF(VLOOKUP($A157,'2021 Data (WP)'!$D$9:$AA$70,18,FALSE)=0,"",VLOOKUP($A157,'2021 Data (WP)'!$D$9:$AA$70,18,FALSE)),"N/A")</f>
        <v>N/A</v>
      </c>
      <c r="I157" s="62" t="str">
        <f>IFERROR(IF(VLOOKUP($A157,'2020 Data (WP)'!$D$9:$AA$70,18,FALSE)=0,"",VLOOKUP($A157,'2020 Data (WP)'!$D$9:$AA$70,18,FALSE)),"N/A")</f>
        <v>N/A</v>
      </c>
      <c r="J157" s="62" t="str">
        <f t="shared" si="31"/>
        <v>N/A</v>
      </c>
      <c r="K157" s="62" t="str">
        <f t="shared" si="34"/>
        <v>N/A</v>
      </c>
      <c r="L157" s="62"/>
      <c r="M157" s="62" t="str">
        <f t="shared" ca="1" si="35"/>
        <v>N/A</v>
      </c>
      <c r="N157" s="62" t="str">
        <f t="shared" ca="1" si="35"/>
        <v>N/A</v>
      </c>
      <c r="O157" s="62" t="str">
        <f t="shared" ca="1" si="35"/>
        <v>N/A</v>
      </c>
      <c r="P157" s="62" t="str">
        <f t="shared" ca="1" si="35"/>
        <v>N/A</v>
      </c>
      <c r="Q157" s="62" t="str">
        <f t="shared" ca="1" si="35"/>
        <v>N/A</v>
      </c>
      <c r="R157" s="62" t="str">
        <f t="shared" ca="1" si="35"/>
        <v>N/A</v>
      </c>
      <c r="S157" s="62" t="str">
        <f t="shared" ca="1" si="35"/>
        <v>N/A</v>
      </c>
      <c r="T157" s="62" t="str">
        <f t="shared" ca="1" si="35"/>
        <v>N/A</v>
      </c>
      <c r="U157" s="62" t="str">
        <f t="shared" ca="1" si="35"/>
        <v>N/A</v>
      </c>
      <c r="V157" s="62" t="str">
        <f t="shared" ca="1" si="35"/>
        <v>N/A</v>
      </c>
      <c r="W157" s="62" t="str">
        <f t="shared" ca="1" si="35"/>
        <v>N/A</v>
      </c>
      <c r="X157" s="62"/>
      <c r="Y157" s="17"/>
      <c r="Z157" s="17"/>
      <c r="AA157" s="17"/>
    </row>
    <row r="158" spans="1:27" hidden="1" x14ac:dyDescent="0.25">
      <c r="A158" s="50">
        <f t="shared" si="28"/>
        <v>0</v>
      </c>
      <c r="B158" s="45" t="e">
        <f t="shared" ca="1" si="29"/>
        <v>#N/A</v>
      </c>
      <c r="C158" s="1" t="str">
        <f>IF(ISERROR(D158),"",IF(D158="","",MAX($C$121:C157)+1))</f>
        <v/>
      </c>
      <c r="D158" t="e">
        <f t="shared" si="30"/>
        <v>#N/A</v>
      </c>
      <c r="E158" s="22"/>
      <c r="F158" s="62" t="str">
        <f t="shared" ca="1" si="33"/>
        <v>N/A</v>
      </c>
      <c r="G158" s="62" t="str">
        <f>IFERROR(IF(VLOOKUP($A158,'2022 Data (WP)'!$D$9:$AA$70,18,FALSE)=0,"",VLOOKUP($A158,'2022 Data (WP)'!$D$9:$AA$70,18,FALSE)),"N/A")</f>
        <v>N/A</v>
      </c>
      <c r="H158" s="62" t="str">
        <f>IFERROR(IF(VLOOKUP($A158,'2021 Data (WP)'!$D$9:$AA$70,18,FALSE)=0,"",VLOOKUP($A158,'2021 Data (WP)'!$D$9:$AA$70,18,FALSE)),"N/A")</f>
        <v>N/A</v>
      </c>
      <c r="I158" s="62" t="str">
        <f>IFERROR(IF(VLOOKUP($A158,'2020 Data (WP)'!$D$9:$AA$70,18,FALSE)=0,"",VLOOKUP($A158,'2020 Data (WP)'!$D$9:$AA$70,18,FALSE)),"N/A")</f>
        <v>N/A</v>
      </c>
      <c r="J158" s="62" t="str">
        <f t="shared" si="31"/>
        <v>N/A</v>
      </c>
      <c r="K158" s="62" t="str">
        <f t="shared" si="34"/>
        <v>N/A</v>
      </c>
      <c r="L158" s="62"/>
      <c r="M158" s="62" t="str">
        <f t="shared" ca="1" si="35"/>
        <v>N/A</v>
      </c>
      <c r="N158" s="62" t="str">
        <f t="shared" ca="1" si="35"/>
        <v>N/A</v>
      </c>
      <c r="O158" s="62" t="str">
        <f t="shared" ca="1" si="35"/>
        <v>N/A</v>
      </c>
      <c r="P158" s="62" t="str">
        <f t="shared" ca="1" si="35"/>
        <v>N/A</v>
      </c>
      <c r="Q158" s="62" t="str">
        <f t="shared" ca="1" si="35"/>
        <v>N/A</v>
      </c>
      <c r="R158" s="62" t="str">
        <f t="shared" ca="1" si="35"/>
        <v>N/A</v>
      </c>
      <c r="S158" s="62" t="str">
        <f t="shared" ca="1" si="35"/>
        <v>N/A</v>
      </c>
      <c r="T158" s="62" t="str">
        <f t="shared" ca="1" si="35"/>
        <v>N/A</v>
      </c>
      <c r="U158" s="62" t="str">
        <f t="shared" ca="1" si="35"/>
        <v>N/A</v>
      </c>
      <c r="V158" s="62" t="str">
        <f t="shared" ca="1" si="35"/>
        <v>N/A</v>
      </c>
      <c r="W158" s="62" t="str">
        <f t="shared" ca="1" si="35"/>
        <v>N/A</v>
      </c>
      <c r="X158" s="62"/>
      <c r="Y158" s="17"/>
      <c r="Z158" s="17"/>
      <c r="AA158" s="17"/>
    </row>
    <row r="159" spans="1:27" hidden="1" x14ac:dyDescent="0.25">
      <c r="A159" s="50">
        <f t="shared" si="28"/>
        <v>0</v>
      </c>
      <c r="B159" s="45" t="e">
        <f t="shared" ca="1" si="29"/>
        <v>#N/A</v>
      </c>
      <c r="C159" s="1" t="str">
        <f>IF(ISERROR(D159),"",IF(D159="","",MAX($C$121:C158)+1))</f>
        <v/>
      </c>
      <c r="D159" t="e">
        <f t="shared" si="30"/>
        <v>#N/A</v>
      </c>
      <c r="E159" s="22"/>
      <c r="F159" s="62" t="str">
        <f t="shared" ca="1" si="33"/>
        <v>N/A</v>
      </c>
      <c r="G159" s="62" t="str">
        <f>IFERROR(IF(VLOOKUP($A159,'2022 Data (WP)'!$D$9:$AA$70,18,FALSE)=0,"",VLOOKUP($A159,'2022 Data (WP)'!$D$9:$AA$70,18,FALSE)),"N/A")</f>
        <v>N/A</v>
      </c>
      <c r="H159" s="62" t="str">
        <f>IFERROR(IF(VLOOKUP($A159,'2021 Data (WP)'!$D$9:$AA$70,18,FALSE)=0,"",VLOOKUP($A159,'2021 Data (WP)'!$D$9:$AA$70,18,FALSE)),"N/A")</f>
        <v>N/A</v>
      </c>
      <c r="I159" s="62" t="str">
        <f>IFERROR(IF(VLOOKUP($A159,'2020 Data (WP)'!$D$9:$AA$70,18,FALSE)=0,"",VLOOKUP($A159,'2020 Data (WP)'!$D$9:$AA$70,18,FALSE)),"N/A")</f>
        <v>N/A</v>
      </c>
      <c r="J159" s="62" t="str">
        <f t="shared" si="31"/>
        <v>N/A</v>
      </c>
      <c r="K159" s="62" t="str">
        <f t="shared" si="34"/>
        <v>N/A</v>
      </c>
      <c r="L159" s="62"/>
      <c r="M159" s="62" t="str">
        <f t="shared" ca="1" si="35"/>
        <v>N/A</v>
      </c>
      <c r="N159" s="62" t="str">
        <f t="shared" ca="1" si="35"/>
        <v>N/A</v>
      </c>
      <c r="O159" s="62" t="str">
        <f t="shared" ca="1" si="35"/>
        <v>N/A</v>
      </c>
      <c r="P159" s="62" t="str">
        <f t="shared" ca="1" si="35"/>
        <v>N/A</v>
      </c>
      <c r="Q159" s="62" t="str">
        <f t="shared" ca="1" si="35"/>
        <v>N/A</v>
      </c>
      <c r="R159" s="62" t="str">
        <f t="shared" ca="1" si="35"/>
        <v>N/A</v>
      </c>
      <c r="S159" s="62" t="str">
        <f t="shared" ca="1" si="35"/>
        <v>N/A</v>
      </c>
      <c r="T159" s="62" t="str">
        <f t="shared" ca="1" si="35"/>
        <v>N/A</v>
      </c>
      <c r="U159" s="62" t="str">
        <f t="shared" ca="1" si="35"/>
        <v>N/A</v>
      </c>
      <c r="V159" s="62" t="str">
        <f t="shared" ca="1" si="35"/>
        <v>N/A</v>
      </c>
      <c r="W159" s="62" t="str">
        <f t="shared" ca="1" si="35"/>
        <v>N/A</v>
      </c>
      <c r="X159" s="62"/>
      <c r="Y159" s="17"/>
      <c r="Z159" s="17"/>
      <c r="AA159" s="17"/>
    </row>
    <row r="160" spans="1:27" hidden="1" x14ac:dyDescent="0.25">
      <c r="A160" s="50">
        <f t="shared" si="28"/>
        <v>0</v>
      </c>
      <c r="B160" s="45" t="e">
        <f t="shared" ca="1" si="29"/>
        <v>#N/A</v>
      </c>
      <c r="C160" s="1" t="str">
        <f>IF(ISERROR(D160),"",IF(D160="","",MAX($C$121:C159)+1))</f>
        <v/>
      </c>
      <c r="D160" t="e">
        <f t="shared" si="30"/>
        <v>#N/A</v>
      </c>
      <c r="E160" s="22"/>
      <c r="F160" s="62" t="str">
        <f t="shared" ca="1" si="33"/>
        <v>N/A</v>
      </c>
      <c r="G160" s="62" t="str">
        <f>IFERROR(IF(VLOOKUP($A160,'2022 Data (WP)'!$D$9:$AA$70,18,FALSE)=0,"",VLOOKUP($A160,'2022 Data (WP)'!$D$9:$AA$70,18,FALSE)),"N/A")</f>
        <v>N/A</v>
      </c>
      <c r="H160" s="62" t="str">
        <f>IFERROR(IF(VLOOKUP($A160,'2021 Data (WP)'!$D$9:$AA$70,18,FALSE)=0,"",VLOOKUP($A160,'2021 Data (WP)'!$D$9:$AA$70,18,FALSE)),"N/A")</f>
        <v>N/A</v>
      </c>
      <c r="I160" s="62" t="str">
        <f>IFERROR(IF(VLOOKUP($A160,'2020 Data (WP)'!$D$9:$AA$70,18,FALSE)=0,"",VLOOKUP($A160,'2020 Data (WP)'!$D$9:$AA$70,18,FALSE)),"N/A")</f>
        <v>N/A</v>
      </c>
      <c r="J160" s="62" t="str">
        <f t="shared" si="31"/>
        <v>N/A</v>
      </c>
      <c r="K160" s="62" t="str">
        <f t="shared" si="34"/>
        <v>N/A</v>
      </c>
      <c r="L160" s="62"/>
      <c r="M160" s="62" t="str">
        <f t="shared" ca="1" si="35"/>
        <v>N/A</v>
      </c>
      <c r="N160" s="62" t="str">
        <f t="shared" ca="1" si="35"/>
        <v>N/A</v>
      </c>
      <c r="O160" s="62" t="str">
        <f t="shared" ca="1" si="35"/>
        <v>N/A</v>
      </c>
      <c r="P160" s="62" t="str">
        <f t="shared" ca="1" si="35"/>
        <v>N/A</v>
      </c>
      <c r="Q160" s="62" t="str">
        <f t="shared" ca="1" si="35"/>
        <v>N/A</v>
      </c>
      <c r="R160" s="62" t="str">
        <f t="shared" ca="1" si="35"/>
        <v>N/A</v>
      </c>
      <c r="S160" s="62" t="str">
        <f t="shared" ca="1" si="35"/>
        <v>N/A</v>
      </c>
      <c r="T160" s="62" t="str">
        <f t="shared" ca="1" si="35"/>
        <v>N/A</v>
      </c>
      <c r="U160" s="62" t="str">
        <f t="shared" ca="1" si="35"/>
        <v>N/A</v>
      </c>
      <c r="V160" s="62" t="str">
        <f t="shared" ca="1" si="35"/>
        <v>N/A</v>
      </c>
      <c r="W160" s="62" t="str">
        <f t="shared" ca="1" si="35"/>
        <v>N/A</v>
      </c>
      <c r="X160" s="62"/>
      <c r="Y160" s="17"/>
      <c r="Z160" s="17"/>
      <c r="AA160" s="17"/>
    </row>
    <row r="161" spans="1:27" hidden="1" x14ac:dyDescent="0.25">
      <c r="A161" s="50">
        <f t="shared" si="28"/>
        <v>0</v>
      </c>
      <c r="B161" s="45" t="e">
        <f t="shared" ca="1" si="29"/>
        <v>#N/A</v>
      </c>
      <c r="C161" s="1" t="str">
        <f>IF(ISERROR(D161),"",IF(D161="","",MAX($C$121:C160)+1))</f>
        <v/>
      </c>
      <c r="D161" t="e">
        <f t="shared" si="30"/>
        <v>#N/A</v>
      </c>
      <c r="E161" s="22"/>
      <c r="F161" s="62" t="str">
        <f t="shared" ca="1" si="33"/>
        <v>N/A</v>
      </c>
      <c r="G161" s="62" t="str">
        <f>IFERROR(IF(VLOOKUP($A161,'2022 Data (WP)'!$D$9:$AA$70,18,FALSE)=0,"",VLOOKUP($A161,'2022 Data (WP)'!$D$9:$AA$70,18,FALSE)),"N/A")</f>
        <v>N/A</v>
      </c>
      <c r="H161" s="62" t="str">
        <f>IFERROR(IF(VLOOKUP($A161,'2021 Data (WP)'!$D$9:$AA$70,18,FALSE)=0,"",VLOOKUP($A161,'2021 Data (WP)'!$D$9:$AA$70,18,FALSE)),"N/A")</f>
        <v>N/A</v>
      </c>
      <c r="I161" s="62" t="str">
        <f>IFERROR(IF(VLOOKUP($A161,'2020 Data (WP)'!$D$9:$AA$70,18,FALSE)=0,"",VLOOKUP($A161,'2020 Data (WP)'!$D$9:$AA$70,18,FALSE)),"N/A")</f>
        <v>N/A</v>
      </c>
      <c r="J161" s="62" t="str">
        <f t="shared" si="31"/>
        <v>N/A</v>
      </c>
      <c r="K161" s="62" t="str">
        <f t="shared" si="34"/>
        <v>N/A</v>
      </c>
      <c r="L161" s="62"/>
      <c r="M161" s="62" t="str">
        <f t="shared" ca="1" si="35"/>
        <v>N/A</v>
      </c>
      <c r="N161" s="62" t="str">
        <f t="shared" ca="1" si="35"/>
        <v>N/A</v>
      </c>
      <c r="O161" s="62" t="str">
        <f t="shared" ca="1" si="35"/>
        <v>N/A</v>
      </c>
      <c r="P161" s="62" t="str">
        <f t="shared" ca="1" si="35"/>
        <v>N/A</v>
      </c>
      <c r="Q161" s="62" t="str">
        <f t="shared" ca="1" si="35"/>
        <v>N/A</v>
      </c>
      <c r="R161" s="62" t="str">
        <f t="shared" ca="1" si="35"/>
        <v>N/A</v>
      </c>
      <c r="S161" s="62" t="str">
        <f t="shared" ca="1" si="35"/>
        <v>N/A</v>
      </c>
      <c r="T161" s="62" t="str">
        <f t="shared" ca="1" si="35"/>
        <v>N/A</v>
      </c>
      <c r="U161" s="62" t="str">
        <f t="shared" ca="1" si="35"/>
        <v>N/A</v>
      </c>
      <c r="V161" s="62" t="str">
        <f t="shared" ca="1" si="35"/>
        <v>N/A</v>
      </c>
      <c r="W161" s="62" t="str">
        <f t="shared" ca="1" si="35"/>
        <v>N/A</v>
      </c>
      <c r="X161" s="62"/>
      <c r="Y161" s="17"/>
      <c r="Z161" s="17"/>
      <c r="AA161" s="17"/>
    </row>
    <row r="162" spans="1:27" hidden="1" x14ac:dyDescent="0.25">
      <c r="A162" s="50">
        <f t="shared" si="28"/>
        <v>0</v>
      </c>
      <c r="B162" s="45" t="e">
        <f t="shared" ca="1" si="29"/>
        <v>#N/A</v>
      </c>
      <c r="C162" s="1" t="str">
        <f>IF(ISERROR(D162),"",IF(D162="","",MAX($C$121:C161)+1))</f>
        <v/>
      </c>
      <c r="D162" t="e">
        <f t="shared" si="30"/>
        <v>#N/A</v>
      </c>
      <c r="E162" s="22"/>
      <c r="F162" s="62" t="str">
        <f t="shared" ca="1" si="33"/>
        <v>N/A</v>
      </c>
      <c r="G162" s="62" t="str">
        <f>IFERROR(IF(VLOOKUP($A162,'2022 Data (WP)'!$D$9:$AA$70,18,FALSE)=0,"",VLOOKUP($A162,'2022 Data (WP)'!$D$9:$AA$70,18,FALSE)),"N/A")</f>
        <v>N/A</v>
      </c>
      <c r="H162" s="62" t="str">
        <f>IFERROR(IF(VLOOKUP($A162,'2021 Data (WP)'!$D$9:$AA$70,18,FALSE)=0,"",VLOOKUP($A162,'2021 Data (WP)'!$D$9:$AA$70,18,FALSE)),"N/A")</f>
        <v>N/A</v>
      </c>
      <c r="I162" s="62" t="str">
        <f>IFERROR(IF(VLOOKUP($A162,'2020 Data (WP)'!$D$9:$AA$70,18,FALSE)=0,"",VLOOKUP($A162,'2020 Data (WP)'!$D$9:$AA$70,18,FALSE)),"N/A")</f>
        <v>N/A</v>
      </c>
      <c r="J162" s="62" t="str">
        <f t="shared" si="31"/>
        <v>N/A</v>
      </c>
      <c r="K162" s="62" t="str">
        <f t="shared" si="34"/>
        <v>N/A</v>
      </c>
      <c r="L162" s="62"/>
      <c r="M162" s="62" t="str">
        <f t="shared" ca="1" si="35"/>
        <v>N/A</v>
      </c>
      <c r="N162" s="62" t="str">
        <f t="shared" ca="1" si="35"/>
        <v>N/A</v>
      </c>
      <c r="O162" s="62" t="str">
        <f t="shared" ref="N162:W167" ca="1" si="36">IFERROR(IF(INDEX(MP_BV_WP,$B162,O$122)=0,"N/A",INDEX(MP_BV_WP,$B162,O$122)),"N/A")</f>
        <v>N/A</v>
      </c>
      <c r="P162" s="62" t="str">
        <f t="shared" ca="1" si="36"/>
        <v>N/A</v>
      </c>
      <c r="Q162" s="62" t="str">
        <f t="shared" ca="1" si="36"/>
        <v>N/A</v>
      </c>
      <c r="R162" s="62" t="str">
        <f t="shared" ca="1" si="36"/>
        <v>N/A</v>
      </c>
      <c r="S162" s="62" t="str">
        <f t="shared" ca="1" si="36"/>
        <v>N/A</v>
      </c>
      <c r="T162" s="62" t="str">
        <f t="shared" ca="1" si="36"/>
        <v>N/A</v>
      </c>
      <c r="U162" s="62" t="str">
        <f t="shared" ca="1" si="36"/>
        <v>N/A</v>
      </c>
      <c r="V162" s="62" t="str">
        <f t="shared" ca="1" si="36"/>
        <v>N/A</v>
      </c>
      <c r="W162" s="62" t="str">
        <f t="shared" ca="1" si="36"/>
        <v>N/A</v>
      </c>
      <c r="X162" s="62"/>
      <c r="Y162" s="17"/>
      <c r="Z162" s="17"/>
      <c r="AA162" s="17"/>
    </row>
    <row r="163" spans="1:27" hidden="1" x14ac:dyDescent="0.25">
      <c r="A163" s="50">
        <f t="shared" si="28"/>
        <v>0</v>
      </c>
      <c r="B163" s="45" t="e">
        <f t="shared" ca="1" si="29"/>
        <v>#N/A</v>
      </c>
      <c r="C163" s="1" t="str">
        <f>IF(ISERROR(D163),"",IF(D163="","",MAX($C$121:C162)+1))</f>
        <v/>
      </c>
      <c r="D163" t="e">
        <f t="shared" si="30"/>
        <v>#N/A</v>
      </c>
      <c r="E163" s="22"/>
      <c r="F163" s="62" t="str">
        <f t="shared" ca="1" si="33"/>
        <v>N/A</v>
      </c>
      <c r="G163" s="62" t="str">
        <f>IFERROR(IF(VLOOKUP($A163,'2022 Data (WP)'!$D$9:$AA$70,18,FALSE)=0,"",VLOOKUP($A163,'2022 Data (WP)'!$D$9:$AA$70,18,FALSE)),"N/A")</f>
        <v>N/A</v>
      </c>
      <c r="H163" s="62" t="str">
        <f>IFERROR(IF(VLOOKUP($A163,'2021 Data (WP)'!$D$9:$AA$70,18,FALSE)=0,"",VLOOKUP($A163,'2021 Data (WP)'!$D$9:$AA$70,18,FALSE)),"N/A")</f>
        <v>N/A</v>
      </c>
      <c r="I163" s="62" t="str">
        <f>IFERROR(IF(VLOOKUP($A163,'2020 Data (WP)'!$D$9:$AA$70,18,FALSE)=0,"",VLOOKUP($A163,'2020 Data (WP)'!$D$9:$AA$70,18,FALSE)),"N/A")</f>
        <v>N/A</v>
      </c>
      <c r="J163" s="62" t="str">
        <f t="shared" si="31"/>
        <v>N/A</v>
      </c>
      <c r="K163" s="62" t="str">
        <f t="shared" si="34"/>
        <v>N/A</v>
      </c>
      <c r="L163" s="62"/>
      <c r="M163" s="62" t="str">
        <f ca="1">IFERROR(IF(INDEX(MP_BV_WP,$B163,M$122)=0,"N/A",INDEX(MP_BV_WP,$B163,M$122)),"N/A")</f>
        <v>N/A</v>
      </c>
      <c r="N163" s="62" t="str">
        <f t="shared" ca="1" si="36"/>
        <v>N/A</v>
      </c>
      <c r="O163" s="62" t="str">
        <f t="shared" ca="1" si="36"/>
        <v>N/A</v>
      </c>
      <c r="P163" s="62" t="str">
        <f t="shared" ca="1" si="36"/>
        <v>N/A</v>
      </c>
      <c r="Q163" s="62" t="str">
        <f t="shared" ca="1" si="36"/>
        <v>N/A</v>
      </c>
      <c r="R163" s="62" t="str">
        <f t="shared" ca="1" si="36"/>
        <v>N/A</v>
      </c>
      <c r="S163" s="62" t="str">
        <f t="shared" ca="1" si="36"/>
        <v>N/A</v>
      </c>
      <c r="T163" s="62" t="str">
        <f t="shared" ca="1" si="36"/>
        <v>N/A</v>
      </c>
      <c r="U163" s="62" t="str">
        <f t="shared" ca="1" si="36"/>
        <v>N/A</v>
      </c>
      <c r="V163" s="62" t="str">
        <f t="shared" ca="1" si="36"/>
        <v>N/A</v>
      </c>
      <c r="W163" s="62" t="str">
        <f t="shared" ca="1" si="36"/>
        <v>N/A</v>
      </c>
      <c r="X163" s="62"/>
      <c r="Y163" s="17"/>
      <c r="Z163" s="17"/>
      <c r="AA163" s="17"/>
    </row>
    <row r="164" spans="1:27" hidden="1" x14ac:dyDescent="0.25">
      <c r="A164" s="50">
        <f t="shared" si="28"/>
        <v>0</v>
      </c>
      <c r="B164" s="45" t="e">
        <f t="shared" ca="1" si="29"/>
        <v>#N/A</v>
      </c>
      <c r="C164" s="1" t="str">
        <f>IF(ISERROR(D164),"",IF(D164="","",MAX($C$121:C163)+1))</f>
        <v/>
      </c>
      <c r="D164" t="e">
        <f t="shared" si="30"/>
        <v>#N/A</v>
      </c>
      <c r="E164" s="22"/>
      <c r="F164" s="62" t="str">
        <f t="shared" ca="1" si="33"/>
        <v>N/A</v>
      </c>
      <c r="G164" s="62" t="str">
        <f>IFERROR(IF(VLOOKUP($A164,'2022 Data (WP)'!$D$9:$AA$70,18,FALSE)=0,"",VLOOKUP($A164,'2022 Data (WP)'!$D$9:$AA$70,18,FALSE)),"N/A")</f>
        <v>N/A</v>
      </c>
      <c r="H164" s="62" t="str">
        <f>IFERROR(IF(VLOOKUP($A164,'2021 Data (WP)'!$D$9:$AA$70,18,FALSE)=0,"",VLOOKUP($A164,'2021 Data (WP)'!$D$9:$AA$70,18,FALSE)),"N/A")</f>
        <v>N/A</v>
      </c>
      <c r="I164" s="62" t="str">
        <f>IFERROR(IF(VLOOKUP($A164,'2020 Data (WP)'!$D$9:$AA$70,18,FALSE)=0,"",VLOOKUP($A164,'2020 Data (WP)'!$D$9:$AA$70,18,FALSE)),"N/A")</f>
        <v>N/A</v>
      </c>
      <c r="J164" s="62" t="str">
        <f t="shared" si="31"/>
        <v>N/A</v>
      </c>
      <c r="K164" s="62" t="str">
        <f t="shared" si="34"/>
        <v>N/A</v>
      </c>
      <c r="L164" s="62"/>
      <c r="M164" s="62" t="str">
        <f ca="1">IFERROR(IF(INDEX(MP_BV_WP,$B164,M$122)=0,"N/A",INDEX(MP_BV_WP,$B164,M$122)),"N/A")</f>
        <v>N/A</v>
      </c>
      <c r="N164" s="62" t="str">
        <f t="shared" ca="1" si="36"/>
        <v>N/A</v>
      </c>
      <c r="O164" s="62" t="str">
        <f t="shared" ca="1" si="36"/>
        <v>N/A</v>
      </c>
      <c r="P164" s="62" t="str">
        <f t="shared" ca="1" si="36"/>
        <v>N/A</v>
      </c>
      <c r="Q164" s="62" t="str">
        <f t="shared" ca="1" si="36"/>
        <v>N/A</v>
      </c>
      <c r="R164" s="62" t="str">
        <f t="shared" ca="1" si="36"/>
        <v>N/A</v>
      </c>
      <c r="S164" s="62" t="str">
        <f t="shared" ca="1" si="36"/>
        <v>N/A</v>
      </c>
      <c r="T164" s="62" t="str">
        <f t="shared" ca="1" si="36"/>
        <v>N/A</v>
      </c>
      <c r="U164" s="62" t="str">
        <f t="shared" ca="1" si="36"/>
        <v>N/A</v>
      </c>
      <c r="V164" s="62" t="str">
        <f t="shared" ca="1" si="36"/>
        <v>N/A</v>
      </c>
      <c r="W164" s="62" t="str">
        <f t="shared" ca="1" si="36"/>
        <v>N/A</v>
      </c>
      <c r="X164" s="62"/>
      <c r="Y164" s="17"/>
      <c r="Z164" s="17"/>
      <c r="AA164" s="17"/>
    </row>
    <row r="165" spans="1:27" hidden="1" x14ac:dyDescent="0.25">
      <c r="A165" s="50">
        <f t="shared" si="28"/>
        <v>0</v>
      </c>
      <c r="B165" s="45" t="e">
        <f t="shared" ca="1" si="29"/>
        <v>#N/A</v>
      </c>
      <c r="C165" s="1" t="str">
        <f>IF(ISERROR(D165),"",IF(D165="","",MAX($C$121:C164)+1))</f>
        <v/>
      </c>
      <c r="D165" t="e">
        <f t="shared" si="30"/>
        <v>#N/A</v>
      </c>
      <c r="F165" s="62" t="str">
        <f t="shared" ca="1" si="33"/>
        <v>N/A</v>
      </c>
      <c r="G165" s="62" t="str">
        <f>IFERROR(IF(VLOOKUP($A165,'2022 Data (WP)'!$D$9:$AA$70,18,FALSE)=0,"",VLOOKUP($A165,'2022 Data (WP)'!$D$9:$AA$70,18,FALSE)),"N/A")</f>
        <v>N/A</v>
      </c>
      <c r="H165" s="62" t="str">
        <f>IFERROR(IF(VLOOKUP($A165,'2021 Data (WP)'!$D$9:$AA$70,18,FALSE)=0,"",VLOOKUP($A165,'2021 Data (WP)'!$D$9:$AA$70,18,FALSE)),"N/A")</f>
        <v>N/A</v>
      </c>
      <c r="I165" s="62" t="str">
        <f>IFERROR(IF(VLOOKUP($A165,'2020 Data (WP)'!$D$9:$AA$70,18,FALSE)=0,"",VLOOKUP($A165,'2020 Data (WP)'!$D$9:$AA$70,18,FALSE)),"N/A")</f>
        <v>N/A</v>
      </c>
      <c r="J165" s="62" t="str">
        <f t="shared" si="31"/>
        <v>N/A</v>
      </c>
      <c r="K165" s="62" t="str">
        <f t="shared" si="34"/>
        <v>N/A</v>
      </c>
      <c r="L165" s="62"/>
      <c r="M165" s="62" t="str">
        <f ca="1">IFERROR(IF(INDEX(MP_BV_WP,$B165,M$122)=0,"N/A",INDEX(MP_BV_WP,$B165,M$122)),"N/A")</f>
        <v>N/A</v>
      </c>
      <c r="N165" s="62" t="str">
        <f t="shared" ca="1" si="36"/>
        <v>N/A</v>
      </c>
      <c r="O165" s="62" t="str">
        <f t="shared" ca="1" si="36"/>
        <v>N/A</v>
      </c>
      <c r="P165" s="62" t="str">
        <f t="shared" ca="1" si="36"/>
        <v>N/A</v>
      </c>
      <c r="Q165" s="62" t="str">
        <f t="shared" ca="1" si="36"/>
        <v>N/A</v>
      </c>
      <c r="R165" s="62" t="str">
        <f t="shared" ca="1" si="36"/>
        <v>N/A</v>
      </c>
      <c r="S165" s="62" t="str">
        <f t="shared" ca="1" si="36"/>
        <v>N/A</v>
      </c>
      <c r="T165" s="62" t="str">
        <f t="shared" ca="1" si="36"/>
        <v>N/A</v>
      </c>
      <c r="U165" s="62" t="str">
        <f t="shared" ca="1" si="36"/>
        <v>N/A</v>
      </c>
      <c r="V165" s="62" t="str">
        <f t="shared" ca="1" si="36"/>
        <v>N/A</v>
      </c>
      <c r="W165" s="62" t="str">
        <f t="shared" ca="1" si="36"/>
        <v>N/A</v>
      </c>
      <c r="X165" s="62"/>
      <c r="Y165" s="17"/>
      <c r="Z165" s="17"/>
      <c r="AA165" s="17"/>
    </row>
    <row r="166" spans="1:27" hidden="1" x14ac:dyDescent="0.25">
      <c r="A166" s="50">
        <f t="shared" si="28"/>
        <v>0</v>
      </c>
      <c r="B166" s="45" t="e">
        <f t="shared" ca="1" si="29"/>
        <v>#N/A</v>
      </c>
      <c r="C166" s="1" t="str">
        <f>IF(ISERROR(D166),"",IF(D166="","",MAX($C$121:C165)+1))</f>
        <v/>
      </c>
      <c r="D166" t="e">
        <f t="shared" si="30"/>
        <v>#N/A</v>
      </c>
      <c r="F166" s="62" t="str">
        <f t="shared" ca="1" si="33"/>
        <v>N/A</v>
      </c>
      <c r="G166" s="62" t="str">
        <f>IFERROR(IF(VLOOKUP($A166,'2022 Data (WP)'!$D$9:$AA$70,18,FALSE)=0,"",VLOOKUP($A166,'2022 Data (WP)'!$D$9:$AA$70,18,FALSE)),"N/A")</f>
        <v>N/A</v>
      </c>
      <c r="H166" s="62" t="str">
        <f>IFERROR(IF(VLOOKUP($A166,'2021 Data (WP)'!$D$9:$AA$70,18,FALSE)=0,"",VLOOKUP($A166,'2021 Data (WP)'!$D$9:$AA$70,18,FALSE)),"N/A")</f>
        <v>N/A</v>
      </c>
      <c r="I166" s="62" t="str">
        <f>IFERROR(IF(VLOOKUP($A166,'2020 Data (WP)'!$D$9:$AA$70,18,FALSE)=0,"",VLOOKUP($A166,'2020 Data (WP)'!$D$9:$AA$70,18,FALSE)),"N/A")</f>
        <v>N/A</v>
      </c>
      <c r="J166" s="62" t="str">
        <f t="shared" si="31"/>
        <v>N/A</v>
      </c>
      <c r="K166" s="62" t="str">
        <f t="shared" si="34"/>
        <v>N/A</v>
      </c>
      <c r="L166" s="62"/>
      <c r="M166" s="62" t="str">
        <f ca="1">IFERROR(IF(INDEX(MP_BV_WP,$B166,M$122)=0,"N/A",INDEX(MP_BV_WP,$B166,M$122)),"N/A")</f>
        <v>N/A</v>
      </c>
      <c r="N166" s="62" t="str">
        <f t="shared" ca="1" si="36"/>
        <v>N/A</v>
      </c>
      <c r="O166" s="62" t="str">
        <f t="shared" ca="1" si="36"/>
        <v>N/A</v>
      </c>
      <c r="P166" s="62" t="str">
        <f t="shared" ca="1" si="36"/>
        <v>N/A</v>
      </c>
      <c r="Q166" s="62" t="str">
        <f t="shared" ca="1" si="36"/>
        <v>N/A</v>
      </c>
      <c r="R166" s="62" t="str">
        <f t="shared" ca="1" si="36"/>
        <v>N/A</v>
      </c>
      <c r="S166" s="62" t="str">
        <f t="shared" ca="1" si="36"/>
        <v>N/A</v>
      </c>
      <c r="T166" s="62" t="str">
        <f t="shared" ca="1" si="36"/>
        <v>N/A</v>
      </c>
      <c r="U166" s="62" t="str">
        <f t="shared" ca="1" si="36"/>
        <v>N/A</v>
      </c>
      <c r="V166" s="62" t="str">
        <f t="shared" ca="1" si="36"/>
        <v>N/A</v>
      </c>
      <c r="W166" s="62" t="str">
        <f t="shared" ca="1" si="36"/>
        <v>N/A</v>
      </c>
      <c r="X166" s="62"/>
      <c r="Y166" s="17"/>
      <c r="Z166" s="17"/>
      <c r="AA166" s="17"/>
    </row>
    <row r="167" spans="1:27" hidden="1" x14ac:dyDescent="0.25">
      <c r="A167" s="50">
        <f t="shared" si="28"/>
        <v>0</v>
      </c>
      <c r="B167" s="45" t="e">
        <f t="shared" ca="1" si="29"/>
        <v>#N/A</v>
      </c>
      <c r="C167" s="1" t="str">
        <f>IF(ISERROR(D167),"",IF(D167="","",MAX($C$121:C166)+1))</f>
        <v/>
      </c>
      <c r="D167" t="e">
        <f t="shared" si="30"/>
        <v>#N/A</v>
      </c>
      <c r="F167" s="62" t="str">
        <f t="shared" ca="1" si="33"/>
        <v>N/A</v>
      </c>
      <c r="G167" s="62" t="str">
        <f>IFERROR(IF(VLOOKUP($A167,'2022 Data (WP)'!$D$9:$AA$70,18,FALSE)=0,"",VLOOKUP($A167,'2022 Data (WP)'!$D$9:$AA$70,18,FALSE)),"N/A")</f>
        <v>N/A</v>
      </c>
      <c r="H167" s="62" t="str">
        <f>IFERROR(IF(VLOOKUP($A167,'2021 Data (WP)'!$D$9:$AA$70,18,FALSE)=0,"",VLOOKUP($A167,'2021 Data (WP)'!$D$9:$AA$70,18,FALSE)),"N/A")</f>
        <v>N/A</v>
      </c>
      <c r="I167" s="62" t="str">
        <f>IFERROR(IF(VLOOKUP($A167,'2020 Data (WP)'!$D$9:$AA$70,18,FALSE)=0,"",VLOOKUP($A167,'2020 Data (WP)'!$D$9:$AA$70,18,FALSE)),"N/A")</f>
        <v>N/A</v>
      </c>
      <c r="J167" s="62" t="str">
        <f t="shared" si="31"/>
        <v>N/A</v>
      </c>
      <c r="K167" s="62" t="str">
        <f t="shared" si="34"/>
        <v>N/A</v>
      </c>
      <c r="L167" s="62"/>
      <c r="M167" s="62" t="str">
        <f ca="1">IFERROR(IF(INDEX(MP_BV_WP,$B167,M$122)=0,"N/A",INDEX(MP_BV_WP,$B167,M$122)),"N/A")</f>
        <v>N/A</v>
      </c>
      <c r="N167" s="62" t="str">
        <f t="shared" ca="1" si="36"/>
        <v>N/A</v>
      </c>
      <c r="O167" s="62" t="str">
        <f t="shared" ca="1" si="36"/>
        <v>N/A</v>
      </c>
      <c r="P167" s="62" t="str">
        <f t="shared" ca="1" si="36"/>
        <v>N/A</v>
      </c>
      <c r="Q167" s="62" t="str">
        <f t="shared" ca="1" si="36"/>
        <v>N/A</v>
      </c>
      <c r="R167" s="62" t="str">
        <f t="shared" ca="1" si="36"/>
        <v>N/A</v>
      </c>
      <c r="S167" s="62" t="str">
        <f t="shared" ca="1" si="36"/>
        <v>N/A</v>
      </c>
      <c r="T167" s="62" t="str">
        <f t="shared" ca="1" si="36"/>
        <v>N/A</v>
      </c>
      <c r="U167" s="62" t="str">
        <f t="shared" ca="1" si="36"/>
        <v>N/A</v>
      </c>
      <c r="V167" s="62" t="str">
        <f t="shared" ca="1" si="36"/>
        <v>N/A</v>
      </c>
      <c r="W167" s="62" t="str">
        <f t="shared" ca="1" si="36"/>
        <v>N/A</v>
      </c>
      <c r="X167" s="62"/>
      <c r="Y167" s="17"/>
      <c r="Z167" s="17"/>
      <c r="AA167" s="17"/>
    </row>
    <row r="168" spans="1:27" x14ac:dyDescent="0.25">
      <c r="A168" s="31"/>
      <c r="B168" s="31"/>
      <c r="C168" s="1" t="str">
        <f>IF(ISERROR(D168),"",IF(D168="","",MAX($C$121:C167)+1))</f>
        <v/>
      </c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17"/>
      <c r="Z168" s="17"/>
    </row>
    <row r="169" spans="1:27" x14ac:dyDescent="0.25">
      <c r="A169" s="31"/>
      <c r="B169" s="31"/>
      <c r="C169" s="1">
        <f ca="1">IF(ISERROR(D169),"",IF(D169="","",MAX($C$121:C168)+1))</f>
        <v>23</v>
      </c>
      <c r="D169" t="s">
        <v>98</v>
      </c>
      <c r="F169" s="62">
        <f ca="1">AVERAGE(G169:W169)</f>
        <v>2.3832625263002778</v>
      </c>
      <c r="G169" s="62">
        <f>AVERAGE(G123:G168)</f>
        <v>3.2143379437663362</v>
      </c>
      <c r="H169" s="62">
        <f>AVERAGE(H123:H168)</f>
        <v>3.3678378913792515</v>
      </c>
      <c r="I169" s="62">
        <f>AVERAGE(I123:I168)</f>
        <v>3.0456784732397963</v>
      </c>
      <c r="J169" s="62">
        <f t="shared" ref="J169:W169" si="37">AVERAGE(J123:J168)</f>
        <v>3.2316316787397139</v>
      </c>
      <c r="K169" s="62">
        <f t="shared" ca="1" si="37"/>
        <v>2.8515570899498073</v>
      </c>
      <c r="L169" s="62">
        <f t="shared" ca="1" si="37"/>
        <v>2.8044220411485572</v>
      </c>
      <c r="M169" s="62">
        <f t="shared" ca="1" si="37"/>
        <v>2.5572511172390509</v>
      </c>
      <c r="N169" s="62">
        <f t="shared" ca="1" si="37"/>
        <v>2.1597533831194533</v>
      </c>
      <c r="O169" s="62">
        <f t="shared" ca="1" si="37"/>
        <v>1.9855630857892688</v>
      </c>
      <c r="P169" s="62">
        <f t="shared" ca="1" si="37"/>
        <v>1.9386346693686471</v>
      </c>
      <c r="Q169" s="62">
        <f t="shared" ca="1" si="37"/>
        <v>1.7362053548469329</v>
      </c>
      <c r="R169" s="62">
        <f t="shared" ca="1" si="37"/>
        <v>1.7023496846894837</v>
      </c>
      <c r="S169" s="62">
        <f t="shared" ca="1" si="37"/>
        <v>1.6620969116476829</v>
      </c>
      <c r="T169" s="62">
        <f t="shared" ca="1" si="37"/>
        <v>1.6453314351487975</v>
      </c>
      <c r="U169" s="62">
        <f t="shared" ca="1" si="37"/>
        <v>1.8017608546595207</v>
      </c>
      <c r="V169" s="62">
        <f t="shared" ca="1" si="37"/>
        <v>2.3988807100208449</v>
      </c>
      <c r="W169" s="62">
        <f t="shared" ca="1" si="37"/>
        <v>2.4121706223515771</v>
      </c>
      <c r="X169" s="62"/>
      <c r="Y169" s="17"/>
      <c r="Z169" s="17"/>
      <c r="AA169" s="17"/>
    </row>
    <row r="170" spans="1:27" x14ac:dyDescent="0.25">
      <c r="A170" s="31"/>
      <c r="B170" s="31"/>
      <c r="C170" s="1">
        <f ca="1">IF(ISERROR(D170),"",IF(D170="","",MAX($C$121:C169)+1))</f>
        <v>24</v>
      </c>
      <c r="D170" t="s">
        <v>257</v>
      </c>
      <c r="F170" s="62">
        <f ca="1">AVERAGE(G170:W170)</f>
        <v>2.3040209860530729</v>
      </c>
      <c r="G170" s="62">
        <f>MEDIAN(G123:G168)</f>
        <v>3.1156596941676398</v>
      </c>
      <c r="H170" s="62">
        <f>MEDIAN(H123:H168)</f>
        <v>3.3982461614811399</v>
      </c>
      <c r="I170" s="62">
        <f>MEDIAN(I123:I168)</f>
        <v>2.9027268614680999</v>
      </c>
      <c r="J170" s="62">
        <f>MEDIAN(J123:J168)</f>
        <v>3.1939856760325727</v>
      </c>
      <c r="K170" s="62">
        <f ca="1">MEDIAN(K123:K168)</f>
        <v>2.7893746768933938</v>
      </c>
      <c r="L170" s="62">
        <f t="shared" ref="L170:W170" ca="1" si="38">MEDIAN(L123:L168)</f>
        <v>2.7318562092643885</v>
      </c>
      <c r="M170" s="62">
        <f t="shared" ca="1" si="38"/>
        <v>2.5615194220486091</v>
      </c>
      <c r="N170" s="62">
        <f t="shared" ca="1" si="38"/>
        <v>1.8732100143531958</v>
      </c>
      <c r="O170" s="62">
        <f t="shared" ca="1" si="38"/>
        <v>1.7671031082814812</v>
      </c>
      <c r="P170" s="62">
        <f t="shared" ca="1" si="38"/>
        <v>1.7140900310813305</v>
      </c>
      <c r="Q170" s="62">
        <f t="shared" ca="1" si="38"/>
        <v>1.6331493879649703</v>
      </c>
      <c r="R170" s="62">
        <f t="shared" ca="1" si="38"/>
        <v>1.6373004010117813</v>
      </c>
      <c r="S170" s="62">
        <f t="shared" ca="1" si="38"/>
        <v>1.740276838980976</v>
      </c>
      <c r="T170" s="62">
        <f t="shared" ca="1" si="38"/>
        <v>1.7350761675608894</v>
      </c>
      <c r="U170" s="62">
        <f t="shared" ca="1" si="38"/>
        <v>1.9409539396240674</v>
      </c>
      <c r="V170" s="62">
        <f t="shared" ca="1" si="38"/>
        <v>2.2177483745865181</v>
      </c>
      <c r="W170" s="62">
        <f t="shared" ca="1" si="38"/>
        <v>2.2160797981011902</v>
      </c>
      <c r="X170" s="62"/>
      <c r="Y170" s="17"/>
      <c r="Z170" s="17"/>
      <c r="AA170" s="17"/>
    </row>
    <row r="171" spans="1:27" x14ac:dyDescent="0.25">
      <c r="A171" s="31"/>
      <c r="B171" s="31"/>
      <c r="C171" s="1"/>
    </row>
    <row r="172" spans="1:27" x14ac:dyDescent="0.25">
      <c r="A172" s="31"/>
      <c r="B172" s="31"/>
      <c r="D172" s="18"/>
      <c r="E172" s="88"/>
    </row>
    <row r="173" spans="1:27" x14ac:dyDescent="0.25">
      <c r="A173" s="31"/>
      <c r="B173" s="31"/>
      <c r="D173" s="20" t="s">
        <v>107</v>
      </c>
    </row>
    <row r="174" spans="1:27" ht="16.2" x14ac:dyDescent="0.25">
      <c r="A174" s="31"/>
      <c r="B174" s="31"/>
      <c r="D174" s="76">
        <v>1</v>
      </c>
      <c r="E174" s="21" t="str">
        <f>'[4]CWW-1, pg 8-10'!E65</f>
        <v>Data for years 2019 and prior were retreived from the Value Line Investment Survey Investment Analyzer Software, downloaded on June 18, 2021.</v>
      </c>
    </row>
    <row r="175" spans="1:27" ht="16.2" x14ac:dyDescent="0.25">
      <c r="A175" s="31"/>
      <c r="B175" s="31"/>
      <c r="D175" s="76"/>
      <c r="E175" s="21" t="str">
        <f>CONCATENATE("Data for the year 2020 was retrieved from Value Line Investment Surveys, ",'2020 Data (WP)'!D3)</f>
        <v>Data for the year 2020 was retrieved from Value Line Investment Surveys, April 9, 2021.</v>
      </c>
    </row>
    <row r="176" spans="1:27" ht="16.2" x14ac:dyDescent="0.25">
      <c r="A176" s="31"/>
      <c r="B176" s="31"/>
      <c r="D176" s="76"/>
      <c r="E176" s="21" t="str">
        <f>CONCATENATE("Data for the year 2021 was retrieved from Value Line Investment Surveys, ",'2021 Data (WP)'!D3)</f>
        <v>Data for the year 2021 was retrieved from Value Line Investment Surveys, April 8, 2022.</v>
      </c>
    </row>
    <row r="177" spans="1:5" ht="16.2" x14ac:dyDescent="0.25">
      <c r="A177" s="31"/>
      <c r="B177" s="31"/>
      <c r="D177" s="76">
        <v>2</v>
      </c>
      <c r="E177" s="21" t="str">
        <f>"The Value Line Investment Survey, "&amp;'2022 Data (WP)'!$D$3</f>
        <v>The Value Line Investment Survey, April 7, 2023.</v>
      </c>
    </row>
    <row r="178" spans="1:5" x14ac:dyDescent="0.25">
      <c r="A178" s="31"/>
      <c r="B178" s="31"/>
      <c r="D178" s="20" t="s">
        <v>328</v>
      </c>
    </row>
    <row r="179" spans="1:5" ht="16.2" x14ac:dyDescent="0.25">
      <c r="A179" s="31"/>
      <c r="B179" s="31"/>
      <c r="D179" s="76" t="s">
        <v>354</v>
      </c>
      <c r="E179" t="s">
        <v>521</v>
      </c>
    </row>
    <row r="180" spans="1:5" ht="16.2" x14ac:dyDescent="0.25">
      <c r="A180" s="31"/>
      <c r="B180" s="31"/>
      <c r="D180" s="76" t="s">
        <v>355</v>
      </c>
      <c r="E180" t="s">
        <v>522</v>
      </c>
    </row>
    <row r="181" spans="1:5" ht="16.2" x14ac:dyDescent="0.25">
      <c r="D181" s="76"/>
      <c r="E181" s="231"/>
    </row>
  </sheetData>
  <mergeCells count="9">
    <mergeCell ref="D65:E65"/>
    <mergeCell ref="F118:AA118"/>
    <mergeCell ref="D120:E120"/>
    <mergeCell ref="C1:AA1"/>
    <mergeCell ref="C4:AA4"/>
    <mergeCell ref="C5:AA5"/>
    <mergeCell ref="F8:AA8"/>
    <mergeCell ref="D10:E10"/>
    <mergeCell ref="F63:AA63"/>
  </mergeCells>
  <printOptions horizontalCentered="1"/>
  <pageMargins left="0.7" right="0.7" top="1" bottom="0.75" header="0.55000000000000004" footer="0.51"/>
  <pageSetup scale="44" fitToHeight="0" orientation="portrait" useFirstPageNumber="1" r:id="rId1"/>
  <headerFooter>
    <oddHeader>&amp;R&amp;"Arial,Bold"&amp;17Direct Exhibit CCW-1
Page 1 of 12</oddHeader>
  </headerFooter>
  <ignoredErrors>
    <ignoredError sqref="J15 J70 J125" formula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X166"/>
  <sheetViews>
    <sheetView topLeftCell="C82" zoomScale="70" zoomScaleNormal="70" workbookViewId="0">
      <selection activeCell="E177" sqref="E177"/>
    </sheetView>
  </sheetViews>
  <sheetFormatPr defaultRowHeight="13.8" x14ac:dyDescent="0.25"/>
  <cols>
    <col min="1" max="2" width="8" hidden="1" customWidth="1"/>
    <col min="3" max="3" width="4.69921875" bestFit="1" customWidth="1"/>
    <col min="4" max="4" width="1.69921875" customWidth="1"/>
    <col min="5" max="5" width="30.59765625" customWidth="1"/>
    <col min="6" max="23" width="9" customWidth="1"/>
  </cols>
  <sheetData>
    <row r="1" spans="1:23" ht="28.2" x14ac:dyDescent="0.5">
      <c r="C1" s="277" t="str">
        <f>'CCW-1, Page 1W'!C1:AA1</f>
        <v>Ameren Illinois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</row>
    <row r="2" spans="1:23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</row>
    <row r="3" spans="1:23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7"/>
      <c r="T3" s="7"/>
      <c r="U3" s="7"/>
      <c r="V3" s="7"/>
      <c r="W3" s="7"/>
    </row>
    <row r="4" spans="1:23" ht="21" x14ac:dyDescent="0.4">
      <c r="C4" s="278" t="s">
        <v>499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</row>
    <row r="5" spans="1:23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</row>
    <row r="6" spans="1:23" x14ac:dyDescent="0.25">
      <c r="C6" s="6"/>
      <c r="D6" s="7"/>
      <c r="E6" s="7"/>
      <c r="F6" s="7"/>
      <c r="G6" s="7"/>
      <c r="H6" s="7"/>
      <c r="I6" s="7"/>
      <c r="J6" s="7"/>
      <c r="K6" s="232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6.2" x14ac:dyDescent="0.25">
      <c r="C8" s="6"/>
      <c r="D8" s="7"/>
      <c r="E8" s="7"/>
      <c r="F8" s="280" t="s">
        <v>375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</row>
    <row r="9" spans="1:23" x14ac:dyDescent="0.25">
      <c r="A9" s="41" t="s">
        <v>99</v>
      </c>
      <c r="B9" s="41" t="s">
        <v>241</v>
      </c>
      <c r="C9" s="6"/>
      <c r="D9" s="7"/>
      <c r="E9" s="7"/>
      <c r="F9" s="8" t="s">
        <v>535</v>
      </c>
      <c r="G9" s="8"/>
      <c r="H9" s="8"/>
      <c r="I9" s="8"/>
      <c r="J9" s="109">
        <v>2019</v>
      </c>
      <c r="K9" s="109"/>
      <c r="L9" s="109"/>
      <c r="M9" s="8"/>
      <c r="N9" s="8"/>
      <c r="O9" s="8"/>
      <c r="P9" s="8"/>
      <c r="Q9" s="8"/>
      <c r="R9" s="7"/>
      <c r="S9" s="7"/>
      <c r="T9" s="7"/>
      <c r="U9" s="7"/>
      <c r="V9" s="7"/>
      <c r="W9" s="7"/>
    </row>
    <row r="10" spans="1:23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540</v>
      </c>
      <c r="H10" s="40">
        <v>2021</v>
      </c>
      <c r="I10" s="40">
        <v>2020</v>
      </c>
      <c r="J10" s="40">
        <v>2019</v>
      </c>
      <c r="K10" s="40">
        <v>2018</v>
      </c>
      <c r="L10" s="40">
        <v>2017</v>
      </c>
      <c r="M10" s="40">
        <v>2016</v>
      </c>
      <c r="N10" s="40">
        <v>2015</v>
      </c>
      <c r="O10" s="40">
        <v>2014</v>
      </c>
      <c r="P10" s="40">
        <v>2013</v>
      </c>
      <c r="Q10" s="40">
        <v>2012</v>
      </c>
      <c r="R10" s="40">
        <v>2011</v>
      </c>
      <c r="S10" s="40">
        <v>2010</v>
      </c>
      <c r="T10" s="40">
        <v>2009</v>
      </c>
      <c r="U10" s="40">
        <v>2008</v>
      </c>
      <c r="V10" s="40">
        <v>2007</v>
      </c>
      <c r="W10" s="40">
        <v>2006</v>
      </c>
    </row>
    <row r="11" spans="1:23" x14ac:dyDescent="0.25">
      <c r="A11" s="41"/>
      <c r="B11" s="41"/>
      <c r="C11" s="9"/>
      <c r="D11" s="220"/>
      <c r="E11" s="220"/>
      <c r="F11" s="12">
        <v>-1</v>
      </c>
      <c r="G11" s="12"/>
      <c r="H11" s="12"/>
      <c r="I11" s="12"/>
      <c r="J11" s="12">
        <f>+F11-1</f>
        <v>-2</v>
      </c>
      <c r="K11" s="12">
        <f t="shared" ref="K11:W11" si="0">+J11-1</f>
        <v>-3</v>
      </c>
      <c r="L11" s="12">
        <f t="shared" si="0"/>
        <v>-4</v>
      </c>
      <c r="M11" s="12">
        <f t="shared" si="0"/>
        <v>-5</v>
      </c>
      <c r="N11" s="12">
        <f t="shared" si="0"/>
        <v>-6</v>
      </c>
      <c r="O11" s="12">
        <f t="shared" si="0"/>
        <v>-7</v>
      </c>
      <c r="P11" s="12">
        <f t="shared" si="0"/>
        <v>-8</v>
      </c>
      <c r="Q11" s="12">
        <f t="shared" si="0"/>
        <v>-9</v>
      </c>
      <c r="R11" s="12">
        <f t="shared" si="0"/>
        <v>-10</v>
      </c>
      <c r="S11" s="12">
        <f t="shared" si="0"/>
        <v>-11</v>
      </c>
      <c r="T11" s="12">
        <f t="shared" si="0"/>
        <v>-12</v>
      </c>
      <c r="U11" s="12">
        <f t="shared" si="0"/>
        <v>-13</v>
      </c>
      <c r="V11" s="12">
        <f t="shared" si="0"/>
        <v>-14</v>
      </c>
      <c r="W11" s="12">
        <f t="shared" si="0"/>
        <v>-15</v>
      </c>
    </row>
    <row r="12" spans="1:23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36"/>
      <c r="K12" s="36"/>
      <c r="L12" s="36"/>
      <c r="M12" s="16">
        <f t="shared" ref="M12:W12" ca="1" si="1">MATCH(M10,OFFSET(DIV_MP_WP,-1,0,1,),0)</f>
        <v>10</v>
      </c>
      <c r="N12" s="16">
        <f t="shared" ca="1" si="1"/>
        <v>11</v>
      </c>
      <c r="O12" s="16">
        <f t="shared" ca="1" si="1"/>
        <v>12</v>
      </c>
      <c r="P12" s="16">
        <f t="shared" ca="1" si="1"/>
        <v>13</v>
      </c>
      <c r="Q12" s="16">
        <f t="shared" ca="1" si="1"/>
        <v>14</v>
      </c>
      <c r="R12" s="16">
        <f t="shared" ca="1" si="1"/>
        <v>15</v>
      </c>
      <c r="S12" s="16">
        <f t="shared" ca="1" si="1"/>
        <v>16</v>
      </c>
      <c r="T12" s="16">
        <f t="shared" ca="1" si="1"/>
        <v>17</v>
      </c>
      <c r="U12" s="16">
        <f t="shared" ca="1" si="1"/>
        <v>18</v>
      </c>
      <c r="V12" s="16">
        <f t="shared" ca="1" si="1"/>
        <v>19</v>
      </c>
      <c r="W12" s="16">
        <f t="shared" ca="1" si="1"/>
        <v>20</v>
      </c>
    </row>
    <row r="13" spans="1:23" x14ac:dyDescent="0.25">
      <c r="A13" s="44" t="s">
        <v>165</v>
      </c>
      <c r="B13" s="110">
        <f t="shared" ref="B13:B57" ca="1" si="2">IFERROR(MATCH(A13,OFFSET(DIV_MP_WP,0,0,,1),0),"")</f>
        <v>4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77">
        <f ca="1">IFERROR(AVERAGE(G13:W13),"N/A")</f>
        <v>2.3918688084736819E-2</v>
      </c>
      <c r="G13" s="77">
        <f>IFERROR(IF(VLOOKUP($A13,'2022 Data (WP)'!$D$9:$AA$70,22,FALSE)=0,"",VLOOKUP($A13,'2022 Data (WP)'!$D$9:$AA$70,22,FALSE)),"N/A")</f>
        <v>1.7525773195876285E-2</v>
      </c>
      <c r="H13" s="77">
        <f>IFERROR(IF(VLOOKUP($A13,'2021 Data (WP)'!$D$9:$AA$70,22,FALSE)=0,"",VLOOKUP($A13,'2021 Data (WP)'!$D$9:$AA$70,22,FALSE)),"N/A")</f>
        <v>1.6101207590569294E-2</v>
      </c>
      <c r="I13" s="77">
        <f>IFERROR(IF(VLOOKUP($A13,'2020 Data (WP)'!$D$9:$AA$70,22,FALSE)=0,"",VLOOKUP($A13,'2020 Data (WP)'!$D$9:$AA$70,22,FALSE)),"N/A")</f>
        <v>1.5831787260358689E-2</v>
      </c>
      <c r="J13" s="77">
        <f>IFERROR(IF(VLOOKUP($A13,LUCurYr,22,FALSE)=0,"",VLOOKUP($A13,LUCurYr,22,FALSE)),"N/A")</f>
        <v>1.4563716258631511E-2</v>
      </c>
      <c r="K13" s="77">
        <f t="shared" ref="K13:W28" ca="1" si="4">IFERROR(INDEX(DIV_MP_WP,$B13,K$12),"N/A")</f>
        <v>2.204481319794506E-2</v>
      </c>
      <c r="L13" s="77">
        <f t="shared" ca="1" si="4"/>
        <v>2.2090231265006952E-2</v>
      </c>
      <c r="M13" s="77">
        <f t="shared" ca="1" si="4"/>
        <v>2.204481319794506E-2</v>
      </c>
      <c r="N13" s="77">
        <f t="shared" ca="1" si="4"/>
        <v>2.2090231265006952E-2</v>
      </c>
      <c r="O13" s="77">
        <f t="shared" ca="1" si="4"/>
        <v>2.633997908016102E-2</v>
      </c>
      <c r="P13" s="77">
        <f t="shared" ca="1" si="4"/>
        <v>2.7498371806932483E-2</v>
      </c>
      <c r="Q13" s="77">
        <f t="shared" ca="1" si="4"/>
        <v>3.1491767506447131E-2</v>
      </c>
      <c r="R13" s="77">
        <f t="shared" ca="1" si="4"/>
        <v>3.1976744186046513E-2</v>
      </c>
      <c r="S13" s="77">
        <f t="shared" ca="1" si="4"/>
        <v>2.9778948574046501E-2</v>
      </c>
      <c r="T13" s="77">
        <f t="shared" ca="1" si="4"/>
        <v>2.9413477779719262E-2</v>
      </c>
      <c r="U13" s="77">
        <f t="shared" ca="1" si="4"/>
        <v>2.8566531451751129E-2</v>
      </c>
      <c r="V13" s="77">
        <f t="shared" ca="1" si="4"/>
        <v>2.4584683433626495E-2</v>
      </c>
      <c r="W13" s="77">
        <f t="shared" ca="1" si="4"/>
        <v>2.467462039045553E-2</v>
      </c>
    </row>
    <row r="14" spans="1:23" x14ac:dyDescent="0.25">
      <c r="A14" s="44" t="s">
        <v>167</v>
      </c>
      <c r="B14" s="110">
        <f t="shared" ca="1" si="2"/>
        <v>5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77">
        <f t="shared" ref="F14:F57" ca="1" si="5">IFERROR(AVERAGE(G14:W14),"N/A")</f>
        <v>2.4397073334318526E-2</v>
      </c>
      <c r="G14" s="77">
        <f>IFERROR(IF(VLOOKUP($A14,'2022 Data (WP)'!$D$9:$AA$70,22,FALSE)=0,"",VLOOKUP($A14,'2022 Data (WP)'!$D$9:$AA$70,22,FALSE)),"N/A")</f>
        <v>1.6469080422941363E-2</v>
      </c>
      <c r="H14" s="77">
        <f>IFERROR(IF(VLOOKUP($A14,'2021 Data (WP)'!$D$9:$AA$70,22,FALSE)=0,"",VLOOKUP($A14,'2021 Data (WP)'!$D$9:$AA$70,22,FALSE)),"N/A")</f>
        <v>1.4722395508421707E-2</v>
      </c>
      <c r="I14" s="77">
        <f>IFERROR(IF(VLOOKUP($A14,'2020 Data (WP)'!$D$9:$AA$70,22,FALSE)=0,"",VLOOKUP($A14,'2020 Data (WP)'!$D$9:$AA$70,22,FALSE)),"N/A")</f>
        <v>1.6250944822373391E-2</v>
      </c>
      <c r="J14" s="77">
        <f>IFERROR(IF(VLOOKUP($A14,LUCurYr,22,FALSE)=0,"",VLOOKUP($A14,LUCurYr,22,FALSE)),"N/A")</f>
        <v>1.798990362551629E-2</v>
      </c>
      <c r="K14" s="77">
        <f t="shared" ca="1" si="4"/>
        <v>2.0246818357115309E-2</v>
      </c>
      <c r="L14" s="77">
        <f t="shared" ca="1" si="4"/>
        <v>2.4565486415101312E-2</v>
      </c>
      <c r="M14" s="77">
        <f t="shared" ca="1" si="4"/>
        <v>2.0246818357115309E-2</v>
      </c>
      <c r="N14" s="77">
        <f t="shared" ca="1" si="4"/>
        <v>2.4565486415101312E-2</v>
      </c>
      <c r="O14" s="77">
        <f t="shared" ca="1" si="4"/>
        <v>2.5292113459166821E-2</v>
      </c>
      <c r="P14" s="77">
        <f t="shared" ca="1" si="4"/>
        <v>2.0489304095421615E-2</v>
      </c>
      <c r="Q14" s="77">
        <f t="shared" ca="1" si="4"/>
        <v>3.4324293657097465E-2</v>
      </c>
      <c r="R14" s="77">
        <f t="shared" ca="1" si="4"/>
        <v>3.1149413352715191E-2</v>
      </c>
      <c r="S14" s="77">
        <f t="shared" ca="1" si="4"/>
        <v>3.846497897844172E-2</v>
      </c>
      <c r="T14" s="77">
        <f t="shared" ca="1" si="4"/>
        <v>4.1956610724519033E-2</v>
      </c>
      <c r="U14" s="77">
        <f t="shared" ca="1" si="4"/>
        <v>1.9222451823730117E-2</v>
      </c>
      <c r="V14" s="77" t="str">
        <f t="shared" ca="1" si="4"/>
        <v>N/A</v>
      </c>
      <c r="W14" s="77" t="str">
        <f t="shared" ca="1" si="4"/>
        <v>N/A</v>
      </c>
    </row>
    <row r="15" spans="1:23" x14ac:dyDescent="0.25">
      <c r="A15" s="44" t="s">
        <v>533</v>
      </c>
      <c r="B15" s="110">
        <v>8</v>
      </c>
      <c r="C15" s="1">
        <f ca="1">IF(ISERROR(D15),"",IF(D15="","",MAX($C$12:C14)+1))</f>
        <v>3</v>
      </c>
      <c r="D15" t="s">
        <v>548</v>
      </c>
      <c r="E15" s="15"/>
      <c r="F15" s="77">
        <f ca="1">IFERROR(AVERAGE(G15:W15),"N/A")</f>
        <v>2.4990467141774053E-2</v>
      </c>
      <c r="G15" s="77">
        <f>IFERROR(IF(VLOOKUP($A15,'2022 Data (WP)'!$D$9:$AA$70,22,FALSE)=0,"",VLOOKUP($A15,'2022 Data (WP)'!$D$9:$AA$70,22,FALSE)),"N/A")</f>
        <v>2.4078091106290674E-2</v>
      </c>
      <c r="H15" s="77">
        <f>IFERROR(IF(VLOOKUP($A15,'2021 Data (WP)'!$D$9:$AA$70,22,FALSE)=0,"",VLOOKUP($A15,'2021 Data (WP)'!$D$9:$AA$70,22,FALSE)),"N/A")</f>
        <v>2.1894736842105265E-2</v>
      </c>
      <c r="I15" s="77">
        <f>IFERROR(IF(VLOOKUP($A15,'2020 Data (WP)'!$D$9:$AA$70,22,FALSE)=0,"",VLOOKUP($A15,'2020 Data (WP)'!$D$9:$AA$70,22,FALSE)),"N/A")</f>
        <v>2.2850412249705535E-2</v>
      </c>
      <c r="J15" s="77">
        <f>IFERROR(IF(VLOOKUP("WTR",LUCurYr,22,FALSE)=0,"",VLOOKUP("WTR",LUCurYr,22,FALSE)),"N/A")</f>
        <v>2.2807017543859647E-2</v>
      </c>
      <c r="K15" s="77">
        <f t="shared" ca="1" si="4"/>
        <v>2.3492809295533192E-2</v>
      </c>
      <c r="L15" s="77">
        <f t="shared" ca="1" si="4"/>
        <v>2.5746268656716417E-2</v>
      </c>
      <c r="M15" s="77">
        <f t="shared" ca="1" si="4"/>
        <v>2.3492809295533192E-2</v>
      </c>
      <c r="N15" s="77">
        <f t="shared" ca="1" si="4"/>
        <v>2.5746268656716417E-2</v>
      </c>
      <c r="O15" s="77">
        <f t="shared" ca="1" si="4"/>
        <v>2.5288002247822423E-2</v>
      </c>
      <c r="P15" s="77">
        <f t="shared" ca="1" si="4"/>
        <v>2.3606984411249948E-2</v>
      </c>
      <c r="Q15" s="77">
        <f t="shared" ca="1" si="4"/>
        <v>2.8020283339432274E-2</v>
      </c>
      <c r="R15" s="77">
        <f t="shared" ca="1" si="4"/>
        <v>2.8497116363225151E-2</v>
      </c>
      <c r="S15" s="77">
        <f t="shared" ca="1" si="4"/>
        <v>3.1101739588824458E-2</v>
      </c>
      <c r="T15" s="77">
        <f t="shared" ca="1" si="4"/>
        <v>3.0929284408828903E-2</v>
      </c>
      <c r="U15" s="77">
        <f t="shared" ca="1" si="4"/>
        <v>2.8025827723588404E-2</v>
      </c>
      <c r="V15" s="77">
        <f t="shared" ca="1" si="4"/>
        <v>2.1147703491573962E-2</v>
      </c>
      <c r="W15" s="77">
        <f t="shared" ca="1" si="4"/>
        <v>1.811258618915303E-2</v>
      </c>
    </row>
    <row r="16" spans="1:23" x14ac:dyDescent="0.25">
      <c r="A16" s="44" t="s">
        <v>177</v>
      </c>
      <c r="B16" s="110">
        <f t="shared" ca="1" si="2"/>
        <v>13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77">
        <f t="shared" ca="1" si="5"/>
        <v>2.638496794731171E-2</v>
      </c>
      <c r="G16" s="77">
        <f>IFERROR(IF(VLOOKUP($A16,'2022 Data (WP)'!$D$9:$AA$70,22,FALSE)=0,"",VLOOKUP($A16,'2022 Data (WP)'!$D$9:$AA$70,22,FALSE)),"N/A")</f>
        <v>1.6597510373443983E-2</v>
      </c>
      <c r="H16" s="77">
        <f>IFERROR(IF(VLOOKUP($A16,'2021 Data (WP)'!$D$9:$AA$70,22,FALSE)=0,"",VLOOKUP($A16,'2021 Data (WP)'!$D$9:$AA$70,22,FALSE)),"N/A")</f>
        <v>1.4947197400487409E-2</v>
      </c>
      <c r="I16" s="77">
        <f>IFERROR(IF(VLOOKUP($A16,'2020 Data (WP)'!$D$9:$AA$70,22,FALSE)=0,"",VLOOKUP($A16,'2020 Data (WP)'!$D$9:$AA$70,22,FALSE)),"N/A")</f>
        <v>1.7507723995880537E-2</v>
      </c>
      <c r="J16" s="77">
        <f t="shared" ref="J16:J57" si="6">IFERROR(IF(VLOOKUP($A16,LUCurYr,22,FALSE)=0,"",VLOOKUP($A16,LUCurYr,22,FALSE)),"N/A")</f>
        <v>1.5475024485798239E-2</v>
      </c>
      <c r="K16" s="77">
        <f t="shared" ca="1" si="4"/>
        <v>2.3041474654377878E-2</v>
      </c>
      <c r="L16" s="77">
        <f t="shared" ca="1" si="4"/>
        <v>2.8771417529093488E-2</v>
      </c>
      <c r="M16" s="77">
        <f t="shared" ca="1" si="4"/>
        <v>2.3041474654377878E-2</v>
      </c>
      <c r="N16" s="77">
        <f t="shared" ca="1" si="4"/>
        <v>2.8771417529093488E-2</v>
      </c>
      <c r="O16" s="77">
        <f t="shared" ca="1" si="4"/>
        <v>2.7739842949812226E-2</v>
      </c>
      <c r="P16" s="77">
        <f t="shared" ca="1" si="4"/>
        <v>3.1176929072486363E-2</v>
      </c>
      <c r="Q16" s="77">
        <f t="shared" ca="1" si="4"/>
        <v>3.4547049791620967E-2</v>
      </c>
      <c r="R16" s="77">
        <f t="shared" ca="1" si="4"/>
        <v>3.3610230626297956E-2</v>
      </c>
      <c r="S16" s="77">
        <f t="shared" ca="1" si="4"/>
        <v>3.2395056351064405E-2</v>
      </c>
      <c r="T16" s="77">
        <f t="shared" ca="1" si="4"/>
        <v>3.0738772533083256E-2</v>
      </c>
      <c r="U16" s="77">
        <f t="shared" ca="1" si="4"/>
        <v>3.1153477473639366E-2</v>
      </c>
      <c r="V16" s="77">
        <f t="shared" ca="1" si="4"/>
        <v>2.9678145627590441E-2</v>
      </c>
      <c r="W16" s="77">
        <f t="shared" ca="1" si="4"/>
        <v>2.9351710056151094E-2</v>
      </c>
    </row>
    <row r="17" spans="1:23" x14ac:dyDescent="0.25">
      <c r="A17" s="44" t="s">
        <v>188</v>
      </c>
      <c r="B17" s="110">
        <f t="shared" ca="1" si="2"/>
        <v>41</v>
      </c>
      <c r="C17" s="1">
        <f ca="1">IF(ISERROR(D17),"",IF(D17="","",MAX($C$12:C16)+1))</f>
        <v>5</v>
      </c>
      <c r="D17" t="str">
        <f t="shared" ca="1" si="3"/>
        <v>Middlesex Water</v>
      </c>
      <c r="E17" s="15"/>
      <c r="F17" s="77">
        <f t="shared" ca="1" si="5"/>
        <v>3.0914608113156258E-2</v>
      </c>
      <c r="G17" s="77">
        <f>IFERROR(IF(VLOOKUP($A17,'2022 Data (WP)'!$D$9:$AA$70,22,FALSE)=0,"",VLOOKUP($A17,'2022 Data (WP)'!$D$9:$AA$70,22,FALSE)),"N/A")</f>
        <v>1.2083973374295953E-2</v>
      </c>
      <c r="H17" s="77">
        <f>IFERROR(IF(VLOOKUP($A17,'2021 Data (WP)'!$D$9:$AA$70,22,FALSE)=0,"",VLOOKUP($A17,'2021 Data (WP)'!$D$9:$AA$70,22,FALSE)),"N/A")</f>
        <v>1.1777188328912468E-2</v>
      </c>
      <c r="I17" s="77">
        <f>IFERROR(IF(VLOOKUP($A17,'2020 Data (WP)'!$D$9:$AA$70,22,FALSE)=0,"",VLOOKUP($A17,'2020 Data (WP)'!$D$9:$AA$70,22,FALSE)),"N/A")</f>
        <v>1.6653322658126503E-2</v>
      </c>
      <c r="J17" s="77">
        <f t="shared" si="6"/>
        <v>1.6512215669755685E-2</v>
      </c>
      <c r="K17" s="77">
        <f t="shared" ca="1" si="4"/>
        <v>2.283130827917491E-2</v>
      </c>
      <c r="L17" s="77">
        <f t="shared" ca="1" si="4"/>
        <v>3.3284721626490522E-2</v>
      </c>
      <c r="M17" s="77">
        <f t="shared" ca="1" si="4"/>
        <v>2.283130827917491E-2</v>
      </c>
      <c r="N17" s="77">
        <f t="shared" ca="1" si="4"/>
        <v>3.3284721626490522E-2</v>
      </c>
      <c r="O17" s="77">
        <f t="shared" ca="1" si="4"/>
        <v>3.652465294399234E-2</v>
      </c>
      <c r="P17" s="77">
        <f t="shared" ca="1" si="4"/>
        <v>3.7102734663710273E-2</v>
      </c>
      <c r="Q17" s="77">
        <f t="shared" ca="1" si="4"/>
        <v>3.9635122159394007E-2</v>
      </c>
      <c r="R17" s="77">
        <f t="shared" ca="1" si="4"/>
        <v>4.0164383561643834E-2</v>
      </c>
      <c r="S17" s="77">
        <f t="shared" ca="1" si="4"/>
        <v>4.2288120722933843E-2</v>
      </c>
      <c r="T17" s="77">
        <f t="shared" ca="1" si="4"/>
        <v>4.711868887126619E-2</v>
      </c>
      <c r="U17" s="77">
        <f t="shared" ca="1" si="4"/>
        <v>3.9895579138527891E-2</v>
      </c>
      <c r="V17" s="77">
        <f t="shared" ca="1" si="4"/>
        <v>3.6897029070386535E-2</v>
      </c>
      <c r="W17" s="77">
        <f t="shared" ca="1" si="4"/>
        <v>3.6663266949379998E-2</v>
      </c>
    </row>
    <row r="18" spans="1:23" x14ac:dyDescent="0.25">
      <c r="A18" s="44" t="s">
        <v>196</v>
      </c>
      <c r="B18" s="110">
        <f t="shared" ca="1" si="2"/>
        <v>60</v>
      </c>
      <c r="C18" s="1">
        <f ca="1">IF(ISERROR(D18),"",IF(D18="","",MAX($C$12:C17)+1))</f>
        <v>6</v>
      </c>
      <c r="D18" t="str">
        <f t="shared" ca="1" si="3"/>
        <v>SJW Corp.</v>
      </c>
      <c r="E18" s="15"/>
      <c r="F18" s="77">
        <f t="shared" ca="1" si="5"/>
        <v>2.3567984050592381E-2</v>
      </c>
      <c r="G18" s="77">
        <f>IFERROR(IF(VLOOKUP($A18,'2022 Data (WP)'!$D$9:$AA$70,22,FALSE)=0,"",VLOOKUP($A18,'2022 Data (WP)'!$D$9:$AA$70,22,FALSE)),"N/A")</f>
        <v>2.0630372492836672E-2</v>
      </c>
      <c r="H18" s="77">
        <f>IFERROR(IF(VLOOKUP($A18,'2021 Data (WP)'!$D$9:$AA$70,22,FALSE)=0,"",VLOOKUP($A18,'2021 Data (WP)'!$D$9:$AA$70,22,FALSE)),"N/A")</f>
        <v>2.065299924069856E-2</v>
      </c>
      <c r="I18" s="77">
        <f>IFERROR(IF(VLOOKUP($A18,'2020 Data (WP)'!$D$9:$AA$70,22,FALSE)=0,"",VLOOKUP($A18,'2020 Data (WP)'!$D$9:$AA$70,22,FALSE)),"N/A")</f>
        <v>2.1227197346600332E-2</v>
      </c>
      <c r="J18" s="77">
        <f t="shared" si="6"/>
        <v>1.8691588785046728E-2</v>
      </c>
      <c r="K18" s="77">
        <f t="shared" ca="1" si="4"/>
        <v>2.0105741306128529E-2</v>
      </c>
      <c r="L18" s="77">
        <f t="shared" ca="1" si="4"/>
        <v>2.5334545926984541E-2</v>
      </c>
      <c r="M18" s="77">
        <f t="shared" ca="1" si="4"/>
        <v>2.0105741306128529E-2</v>
      </c>
      <c r="N18" s="77">
        <f t="shared" ca="1" si="4"/>
        <v>2.5334545926984541E-2</v>
      </c>
      <c r="O18" s="77">
        <f t="shared" ca="1" si="4"/>
        <v>2.6391723555492998E-2</v>
      </c>
      <c r="P18" s="77">
        <f t="shared" ca="1" si="4"/>
        <v>2.678112847604373E-2</v>
      </c>
      <c r="Q18" s="77">
        <f t="shared" ca="1" si="4"/>
        <v>2.9543941411451398E-2</v>
      </c>
      <c r="R18" s="77">
        <f t="shared" ca="1" si="4"/>
        <v>2.9357954303705906E-2</v>
      </c>
      <c r="S18" s="77">
        <f t="shared" ca="1" si="4"/>
        <v>2.7797081306462822E-2</v>
      </c>
      <c r="T18" s="77">
        <f t="shared" ca="1" si="4"/>
        <v>2.8423772609819126E-2</v>
      </c>
      <c r="U18" s="77">
        <f t="shared" ca="1" si="4"/>
        <v>2.2677730117431967E-2</v>
      </c>
      <c r="V18" s="77">
        <f t="shared" ca="1" si="4"/>
        <v>1.7403060637441028E-2</v>
      </c>
      <c r="W18" s="77">
        <f t="shared" ca="1" si="4"/>
        <v>2.0196604110813223E-2</v>
      </c>
    </row>
    <row r="19" spans="1:23" hidden="1" x14ac:dyDescent="0.25">
      <c r="A19" s="44"/>
      <c r="B19" s="110" t="str">
        <f t="shared" ca="1" si="2"/>
        <v/>
      </c>
      <c r="C19" s="1" t="str">
        <f>IF(ISERROR(D19),"",IF(D19="","",MAX($C$12:C18)+1))</f>
        <v/>
      </c>
      <c r="D19" t="e">
        <f t="shared" si="3"/>
        <v>#N/A</v>
      </c>
      <c r="E19" s="15"/>
      <c r="F19" s="77" t="str">
        <f t="shared" ca="1" si="5"/>
        <v>N/A</v>
      </c>
      <c r="G19" s="77" t="str">
        <f>IFERROR(IF(VLOOKUP($A19,'2022 Data (WP)'!$D$9:$AA$70,22,FALSE)=0,"",VLOOKUP($A19,'2022 Data (WP)'!$D$9:$AA$70,22,FALSE)),"N/A")</f>
        <v>N/A</v>
      </c>
      <c r="H19" s="77" t="str">
        <f>IFERROR(IF(VLOOKUP($A19,'2021 Data (WP)'!$D$9:$AA$70,22,FALSE)=0,"",VLOOKUP($A19,'2021 Data (WP)'!$D$9:$AA$70,22,FALSE)),"N/A")</f>
        <v>N/A</v>
      </c>
      <c r="I19" s="77" t="str">
        <f>IFERROR(IF(VLOOKUP($A19,'2020 Data (WP)'!$D$9:$AA$70,22,FALSE)=0,"",VLOOKUP($A19,'2020 Data (WP)'!$D$9:$AA$70,22,FALSE)),"N/A")</f>
        <v>N/A</v>
      </c>
      <c r="J19" s="77" t="str">
        <f t="shared" si="6"/>
        <v>N/A</v>
      </c>
      <c r="K19" s="77" t="str">
        <f t="shared" ca="1" si="4"/>
        <v>N/A</v>
      </c>
      <c r="L19" s="77" t="str">
        <f t="shared" ca="1" si="4"/>
        <v>N/A</v>
      </c>
      <c r="M19" s="77" t="str">
        <f t="shared" ca="1" si="4"/>
        <v>N/A</v>
      </c>
      <c r="N19" s="77" t="str">
        <f t="shared" ca="1" si="4"/>
        <v>N/A</v>
      </c>
      <c r="O19" s="77" t="str">
        <f t="shared" ca="1" si="4"/>
        <v>N/A</v>
      </c>
      <c r="P19" s="77" t="str">
        <f t="shared" ca="1" si="4"/>
        <v>N/A</v>
      </c>
      <c r="Q19" s="77" t="str">
        <f t="shared" ca="1" si="4"/>
        <v>N/A</v>
      </c>
      <c r="R19" s="77" t="str">
        <f t="shared" ca="1" si="4"/>
        <v>N/A</v>
      </c>
      <c r="S19" s="77" t="str">
        <f t="shared" ca="1" si="4"/>
        <v>N/A</v>
      </c>
      <c r="T19" s="77" t="str">
        <f t="shared" ca="1" si="4"/>
        <v>N/A</v>
      </c>
      <c r="U19" s="77" t="str">
        <f t="shared" ca="1" si="4"/>
        <v>N/A</v>
      </c>
      <c r="V19" s="77" t="str">
        <f t="shared" ca="1" si="4"/>
        <v>N/A</v>
      </c>
      <c r="W19" s="77" t="str">
        <f t="shared" ca="1" si="4"/>
        <v>N/A</v>
      </c>
    </row>
    <row r="20" spans="1:23" hidden="1" x14ac:dyDescent="0.25">
      <c r="A20" s="44"/>
      <c r="B20" s="110" t="str">
        <f t="shared" ca="1" si="2"/>
        <v/>
      </c>
      <c r="C20" s="1" t="str">
        <f>IF(ISERROR(D20),"",IF(D20="","",MAX($C$12:C19)+1))</f>
        <v/>
      </c>
      <c r="D20" t="e">
        <f t="shared" si="3"/>
        <v>#N/A</v>
      </c>
      <c r="E20" s="15"/>
      <c r="F20" s="77" t="str">
        <f t="shared" ca="1" si="5"/>
        <v>N/A</v>
      </c>
      <c r="G20" s="77" t="str">
        <f>IFERROR(IF(VLOOKUP($A20,'2022 Data (WP)'!$D$9:$AA$70,22,FALSE)=0,"",VLOOKUP($A20,'2022 Data (WP)'!$D$9:$AA$70,22,FALSE)),"N/A")</f>
        <v>N/A</v>
      </c>
      <c r="H20" s="77" t="str">
        <f>IFERROR(IF(VLOOKUP($A20,'2021 Data (WP)'!$D$9:$AA$70,22,FALSE)=0,"",VLOOKUP($A20,'2021 Data (WP)'!$D$9:$AA$70,22,FALSE)),"N/A")</f>
        <v>N/A</v>
      </c>
      <c r="I20" s="77" t="str">
        <f>IFERROR(IF(VLOOKUP($A20,'2020 Data (WP)'!$D$9:$AA$70,22,FALSE)=0,"",VLOOKUP($A20,'2020 Data (WP)'!$D$9:$AA$70,22,FALSE)),"N/A")</f>
        <v>N/A</v>
      </c>
      <c r="J20" s="77" t="str">
        <f t="shared" si="6"/>
        <v>N/A</v>
      </c>
      <c r="K20" s="77" t="str">
        <f t="shared" ca="1" si="4"/>
        <v>N/A</v>
      </c>
      <c r="L20" s="77" t="str">
        <f t="shared" ca="1" si="4"/>
        <v>N/A</v>
      </c>
      <c r="M20" s="77" t="str">
        <f t="shared" ca="1" si="4"/>
        <v>N/A</v>
      </c>
      <c r="N20" s="77" t="str">
        <f t="shared" ca="1" si="4"/>
        <v>N/A</v>
      </c>
      <c r="O20" s="77" t="str">
        <f t="shared" ca="1" si="4"/>
        <v>N/A</v>
      </c>
      <c r="P20" s="77" t="str">
        <f t="shared" ca="1" si="4"/>
        <v>N/A</v>
      </c>
      <c r="Q20" s="77" t="str">
        <f t="shared" ca="1" si="4"/>
        <v>N/A</v>
      </c>
      <c r="R20" s="77" t="str">
        <f t="shared" ca="1" si="4"/>
        <v>N/A</v>
      </c>
      <c r="S20" s="77" t="str">
        <f t="shared" ca="1" si="4"/>
        <v>N/A</v>
      </c>
      <c r="T20" s="77" t="str">
        <f t="shared" ca="1" si="4"/>
        <v>N/A</v>
      </c>
      <c r="U20" s="77" t="str">
        <f t="shared" ca="1" si="4"/>
        <v>N/A</v>
      </c>
      <c r="V20" s="77" t="str">
        <f t="shared" ca="1" si="4"/>
        <v>N/A</v>
      </c>
      <c r="W20" s="77" t="str">
        <f t="shared" ca="1" si="4"/>
        <v>N/A</v>
      </c>
    </row>
    <row r="21" spans="1:23" hidden="1" x14ac:dyDescent="0.25">
      <c r="A21" s="44"/>
      <c r="B21" s="110" t="str">
        <f t="shared" ca="1" si="2"/>
        <v/>
      </c>
      <c r="C21" s="1" t="str">
        <f>IF(ISERROR(D21),"",IF(D21="","",MAX($C$12:C20)+1))</f>
        <v/>
      </c>
      <c r="D21" t="e">
        <f t="shared" si="3"/>
        <v>#N/A</v>
      </c>
      <c r="E21" s="15"/>
      <c r="F21" s="77" t="str">
        <f t="shared" ca="1" si="5"/>
        <v>N/A</v>
      </c>
      <c r="G21" s="77"/>
      <c r="H21" s="77"/>
      <c r="I21" s="77"/>
      <c r="J21" s="77" t="str">
        <f t="shared" si="6"/>
        <v>N/A</v>
      </c>
      <c r="K21" s="77" t="str">
        <f t="shared" ca="1" si="4"/>
        <v>N/A</v>
      </c>
      <c r="L21" s="77" t="str">
        <f t="shared" ca="1" si="4"/>
        <v>N/A</v>
      </c>
      <c r="M21" s="77" t="str">
        <f t="shared" ca="1" si="4"/>
        <v>N/A</v>
      </c>
      <c r="N21" s="77" t="str">
        <f t="shared" ca="1" si="4"/>
        <v>N/A</v>
      </c>
      <c r="O21" s="77" t="str">
        <f t="shared" ca="1" si="4"/>
        <v>N/A</v>
      </c>
      <c r="P21" s="77" t="str">
        <f t="shared" ca="1" si="4"/>
        <v>N/A</v>
      </c>
      <c r="Q21" s="77" t="str">
        <f t="shared" ca="1" si="4"/>
        <v>N/A</v>
      </c>
      <c r="R21" s="77" t="str">
        <f t="shared" ca="1" si="4"/>
        <v>N/A</v>
      </c>
      <c r="S21" s="77" t="str">
        <f t="shared" ca="1" si="4"/>
        <v>N/A</v>
      </c>
      <c r="T21" s="77" t="str">
        <f t="shared" ca="1" si="4"/>
        <v>N/A</v>
      </c>
      <c r="U21" s="77" t="str">
        <f t="shared" ca="1" si="4"/>
        <v>N/A</v>
      </c>
      <c r="V21" s="77" t="str">
        <f t="shared" ca="1" si="4"/>
        <v>N/A</v>
      </c>
      <c r="W21" s="77" t="str">
        <f t="shared" ca="1" si="4"/>
        <v>N/A</v>
      </c>
    </row>
    <row r="22" spans="1:23" hidden="1" x14ac:dyDescent="0.25">
      <c r="A22" s="44"/>
      <c r="B22" s="110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77" t="str">
        <f t="shared" ca="1" si="5"/>
        <v>N/A</v>
      </c>
      <c r="G22" s="77"/>
      <c r="H22" s="77"/>
      <c r="I22" s="77"/>
      <c r="J22" s="77" t="str">
        <f t="shared" si="6"/>
        <v>N/A</v>
      </c>
      <c r="K22" s="77" t="str">
        <f t="shared" ca="1" si="4"/>
        <v>N/A</v>
      </c>
      <c r="L22" s="77" t="str">
        <f t="shared" ca="1" si="4"/>
        <v>N/A</v>
      </c>
      <c r="M22" s="77" t="str">
        <f t="shared" ca="1" si="4"/>
        <v>N/A</v>
      </c>
      <c r="N22" s="77" t="str">
        <f t="shared" ca="1" si="4"/>
        <v>N/A</v>
      </c>
      <c r="O22" s="77" t="str">
        <f t="shared" ca="1" si="4"/>
        <v>N/A</v>
      </c>
      <c r="P22" s="77" t="str">
        <f t="shared" ca="1" si="4"/>
        <v>N/A</v>
      </c>
      <c r="Q22" s="77" t="str">
        <f t="shared" ca="1" si="4"/>
        <v>N/A</v>
      </c>
      <c r="R22" s="77" t="str">
        <f t="shared" ca="1" si="4"/>
        <v>N/A</v>
      </c>
      <c r="S22" s="77" t="str">
        <f t="shared" ca="1" si="4"/>
        <v>N/A</v>
      </c>
      <c r="T22" s="77" t="str">
        <f t="shared" ca="1" si="4"/>
        <v>N/A</v>
      </c>
      <c r="U22" s="77" t="str">
        <f t="shared" ca="1" si="4"/>
        <v>N/A</v>
      </c>
      <c r="V22" s="77" t="str">
        <f t="shared" ca="1" si="4"/>
        <v>N/A</v>
      </c>
      <c r="W22" s="77" t="str">
        <f t="shared" ca="1" si="4"/>
        <v>N/A</v>
      </c>
    </row>
    <row r="23" spans="1:23" hidden="1" x14ac:dyDescent="0.25">
      <c r="A23" s="44"/>
      <c r="B23" s="110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77" t="str">
        <f t="shared" ca="1" si="5"/>
        <v>N/A</v>
      </c>
      <c r="G23" s="77"/>
      <c r="H23" s="77"/>
      <c r="I23" s="77"/>
      <c r="J23" s="77" t="str">
        <f t="shared" si="6"/>
        <v>N/A</v>
      </c>
      <c r="K23" s="77" t="str">
        <f t="shared" ca="1" si="4"/>
        <v>N/A</v>
      </c>
      <c r="L23" s="77" t="str">
        <f t="shared" ca="1" si="4"/>
        <v>N/A</v>
      </c>
      <c r="M23" s="77" t="str">
        <f t="shared" ca="1" si="4"/>
        <v>N/A</v>
      </c>
      <c r="N23" s="77" t="str">
        <f t="shared" ca="1" si="4"/>
        <v>N/A</v>
      </c>
      <c r="O23" s="77" t="str">
        <f t="shared" ca="1" si="4"/>
        <v>N/A</v>
      </c>
      <c r="P23" s="77" t="str">
        <f t="shared" ca="1" si="4"/>
        <v>N/A</v>
      </c>
      <c r="Q23" s="77" t="str">
        <f t="shared" ca="1" si="4"/>
        <v>N/A</v>
      </c>
      <c r="R23" s="77" t="str">
        <f t="shared" ca="1" si="4"/>
        <v>N/A</v>
      </c>
      <c r="S23" s="77" t="str">
        <f t="shared" ca="1" si="4"/>
        <v>N/A</v>
      </c>
      <c r="T23" s="77" t="str">
        <f t="shared" ca="1" si="4"/>
        <v>N/A</v>
      </c>
      <c r="U23" s="77" t="str">
        <f t="shared" ca="1" si="4"/>
        <v>N/A</v>
      </c>
      <c r="V23" s="77" t="str">
        <f t="shared" ca="1" si="4"/>
        <v>N/A</v>
      </c>
      <c r="W23" s="77" t="str">
        <f t="shared" ca="1" si="4"/>
        <v>N/A</v>
      </c>
    </row>
    <row r="24" spans="1:23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77" t="str">
        <f t="shared" ca="1" si="5"/>
        <v>N/A</v>
      </c>
      <c r="G24" s="77"/>
      <c r="H24" s="77"/>
      <c r="I24" s="77"/>
      <c r="J24" s="77" t="str">
        <f t="shared" si="6"/>
        <v>N/A</v>
      </c>
      <c r="K24" s="77" t="str">
        <f t="shared" ref="K24:K57" si="7">IFERROR(IF(VLOOKUP(A24,LUCurYr,22,FALSE)=0,"",VLOOKUP(A24,LUCurYr,22,FALSE)),"N/A")</f>
        <v>N/A</v>
      </c>
      <c r="L24" s="77" t="str">
        <f ca="1">IFERROR(VLOOKUP($A24,LASTYR,'[3]2017'!$Q$3,FALSE),"N/A")</f>
        <v>N/A</v>
      </c>
      <c r="M24" s="77" t="str">
        <f t="shared" ca="1" si="4"/>
        <v>N/A</v>
      </c>
      <c r="N24" s="77" t="str">
        <f t="shared" ca="1" si="4"/>
        <v>N/A</v>
      </c>
      <c r="O24" s="77" t="str">
        <f t="shared" ca="1" si="4"/>
        <v>N/A</v>
      </c>
      <c r="P24" s="77" t="str">
        <f t="shared" ca="1" si="4"/>
        <v>N/A</v>
      </c>
      <c r="Q24" s="77" t="str">
        <f t="shared" ca="1" si="4"/>
        <v>N/A</v>
      </c>
      <c r="R24" s="77" t="str">
        <f t="shared" ca="1" si="4"/>
        <v>N/A</v>
      </c>
      <c r="S24" s="77" t="str">
        <f t="shared" ca="1" si="4"/>
        <v>N/A</v>
      </c>
      <c r="T24" s="77" t="str">
        <f t="shared" ca="1" si="4"/>
        <v>N/A</v>
      </c>
      <c r="U24" s="77" t="str">
        <f t="shared" ca="1" si="4"/>
        <v>N/A</v>
      </c>
      <c r="V24" s="77" t="str">
        <f t="shared" ca="1" si="4"/>
        <v>N/A</v>
      </c>
      <c r="W24" s="77" t="str">
        <f t="shared" ca="1" si="4"/>
        <v>N/A</v>
      </c>
    </row>
    <row r="25" spans="1:23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77" t="str">
        <f t="shared" ca="1" si="5"/>
        <v>N/A</v>
      </c>
      <c r="G25" s="77"/>
      <c r="H25" s="77"/>
      <c r="I25" s="77"/>
      <c r="J25" s="77" t="str">
        <f t="shared" si="6"/>
        <v>N/A</v>
      </c>
      <c r="K25" s="77" t="str">
        <f t="shared" si="7"/>
        <v>N/A</v>
      </c>
      <c r="L25" s="77" t="str">
        <f ca="1">IFERROR(VLOOKUP($A25,LASTYR,'[3]2017'!$Q$3,FALSE),"N/A")</f>
        <v>N/A</v>
      </c>
      <c r="M25" s="77" t="str">
        <f t="shared" ca="1" si="4"/>
        <v>N/A</v>
      </c>
      <c r="N25" s="77" t="str">
        <f t="shared" ca="1" si="4"/>
        <v>N/A</v>
      </c>
      <c r="O25" s="77" t="str">
        <f t="shared" ca="1" si="4"/>
        <v>N/A</v>
      </c>
      <c r="P25" s="77" t="str">
        <f t="shared" ca="1" si="4"/>
        <v>N/A</v>
      </c>
      <c r="Q25" s="77" t="str">
        <f t="shared" ca="1" si="4"/>
        <v>N/A</v>
      </c>
      <c r="R25" s="77" t="str">
        <f t="shared" ca="1" si="4"/>
        <v>N/A</v>
      </c>
      <c r="S25" s="77" t="str">
        <f t="shared" ca="1" si="4"/>
        <v>N/A</v>
      </c>
      <c r="T25" s="77" t="str">
        <f t="shared" ca="1" si="4"/>
        <v>N/A</v>
      </c>
      <c r="U25" s="77" t="str">
        <f t="shared" ca="1" si="4"/>
        <v>N/A</v>
      </c>
      <c r="V25" s="77" t="str">
        <f t="shared" ca="1" si="4"/>
        <v>N/A</v>
      </c>
      <c r="W25" s="77" t="str">
        <f t="shared" ca="1" si="4"/>
        <v>N/A</v>
      </c>
    </row>
    <row r="26" spans="1:23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77" t="str">
        <f t="shared" ca="1" si="5"/>
        <v>N/A</v>
      </c>
      <c r="G26" s="77"/>
      <c r="H26" s="77"/>
      <c r="I26" s="77"/>
      <c r="J26" s="77" t="str">
        <f t="shared" si="6"/>
        <v>N/A</v>
      </c>
      <c r="K26" s="77" t="str">
        <f t="shared" si="7"/>
        <v>N/A</v>
      </c>
      <c r="L26" s="77" t="str">
        <f ca="1">IFERROR(VLOOKUP($A26,LASTYR,'[3]2017'!$Q$3,FALSE),"N/A")</f>
        <v>N/A</v>
      </c>
      <c r="M26" s="77" t="str">
        <f t="shared" ca="1" si="4"/>
        <v>N/A</v>
      </c>
      <c r="N26" s="77" t="str">
        <f t="shared" ca="1" si="4"/>
        <v>N/A</v>
      </c>
      <c r="O26" s="77" t="str">
        <f t="shared" ca="1" si="4"/>
        <v>N/A</v>
      </c>
      <c r="P26" s="77" t="str">
        <f t="shared" ca="1" si="4"/>
        <v>N/A</v>
      </c>
      <c r="Q26" s="77" t="str">
        <f t="shared" ca="1" si="4"/>
        <v>N/A</v>
      </c>
      <c r="R26" s="77" t="str">
        <f t="shared" ca="1" si="4"/>
        <v>N/A</v>
      </c>
      <c r="S26" s="77" t="str">
        <f t="shared" ca="1" si="4"/>
        <v>N/A</v>
      </c>
      <c r="T26" s="77" t="str">
        <f t="shared" ca="1" si="4"/>
        <v>N/A</v>
      </c>
      <c r="U26" s="77" t="str">
        <f t="shared" ca="1" si="4"/>
        <v>N/A</v>
      </c>
      <c r="V26" s="77" t="str">
        <f t="shared" ca="1" si="4"/>
        <v>N/A</v>
      </c>
      <c r="W26" s="77" t="str">
        <f t="shared" ca="1" si="4"/>
        <v>N/A</v>
      </c>
    </row>
    <row r="27" spans="1:23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77" t="str">
        <f t="shared" ca="1" si="5"/>
        <v>N/A</v>
      </c>
      <c r="G27" s="77"/>
      <c r="H27" s="77"/>
      <c r="I27" s="77"/>
      <c r="J27" s="77" t="str">
        <f t="shared" si="6"/>
        <v>N/A</v>
      </c>
      <c r="K27" s="77" t="str">
        <f t="shared" si="7"/>
        <v>N/A</v>
      </c>
      <c r="L27" s="77" t="str">
        <f ca="1">IFERROR(VLOOKUP($A27,LASTYR,'[3]2017'!$Q$3,FALSE),"N/A")</f>
        <v>N/A</v>
      </c>
      <c r="M27" s="77" t="str">
        <f t="shared" ca="1" si="4"/>
        <v>N/A</v>
      </c>
      <c r="N27" s="77" t="str">
        <f t="shared" ca="1" si="4"/>
        <v>N/A</v>
      </c>
      <c r="O27" s="77" t="str">
        <f t="shared" ca="1" si="4"/>
        <v>N/A</v>
      </c>
      <c r="P27" s="77" t="str">
        <f t="shared" ca="1" si="4"/>
        <v>N/A</v>
      </c>
      <c r="Q27" s="77" t="str">
        <f t="shared" ca="1" si="4"/>
        <v>N/A</v>
      </c>
      <c r="R27" s="77" t="str">
        <f t="shared" ca="1" si="4"/>
        <v>N/A</v>
      </c>
      <c r="S27" s="77" t="str">
        <f t="shared" ca="1" si="4"/>
        <v>N/A</v>
      </c>
      <c r="T27" s="77" t="str">
        <f t="shared" ca="1" si="4"/>
        <v>N/A</v>
      </c>
      <c r="U27" s="77" t="str">
        <f t="shared" ca="1" si="4"/>
        <v>N/A</v>
      </c>
      <c r="V27" s="77" t="str">
        <f t="shared" ca="1" si="4"/>
        <v>N/A</v>
      </c>
      <c r="W27" s="77" t="str">
        <f t="shared" ca="1" si="4"/>
        <v>N/A</v>
      </c>
    </row>
    <row r="28" spans="1:23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77" t="str">
        <f t="shared" ca="1" si="5"/>
        <v>N/A</v>
      </c>
      <c r="G28" s="77"/>
      <c r="H28" s="77"/>
      <c r="I28" s="77"/>
      <c r="J28" s="77" t="str">
        <f t="shared" si="6"/>
        <v>N/A</v>
      </c>
      <c r="K28" s="77" t="str">
        <f t="shared" si="7"/>
        <v>N/A</v>
      </c>
      <c r="L28" s="77" t="str">
        <f ca="1">IFERROR(VLOOKUP($A28,LASTYR,'[3]2017'!$Q$3,FALSE),"N/A")</f>
        <v>N/A</v>
      </c>
      <c r="M28" s="77" t="str">
        <f t="shared" ca="1" si="4"/>
        <v>N/A</v>
      </c>
      <c r="N28" s="77" t="str">
        <f t="shared" ca="1" si="4"/>
        <v>N/A</v>
      </c>
      <c r="O28" s="77" t="str">
        <f t="shared" ca="1" si="4"/>
        <v>N/A</v>
      </c>
      <c r="P28" s="77" t="str">
        <f t="shared" ca="1" si="4"/>
        <v>N/A</v>
      </c>
      <c r="Q28" s="77" t="str">
        <f t="shared" ca="1" si="4"/>
        <v>N/A</v>
      </c>
      <c r="R28" s="77" t="str">
        <f t="shared" ca="1" si="4"/>
        <v>N/A</v>
      </c>
      <c r="S28" s="77" t="str">
        <f t="shared" ca="1" si="4"/>
        <v>N/A</v>
      </c>
      <c r="T28" s="77" t="str">
        <f t="shared" ca="1" si="4"/>
        <v>N/A</v>
      </c>
      <c r="U28" s="77" t="str">
        <f t="shared" ca="1" si="4"/>
        <v>N/A</v>
      </c>
      <c r="V28" s="77" t="str">
        <f t="shared" ca="1" si="4"/>
        <v>N/A</v>
      </c>
      <c r="W28" s="77" t="str">
        <f t="shared" ca="1" si="4"/>
        <v>N/A</v>
      </c>
    </row>
    <row r="29" spans="1:23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77" t="str">
        <f t="shared" ca="1" si="5"/>
        <v>N/A</v>
      </c>
      <c r="G29" s="77"/>
      <c r="H29" s="77"/>
      <c r="I29" s="77"/>
      <c r="J29" s="77" t="str">
        <f t="shared" si="6"/>
        <v>N/A</v>
      </c>
      <c r="K29" s="77" t="str">
        <f t="shared" si="7"/>
        <v>N/A</v>
      </c>
      <c r="L29" s="77" t="str">
        <f ca="1">IFERROR(VLOOKUP($A29,LASTYR,'[3]2017'!$Q$3,FALSE),"N/A")</f>
        <v>N/A</v>
      </c>
      <c r="M29" s="77" t="str">
        <f t="shared" ref="M29:W52" ca="1" si="8">IFERROR(INDEX(DIV_MP_WP,$B29,M$12),"N/A")</f>
        <v>N/A</v>
      </c>
      <c r="N29" s="77" t="str">
        <f t="shared" ca="1" si="8"/>
        <v>N/A</v>
      </c>
      <c r="O29" s="77" t="str">
        <f t="shared" ca="1" si="8"/>
        <v>N/A</v>
      </c>
      <c r="P29" s="77" t="str">
        <f t="shared" ca="1" si="8"/>
        <v>N/A</v>
      </c>
      <c r="Q29" s="77" t="str">
        <f t="shared" ca="1" si="8"/>
        <v>N/A</v>
      </c>
      <c r="R29" s="77" t="str">
        <f t="shared" ca="1" si="8"/>
        <v>N/A</v>
      </c>
      <c r="S29" s="77" t="str">
        <f t="shared" ca="1" si="8"/>
        <v>N/A</v>
      </c>
      <c r="T29" s="77" t="str">
        <f t="shared" ca="1" si="8"/>
        <v>N/A</v>
      </c>
      <c r="U29" s="77" t="str">
        <f t="shared" ca="1" si="8"/>
        <v>N/A</v>
      </c>
      <c r="V29" s="77" t="str">
        <f t="shared" ca="1" si="8"/>
        <v>N/A</v>
      </c>
      <c r="W29" s="77" t="str">
        <f t="shared" ca="1" si="8"/>
        <v>N/A</v>
      </c>
    </row>
    <row r="30" spans="1:23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77" t="str">
        <f t="shared" ca="1" si="5"/>
        <v>N/A</v>
      </c>
      <c r="G30" s="77"/>
      <c r="H30" s="77"/>
      <c r="I30" s="77"/>
      <c r="J30" s="77" t="str">
        <f t="shared" si="6"/>
        <v>N/A</v>
      </c>
      <c r="K30" s="77" t="str">
        <f t="shared" si="7"/>
        <v>N/A</v>
      </c>
      <c r="L30" s="77" t="str">
        <f ca="1">IFERROR(VLOOKUP($A30,LASTYR,'[3]2017'!$Q$3,FALSE),"N/A")</f>
        <v>N/A</v>
      </c>
      <c r="M30" s="77" t="str">
        <f t="shared" ca="1" si="8"/>
        <v>N/A</v>
      </c>
      <c r="N30" s="77" t="str">
        <f t="shared" ca="1" si="8"/>
        <v>N/A</v>
      </c>
      <c r="O30" s="77" t="str">
        <f t="shared" ca="1" si="8"/>
        <v>N/A</v>
      </c>
      <c r="P30" s="77" t="str">
        <f t="shared" ca="1" si="8"/>
        <v>N/A</v>
      </c>
      <c r="Q30" s="77" t="str">
        <f t="shared" ca="1" si="8"/>
        <v>N/A</v>
      </c>
      <c r="R30" s="77" t="str">
        <f t="shared" ca="1" si="8"/>
        <v>N/A</v>
      </c>
      <c r="S30" s="77" t="str">
        <f t="shared" ca="1" si="8"/>
        <v>N/A</v>
      </c>
      <c r="T30" s="77" t="str">
        <f t="shared" ca="1" si="8"/>
        <v>N/A</v>
      </c>
      <c r="U30" s="77" t="str">
        <f t="shared" ca="1" si="8"/>
        <v>N/A</v>
      </c>
      <c r="V30" s="77" t="str">
        <f t="shared" ca="1" si="8"/>
        <v>N/A</v>
      </c>
      <c r="W30" s="77" t="str">
        <f t="shared" ca="1" si="8"/>
        <v>N/A</v>
      </c>
    </row>
    <row r="31" spans="1:23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77" t="str">
        <f t="shared" ca="1" si="5"/>
        <v>N/A</v>
      </c>
      <c r="G31" s="77"/>
      <c r="H31" s="77"/>
      <c r="I31" s="77"/>
      <c r="J31" s="77" t="str">
        <f t="shared" si="6"/>
        <v>N/A</v>
      </c>
      <c r="K31" s="77" t="str">
        <f t="shared" si="7"/>
        <v>N/A</v>
      </c>
      <c r="L31" s="77" t="str">
        <f ca="1">IFERROR(VLOOKUP($A31,LASTYR,'[3]2017'!$Q$3,FALSE),"N/A")</f>
        <v>N/A</v>
      </c>
      <c r="M31" s="77" t="str">
        <f t="shared" ca="1" si="8"/>
        <v>N/A</v>
      </c>
      <c r="N31" s="77" t="str">
        <f t="shared" ca="1" si="8"/>
        <v>N/A</v>
      </c>
      <c r="O31" s="77" t="str">
        <f t="shared" ca="1" si="8"/>
        <v>N/A</v>
      </c>
      <c r="P31" s="77" t="str">
        <f t="shared" ca="1" si="8"/>
        <v>N/A</v>
      </c>
      <c r="Q31" s="77" t="str">
        <f t="shared" ca="1" si="8"/>
        <v>N/A</v>
      </c>
      <c r="R31" s="77" t="str">
        <f t="shared" ca="1" si="8"/>
        <v>N/A</v>
      </c>
      <c r="S31" s="77" t="str">
        <f t="shared" ca="1" si="8"/>
        <v>N/A</v>
      </c>
      <c r="T31" s="77" t="str">
        <f t="shared" ca="1" si="8"/>
        <v>N/A</v>
      </c>
      <c r="U31" s="77" t="str">
        <f t="shared" ca="1" si="8"/>
        <v>N/A</v>
      </c>
      <c r="V31" s="77" t="str">
        <f t="shared" ca="1" si="8"/>
        <v>N/A</v>
      </c>
      <c r="W31" s="77" t="str">
        <f t="shared" ca="1" si="8"/>
        <v>N/A</v>
      </c>
    </row>
    <row r="32" spans="1:23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77" t="str">
        <f t="shared" ca="1" si="5"/>
        <v>N/A</v>
      </c>
      <c r="G32" s="77"/>
      <c r="H32" s="77"/>
      <c r="I32" s="77"/>
      <c r="J32" s="77" t="str">
        <f t="shared" si="6"/>
        <v>N/A</v>
      </c>
      <c r="K32" s="77" t="str">
        <f t="shared" si="7"/>
        <v>N/A</v>
      </c>
      <c r="L32" s="77" t="str">
        <f ca="1">IFERROR(VLOOKUP($A32,LASTYR,'[3]2017'!$Q$3,FALSE),"N/A")</f>
        <v>N/A</v>
      </c>
      <c r="M32" s="77" t="str">
        <f t="shared" ca="1" si="8"/>
        <v>N/A</v>
      </c>
      <c r="N32" s="77" t="str">
        <f t="shared" ca="1" si="8"/>
        <v>N/A</v>
      </c>
      <c r="O32" s="77" t="str">
        <f t="shared" ca="1" si="8"/>
        <v>N/A</v>
      </c>
      <c r="P32" s="77" t="str">
        <f t="shared" ca="1" si="8"/>
        <v>N/A</v>
      </c>
      <c r="Q32" s="77" t="str">
        <f t="shared" ca="1" si="8"/>
        <v>N/A</v>
      </c>
      <c r="R32" s="77" t="str">
        <f t="shared" ca="1" si="8"/>
        <v>N/A</v>
      </c>
      <c r="S32" s="77" t="str">
        <f t="shared" ca="1" si="8"/>
        <v>N/A</v>
      </c>
      <c r="T32" s="77" t="str">
        <f t="shared" ca="1" si="8"/>
        <v>N/A</v>
      </c>
      <c r="U32" s="77" t="str">
        <f t="shared" ca="1" si="8"/>
        <v>N/A</v>
      </c>
      <c r="V32" s="77" t="str">
        <f t="shared" ca="1" si="8"/>
        <v>N/A</v>
      </c>
      <c r="W32" s="77" t="str">
        <f t="shared" ca="1" si="8"/>
        <v>N/A</v>
      </c>
    </row>
    <row r="33" spans="1:23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77" t="str">
        <f t="shared" ca="1" si="5"/>
        <v>N/A</v>
      </c>
      <c r="G33" s="77"/>
      <c r="H33" s="77"/>
      <c r="I33" s="77"/>
      <c r="J33" s="77" t="str">
        <f t="shared" si="6"/>
        <v>N/A</v>
      </c>
      <c r="K33" s="77" t="str">
        <f t="shared" si="7"/>
        <v>N/A</v>
      </c>
      <c r="L33" s="77" t="str">
        <f ca="1">IFERROR(VLOOKUP($A33,LASTYR,'[3]2017'!$Q$3,FALSE),"N/A")</f>
        <v>N/A</v>
      </c>
      <c r="M33" s="77" t="str">
        <f t="shared" ca="1" si="8"/>
        <v>N/A</v>
      </c>
      <c r="N33" s="77" t="str">
        <f t="shared" ca="1" si="8"/>
        <v>N/A</v>
      </c>
      <c r="O33" s="77" t="str">
        <f t="shared" ca="1" si="8"/>
        <v>N/A</v>
      </c>
      <c r="P33" s="77" t="str">
        <f t="shared" ca="1" si="8"/>
        <v>N/A</v>
      </c>
      <c r="Q33" s="77" t="str">
        <f t="shared" ca="1" si="8"/>
        <v>N/A</v>
      </c>
      <c r="R33" s="77" t="str">
        <f t="shared" ca="1" si="8"/>
        <v>N/A</v>
      </c>
      <c r="S33" s="77" t="str">
        <f t="shared" ca="1" si="8"/>
        <v>N/A</v>
      </c>
      <c r="T33" s="77" t="str">
        <f t="shared" ca="1" si="8"/>
        <v>N/A</v>
      </c>
      <c r="U33" s="77" t="str">
        <f t="shared" ca="1" si="8"/>
        <v>N/A</v>
      </c>
      <c r="V33" s="77" t="str">
        <f t="shared" ca="1" si="8"/>
        <v>N/A</v>
      </c>
      <c r="W33" s="77" t="str">
        <f t="shared" ca="1" si="8"/>
        <v>N/A</v>
      </c>
    </row>
    <row r="34" spans="1:23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77" t="str">
        <f t="shared" ca="1" si="5"/>
        <v>N/A</v>
      </c>
      <c r="G34" s="77"/>
      <c r="H34" s="77"/>
      <c r="I34" s="77"/>
      <c r="J34" s="77" t="str">
        <f t="shared" si="6"/>
        <v>N/A</v>
      </c>
      <c r="K34" s="77" t="str">
        <f t="shared" si="7"/>
        <v>N/A</v>
      </c>
      <c r="L34" s="77" t="str">
        <f ca="1">IFERROR(VLOOKUP($A34,LASTYR,'[3]2017'!$Q$3,FALSE),"N/A")</f>
        <v>N/A</v>
      </c>
      <c r="M34" s="77" t="str">
        <f t="shared" ca="1" si="8"/>
        <v>N/A</v>
      </c>
      <c r="N34" s="77" t="str">
        <f t="shared" ca="1" si="8"/>
        <v>N/A</v>
      </c>
      <c r="O34" s="77" t="str">
        <f t="shared" ca="1" si="8"/>
        <v>N/A</v>
      </c>
      <c r="P34" s="77" t="str">
        <f t="shared" ca="1" si="8"/>
        <v>N/A</v>
      </c>
      <c r="Q34" s="77" t="str">
        <f t="shared" ca="1" si="8"/>
        <v>N/A</v>
      </c>
      <c r="R34" s="77" t="str">
        <f t="shared" ca="1" si="8"/>
        <v>N/A</v>
      </c>
      <c r="S34" s="77" t="str">
        <f t="shared" ca="1" si="8"/>
        <v>N/A</v>
      </c>
      <c r="T34" s="77" t="str">
        <f t="shared" ca="1" si="8"/>
        <v>N/A</v>
      </c>
      <c r="U34" s="77" t="str">
        <f t="shared" ca="1" si="8"/>
        <v>N/A</v>
      </c>
      <c r="V34" s="77" t="str">
        <f t="shared" ca="1" si="8"/>
        <v>N/A</v>
      </c>
      <c r="W34" s="77" t="str">
        <f t="shared" ca="1" si="8"/>
        <v>N/A</v>
      </c>
    </row>
    <row r="35" spans="1:23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77" t="str">
        <f t="shared" ca="1" si="5"/>
        <v>N/A</v>
      </c>
      <c r="G35" s="77"/>
      <c r="H35" s="77"/>
      <c r="I35" s="77"/>
      <c r="J35" s="77" t="str">
        <f t="shared" si="6"/>
        <v>N/A</v>
      </c>
      <c r="K35" s="77" t="str">
        <f t="shared" si="7"/>
        <v>N/A</v>
      </c>
      <c r="L35" s="77" t="str">
        <f ca="1">IFERROR(VLOOKUP($A35,LASTYR,'[3]2017'!$Q$3,FALSE),"N/A")</f>
        <v>N/A</v>
      </c>
      <c r="M35" s="77" t="str">
        <f t="shared" ca="1" si="8"/>
        <v>N/A</v>
      </c>
      <c r="N35" s="77" t="str">
        <f t="shared" ca="1" si="8"/>
        <v>N/A</v>
      </c>
      <c r="O35" s="77" t="str">
        <f t="shared" ca="1" si="8"/>
        <v>N/A</v>
      </c>
      <c r="P35" s="77" t="str">
        <f t="shared" ca="1" si="8"/>
        <v>N/A</v>
      </c>
      <c r="Q35" s="77" t="str">
        <f t="shared" ca="1" si="8"/>
        <v>N/A</v>
      </c>
      <c r="R35" s="77" t="str">
        <f t="shared" ca="1" si="8"/>
        <v>N/A</v>
      </c>
      <c r="S35" s="77" t="str">
        <f t="shared" ca="1" si="8"/>
        <v>N/A</v>
      </c>
      <c r="T35" s="77" t="str">
        <f t="shared" ca="1" si="8"/>
        <v>N/A</v>
      </c>
      <c r="U35" s="77" t="str">
        <f t="shared" ca="1" si="8"/>
        <v>N/A</v>
      </c>
      <c r="V35" s="77" t="str">
        <f t="shared" ca="1" si="8"/>
        <v>N/A</v>
      </c>
      <c r="W35" s="77" t="str">
        <f t="shared" ca="1" si="8"/>
        <v>N/A</v>
      </c>
    </row>
    <row r="36" spans="1:23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77" t="str">
        <f t="shared" ca="1" si="5"/>
        <v>N/A</v>
      </c>
      <c r="G36" s="77"/>
      <c r="H36" s="77"/>
      <c r="I36" s="77"/>
      <c r="J36" s="77" t="str">
        <f t="shared" si="6"/>
        <v>N/A</v>
      </c>
      <c r="K36" s="77" t="str">
        <f t="shared" si="7"/>
        <v>N/A</v>
      </c>
      <c r="L36" s="77" t="str">
        <f ca="1">IFERROR(VLOOKUP($A36,LASTYR,'[3]2017'!$Q$3,FALSE),"N/A")</f>
        <v>N/A</v>
      </c>
      <c r="M36" s="77" t="str">
        <f t="shared" ca="1" si="8"/>
        <v>N/A</v>
      </c>
      <c r="N36" s="77" t="str">
        <f t="shared" ca="1" si="8"/>
        <v>N/A</v>
      </c>
      <c r="O36" s="77" t="str">
        <f t="shared" ca="1" si="8"/>
        <v>N/A</v>
      </c>
      <c r="P36" s="77" t="str">
        <f t="shared" ca="1" si="8"/>
        <v>N/A</v>
      </c>
      <c r="Q36" s="77" t="str">
        <f t="shared" ca="1" si="8"/>
        <v>N/A</v>
      </c>
      <c r="R36" s="77" t="str">
        <f t="shared" ca="1" si="8"/>
        <v>N/A</v>
      </c>
      <c r="S36" s="77" t="str">
        <f t="shared" ca="1" si="8"/>
        <v>N/A</v>
      </c>
      <c r="T36" s="77" t="str">
        <f t="shared" ca="1" si="8"/>
        <v>N/A</v>
      </c>
      <c r="U36" s="77" t="str">
        <f t="shared" ca="1" si="8"/>
        <v>N/A</v>
      </c>
      <c r="V36" s="77" t="str">
        <f t="shared" ca="1" si="8"/>
        <v>N/A</v>
      </c>
      <c r="W36" s="77" t="str">
        <f t="shared" ca="1" si="8"/>
        <v>N/A</v>
      </c>
    </row>
    <row r="37" spans="1:23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77" t="str">
        <f t="shared" ca="1" si="5"/>
        <v>N/A</v>
      </c>
      <c r="G37" s="77"/>
      <c r="H37" s="77"/>
      <c r="I37" s="77"/>
      <c r="J37" s="77" t="str">
        <f t="shared" si="6"/>
        <v>N/A</v>
      </c>
      <c r="K37" s="77" t="str">
        <f t="shared" si="7"/>
        <v>N/A</v>
      </c>
      <c r="L37" s="77" t="str">
        <f ca="1">IFERROR(VLOOKUP($A37,LASTYR,'[3]2017'!$Q$3,FALSE),"N/A")</f>
        <v>N/A</v>
      </c>
      <c r="M37" s="77" t="str">
        <f t="shared" ca="1" si="8"/>
        <v>N/A</v>
      </c>
      <c r="N37" s="77" t="str">
        <f t="shared" ca="1" si="8"/>
        <v>N/A</v>
      </c>
      <c r="O37" s="77" t="str">
        <f t="shared" ca="1" si="8"/>
        <v>N/A</v>
      </c>
      <c r="P37" s="77" t="str">
        <f t="shared" ca="1" si="8"/>
        <v>N/A</v>
      </c>
      <c r="Q37" s="77" t="str">
        <f t="shared" ca="1" si="8"/>
        <v>N/A</v>
      </c>
      <c r="R37" s="77" t="str">
        <f t="shared" ca="1" si="8"/>
        <v>N/A</v>
      </c>
      <c r="S37" s="77" t="str">
        <f t="shared" ca="1" si="8"/>
        <v>N/A</v>
      </c>
      <c r="T37" s="77" t="str">
        <f t="shared" ca="1" si="8"/>
        <v>N/A</v>
      </c>
      <c r="U37" s="77" t="str">
        <f t="shared" ca="1" si="8"/>
        <v>N/A</v>
      </c>
      <c r="V37" s="77" t="str">
        <f t="shared" ca="1" si="8"/>
        <v>N/A</v>
      </c>
      <c r="W37" s="77" t="str">
        <f t="shared" ca="1" si="8"/>
        <v>N/A</v>
      </c>
    </row>
    <row r="38" spans="1:23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77" t="str">
        <f t="shared" ca="1" si="5"/>
        <v>N/A</v>
      </c>
      <c r="G38" s="77"/>
      <c r="H38" s="77"/>
      <c r="I38" s="77"/>
      <c r="J38" s="77" t="str">
        <f t="shared" si="6"/>
        <v>N/A</v>
      </c>
      <c r="K38" s="77" t="str">
        <f t="shared" si="7"/>
        <v>N/A</v>
      </c>
      <c r="L38" s="77" t="str">
        <f ca="1">IFERROR(VLOOKUP($A38,LASTYR,'[3]2017'!$Q$3,FALSE),"N/A")</f>
        <v>N/A</v>
      </c>
      <c r="M38" s="77" t="str">
        <f t="shared" ca="1" si="8"/>
        <v>N/A</v>
      </c>
      <c r="N38" s="77" t="str">
        <f t="shared" ca="1" si="8"/>
        <v>N/A</v>
      </c>
      <c r="O38" s="77" t="str">
        <f t="shared" ca="1" si="8"/>
        <v>N/A</v>
      </c>
      <c r="P38" s="77" t="str">
        <f t="shared" ca="1" si="8"/>
        <v>N/A</v>
      </c>
      <c r="Q38" s="77" t="str">
        <f t="shared" ca="1" si="8"/>
        <v>N/A</v>
      </c>
      <c r="R38" s="77" t="str">
        <f t="shared" ca="1" si="8"/>
        <v>N/A</v>
      </c>
      <c r="S38" s="77" t="str">
        <f t="shared" ca="1" si="8"/>
        <v>N/A</v>
      </c>
      <c r="T38" s="77" t="str">
        <f t="shared" ca="1" si="8"/>
        <v>N/A</v>
      </c>
      <c r="U38" s="77" t="str">
        <f t="shared" ca="1" si="8"/>
        <v>N/A</v>
      </c>
      <c r="V38" s="77" t="str">
        <f t="shared" ca="1" si="8"/>
        <v>N/A</v>
      </c>
      <c r="W38" s="77" t="str">
        <f t="shared" ca="1" si="8"/>
        <v>N/A</v>
      </c>
    </row>
    <row r="39" spans="1:23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77" t="str">
        <f t="shared" ca="1" si="5"/>
        <v>N/A</v>
      </c>
      <c r="G39" s="77"/>
      <c r="H39" s="77"/>
      <c r="I39" s="77"/>
      <c r="J39" s="77" t="str">
        <f t="shared" si="6"/>
        <v>N/A</v>
      </c>
      <c r="K39" s="77" t="str">
        <f t="shared" si="7"/>
        <v>N/A</v>
      </c>
      <c r="L39" s="77" t="str">
        <f ca="1">IFERROR(VLOOKUP($A39,LASTYR,'[3]2017'!$Q$3,FALSE),"N/A")</f>
        <v>N/A</v>
      </c>
      <c r="M39" s="77" t="str">
        <f t="shared" ca="1" si="8"/>
        <v>N/A</v>
      </c>
      <c r="N39" s="77" t="str">
        <f t="shared" ca="1" si="8"/>
        <v>N/A</v>
      </c>
      <c r="O39" s="77" t="str">
        <f t="shared" ca="1" si="8"/>
        <v>N/A</v>
      </c>
      <c r="P39" s="77" t="str">
        <f t="shared" ca="1" si="8"/>
        <v>N/A</v>
      </c>
      <c r="Q39" s="77" t="str">
        <f t="shared" ca="1" si="8"/>
        <v>N/A</v>
      </c>
      <c r="R39" s="77" t="str">
        <f t="shared" ca="1" si="8"/>
        <v>N/A</v>
      </c>
      <c r="S39" s="77" t="str">
        <f t="shared" ca="1" si="8"/>
        <v>N/A</v>
      </c>
      <c r="T39" s="77" t="str">
        <f t="shared" ca="1" si="8"/>
        <v>N/A</v>
      </c>
      <c r="U39" s="77" t="str">
        <f t="shared" ca="1" si="8"/>
        <v>N/A</v>
      </c>
      <c r="V39" s="77" t="str">
        <f t="shared" ca="1" si="8"/>
        <v>N/A</v>
      </c>
      <c r="W39" s="77" t="str">
        <f t="shared" ca="1" si="8"/>
        <v>N/A</v>
      </c>
    </row>
    <row r="40" spans="1:23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77" t="str">
        <f t="shared" ca="1" si="5"/>
        <v>N/A</v>
      </c>
      <c r="G40" s="77"/>
      <c r="H40" s="77"/>
      <c r="I40" s="77"/>
      <c r="J40" s="77" t="str">
        <f t="shared" si="6"/>
        <v>N/A</v>
      </c>
      <c r="K40" s="77" t="str">
        <f t="shared" si="7"/>
        <v>N/A</v>
      </c>
      <c r="L40" s="77" t="str">
        <f ca="1">IFERROR(VLOOKUP($A40,LASTYR,'[3]2017'!$Q$3,FALSE),"N/A")</f>
        <v>N/A</v>
      </c>
      <c r="M40" s="77" t="str">
        <f t="shared" ca="1" si="8"/>
        <v>N/A</v>
      </c>
      <c r="N40" s="77" t="str">
        <f t="shared" ca="1" si="8"/>
        <v>N/A</v>
      </c>
      <c r="O40" s="77" t="str">
        <f t="shared" ca="1" si="8"/>
        <v>N/A</v>
      </c>
      <c r="P40" s="77" t="str">
        <f t="shared" ca="1" si="8"/>
        <v>N/A</v>
      </c>
      <c r="Q40" s="77" t="str">
        <f t="shared" ca="1" si="8"/>
        <v>N/A</v>
      </c>
      <c r="R40" s="77" t="str">
        <f t="shared" ca="1" si="8"/>
        <v>N/A</v>
      </c>
      <c r="S40" s="77" t="str">
        <f t="shared" ca="1" si="8"/>
        <v>N/A</v>
      </c>
      <c r="T40" s="77" t="str">
        <f t="shared" ca="1" si="8"/>
        <v>N/A</v>
      </c>
      <c r="U40" s="77" t="str">
        <f t="shared" ca="1" si="8"/>
        <v>N/A</v>
      </c>
      <c r="V40" s="77" t="str">
        <f t="shared" ca="1" si="8"/>
        <v>N/A</v>
      </c>
      <c r="W40" s="77" t="str">
        <f t="shared" ca="1" si="8"/>
        <v>N/A</v>
      </c>
    </row>
    <row r="41" spans="1:23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77" t="str">
        <f t="shared" ca="1" si="5"/>
        <v>N/A</v>
      </c>
      <c r="G41" s="77"/>
      <c r="H41" s="77"/>
      <c r="I41" s="77"/>
      <c r="J41" s="77" t="str">
        <f t="shared" si="6"/>
        <v>N/A</v>
      </c>
      <c r="K41" s="77" t="str">
        <f t="shared" si="7"/>
        <v>N/A</v>
      </c>
      <c r="L41" s="77" t="str">
        <f ca="1">IFERROR(VLOOKUP($A41,LASTYR,'[3]2017'!$Q$3,FALSE),"N/A")</f>
        <v>N/A</v>
      </c>
      <c r="M41" s="77" t="str">
        <f t="shared" ca="1" si="8"/>
        <v>N/A</v>
      </c>
      <c r="N41" s="77" t="str">
        <f t="shared" ca="1" si="8"/>
        <v>N/A</v>
      </c>
      <c r="O41" s="77" t="str">
        <f t="shared" ca="1" si="8"/>
        <v>N/A</v>
      </c>
      <c r="P41" s="77" t="str">
        <f t="shared" ca="1" si="8"/>
        <v>N/A</v>
      </c>
      <c r="Q41" s="77" t="str">
        <f t="shared" ca="1" si="8"/>
        <v>N/A</v>
      </c>
      <c r="R41" s="77" t="str">
        <f t="shared" ca="1" si="8"/>
        <v>N/A</v>
      </c>
      <c r="S41" s="77" t="str">
        <f t="shared" ca="1" si="8"/>
        <v>N/A</v>
      </c>
      <c r="T41" s="77" t="str">
        <f t="shared" ca="1" si="8"/>
        <v>N/A</v>
      </c>
      <c r="U41" s="77" t="str">
        <f t="shared" ca="1" si="8"/>
        <v>N/A</v>
      </c>
      <c r="V41" s="77" t="str">
        <f t="shared" ca="1" si="8"/>
        <v>N/A</v>
      </c>
      <c r="W41" s="77" t="str">
        <f t="shared" ca="1" si="8"/>
        <v>N/A</v>
      </c>
    </row>
    <row r="42" spans="1:23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77" t="str">
        <f t="shared" ca="1" si="5"/>
        <v>N/A</v>
      </c>
      <c r="G42" s="77"/>
      <c r="H42" s="77"/>
      <c r="I42" s="77"/>
      <c r="J42" s="77" t="str">
        <f t="shared" si="6"/>
        <v>N/A</v>
      </c>
      <c r="K42" s="77" t="str">
        <f t="shared" si="7"/>
        <v>N/A</v>
      </c>
      <c r="L42" s="77" t="str">
        <f ca="1">IFERROR(VLOOKUP($A42,LASTYR,'[3]2017'!$Q$3,FALSE),"N/A")</f>
        <v>N/A</v>
      </c>
      <c r="M42" s="77" t="str">
        <f t="shared" ca="1" si="8"/>
        <v>N/A</v>
      </c>
      <c r="N42" s="77" t="str">
        <f t="shared" ca="1" si="8"/>
        <v>N/A</v>
      </c>
      <c r="O42" s="77" t="str">
        <f t="shared" ca="1" si="8"/>
        <v>N/A</v>
      </c>
      <c r="P42" s="77" t="str">
        <f t="shared" ca="1" si="8"/>
        <v>N/A</v>
      </c>
      <c r="Q42" s="77" t="str">
        <f t="shared" ca="1" si="8"/>
        <v>N/A</v>
      </c>
      <c r="R42" s="77" t="str">
        <f t="shared" ca="1" si="8"/>
        <v>N/A</v>
      </c>
      <c r="S42" s="77" t="str">
        <f t="shared" ca="1" si="8"/>
        <v>N/A</v>
      </c>
      <c r="T42" s="77" t="str">
        <f t="shared" ca="1" si="8"/>
        <v>N/A</v>
      </c>
      <c r="U42" s="77" t="str">
        <f t="shared" ca="1" si="8"/>
        <v>N/A</v>
      </c>
      <c r="V42" s="77" t="str">
        <f t="shared" ca="1" si="8"/>
        <v>N/A</v>
      </c>
      <c r="W42" s="77" t="str">
        <f t="shared" ca="1" si="8"/>
        <v>N/A</v>
      </c>
    </row>
    <row r="43" spans="1:23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77" t="str">
        <f t="shared" ca="1" si="5"/>
        <v>N/A</v>
      </c>
      <c r="G43" s="77"/>
      <c r="H43" s="77"/>
      <c r="I43" s="77"/>
      <c r="J43" s="77" t="str">
        <f t="shared" si="6"/>
        <v>N/A</v>
      </c>
      <c r="K43" s="77" t="str">
        <f t="shared" si="7"/>
        <v>N/A</v>
      </c>
      <c r="L43" s="77" t="str">
        <f ca="1">IFERROR(VLOOKUP($A43,LASTYR,'[3]2017'!$Q$3,FALSE),"N/A")</f>
        <v>N/A</v>
      </c>
      <c r="M43" s="77" t="str">
        <f t="shared" ca="1" si="8"/>
        <v>N/A</v>
      </c>
      <c r="N43" s="77" t="str">
        <f t="shared" ca="1" si="8"/>
        <v>N/A</v>
      </c>
      <c r="O43" s="77" t="str">
        <f t="shared" ca="1" si="8"/>
        <v>N/A</v>
      </c>
      <c r="P43" s="77" t="str">
        <f t="shared" ca="1" si="8"/>
        <v>N/A</v>
      </c>
      <c r="Q43" s="77" t="str">
        <f t="shared" ca="1" si="8"/>
        <v>N/A</v>
      </c>
      <c r="R43" s="77" t="str">
        <f t="shared" ca="1" si="8"/>
        <v>N/A</v>
      </c>
      <c r="S43" s="77" t="str">
        <f t="shared" ca="1" si="8"/>
        <v>N/A</v>
      </c>
      <c r="T43" s="77" t="str">
        <f t="shared" ca="1" si="8"/>
        <v>N/A</v>
      </c>
      <c r="U43" s="77" t="str">
        <f t="shared" ca="1" si="8"/>
        <v>N/A</v>
      </c>
      <c r="V43" s="77" t="str">
        <f t="shared" ca="1" si="8"/>
        <v>N/A</v>
      </c>
      <c r="W43" s="77" t="str">
        <f t="shared" ca="1" si="8"/>
        <v>N/A</v>
      </c>
    </row>
    <row r="44" spans="1:23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77" t="str">
        <f t="shared" ca="1" si="5"/>
        <v>N/A</v>
      </c>
      <c r="G44" s="77"/>
      <c r="H44" s="77"/>
      <c r="I44" s="77"/>
      <c r="J44" s="77" t="str">
        <f t="shared" si="6"/>
        <v>N/A</v>
      </c>
      <c r="K44" s="77" t="str">
        <f t="shared" si="7"/>
        <v>N/A</v>
      </c>
      <c r="L44" s="77" t="str">
        <f ca="1">IFERROR(VLOOKUP($A44,LASTYR,'[3]2017'!$Q$3,FALSE),"N/A")</f>
        <v>N/A</v>
      </c>
      <c r="M44" s="77" t="str">
        <f t="shared" ca="1" si="8"/>
        <v>N/A</v>
      </c>
      <c r="N44" s="77" t="str">
        <f t="shared" ca="1" si="8"/>
        <v>N/A</v>
      </c>
      <c r="O44" s="77" t="str">
        <f t="shared" ca="1" si="8"/>
        <v>N/A</v>
      </c>
      <c r="P44" s="77" t="str">
        <f t="shared" ca="1" si="8"/>
        <v>N/A</v>
      </c>
      <c r="Q44" s="77" t="str">
        <f t="shared" ca="1" si="8"/>
        <v>N/A</v>
      </c>
      <c r="R44" s="77" t="str">
        <f t="shared" ca="1" si="8"/>
        <v>N/A</v>
      </c>
      <c r="S44" s="77" t="str">
        <f t="shared" ca="1" si="8"/>
        <v>N/A</v>
      </c>
      <c r="T44" s="77" t="str">
        <f t="shared" ca="1" si="8"/>
        <v>N/A</v>
      </c>
      <c r="U44" s="77" t="str">
        <f t="shared" ca="1" si="8"/>
        <v>N/A</v>
      </c>
      <c r="V44" s="77" t="str">
        <f t="shared" ca="1" si="8"/>
        <v>N/A</v>
      </c>
      <c r="W44" s="77" t="str">
        <f t="shared" ca="1" si="8"/>
        <v>N/A</v>
      </c>
    </row>
    <row r="45" spans="1:23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77" t="str">
        <f t="shared" ca="1" si="5"/>
        <v>N/A</v>
      </c>
      <c r="G45" s="77"/>
      <c r="H45" s="77"/>
      <c r="I45" s="77"/>
      <c r="J45" s="77" t="str">
        <f t="shared" si="6"/>
        <v>N/A</v>
      </c>
      <c r="K45" s="77" t="str">
        <f t="shared" si="7"/>
        <v>N/A</v>
      </c>
      <c r="L45" s="77" t="str">
        <f ca="1">IFERROR(VLOOKUP($A45,LASTYR,'[3]2017'!$Q$3,FALSE),"N/A")</f>
        <v>N/A</v>
      </c>
      <c r="M45" s="77" t="str">
        <f t="shared" ca="1" si="8"/>
        <v>N/A</v>
      </c>
      <c r="N45" s="77" t="str">
        <f t="shared" ca="1" si="8"/>
        <v>N/A</v>
      </c>
      <c r="O45" s="77" t="str">
        <f t="shared" ca="1" si="8"/>
        <v>N/A</v>
      </c>
      <c r="P45" s="77" t="str">
        <f t="shared" ca="1" si="8"/>
        <v>N/A</v>
      </c>
      <c r="Q45" s="77" t="str">
        <f t="shared" ca="1" si="8"/>
        <v>N/A</v>
      </c>
      <c r="R45" s="77" t="str">
        <f t="shared" ca="1" si="8"/>
        <v>N/A</v>
      </c>
      <c r="S45" s="77" t="str">
        <f t="shared" ca="1" si="8"/>
        <v>N/A</v>
      </c>
      <c r="T45" s="77" t="str">
        <f t="shared" ca="1" si="8"/>
        <v>N/A</v>
      </c>
      <c r="U45" s="77" t="str">
        <f t="shared" ca="1" si="8"/>
        <v>N/A</v>
      </c>
      <c r="V45" s="77" t="str">
        <f t="shared" ca="1" si="8"/>
        <v>N/A</v>
      </c>
      <c r="W45" s="77" t="str">
        <f t="shared" ca="1" si="8"/>
        <v>N/A</v>
      </c>
    </row>
    <row r="46" spans="1:23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77" t="str">
        <f t="shared" ca="1" si="5"/>
        <v>N/A</v>
      </c>
      <c r="G46" s="77"/>
      <c r="H46" s="77"/>
      <c r="I46" s="77"/>
      <c r="J46" s="77" t="str">
        <f t="shared" si="6"/>
        <v>N/A</v>
      </c>
      <c r="K46" s="77" t="str">
        <f t="shared" si="7"/>
        <v>N/A</v>
      </c>
      <c r="L46" s="77" t="str">
        <f ca="1">IFERROR(VLOOKUP($A46,LASTYR,'[3]2017'!$Q$3,FALSE),"N/A")</f>
        <v>N/A</v>
      </c>
      <c r="M46" s="77" t="str">
        <f t="shared" ca="1" si="8"/>
        <v>N/A</v>
      </c>
      <c r="N46" s="77" t="str">
        <f t="shared" ca="1" si="8"/>
        <v>N/A</v>
      </c>
      <c r="O46" s="77" t="str">
        <f t="shared" ca="1" si="8"/>
        <v>N/A</v>
      </c>
      <c r="P46" s="77" t="str">
        <f t="shared" ca="1" si="8"/>
        <v>N/A</v>
      </c>
      <c r="Q46" s="77" t="str">
        <f t="shared" ca="1" si="8"/>
        <v>N/A</v>
      </c>
      <c r="R46" s="77" t="str">
        <f t="shared" ca="1" si="8"/>
        <v>N/A</v>
      </c>
      <c r="S46" s="77" t="str">
        <f t="shared" ca="1" si="8"/>
        <v>N/A</v>
      </c>
      <c r="T46" s="77" t="str">
        <f t="shared" ca="1" si="8"/>
        <v>N/A</v>
      </c>
      <c r="U46" s="77" t="str">
        <f t="shared" ca="1" si="8"/>
        <v>N/A</v>
      </c>
      <c r="V46" s="77" t="str">
        <f t="shared" ca="1" si="8"/>
        <v>N/A</v>
      </c>
      <c r="W46" s="77" t="str">
        <f t="shared" ca="1" si="8"/>
        <v>N/A</v>
      </c>
    </row>
    <row r="47" spans="1:23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77" t="str">
        <f t="shared" ca="1" si="5"/>
        <v>N/A</v>
      </c>
      <c r="G47" s="77"/>
      <c r="H47" s="77"/>
      <c r="I47" s="77"/>
      <c r="J47" s="77" t="str">
        <f t="shared" si="6"/>
        <v>N/A</v>
      </c>
      <c r="K47" s="77" t="str">
        <f t="shared" si="7"/>
        <v>N/A</v>
      </c>
      <c r="L47" s="77" t="str">
        <f ca="1">IFERROR(VLOOKUP($A47,LASTYR,'[3]2017'!$Q$3,FALSE),"N/A")</f>
        <v>N/A</v>
      </c>
      <c r="M47" s="77" t="str">
        <f t="shared" ca="1" si="8"/>
        <v>N/A</v>
      </c>
      <c r="N47" s="77" t="str">
        <f t="shared" ca="1" si="8"/>
        <v>N/A</v>
      </c>
      <c r="O47" s="77" t="str">
        <f t="shared" ca="1" si="8"/>
        <v>N/A</v>
      </c>
      <c r="P47" s="77" t="str">
        <f t="shared" ca="1" si="8"/>
        <v>N/A</v>
      </c>
      <c r="Q47" s="77" t="str">
        <f t="shared" ca="1" si="8"/>
        <v>N/A</v>
      </c>
      <c r="R47" s="77" t="str">
        <f t="shared" ca="1" si="8"/>
        <v>N/A</v>
      </c>
      <c r="S47" s="77" t="str">
        <f t="shared" ca="1" si="8"/>
        <v>N/A</v>
      </c>
      <c r="T47" s="77" t="str">
        <f t="shared" ca="1" si="8"/>
        <v>N/A</v>
      </c>
      <c r="U47" s="77" t="str">
        <f t="shared" ca="1" si="8"/>
        <v>N/A</v>
      </c>
      <c r="V47" s="77" t="str">
        <f t="shared" ca="1" si="8"/>
        <v>N/A</v>
      </c>
      <c r="W47" s="77" t="str">
        <f t="shared" ca="1" si="8"/>
        <v>N/A</v>
      </c>
    </row>
    <row r="48" spans="1:23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77" t="str">
        <f t="shared" ca="1" si="5"/>
        <v>N/A</v>
      </c>
      <c r="G48" s="77"/>
      <c r="H48" s="77"/>
      <c r="I48" s="77"/>
      <c r="J48" s="77" t="str">
        <f t="shared" si="6"/>
        <v>N/A</v>
      </c>
      <c r="K48" s="77" t="str">
        <f t="shared" si="7"/>
        <v>N/A</v>
      </c>
      <c r="L48" s="77" t="str">
        <f ca="1">IFERROR(VLOOKUP($A48,LASTYR,'[3]2017'!$Q$3,FALSE),"N/A")</f>
        <v>N/A</v>
      </c>
      <c r="M48" s="77" t="str">
        <f t="shared" ca="1" si="8"/>
        <v>N/A</v>
      </c>
      <c r="N48" s="77" t="str">
        <f t="shared" ca="1" si="8"/>
        <v>N/A</v>
      </c>
      <c r="O48" s="77" t="str">
        <f t="shared" ca="1" si="8"/>
        <v>N/A</v>
      </c>
      <c r="P48" s="77" t="str">
        <f t="shared" ca="1" si="8"/>
        <v>N/A</v>
      </c>
      <c r="Q48" s="77" t="str">
        <f t="shared" ca="1" si="8"/>
        <v>N/A</v>
      </c>
      <c r="R48" s="77" t="str">
        <f t="shared" ca="1" si="8"/>
        <v>N/A</v>
      </c>
      <c r="S48" s="77" t="str">
        <f t="shared" ca="1" si="8"/>
        <v>N/A</v>
      </c>
      <c r="T48" s="77" t="str">
        <f t="shared" ca="1" si="8"/>
        <v>N/A</v>
      </c>
      <c r="U48" s="77" t="str">
        <f t="shared" ca="1" si="8"/>
        <v>N/A</v>
      </c>
      <c r="V48" s="77" t="str">
        <f t="shared" ca="1" si="8"/>
        <v>N/A</v>
      </c>
      <c r="W48" s="77" t="str">
        <f t="shared" ca="1" si="8"/>
        <v>N/A</v>
      </c>
    </row>
    <row r="49" spans="1:23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77" t="str">
        <f t="shared" ca="1" si="5"/>
        <v>N/A</v>
      </c>
      <c r="G49" s="77"/>
      <c r="H49" s="77"/>
      <c r="I49" s="77"/>
      <c r="J49" s="77" t="str">
        <f t="shared" si="6"/>
        <v>N/A</v>
      </c>
      <c r="K49" s="77" t="str">
        <f t="shared" si="7"/>
        <v>N/A</v>
      </c>
      <c r="L49" s="77" t="str">
        <f ca="1">IFERROR(VLOOKUP($A49,LASTYR,'[3]2017'!$Q$3,FALSE),"N/A")</f>
        <v>N/A</v>
      </c>
      <c r="M49" s="77" t="str">
        <f t="shared" ca="1" si="8"/>
        <v>N/A</v>
      </c>
      <c r="N49" s="77" t="str">
        <f t="shared" ca="1" si="8"/>
        <v>N/A</v>
      </c>
      <c r="O49" s="77" t="str">
        <f t="shared" ca="1" si="8"/>
        <v>N/A</v>
      </c>
      <c r="P49" s="77" t="str">
        <f t="shared" ca="1" si="8"/>
        <v>N/A</v>
      </c>
      <c r="Q49" s="77" t="str">
        <f t="shared" ca="1" si="8"/>
        <v>N/A</v>
      </c>
      <c r="R49" s="77" t="str">
        <f t="shared" ca="1" si="8"/>
        <v>N/A</v>
      </c>
      <c r="S49" s="77" t="str">
        <f t="shared" ca="1" si="8"/>
        <v>N/A</v>
      </c>
      <c r="T49" s="77" t="str">
        <f t="shared" ca="1" si="8"/>
        <v>N/A</v>
      </c>
      <c r="U49" s="77" t="str">
        <f t="shared" ca="1" si="8"/>
        <v>N/A</v>
      </c>
      <c r="V49" s="77" t="str">
        <f t="shared" ca="1" si="8"/>
        <v>N/A</v>
      </c>
      <c r="W49" s="77" t="str">
        <f t="shared" ca="1" si="8"/>
        <v>N/A</v>
      </c>
    </row>
    <row r="50" spans="1:23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77" t="str">
        <f t="shared" ca="1" si="5"/>
        <v>N/A</v>
      </c>
      <c r="G50" s="77"/>
      <c r="H50" s="77"/>
      <c r="I50" s="77"/>
      <c r="J50" s="77" t="str">
        <f t="shared" si="6"/>
        <v>N/A</v>
      </c>
      <c r="K50" s="77" t="str">
        <f t="shared" si="7"/>
        <v>N/A</v>
      </c>
      <c r="L50" s="77" t="str">
        <f ca="1">IFERROR(VLOOKUP($A50,LASTYR,'[3]2017'!$Q$3,FALSE),"N/A")</f>
        <v>N/A</v>
      </c>
      <c r="M50" s="77" t="str">
        <f t="shared" ca="1" si="8"/>
        <v>N/A</v>
      </c>
      <c r="N50" s="77" t="str">
        <f t="shared" ca="1" si="8"/>
        <v>N/A</v>
      </c>
      <c r="O50" s="77" t="str">
        <f t="shared" ca="1" si="8"/>
        <v>N/A</v>
      </c>
      <c r="P50" s="77" t="str">
        <f t="shared" ca="1" si="8"/>
        <v>N/A</v>
      </c>
      <c r="Q50" s="77" t="str">
        <f t="shared" ca="1" si="8"/>
        <v>N/A</v>
      </c>
      <c r="R50" s="77" t="str">
        <f t="shared" ca="1" si="8"/>
        <v>N/A</v>
      </c>
      <c r="S50" s="77" t="str">
        <f t="shared" ca="1" si="8"/>
        <v>N/A</v>
      </c>
      <c r="T50" s="77" t="str">
        <f t="shared" ca="1" si="8"/>
        <v>N/A</v>
      </c>
      <c r="U50" s="77" t="str">
        <f t="shared" ca="1" si="8"/>
        <v>N/A</v>
      </c>
      <c r="V50" s="77" t="str">
        <f t="shared" ca="1" si="8"/>
        <v>N/A</v>
      </c>
      <c r="W50" s="77" t="str">
        <f t="shared" ca="1" si="8"/>
        <v>N/A</v>
      </c>
    </row>
    <row r="51" spans="1:23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77" t="str">
        <f t="shared" ca="1" si="5"/>
        <v>N/A</v>
      </c>
      <c r="G51" s="77"/>
      <c r="H51" s="77"/>
      <c r="I51" s="77"/>
      <c r="J51" s="77" t="str">
        <f t="shared" si="6"/>
        <v>N/A</v>
      </c>
      <c r="K51" s="77" t="str">
        <f t="shared" si="7"/>
        <v>N/A</v>
      </c>
      <c r="L51" s="77" t="str">
        <f ca="1">IFERROR(VLOOKUP($A51,LASTYR,'[3]2017'!$Q$3,FALSE),"N/A")</f>
        <v>N/A</v>
      </c>
      <c r="M51" s="77" t="str">
        <f t="shared" ca="1" si="8"/>
        <v>N/A</v>
      </c>
      <c r="N51" s="77" t="str">
        <f t="shared" ca="1" si="8"/>
        <v>N/A</v>
      </c>
      <c r="O51" s="77" t="str">
        <f t="shared" ca="1" si="8"/>
        <v>N/A</v>
      </c>
      <c r="P51" s="77" t="str">
        <f t="shared" ca="1" si="8"/>
        <v>N/A</v>
      </c>
      <c r="Q51" s="77" t="str">
        <f t="shared" ca="1" si="8"/>
        <v>N/A</v>
      </c>
      <c r="R51" s="77" t="str">
        <f t="shared" ca="1" si="8"/>
        <v>N/A</v>
      </c>
      <c r="S51" s="77" t="str">
        <f t="shared" ca="1" si="8"/>
        <v>N/A</v>
      </c>
      <c r="T51" s="77" t="str">
        <f t="shared" ca="1" si="8"/>
        <v>N/A</v>
      </c>
      <c r="U51" s="77" t="str">
        <f t="shared" ca="1" si="8"/>
        <v>N/A</v>
      </c>
      <c r="V51" s="77" t="str">
        <f t="shared" ca="1" si="8"/>
        <v>N/A</v>
      </c>
      <c r="W51" s="77" t="str">
        <f t="shared" ca="1" si="8"/>
        <v>N/A</v>
      </c>
    </row>
    <row r="52" spans="1:23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77" t="str">
        <f t="shared" ca="1" si="5"/>
        <v>N/A</v>
      </c>
      <c r="G52" s="77"/>
      <c r="H52" s="77"/>
      <c r="I52" s="77"/>
      <c r="J52" s="77" t="str">
        <f t="shared" si="6"/>
        <v>N/A</v>
      </c>
      <c r="K52" s="77" t="str">
        <f t="shared" si="7"/>
        <v>N/A</v>
      </c>
      <c r="L52" s="77" t="str">
        <f ca="1">IFERROR(VLOOKUP($A52,LASTYR,'[3]2017'!$Q$3,FALSE),"N/A")</f>
        <v>N/A</v>
      </c>
      <c r="M52" s="77" t="str">
        <f t="shared" ca="1" si="8"/>
        <v>N/A</v>
      </c>
      <c r="N52" s="77" t="str">
        <f t="shared" ca="1" si="8"/>
        <v>N/A</v>
      </c>
      <c r="O52" s="77" t="str">
        <f t="shared" ref="N52:W57" ca="1" si="9">IFERROR(INDEX(DIV_MP_WP,$B52,O$12),"N/A")</f>
        <v>N/A</v>
      </c>
      <c r="P52" s="77" t="str">
        <f t="shared" ca="1" si="9"/>
        <v>N/A</v>
      </c>
      <c r="Q52" s="77" t="str">
        <f t="shared" ca="1" si="9"/>
        <v>N/A</v>
      </c>
      <c r="R52" s="77" t="str">
        <f t="shared" ca="1" si="9"/>
        <v>N/A</v>
      </c>
      <c r="S52" s="77" t="str">
        <f t="shared" ca="1" si="9"/>
        <v>N/A</v>
      </c>
      <c r="T52" s="77" t="str">
        <f t="shared" ca="1" si="9"/>
        <v>N/A</v>
      </c>
      <c r="U52" s="77" t="str">
        <f t="shared" ca="1" si="9"/>
        <v>N/A</v>
      </c>
      <c r="V52" s="77" t="str">
        <f t="shared" ca="1" si="9"/>
        <v>N/A</v>
      </c>
      <c r="W52" s="77" t="str">
        <f t="shared" ca="1" si="9"/>
        <v>N/A</v>
      </c>
    </row>
    <row r="53" spans="1:23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77" t="str">
        <f t="shared" ca="1" si="5"/>
        <v>N/A</v>
      </c>
      <c r="G53" s="77"/>
      <c r="H53" s="77"/>
      <c r="I53" s="77"/>
      <c r="J53" s="77" t="str">
        <f t="shared" si="6"/>
        <v>N/A</v>
      </c>
      <c r="K53" s="77" t="str">
        <f t="shared" si="7"/>
        <v>N/A</v>
      </c>
      <c r="L53" s="77" t="str">
        <f ca="1">IFERROR(VLOOKUP($A53,LASTYR,'[3]2017'!$Q$3,FALSE),"N/A")</f>
        <v>N/A</v>
      </c>
      <c r="M53" s="77" t="str">
        <f ca="1">IFERROR(INDEX(DIV_MP_WP,$B53,M$12),"N/A")</f>
        <v>N/A</v>
      </c>
      <c r="N53" s="77" t="str">
        <f t="shared" ca="1" si="9"/>
        <v>N/A</v>
      </c>
      <c r="O53" s="77" t="str">
        <f t="shared" ca="1" si="9"/>
        <v>N/A</v>
      </c>
      <c r="P53" s="77" t="str">
        <f t="shared" ca="1" si="9"/>
        <v>N/A</v>
      </c>
      <c r="Q53" s="77" t="str">
        <f t="shared" ca="1" si="9"/>
        <v>N/A</v>
      </c>
      <c r="R53" s="77" t="str">
        <f t="shared" ca="1" si="9"/>
        <v>N/A</v>
      </c>
      <c r="S53" s="77" t="str">
        <f t="shared" ca="1" si="9"/>
        <v>N/A</v>
      </c>
      <c r="T53" s="77" t="str">
        <f t="shared" ca="1" si="9"/>
        <v>N/A</v>
      </c>
      <c r="U53" s="77" t="str">
        <f t="shared" ca="1" si="9"/>
        <v>N/A</v>
      </c>
      <c r="V53" s="77" t="str">
        <f t="shared" ca="1" si="9"/>
        <v>N/A</v>
      </c>
      <c r="W53" s="77" t="str">
        <f t="shared" ca="1" si="9"/>
        <v>N/A</v>
      </c>
    </row>
    <row r="54" spans="1:23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77" t="str">
        <f t="shared" ca="1" si="5"/>
        <v>N/A</v>
      </c>
      <c r="G54" s="77"/>
      <c r="H54" s="77"/>
      <c r="I54" s="77"/>
      <c r="J54" s="77" t="str">
        <f t="shared" si="6"/>
        <v>N/A</v>
      </c>
      <c r="K54" s="77" t="str">
        <f t="shared" si="7"/>
        <v>N/A</v>
      </c>
      <c r="L54" s="77" t="str">
        <f ca="1">IFERROR(VLOOKUP($A54,LASTYR,'[3]2017'!$Q$3,FALSE),"N/A")</f>
        <v>N/A</v>
      </c>
      <c r="M54" s="77" t="str">
        <f ca="1">IFERROR(INDEX(DIV_MP_WP,$B54,M$12),"N/A")</f>
        <v>N/A</v>
      </c>
      <c r="N54" s="77" t="str">
        <f t="shared" ca="1" si="9"/>
        <v>N/A</v>
      </c>
      <c r="O54" s="77" t="str">
        <f t="shared" ca="1" si="9"/>
        <v>N/A</v>
      </c>
      <c r="P54" s="77" t="str">
        <f t="shared" ca="1" si="9"/>
        <v>N/A</v>
      </c>
      <c r="Q54" s="77" t="str">
        <f t="shared" ca="1" si="9"/>
        <v>N/A</v>
      </c>
      <c r="R54" s="77" t="str">
        <f t="shared" ca="1" si="9"/>
        <v>N/A</v>
      </c>
      <c r="S54" s="77" t="str">
        <f t="shared" ca="1" si="9"/>
        <v>N/A</v>
      </c>
      <c r="T54" s="77" t="str">
        <f t="shared" ca="1" si="9"/>
        <v>N/A</v>
      </c>
      <c r="U54" s="77" t="str">
        <f t="shared" ca="1" si="9"/>
        <v>N/A</v>
      </c>
      <c r="V54" s="77" t="str">
        <f t="shared" ca="1" si="9"/>
        <v>N/A</v>
      </c>
      <c r="W54" s="77" t="str">
        <f t="shared" ca="1" si="9"/>
        <v>N/A</v>
      </c>
    </row>
    <row r="55" spans="1:23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77" t="str">
        <f t="shared" ca="1" si="5"/>
        <v>N/A</v>
      </c>
      <c r="G55" s="77"/>
      <c r="H55" s="77"/>
      <c r="I55" s="77"/>
      <c r="J55" s="77" t="str">
        <f t="shared" si="6"/>
        <v>N/A</v>
      </c>
      <c r="K55" s="77" t="str">
        <f t="shared" si="7"/>
        <v>N/A</v>
      </c>
      <c r="L55" s="77" t="str">
        <f ca="1">IFERROR(VLOOKUP($A55,LASTYR,'[3]2017'!$Q$3,FALSE),"N/A")</f>
        <v>N/A</v>
      </c>
      <c r="M55" s="77" t="str">
        <f ca="1">IFERROR(INDEX(DIV_MP_WP,$B55,M$12),"N/A")</f>
        <v>N/A</v>
      </c>
      <c r="N55" s="77" t="str">
        <f t="shared" ca="1" si="9"/>
        <v>N/A</v>
      </c>
      <c r="O55" s="77" t="str">
        <f t="shared" ca="1" si="9"/>
        <v>N/A</v>
      </c>
      <c r="P55" s="77" t="str">
        <f t="shared" ca="1" si="9"/>
        <v>N/A</v>
      </c>
      <c r="Q55" s="77" t="str">
        <f t="shared" ca="1" si="9"/>
        <v>N/A</v>
      </c>
      <c r="R55" s="77" t="str">
        <f t="shared" ca="1" si="9"/>
        <v>N/A</v>
      </c>
      <c r="S55" s="77" t="str">
        <f t="shared" ca="1" si="9"/>
        <v>N/A</v>
      </c>
      <c r="T55" s="77" t="str">
        <f t="shared" ca="1" si="9"/>
        <v>N/A</v>
      </c>
      <c r="U55" s="77" t="str">
        <f t="shared" ca="1" si="9"/>
        <v>N/A</v>
      </c>
      <c r="V55" s="77" t="str">
        <f t="shared" ca="1" si="9"/>
        <v>N/A</v>
      </c>
      <c r="W55" s="77" t="str">
        <f t="shared" ca="1" si="9"/>
        <v>N/A</v>
      </c>
    </row>
    <row r="56" spans="1:23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77" t="str">
        <f t="shared" ca="1" si="5"/>
        <v>N/A</v>
      </c>
      <c r="G56" s="77"/>
      <c r="H56" s="77"/>
      <c r="I56" s="77"/>
      <c r="J56" s="77" t="str">
        <f t="shared" si="6"/>
        <v>N/A</v>
      </c>
      <c r="K56" s="77" t="str">
        <f t="shared" si="7"/>
        <v>N/A</v>
      </c>
      <c r="L56" s="77" t="str">
        <f ca="1">IFERROR(VLOOKUP($A56,LASTYR,'[3]2017'!$Q$3,FALSE),"N/A")</f>
        <v>N/A</v>
      </c>
      <c r="M56" s="77" t="str">
        <f ca="1">IFERROR(INDEX(DIV_MP_WP,$B56,M$12),"N/A")</f>
        <v>N/A</v>
      </c>
      <c r="N56" s="77" t="str">
        <f t="shared" ca="1" si="9"/>
        <v>N/A</v>
      </c>
      <c r="O56" s="77" t="str">
        <f t="shared" ca="1" si="9"/>
        <v>N/A</v>
      </c>
      <c r="P56" s="77" t="str">
        <f t="shared" ca="1" si="9"/>
        <v>N/A</v>
      </c>
      <c r="Q56" s="77" t="str">
        <f t="shared" ca="1" si="9"/>
        <v>N/A</v>
      </c>
      <c r="R56" s="77" t="str">
        <f t="shared" ca="1" si="9"/>
        <v>N/A</v>
      </c>
      <c r="S56" s="77" t="str">
        <f t="shared" ca="1" si="9"/>
        <v>N/A</v>
      </c>
      <c r="T56" s="77" t="str">
        <f t="shared" ca="1" si="9"/>
        <v>N/A</v>
      </c>
      <c r="U56" s="77" t="str">
        <f t="shared" ca="1" si="9"/>
        <v>N/A</v>
      </c>
      <c r="V56" s="77" t="str">
        <f t="shared" ca="1" si="9"/>
        <v>N/A</v>
      </c>
      <c r="W56" s="77" t="str">
        <f t="shared" ca="1" si="9"/>
        <v>N/A</v>
      </c>
    </row>
    <row r="57" spans="1:23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77" t="str">
        <f t="shared" ca="1" si="5"/>
        <v>N/A</v>
      </c>
      <c r="G57" s="77"/>
      <c r="H57" s="77"/>
      <c r="I57" s="77"/>
      <c r="J57" s="77" t="str">
        <f t="shared" si="6"/>
        <v>N/A</v>
      </c>
      <c r="K57" s="77" t="str">
        <f t="shared" si="7"/>
        <v>N/A</v>
      </c>
      <c r="L57" s="77" t="str">
        <f ca="1">IFERROR(VLOOKUP($A57,LASTYR,'[3]2017'!$Q$3,FALSE),"N/A")</f>
        <v>N/A</v>
      </c>
      <c r="M57" s="77" t="str">
        <f ca="1">IFERROR(INDEX(DIV_MP_WP,$B57,M$12),"N/A")</f>
        <v>N/A</v>
      </c>
      <c r="N57" s="77" t="str">
        <f t="shared" ca="1" si="9"/>
        <v>N/A</v>
      </c>
      <c r="O57" s="77" t="str">
        <f t="shared" ca="1" si="9"/>
        <v>N/A</v>
      </c>
      <c r="P57" s="77" t="str">
        <f t="shared" ca="1" si="9"/>
        <v>N/A</v>
      </c>
      <c r="Q57" s="77" t="str">
        <f t="shared" ca="1" si="9"/>
        <v>N/A</v>
      </c>
      <c r="R57" s="77" t="str">
        <f t="shared" ca="1" si="9"/>
        <v>N/A</v>
      </c>
      <c r="S57" s="77" t="str">
        <f t="shared" ca="1" si="9"/>
        <v>N/A</v>
      </c>
      <c r="T57" s="77" t="str">
        <f t="shared" ca="1" si="9"/>
        <v>N/A</v>
      </c>
      <c r="U57" s="77" t="str">
        <f t="shared" ca="1" si="9"/>
        <v>N/A</v>
      </c>
      <c r="V57" s="77" t="str">
        <f t="shared" ca="1" si="9"/>
        <v>N/A</v>
      </c>
      <c r="W57" s="77" t="str">
        <f t="shared" ca="1" si="9"/>
        <v>N/A</v>
      </c>
    </row>
    <row r="58" spans="1:23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</row>
    <row r="59" spans="1:23" x14ac:dyDescent="0.25">
      <c r="A59" s="31"/>
      <c r="B59" s="31"/>
      <c r="C59" s="1">
        <f ca="1">IF(ISERROR(D59),"",IF(D59="","",MAX($C$12:C58)+1))</f>
        <v>7</v>
      </c>
      <c r="D59" s="104" t="s">
        <v>98</v>
      </c>
      <c r="E59" s="104"/>
      <c r="F59" s="108">
        <f ca="1">AVERAGE(G59:W59)</f>
        <v>2.5724530811223556E-2</v>
      </c>
      <c r="G59" s="108">
        <f>AVERAGE(G13:G58)</f>
        <v>1.7897466827614155E-2</v>
      </c>
      <c r="H59" s="108">
        <f>AVERAGE(H13:H58)</f>
        <v>1.6682620818532452E-2</v>
      </c>
      <c r="I59" s="108">
        <f>AVERAGE(I13:I58)</f>
        <v>1.83868980555075E-2</v>
      </c>
      <c r="J59" s="108">
        <f t="shared" ref="J59:W59" si="10">AVERAGE(J13:J58)</f>
        <v>1.7673244394768018E-2</v>
      </c>
      <c r="K59" s="108">
        <f t="shared" ca="1" si="10"/>
        <v>2.1960494181712479E-2</v>
      </c>
      <c r="L59" s="108">
        <f t="shared" ca="1" si="10"/>
        <v>2.6632111903232201E-2</v>
      </c>
      <c r="M59" s="108">
        <f t="shared" ca="1" si="10"/>
        <v>2.1960494181712479E-2</v>
      </c>
      <c r="N59" s="108">
        <f t="shared" ca="1" si="10"/>
        <v>2.6632111903232201E-2</v>
      </c>
      <c r="O59" s="108">
        <f t="shared" ca="1" si="10"/>
        <v>2.7929385706074634E-2</v>
      </c>
      <c r="P59" s="108">
        <f t="shared" ca="1" si="10"/>
        <v>2.77759087543074E-2</v>
      </c>
      <c r="Q59" s="108">
        <f t="shared" ca="1" si="10"/>
        <v>3.2927076310907209E-2</v>
      </c>
      <c r="R59" s="108">
        <f t="shared" ca="1" si="10"/>
        <v>3.2459307065605757E-2</v>
      </c>
      <c r="S59" s="108">
        <f t="shared" ca="1" si="10"/>
        <v>3.3637654253628961E-2</v>
      </c>
      <c r="T59" s="108">
        <f t="shared" ca="1" si="10"/>
        <v>3.4763434487872627E-2</v>
      </c>
      <c r="U59" s="108">
        <f t="shared" ca="1" si="10"/>
        <v>2.8256932954778144E-2</v>
      </c>
      <c r="V59" s="108">
        <f t="shared" ca="1" si="10"/>
        <v>2.5942124452123693E-2</v>
      </c>
      <c r="W59" s="108">
        <f t="shared" ca="1" si="10"/>
        <v>2.5799757539190577E-2</v>
      </c>
    </row>
    <row r="60" spans="1:23" x14ac:dyDescent="0.25">
      <c r="A60" s="31"/>
      <c r="B60" s="31"/>
      <c r="C60" s="1">
        <f ca="1">IF(ISERROR(D60),"",IF(D60="","",MAX($C$12:C59)+1))</f>
        <v>8</v>
      </c>
      <c r="D60" t="s">
        <v>257</v>
      </c>
      <c r="F60" s="77">
        <f ca="1">AVERAGE(G60:W60)</f>
        <v>2.4764057881104092E-2</v>
      </c>
      <c r="G60" s="77">
        <f>MEDIAN(G13:G58)</f>
        <v>1.7061641784660134E-2</v>
      </c>
      <c r="H60" s="77">
        <f>MEDIAN(H13:H58)</f>
        <v>1.5524202495528352E-2</v>
      </c>
      <c r="I60" s="77">
        <f>MEDIAN(I13:I58)</f>
        <v>1.7080523327003522E-2</v>
      </c>
      <c r="J60" s="77">
        <f t="shared" ref="J60:W60" si="11">MEDIAN(J13:J58)</f>
        <v>1.7251059647635986E-2</v>
      </c>
      <c r="K60" s="77">
        <f t="shared" ca="1" si="11"/>
        <v>2.2438060738559987E-2</v>
      </c>
      <c r="L60" s="77">
        <f t="shared" ca="1" si="11"/>
        <v>2.5540407291850479E-2</v>
      </c>
      <c r="M60" s="77">
        <f t="shared" ca="1" si="11"/>
        <v>2.2438060738559987E-2</v>
      </c>
      <c r="N60" s="77">
        <f t="shared" ca="1" si="11"/>
        <v>2.5540407291850479E-2</v>
      </c>
      <c r="O60" s="77">
        <f t="shared" ca="1" si="11"/>
        <v>2.636585131782701E-2</v>
      </c>
      <c r="P60" s="77">
        <f t="shared" ca="1" si="11"/>
        <v>2.7139750141488107E-2</v>
      </c>
      <c r="Q60" s="77">
        <f t="shared" ca="1" si="11"/>
        <v>3.2908030581772302E-2</v>
      </c>
      <c r="R60" s="77">
        <f t="shared" ca="1" si="11"/>
        <v>3.1563078769380852E-2</v>
      </c>
      <c r="S60" s="77">
        <f t="shared" ca="1" si="11"/>
        <v>3.1748397969944428E-2</v>
      </c>
      <c r="T60" s="77">
        <f t="shared" ca="1" si="11"/>
        <v>3.0834028470956079E-2</v>
      </c>
      <c r="U60" s="77">
        <f t="shared" ca="1" si="11"/>
        <v>2.8296179587669765E-2</v>
      </c>
      <c r="V60" s="77">
        <f t="shared" ca="1" si="11"/>
        <v>2.4584683433626495E-2</v>
      </c>
      <c r="W60" s="77">
        <f t="shared" ca="1" si="11"/>
        <v>2.467462039045553E-2</v>
      </c>
    </row>
    <row r="61" spans="1:23" x14ac:dyDescent="0.25">
      <c r="A61" s="31"/>
      <c r="B61" s="31"/>
      <c r="C61" s="1" t="str">
        <f>IF(ISERROR(D61),"",IF(D61="","",MAX($C$12:C60)+1))</f>
        <v/>
      </c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</row>
    <row r="62" spans="1:23" ht="16.2" x14ac:dyDescent="0.25">
      <c r="A62" s="31"/>
      <c r="B62" s="31"/>
      <c r="C62" s="1">
        <f ca="1">IF(ISERROR(D62),"",IF(D62="","",MAX($C$12:C61)+1))</f>
        <v>9</v>
      </c>
      <c r="D62" t="s">
        <v>450</v>
      </c>
      <c r="F62" s="77">
        <f>AVERAGE(G62:W62)</f>
        <v>3.1902941176470578E-2</v>
      </c>
      <c r="G62" s="77">
        <f>VLOOKUP(2022,'Implied Inflation'!$B$13:$F$31,3,0)</f>
        <v>3.2991666666666669E-2</v>
      </c>
      <c r="H62" s="77">
        <f>VLOOKUP(H$10,'Implied Inflation'!$B$13:$F$30,3,0)</f>
        <v>1.9774999999999997E-2</v>
      </c>
      <c r="I62" s="77">
        <f>VLOOKUP(I$10,'Implied Inflation'!$B$13:$F$30,3,0)</f>
        <v>1.3533333333333335E-2</v>
      </c>
      <c r="J62" s="77">
        <f>VLOOKUP(J$10,'Implied Inflation'!$B$13:$F$30,3,0)</f>
        <v>2.403333333333333E-2</v>
      </c>
      <c r="K62" s="77">
        <f>VLOOKUP(K$10,'Implied Inflation'!$B$13:$F$30,3,0)</f>
        <v>3.0183333333333329E-2</v>
      </c>
      <c r="L62" s="77">
        <f>VLOOKUP(L$10,'Implied Inflation'!$B$13:$F$30,3,0)</f>
        <v>2.6525000000000003E-2</v>
      </c>
      <c r="M62" s="77">
        <f>VLOOKUP(M$10,'Implied Inflation'!$B$13:$F$30,3,0)</f>
        <v>2.2250000000000002E-2</v>
      </c>
      <c r="N62" s="77">
        <f>VLOOKUP(N$10,'Implied Inflation'!$B$13:$F$30,3,0)</f>
        <v>2.5466666666666669E-2</v>
      </c>
      <c r="O62" s="77">
        <f>VLOOKUP(O$10,'Implied Inflation'!$B$13:$F$30,3,0)</f>
        <v>3.0741666666666667E-2</v>
      </c>
      <c r="P62" s="77">
        <f>VLOOKUP(P$10,'Implied Inflation'!$B$13:$F$30,3,0)</f>
        <v>3.1191666666666666E-2</v>
      </c>
      <c r="Q62" s="77">
        <f>VLOOKUP(Q$10,'Implied Inflation'!$B$13:$F$30,3,0)</f>
        <v>2.5441666666666661E-2</v>
      </c>
      <c r="R62" s="77">
        <f>VLOOKUP(R$10,'Implied Inflation'!$B$13:$F$30,3,0)</f>
        <v>3.6208333333333328E-2</v>
      </c>
      <c r="S62" s="77">
        <f>VLOOKUP(S$10,'Implied Inflation'!$B$13:$F$30,3,0)</f>
        <v>4.0300000000000002E-2</v>
      </c>
      <c r="T62" s="77">
        <f>VLOOKUP(T$10,'Implied Inflation'!$B$13:$F$30,3,0)</f>
        <v>4.1075000000000007E-2</v>
      </c>
      <c r="U62" s="77">
        <f>VLOOKUP(U$10,'Implied Inflation'!$B$13:$F$30,3,0)</f>
        <v>4.3624999999999997E-2</v>
      </c>
      <c r="V62" s="77">
        <f>VLOOKUP(V$10,'Implied Inflation'!$B$13:$F$30,3,0)</f>
        <v>4.9083333333333333E-2</v>
      </c>
      <c r="W62" s="77">
        <f>VLOOKUP(W$10,'Implied Inflation'!$B$13:$F$30,3,0)</f>
        <v>4.9924999999999997E-2</v>
      </c>
    </row>
    <row r="63" spans="1:23" ht="16.2" x14ac:dyDescent="0.25">
      <c r="A63" s="31"/>
      <c r="B63" s="31"/>
      <c r="C63" s="1">
        <f ca="1">IF(ISERROR(D63),"",IF(D63="","",MAX($C$12:C62)+1))</f>
        <v>10</v>
      </c>
      <c r="D63" t="s">
        <v>451</v>
      </c>
      <c r="F63" s="77">
        <f>AVERAGE(G63:W63)</f>
        <v>1.0262745098039216E-2</v>
      </c>
      <c r="G63" s="77">
        <f>VLOOKUP(2022,'Implied Inflation'!$B$13:$F$31,4,0)</f>
        <v>6.4416666666666667E-3</v>
      </c>
      <c r="H63" s="77">
        <f>VLOOKUP(H$10,'Implied Inflation'!$B$13:$F$30,4,0)</f>
        <v>-4.3083333333333333E-3</v>
      </c>
      <c r="I63" s="77">
        <f>VLOOKUP(I$10,'Implied Inflation'!$B$13:$F$30,4,0)</f>
        <v>-3.0333333333333336E-3</v>
      </c>
      <c r="J63" s="77">
        <f>VLOOKUP(J$10,'Implied Inflation'!$B$13:$F$30,4,0)</f>
        <v>6.0000000000000001E-3</v>
      </c>
      <c r="K63" s="77">
        <f>VLOOKUP(K$10,'Implied Inflation'!$B$13:$F$30,4,0)</f>
        <v>9.3499999999999989E-3</v>
      </c>
      <c r="L63" s="77">
        <f>VLOOKUP(L$10,'Implied Inflation'!$B$13:$F$30,4,0)</f>
        <v>7.4583333333333324E-3</v>
      </c>
      <c r="M63" s="77">
        <f>VLOOKUP(M$10,'Implied Inflation'!$B$13:$F$30,4,0)</f>
        <v>6.5750000000000001E-3</v>
      </c>
      <c r="N63" s="77">
        <f>VLOOKUP(N$10,'Implied Inflation'!$B$13:$F$30,4,0)</f>
        <v>7.8333333333333328E-3</v>
      </c>
      <c r="O63" s="77">
        <f>VLOOKUP(O$10,'Implied Inflation'!$B$13:$F$30,4,0)</f>
        <v>8.6583333333333339E-3</v>
      </c>
      <c r="P63" s="77">
        <f>VLOOKUP(P$10,'Implied Inflation'!$B$13:$F$30,4,0)</f>
        <v>7.5166666666666663E-3</v>
      </c>
      <c r="Q63" s="77">
        <f>VLOOKUP(Q$10,'Implied Inflation'!$B$13:$F$30,4,0)</f>
        <v>2.1333333333333339E-3</v>
      </c>
      <c r="R63" s="77">
        <f>VLOOKUP(R$10,'Implied Inflation'!$B$13:$F$30,4,0)</f>
        <v>1.1916666666666666E-2</v>
      </c>
      <c r="S63" s="77">
        <f>VLOOKUP(S$10,'Implied Inflation'!$B$13:$F$30,4,0)</f>
        <v>1.7316666666666668E-2</v>
      </c>
      <c r="T63" s="77">
        <f>VLOOKUP(T$10,'Implied Inflation'!$B$13:$F$30,4,0)</f>
        <v>2.2133333333333324E-2</v>
      </c>
      <c r="U63" s="77">
        <f>VLOOKUP(U$10,'Implied Inflation'!$B$13:$F$30,4,0)</f>
        <v>2.1850000000000001E-2</v>
      </c>
      <c r="V63" s="77">
        <f>VLOOKUP(V$10,'Implied Inflation'!$B$13:$F$30,4,0)</f>
        <v>2.3550000000000001E-2</v>
      </c>
      <c r="W63" s="77">
        <f>VLOOKUP(W$10,'Implied Inflation'!$B$13:$F$30,4,0)</f>
        <v>2.3074999999999998E-2</v>
      </c>
    </row>
    <row r="64" spans="1:23" ht="16.2" x14ac:dyDescent="0.25">
      <c r="A64" s="31"/>
      <c r="B64" s="31"/>
      <c r="C64" s="1">
        <f ca="1">IF(ISERROR(D64),"",IF(D64="","",MAX($C$12:C63)+1))</f>
        <v>11</v>
      </c>
      <c r="D64" t="s">
        <v>452</v>
      </c>
      <c r="F64" s="77">
        <f>AVERAGE(G64:W64)</f>
        <v>2.1413231695164958E-2</v>
      </c>
      <c r="G64" s="77">
        <f t="shared" ref="G64:V64" si="12">(1+G62)/(1+G63)-1</f>
        <v>2.6380068392769962E-2</v>
      </c>
      <c r="H64" s="77">
        <f t="shared" si="12"/>
        <v>2.4187541323870576E-2</v>
      </c>
      <c r="I64" s="77">
        <f t="shared" si="12"/>
        <v>1.661707178441274E-2</v>
      </c>
      <c r="J64" s="77">
        <f t="shared" si="12"/>
        <v>1.7925778661365133E-2</v>
      </c>
      <c r="K64" s="77">
        <f t="shared" si="12"/>
        <v>2.0640346097323237E-2</v>
      </c>
      <c r="L64" s="77">
        <f t="shared" si="12"/>
        <v>1.8925513875677202E-2</v>
      </c>
      <c r="M64" s="77">
        <f t="shared" si="12"/>
        <v>1.557261008866706E-2</v>
      </c>
      <c r="N64" s="77">
        <f t="shared" si="12"/>
        <v>1.749627914668439E-2</v>
      </c>
      <c r="O64" s="77">
        <f t="shared" si="12"/>
        <v>2.1893769776683447E-2</v>
      </c>
      <c r="P64" s="77">
        <f t="shared" si="12"/>
        <v>2.3498370581132022E-2</v>
      </c>
      <c r="Q64" s="77">
        <f t="shared" si="12"/>
        <v>2.3258714741883901E-2</v>
      </c>
      <c r="R64" s="77">
        <f t="shared" si="12"/>
        <v>2.400559993411866E-2</v>
      </c>
      <c r="S64" s="77">
        <f t="shared" si="12"/>
        <v>2.2592113239076728E-2</v>
      </c>
      <c r="T64" s="77">
        <f t="shared" si="12"/>
        <v>1.8531502739368655E-2</v>
      </c>
      <c r="U64" s="77">
        <f t="shared" si="12"/>
        <v>2.1309389832167236E-2</v>
      </c>
      <c r="V64" s="77">
        <f t="shared" si="12"/>
        <v>2.4945858368749407E-2</v>
      </c>
      <c r="W64" s="77">
        <f>(1+W62)/(1+W63)-1</f>
        <v>2.6244410233853932E-2</v>
      </c>
    </row>
    <row r="65" spans="1:24" x14ac:dyDescent="0.25">
      <c r="A65" s="31"/>
      <c r="B65" s="31"/>
      <c r="C65" s="1" t="str">
        <f>IF(ISERROR(D65),"",IF(D65="","",MAX($C$12:C64)+1))</f>
        <v/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</row>
    <row r="66" spans="1:24" ht="16.2" x14ac:dyDescent="0.25">
      <c r="A66" s="31"/>
      <c r="B66" s="31"/>
      <c r="C66" s="1">
        <f ca="1">IF(ISERROR(D66),"",IF(D66="","",MAX($C$12:C65)+1))</f>
        <v>12</v>
      </c>
      <c r="D66" s="104" t="s">
        <v>453</v>
      </c>
      <c r="F66" s="108">
        <f ca="1">(1+F59)/(1+F64)-1</f>
        <v>4.2209156708332696E-3</v>
      </c>
      <c r="G66" s="108">
        <f>(1+G59)/(1+G64)-1</f>
        <v>-8.2645813440618277E-3</v>
      </c>
      <c r="H66" s="108">
        <f>(1+H59)/(1+H64)-1</f>
        <v>-7.3276818966546697E-3</v>
      </c>
      <c r="I66" s="108">
        <f>(1+I59)/(1+I64)-1</f>
        <v>1.7408976498773931E-3</v>
      </c>
      <c r="J66" s="108">
        <f t="shared" ref="J66:W66" si="13">(1+J59)/(1+J64)-1</f>
        <v>-2.4808711193968769E-4</v>
      </c>
      <c r="K66" s="108">
        <f t="shared" ca="1" si="13"/>
        <v>1.2934508119701871E-3</v>
      </c>
      <c r="L66" s="108">
        <f t="shared" ca="1" si="13"/>
        <v>7.56345574098094E-3</v>
      </c>
      <c r="M66" s="108">
        <f t="shared" ca="1" si="13"/>
        <v>6.2899334125283701E-3</v>
      </c>
      <c r="N66" s="108">
        <f t="shared" ca="1" si="13"/>
        <v>8.9787382458139664E-3</v>
      </c>
      <c r="O66" s="108">
        <f t="shared" ca="1" si="13"/>
        <v>5.9063046550427156E-3</v>
      </c>
      <c r="P66" s="108">
        <f t="shared" ca="1" si="13"/>
        <v>4.1793307113393574E-3</v>
      </c>
      <c r="Q66" s="108">
        <f t="shared" ca="1" si="13"/>
        <v>9.4485992933490692E-3</v>
      </c>
      <c r="R66" s="108">
        <f t="shared" ca="1" si="13"/>
        <v>8.2555282237040117E-3</v>
      </c>
      <c r="S66" s="108">
        <f t="shared" ca="1" si="13"/>
        <v>1.0801512031581417E-2</v>
      </c>
      <c r="T66" s="108">
        <f t="shared" ca="1" si="13"/>
        <v>1.5936602554607049E-2</v>
      </c>
      <c r="U66" s="108">
        <f t="shared" ca="1" si="13"/>
        <v>6.802584203942974E-3</v>
      </c>
      <c r="V66" s="108">
        <f t="shared" ca="1" si="13"/>
        <v>9.7201825368586903E-4</v>
      </c>
      <c r="W66" s="108">
        <f t="shared" ca="1" si="13"/>
        <v>-4.3328147781285242E-4</v>
      </c>
    </row>
    <row r="67" spans="1:24" x14ac:dyDescent="0.25">
      <c r="A67" s="31"/>
      <c r="B67" s="31"/>
      <c r="C67" s="1"/>
      <c r="D67" s="104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</row>
    <row r="68" spans="1:24" x14ac:dyDescent="0.25">
      <c r="A68" s="31"/>
      <c r="B68" s="31"/>
      <c r="C68" s="1"/>
      <c r="D68" s="280" t="s">
        <v>500</v>
      </c>
      <c r="E68" s="280"/>
    </row>
    <row r="69" spans="1:24" s="97" customFormat="1" ht="16.2" x14ac:dyDescent="0.25">
      <c r="C69" s="1">
        <f ca="1">IF(ISERROR(D69),"",IF(D69="","",MAX($C$12:C68)+1))</f>
        <v>13</v>
      </c>
      <c r="D69" s="104" t="s">
        <v>461</v>
      </c>
      <c r="E69" s="104"/>
      <c r="F69" s="106">
        <f>AVERAGE(G69:W69)</f>
        <v>4.6503564400620215E-2</v>
      </c>
      <c r="G69" s="106">
        <f>VLOOKUP(2022,'Annual Yields (WP)'!$B$6:$C$50,2,FALSE)</f>
        <v>4.7399999999999998E-2</v>
      </c>
      <c r="H69" s="106">
        <f>VLOOKUP(H10,'Annual Yields (WP)'!$B$6:$C$50,2,FALSE)</f>
        <v>3.102870206881524E-2</v>
      </c>
      <c r="I69" s="106">
        <f>VLOOKUP(I10,'Annual Yields (WP)'!$B$6:$C$50,2,FALSE)</f>
        <v>3.0525263490164798E-2</v>
      </c>
      <c r="J69" s="106">
        <f>VLOOKUP(J10,'Annual Yields (WP)'!$B$6:$C$50,2,FALSE)</f>
        <v>3.7674047524113317E-2</v>
      </c>
      <c r="K69" s="106">
        <f>VLOOKUP(K10,'Annual Yields (WP)'!$B$6:$C$44,2,FALSE)</f>
        <v>4.2502293815071278E-2</v>
      </c>
      <c r="L69" s="106">
        <f>VLOOKUP(L10,'Annual Yields (WP)'!$B$6:$C$44,2,FALSE)</f>
        <v>3.9988761663160968E-2</v>
      </c>
      <c r="M69" s="106">
        <f>VLOOKUP(M10,'Annual Yields (WP)'!$B$6:$C$44,2,FALSE)</f>
        <v>3.930199127182251E-2</v>
      </c>
      <c r="N69" s="106">
        <f>VLOOKUP(N10,'Annual Yields (WP)'!$B$6:$C$44,2,FALSE)</f>
        <v>4.1153967589428117E-2</v>
      </c>
      <c r="O69" s="106">
        <f>VLOOKUP(O10,'Annual Yields (WP)'!$B$6:$C$44,2,FALSE)</f>
        <v>4.2774094021446961E-2</v>
      </c>
      <c r="P69" s="106">
        <f>VLOOKUP(P10,'Annual Yields (WP)'!$B$6:$C$44,2,FALSE)</f>
        <v>4.4759707479483019E-2</v>
      </c>
      <c r="Q69" s="106">
        <f>VLOOKUP(Q10,'Annual Yields (WP)'!$B$6:$C$44,2,FALSE)</f>
        <v>4.1308564221010043E-2</v>
      </c>
      <c r="R69" s="106">
        <f>VLOOKUP(R10,'Annual Yields (WP)'!$B$6:$C$44,2,FALSE)</f>
        <v>5.0407157265811221E-2</v>
      </c>
      <c r="S69" s="106">
        <f>VLOOKUP(S10,'Annual Yields (WP)'!$B$6:$C$44,2,FALSE)</f>
        <v>5.4644377733549555E-2</v>
      </c>
      <c r="T69" s="106">
        <f>VLOOKUP(T10,'Annual Yields (WP)'!$B$6:$C$44,2,FALSE)</f>
        <v>6.0391666666666656E-2</v>
      </c>
      <c r="U69" s="106">
        <f>VLOOKUP(U10,'Annual Yields (WP)'!$B$6:$C$44,2,FALSE)</f>
        <v>6.5283333333333332E-2</v>
      </c>
      <c r="V69" s="106">
        <f>VLOOKUP(V10,'Annual Yields (WP)'!$B$6:$C$44,2,FALSE)</f>
        <v>6.0733333333333334E-2</v>
      </c>
      <c r="W69" s="106">
        <f>VLOOKUP(W10,'Annual Yields (WP)'!$B$6:$C$44,2,FALSE)</f>
        <v>6.0683333333333332E-2</v>
      </c>
    </row>
    <row r="70" spans="1:24" s="97" customFormat="1" x14ac:dyDescent="0.25">
      <c r="C70" s="1">
        <f ca="1">IF(ISERROR(D70),"",IF(D70="","",MAX($C$12:C69)+1))</f>
        <v>14</v>
      </c>
      <c r="D70" s="104" t="s">
        <v>501</v>
      </c>
      <c r="E70" s="104"/>
      <c r="F70" s="106">
        <f>AVERAGE(G70:W70)</f>
        <v>2.4561826011085992E-2</v>
      </c>
      <c r="G70" s="106">
        <f t="shared" ref="G70:L70" si="14">(1+G69)/(1+G64)-1</f>
        <v>2.0479676344597797E-2</v>
      </c>
      <c r="H70" s="106">
        <f t="shared" si="14"/>
        <v>6.679597699559725E-3</v>
      </c>
      <c r="I70" s="106">
        <f t="shared" si="14"/>
        <v>1.3680855940516157E-2</v>
      </c>
      <c r="J70" s="106">
        <f t="shared" si="14"/>
        <v>1.9400499797459059E-2</v>
      </c>
      <c r="K70" s="106">
        <f t="shared" si="14"/>
        <v>2.1419834911820423E-2</v>
      </c>
      <c r="L70" s="106">
        <f t="shared" si="14"/>
        <v>2.0672019201252168E-2</v>
      </c>
      <c r="M70" s="106">
        <f t="shared" ref="M70:W70" si="15">(1+M69)/(1+M64)-1</f>
        <v>2.3365519065233098E-2</v>
      </c>
      <c r="N70" s="106">
        <f t="shared" si="15"/>
        <v>2.3250884477517886E-2</v>
      </c>
      <c r="O70" s="106">
        <f t="shared" si="15"/>
        <v>2.0432969514362131E-2</v>
      </c>
      <c r="P70" s="106">
        <f t="shared" si="15"/>
        <v>2.0773200534045744E-2</v>
      </c>
      <c r="Q70" s="106">
        <f t="shared" si="15"/>
        <v>1.763957562157592E-2</v>
      </c>
      <c r="R70" s="106">
        <f t="shared" si="15"/>
        <v>2.5782629834632864E-2</v>
      </c>
      <c r="S70" s="106">
        <f t="shared" si="15"/>
        <v>3.1344134263804113E-2</v>
      </c>
      <c r="T70" s="106">
        <f t="shared" si="15"/>
        <v>4.1098546107522393E-2</v>
      </c>
      <c r="U70" s="106">
        <f t="shared" si="15"/>
        <v>4.3056437098255129E-2</v>
      </c>
      <c r="V70" s="106">
        <f t="shared" si="15"/>
        <v>3.4916454047183798E-2</v>
      </c>
      <c r="W70" s="106">
        <f t="shared" si="15"/>
        <v>3.3558207729123435E-2</v>
      </c>
    </row>
    <row r="71" spans="1:24" s="97" customFormat="1" x14ac:dyDescent="0.25">
      <c r="C71" s="1"/>
      <c r="D71" s="233"/>
      <c r="E71" s="233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</row>
    <row r="72" spans="1:24" s="97" customFormat="1" x14ac:dyDescent="0.25">
      <c r="C72" s="1"/>
      <c r="D72" s="280" t="s">
        <v>502</v>
      </c>
      <c r="E72" s="280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102"/>
      <c r="U72" s="102"/>
      <c r="V72" s="102"/>
      <c r="W72" s="102"/>
    </row>
    <row r="73" spans="1:24" s="97" customFormat="1" ht="16.2" x14ac:dyDescent="0.25">
      <c r="C73" s="1">
        <f ca="1">IF(ISERROR(D73),"",IF(D73="","",MAX($C$12:C72)+1))</f>
        <v>15</v>
      </c>
      <c r="D73" s="104" t="s">
        <v>503</v>
      </c>
      <c r="E73"/>
      <c r="F73" s="103">
        <f ca="1">F69-F59</f>
        <v>2.0779033589396659E-2</v>
      </c>
      <c r="G73" s="103">
        <f t="shared" ref="G73:V73" si="16">G69-G59</f>
        <v>2.9502533172385843E-2</v>
      </c>
      <c r="H73" s="103">
        <f t="shared" si="16"/>
        <v>1.4346081250282788E-2</v>
      </c>
      <c r="I73" s="103">
        <f t="shared" si="16"/>
        <v>1.2138365434657298E-2</v>
      </c>
      <c r="J73" s="103">
        <f t="shared" si="16"/>
        <v>2.0000803129345299E-2</v>
      </c>
      <c r="K73" s="103">
        <f t="shared" ca="1" si="16"/>
        <v>2.0541799633358799E-2</v>
      </c>
      <c r="L73" s="103">
        <f t="shared" ca="1" si="16"/>
        <v>1.3356649759928767E-2</v>
      </c>
      <c r="M73" s="103">
        <f t="shared" ca="1" si="16"/>
        <v>1.7341497090110031E-2</v>
      </c>
      <c r="N73" s="103">
        <f t="shared" ca="1" si="16"/>
        <v>1.4521855686195916E-2</v>
      </c>
      <c r="O73" s="103">
        <f t="shared" ca="1" si="16"/>
        <v>1.4844708315372327E-2</v>
      </c>
      <c r="P73" s="103">
        <f t="shared" ca="1" si="16"/>
        <v>1.6983798725175619E-2</v>
      </c>
      <c r="Q73" s="103">
        <f t="shared" ca="1" si="16"/>
        <v>8.3814879101028333E-3</v>
      </c>
      <c r="R73" s="103">
        <f t="shared" ca="1" si="16"/>
        <v>1.7947850200205465E-2</v>
      </c>
      <c r="S73" s="103">
        <f t="shared" ca="1" si="16"/>
        <v>2.1006723479920594E-2</v>
      </c>
      <c r="T73" s="103">
        <f t="shared" ca="1" si="16"/>
        <v>2.5628232178794029E-2</v>
      </c>
      <c r="U73" s="103">
        <f t="shared" ca="1" si="16"/>
        <v>3.7026400378555188E-2</v>
      </c>
      <c r="V73" s="103">
        <f t="shared" ca="1" si="16"/>
        <v>3.4791208881209637E-2</v>
      </c>
      <c r="W73" s="103">
        <f ca="1">W69-W59</f>
        <v>3.4883575794142752E-2</v>
      </c>
    </row>
    <row r="74" spans="1:24" s="97" customFormat="1" ht="16.2" x14ac:dyDescent="0.25">
      <c r="C74" s="1">
        <f ca="1">IF(ISERROR(D74),"",IF(D74="","",MAX($C$12:C73)+1))</f>
        <v>16</v>
      </c>
      <c r="D74" s="104" t="s">
        <v>504</v>
      </c>
      <c r="E74" s="10"/>
      <c r="F74" s="103">
        <f ca="1">F70-F66</f>
        <v>2.0340910340252722E-2</v>
      </c>
      <c r="G74" s="103">
        <f t="shared" ref="G74:V74" si="17">G70-G66</f>
        <v>2.8744257688659625E-2</v>
      </c>
      <c r="H74" s="103">
        <f t="shared" si="17"/>
        <v>1.4007279596214395E-2</v>
      </c>
      <c r="I74" s="103">
        <f t="shared" si="17"/>
        <v>1.1939958290638764E-2</v>
      </c>
      <c r="J74" s="103">
        <f t="shared" si="17"/>
        <v>1.9648586909398746E-2</v>
      </c>
      <c r="K74" s="103">
        <f t="shared" ca="1" si="17"/>
        <v>2.0126384099850236E-2</v>
      </c>
      <c r="L74" s="103">
        <f t="shared" ca="1" si="17"/>
        <v>1.3108563460271228E-2</v>
      </c>
      <c r="M74" s="103">
        <f t="shared" ca="1" si="17"/>
        <v>1.7075585652704728E-2</v>
      </c>
      <c r="N74" s="103">
        <f t="shared" ca="1" si="17"/>
        <v>1.4272146231703919E-2</v>
      </c>
      <c r="O74" s="103">
        <f t="shared" ca="1" si="17"/>
        <v>1.4526664859319416E-2</v>
      </c>
      <c r="P74" s="103">
        <f t="shared" ca="1" si="17"/>
        <v>1.6593869822706386E-2</v>
      </c>
      <c r="Q74" s="103">
        <f t="shared" ca="1" si="17"/>
        <v>8.1909763282268511E-3</v>
      </c>
      <c r="R74" s="103">
        <f t="shared" ca="1" si="17"/>
        <v>1.7527101610928852E-2</v>
      </c>
      <c r="S74" s="103">
        <f t="shared" ca="1" si="17"/>
        <v>2.0542622232222696E-2</v>
      </c>
      <c r="T74" s="103">
        <f t="shared" ca="1" si="17"/>
        <v>2.5161943552915345E-2</v>
      </c>
      <c r="U74" s="103">
        <f t="shared" ca="1" si="17"/>
        <v>3.6253852894312155E-2</v>
      </c>
      <c r="V74" s="103">
        <f t="shared" ca="1" si="17"/>
        <v>3.3944435793497929E-2</v>
      </c>
      <c r="W74" s="103">
        <f ca="1">W70-W66</f>
        <v>3.3991489206936287E-2</v>
      </c>
    </row>
    <row r="75" spans="1:24" s="97" customFormat="1" x14ac:dyDescent="0.25">
      <c r="C75" s="1" t="str">
        <f>IF(ISERROR(D75),"",IF(D75="","",MAX($C$12:C74)+1))</f>
        <v/>
      </c>
      <c r="D75" s="104"/>
      <c r="E75" s="10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</row>
    <row r="76" spans="1:24" s="97" customFormat="1" x14ac:dyDescent="0.25">
      <c r="C76" s="1"/>
      <c r="D76" s="280" t="s">
        <v>460</v>
      </c>
      <c r="E76" s="280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</row>
    <row r="77" spans="1:24" s="97" customFormat="1" ht="16.2" x14ac:dyDescent="0.25">
      <c r="B77" s="100"/>
      <c r="C77" s="1">
        <f ca="1">IF(ISERROR(D77),"",IF(D77="","",MAX($C$12:C76)+1))</f>
        <v>17</v>
      </c>
      <c r="D77" s="104" t="s">
        <v>456</v>
      </c>
      <c r="E77"/>
      <c r="F77" s="103">
        <f ca="1">F62-F59</f>
        <v>6.1784103652470224E-3</v>
      </c>
      <c r="G77" s="103">
        <f t="shared" ref="G77:V77" si="18">G62-G59</f>
        <v>1.5094199839052514E-2</v>
      </c>
      <c r="H77" s="103">
        <f t="shared" si="18"/>
        <v>3.0923791814675451E-3</v>
      </c>
      <c r="I77" s="103">
        <f t="shared" si="18"/>
        <v>-4.8535647221741654E-3</v>
      </c>
      <c r="J77" s="103">
        <f t="shared" si="18"/>
        <v>6.3600889385653121E-3</v>
      </c>
      <c r="K77" s="103">
        <f t="shared" ca="1" si="18"/>
        <v>8.2228391516208504E-3</v>
      </c>
      <c r="L77" s="103">
        <f t="shared" ca="1" si="18"/>
        <v>-1.0711190323219738E-4</v>
      </c>
      <c r="M77" s="103">
        <f t="shared" ca="1" si="18"/>
        <v>2.8950581828752348E-4</v>
      </c>
      <c r="N77" s="103">
        <f t="shared" ca="1" si="18"/>
        <v>-1.1654452365655321E-3</v>
      </c>
      <c r="O77" s="103">
        <f t="shared" ca="1" si="18"/>
        <v>2.8122809605920333E-3</v>
      </c>
      <c r="P77" s="103">
        <f t="shared" ca="1" si="18"/>
        <v>3.4157579123592664E-3</v>
      </c>
      <c r="Q77" s="103">
        <f t="shared" ca="1" si="18"/>
        <v>-7.4854096442405482E-3</v>
      </c>
      <c r="R77" s="103">
        <f t="shared" ca="1" si="18"/>
        <v>3.7490262677275718E-3</v>
      </c>
      <c r="S77" s="103">
        <f t="shared" ca="1" si="18"/>
        <v>6.6623457463710414E-3</v>
      </c>
      <c r="T77" s="103">
        <f t="shared" ca="1" si="18"/>
        <v>6.3115655121273803E-3</v>
      </c>
      <c r="U77" s="103">
        <f t="shared" ca="1" si="18"/>
        <v>1.5368067045221853E-2</v>
      </c>
      <c r="V77" s="103">
        <f t="shared" ca="1" si="18"/>
        <v>2.314120888120964E-2</v>
      </c>
      <c r="W77" s="103">
        <f ca="1">W62-W59</f>
        <v>2.412524246080942E-2</v>
      </c>
      <c r="X77" s="234"/>
    </row>
    <row r="78" spans="1:24" s="97" customFormat="1" ht="16.2" x14ac:dyDescent="0.25">
      <c r="B78" s="100"/>
      <c r="C78" s="1">
        <f ca="1">IF(ISERROR(D78),"",IF(D78="","",MAX($C$12:C77)+1))</f>
        <v>18</v>
      </c>
      <c r="D78" s="104" t="s">
        <v>457</v>
      </c>
      <c r="E78" s="10"/>
      <c r="F78" s="103">
        <f ca="1">F63-F66</f>
        <v>6.0418294272059463E-3</v>
      </c>
      <c r="G78" s="103">
        <f t="shared" ref="G78:V78" si="19">G63-G66</f>
        <v>1.4706248010728494E-2</v>
      </c>
      <c r="H78" s="103">
        <f t="shared" si="19"/>
        <v>3.0193485633213364E-3</v>
      </c>
      <c r="I78" s="103">
        <f t="shared" si="19"/>
        <v>-4.7742309832107272E-3</v>
      </c>
      <c r="J78" s="103">
        <f t="shared" si="19"/>
        <v>6.2480871119396878E-3</v>
      </c>
      <c r="K78" s="103">
        <f t="shared" ca="1" si="19"/>
        <v>8.0565491880298119E-3</v>
      </c>
      <c r="L78" s="103">
        <f t="shared" ca="1" si="19"/>
        <v>-1.0512240764760754E-4</v>
      </c>
      <c r="M78" s="103">
        <f t="shared" ca="1" si="19"/>
        <v>2.8506658747162999E-4</v>
      </c>
      <c r="N78" s="103">
        <f t="shared" ca="1" si="19"/>
        <v>-1.1454049124806336E-3</v>
      </c>
      <c r="O78" s="103">
        <f t="shared" ca="1" si="19"/>
        <v>2.7520286782906182E-3</v>
      </c>
      <c r="P78" s="103">
        <f t="shared" ca="1" si="19"/>
        <v>3.3373359553273089E-3</v>
      </c>
      <c r="Q78" s="103">
        <f t="shared" ca="1" si="19"/>
        <v>-7.3152659600157349E-3</v>
      </c>
      <c r="R78" s="103">
        <f t="shared" ca="1" si="19"/>
        <v>3.6611384429626539E-3</v>
      </c>
      <c r="S78" s="103">
        <f t="shared" ca="1" si="19"/>
        <v>6.5151546350852504E-3</v>
      </c>
      <c r="T78" s="103">
        <f t="shared" ca="1" si="19"/>
        <v>6.1967307787262754E-3</v>
      </c>
      <c r="U78" s="103">
        <f t="shared" ca="1" si="19"/>
        <v>1.5047415796057027E-2</v>
      </c>
      <c r="V78" s="103">
        <f t="shared" ca="1" si="19"/>
        <v>2.2577981746314132E-2</v>
      </c>
      <c r="W78" s="103">
        <f ca="1">W63-W66</f>
        <v>2.3508281477812851E-2</v>
      </c>
    </row>
    <row r="79" spans="1:24" s="97" customFormat="1" x14ac:dyDescent="0.25">
      <c r="B79" s="100"/>
      <c r="C79" s="101"/>
      <c r="E79" s="20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</row>
    <row r="80" spans="1:24" s="97" customFormat="1" x14ac:dyDescent="0.25">
      <c r="B80" s="100"/>
      <c r="C80" s="101"/>
      <c r="E80" s="20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</row>
    <row r="81" spans="2:23" s="97" customFormat="1" x14ac:dyDescent="0.25">
      <c r="B81" s="100"/>
      <c r="C81" s="101"/>
      <c r="E81" s="20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</row>
    <row r="82" spans="2:23" s="97" customFormat="1" x14ac:dyDescent="0.25">
      <c r="B82" s="100"/>
      <c r="C82" s="101"/>
      <c r="E82" s="20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</row>
    <row r="83" spans="2:23" s="97" customFormat="1" x14ac:dyDescent="0.25">
      <c r="B83" s="100"/>
      <c r="C83" s="101"/>
      <c r="E83" s="20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</row>
    <row r="84" spans="2:23" s="97" customFormat="1" x14ac:dyDescent="0.25">
      <c r="B84" s="100"/>
      <c r="C84" s="101"/>
      <c r="E84" s="20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</row>
    <row r="85" spans="2:23" s="97" customFormat="1" x14ac:dyDescent="0.25">
      <c r="B85" s="100"/>
      <c r="C85" s="101"/>
      <c r="E85" s="20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</row>
    <row r="86" spans="2:23" s="97" customFormat="1" x14ac:dyDescent="0.25">
      <c r="B86" s="100"/>
      <c r="C86" s="101"/>
      <c r="E86" s="20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</row>
    <row r="87" spans="2:23" s="97" customFormat="1" x14ac:dyDescent="0.25">
      <c r="B87" s="100"/>
      <c r="C87" s="101"/>
      <c r="E87" s="20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</row>
    <row r="88" spans="2:23" s="97" customFormat="1" hidden="1" x14ac:dyDescent="0.25">
      <c r="B88" s="100"/>
      <c r="C88" s="101"/>
      <c r="E88" s="20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</row>
    <row r="89" spans="2:23" s="97" customFormat="1" hidden="1" x14ac:dyDescent="0.25">
      <c r="B89" s="100"/>
      <c r="C89" s="101"/>
      <c r="E89" s="20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</row>
    <row r="90" spans="2:23" s="97" customFormat="1" hidden="1" x14ac:dyDescent="0.25">
      <c r="B90" s="100"/>
      <c r="C90" s="101"/>
      <c r="E90" s="20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</row>
    <row r="91" spans="2:23" s="97" customFormat="1" hidden="1" x14ac:dyDescent="0.25">
      <c r="B91" s="100"/>
      <c r="C91" s="101"/>
      <c r="E91" s="20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</row>
    <row r="92" spans="2:23" s="97" customFormat="1" hidden="1" x14ac:dyDescent="0.25">
      <c r="B92" s="100"/>
      <c r="C92" s="101"/>
      <c r="E92" s="20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</row>
    <row r="93" spans="2:23" s="97" customFormat="1" hidden="1" x14ac:dyDescent="0.25">
      <c r="B93" s="100"/>
      <c r="C93" s="101"/>
      <c r="E93" s="20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</row>
    <row r="94" spans="2:23" s="97" customFormat="1" hidden="1" x14ac:dyDescent="0.25">
      <c r="B94" s="100"/>
      <c r="C94" s="101"/>
      <c r="E94" s="20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</row>
    <row r="95" spans="2:23" s="97" customFormat="1" hidden="1" x14ac:dyDescent="0.25">
      <c r="B95" s="100"/>
      <c r="C95" s="101"/>
      <c r="E95" s="20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</row>
    <row r="96" spans="2:23" s="97" customFormat="1" hidden="1" x14ac:dyDescent="0.25">
      <c r="B96" s="100"/>
      <c r="C96" s="101"/>
      <c r="E96" s="20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</row>
    <row r="97" spans="2:23" s="97" customFormat="1" hidden="1" x14ac:dyDescent="0.25">
      <c r="B97" s="100"/>
      <c r="C97" s="101"/>
      <c r="E97" s="20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</row>
    <row r="98" spans="2:23" s="97" customFormat="1" hidden="1" x14ac:dyDescent="0.25">
      <c r="B98" s="100"/>
      <c r="C98" s="101"/>
      <c r="E98" s="20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</row>
    <row r="99" spans="2:23" s="97" customFormat="1" hidden="1" x14ac:dyDescent="0.25">
      <c r="B99" s="100"/>
      <c r="C99" s="101"/>
      <c r="E99" s="20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</row>
    <row r="100" spans="2:23" s="97" customFormat="1" hidden="1" x14ac:dyDescent="0.25">
      <c r="B100" s="100"/>
      <c r="C100" s="101"/>
      <c r="E100" s="20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</row>
    <row r="101" spans="2:23" s="97" customFormat="1" hidden="1" x14ac:dyDescent="0.25">
      <c r="B101" s="100"/>
      <c r="C101" s="101"/>
      <c r="E101" s="20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</row>
    <row r="102" spans="2:23" s="97" customFormat="1" hidden="1" x14ac:dyDescent="0.25">
      <c r="B102" s="100"/>
      <c r="C102" s="101"/>
      <c r="E102" s="20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</row>
    <row r="103" spans="2:23" s="97" customFormat="1" hidden="1" x14ac:dyDescent="0.25">
      <c r="B103" s="100"/>
      <c r="C103" s="101"/>
      <c r="E103" s="20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</row>
    <row r="104" spans="2:23" s="97" customFormat="1" hidden="1" x14ac:dyDescent="0.25">
      <c r="B104" s="100"/>
      <c r="C104" s="101"/>
      <c r="E104" s="20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</row>
    <row r="105" spans="2:23" s="97" customFormat="1" hidden="1" x14ac:dyDescent="0.25">
      <c r="B105" s="100"/>
      <c r="C105" s="101"/>
      <c r="E105" s="20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</row>
    <row r="106" spans="2:23" s="97" customFormat="1" hidden="1" x14ac:dyDescent="0.25">
      <c r="B106" s="100"/>
      <c r="C106" s="101"/>
      <c r="E106" s="20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</row>
    <row r="107" spans="2:23" s="97" customFormat="1" hidden="1" x14ac:dyDescent="0.25">
      <c r="B107" s="100"/>
      <c r="C107" s="101"/>
      <c r="E107" s="20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</row>
    <row r="108" spans="2:23" s="97" customFormat="1" hidden="1" x14ac:dyDescent="0.25">
      <c r="B108" s="100"/>
      <c r="C108" s="101"/>
      <c r="E108" s="20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</row>
    <row r="109" spans="2:23" s="97" customFormat="1" hidden="1" x14ac:dyDescent="0.25">
      <c r="B109" s="100"/>
      <c r="C109" s="101"/>
      <c r="E109" s="20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</row>
    <row r="110" spans="2:23" s="97" customFormat="1" hidden="1" x14ac:dyDescent="0.25">
      <c r="B110" s="100"/>
      <c r="C110" s="101"/>
      <c r="E110" s="20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</row>
    <row r="111" spans="2:23" s="97" customFormat="1" hidden="1" x14ac:dyDescent="0.25">
      <c r="B111" s="100"/>
      <c r="C111" s="101"/>
      <c r="E111" s="20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</row>
    <row r="112" spans="2:23" s="97" customFormat="1" hidden="1" x14ac:dyDescent="0.25">
      <c r="B112" s="100"/>
      <c r="C112" s="101"/>
      <c r="E112" s="20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</row>
    <row r="113" spans="2:23" s="97" customFormat="1" hidden="1" x14ac:dyDescent="0.25">
      <c r="B113" s="100"/>
      <c r="C113" s="101"/>
      <c r="E113" s="20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</row>
    <row r="114" spans="2:23" s="97" customFormat="1" hidden="1" x14ac:dyDescent="0.25">
      <c r="B114" s="100"/>
      <c r="C114" s="101"/>
      <c r="E114" s="20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</row>
    <row r="115" spans="2:23" s="97" customFormat="1" hidden="1" x14ac:dyDescent="0.25">
      <c r="B115" s="100"/>
      <c r="C115" s="101"/>
      <c r="E115" s="20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</row>
    <row r="116" spans="2:23" s="97" customFormat="1" hidden="1" x14ac:dyDescent="0.25">
      <c r="B116" s="100"/>
      <c r="C116" s="101"/>
      <c r="E116" s="20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</row>
    <row r="117" spans="2:23" s="97" customFormat="1" hidden="1" x14ac:dyDescent="0.25">
      <c r="B117" s="100"/>
      <c r="C117" s="101"/>
      <c r="E117" s="20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</row>
    <row r="118" spans="2:23" s="97" customFormat="1" hidden="1" x14ac:dyDescent="0.25">
      <c r="B118" s="100"/>
      <c r="C118" s="101"/>
      <c r="E118" s="20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</row>
    <row r="119" spans="2:23" s="97" customFormat="1" hidden="1" x14ac:dyDescent="0.25">
      <c r="B119" s="100"/>
      <c r="C119" s="101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</row>
    <row r="120" spans="2:23" s="97" customFormat="1" hidden="1" x14ac:dyDescent="0.25">
      <c r="B120" s="100"/>
      <c r="C120" s="101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</row>
    <row r="121" spans="2:23" s="97" customFormat="1" hidden="1" x14ac:dyDescent="0.25">
      <c r="B121" s="100"/>
      <c r="C121" s="101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</row>
    <row r="122" spans="2:23" s="97" customFormat="1" x14ac:dyDescent="0.25">
      <c r="C122" s="101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</row>
    <row r="123" spans="2:23" s="97" customFormat="1" x14ac:dyDescent="0.25">
      <c r="C123" s="101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</row>
    <row r="124" spans="2:23" s="97" customFormat="1" x14ac:dyDescent="0.25">
      <c r="C124" s="101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</row>
    <row r="125" spans="2:23" s="97" customFormat="1" x14ac:dyDescent="0.25">
      <c r="C125" s="101"/>
    </row>
    <row r="126" spans="2:23" s="97" customFormat="1" x14ac:dyDescent="0.25">
      <c r="C126" s="101"/>
    </row>
    <row r="127" spans="2:23" s="97" customFormat="1" x14ac:dyDescent="0.25">
      <c r="C127" s="235"/>
      <c r="D127" s="235"/>
      <c r="E127" s="236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</row>
    <row r="128" spans="2:23" s="97" customFormat="1" x14ac:dyDescent="0.25">
      <c r="C128" s="235"/>
      <c r="D128" s="102"/>
      <c r="E128" s="102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102"/>
      <c r="U128" s="102"/>
      <c r="V128" s="102"/>
      <c r="W128" s="102"/>
    </row>
    <row r="129" spans="2:23" s="97" customFormat="1" x14ac:dyDescent="0.25">
      <c r="C129" s="10"/>
      <c r="D129" s="284"/>
      <c r="E129" s="284"/>
      <c r="F129" s="10"/>
      <c r="G129" s="10"/>
      <c r="H129" s="10"/>
      <c r="I129" s="10"/>
      <c r="J129" s="10"/>
      <c r="K129" s="10"/>
      <c r="L129" s="1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</row>
    <row r="130" spans="2:23" s="97" customFormat="1" x14ac:dyDescent="0.25">
      <c r="C130" s="10"/>
      <c r="D130" s="10"/>
      <c r="E130" s="10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2:23" s="97" customFormat="1" x14ac:dyDescent="0.25">
      <c r="C131" s="235"/>
      <c r="E131" s="20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</row>
    <row r="132" spans="2:23" s="97" customFormat="1" x14ac:dyDescent="0.25">
      <c r="B132" s="100"/>
      <c r="C132" s="101"/>
      <c r="E132" s="20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</row>
    <row r="133" spans="2:23" s="97" customFormat="1" x14ac:dyDescent="0.25">
      <c r="B133" s="100"/>
      <c r="C133" s="101"/>
      <c r="E133" s="20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</row>
    <row r="134" spans="2:23" s="97" customFormat="1" x14ac:dyDescent="0.25">
      <c r="B134" s="100"/>
      <c r="C134" s="101"/>
      <c r="E134" s="20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</row>
    <row r="135" spans="2:23" s="97" customFormat="1" x14ac:dyDescent="0.25">
      <c r="B135" s="100"/>
      <c r="C135" s="101"/>
      <c r="E135" s="20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</row>
    <row r="136" spans="2:23" s="97" customFormat="1" x14ac:dyDescent="0.25">
      <c r="B136" s="100"/>
      <c r="C136" s="101"/>
      <c r="E136" s="20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</row>
    <row r="137" spans="2:23" s="97" customFormat="1" x14ac:dyDescent="0.25">
      <c r="B137" s="100"/>
      <c r="C137" s="101"/>
      <c r="E137" s="20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</row>
    <row r="138" spans="2:23" s="97" customFormat="1" x14ac:dyDescent="0.25">
      <c r="B138" s="100"/>
      <c r="C138" s="101"/>
      <c r="E138" s="20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</row>
    <row r="139" spans="2:23" s="97" customFormat="1" x14ac:dyDescent="0.25">
      <c r="B139" s="100"/>
      <c r="C139" s="101"/>
      <c r="E139" s="20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</row>
    <row r="140" spans="2:23" s="97" customFormat="1" x14ac:dyDescent="0.25">
      <c r="B140" s="100"/>
      <c r="C140" s="101"/>
      <c r="E140" s="20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</row>
    <row r="141" spans="2:23" s="97" customFormat="1" x14ac:dyDescent="0.25">
      <c r="B141" s="100"/>
      <c r="C141" s="101"/>
      <c r="E141" s="20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</row>
    <row r="142" spans="2:23" s="97" customFormat="1" x14ac:dyDescent="0.25">
      <c r="B142" s="100"/>
      <c r="C142" s="101"/>
      <c r="E142" s="20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</row>
    <row r="143" spans="2:23" s="97" customFormat="1" x14ac:dyDescent="0.25">
      <c r="B143" s="100"/>
      <c r="C143" s="101"/>
      <c r="E143" s="20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</row>
    <row r="144" spans="2:23" s="97" customFormat="1" x14ac:dyDescent="0.25">
      <c r="B144" s="100"/>
      <c r="C144" s="101"/>
      <c r="E144" s="20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</row>
    <row r="145" spans="1:23" s="97" customFormat="1" x14ac:dyDescent="0.25">
      <c r="B145" s="100"/>
      <c r="C145" s="101"/>
      <c r="E145" s="20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</row>
    <row r="146" spans="1:23" s="97" customFormat="1" x14ac:dyDescent="0.25">
      <c r="B146" s="100"/>
      <c r="C146" s="101"/>
      <c r="E146" s="20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</row>
    <row r="147" spans="1:23" s="97" customFormat="1" x14ac:dyDescent="0.25">
      <c r="B147" s="100"/>
      <c r="C147" s="101"/>
      <c r="E147" s="20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</row>
    <row r="148" spans="1:23" s="97" customFormat="1" x14ac:dyDescent="0.25">
      <c r="B148" s="100"/>
      <c r="C148" s="101"/>
      <c r="E148" s="20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</row>
    <row r="149" spans="1:23" s="97" customFormat="1" x14ac:dyDescent="0.25">
      <c r="B149" s="100"/>
      <c r="C149" s="101"/>
      <c r="E149" s="20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</row>
    <row r="150" spans="1:23" s="97" customFormat="1" x14ac:dyDescent="0.25">
      <c r="B150" s="100"/>
      <c r="C150" s="101"/>
      <c r="E150" s="20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</row>
    <row r="151" spans="1:23" s="97" customFormat="1" x14ac:dyDescent="0.25">
      <c r="B151" s="100"/>
      <c r="C151" s="101"/>
      <c r="D151" s="18"/>
      <c r="E151" s="88"/>
      <c r="F151"/>
      <c r="G151"/>
      <c r="H151"/>
      <c r="I151"/>
      <c r="J151"/>
      <c r="K151"/>
      <c r="L151"/>
      <c r="M151"/>
      <c r="N151" s="99"/>
      <c r="O151" s="99"/>
      <c r="P151" s="99"/>
      <c r="Q151" s="99"/>
      <c r="R151" s="99"/>
      <c r="S151" s="99"/>
      <c r="T151" s="99"/>
      <c r="U151" s="99"/>
      <c r="V151" s="99"/>
      <c r="W151" s="99"/>
    </row>
    <row r="152" spans="1:23" s="97" customFormat="1" x14ac:dyDescent="0.25">
      <c r="B152" s="100"/>
      <c r="C152" s="1"/>
      <c r="D152" s="20" t="s">
        <v>107</v>
      </c>
      <c r="E152"/>
      <c r="F152"/>
      <c r="G152"/>
      <c r="H152"/>
      <c r="I152"/>
      <c r="J152"/>
      <c r="K152"/>
      <c r="L152"/>
      <c r="M152"/>
      <c r="N152" s="99"/>
      <c r="O152" s="99"/>
      <c r="P152" s="99"/>
      <c r="Q152" s="99"/>
      <c r="R152" s="99"/>
      <c r="S152" s="99"/>
      <c r="T152" s="99"/>
      <c r="U152" s="99"/>
      <c r="V152" s="99"/>
      <c r="W152" s="99"/>
    </row>
    <row r="153" spans="1:23" s="97" customFormat="1" ht="16.2" x14ac:dyDescent="0.25">
      <c r="B153" s="100"/>
      <c r="C153"/>
      <c r="D153" s="76">
        <v>1</v>
      </c>
      <c r="E153" s="21" t="str">
        <f>'CCW-1, Page 1W'!E174</f>
        <v>Data for years 2019 and prior were retreived from the Value Line Investment Survey Investment Analyzer Software, downloaded on June 18, 2021.</v>
      </c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s="97" customFormat="1" ht="16.2" x14ac:dyDescent="0.25">
      <c r="B154" s="100"/>
      <c r="C154"/>
      <c r="D154" s="76"/>
      <c r="E154" s="21" t="str">
        <f>'CCW-1, Page 1W'!E175</f>
        <v>Data for the year 2020 was retrieved from Value Line Investment Surveys, April 9, 2021.</v>
      </c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:23" s="97" customFormat="1" ht="16.2" x14ac:dyDescent="0.25">
      <c r="B155" s="100"/>
      <c r="C155"/>
      <c r="D155" s="76"/>
      <c r="E155" s="21" t="str">
        <f>'CCW-1, Page 1W'!E176</f>
        <v>Data for the year 2021 was retrieved from Value Line Investment Surveys, April 8, 2022.</v>
      </c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:23" ht="16.2" x14ac:dyDescent="0.25">
      <c r="A156" s="31"/>
      <c r="B156" s="31"/>
      <c r="D156" s="76">
        <v>2</v>
      </c>
      <c r="E156" s="21" t="str">
        <f>'CCW-1, Page 1W'!E177</f>
        <v>The Value Line Investment Survey, April 7, 2023.</v>
      </c>
    </row>
    <row r="157" spans="1:23" ht="16.2" x14ac:dyDescent="0.25">
      <c r="A157" s="31"/>
      <c r="B157" s="31"/>
      <c r="D157" s="76">
        <v>3</v>
      </c>
      <c r="E157" s="22" t="s">
        <v>406</v>
      </c>
    </row>
    <row r="158" spans="1:23" ht="16.2" x14ac:dyDescent="0.25">
      <c r="A158" s="31"/>
      <c r="B158" s="31"/>
      <c r="D158" s="76">
        <v>4</v>
      </c>
      <c r="E158" t="str">
        <f>"www.moodys.com, Bond Yields and Key Indicators, through "&amp;'Annual Yields (WP)'!$E$1&amp;"."</f>
        <v>www.moodys.com, Bond Yields and Key Indicators, through December 31, 2023.</v>
      </c>
    </row>
    <row r="159" spans="1:23" x14ac:dyDescent="0.25">
      <c r="A159" s="31"/>
      <c r="B159" s="31"/>
      <c r="D159" s="20" t="s">
        <v>328</v>
      </c>
    </row>
    <row r="160" spans="1:23" ht="16.2" x14ac:dyDescent="0.25">
      <c r="A160" s="31"/>
      <c r="B160" s="31"/>
      <c r="D160" s="76" t="s">
        <v>354</v>
      </c>
      <c r="E160" s="21" t="s">
        <v>523</v>
      </c>
    </row>
    <row r="161" spans="4:5" ht="16.2" x14ac:dyDescent="0.25">
      <c r="D161" s="76" t="s">
        <v>355</v>
      </c>
      <c r="E161" t="s">
        <v>505</v>
      </c>
    </row>
    <row r="162" spans="4:5" ht="16.2" x14ac:dyDescent="0.25">
      <c r="D162" s="76" t="s">
        <v>356</v>
      </c>
      <c r="E162" t="s">
        <v>506</v>
      </c>
    </row>
    <row r="163" spans="4:5" ht="16.2" x14ac:dyDescent="0.25">
      <c r="D163" s="76" t="s">
        <v>454</v>
      </c>
      <c r="E163" t="s">
        <v>507</v>
      </c>
    </row>
    <row r="164" spans="4:5" ht="16.2" x14ac:dyDescent="0.25">
      <c r="D164" s="76" t="s">
        <v>455</v>
      </c>
      <c r="E164" t="s">
        <v>508</v>
      </c>
    </row>
    <row r="165" spans="4:5" ht="16.2" x14ac:dyDescent="0.25">
      <c r="D165" s="76" t="s">
        <v>458</v>
      </c>
      <c r="E165" t="s">
        <v>509</v>
      </c>
    </row>
    <row r="166" spans="4:5" ht="16.2" x14ac:dyDescent="0.25">
      <c r="D166" s="76" t="s">
        <v>459</v>
      </c>
      <c r="E166" t="s">
        <v>510</v>
      </c>
    </row>
  </sheetData>
  <mergeCells count="10">
    <mergeCell ref="D72:E72"/>
    <mergeCell ref="D76:E76"/>
    <mergeCell ref="F127:W127"/>
    <mergeCell ref="D129:E129"/>
    <mergeCell ref="C1:W1"/>
    <mergeCell ref="C4:W4"/>
    <mergeCell ref="C5:W5"/>
    <mergeCell ref="F8:W8"/>
    <mergeCell ref="D10:E10"/>
    <mergeCell ref="D68:E68"/>
  </mergeCells>
  <printOptions horizontalCentered="1"/>
  <pageMargins left="0.7" right="0.7" top="1" bottom="0.75" header="0.55000000000000004" footer="0.51"/>
  <pageSetup scale="41" orientation="portrait" useFirstPageNumber="1" r:id="rId1"/>
  <headerFooter>
    <oddHeader>&amp;R&amp;"Arial,Bold"&amp;20Direct Exhibit CCW-1
Page 2 of 12</oddHeader>
  </headerFooter>
  <ignoredErrors>
    <ignoredError sqref="J15" formula="1"/>
    <ignoredError sqref="D1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BC71"/>
  <sheetViews>
    <sheetView topLeftCell="C1" zoomScale="70" zoomScaleNormal="70" zoomScalePageLayoutView="90" workbookViewId="0">
      <selection activeCell="E177" sqref="E177"/>
    </sheetView>
  </sheetViews>
  <sheetFormatPr defaultRowHeight="13.8" x14ac:dyDescent="0.25"/>
  <cols>
    <col min="1" max="2" width="8" hidden="1" customWidth="1"/>
    <col min="3" max="3" width="5.8984375" bestFit="1" customWidth="1"/>
    <col min="4" max="4" width="1.69921875" customWidth="1"/>
    <col min="5" max="5" width="34.59765625" customWidth="1"/>
    <col min="6" max="6" width="9.69921875" bestFit="1" customWidth="1"/>
    <col min="7" max="9" width="9.69921875" customWidth="1"/>
    <col min="10" max="11" width="9" customWidth="1"/>
    <col min="12" max="12" width="9.69921875" bestFit="1" customWidth="1"/>
    <col min="13" max="23" width="9" customWidth="1"/>
    <col min="24" max="24" width="9" hidden="1" customWidth="1"/>
    <col min="25" max="27" width="8.69921875" hidden="1" customWidth="1"/>
    <col min="28" max="30" width="0" hidden="1" customWidth="1"/>
    <col min="31" max="31" width="9.8984375" hidden="1" customWidth="1"/>
    <col min="32" max="55" width="0" hidden="1" customWidth="1"/>
  </cols>
  <sheetData>
    <row r="1" spans="1:55" ht="28.2" x14ac:dyDescent="0.5">
      <c r="C1" s="277" t="str">
        <f>'CCW-1, Page 2W'!C1:W1</f>
        <v>Ameren Illinois Company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21"/>
      <c r="AA1" s="221"/>
    </row>
    <row r="2" spans="1:55" x14ac:dyDescent="0.25">
      <c r="C2" s="4"/>
      <c r="D2" s="5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7"/>
      <c r="T2" s="7"/>
      <c r="U2" s="7"/>
      <c r="V2" s="7"/>
      <c r="W2" s="7"/>
      <c r="X2" s="7"/>
      <c r="Y2" s="7"/>
      <c r="Z2" s="7"/>
    </row>
    <row r="3" spans="1:55" x14ac:dyDescent="0.25">
      <c r="C3" s="4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7"/>
      <c r="T3" s="7"/>
      <c r="U3" s="7"/>
      <c r="V3" s="7"/>
      <c r="W3" s="7"/>
      <c r="X3" s="7"/>
      <c r="Y3" s="7"/>
      <c r="Z3" s="7"/>
    </row>
    <row r="4" spans="1:55" ht="21" x14ac:dyDescent="0.4">
      <c r="C4" s="278" t="s">
        <v>499</v>
      </c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22"/>
      <c r="AA4" s="222"/>
    </row>
    <row r="5" spans="1:55" ht="17.399999999999999" x14ac:dyDescent="0.3">
      <c r="C5" s="279" t="s">
        <v>273</v>
      </c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23"/>
      <c r="AA5" s="223"/>
    </row>
    <row r="6" spans="1:55" x14ac:dyDescent="0.25"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55" x14ac:dyDescent="0.25"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55" ht="16.2" x14ac:dyDescent="0.25">
      <c r="C8" s="6"/>
      <c r="D8" s="7"/>
      <c r="E8" s="7"/>
      <c r="F8" s="280" t="s">
        <v>376</v>
      </c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24"/>
      <c r="AA8" s="224"/>
    </row>
    <row r="9" spans="1:55" x14ac:dyDescent="0.25">
      <c r="A9" s="41" t="s">
        <v>99</v>
      </c>
      <c r="B9" s="41" t="s">
        <v>241</v>
      </c>
      <c r="C9" s="6"/>
      <c r="D9" s="7"/>
      <c r="E9" s="7"/>
      <c r="F9" s="8" t="s">
        <v>535</v>
      </c>
      <c r="G9" s="8"/>
      <c r="H9" s="8"/>
      <c r="I9" s="8"/>
      <c r="J9" s="109">
        <v>2017</v>
      </c>
      <c r="K9" s="109">
        <v>2017</v>
      </c>
      <c r="L9" s="109"/>
      <c r="M9" s="8"/>
      <c r="N9" s="8"/>
      <c r="O9" s="8"/>
      <c r="P9" s="8"/>
      <c r="Q9" s="8"/>
      <c r="R9" s="7"/>
      <c r="S9" s="7"/>
      <c r="T9" s="7"/>
      <c r="U9" s="7"/>
      <c r="V9" s="7"/>
      <c r="W9" s="7"/>
      <c r="X9" s="183">
        <v>2018</v>
      </c>
      <c r="Y9" s="183">
        <v>2017</v>
      </c>
      <c r="Z9" s="183">
        <v>2017</v>
      </c>
      <c r="AA9" s="183"/>
      <c r="AB9" s="183"/>
      <c r="AC9" s="183" t="s">
        <v>511</v>
      </c>
      <c r="AD9" s="183" t="s">
        <v>512</v>
      </c>
      <c r="AE9" s="7"/>
      <c r="AF9" s="183" t="s">
        <v>513</v>
      </c>
      <c r="AG9" s="183" t="s">
        <v>514</v>
      </c>
      <c r="AH9" s="183" t="s">
        <v>515</v>
      </c>
      <c r="AI9" s="183"/>
      <c r="AJ9" s="183"/>
      <c r="AK9" s="183"/>
      <c r="AL9" s="183"/>
      <c r="AM9" s="183"/>
    </row>
    <row r="10" spans="1:55" ht="16.2" x14ac:dyDescent="0.25">
      <c r="A10" s="41" t="s">
        <v>100</v>
      </c>
      <c r="B10" s="41" t="s">
        <v>242</v>
      </c>
      <c r="C10" s="9" t="s">
        <v>96</v>
      </c>
      <c r="D10" s="275" t="s">
        <v>97</v>
      </c>
      <c r="E10" s="275"/>
      <c r="F10" s="10" t="s">
        <v>98</v>
      </c>
      <c r="G10" s="40" t="s">
        <v>539</v>
      </c>
      <c r="H10" s="40">
        <v>2021</v>
      </c>
      <c r="I10" s="40">
        <v>2020</v>
      </c>
      <c r="J10" s="40">
        <v>2019</v>
      </c>
      <c r="K10" s="40">
        <v>2018</v>
      </c>
      <c r="L10" s="40">
        <v>2017</v>
      </c>
      <c r="M10" s="40">
        <v>2016</v>
      </c>
      <c r="N10" s="40">
        <v>2015</v>
      </c>
      <c r="O10" s="40">
        <v>2014</v>
      </c>
      <c r="P10" s="40">
        <v>2013</v>
      </c>
      <c r="Q10" s="40">
        <v>2012</v>
      </c>
      <c r="R10" s="40">
        <v>2011</v>
      </c>
      <c r="S10" s="40">
        <v>2010</v>
      </c>
      <c r="T10" s="40">
        <v>2009</v>
      </c>
      <c r="U10" s="40">
        <v>2008</v>
      </c>
      <c r="V10" s="40">
        <v>2007</v>
      </c>
      <c r="W10" s="40">
        <v>2006</v>
      </c>
      <c r="X10" s="40" t="s">
        <v>443</v>
      </c>
      <c r="Y10" s="40" t="s">
        <v>443</v>
      </c>
      <c r="Z10" s="40" t="s">
        <v>445</v>
      </c>
      <c r="AA10" s="40" t="s">
        <v>445</v>
      </c>
      <c r="AB10" s="40"/>
      <c r="AC10" s="40" t="s">
        <v>516</v>
      </c>
      <c r="AD10" s="40" t="s">
        <v>517</v>
      </c>
      <c r="AE10" s="185" t="s">
        <v>518</v>
      </c>
      <c r="AF10" s="40" t="s">
        <v>516</v>
      </c>
      <c r="AG10" s="40" t="s">
        <v>519</v>
      </c>
      <c r="AH10" s="40" t="s">
        <v>516</v>
      </c>
      <c r="AI10" s="40"/>
      <c r="AJ10" s="40"/>
      <c r="AK10" s="40"/>
      <c r="AL10" s="40"/>
      <c r="AM10" s="40"/>
    </row>
    <row r="11" spans="1:55" x14ac:dyDescent="0.25">
      <c r="A11" s="41"/>
      <c r="B11" s="41"/>
      <c r="C11" s="9"/>
      <c r="D11" s="220"/>
      <c r="E11" s="220"/>
      <c r="F11" s="12">
        <v>-1</v>
      </c>
      <c r="G11" s="12">
        <f>+F11-1</f>
        <v>-2</v>
      </c>
      <c r="H11" s="12">
        <f>+G11-1</f>
        <v>-3</v>
      </c>
      <c r="I11" s="12">
        <f>+H11-1</f>
        <v>-4</v>
      </c>
      <c r="J11" s="12">
        <f>+I11-1</f>
        <v>-5</v>
      </c>
      <c r="K11" s="12">
        <f>+J11-1</f>
        <v>-6</v>
      </c>
      <c r="L11" s="12">
        <f t="shared" ref="L11:X11" si="0">+K11-1</f>
        <v>-7</v>
      </c>
      <c r="M11" s="12">
        <f t="shared" si="0"/>
        <v>-8</v>
      </c>
      <c r="N11" s="12">
        <f t="shared" si="0"/>
        <v>-9</v>
      </c>
      <c r="O11" s="12">
        <f t="shared" si="0"/>
        <v>-10</v>
      </c>
      <c r="P11" s="12">
        <f t="shared" si="0"/>
        <v>-11</v>
      </c>
      <c r="Q11" s="12">
        <f t="shared" si="0"/>
        <v>-12</v>
      </c>
      <c r="R11" s="12">
        <f t="shared" si="0"/>
        <v>-13</v>
      </c>
      <c r="S11" s="12">
        <f t="shared" si="0"/>
        <v>-14</v>
      </c>
      <c r="T11" s="12">
        <f t="shared" si="0"/>
        <v>-15</v>
      </c>
      <c r="U11" s="12">
        <f t="shared" si="0"/>
        <v>-16</v>
      </c>
      <c r="V11" s="12">
        <f t="shared" si="0"/>
        <v>-17</v>
      </c>
      <c r="W11" s="12">
        <f t="shared" si="0"/>
        <v>-18</v>
      </c>
      <c r="X11" s="12">
        <f t="shared" si="0"/>
        <v>-19</v>
      </c>
      <c r="Y11" s="12"/>
      <c r="Z11" s="12"/>
      <c r="AA11" s="12"/>
      <c r="AB11" s="12"/>
      <c r="AC11" s="12"/>
      <c r="AD11" s="12"/>
      <c r="AE11" s="12"/>
    </row>
    <row r="12" spans="1:55" x14ac:dyDescent="0.25">
      <c r="A12" s="42"/>
      <c r="B12" s="43"/>
      <c r="C12" s="9"/>
      <c r="D12" s="14" t="s">
        <v>101</v>
      </c>
      <c r="E12" s="11"/>
      <c r="F12" s="36"/>
      <c r="G12" s="36"/>
      <c r="H12" s="36"/>
      <c r="I12" s="36"/>
      <c r="J12" s="36"/>
      <c r="K12" s="36"/>
      <c r="L12" s="36"/>
      <c r="M12" s="126">
        <f t="shared" ref="M12:W12" ca="1" si="1">MATCH(M10,OFFSET(Dividends,-2,0,1,),0)</f>
        <v>6</v>
      </c>
      <c r="N12" s="126">
        <f t="shared" ca="1" si="1"/>
        <v>7</v>
      </c>
      <c r="O12" s="126">
        <f t="shared" ca="1" si="1"/>
        <v>8</v>
      </c>
      <c r="P12" s="126">
        <f t="shared" ca="1" si="1"/>
        <v>9</v>
      </c>
      <c r="Q12" s="126">
        <f t="shared" ca="1" si="1"/>
        <v>10</v>
      </c>
      <c r="R12" s="126">
        <f t="shared" ca="1" si="1"/>
        <v>11</v>
      </c>
      <c r="S12" s="126">
        <f t="shared" ca="1" si="1"/>
        <v>12</v>
      </c>
      <c r="T12" s="126">
        <f t="shared" ca="1" si="1"/>
        <v>13</v>
      </c>
      <c r="U12" s="126">
        <f t="shared" ca="1" si="1"/>
        <v>14</v>
      </c>
      <c r="V12" s="126">
        <f t="shared" ca="1" si="1"/>
        <v>15</v>
      </c>
      <c r="W12" s="126">
        <f t="shared" ca="1" si="1"/>
        <v>16</v>
      </c>
      <c r="X12" s="16"/>
      <c r="Y12" s="16"/>
      <c r="Z12" s="16"/>
      <c r="AA12" s="16"/>
      <c r="AB12" s="16"/>
      <c r="AC12" s="16"/>
      <c r="AD12" s="16"/>
      <c r="AE12" s="16"/>
      <c r="AN12">
        <v>2018</v>
      </c>
      <c r="AO12">
        <v>2017</v>
      </c>
      <c r="AP12">
        <v>2016</v>
      </c>
      <c r="AQ12">
        <v>2015</v>
      </c>
      <c r="AR12">
        <v>2014</v>
      </c>
      <c r="AS12">
        <v>2013</v>
      </c>
      <c r="AT12">
        <v>2012</v>
      </c>
      <c r="AU12">
        <v>2011</v>
      </c>
      <c r="AV12">
        <v>2010</v>
      </c>
      <c r="AW12">
        <v>2009</v>
      </c>
      <c r="AX12">
        <v>2008</v>
      </c>
      <c r="AY12">
        <v>2007</v>
      </c>
      <c r="AZ12">
        <v>2006</v>
      </c>
    </row>
    <row r="13" spans="1:55" x14ac:dyDescent="0.25">
      <c r="A13" s="44" t="s">
        <v>165</v>
      </c>
      <c r="B13" s="110">
        <f t="shared" ref="B13:B57" ca="1" si="2">IFERROR(MATCH(A13,OFFSET(Dividends,0,0,,1),0),"")</f>
        <v>6</v>
      </c>
      <c r="C13" s="1">
        <f ca="1">IF(ISERROR(D13),"",IF(D13="","",MAX($C$12:C12)+1))</f>
        <v>1</v>
      </c>
      <c r="D13" t="str">
        <f t="shared" ref="D13:D57" ca="1" si="3">VLOOKUP(A13,LUCurYr,2,FALSE)</f>
        <v>Amer. States Water</v>
      </c>
      <c r="E13" s="15"/>
      <c r="F13" s="125">
        <f ca="1">IFERROR(AVERAGE(G13:W13),"N/A")</f>
        <v>0.79864705882352938</v>
      </c>
      <c r="G13" s="125">
        <f>IFERROR(IF(VLOOKUP($A13,'2022 Data (WP)'!$D$9:$AA$70,9,FALSE)=0,"",VLOOKUP($A13,'2022 Data (WP)'!$D$9:$AA$70,9,FALSE)),"N/A")</f>
        <v>1.53</v>
      </c>
      <c r="H13" s="125">
        <f>IFERROR(IF(VLOOKUP($A13,'2021 Data (WP)'!$D$9:$AA$70,9,FALSE)=0,"",VLOOKUP($A13,'2021 Data (WP)'!$D$9:$AA$70,9,FALSE)),"N/A")</f>
        <v>1.4</v>
      </c>
      <c r="I13" s="125">
        <f>IFERROR(IF(VLOOKUP($A13,'2020 Data (WP)'!$D$9:$AA$70,9,FALSE)=0,"",VLOOKUP($A13,'2020 Data (WP)'!$D$9:$AA$70,9,FALSE)),"N/A")</f>
        <v>1.28</v>
      </c>
      <c r="J13" s="125">
        <f>IFERROR(IF(VLOOKUP($A13,LUCurYr,9,FALSE)=0,"",VLOOKUP(A13,LUCurYr,9,FALSE)),"N/A")</f>
        <v>1.1599999999999999</v>
      </c>
      <c r="K13" s="125">
        <f t="shared" ref="K13:W28" ca="1" si="4">IFERROR(IF(INDEX(Dividends,$B13,K$12)=0,"N/A",INDEX(Dividends,$B13,K$12)),"N/A")</f>
        <v>0.63500000000000001</v>
      </c>
      <c r="L13" s="125">
        <f t="shared" ca="1" si="4"/>
        <v>0.55000000000000004</v>
      </c>
      <c r="M13" s="125">
        <f t="shared" ca="1" si="4"/>
        <v>0.91400000000000003</v>
      </c>
      <c r="N13" s="125">
        <f t="shared" ca="1" si="4"/>
        <v>0.874</v>
      </c>
      <c r="O13" s="125">
        <f t="shared" ca="1" si="4"/>
        <v>0.83099999999999996</v>
      </c>
      <c r="P13" s="125">
        <f t="shared" ca="1" si="4"/>
        <v>0.76</v>
      </c>
      <c r="Q13" s="125">
        <f t="shared" ca="1" si="4"/>
        <v>0.63500000000000001</v>
      </c>
      <c r="R13" s="125">
        <f t="shared" ca="1" si="4"/>
        <v>0.55000000000000004</v>
      </c>
      <c r="S13" s="125">
        <f t="shared" ca="1" si="4"/>
        <v>0.52</v>
      </c>
      <c r="T13" s="125">
        <f t="shared" ca="1" si="4"/>
        <v>0.505</v>
      </c>
      <c r="U13" s="125">
        <f t="shared" ca="1" si="4"/>
        <v>0.5</v>
      </c>
      <c r="V13" s="125">
        <f t="shared" ca="1" si="4"/>
        <v>0.47799999999999998</v>
      </c>
      <c r="W13" s="125">
        <f t="shared" ca="1" si="4"/>
        <v>0.45500000000000002</v>
      </c>
      <c r="X13" s="77">
        <f ca="1">IFERROR(IF(K13&gt;0,((K13/VLOOKUP(A13,$A$13:$W$53,BB13,0))^(1/(AH13)))-1,"N/A"),"N/A")</f>
        <v>1.5454825281473683E-2</v>
      </c>
      <c r="Y13" s="77">
        <f ca="1">IFERROR(IF(L13&gt;0,((L13/VLOOKUP(A13,$A$13:$W$53,BB13,0))^(1/(AC13)))-1,"N/A"),"N/A")</f>
        <v>5.1120646638820322E-3</v>
      </c>
      <c r="Z13" s="125">
        <f ca="1">+W13*(1+Y13)^11</f>
        <v>0.48125000000000012</v>
      </c>
      <c r="AA13" s="77" t="b">
        <f ca="1">ROUND(Z13,10)=ROUND(L13,10)</f>
        <v>0</v>
      </c>
      <c r="AB13" s="77"/>
      <c r="AC13" s="184">
        <f ca="1">BA13-2</f>
        <v>11</v>
      </c>
      <c r="AD13" s="181">
        <f t="shared" ref="AD13:AD53" si="5">IFERROR(IF(VLOOKUP(A13,LUCurYr,16,FALSE)=0,"",VLOOKUP(A13,LUCurYr,16,FALSE)),"N/A")</f>
        <v>43840</v>
      </c>
      <c r="AE13" s="190">
        <v>43100</v>
      </c>
      <c r="AF13" s="186">
        <f t="shared" ref="AF13:AF57" si="6">AD13-AE13</f>
        <v>740</v>
      </c>
      <c r="AG13" s="187">
        <f>AF13/365</f>
        <v>2.0273972602739727</v>
      </c>
      <c r="AH13" s="187">
        <f t="shared" ref="AH13:AH57" ca="1" si="7">AC13+AG13</f>
        <v>13.027397260273972</v>
      </c>
      <c r="AI13" s="188">
        <f t="shared" ref="AI13:AI58" ca="1" si="8">(K13/W13)^(1/AH13)-1</f>
        <v>2.5916808019077697E-2</v>
      </c>
      <c r="AJ13" s="188"/>
      <c r="AK13" s="188"/>
      <c r="AL13" s="188"/>
      <c r="AM13" s="188"/>
      <c r="AN13" t="b">
        <f t="shared" ref="AN13:AZ32" ca="1" si="9">ISNUMBER(K13)</f>
        <v>1</v>
      </c>
      <c r="AO13" t="b">
        <f t="shared" ca="1" si="9"/>
        <v>1</v>
      </c>
      <c r="AP13" t="b">
        <f t="shared" ca="1" si="9"/>
        <v>1</v>
      </c>
      <c r="AQ13" t="b">
        <f t="shared" ca="1" si="9"/>
        <v>1</v>
      </c>
      <c r="AR13" t="b">
        <f t="shared" ca="1" si="9"/>
        <v>1</v>
      </c>
      <c r="AS13" t="b">
        <f t="shared" ca="1" si="9"/>
        <v>1</v>
      </c>
      <c r="AT13" t="b">
        <f t="shared" ca="1" si="9"/>
        <v>1</v>
      </c>
      <c r="AU13" t="b">
        <f t="shared" ca="1" si="9"/>
        <v>1</v>
      </c>
      <c r="AV13" t="b">
        <f t="shared" ca="1" si="9"/>
        <v>1</v>
      </c>
      <c r="AW13" t="b">
        <f t="shared" ca="1" si="9"/>
        <v>1</v>
      </c>
      <c r="AX13" t="b">
        <f t="shared" ca="1" si="9"/>
        <v>1</v>
      </c>
      <c r="AY13" t="b">
        <f t="shared" ca="1" si="9"/>
        <v>1</v>
      </c>
      <c r="AZ13" t="b">
        <f t="shared" ca="1" si="9"/>
        <v>1</v>
      </c>
      <c r="BA13">
        <f ca="1">IF(AN13=FALSE,COUNTIF(AN13:AZ13,TRUE)+1,COUNTIF(AN13:AZ13,TRUE))</f>
        <v>13</v>
      </c>
      <c r="BB13">
        <f ca="1">BA13+6</f>
        <v>19</v>
      </c>
      <c r="BC13">
        <f>2018.33-2006</f>
        <v>12.329999999999927</v>
      </c>
    </row>
    <row r="14" spans="1:55" x14ac:dyDescent="0.25">
      <c r="A14" s="44" t="s">
        <v>167</v>
      </c>
      <c r="B14" s="110">
        <f t="shared" ca="1" si="2"/>
        <v>7</v>
      </c>
      <c r="C14" s="1">
        <f ca="1">IF(ISERROR(D14),"",IF(D14="","",MAX($C$12:C13)+1))</f>
        <v>2</v>
      </c>
      <c r="D14" t="str">
        <f t="shared" ca="1" si="3"/>
        <v>Amer. Water Works</v>
      </c>
      <c r="E14" s="15"/>
      <c r="F14" s="125">
        <f t="shared" ref="F14:F57" ca="1" si="10">IFERROR(AVERAGE(G14:W14),"N/A")</f>
        <v>1.3459999999999999</v>
      </c>
      <c r="G14" s="125">
        <f>IFERROR(IF(VLOOKUP($A14,'2022 Data (WP)'!$D$9:$AA$70,9,FALSE)=0,"",VLOOKUP($A14,'2022 Data (WP)'!$D$9:$AA$70,9,FALSE)),"N/A")</f>
        <v>2.57</v>
      </c>
      <c r="H14" s="125">
        <f>IFERROR(IF(VLOOKUP($A14,'2021 Data (WP)'!$D$9:$AA$70,9,FALSE)=0,"",VLOOKUP($A14,'2021 Data (WP)'!$D$9:$AA$70,9,FALSE)),"N/A")</f>
        <v>2.36</v>
      </c>
      <c r="I14" s="125">
        <f>IFERROR(IF(VLOOKUP($A14,'2020 Data (WP)'!$D$9:$AA$70,9,FALSE)=0,"",VLOOKUP($A14,'2020 Data (WP)'!$D$9:$AA$70,9,FALSE)),"N/A")</f>
        <v>2.15</v>
      </c>
      <c r="J14" s="125">
        <f>IFERROR(IF(VLOOKUP($A14,LUCurYr,9,FALSE)=0,"",VLOOKUP(A14,LUCurYr,9,FALSE)),"N/A")</f>
        <v>1.96</v>
      </c>
      <c r="K14" s="125">
        <f t="shared" ca="1" si="4"/>
        <v>1.21</v>
      </c>
      <c r="L14" s="125">
        <f t="shared" ca="1" si="4"/>
        <v>0.9</v>
      </c>
      <c r="M14" s="125">
        <f t="shared" ca="1" si="4"/>
        <v>1.47</v>
      </c>
      <c r="N14" s="125">
        <f t="shared" ca="1" si="4"/>
        <v>1.33</v>
      </c>
      <c r="O14" s="125">
        <f t="shared" ca="1" si="4"/>
        <v>1.21</v>
      </c>
      <c r="P14" s="125">
        <f t="shared" ca="1" si="4"/>
        <v>0.84</v>
      </c>
      <c r="Q14" s="125">
        <f t="shared" ca="1" si="4"/>
        <v>1.21</v>
      </c>
      <c r="R14" s="125">
        <f t="shared" ca="1" si="4"/>
        <v>0.9</v>
      </c>
      <c r="S14" s="125">
        <f t="shared" ca="1" si="4"/>
        <v>0.86</v>
      </c>
      <c r="T14" s="125">
        <f t="shared" ca="1" si="4"/>
        <v>0.82</v>
      </c>
      <c r="U14" s="125">
        <f t="shared" ca="1" si="4"/>
        <v>0.4</v>
      </c>
      <c r="V14" s="125" t="str">
        <f t="shared" ca="1" si="4"/>
        <v>N/A</v>
      </c>
      <c r="W14" s="125" t="str">
        <f t="shared" ca="1" si="4"/>
        <v>N/A</v>
      </c>
      <c r="X14" s="77">
        <f t="shared" ref="X14:X57" ca="1" si="11">IFERROR(IF(K14&gt;0,((K14/VLOOKUP(A14,$A$13:$W$53,BB14,0))^(1/(AH14)))-1,"N/A"),"N/A")</f>
        <v>0</v>
      </c>
      <c r="Y14" s="77">
        <f t="shared" ref="Y14:Y57" ca="1" si="12">IFERROR(IF(L14&gt;0,((L14/VLOOKUP(A14,$A$13:$W$53,BB14,0))^(1/(AC14)))-1,"N/A"),"N/A")</f>
        <v>-3.2351873932455089E-2</v>
      </c>
      <c r="Z14" s="125" t="e">
        <f t="shared" ref="Z14:Z57" ca="1" si="13">+W14*(1+Y14)^11</f>
        <v>#VALUE!</v>
      </c>
      <c r="AA14" s="77" t="e">
        <f t="shared" ref="AA14:AA57" ca="1" si="14">ROUND(Z14,10)=ROUND(L14,10)</f>
        <v>#VALUE!</v>
      </c>
      <c r="AB14" s="77"/>
      <c r="AC14" s="184">
        <f ca="1">BA14-2</f>
        <v>9</v>
      </c>
      <c r="AD14" s="181">
        <f t="shared" si="5"/>
        <v>43840</v>
      </c>
      <c r="AE14" s="190">
        <v>43100</v>
      </c>
      <c r="AF14" s="186">
        <f t="shared" si="6"/>
        <v>740</v>
      </c>
      <c r="AG14" s="187">
        <f t="shared" ref="AG14:AG57" si="15">AF14/365</f>
        <v>2.0273972602739727</v>
      </c>
      <c r="AH14" s="187">
        <f t="shared" ca="1" si="7"/>
        <v>11.027397260273972</v>
      </c>
      <c r="AI14" s="188" t="e">
        <f t="shared" ca="1" si="8"/>
        <v>#VALUE!</v>
      </c>
      <c r="AN14" t="b">
        <f t="shared" ca="1" si="9"/>
        <v>1</v>
      </c>
      <c r="AO14" t="b">
        <f t="shared" ca="1" si="9"/>
        <v>1</v>
      </c>
      <c r="AP14" t="b">
        <f t="shared" ca="1" si="9"/>
        <v>1</v>
      </c>
      <c r="AQ14" t="b">
        <f t="shared" ca="1" si="9"/>
        <v>1</v>
      </c>
      <c r="AR14" t="b">
        <f t="shared" ca="1" si="9"/>
        <v>1</v>
      </c>
      <c r="AS14" t="b">
        <f t="shared" ca="1" si="9"/>
        <v>1</v>
      </c>
      <c r="AT14" t="b">
        <f t="shared" ca="1" si="9"/>
        <v>1</v>
      </c>
      <c r="AU14" t="b">
        <f t="shared" ca="1" si="9"/>
        <v>1</v>
      </c>
      <c r="AV14" t="b">
        <f t="shared" ca="1" si="9"/>
        <v>1</v>
      </c>
      <c r="AW14" t="b">
        <f t="shared" ca="1" si="9"/>
        <v>1</v>
      </c>
      <c r="AX14" t="b">
        <f t="shared" ca="1" si="9"/>
        <v>1</v>
      </c>
      <c r="AY14" t="b">
        <f t="shared" ca="1" si="9"/>
        <v>0</v>
      </c>
      <c r="AZ14" t="b">
        <f t="shared" ca="1" si="9"/>
        <v>0</v>
      </c>
      <c r="BA14">
        <f t="shared" ref="BA14:BA53" ca="1" si="16">IF(AN14=FALSE,COUNTIF(AN14:AZ14,TRUE)+1,COUNTIF(AN14:AZ14,TRUE))</f>
        <v>11</v>
      </c>
      <c r="BB14">
        <f t="shared" ref="BB14:BB53" ca="1" si="17">BA14+6</f>
        <v>17</v>
      </c>
    </row>
    <row r="15" spans="1:55" x14ac:dyDescent="0.25">
      <c r="A15" s="44" t="s">
        <v>533</v>
      </c>
      <c r="B15" s="110">
        <v>10</v>
      </c>
      <c r="C15" s="1">
        <f ca="1">IF(ISERROR(D15),"",IF(D15="","",MAX($C$12:C14)+1))</f>
        <v>3</v>
      </c>
      <c r="D15" t="s">
        <v>548</v>
      </c>
      <c r="E15" s="15"/>
      <c r="F15" s="125">
        <f t="shared" ca="1" si="10"/>
        <v>0.63564705882352934</v>
      </c>
      <c r="G15" s="125">
        <f>IFERROR(IF(VLOOKUP($A15,'2022 Data (WP)'!$D$9:$AA$70,9,FALSE)=0,"",VLOOKUP($A15,'2022 Data (WP)'!$D$9:$AA$70,9,FALSE)),"N/A")</f>
        <v>1.1100000000000001</v>
      </c>
      <c r="H15" s="125">
        <f>IFERROR(IF(VLOOKUP($A15,'2021 Data (WP)'!$D$9:$AA$70,9,FALSE)=0,"",VLOOKUP($A15,'2021 Data (WP)'!$D$9:$AA$70,9,FALSE)),"N/A")</f>
        <v>1.04</v>
      </c>
      <c r="I15" s="125">
        <f>IFERROR(IF(VLOOKUP($A15,'2020 Data (WP)'!$D$9:$AA$70,9,FALSE)=0,"",VLOOKUP($A15,'2020 Data (WP)'!$D$9:$AA$70,9,FALSE)),"N/A")</f>
        <v>0.97</v>
      </c>
      <c r="J15" s="125">
        <f>IFERROR(IF(VLOOKUP("WTR",LUCurYr,9,FALSE)=0,"",VLOOKUP("WTR",LUCurYr,9,FALSE)),"N/A")</f>
        <v>0.91</v>
      </c>
      <c r="K15" s="125">
        <f t="shared" si="4"/>
        <v>0.53600000000000003</v>
      </c>
      <c r="L15" s="125">
        <f t="shared" si="4"/>
        <v>0.504</v>
      </c>
      <c r="M15" s="125">
        <f t="shared" ca="1" si="4"/>
        <v>0.74</v>
      </c>
      <c r="N15" s="125">
        <f t="shared" ca="1" si="4"/>
        <v>0.69</v>
      </c>
      <c r="O15" s="125">
        <f t="shared" ca="1" si="4"/>
        <v>0.63</v>
      </c>
      <c r="P15" s="125">
        <f t="shared" ca="1" si="4"/>
        <v>0.57999999999999996</v>
      </c>
      <c r="Q15" s="125">
        <f t="shared" ca="1" si="4"/>
        <v>0.53600000000000003</v>
      </c>
      <c r="R15" s="125">
        <f t="shared" ca="1" si="4"/>
        <v>0.504</v>
      </c>
      <c r="S15" s="125">
        <f t="shared" ca="1" si="4"/>
        <v>0.47199999999999998</v>
      </c>
      <c r="T15" s="125">
        <f t="shared" ca="1" si="4"/>
        <v>0.44</v>
      </c>
      <c r="U15" s="125">
        <f t="shared" ca="1" si="4"/>
        <v>0.40799999999999997</v>
      </c>
      <c r="V15" s="125">
        <f t="shared" ca="1" si="4"/>
        <v>0.38400000000000001</v>
      </c>
      <c r="W15" s="125">
        <f t="shared" ca="1" si="4"/>
        <v>0.35199999999999998</v>
      </c>
      <c r="X15" s="77" t="str">
        <f t="shared" ca="1" si="11"/>
        <v>N/A</v>
      </c>
      <c r="Y15" s="77">
        <f t="shared" ca="1" si="12"/>
        <v>5.9812057207420111E-3</v>
      </c>
      <c r="Z15" s="125">
        <f t="shared" ca="1" si="13"/>
        <v>0.37586440677966093</v>
      </c>
      <c r="AA15" s="77" t="b">
        <f t="shared" ca="1" si="14"/>
        <v>0</v>
      </c>
      <c r="AB15" s="77"/>
      <c r="AC15" s="184">
        <f ca="1">BA15-2</f>
        <v>11</v>
      </c>
      <c r="AD15" s="181" t="str">
        <f t="shared" si="5"/>
        <v>N/A</v>
      </c>
      <c r="AE15" s="190">
        <v>43100</v>
      </c>
      <c r="AF15" s="186" t="e">
        <f t="shared" si="6"/>
        <v>#VALUE!</v>
      </c>
      <c r="AG15" s="187" t="e">
        <f t="shared" si="15"/>
        <v>#VALUE!</v>
      </c>
      <c r="AH15" s="187" t="e">
        <f t="shared" ca="1" si="7"/>
        <v>#VALUE!</v>
      </c>
      <c r="AI15" s="188" t="e">
        <f t="shared" ca="1" si="8"/>
        <v>#VALUE!</v>
      </c>
      <c r="AL15" s="188"/>
      <c r="AN15" t="b">
        <f t="shared" si="9"/>
        <v>1</v>
      </c>
      <c r="AO15" t="b">
        <f t="shared" si="9"/>
        <v>1</v>
      </c>
      <c r="AP15" t="b">
        <f t="shared" ca="1" si="9"/>
        <v>1</v>
      </c>
      <c r="AQ15" t="b">
        <f t="shared" ca="1" si="9"/>
        <v>1</v>
      </c>
      <c r="AR15" t="b">
        <f t="shared" ca="1" si="9"/>
        <v>1</v>
      </c>
      <c r="AS15" t="b">
        <f t="shared" ca="1" si="9"/>
        <v>1</v>
      </c>
      <c r="AT15" t="b">
        <f t="shared" ca="1" si="9"/>
        <v>1</v>
      </c>
      <c r="AU15" t="b">
        <f t="shared" ca="1" si="9"/>
        <v>1</v>
      </c>
      <c r="AV15" t="b">
        <f t="shared" ca="1" si="9"/>
        <v>1</v>
      </c>
      <c r="AW15" t="b">
        <f t="shared" ca="1" si="9"/>
        <v>1</v>
      </c>
      <c r="AX15" t="b">
        <f t="shared" ca="1" si="9"/>
        <v>1</v>
      </c>
      <c r="AY15" t="b">
        <f t="shared" ca="1" si="9"/>
        <v>1</v>
      </c>
      <c r="AZ15" t="b">
        <f t="shared" ca="1" si="9"/>
        <v>1</v>
      </c>
      <c r="BA15">
        <f t="shared" ca="1" si="16"/>
        <v>13</v>
      </c>
      <c r="BB15">
        <f t="shared" ca="1" si="17"/>
        <v>19</v>
      </c>
    </row>
    <row r="16" spans="1:55" x14ac:dyDescent="0.25">
      <c r="A16" s="44" t="s">
        <v>177</v>
      </c>
      <c r="B16" s="110">
        <f t="shared" ca="1" si="2"/>
        <v>16</v>
      </c>
      <c r="C16" s="1">
        <f ca="1">IF(ISERROR(D16),"",IF(D16="","",MAX($C$12:C15)+1))</f>
        <v>4</v>
      </c>
      <c r="D16" t="str">
        <f t="shared" ca="1" si="3"/>
        <v>California Water</v>
      </c>
      <c r="E16" s="15"/>
      <c r="F16" s="125">
        <f t="shared" ca="1" si="10"/>
        <v>0.68382352941176483</v>
      </c>
      <c r="G16" s="125">
        <f>IFERROR(IF(VLOOKUP($A16,'2022 Data (WP)'!$D$9:$AA$70,9,FALSE)=0,"",VLOOKUP($A16,'2022 Data (WP)'!$D$9:$AA$70,9,FALSE)),"N/A")</f>
        <v>1</v>
      </c>
      <c r="H16" s="125">
        <f>IFERROR(IF(VLOOKUP($A16,'2021 Data (WP)'!$D$9:$AA$70,9,FALSE)=0,"",VLOOKUP($A16,'2021 Data (WP)'!$D$9:$AA$70,9,FALSE)),"N/A")</f>
        <v>0.92</v>
      </c>
      <c r="I16" s="125">
        <f>IFERROR(IF(VLOOKUP($A16,'2020 Data (WP)'!$D$9:$AA$70,9,FALSE)=0,"",VLOOKUP($A16,'2020 Data (WP)'!$D$9:$AA$70,9,FALSE)),"N/A")</f>
        <v>0.85</v>
      </c>
      <c r="J16" s="125">
        <f t="shared" ref="J16:J57" si="18">IFERROR(IF(VLOOKUP($A16,LUCurYr,9,FALSE)=0,"",VLOOKUP(A16,LUCurYr,9,FALSE)),"N/A")</f>
        <v>0.79</v>
      </c>
      <c r="K16" s="125">
        <f t="shared" ca="1" si="4"/>
        <v>0.63</v>
      </c>
      <c r="L16" s="125">
        <f t="shared" ca="1" si="4"/>
        <v>0.61499999999999999</v>
      </c>
      <c r="M16" s="125">
        <f t="shared" ca="1" si="4"/>
        <v>0.69</v>
      </c>
      <c r="N16" s="125">
        <f t="shared" ca="1" si="4"/>
        <v>0.67</v>
      </c>
      <c r="O16" s="125">
        <f t="shared" ca="1" si="4"/>
        <v>0.65</v>
      </c>
      <c r="P16" s="125">
        <f t="shared" ca="1" si="4"/>
        <v>0.64</v>
      </c>
      <c r="Q16" s="125">
        <f t="shared" ca="1" si="4"/>
        <v>0.63</v>
      </c>
      <c r="R16" s="125">
        <f t="shared" ca="1" si="4"/>
        <v>0.61499999999999999</v>
      </c>
      <c r="S16" s="125">
        <f t="shared" ca="1" si="4"/>
        <v>0.59499999999999997</v>
      </c>
      <c r="T16" s="125">
        <f t="shared" ca="1" si="4"/>
        <v>0.59</v>
      </c>
      <c r="U16" s="125">
        <f t="shared" ca="1" si="4"/>
        <v>0.58499999999999996</v>
      </c>
      <c r="V16" s="125">
        <f t="shared" ca="1" si="4"/>
        <v>0.57999999999999996</v>
      </c>
      <c r="W16" s="125">
        <f t="shared" ca="1" si="4"/>
        <v>0.57499999999999996</v>
      </c>
      <c r="X16" s="77">
        <f t="shared" ca="1" si="11"/>
        <v>4.3971937840254771E-3</v>
      </c>
      <c r="Y16" s="77">
        <f t="shared" ca="1" si="12"/>
        <v>3.0100540752593385E-3</v>
      </c>
      <c r="Z16" s="125">
        <f t="shared" ca="1" si="13"/>
        <v>0.59432773109243753</v>
      </c>
      <c r="AA16" s="77" t="b">
        <f t="shared" ca="1" si="14"/>
        <v>0</v>
      </c>
      <c r="AB16" s="77"/>
      <c r="AC16" s="184">
        <f ca="1">BA16-2</f>
        <v>11</v>
      </c>
      <c r="AD16" s="181">
        <f t="shared" si="5"/>
        <v>43840</v>
      </c>
      <c r="AE16" s="190">
        <v>43100</v>
      </c>
      <c r="AF16" s="186">
        <f t="shared" si="6"/>
        <v>740</v>
      </c>
      <c r="AG16" s="187">
        <f t="shared" si="15"/>
        <v>2.0273972602739727</v>
      </c>
      <c r="AH16" s="187">
        <f t="shared" ca="1" si="7"/>
        <v>13.027397260273972</v>
      </c>
      <c r="AI16" s="188">
        <f t="shared" ca="1" si="8"/>
        <v>7.0367706500999994E-3</v>
      </c>
      <c r="AN16" t="b">
        <f t="shared" ca="1" si="9"/>
        <v>1</v>
      </c>
      <c r="AO16" t="b">
        <f t="shared" ca="1" si="9"/>
        <v>1</v>
      </c>
      <c r="AP16" t="b">
        <f t="shared" ca="1" si="9"/>
        <v>1</v>
      </c>
      <c r="AQ16" t="b">
        <f t="shared" ca="1" si="9"/>
        <v>1</v>
      </c>
      <c r="AR16" t="b">
        <f t="shared" ca="1" si="9"/>
        <v>1</v>
      </c>
      <c r="AS16" t="b">
        <f t="shared" ca="1" si="9"/>
        <v>1</v>
      </c>
      <c r="AT16" t="b">
        <f t="shared" ca="1" si="9"/>
        <v>1</v>
      </c>
      <c r="AU16" t="b">
        <f t="shared" ca="1" si="9"/>
        <v>1</v>
      </c>
      <c r="AV16" t="b">
        <f t="shared" ca="1" si="9"/>
        <v>1</v>
      </c>
      <c r="AW16" t="b">
        <f t="shared" ca="1" si="9"/>
        <v>1</v>
      </c>
      <c r="AX16" t="b">
        <f t="shared" ca="1" si="9"/>
        <v>1</v>
      </c>
      <c r="AY16" t="b">
        <f t="shared" ca="1" si="9"/>
        <v>1</v>
      </c>
      <c r="AZ16" t="b">
        <f t="shared" ca="1" si="9"/>
        <v>1</v>
      </c>
      <c r="BA16">
        <f t="shared" ca="1" si="16"/>
        <v>13</v>
      </c>
      <c r="BB16">
        <f t="shared" ca="1" si="17"/>
        <v>19</v>
      </c>
    </row>
    <row r="17" spans="1:54" x14ac:dyDescent="0.25">
      <c r="A17" s="44" t="s">
        <v>188</v>
      </c>
      <c r="B17" s="110">
        <f t="shared" ca="1" si="2"/>
        <v>39</v>
      </c>
      <c r="C17" s="1">
        <f ca="1">IF(ISERROR(D17),"",IF(D17="","",MAX($C$12:C16)+1))</f>
        <v>5</v>
      </c>
      <c r="D17" t="str">
        <f t="shared" ca="1" si="3"/>
        <v>Middlesex Water</v>
      </c>
      <c r="E17" s="15"/>
      <c r="F17" s="125">
        <f t="shared" ca="1" si="10"/>
        <v>0.81629411764705884</v>
      </c>
      <c r="G17" s="125">
        <f>IFERROR(IF(VLOOKUP($A17,'2022 Data (WP)'!$D$9:$AA$70,9,FALSE)=0,"",VLOOKUP($A17,'2022 Data (WP)'!$D$9:$AA$70,9,FALSE)),"N/A")</f>
        <v>1.18</v>
      </c>
      <c r="H17" s="125">
        <f>IFERROR(IF(VLOOKUP($A17,'2021 Data (WP)'!$D$9:$AA$70,9,FALSE)=0,"",VLOOKUP($A17,'2021 Data (WP)'!$D$9:$AA$70,9,FALSE)),"N/A")</f>
        <v>1.1100000000000001</v>
      </c>
      <c r="I17" s="125">
        <f>IFERROR(IF(VLOOKUP($A17,'2020 Data (WP)'!$D$9:$AA$70,9,FALSE)=0,"",VLOOKUP($A17,'2020 Data (WP)'!$D$9:$AA$70,9,FALSE)),"N/A")</f>
        <v>1.04</v>
      </c>
      <c r="J17" s="125">
        <f t="shared" si="18"/>
        <v>0.98</v>
      </c>
      <c r="K17" s="125">
        <f t="shared" ca="1" si="4"/>
        <v>0.74299999999999999</v>
      </c>
      <c r="L17" s="125">
        <f t="shared" ca="1" si="4"/>
        <v>0.73299999999999998</v>
      </c>
      <c r="M17" s="125">
        <f t="shared" ca="1" si="4"/>
        <v>0.80800000000000005</v>
      </c>
      <c r="N17" s="125">
        <f t="shared" ca="1" si="4"/>
        <v>0.77600000000000002</v>
      </c>
      <c r="O17" s="125">
        <f t="shared" ca="1" si="4"/>
        <v>0.76300000000000001</v>
      </c>
      <c r="P17" s="125">
        <f t="shared" ca="1" si="4"/>
        <v>0.753</v>
      </c>
      <c r="Q17" s="125">
        <f t="shared" ca="1" si="4"/>
        <v>0.74299999999999999</v>
      </c>
      <c r="R17" s="125">
        <f t="shared" ca="1" si="4"/>
        <v>0.73299999999999998</v>
      </c>
      <c r="S17" s="125">
        <f t="shared" ca="1" si="4"/>
        <v>0.72299999999999998</v>
      </c>
      <c r="T17" s="125">
        <f t="shared" ca="1" si="4"/>
        <v>0.71299999999999997</v>
      </c>
      <c r="U17" s="125">
        <f t="shared" ca="1" si="4"/>
        <v>0.70299999999999996</v>
      </c>
      <c r="V17" s="125">
        <f t="shared" ca="1" si="4"/>
        <v>0.69299999999999995</v>
      </c>
      <c r="W17" s="125">
        <f t="shared" ca="1" si="4"/>
        <v>0.68300000000000005</v>
      </c>
      <c r="X17" s="77">
        <f t="shared" ca="1" si="11"/>
        <v>2.0967672271219318E-3</v>
      </c>
      <c r="Y17" s="77">
        <f t="shared" ca="1" si="12"/>
        <v>1.2495509233769742E-3</v>
      </c>
      <c r="Z17" s="125">
        <f t="shared" ca="1" si="13"/>
        <v>0.69244674965421837</v>
      </c>
      <c r="AA17" s="77" t="b">
        <f t="shared" ca="1" si="14"/>
        <v>0</v>
      </c>
      <c r="AB17" s="77"/>
      <c r="AC17" s="184">
        <v>11</v>
      </c>
      <c r="AD17" s="181">
        <f t="shared" si="5"/>
        <v>43840</v>
      </c>
      <c r="AE17" s="190">
        <v>43100</v>
      </c>
      <c r="AF17" s="186">
        <f t="shared" si="6"/>
        <v>740</v>
      </c>
      <c r="AG17" s="187">
        <f t="shared" si="15"/>
        <v>2.0273972602739727</v>
      </c>
      <c r="AH17" s="187">
        <f t="shared" si="7"/>
        <v>13.027397260273972</v>
      </c>
      <c r="AI17" s="188">
        <f t="shared" ca="1" si="8"/>
        <v>6.4843255586730653E-3</v>
      </c>
      <c r="AN17" t="b">
        <f t="shared" ca="1" si="9"/>
        <v>1</v>
      </c>
      <c r="AO17" t="b">
        <f t="shared" ca="1" si="9"/>
        <v>1</v>
      </c>
      <c r="AP17" t="b">
        <f t="shared" ca="1" si="9"/>
        <v>1</v>
      </c>
      <c r="AQ17" t="b">
        <f t="shared" ca="1" si="9"/>
        <v>1</v>
      </c>
      <c r="AR17" t="b">
        <f t="shared" ca="1" si="9"/>
        <v>1</v>
      </c>
      <c r="AS17" t="b">
        <f t="shared" ca="1" si="9"/>
        <v>1</v>
      </c>
      <c r="AT17" t="b">
        <f t="shared" ca="1" si="9"/>
        <v>1</v>
      </c>
      <c r="AU17" t="b">
        <f t="shared" ca="1" si="9"/>
        <v>1</v>
      </c>
      <c r="AV17" t="b">
        <f t="shared" ca="1" si="9"/>
        <v>1</v>
      </c>
      <c r="AW17" t="b">
        <f t="shared" ca="1" si="9"/>
        <v>1</v>
      </c>
      <c r="AX17" t="b">
        <f t="shared" ca="1" si="9"/>
        <v>1</v>
      </c>
      <c r="AY17" t="b">
        <f t="shared" ca="1" si="9"/>
        <v>1</v>
      </c>
      <c r="AZ17" t="b">
        <f t="shared" ca="1" si="9"/>
        <v>1</v>
      </c>
      <c r="BA17">
        <f t="shared" ca="1" si="16"/>
        <v>13</v>
      </c>
      <c r="BB17">
        <f t="shared" ca="1" si="17"/>
        <v>19</v>
      </c>
    </row>
    <row r="18" spans="1:54" x14ac:dyDescent="0.25">
      <c r="A18" s="44" t="s">
        <v>196</v>
      </c>
      <c r="B18" s="110">
        <f t="shared" ca="1" si="2"/>
        <v>57</v>
      </c>
      <c r="C18" s="1">
        <f ca="1">IF(ISERROR(D18),"",IF(D18="","",MAX($C$12:C17)+1))</f>
        <v>6</v>
      </c>
      <c r="D18" t="str">
        <f t="shared" ca="1" si="3"/>
        <v>SJW Corp.</v>
      </c>
      <c r="E18" s="15"/>
      <c r="F18" s="125">
        <f t="shared" ca="1" si="10"/>
        <v>0.84147058823529408</v>
      </c>
      <c r="G18" s="125">
        <f>IFERROR(IF(VLOOKUP($A18,'2022 Data (WP)'!$D$9:$AA$70,9,FALSE)=0,"",VLOOKUP($A18,'2022 Data (WP)'!$D$9:$AA$70,9,FALSE)),"N/A")</f>
        <v>1.44</v>
      </c>
      <c r="H18" s="125">
        <f>IFERROR(IF(VLOOKUP($A18,'2021 Data (WP)'!$D$9:$AA$70,9,FALSE)=0,"",VLOOKUP($A18,'2021 Data (WP)'!$D$9:$AA$70,9,FALSE)),"N/A")</f>
        <v>1.36</v>
      </c>
      <c r="I18" s="125">
        <f>IFERROR(IF(VLOOKUP($A18,'2020 Data (WP)'!$D$9:$AA$70,9,FALSE)=0,"",VLOOKUP($A18,'2020 Data (WP)'!$D$9:$AA$70,9,FALSE)),"N/A")</f>
        <v>1.28</v>
      </c>
      <c r="J18" s="125">
        <f t="shared" si="18"/>
        <v>1.2</v>
      </c>
      <c r="K18" s="125">
        <f t="shared" ca="1" si="4"/>
        <v>0.71</v>
      </c>
      <c r="L18" s="125">
        <f t="shared" ca="1" si="4"/>
        <v>0.69</v>
      </c>
      <c r="M18" s="125">
        <f t="shared" ca="1" si="4"/>
        <v>0.81</v>
      </c>
      <c r="N18" s="125">
        <f t="shared" ca="1" si="4"/>
        <v>0.78</v>
      </c>
      <c r="O18" s="125">
        <f t="shared" ca="1" si="4"/>
        <v>0.75</v>
      </c>
      <c r="P18" s="125">
        <f t="shared" ca="1" si="4"/>
        <v>0.73</v>
      </c>
      <c r="Q18" s="125">
        <f t="shared" ca="1" si="4"/>
        <v>0.71</v>
      </c>
      <c r="R18" s="125">
        <f t="shared" ca="1" si="4"/>
        <v>0.69</v>
      </c>
      <c r="S18" s="125">
        <f t="shared" ca="1" si="4"/>
        <v>0.68</v>
      </c>
      <c r="T18" s="125">
        <f t="shared" ca="1" si="4"/>
        <v>0.66</v>
      </c>
      <c r="U18" s="125">
        <f t="shared" ca="1" si="4"/>
        <v>0.64500000000000002</v>
      </c>
      <c r="V18" s="125">
        <f t="shared" ca="1" si="4"/>
        <v>0.60499999999999998</v>
      </c>
      <c r="W18" s="125">
        <f t="shared" ca="1" si="4"/>
        <v>0.56499999999999995</v>
      </c>
      <c r="X18" s="77">
        <f t="shared" ca="1" si="11"/>
        <v>3.3194494145902809E-3</v>
      </c>
      <c r="Y18" s="77">
        <f t="shared" ca="1" si="12"/>
        <v>1.3280446550623104E-3</v>
      </c>
      <c r="Z18" s="125">
        <f ca="1">+O18*(1+Y18)^3</f>
        <v>0.75299207056146011</v>
      </c>
      <c r="AA18" s="77" t="b">
        <f t="shared" ca="1" si="14"/>
        <v>0</v>
      </c>
      <c r="AB18" s="77"/>
      <c r="AC18" s="184">
        <f t="shared" ref="AC18:AC32" ca="1" si="19">BA18-2</f>
        <v>11</v>
      </c>
      <c r="AD18" s="181">
        <f t="shared" si="5"/>
        <v>43840</v>
      </c>
      <c r="AE18" s="190">
        <v>43100</v>
      </c>
      <c r="AF18" s="186">
        <f t="shared" si="6"/>
        <v>740</v>
      </c>
      <c r="AG18" s="187">
        <f t="shared" si="15"/>
        <v>2.0273972602739727</v>
      </c>
      <c r="AH18" s="187">
        <f t="shared" ca="1" si="7"/>
        <v>13.027397260273972</v>
      </c>
      <c r="AI18" s="188">
        <f t="shared" ca="1" si="8"/>
        <v>1.7689939699669699E-2</v>
      </c>
      <c r="AN18" t="b">
        <f t="shared" ca="1" si="9"/>
        <v>1</v>
      </c>
      <c r="AO18" t="b">
        <f t="shared" ca="1" si="9"/>
        <v>1</v>
      </c>
      <c r="AP18" t="b">
        <f t="shared" ca="1" si="9"/>
        <v>1</v>
      </c>
      <c r="AQ18" t="b">
        <f t="shared" ca="1" si="9"/>
        <v>1</v>
      </c>
      <c r="AR18" t="b">
        <f t="shared" ca="1" si="9"/>
        <v>1</v>
      </c>
      <c r="AS18" t="b">
        <f t="shared" ca="1" si="9"/>
        <v>1</v>
      </c>
      <c r="AT18" t="b">
        <f t="shared" ca="1" si="9"/>
        <v>1</v>
      </c>
      <c r="AU18" t="b">
        <f t="shared" ca="1" si="9"/>
        <v>1</v>
      </c>
      <c r="AV18" t="b">
        <f t="shared" ca="1" si="9"/>
        <v>1</v>
      </c>
      <c r="AW18" t="b">
        <f t="shared" ca="1" si="9"/>
        <v>1</v>
      </c>
      <c r="AX18" t="b">
        <f t="shared" ca="1" si="9"/>
        <v>1</v>
      </c>
      <c r="AY18" t="b">
        <f t="shared" ca="1" si="9"/>
        <v>1</v>
      </c>
      <c r="AZ18" t="b">
        <f t="shared" ca="1" si="9"/>
        <v>1</v>
      </c>
      <c r="BA18">
        <f t="shared" ca="1" si="16"/>
        <v>13</v>
      </c>
      <c r="BB18">
        <f t="shared" ca="1" si="17"/>
        <v>19</v>
      </c>
    </row>
    <row r="19" spans="1:54" hidden="1" x14ac:dyDescent="0.25">
      <c r="A19" s="44"/>
      <c r="B19" s="110" t="str">
        <f t="shared" ca="1" si="2"/>
        <v/>
      </c>
      <c r="C19" s="1" t="str">
        <f>IF(ISERROR(D19),"",IF(D19="","",MAX($C$12:C18)+1))</f>
        <v/>
      </c>
      <c r="D19" t="e">
        <f t="shared" si="3"/>
        <v>#N/A</v>
      </c>
      <c r="E19" s="15"/>
      <c r="F19" s="125" t="str">
        <f t="shared" ca="1" si="10"/>
        <v>N/A</v>
      </c>
      <c r="G19" s="125" t="str">
        <f>IFERROR(IF(VLOOKUP($A19,'2022 Data (WP)'!$D$9:$AA$70,9,FALSE)=0,"",VLOOKUP($A19,'2022 Data (WP)'!$D$9:$AA$70,9,FALSE)),"N/A")</f>
        <v>N/A</v>
      </c>
      <c r="H19" s="125" t="str">
        <f>IFERROR(IF(VLOOKUP($A19,'2021 Data (WP)'!$D$9:$AA$70,9,FALSE)=0,"",VLOOKUP($A19,'2021 Data (WP)'!$D$9:$AA$70,9,FALSE)),"N/A")</f>
        <v>N/A</v>
      </c>
      <c r="I19" s="125" t="str">
        <f>IFERROR(IF(VLOOKUP($A19,'2020 Data (WP)'!$D$9:$AA$70,9,FALSE)=0,"",VLOOKUP($A19,'2020 Data (WP)'!$D$9:$AA$70,9,FALSE)),"N/A")</f>
        <v>N/A</v>
      </c>
      <c r="J19" s="125" t="str">
        <f t="shared" si="18"/>
        <v>N/A</v>
      </c>
      <c r="K19" s="125" t="str">
        <f t="shared" ca="1" si="4"/>
        <v>N/A</v>
      </c>
      <c r="L19" s="125" t="str">
        <f t="shared" ca="1" si="4"/>
        <v>N/A</v>
      </c>
      <c r="M19" s="125" t="str">
        <f t="shared" ca="1" si="4"/>
        <v>N/A</v>
      </c>
      <c r="N19" s="125" t="str">
        <f t="shared" ca="1" si="4"/>
        <v>N/A</v>
      </c>
      <c r="O19" s="125" t="str">
        <f t="shared" ca="1" si="4"/>
        <v>N/A</v>
      </c>
      <c r="P19" s="125" t="str">
        <f t="shared" ca="1" si="4"/>
        <v>N/A</v>
      </c>
      <c r="Q19" s="125" t="str">
        <f t="shared" ca="1" si="4"/>
        <v>N/A</v>
      </c>
      <c r="R19" s="125" t="str">
        <f t="shared" ca="1" si="4"/>
        <v>N/A</v>
      </c>
      <c r="S19" s="125" t="str">
        <f t="shared" ca="1" si="4"/>
        <v>N/A</v>
      </c>
      <c r="T19" s="125" t="str">
        <f t="shared" ca="1" si="4"/>
        <v>N/A</v>
      </c>
      <c r="U19" s="125" t="str">
        <f t="shared" ca="1" si="4"/>
        <v>N/A</v>
      </c>
      <c r="V19" s="125" t="str">
        <f t="shared" ca="1" si="4"/>
        <v>N/A</v>
      </c>
      <c r="W19" s="125" t="str">
        <f t="shared" ca="1" si="4"/>
        <v>N/A</v>
      </c>
      <c r="X19" s="77" t="str">
        <f t="shared" ca="1" si="11"/>
        <v>N/A</v>
      </c>
      <c r="Y19" s="77" t="str">
        <f t="shared" ca="1" si="12"/>
        <v>N/A</v>
      </c>
      <c r="Z19" s="125" t="e">
        <f t="shared" ca="1" si="13"/>
        <v>#VALUE!</v>
      </c>
      <c r="AA19" s="77" t="e">
        <f t="shared" ca="1" si="14"/>
        <v>#VALUE!</v>
      </c>
      <c r="AB19" s="77"/>
      <c r="AC19" s="184">
        <f t="shared" ca="1" si="19"/>
        <v>-1</v>
      </c>
      <c r="AD19" s="181" t="str">
        <f t="shared" si="5"/>
        <v>N/A</v>
      </c>
      <c r="AE19" s="190">
        <v>43100</v>
      </c>
      <c r="AF19" s="186" t="e">
        <f t="shared" si="6"/>
        <v>#VALUE!</v>
      </c>
      <c r="AG19" s="187" t="e">
        <f t="shared" si="15"/>
        <v>#VALUE!</v>
      </c>
      <c r="AH19" s="187" t="e">
        <f t="shared" ca="1" si="7"/>
        <v>#VALUE!</v>
      </c>
      <c r="AI19" s="188" t="e">
        <f t="shared" ca="1" si="8"/>
        <v>#VALUE!</v>
      </c>
      <c r="AN19" t="b">
        <f t="shared" ca="1" si="9"/>
        <v>0</v>
      </c>
      <c r="AO19" t="b">
        <f t="shared" ca="1" si="9"/>
        <v>0</v>
      </c>
      <c r="AP19" t="b">
        <f t="shared" ca="1" si="9"/>
        <v>0</v>
      </c>
      <c r="AQ19" t="b">
        <f t="shared" ca="1" si="9"/>
        <v>0</v>
      </c>
      <c r="AR19" t="b">
        <f t="shared" ca="1" si="9"/>
        <v>0</v>
      </c>
      <c r="AS19" t="b">
        <f t="shared" ca="1" si="9"/>
        <v>0</v>
      </c>
      <c r="AT19" t="b">
        <f t="shared" ca="1" si="9"/>
        <v>0</v>
      </c>
      <c r="AU19" t="b">
        <f t="shared" ca="1" si="9"/>
        <v>0</v>
      </c>
      <c r="AV19" t="b">
        <f t="shared" ca="1" si="9"/>
        <v>0</v>
      </c>
      <c r="AW19" t="b">
        <f t="shared" ca="1" si="9"/>
        <v>0</v>
      </c>
      <c r="AX19" t="b">
        <f t="shared" ca="1" si="9"/>
        <v>0</v>
      </c>
      <c r="AY19" t="b">
        <f t="shared" ca="1" si="9"/>
        <v>0</v>
      </c>
      <c r="AZ19" t="b">
        <f t="shared" ca="1" si="9"/>
        <v>0</v>
      </c>
      <c r="BA19">
        <f t="shared" ca="1" si="16"/>
        <v>1</v>
      </c>
      <c r="BB19">
        <f t="shared" ca="1" si="17"/>
        <v>7</v>
      </c>
    </row>
    <row r="20" spans="1:54" hidden="1" x14ac:dyDescent="0.25">
      <c r="A20" s="44"/>
      <c r="B20" s="110" t="str">
        <f t="shared" ca="1" si="2"/>
        <v/>
      </c>
      <c r="C20" s="1" t="str">
        <f>IF(ISERROR(D20),"",IF(D20="","",MAX($C$12:C19)+1))</f>
        <v/>
      </c>
      <c r="D20" t="e">
        <f t="shared" si="3"/>
        <v>#N/A</v>
      </c>
      <c r="E20" s="15"/>
      <c r="F20" s="125" t="str">
        <f t="shared" ca="1" si="10"/>
        <v>N/A</v>
      </c>
      <c r="G20" s="125" t="str">
        <f>IFERROR(IF(VLOOKUP($A20,'2022 Data (WP)'!$D$9:$AA$70,9,FALSE)=0,"",VLOOKUP($A20,'2022 Data (WP)'!$D$9:$AA$70,9,FALSE)),"N/A")</f>
        <v>N/A</v>
      </c>
      <c r="H20" s="125" t="str">
        <f>IFERROR(IF(VLOOKUP($A20,'2021 Data (WP)'!$D$9:$AA$70,9,FALSE)=0,"",VLOOKUP($A20,'2021 Data (WP)'!$D$9:$AA$70,9,FALSE)),"N/A")</f>
        <v>N/A</v>
      </c>
      <c r="I20" s="125" t="str">
        <f>IFERROR(IF(VLOOKUP($A20,'2020 Data (WP)'!$D$9:$AA$70,9,FALSE)=0,"",VLOOKUP($A20,'2020 Data (WP)'!$D$9:$AA$70,9,FALSE)),"N/A")</f>
        <v>N/A</v>
      </c>
      <c r="J20" s="125" t="str">
        <f t="shared" si="18"/>
        <v>N/A</v>
      </c>
      <c r="K20" s="125" t="str">
        <f t="shared" ca="1" si="4"/>
        <v>N/A</v>
      </c>
      <c r="L20" s="125" t="str">
        <f t="shared" ca="1" si="4"/>
        <v>N/A</v>
      </c>
      <c r="M20" s="125" t="str">
        <f t="shared" ca="1" si="4"/>
        <v>N/A</v>
      </c>
      <c r="N20" s="125" t="str">
        <f t="shared" ca="1" si="4"/>
        <v>N/A</v>
      </c>
      <c r="O20" s="125" t="str">
        <f t="shared" ca="1" si="4"/>
        <v>N/A</v>
      </c>
      <c r="P20" s="125" t="str">
        <f t="shared" ca="1" si="4"/>
        <v>N/A</v>
      </c>
      <c r="Q20" s="125" t="str">
        <f t="shared" ca="1" si="4"/>
        <v>N/A</v>
      </c>
      <c r="R20" s="125" t="str">
        <f t="shared" ca="1" si="4"/>
        <v>N/A</v>
      </c>
      <c r="S20" s="125" t="str">
        <f t="shared" ca="1" si="4"/>
        <v>N/A</v>
      </c>
      <c r="T20" s="125" t="str">
        <f t="shared" ca="1" si="4"/>
        <v>N/A</v>
      </c>
      <c r="U20" s="125" t="str">
        <f t="shared" ca="1" si="4"/>
        <v>N/A</v>
      </c>
      <c r="V20" s="125" t="str">
        <f t="shared" ca="1" si="4"/>
        <v>N/A</v>
      </c>
      <c r="W20" s="125" t="str">
        <f t="shared" ca="1" si="4"/>
        <v>N/A</v>
      </c>
      <c r="X20" s="77" t="str">
        <f t="shared" ca="1" si="11"/>
        <v>N/A</v>
      </c>
      <c r="Y20" s="77" t="str">
        <f t="shared" ca="1" si="12"/>
        <v>N/A</v>
      </c>
      <c r="Z20" s="125" t="e">
        <f t="shared" ca="1" si="13"/>
        <v>#VALUE!</v>
      </c>
      <c r="AA20" s="77" t="e">
        <f t="shared" ca="1" si="14"/>
        <v>#VALUE!</v>
      </c>
      <c r="AB20" s="77"/>
      <c r="AC20" s="184">
        <f t="shared" ca="1" si="19"/>
        <v>-1</v>
      </c>
      <c r="AD20" s="181" t="str">
        <f t="shared" si="5"/>
        <v>N/A</v>
      </c>
      <c r="AE20" s="190">
        <v>43100</v>
      </c>
      <c r="AF20" s="186" t="e">
        <f t="shared" si="6"/>
        <v>#VALUE!</v>
      </c>
      <c r="AG20" s="187" t="e">
        <f t="shared" si="15"/>
        <v>#VALUE!</v>
      </c>
      <c r="AH20" s="187" t="e">
        <f t="shared" ca="1" si="7"/>
        <v>#VALUE!</v>
      </c>
      <c r="AI20" s="188" t="e">
        <f t="shared" ca="1" si="8"/>
        <v>#VALUE!</v>
      </c>
      <c r="AN20" t="b">
        <f t="shared" ca="1" si="9"/>
        <v>0</v>
      </c>
      <c r="AO20" t="b">
        <f t="shared" ca="1" si="9"/>
        <v>0</v>
      </c>
      <c r="AP20" t="b">
        <f t="shared" ca="1" si="9"/>
        <v>0</v>
      </c>
      <c r="AQ20" t="b">
        <f t="shared" ca="1" si="9"/>
        <v>0</v>
      </c>
      <c r="AR20" t="b">
        <f t="shared" ca="1" si="9"/>
        <v>0</v>
      </c>
      <c r="AS20" t="b">
        <f t="shared" ca="1" si="9"/>
        <v>0</v>
      </c>
      <c r="AT20" t="b">
        <f t="shared" ca="1" si="9"/>
        <v>0</v>
      </c>
      <c r="AU20" t="b">
        <f t="shared" ca="1" si="9"/>
        <v>0</v>
      </c>
      <c r="AV20" t="b">
        <f t="shared" ca="1" si="9"/>
        <v>0</v>
      </c>
      <c r="AW20" t="b">
        <f t="shared" ca="1" si="9"/>
        <v>0</v>
      </c>
      <c r="AX20" t="b">
        <f t="shared" ca="1" si="9"/>
        <v>0</v>
      </c>
      <c r="AY20" t="b">
        <f t="shared" ca="1" si="9"/>
        <v>0</v>
      </c>
      <c r="AZ20" t="b">
        <f t="shared" ca="1" si="9"/>
        <v>0</v>
      </c>
      <c r="BA20">
        <f t="shared" ca="1" si="16"/>
        <v>1</v>
      </c>
      <c r="BB20">
        <f t="shared" ca="1" si="17"/>
        <v>7</v>
      </c>
    </row>
    <row r="21" spans="1:54" hidden="1" x14ac:dyDescent="0.25">
      <c r="A21" s="44"/>
      <c r="B21" s="110" t="str">
        <f t="shared" ca="1" si="2"/>
        <v/>
      </c>
      <c r="C21" s="1" t="str">
        <f>IF(ISERROR(D21),"",IF(D21="","",MAX($C$12:C20)+1))</f>
        <v/>
      </c>
      <c r="D21" t="e">
        <f t="shared" si="3"/>
        <v>#N/A</v>
      </c>
      <c r="E21" s="15"/>
      <c r="F21" s="125" t="str">
        <f t="shared" ca="1" si="10"/>
        <v>N/A</v>
      </c>
      <c r="G21" s="125"/>
      <c r="H21" s="125"/>
      <c r="I21" s="125"/>
      <c r="J21" s="125" t="str">
        <f t="shared" si="18"/>
        <v>N/A</v>
      </c>
      <c r="K21" s="125" t="str">
        <f t="shared" ca="1" si="4"/>
        <v>N/A</v>
      </c>
      <c r="L21" s="125" t="str">
        <f t="shared" ca="1" si="4"/>
        <v>N/A</v>
      </c>
      <c r="M21" s="125" t="str">
        <f t="shared" ca="1" si="4"/>
        <v>N/A</v>
      </c>
      <c r="N21" s="125" t="str">
        <f t="shared" ca="1" si="4"/>
        <v>N/A</v>
      </c>
      <c r="O21" s="125" t="str">
        <f t="shared" ca="1" si="4"/>
        <v>N/A</v>
      </c>
      <c r="P21" s="125" t="str">
        <f t="shared" ca="1" si="4"/>
        <v>N/A</v>
      </c>
      <c r="Q21" s="125" t="str">
        <f t="shared" ca="1" si="4"/>
        <v>N/A</v>
      </c>
      <c r="R21" s="125" t="str">
        <f t="shared" ca="1" si="4"/>
        <v>N/A</v>
      </c>
      <c r="S21" s="125" t="str">
        <f t="shared" ca="1" si="4"/>
        <v>N/A</v>
      </c>
      <c r="T21" s="125" t="str">
        <f t="shared" ca="1" si="4"/>
        <v>N/A</v>
      </c>
      <c r="U21" s="125" t="str">
        <f t="shared" ca="1" si="4"/>
        <v>N/A</v>
      </c>
      <c r="V21" s="125" t="str">
        <f t="shared" ca="1" si="4"/>
        <v>N/A</v>
      </c>
      <c r="W21" s="125" t="str">
        <f t="shared" ca="1" si="4"/>
        <v>N/A</v>
      </c>
      <c r="X21" s="77" t="str">
        <f t="shared" ca="1" si="11"/>
        <v>N/A</v>
      </c>
      <c r="Y21" s="77" t="str">
        <f t="shared" ca="1" si="12"/>
        <v>N/A</v>
      </c>
      <c r="Z21" s="125" t="e">
        <f t="shared" ca="1" si="13"/>
        <v>#VALUE!</v>
      </c>
      <c r="AA21" s="77" t="e">
        <f t="shared" ca="1" si="14"/>
        <v>#VALUE!</v>
      </c>
      <c r="AB21" s="77"/>
      <c r="AC21" s="184">
        <f t="shared" ca="1" si="19"/>
        <v>-1</v>
      </c>
      <c r="AD21" s="181" t="str">
        <f t="shared" si="5"/>
        <v>N/A</v>
      </c>
      <c r="AE21" s="190">
        <v>43100</v>
      </c>
      <c r="AF21" s="186" t="e">
        <f t="shared" si="6"/>
        <v>#VALUE!</v>
      </c>
      <c r="AG21" s="187" t="e">
        <f t="shared" si="15"/>
        <v>#VALUE!</v>
      </c>
      <c r="AH21" s="187" t="e">
        <f t="shared" ca="1" si="7"/>
        <v>#VALUE!</v>
      </c>
      <c r="AI21" s="188" t="e">
        <f t="shared" ca="1" si="8"/>
        <v>#VALUE!</v>
      </c>
      <c r="AN21" t="b">
        <f t="shared" ca="1" si="9"/>
        <v>0</v>
      </c>
      <c r="AO21" t="b">
        <f t="shared" ca="1" si="9"/>
        <v>0</v>
      </c>
      <c r="AP21" t="b">
        <f t="shared" ca="1" si="9"/>
        <v>0</v>
      </c>
      <c r="AQ21" t="b">
        <f t="shared" ca="1" si="9"/>
        <v>0</v>
      </c>
      <c r="AR21" t="b">
        <f t="shared" ca="1" si="9"/>
        <v>0</v>
      </c>
      <c r="AS21" t="b">
        <f t="shared" ca="1" si="9"/>
        <v>0</v>
      </c>
      <c r="AT21" t="b">
        <f t="shared" ca="1" si="9"/>
        <v>0</v>
      </c>
      <c r="AU21" t="b">
        <f t="shared" ca="1" si="9"/>
        <v>0</v>
      </c>
      <c r="AV21" t="b">
        <f t="shared" ca="1" si="9"/>
        <v>0</v>
      </c>
      <c r="AW21" t="b">
        <f t="shared" ca="1" si="9"/>
        <v>0</v>
      </c>
      <c r="AX21" t="b">
        <f t="shared" ca="1" si="9"/>
        <v>0</v>
      </c>
      <c r="AY21" t="b">
        <f t="shared" ca="1" si="9"/>
        <v>0</v>
      </c>
      <c r="AZ21" t="b">
        <f t="shared" ca="1" si="9"/>
        <v>0</v>
      </c>
      <c r="BA21">
        <f t="shared" ca="1" si="16"/>
        <v>1</v>
      </c>
      <c r="BB21">
        <f t="shared" ca="1" si="17"/>
        <v>7</v>
      </c>
    </row>
    <row r="22" spans="1:54" hidden="1" x14ac:dyDescent="0.25">
      <c r="A22" s="44"/>
      <c r="B22" s="110" t="str">
        <f t="shared" ca="1" si="2"/>
        <v/>
      </c>
      <c r="C22" s="1" t="str">
        <f>IF(ISERROR(D22),"",IF(D22="","",MAX($C$12:C21)+1))</f>
        <v/>
      </c>
      <c r="D22" t="e">
        <f t="shared" si="3"/>
        <v>#N/A</v>
      </c>
      <c r="E22" s="15"/>
      <c r="F22" s="125" t="str">
        <f t="shared" ca="1" si="10"/>
        <v>N/A</v>
      </c>
      <c r="G22" s="125"/>
      <c r="H22" s="125"/>
      <c r="I22" s="125"/>
      <c r="J22" s="125" t="str">
        <f t="shared" si="18"/>
        <v>N/A</v>
      </c>
      <c r="K22" s="125" t="str">
        <f t="shared" ca="1" si="4"/>
        <v>N/A</v>
      </c>
      <c r="L22" s="125" t="str">
        <f t="shared" ca="1" si="4"/>
        <v>N/A</v>
      </c>
      <c r="M22" s="125" t="str">
        <f t="shared" ca="1" si="4"/>
        <v>N/A</v>
      </c>
      <c r="N22" s="125" t="str">
        <f t="shared" ca="1" si="4"/>
        <v>N/A</v>
      </c>
      <c r="O22" s="125" t="str">
        <f t="shared" ca="1" si="4"/>
        <v>N/A</v>
      </c>
      <c r="P22" s="125" t="str">
        <f t="shared" ca="1" si="4"/>
        <v>N/A</v>
      </c>
      <c r="Q22" s="125" t="str">
        <f t="shared" ca="1" si="4"/>
        <v>N/A</v>
      </c>
      <c r="R22" s="125" t="str">
        <f t="shared" ca="1" si="4"/>
        <v>N/A</v>
      </c>
      <c r="S22" s="125" t="str">
        <f t="shared" ca="1" si="4"/>
        <v>N/A</v>
      </c>
      <c r="T22" s="125" t="str">
        <f t="shared" ca="1" si="4"/>
        <v>N/A</v>
      </c>
      <c r="U22" s="125" t="str">
        <f t="shared" ca="1" si="4"/>
        <v>N/A</v>
      </c>
      <c r="V22" s="125" t="str">
        <f t="shared" ca="1" si="4"/>
        <v>N/A</v>
      </c>
      <c r="W22" s="125" t="str">
        <f t="shared" ca="1" si="4"/>
        <v>N/A</v>
      </c>
      <c r="X22" s="77" t="str">
        <f t="shared" ca="1" si="11"/>
        <v>N/A</v>
      </c>
      <c r="Y22" s="77" t="str">
        <f t="shared" ca="1" si="12"/>
        <v>N/A</v>
      </c>
      <c r="Z22" s="125" t="e">
        <f t="shared" ca="1" si="13"/>
        <v>#VALUE!</v>
      </c>
      <c r="AA22" s="77" t="e">
        <f t="shared" ca="1" si="14"/>
        <v>#VALUE!</v>
      </c>
      <c r="AB22" s="77"/>
      <c r="AC22" s="184">
        <f t="shared" ca="1" si="19"/>
        <v>-1</v>
      </c>
      <c r="AD22" s="181" t="str">
        <f t="shared" si="5"/>
        <v>N/A</v>
      </c>
      <c r="AE22" s="190">
        <v>43100</v>
      </c>
      <c r="AF22" s="186" t="e">
        <f t="shared" si="6"/>
        <v>#VALUE!</v>
      </c>
      <c r="AG22" s="187" t="e">
        <f t="shared" si="15"/>
        <v>#VALUE!</v>
      </c>
      <c r="AH22" s="187" t="e">
        <f t="shared" ca="1" si="7"/>
        <v>#VALUE!</v>
      </c>
      <c r="AI22" s="188" t="e">
        <f t="shared" ca="1" si="8"/>
        <v>#VALUE!</v>
      </c>
      <c r="AN22" t="b">
        <f t="shared" ca="1" si="9"/>
        <v>0</v>
      </c>
      <c r="AO22" t="b">
        <f t="shared" ca="1" si="9"/>
        <v>0</v>
      </c>
      <c r="AP22" t="b">
        <f t="shared" ca="1" si="9"/>
        <v>0</v>
      </c>
      <c r="AQ22" t="b">
        <f t="shared" ca="1" si="9"/>
        <v>0</v>
      </c>
      <c r="AR22" t="b">
        <f t="shared" ca="1" si="9"/>
        <v>0</v>
      </c>
      <c r="AS22" t="b">
        <f t="shared" ca="1" si="9"/>
        <v>0</v>
      </c>
      <c r="AT22" t="b">
        <f t="shared" ca="1" si="9"/>
        <v>0</v>
      </c>
      <c r="AU22" t="b">
        <f t="shared" ca="1" si="9"/>
        <v>0</v>
      </c>
      <c r="AV22" t="b">
        <f t="shared" ca="1" si="9"/>
        <v>0</v>
      </c>
      <c r="AW22" t="b">
        <f t="shared" ca="1" si="9"/>
        <v>0</v>
      </c>
      <c r="AX22" t="b">
        <f t="shared" ca="1" si="9"/>
        <v>0</v>
      </c>
      <c r="AY22" t="b">
        <f t="shared" ca="1" si="9"/>
        <v>0</v>
      </c>
      <c r="AZ22" t="b">
        <f t="shared" ca="1" si="9"/>
        <v>0</v>
      </c>
      <c r="BA22">
        <f t="shared" ca="1" si="16"/>
        <v>1</v>
      </c>
      <c r="BB22">
        <f t="shared" ca="1" si="17"/>
        <v>7</v>
      </c>
    </row>
    <row r="23" spans="1:54" hidden="1" x14ac:dyDescent="0.25">
      <c r="A23" s="44"/>
      <c r="B23" s="110" t="str">
        <f t="shared" ca="1" si="2"/>
        <v/>
      </c>
      <c r="C23" s="1" t="str">
        <f>IF(ISERROR(D23),"",IF(D23="","",MAX($C$12:C22)+1))</f>
        <v/>
      </c>
      <c r="D23" t="e">
        <f t="shared" si="3"/>
        <v>#N/A</v>
      </c>
      <c r="E23" s="15"/>
      <c r="F23" s="125" t="str">
        <f t="shared" ca="1" si="10"/>
        <v>N/A</v>
      </c>
      <c r="G23" s="125"/>
      <c r="H23" s="125"/>
      <c r="I23" s="125"/>
      <c r="J23" s="125" t="str">
        <f t="shared" si="18"/>
        <v>N/A</v>
      </c>
      <c r="K23" s="125" t="str">
        <f t="shared" ca="1" si="4"/>
        <v>N/A</v>
      </c>
      <c r="L23" s="125" t="str">
        <f t="shared" ca="1" si="4"/>
        <v>N/A</v>
      </c>
      <c r="M23" s="125" t="str">
        <f t="shared" ca="1" si="4"/>
        <v>N/A</v>
      </c>
      <c r="N23" s="125" t="str">
        <f t="shared" ca="1" si="4"/>
        <v>N/A</v>
      </c>
      <c r="O23" s="125" t="str">
        <f t="shared" ca="1" si="4"/>
        <v>N/A</v>
      </c>
      <c r="P23" s="125" t="str">
        <f t="shared" ca="1" si="4"/>
        <v>N/A</v>
      </c>
      <c r="Q23" s="125" t="str">
        <f t="shared" ca="1" si="4"/>
        <v>N/A</v>
      </c>
      <c r="R23" s="125" t="str">
        <f t="shared" ca="1" si="4"/>
        <v>N/A</v>
      </c>
      <c r="S23" s="125" t="str">
        <f t="shared" ca="1" si="4"/>
        <v>N/A</v>
      </c>
      <c r="T23" s="125" t="str">
        <f t="shared" ca="1" si="4"/>
        <v>N/A</v>
      </c>
      <c r="U23" s="125" t="str">
        <f t="shared" ca="1" si="4"/>
        <v>N/A</v>
      </c>
      <c r="V23" s="125" t="str">
        <f t="shared" ca="1" si="4"/>
        <v>N/A</v>
      </c>
      <c r="W23" s="125" t="str">
        <f t="shared" ca="1" si="4"/>
        <v>N/A</v>
      </c>
      <c r="X23" s="77" t="str">
        <f t="shared" ca="1" si="11"/>
        <v>N/A</v>
      </c>
      <c r="Y23" s="77" t="str">
        <f t="shared" ca="1" si="12"/>
        <v>N/A</v>
      </c>
      <c r="Z23" s="125" t="e">
        <f t="shared" ca="1" si="13"/>
        <v>#VALUE!</v>
      </c>
      <c r="AA23" s="77" t="e">
        <f t="shared" ca="1" si="14"/>
        <v>#VALUE!</v>
      </c>
      <c r="AB23" s="77"/>
      <c r="AC23" s="184">
        <f t="shared" ca="1" si="19"/>
        <v>-1</v>
      </c>
      <c r="AD23" s="181" t="str">
        <f t="shared" si="5"/>
        <v>N/A</v>
      </c>
      <c r="AE23" s="190">
        <v>43100</v>
      </c>
      <c r="AF23" s="186" t="e">
        <f t="shared" si="6"/>
        <v>#VALUE!</v>
      </c>
      <c r="AG23" s="187" t="e">
        <f t="shared" si="15"/>
        <v>#VALUE!</v>
      </c>
      <c r="AH23" s="187" t="e">
        <f t="shared" ca="1" si="7"/>
        <v>#VALUE!</v>
      </c>
      <c r="AI23" s="188" t="e">
        <f t="shared" ca="1" si="8"/>
        <v>#VALUE!</v>
      </c>
      <c r="AN23" t="b">
        <f t="shared" ca="1" si="9"/>
        <v>0</v>
      </c>
      <c r="AO23" t="b">
        <f t="shared" ca="1" si="9"/>
        <v>0</v>
      </c>
      <c r="AP23" t="b">
        <f t="shared" ca="1" si="9"/>
        <v>0</v>
      </c>
      <c r="AQ23" t="b">
        <f t="shared" ca="1" si="9"/>
        <v>0</v>
      </c>
      <c r="AR23" t="b">
        <f t="shared" ca="1" si="9"/>
        <v>0</v>
      </c>
      <c r="AS23" t="b">
        <f t="shared" ca="1" si="9"/>
        <v>0</v>
      </c>
      <c r="AT23" t="b">
        <f t="shared" ca="1" si="9"/>
        <v>0</v>
      </c>
      <c r="AU23" t="b">
        <f t="shared" ca="1" si="9"/>
        <v>0</v>
      </c>
      <c r="AV23" t="b">
        <f t="shared" ca="1" si="9"/>
        <v>0</v>
      </c>
      <c r="AW23" t="b">
        <f t="shared" ca="1" si="9"/>
        <v>0</v>
      </c>
      <c r="AX23" t="b">
        <f t="shared" ca="1" si="9"/>
        <v>0</v>
      </c>
      <c r="AY23" t="b">
        <f t="shared" ca="1" si="9"/>
        <v>0</v>
      </c>
      <c r="AZ23" t="b">
        <f t="shared" ca="1" si="9"/>
        <v>0</v>
      </c>
      <c r="BA23">
        <f t="shared" ca="1" si="16"/>
        <v>1</v>
      </c>
      <c r="BB23">
        <f t="shared" ca="1" si="17"/>
        <v>7</v>
      </c>
    </row>
    <row r="24" spans="1:54" hidden="1" x14ac:dyDescent="0.25">
      <c r="A24" s="44"/>
      <c r="B24" s="110" t="str">
        <f t="shared" ca="1" si="2"/>
        <v/>
      </c>
      <c r="C24" s="1" t="str">
        <f>IF(ISERROR(D24),"",IF(D24="","",MAX($C$12:C23)+1))</f>
        <v/>
      </c>
      <c r="D24" t="e">
        <f t="shared" si="3"/>
        <v>#N/A</v>
      </c>
      <c r="E24" s="15"/>
      <c r="F24" s="125" t="str">
        <f t="shared" ca="1" si="10"/>
        <v>N/A</v>
      </c>
      <c r="G24" s="125"/>
      <c r="H24" s="125"/>
      <c r="I24" s="125"/>
      <c r="J24" s="125" t="str">
        <f t="shared" si="18"/>
        <v>N/A</v>
      </c>
      <c r="K24" s="125" t="str">
        <f t="shared" ref="K24:K57" si="20">IFERROR(IF(VLOOKUP(A24,LUCurYr,9,FALSE)=0,"",VLOOKUP(A24,LUCurYr,9,FALSE)),"N/A")</f>
        <v>N/A</v>
      </c>
      <c r="L24" s="125" t="str">
        <f ca="1">IFERROR(IF(VLOOKUP($A24,LASTYR,'[3]2017'!$I$3,FALSE)=0,"N/A",VLOOKUP($A24,LASTYR,'[3]2017'!$I$3,FALSE)),"N/A")</f>
        <v>N/A</v>
      </c>
      <c r="M24" s="125" t="str">
        <f t="shared" ca="1" si="4"/>
        <v>N/A</v>
      </c>
      <c r="N24" s="125" t="str">
        <f t="shared" ca="1" si="4"/>
        <v>N/A</v>
      </c>
      <c r="O24" s="125" t="str">
        <f t="shared" ca="1" si="4"/>
        <v>N/A</v>
      </c>
      <c r="P24" s="125" t="str">
        <f t="shared" ca="1" si="4"/>
        <v>N/A</v>
      </c>
      <c r="Q24" s="125" t="str">
        <f t="shared" ca="1" si="4"/>
        <v>N/A</v>
      </c>
      <c r="R24" s="125" t="str">
        <f t="shared" ca="1" si="4"/>
        <v>N/A</v>
      </c>
      <c r="S24" s="125" t="str">
        <f t="shared" ca="1" si="4"/>
        <v>N/A</v>
      </c>
      <c r="T24" s="125" t="str">
        <f t="shared" ca="1" si="4"/>
        <v>N/A</v>
      </c>
      <c r="U24" s="125" t="str">
        <f t="shared" ca="1" si="4"/>
        <v>N/A</v>
      </c>
      <c r="V24" s="125" t="str">
        <f t="shared" ca="1" si="4"/>
        <v>N/A</v>
      </c>
      <c r="W24" s="125" t="str">
        <f t="shared" ca="1" si="4"/>
        <v>N/A</v>
      </c>
      <c r="X24" s="77" t="str">
        <f t="shared" ca="1" si="11"/>
        <v>N/A</v>
      </c>
      <c r="Y24" s="77" t="str">
        <f t="shared" ca="1" si="12"/>
        <v>N/A</v>
      </c>
      <c r="Z24" s="125" t="e">
        <f t="shared" ca="1" si="13"/>
        <v>#VALUE!</v>
      </c>
      <c r="AA24" s="77" t="e">
        <f t="shared" ca="1" si="14"/>
        <v>#VALUE!</v>
      </c>
      <c r="AB24" s="77"/>
      <c r="AC24" s="184">
        <f t="shared" ca="1" si="19"/>
        <v>-1</v>
      </c>
      <c r="AD24" s="181" t="str">
        <f t="shared" si="5"/>
        <v>N/A</v>
      </c>
      <c r="AE24" s="190">
        <v>43100</v>
      </c>
      <c r="AF24" s="186" t="e">
        <f t="shared" si="6"/>
        <v>#VALUE!</v>
      </c>
      <c r="AG24" s="187" t="e">
        <f t="shared" si="15"/>
        <v>#VALUE!</v>
      </c>
      <c r="AH24" s="187" t="e">
        <f t="shared" ca="1" si="7"/>
        <v>#VALUE!</v>
      </c>
      <c r="AI24" s="188" t="e">
        <f t="shared" ca="1" si="8"/>
        <v>#VALUE!</v>
      </c>
      <c r="AN24" t="b">
        <f t="shared" si="9"/>
        <v>0</v>
      </c>
      <c r="AO24" t="b">
        <f t="shared" ca="1" si="9"/>
        <v>0</v>
      </c>
      <c r="AP24" t="b">
        <f t="shared" ca="1" si="9"/>
        <v>0</v>
      </c>
      <c r="AQ24" t="b">
        <f t="shared" ca="1" si="9"/>
        <v>0</v>
      </c>
      <c r="AR24" t="b">
        <f t="shared" ca="1" si="9"/>
        <v>0</v>
      </c>
      <c r="AS24" t="b">
        <f t="shared" ca="1" si="9"/>
        <v>0</v>
      </c>
      <c r="AT24" t="b">
        <f t="shared" ca="1" si="9"/>
        <v>0</v>
      </c>
      <c r="AU24" t="b">
        <f t="shared" ca="1" si="9"/>
        <v>0</v>
      </c>
      <c r="AV24" t="b">
        <f t="shared" ca="1" si="9"/>
        <v>0</v>
      </c>
      <c r="AW24" t="b">
        <f t="shared" ca="1" si="9"/>
        <v>0</v>
      </c>
      <c r="AX24" t="b">
        <f t="shared" ca="1" si="9"/>
        <v>0</v>
      </c>
      <c r="AY24" t="b">
        <f t="shared" ca="1" si="9"/>
        <v>0</v>
      </c>
      <c r="AZ24" t="b">
        <f t="shared" ca="1" si="9"/>
        <v>0</v>
      </c>
      <c r="BA24">
        <f t="shared" ca="1" si="16"/>
        <v>1</v>
      </c>
      <c r="BB24">
        <f t="shared" ca="1" si="17"/>
        <v>7</v>
      </c>
    </row>
    <row r="25" spans="1:54" hidden="1" x14ac:dyDescent="0.25">
      <c r="A25" s="44"/>
      <c r="B25" s="110" t="str">
        <f t="shared" ca="1" si="2"/>
        <v/>
      </c>
      <c r="C25" s="1" t="str">
        <f>IF(ISERROR(D25),"",IF(D25="","",MAX($C$12:C24)+1))</f>
        <v/>
      </c>
      <c r="D25" t="e">
        <f t="shared" si="3"/>
        <v>#N/A</v>
      </c>
      <c r="E25" s="15"/>
      <c r="F25" s="125" t="str">
        <f t="shared" ca="1" si="10"/>
        <v>N/A</v>
      </c>
      <c r="G25" s="125"/>
      <c r="H25" s="125"/>
      <c r="I25" s="125"/>
      <c r="J25" s="125" t="str">
        <f t="shared" si="18"/>
        <v>N/A</v>
      </c>
      <c r="K25" s="125" t="str">
        <f t="shared" si="20"/>
        <v>N/A</v>
      </c>
      <c r="L25" s="125" t="str">
        <f ca="1">IFERROR(IF(VLOOKUP($A25,LASTYR,'[3]2017'!$I$3,FALSE)=0,"N/A",VLOOKUP($A25,LASTYR,'[3]2017'!$I$3,FALSE)),"N/A")</f>
        <v>N/A</v>
      </c>
      <c r="M25" s="125" t="str">
        <f t="shared" ca="1" si="4"/>
        <v>N/A</v>
      </c>
      <c r="N25" s="125" t="str">
        <f t="shared" ca="1" si="4"/>
        <v>N/A</v>
      </c>
      <c r="O25" s="125" t="str">
        <f t="shared" ca="1" si="4"/>
        <v>N/A</v>
      </c>
      <c r="P25" s="125" t="str">
        <f t="shared" ca="1" si="4"/>
        <v>N/A</v>
      </c>
      <c r="Q25" s="125" t="str">
        <f t="shared" ca="1" si="4"/>
        <v>N/A</v>
      </c>
      <c r="R25" s="125" t="str">
        <f t="shared" ca="1" si="4"/>
        <v>N/A</v>
      </c>
      <c r="S25" s="125" t="str">
        <f t="shared" ca="1" si="4"/>
        <v>N/A</v>
      </c>
      <c r="T25" s="125" t="str">
        <f t="shared" ca="1" si="4"/>
        <v>N/A</v>
      </c>
      <c r="U25" s="125" t="str">
        <f t="shared" ca="1" si="4"/>
        <v>N/A</v>
      </c>
      <c r="V25" s="125" t="str">
        <f t="shared" ca="1" si="4"/>
        <v>N/A</v>
      </c>
      <c r="W25" s="125" t="str">
        <f t="shared" ca="1" si="4"/>
        <v>N/A</v>
      </c>
      <c r="X25" s="77" t="str">
        <f t="shared" ca="1" si="11"/>
        <v>N/A</v>
      </c>
      <c r="Y25" s="77" t="str">
        <f t="shared" ca="1" si="12"/>
        <v>N/A</v>
      </c>
      <c r="Z25" s="125" t="e">
        <f t="shared" ca="1" si="13"/>
        <v>#VALUE!</v>
      </c>
      <c r="AA25" s="77" t="e">
        <f t="shared" ca="1" si="14"/>
        <v>#VALUE!</v>
      </c>
      <c r="AB25" s="77"/>
      <c r="AC25" s="184">
        <f t="shared" ca="1" si="19"/>
        <v>-1</v>
      </c>
      <c r="AD25" s="181" t="str">
        <f t="shared" si="5"/>
        <v>N/A</v>
      </c>
      <c r="AE25" s="190">
        <v>43100</v>
      </c>
      <c r="AF25" s="186" t="e">
        <f t="shared" si="6"/>
        <v>#VALUE!</v>
      </c>
      <c r="AG25" s="187" t="e">
        <f t="shared" si="15"/>
        <v>#VALUE!</v>
      </c>
      <c r="AH25" s="187" t="e">
        <f t="shared" ca="1" si="7"/>
        <v>#VALUE!</v>
      </c>
      <c r="AI25" s="188" t="e">
        <f t="shared" ca="1" si="8"/>
        <v>#VALUE!</v>
      </c>
      <c r="AN25" t="b">
        <f t="shared" si="9"/>
        <v>0</v>
      </c>
      <c r="AO25" t="b">
        <f t="shared" ca="1" si="9"/>
        <v>0</v>
      </c>
      <c r="AP25" t="b">
        <f t="shared" ca="1" si="9"/>
        <v>0</v>
      </c>
      <c r="AQ25" t="b">
        <f t="shared" ca="1" si="9"/>
        <v>0</v>
      </c>
      <c r="AR25" t="b">
        <f t="shared" ca="1" si="9"/>
        <v>0</v>
      </c>
      <c r="AS25" t="b">
        <f t="shared" ca="1" si="9"/>
        <v>0</v>
      </c>
      <c r="AT25" t="b">
        <f t="shared" ca="1" si="9"/>
        <v>0</v>
      </c>
      <c r="AU25" t="b">
        <f t="shared" ca="1" si="9"/>
        <v>0</v>
      </c>
      <c r="AV25" t="b">
        <f t="shared" ca="1" si="9"/>
        <v>0</v>
      </c>
      <c r="AW25" t="b">
        <f t="shared" ca="1" si="9"/>
        <v>0</v>
      </c>
      <c r="AX25" t="b">
        <f t="shared" ca="1" si="9"/>
        <v>0</v>
      </c>
      <c r="AY25" t="b">
        <f t="shared" ca="1" si="9"/>
        <v>0</v>
      </c>
      <c r="AZ25" t="b">
        <f t="shared" ca="1" si="9"/>
        <v>0</v>
      </c>
      <c r="BA25">
        <f t="shared" ca="1" si="16"/>
        <v>1</v>
      </c>
      <c r="BB25">
        <f t="shared" ca="1" si="17"/>
        <v>7</v>
      </c>
    </row>
    <row r="26" spans="1:54" hidden="1" x14ac:dyDescent="0.25">
      <c r="A26" s="44"/>
      <c r="B26" s="110" t="str">
        <f t="shared" ca="1" si="2"/>
        <v/>
      </c>
      <c r="C26" s="1" t="str">
        <f>IF(ISERROR(D26),"",IF(D26="","",MAX($C$12:C25)+1))</f>
        <v/>
      </c>
      <c r="D26" t="e">
        <f t="shared" si="3"/>
        <v>#N/A</v>
      </c>
      <c r="E26" s="15"/>
      <c r="F26" s="125" t="str">
        <f t="shared" ca="1" si="10"/>
        <v>N/A</v>
      </c>
      <c r="G26" s="125"/>
      <c r="H26" s="125"/>
      <c r="I26" s="125"/>
      <c r="J26" s="125" t="str">
        <f t="shared" si="18"/>
        <v>N/A</v>
      </c>
      <c r="K26" s="125" t="str">
        <f t="shared" si="20"/>
        <v>N/A</v>
      </c>
      <c r="L26" s="125" t="str">
        <f ca="1">IFERROR(IF(VLOOKUP($A26,LASTYR,'[3]2017'!$I$3,FALSE)=0,"N/A",VLOOKUP($A26,LASTYR,'[3]2017'!$I$3,FALSE)),"N/A")</f>
        <v>N/A</v>
      </c>
      <c r="M26" s="125" t="str">
        <f t="shared" ca="1" si="4"/>
        <v>N/A</v>
      </c>
      <c r="N26" s="125" t="str">
        <f t="shared" ca="1" si="4"/>
        <v>N/A</v>
      </c>
      <c r="O26" s="125" t="str">
        <f t="shared" ca="1" si="4"/>
        <v>N/A</v>
      </c>
      <c r="P26" s="125" t="str">
        <f t="shared" ca="1" si="4"/>
        <v>N/A</v>
      </c>
      <c r="Q26" s="125" t="str">
        <f t="shared" ca="1" si="4"/>
        <v>N/A</v>
      </c>
      <c r="R26" s="125" t="str">
        <f t="shared" ca="1" si="4"/>
        <v>N/A</v>
      </c>
      <c r="S26" s="125" t="str">
        <f t="shared" ca="1" si="4"/>
        <v>N/A</v>
      </c>
      <c r="T26" s="125" t="str">
        <f t="shared" ca="1" si="4"/>
        <v>N/A</v>
      </c>
      <c r="U26" s="125" t="str">
        <f t="shared" ca="1" si="4"/>
        <v>N/A</v>
      </c>
      <c r="V26" s="125" t="str">
        <f t="shared" ca="1" si="4"/>
        <v>N/A</v>
      </c>
      <c r="W26" s="125" t="str">
        <f t="shared" ca="1" si="4"/>
        <v>N/A</v>
      </c>
      <c r="X26" s="77" t="str">
        <f t="shared" ca="1" si="11"/>
        <v>N/A</v>
      </c>
      <c r="Y26" s="77" t="str">
        <f t="shared" ca="1" si="12"/>
        <v>N/A</v>
      </c>
      <c r="Z26" s="125" t="e">
        <f t="shared" ca="1" si="13"/>
        <v>#VALUE!</v>
      </c>
      <c r="AA26" s="77" t="e">
        <f t="shared" ca="1" si="14"/>
        <v>#VALUE!</v>
      </c>
      <c r="AB26" s="77"/>
      <c r="AC26" s="184">
        <f t="shared" ca="1" si="19"/>
        <v>-1</v>
      </c>
      <c r="AD26" s="181" t="str">
        <f t="shared" si="5"/>
        <v>N/A</v>
      </c>
      <c r="AE26" s="190">
        <v>43100</v>
      </c>
      <c r="AF26" s="186" t="e">
        <f t="shared" si="6"/>
        <v>#VALUE!</v>
      </c>
      <c r="AG26" s="187" t="e">
        <f t="shared" si="15"/>
        <v>#VALUE!</v>
      </c>
      <c r="AH26" s="187" t="e">
        <f t="shared" ca="1" si="7"/>
        <v>#VALUE!</v>
      </c>
      <c r="AI26" s="188" t="e">
        <f t="shared" ca="1" si="8"/>
        <v>#VALUE!</v>
      </c>
      <c r="AN26" t="b">
        <f t="shared" si="9"/>
        <v>0</v>
      </c>
      <c r="AO26" t="b">
        <f t="shared" ca="1" si="9"/>
        <v>0</v>
      </c>
      <c r="AP26" t="b">
        <f t="shared" ca="1" si="9"/>
        <v>0</v>
      </c>
      <c r="AQ26" t="b">
        <f t="shared" ca="1" si="9"/>
        <v>0</v>
      </c>
      <c r="AR26" t="b">
        <f t="shared" ca="1" si="9"/>
        <v>0</v>
      </c>
      <c r="AS26" t="b">
        <f t="shared" ca="1" si="9"/>
        <v>0</v>
      </c>
      <c r="AT26" t="b">
        <f t="shared" ca="1" si="9"/>
        <v>0</v>
      </c>
      <c r="AU26" t="b">
        <f t="shared" ca="1" si="9"/>
        <v>0</v>
      </c>
      <c r="AV26" t="b">
        <f t="shared" ca="1" si="9"/>
        <v>0</v>
      </c>
      <c r="AW26" t="b">
        <f t="shared" ca="1" si="9"/>
        <v>0</v>
      </c>
      <c r="AX26" t="b">
        <f t="shared" ca="1" si="9"/>
        <v>0</v>
      </c>
      <c r="AY26" t="b">
        <f t="shared" ca="1" si="9"/>
        <v>0</v>
      </c>
      <c r="AZ26" t="b">
        <f t="shared" ca="1" si="9"/>
        <v>0</v>
      </c>
      <c r="BA26">
        <f t="shared" ca="1" si="16"/>
        <v>1</v>
      </c>
      <c r="BB26">
        <f t="shared" ca="1" si="17"/>
        <v>7</v>
      </c>
    </row>
    <row r="27" spans="1:54" hidden="1" x14ac:dyDescent="0.25">
      <c r="A27" s="44"/>
      <c r="B27" s="110" t="str">
        <f t="shared" ca="1" si="2"/>
        <v/>
      </c>
      <c r="C27" s="1" t="str">
        <f>IF(ISERROR(D27),"",IF(D27="","",MAX($C$12:C26)+1))</f>
        <v/>
      </c>
      <c r="D27" t="e">
        <f t="shared" si="3"/>
        <v>#N/A</v>
      </c>
      <c r="E27" s="15"/>
      <c r="F27" s="125" t="str">
        <f t="shared" ca="1" si="10"/>
        <v>N/A</v>
      </c>
      <c r="G27" s="125"/>
      <c r="H27" s="125"/>
      <c r="I27" s="125"/>
      <c r="J27" s="125" t="str">
        <f t="shared" si="18"/>
        <v>N/A</v>
      </c>
      <c r="K27" s="125" t="str">
        <f t="shared" si="20"/>
        <v>N/A</v>
      </c>
      <c r="L27" s="125" t="str">
        <f ca="1">IFERROR(IF(VLOOKUP($A27,LASTYR,'[3]2017'!$I$3,FALSE)=0,"N/A",VLOOKUP($A27,LASTYR,'[3]2017'!$I$3,FALSE)),"N/A")</f>
        <v>N/A</v>
      </c>
      <c r="M27" s="125" t="str">
        <f t="shared" ca="1" si="4"/>
        <v>N/A</v>
      </c>
      <c r="N27" s="125" t="str">
        <f t="shared" ca="1" si="4"/>
        <v>N/A</v>
      </c>
      <c r="O27" s="125" t="str">
        <f t="shared" ca="1" si="4"/>
        <v>N/A</v>
      </c>
      <c r="P27" s="125" t="str">
        <f t="shared" ca="1" si="4"/>
        <v>N/A</v>
      </c>
      <c r="Q27" s="125" t="str">
        <f t="shared" ca="1" si="4"/>
        <v>N/A</v>
      </c>
      <c r="R27" s="125" t="str">
        <f t="shared" ca="1" si="4"/>
        <v>N/A</v>
      </c>
      <c r="S27" s="125" t="str">
        <f t="shared" ca="1" si="4"/>
        <v>N/A</v>
      </c>
      <c r="T27" s="125" t="str">
        <f t="shared" ca="1" si="4"/>
        <v>N/A</v>
      </c>
      <c r="U27" s="125" t="str">
        <f t="shared" ca="1" si="4"/>
        <v>N/A</v>
      </c>
      <c r="V27" s="125" t="str">
        <f t="shared" ca="1" si="4"/>
        <v>N/A</v>
      </c>
      <c r="W27" s="125" t="str">
        <f t="shared" ca="1" si="4"/>
        <v>N/A</v>
      </c>
      <c r="X27" s="77" t="str">
        <f t="shared" ca="1" si="11"/>
        <v>N/A</v>
      </c>
      <c r="Y27" s="77" t="str">
        <f t="shared" ca="1" si="12"/>
        <v>N/A</v>
      </c>
      <c r="Z27" s="125" t="e">
        <f t="shared" ca="1" si="13"/>
        <v>#VALUE!</v>
      </c>
      <c r="AA27" s="77" t="e">
        <f t="shared" ca="1" si="14"/>
        <v>#VALUE!</v>
      </c>
      <c r="AB27" s="77"/>
      <c r="AC27" s="184">
        <f t="shared" ca="1" si="19"/>
        <v>-1</v>
      </c>
      <c r="AD27" s="181" t="str">
        <f t="shared" si="5"/>
        <v>N/A</v>
      </c>
      <c r="AE27" s="190">
        <v>43100</v>
      </c>
      <c r="AF27" s="186" t="e">
        <f t="shared" si="6"/>
        <v>#VALUE!</v>
      </c>
      <c r="AG27" s="187" t="e">
        <f t="shared" si="15"/>
        <v>#VALUE!</v>
      </c>
      <c r="AH27" s="187" t="e">
        <f t="shared" ca="1" si="7"/>
        <v>#VALUE!</v>
      </c>
      <c r="AI27" s="188" t="e">
        <f t="shared" ca="1" si="8"/>
        <v>#VALUE!</v>
      </c>
      <c r="AN27" t="b">
        <f t="shared" si="9"/>
        <v>0</v>
      </c>
      <c r="AO27" t="b">
        <f t="shared" ca="1" si="9"/>
        <v>0</v>
      </c>
      <c r="AP27" t="b">
        <f t="shared" ca="1" si="9"/>
        <v>0</v>
      </c>
      <c r="AQ27" t="b">
        <f t="shared" ca="1" si="9"/>
        <v>0</v>
      </c>
      <c r="AR27" t="b">
        <f t="shared" ca="1" si="9"/>
        <v>0</v>
      </c>
      <c r="AS27" t="b">
        <f t="shared" ca="1" si="9"/>
        <v>0</v>
      </c>
      <c r="AT27" t="b">
        <f t="shared" ca="1" si="9"/>
        <v>0</v>
      </c>
      <c r="AU27" t="b">
        <f t="shared" ca="1" si="9"/>
        <v>0</v>
      </c>
      <c r="AV27" t="b">
        <f t="shared" ca="1" si="9"/>
        <v>0</v>
      </c>
      <c r="AW27" t="b">
        <f t="shared" ca="1" si="9"/>
        <v>0</v>
      </c>
      <c r="AX27" t="b">
        <f t="shared" ca="1" si="9"/>
        <v>0</v>
      </c>
      <c r="AY27" t="b">
        <f t="shared" ca="1" si="9"/>
        <v>0</v>
      </c>
      <c r="AZ27" t="b">
        <f t="shared" ca="1" si="9"/>
        <v>0</v>
      </c>
      <c r="BA27">
        <f t="shared" ca="1" si="16"/>
        <v>1</v>
      </c>
      <c r="BB27">
        <f t="shared" ca="1" si="17"/>
        <v>7</v>
      </c>
    </row>
    <row r="28" spans="1:54" hidden="1" x14ac:dyDescent="0.25">
      <c r="A28" s="44"/>
      <c r="B28" s="110" t="str">
        <f t="shared" ca="1" si="2"/>
        <v/>
      </c>
      <c r="C28" s="1" t="str">
        <f>IF(ISERROR(D28),"",IF(D28="","",MAX($C$12:C27)+1))</f>
        <v/>
      </c>
      <c r="D28" t="e">
        <f t="shared" si="3"/>
        <v>#N/A</v>
      </c>
      <c r="E28" s="15"/>
      <c r="F28" s="125" t="str">
        <f t="shared" ca="1" si="10"/>
        <v>N/A</v>
      </c>
      <c r="G28" s="125"/>
      <c r="H28" s="125"/>
      <c r="I28" s="125"/>
      <c r="J28" s="125" t="str">
        <f t="shared" si="18"/>
        <v>N/A</v>
      </c>
      <c r="K28" s="125" t="str">
        <f t="shared" si="20"/>
        <v>N/A</v>
      </c>
      <c r="L28" s="125" t="str">
        <f ca="1">IFERROR(IF(VLOOKUP($A28,LASTYR,'[3]2017'!$I$3,FALSE)=0,"N/A",VLOOKUP($A28,LASTYR,'[3]2017'!$I$3,FALSE)),"N/A")</f>
        <v>N/A</v>
      </c>
      <c r="M28" s="125" t="str">
        <f t="shared" ca="1" si="4"/>
        <v>N/A</v>
      </c>
      <c r="N28" s="125" t="str">
        <f t="shared" ca="1" si="4"/>
        <v>N/A</v>
      </c>
      <c r="O28" s="125" t="str">
        <f t="shared" ca="1" si="4"/>
        <v>N/A</v>
      </c>
      <c r="P28" s="125" t="str">
        <f t="shared" ca="1" si="4"/>
        <v>N/A</v>
      </c>
      <c r="Q28" s="125" t="str">
        <f t="shared" ca="1" si="4"/>
        <v>N/A</v>
      </c>
      <c r="R28" s="125" t="str">
        <f t="shared" ca="1" si="4"/>
        <v>N/A</v>
      </c>
      <c r="S28" s="125" t="str">
        <f t="shared" ca="1" si="4"/>
        <v>N/A</v>
      </c>
      <c r="T28" s="125" t="str">
        <f t="shared" ca="1" si="4"/>
        <v>N/A</v>
      </c>
      <c r="U28" s="125" t="str">
        <f t="shared" ca="1" si="4"/>
        <v>N/A</v>
      </c>
      <c r="V28" s="125" t="str">
        <f t="shared" ca="1" si="4"/>
        <v>N/A</v>
      </c>
      <c r="W28" s="125" t="str">
        <f t="shared" ca="1" si="4"/>
        <v>N/A</v>
      </c>
      <c r="X28" s="77" t="str">
        <f t="shared" ca="1" si="11"/>
        <v>N/A</v>
      </c>
      <c r="Y28" s="77" t="str">
        <f t="shared" ca="1" si="12"/>
        <v>N/A</v>
      </c>
      <c r="Z28" s="125" t="e">
        <f t="shared" ca="1" si="13"/>
        <v>#VALUE!</v>
      </c>
      <c r="AA28" s="77" t="e">
        <f t="shared" ca="1" si="14"/>
        <v>#VALUE!</v>
      </c>
      <c r="AB28" s="77"/>
      <c r="AC28" s="184">
        <f t="shared" ca="1" si="19"/>
        <v>-1</v>
      </c>
      <c r="AD28" s="181" t="str">
        <f t="shared" si="5"/>
        <v>N/A</v>
      </c>
      <c r="AE28" s="190">
        <v>43100</v>
      </c>
      <c r="AF28" s="186" t="e">
        <f t="shared" si="6"/>
        <v>#VALUE!</v>
      </c>
      <c r="AG28" s="187" t="e">
        <f t="shared" si="15"/>
        <v>#VALUE!</v>
      </c>
      <c r="AH28" s="187" t="e">
        <f t="shared" ca="1" si="7"/>
        <v>#VALUE!</v>
      </c>
      <c r="AI28" s="188" t="e">
        <f t="shared" ca="1" si="8"/>
        <v>#VALUE!</v>
      </c>
      <c r="AN28" t="b">
        <f t="shared" si="9"/>
        <v>0</v>
      </c>
      <c r="AO28" t="b">
        <f t="shared" ca="1" si="9"/>
        <v>0</v>
      </c>
      <c r="AP28" t="b">
        <f t="shared" ca="1" si="9"/>
        <v>0</v>
      </c>
      <c r="AQ28" t="b">
        <f t="shared" ca="1" si="9"/>
        <v>0</v>
      </c>
      <c r="AR28" t="b">
        <f t="shared" ca="1" si="9"/>
        <v>0</v>
      </c>
      <c r="AS28" t="b">
        <f t="shared" ca="1" si="9"/>
        <v>0</v>
      </c>
      <c r="AT28" t="b">
        <f t="shared" ca="1" si="9"/>
        <v>0</v>
      </c>
      <c r="AU28" t="b">
        <f t="shared" ca="1" si="9"/>
        <v>0</v>
      </c>
      <c r="AV28" t="b">
        <f t="shared" ca="1" si="9"/>
        <v>0</v>
      </c>
      <c r="AW28" t="b">
        <f t="shared" ca="1" si="9"/>
        <v>0</v>
      </c>
      <c r="AX28" t="b">
        <f t="shared" ca="1" si="9"/>
        <v>0</v>
      </c>
      <c r="AY28" t="b">
        <f t="shared" ca="1" si="9"/>
        <v>0</v>
      </c>
      <c r="AZ28" t="b">
        <f t="shared" ca="1" si="9"/>
        <v>0</v>
      </c>
      <c r="BA28">
        <f t="shared" ca="1" si="16"/>
        <v>1</v>
      </c>
      <c r="BB28">
        <f t="shared" ca="1" si="17"/>
        <v>7</v>
      </c>
    </row>
    <row r="29" spans="1:54" hidden="1" x14ac:dyDescent="0.25">
      <c r="A29" s="44"/>
      <c r="B29" s="110" t="str">
        <f t="shared" ca="1" si="2"/>
        <v/>
      </c>
      <c r="C29" s="1" t="str">
        <f>IF(ISERROR(D29),"",IF(D29="","",MAX($C$12:C28)+1))</f>
        <v/>
      </c>
      <c r="D29" t="e">
        <f t="shared" si="3"/>
        <v>#N/A</v>
      </c>
      <c r="E29" s="15"/>
      <c r="F29" s="125" t="str">
        <f t="shared" ca="1" si="10"/>
        <v>N/A</v>
      </c>
      <c r="G29" s="125"/>
      <c r="H29" s="125"/>
      <c r="I29" s="125"/>
      <c r="J29" s="125" t="str">
        <f t="shared" si="18"/>
        <v>N/A</v>
      </c>
      <c r="K29" s="125" t="str">
        <f t="shared" si="20"/>
        <v>N/A</v>
      </c>
      <c r="L29" s="125" t="str">
        <f ca="1">IFERROR(IF(VLOOKUP($A29,LASTYR,'[3]2017'!$I$3,FALSE)=0,"N/A",VLOOKUP($A29,LASTYR,'[3]2017'!$I$3,FALSE)),"N/A")</f>
        <v>N/A</v>
      </c>
      <c r="M29" s="125" t="str">
        <f t="shared" ref="M29:W52" ca="1" si="21">IFERROR(IF(INDEX(Dividends,$B29,M$12)=0,"N/A",INDEX(Dividends,$B29,M$12)),"N/A")</f>
        <v>N/A</v>
      </c>
      <c r="N29" s="125" t="str">
        <f t="shared" ca="1" si="21"/>
        <v>N/A</v>
      </c>
      <c r="O29" s="125" t="str">
        <f t="shared" ca="1" si="21"/>
        <v>N/A</v>
      </c>
      <c r="P29" s="125" t="str">
        <f t="shared" ca="1" si="21"/>
        <v>N/A</v>
      </c>
      <c r="Q29" s="125" t="str">
        <f t="shared" ca="1" si="21"/>
        <v>N/A</v>
      </c>
      <c r="R29" s="125" t="str">
        <f t="shared" ca="1" si="21"/>
        <v>N/A</v>
      </c>
      <c r="S29" s="125" t="str">
        <f t="shared" ca="1" si="21"/>
        <v>N/A</v>
      </c>
      <c r="T29" s="125" t="str">
        <f t="shared" ca="1" si="21"/>
        <v>N/A</v>
      </c>
      <c r="U29" s="125" t="str">
        <f t="shared" ca="1" si="21"/>
        <v>N/A</v>
      </c>
      <c r="V29" s="125" t="str">
        <f t="shared" ca="1" si="21"/>
        <v>N/A</v>
      </c>
      <c r="W29" s="125" t="str">
        <f t="shared" ca="1" si="21"/>
        <v>N/A</v>
      </c>
      <c r="X29" s="77" t="str">
        <f t="shared" ca="1" si="11"/>
        <v>N/A</v>
      </c>
      <c r="Y29" s="77" t="str">
        <f t="shared" ca="1" si="12"/>
        <v>N/A</v>
      </c>
      <c r="Z29" s="125" t="e">
        <f t="shared" ca="1" si="13"/>
        <v>#VALUE!</v>
      </c>
      <c r="AA29" s="77" t="e">
        <f t="shared" ca="1" si="14"/>
        <v>#VALUE!</v>
      </c>
      <c r="AB29" s="77"/>
      <c r="AC29" s="184">
        <f t="shared" ca="1" si="19"/>
        <v>-1</v>
      </c>
      <c r="AD29" s="181" t="str">
        <f t="shared" si="5"/>
        <v>N/A</v>
      </c>
      <c r="AE29" s="190">
        <v>43100</v>
      </c>
      <c r="AF29" s="186" t="e">
        <f t="shared" si="6"/>
        <v>#VALUE!</v>
      </c>
      <c r="AG29" s="187" t="e">
        <f t="shared" si="15"/>
        <v>#VALUE!</v>
      </c>
      <c r="AH29" s="187" t="e">
        <f t="shared" ca="1" si="7"/>
        <v>#VALUE!</v>
      </c>
      <c r="AI29" s="188" t="e">
        <f t="shared" ca="1" si="8"/>
        <v>#VALUE!</v>
      </c>
      <c r="AN29" t="b">
        <f t="shared" si="9"/>
        <v>0</v>
      </c>
      <c r="AO29" t="b">
        <f t="shared" ca="1" si="9"/>
        <v>0</v>
      </c>
      <c r="AP29" t="b">
        <f t="shared" ca="1" si="9"/>
        <v>0</v>
      </c>
      <c r="AQ29" t="b">
        <f t="shared" ca="1" si="9"/>
        <v>0</v>
      </c>
      <c r="AR29" t="b">
        <f t="shared" ca="1" si="9"/>
        <v>0</v>
      </c>
      <c r="AS29" t="b">
        <f t="shared" ca="1" si="9"/>
        <v>0</v>
      </c>
      <c r="AT29" t="b">
        <f t="shared" ca="1" si="9"/>
        <v>0</v>
      </c>
      <c r="AU29" t="b">
        <f t="shared" ca="1" si="9"/>
        <v>0</v>
      </c>
      <c r="AV29" t="b">
        <f t="shared" ca="1" si="9"/>
        <v>0</v>
      </c>
      <c r="AW29" t="b">
        <f t="shared" ca="1" si="9"/>
        <v>0</v>
      </c>
      <c r="AX29" t="b">
        <f t="shared" ca="1" si="9"/>
        <v>0</v>
      </c>
      <c r="AY29" t="b">
        <f t="shared" ca="1" si="9"/>
        <v>0</v>
      </c>
      <c r="AZ29" t="b">
        <f t="shared" ca="1" si="9"/>
        <v>0</v>
      </c>
      <c r="BA29">
        <f t="shared" ca="1" si="16"/>
        <v>1</v>
      </c>
      <c r="BB29">
        <f t="shared" ca="1" si="17"/>
        <v>7</v>
      </c>
    </row>
    <row r="30" spans="1:54" hidden="1" x14ac:dyDescent="0.25">
      <c r="A30" s="44"/>
      <c r="B30" s="110" t="str">
        <f t="shared" ca="1" si="2"/>
        <v/>
      </c>
      <c r="C30" s="1" t="str">
        <f>IF(ISERROR(D30),"",IF(D30="","",MAX($C$12:C29)+1))</f>
        <v/>
      </c>
      <c r="D30" t="e">
        <f t="shared" si="3"/>
        <v>#N/A</v>
      </c>
      <c r="E30" s="15"/>
      <c r="F30" s="125" t="str">
        <f t="shared" ca="1" si="10"/>
        <v>N/A</v>
      </c>
      <c r="G30" s="125"/>
      <c r="H30" s="125"/>
      <c r="I30" s="125"/>
      <c r="J30" s="125" t="str">
        <f t="shared" si="18"/>
        <v>N/A</v>
      </c>
      <c r="K30" s="125" t="str">
        <f t="shared" si="20"/>
        <v>N/A</v>
      </c>
      <c r="L30" s="125" t="str">
        <f ca="1">IFERROR(IF(VLOOKUP($A30,LASTYR,'[3]2017'!$I$3,FALSE)=0,"N/A",VLOOKUP($A30,LASTYR,'[3]2017'!$I$3,FALSE)),"N/A")</f>
        <v>N/A</v>
      </c>
      <c r="M30" s="125" t="str">
        <f t="shared" ca="1" si="21"/>
        <v>N/A</v>
      </c>
      <c r="N30" s="125" t="str">
        <f t="shared" ca="1" si="21"/>
        <v>N/A</v>
      </c>
      <c r="O30" s="125" t="str">
        <f t="shared" ca="1" si="21"/>
        <v>N/A</v>
      </c>
      <c r="P30" s="125" t="str">
        <f t="shared" ca="1" si="21"/>
        <v>N/A</v>
      </c>
      <c r="Q30" s="125" t="str">
        <f t="shared" ca="1" si="21"/>
        <v>N/A</v>
      </c>
      <c r="R30" s="125" t="str">
        <f t="shared" ca="1" si="21"/>
        <v>N/A</v>
      </c>
      <c r="S30" s="125" t="str">
        <f t="shared" ca="1" si="21"/>
        <v>N/A</v>
      </c>
      <c r="T30" s="125" t="str">
        <f t="shared" ca="1" si="21"/>
        <v>N/A</v>
      </c>
      <c r="U30" s="125" t="str">
        <f t="shared" ca="1" si="21"/>
        <v>N/A</v>
      </c>
      <c r="V30" s="125" t="str">
        <f t="shared" ca="1" si="21"/>
        <v>N/A</v>
      </c>
      <c r="W30" s="125" t="str">
        <f t="shared" ca="1" si="21"/>
        <v>N/A</v>
      </c>
      <c r="X30" s="77" t="str">
        <f t="shared" ca="1" si="11"/>
        <v>N/A</v>
      </c>
      <c r="Y30" s="77" t="str">
        <f t="shared" ca="1" si="12"/>
        <v>N/A</v>
      </c>
      <c r="Z30" s="125" t="e">
        <f t="shared" ca="1" si="13"/>
        <v>#VALUE!</v>
      </c>
      <c r="AA30" s="77" t="e">
        <f t="shared" ca="1" si="14"/>
        <v>#VALUE!</v>
      </c>
      <c r="AB30" s="77"/>
      <c r="AC30" s="184">
        <f t="shared" ca="1" si="19"/>
        <v>-1</v>
      </c>
      <c r="AD30" s="181" t="str">
        <f t="shared" si="5"/>
        <v>N/A</v>
      </c>
      <c r="AE30" s="190">
        <v>43100</v>
      </c>
      <c r="AF30" s="186" t="e">
        <f t="shared" si="6"/>
        <v>#VALUE!</v>
      </c>
      <c r="AG30" s="187" t="e">
        <f t="shared" si="15"/>
        <v>#VALUE!</v>
      </c>
      <c r="AH30" s="187" t="e">
        <f t="shared" ca="1" si="7"/>
        <v>#VALUE!</v>
      </c>
      <c r="AI30" s="188" t="e">
        <f t="shared" ca="1" si="8"/>
        <v>#VALUE!</v>
      </c>
      <c r="AN30" t="b">
        <f t="shared" si="9"/>
        <v>0</v>
      </c>
      <c r="AO30" t="b">
        <f t="shared" ca="1" si="9"/>
        <v>0</v>
      </c>
      <c r="AP30" t="b">
        <f t="shared" ca="1" si="9"/>
        <v>0</v>
      </c>
      <c r="AQ30" t="b">
        <f t="shared" ca="1" si="9"/>
        <v>0</v>
      </c>
      <c r="AR30" t="b">
        <f t="shared" ca="1" si="9"/>
        <v>0</v>
      </c>
      <c r="AS30" t="b">
        <f t="shared" ca="1" si="9"/>
        <v>0</v>
      </c>
      <c r="AT30" t="b">
        <f t="shared" ca="1" si="9"/>
        <v>0</v>
      </c>
      <c r="AU30" t="b">
        <f t="shared" ca="1" si="9"/>
        <v>0</v>
      </c>
      <c r="AV30" t="b">
        <f t="shared" ca="1" si="9"/>
        <v>0</v>
      </c>
      <c r="AW30" t="b">
        <f t="shared" ca="1" si="9"/>
        <v>0</v>
      </c>
      <c r="AX30" t="b">
        <f t="shared" ca="1" si="9"/>
        <v>0</v>
      </c>
      <c r="AY30" t="b">
        <f t="shared" ca="1" si="9"/>
        <v>0</v>
      </c>
      <c r="AZ30" t="b">
        <f t="shared" ca="1" si="9"/>
        <v>0</v>
      </c>
      <c r="BA30">
        <f t="shared" ca="1" si="16"/>
        <v>1</v>
      </c>
      <c r="BB30">
        <f t="shared" ca="1" si="17"/>
        <v>7</v>
      </c>
    </row>
    <row r="31" spans="1:54" hidden="1" x14ac:dyDescent="0.25">
      <c r="A31" s="44"/>
      <c r="B31" s="110" t="str">
        <f t="shared" ca="1" si="2"/>
        <v/>
      </c>
      <c r="C31" s="1" t="str">
        <f>IF(ISERROR(D31),"",IF(D31="","",MAX($C$12:C30)+1))</f>
        <v/>
      </c>
      <c r="D31" t="e">
        <f t="shared" si="3"/>
        <v>#N/A</v>
      </c>
      <c r="E31" s="15"/>
      <c r="F31" s="125" t="str">
        <f t="shared" ca="1" si="10"/>
        <v>N/A</v>
      </c>
      <c r="G31" s="125"/>
      <c r="H31" s="125"/>
      <c r="I31" s="125"/>
      <c r="J31" s="125" t="str">
        <f t="shared" si="18"/>
        <v>N/A</v>
      </c>
      <c r="K31" s="125" t="str">
        <f t="shared" si="20"/>
        <v>N/A</v>
      </c>
      <c r="L31" s="125" t="str">
        <f ca="1">IFERROR(IF(VLOOKUP($A31,LASTYR,'[3]2017'!$I$3,FALSE)=0,"N/A",VLOOKUP($A31,LASTYR,'[3]2017'!$I$3,FALSE)),"N/A")</f>
        <v>N/A</v>
      </c>
      <c r="M31" s="125" t="str">
        <f t="shared" ca="1" si="21"/>
        <v>N/A</v>
      </c>
      <c r="N31" s="125" t="str">
        <f t="shared" ca="1" si="21"/>
        <v>N/A</v>
      </c>
      <c r="O31" s="125" t="str">
        <f t="shared" ca="1" si="21"/>
        <v>N/A</v>
      </c>
      <c r="P31" s="125" t="str">
        <f t="shared" ca="1" si="21"/>
        <v>N/A</v>
      </c>
      <c r="Q31" s="125" t="str">
        <f t="shared" ca="1" si="21"/>
        <v>N/A</v>
      </c>
      <c r="R31" s="125" t="str">
        <f t="shared" ca="1" si="21"/>
        <v>N/A</v>
      </c>
      <c r="S31" s="125" t="str">
        <f t="shared" ca="1" si="21"/>
        <v>N/A</v>
      </c>
      <c r="T31" s="125" t="str">
        <f t="shared" ca="1" si="21"/>
        <v>N/A</v>
      </c>
      <c r="U31" s="125" t="str">
        <f t="shared" ca="1" si="21"/>
        <v>N/A</v>
      </c>
      <c r="V31" s="125" t="str">
        <f t="shared" ca="1" si="21"/>
        <v>N/A</v>
      </c>
      <c r="W31" s="125" t="str">
        <f t="shared" ca="1" si="21"/>
        <v>N/A</v>
      </c>
      <c r="X31" s="77" t="str">
        <f t="shared" ca="1" si="11"/>
        <v>N/A</v>
      </c>
      <c r="Y31" s="77" t="str">
        <f t="shared" ca="1" si="12"/>
        <v>N/A</v>
      </c>
      <c r="Z31" s="125" t="e">
        <f t="shared" ca="1" si="13"/>
        <v>#VALUE!</v>
      </c>
      <c r="AA31" s="77" t="e">
        <f t="shared" ca="1" si="14"/>
        <v>#VALUE!</v>
      </c>
      <c r="AB31" s="77"/>
      <c r="AC31" s="184">
        <f t="shared" ca="1" si="19"/>
        <v>-1</v>
      </c>
      <c r="AD31" s="181" t="str">
        <f t="shared" si="5"/>
        <v>N/A</v>
      </c>
      <c r="AE31" s="190">
        <v>43100</v>
      </c>
      <c r="AF31" s="186" t="e">
        <f t="shared" si="6"/>
        <v>#VALUE!</v>
      </c>
      <c r="AG31" s="187" t="e">
        <f t="shared" si="15"/>
        <v>#VALUE!</v>
      </c>
      <c r="AH31" s="187" t="e">
        <f t="shared" ca="1" si="7"/>
        <v>#VALUE!</v>
      </c>
      <c r="AI31" s="188" t="e">
        <f t="shared" ca="1" si="8"/>
        <v>#VALUE!</v>
      </c>
      <c r="AN31" t="b">
        <f t="shared" si="9"/>
        <v>0</v>
      </c>
      <c r="AO31" t="b">
        <f t="shared" ca="1" si="9"/>
        <v>0</v>
      </c>
      <c r="AP31" t="b">
        <f t="shared" ca="1" si="9"/>
        <v>0</v>
      </c>
      <c r="AQ31" t="b">
        <f t="shared" ca="1" si="9"/>
        <v>0</v>
      </c>
      <c r="AR31" t="b">
        <f t="shared" ca="1" si="9"/>
        <v>0</v>
      </c>
      <c r="AS31" t="b">
        <f t="shared" ca="1" si="9"/>
        <v>0</v>
      </c>
      <c r="AT31" t="b">
        <f t="shared" ca="1" si="9"/>
        <v>0</v>
      </c>
      <c r="AU31" t="b">
        <f t="shared" ca="1" si="9"/>
        <v>0</v>
      </c>
      <c r="AV31" t="b">
        <f t="shared" ca="1" si="9"/>
        <v>0</v>
      </c>
      <c r="AW31" t="b">
        <f t="shared" ca="1" si="9"/>
        <v>0</v>
      </c>
      <c r="AX31" t="b">
        <f t="shared" ca="1" si="9"/>
        <v>0</v>
      </c>
      <c r="AY31" t="b">
        <f t="shared" ca="1" si="9"/>
        <v>0</v>
      </c>
      <c r="AZ31" t="b">
        <f t="shared" ca="1" si="9"/>
        <v>0</v>
      </c>
      <c r="BA31">
        <f t="shared" ca="1" si="16"/>
        <v>1</v>
      </c>
      <c r="BB31">
        <f t="shared" ca="1" si="17"/>
        <v>7</v>
      </c>
    </row>
    <row r="32" spans="1:54" hidden="1" x14ac:dyDescent="0.25">
      <c r="A32" s="44"/>
      <c r="B32" s="110" t="str">
        <f t="shared" ca="1" si="2"/>
        <v/>
      </c>
      <c r="C32" s="1" t="str">
        <f>IF(ISERROR(D32),"",IF(D32="","",MAX($C$12:C31)+1))</f>
        <v/>
      </c>
      <c r="D32" t="e">
        <f t="shared" si="3"/>
        <v>#N/A</v>
      </c>
      <c r="E32" s="15"/>
      <c r="F32" s="125" t="str">
        <f t="shared" ca="1" si="10"/>
        <v>N/A</v>
      </c>
      <c r="G32" s="125"/>
      <c r="H32" s="125"/>
      <c r="I32" s="125"/>
      <c r="J32" s="125" t="str">
        <f t="shared" si="18"/>
        <v>N/A</v>
      </c>
      <c r="K32" s="125" t="str">
        <f t="shared" si="20"/>
        <v>N/A</v>
      </c>
      <c r="L32" s="125" t="str">
        <f ca="1">IFERROR(IF(VLOOKUP($A32,LASTYR,'[3]2017'!$I$3,FALSE)=0,"N/A",VLOOKUP($A32,LASTYR,'[3]2017'!$I$3,FALSE)),"N/A")</f>
        <v>N/A</v>
      </c>
      <c r="M32" s="125" t="str">
        <f t="shared" ca="1" si="21"/>
        <v>N/A</v>
      </c>
      <c r="N32" s="125" t="str">
        <f t="shared" ca="1" si="21"/>
        <v>N/A</v>
      </c>
      <c r="O32" s="125" t="str">
        <f t="shared" ca="1" si="21"/>
        <v>N/A</v>
      </c>
      <c r="P32" s="125" t="str">
        <f t="shared" ca="1" si="21"/>
        <v>N/A</v>
      </c>
      <c r="Q32" s="125" t="str">
        <f t="shared" ca="1" si="21"/>
        <v>N/A</v>
      </c>
      <c r="R32" s="125" t="str">
        <f t="shared" ca="1" si="21"/>
        <v>N/A</v>
      </c>
      <c r="S32" s="125" t="str">
        <f t="shared" ca="1" si="21"/>
        <v>N/A</v>
      </c>
      <c r="T32" s="125" t="str">
        <f t="shared" ca="1" si="21"/>
        <v>N/A</v>
      </c>
      <c r="U32" s="125" t="str">
        <f t="shared" ca="1" si="21"/>
        <v>N/A</v>
      </c>
      <c r="V32" s="125" t="str">
        <f t="shared" ca="1" si="21"/>
        <v>N/A</v>
      </c>
      <c r="W32" s="125" t="str">
        <f t="shared" ca="1" si="21"/>
        <v>N/A</v>
      </c>
      <c r="X32" s="77" t="str">
        <f t="shared" ca="1" si="11"/>
        <v>N/A</v>
      </c>
      <c r="Y32" s="77" t="str">
        <f t="shared" ca="1" si="12"/>
        <v>N/A</v>
      </c>
      <c r="Z32" s="125" t="e">
        <f t="shared" ca="1" si="13"/>
        <v>#VALUE!</v>
      </c>
      <c r="AA32" s="77" t="e">
        <f t="shared" ca="1" si="14"/>
        <v>#VALUE!</v>
      </c>
      <c r="AB32" s="77"/>
      <c r="AC32" s="184">
        <f t="shared" ca="1" si="19"/>
        <v>-1</v>
      </c>
      <c r="AD32" s="181" t="str">
        <f t="shared" si="5"/>
        <v>N/A</v>
      </c>
      <c r="AE32" s="190">
        <v>43100</v>
      </c>
      <c r="AF32" s="186" t="e">
        <f t="shared" si="6"/>
        <v>#VALUE!</v>
      </c>
      <c r="AG32" s="187" t="e">
        <f t="shared" si="15"/>
        <v>#VALUE!</v>
      </c>
      <c r="AH32" s="187" t="e">
        <f t="shared" ca="1" si="7"/>
        <v>#VALUE!</v>
      </c>
      <c r="AI32" s="188" t="e">
        <f t="shared" ca="1" si="8"/>
        <v>#VALUE!</v>
      </c>
      <c r="AN32" t="b">
        <f t="shared" si="9"/>
        <v>0</v>
      </c>
      <c r="AO32" t="b">
        <f t="shared" ca="1" si="9"/>
        <v>0</v>
      </c>
      <c r="AP32" t="b">
        <f t="shared" ca="1" si="9"/>
        <v>0</v>
      </c>
      <c r="AQ32" t="b">
        <f t="shared" ca="1" si="9"/>
        <v>0</v>
      </c>
      <c r="AR32" t="b">
        <f t="shared" ca="1" si="9"/>
        <v>0</v>
      </c>
      <c r="AS32" t="b">
        <f t="shared" ca="1" si="9"/>
        <v>0</v>
      </c>
      <c r="AT32" t="b">
        <f t="shared" ca="1" si="9"/>
        <v>0</v>
      </c>
      <c r="AU32" t="b">
        <f t="shared" ca="1" si="9"/>
        <v>0</v>
      </c>
      <c r="AV32" t="b">
        <f t="shared" ref="AV32:AZ53" ca="1" si="22">ISNUMBER(S32)</f>
        <v>0</v>
      </c>
      <c r="AW32" t="b">
        <f t="shared" ca="1" si="22"/>
        <v>0</v>
      </c>
      <c r="AX32" t="b">
        <f t="shared" ca="1" si="22"/>
        <v>0</v>
      </c>
      <c r="AY32" t="b">
        <f t="shared" ca="1" si="22"/>
        <v>0</v>
      </c>
      <c r="AZ32" t="b">
        <f t="shared" ca="1" si="22"/>
        <v>0</v>
      </c>
      <c r="BA32">
        <f t="shared" ca="1" si="16"/>
        <v>1</v>
      </c>
      <c r="BB32">
        <f t="shared" ca="1" si="17"/>
        <v>7</v>
      </c>
    </row>
    <row r="33" spans="1:54" hidden="1" x14ac:dyDescent="0.25">
      <c r="A33" s="44"/>
      <c r="B33" s="110" t="str">
        <f t="shared" ca="1" si="2"/>
        <v/>
      </c>
      <c r="C33" s="1" t="str">
        <f>IF(ISERROR(D33),"",IF(D33="","",MAX($C$12:C32)+1))</f>
        <v/>
      </c>
      <c r="D33" t="e">
        <f t="shared" si="3"/>
        <v>#N/A</v>
      </c>
      <c r="E33" s="15"/>
      <c r="F33" s="125" t="str">
        <f t="shared" ca="1" si="10"/>
        <v>N/A</v>
      </c>
      <c r="G33" s="125"/>
      <c r="H33" s="125"/>
      <c r="I33" s="125"/>
      <c r="J33" s="125" t="str">
        <f t="shared" si="18"/>
        <v>N/A</v>
      </c>
      <c r="K33" s="125" t="str">
        <f t="shared" si="20"/>
        <v>N/A</v>
      </c>
      <c r="L33" s="125" t="str">
        <f ca="1">IFERROR(IF(VLOOKUP($A33,LASTYR,'[3]2017'!$I$3,FALSE)=0,"N/A",VLOOKUP($A33,LASTYR,'[3]2017'!$I$3,FALSE)),"N/A")</f>
        <v>N/A</v>
      </c>
      <c r="M33" s="125" t="str">
        <f t="shared" ca="1" si="21"/>
        <v>N/A</v>
      </c>
      <c r="N33" s="125" t="str">
        <f t="shared" ca="1" si="21"/>
        <v>N/A</v>
      </c>
      <c r="O33" s="125" t="str">
        <f t="shared" ca="1" si="21"/>
        <v>N/A</v>
      </c>
      <c r="P33" s="125" t="str">
        <f t="shared" ca="1" si="21"/>
        <v>N/A</v>
      </c>
      <c r="Q33" s="125" t="str">
        <f t="shared" ca="1" si="21"/>
        <v>N/A</v>
      </c>
      <c r="R33" s="125" t="str">
        <f t="shared" ca="1" si="21"/>
        <v>N/A</v>
      </c>
      <c r="S33" s="125" t="str">
        <f t="shared" ca="1" si="21"/>
        <v>N/A</v>
      </c>
      <c r="T33" s="125" t="str">
        <f t="shared" ca="1" si="21"/>
        <v>N/A</v>
      </c>
      <c r="U33" s="125" t="str">
        <f t="shared" ca="1" si="21"/>
        <v>N/A</v>
      </c>
      <c r="V33" s="125" t="str">
        <f t="shared" ca="1" si="21"/>
        <v>N/A</v>
      </c>
      <c r="W33" s="125" t="str">
        <f t="shared" ca="1" si="21"/>
        <v>N/A</v>
      </c>
      <c r="X33" s="77" t="str">
        <f t="shared" si="11"/>
        <v>N/A</v>
      </c>
      <c r="Y33" s="77" t="str">
        <f t="shared" ca="1" si="12"/>
        <v>N/A</v>
      </c>
      <c r="Z33" s="125" t="e">
        <f ca="1">(L33/W33)^(1/10)-1</f>
        <v>#VALUE!</v>
      </c>
      <c r="AA33" s="77" t="e">
        <f t="shared" ca="1" si="14"/>
        <v>#VALUE!</v>
      </c>
      <c r="AB33" s="77"/>
      <c r="AC33" s="184">
        <v>10</v>
      </c>
      <c r="AD33" s="181" t="str">
        <f t="shared" si="5"/>
        <v>N/A</v>
      </c>
      <c r="AE33" s="190">
        <v>43100</v>
      </c>
      <c r="AF33" s="186" t="e">
        <f t="shared" si="6"/>
        <v>#VALUE!</v>
      </c>
      <c r="AG33" s="187" t="e">
        <f t="shared" si="15"/>
        <v>#VALUE!</v>
      </c>
      <c r="AH33" s="187" t="e">
        <f t="shared" si="7"/>
        <v>#VALUE!</v>
      </c>
      <c r="AI33" s="188" t="e">
        <f t="shared" ca="1" si="8"/>
        <v>#VALUE!</v>
      </c>
      <c r="AN33" t="b">
        <f t="shared" ref="AN33:AU53" si="23">ISNUMBER(K33)</f>
        <v>0</v>
      </c>
      <c r="AO33" t="b">
        <f t="shared" ca="1" si="23"/>
        <v>0</v>
      </c>
      <c r="AP33" t="b">
        <f t="shared" ca="1" si="23"/>
        <v>0</v>
      </c>
      <c r="AQ33" t="b">
        <f t="shared" ca="1" si="23"/>
        <v>0</v>
      </c>
      <c r="AR33" t="b">
        <f t="shared" ca="1" si="23"/>
        <v>0</v>
      </c>
      <c r="AS33" t="b">
        <f t="shared" ca="1" si="23"/>
        <v>0</v>
      </c>
      <c r="AT33" t="b">
        <f t="shared" ca="1" si="23"/>
        <v>0</v>
      </c>
      <c r="AU33" t="b">
        <f t="shared" ca="1" si="23"/>
        <v>0</v>
      </c>
      <c r="AV33" t="b">
        <f t="shared" ca="1" si="22"/>
        <v>0</v>
      </c>
      <c r="AW33" t="b">
        <f t="shared" ca="1" si="22"/>
        <v>0</v>
      </c>
      <c r="AX33" t="b">
        <f t="shared" ca="1" si="22"/>
        <v>0</v>
      </c>
      <c r="AY33" t="b">
        <f t="shared" ca="1" si="22"/>
        <v>0</v>
      </c>
      <c r="AZ33" t="b">
        <f t="shared" ca="1" si="22"/>
        <v>0</v>
      </c>
      <c r="BA33">
        <f t="shared" ca="1" si="16"/>
        <v>1</v>
      </c>
      <c r="BB33">
        <f t="shared" ca="1" si="17"/>
        <v>7</v>
      </c>
    </row>
    <row r="34" spans="1:54" hidden="1" x14ac:dyDescent="0.25">
      <c r="A34" s="44"/>
      <c r="B34" s="110" t="str">
        <f t="shared" ca="1" si="2"/>
        <v/>
      </c>
      <c r="C34" s="1" t="str">
        <f>IF(ISERROR(D34),"",IF(D34="","",MAX($C$12:C33)+1))</f>
        <v/>
      </c>
      <c r="D34" t="e">
        <f t="shared" si="3"/>
        <v>#N/A</v>
      </c>
      <c r="E34" s="15"/>
      <c r="F34" s="125" t="str">
        <f t="shared" ca="1" si="10"/>
        <v>N/A</v>
      </c>
      <c r="G34" s="125"/>
      <c r="H34" s="125"/>
      <c r="I34" s="125"/>
      <c r="J34" s="125" t="str">
        <f t="shared" si="18"/>
        <v>N/A</v>
      </c>
      <c r="K34" s="125" t="str">
        <f t="shared" si="20"/>
        <v>N/A</v>
      </c>
      <c r="L34" s="125" t="str">
        <f ca="1">IFERROR(IF(VLOOKUP($A34,LASTYR,'[3]2017'!$I$3,FALSE)=0,"N/A",VLOOKUP($A34,LASTYR,'[3]2017'!$I$3,FALSE)),"N/A")</f>
        <v>N/A</v>
      </c>
      <c r="M34" s="125" t="str">
        <f t="shared" ca="1" si="21"/>
        <v>N/A</v>
      </c>
      <c r="N34" s="125" t="str">
        <f t="shared" ca="1" si="21"/>
        <v>N/A</v>
      </c>
      <c r="O34" s="125" t="str">
        <f t="shared" ca="1" si="21"/>
        <v>N/A</v>
      </c>
      <c r="P34" s="125" t="str">
        <f t="shared" ca="1" si="21"/>
        <v>N/A</v>
      </c>
      <c r="Q34" s="125" t="str">
        <f t="shared" ca="1" si="21"/>
        <v>N/A</v>
      </c>
      <c r="R34" s="125" t="str">
        <f t="shared" ca="1" si="21"/>
        <v>N/A</v>
      </c>
      <c r="S34" s="125" t="str">
        <f t="shared" ca="1" si="21"/>
        <v>N/A</v>
      </c>
      <c r="T34" s="125" t="str">
        <f t="shared" ca="1" si="21"/>
        <v>N/A</v>
      </c>
      <c r="U34" s="125" t="str">
        <f t="shared" ca="1" si="21"/>
        <v>N/A</v>
      </c>
      <c r="V34" s="125" t="str">
        <f t="shared" ca="1" si="21"/>
        <v>N/A</v>
      </c>
      <c r="W34" s="125" t="str">
        <f t="shared" ca="1" si="21"/>
        <v>N/A</v>
      </c>
      <c r="X34" s="77" t="str">
        <f t="shared" ca="1" si="11"/>
        <v>N/A</v>
      </c>
      <c r="Y34" s="77" t="str">
        <f t="shared" ca="1" si="12"/>
        <v>N/A</v>
      </c>
      <c r="Z34" s="125" t="e">
        <f t="shared" ca="1" si="13"/>
        <v>#VALUE!</v>
      </c>
      <c r="AA34" s="77" t="e">
        <f t="shared" ca="1" si="14"/>
        <v>#VALUE!</v>
      </c>
      <c r="AB34" s="77"/>
      <c r="AC34" s="184">
        <f t="shared" ref="AC34:AC57" ca="1" si="24">BA34-2</f>
        <v>-1</v>
      </c>
      <c r="AD34" s="181" t="str">
        <f t="shared" si="5"/>
        <v>N/A</v>
      </c>
      <c r="AE34" s="190">
        <v>43100</v>
      </c>
      <c r="AF34" s="186" t="e">
        <f t="shared" si="6"/>
        <v>#VALUE!</v>
      </c>
      <c r="AG34" s="187" t="e">
        <f t="shared" si="15"/>
        <v>#VALUE!</v>
      </c>
      <c r="AH34" s="187" t="e">
        <f t="shared" ca="1" si="7"/>
        <v>#VALUE!</v>
      </c>
      <c r="AI34" s="188" t="e">
        <f t="shared" ca="1" si="8"/>
        <v>#VALUE!</v>
      </c>
      <c r="AN34" t="b">
        <f t="shared" si="23"/>
        <v>0</v>
      </c>
      <c r="AO34" t="b">
        <f t="shared" ca="1" si="23"/>
        <v>0</v>
      </c>
      <c r="AP34" t="b">
        <f t="shared" ca="1" si="23"/>
        <v>0</v>
      </c>
      <c r="AQ34" t="b">
        <f t="shared" ca="1" si="23"/>
        <v>0</v>
      </c>
      <c r="AR34" t="b">
        <f t="shared" ca="1" si="23"/>
        <v>0</v>
      </c>
      <c r="AS34" t="b">
        <f t="shared" ca="1" si="23"/>
        <v>0</v>
      </c>
      <c r="AT34" t="b">
        <f t="shared" ca="1" si="23"/>
        <v>0</v>
      </c>
      <c r="AU34" t="b">
        <f t="shared" ca="1" si="23"/>
        <v>0</v>
      </c>
      <c r="AV34" t="b">
        <f t="shared" ca="1" si="22"/>
        <v>0</v>
      </c>
      <c r="AW34" t="b">
        <f t="shared" ca="1" si="22"/>
        <v>0</v>
      </c>
      <c r="AX34" t="b">
        <f t="shared" ca="1" si="22"/>
        <v>0</v>
      </c>
      <c r="AY34" t="b">
        <f t="shared" ca="1" si="22"/>
        <v>0</v>
      </c>
      <c r="AZ34" t="b">
        <f t="shared" ca="1" si="22"/>
        <v>0</v>
      </c>
      <c r="BA34">
        <f t="shared" ca="1" si="16"/>
        <v>1</v>
      </c>
      <c r="BB34">
        <f t="shared" ca="1" si="17"/>
        <v>7</v>
      </c>
    </row>
    <row r="35" spans="1:54" hidden="1" x14ac:dyDescent="0.25">
      <c r="A35" s="44"/>
      <c r="B35" s="110" t="str">
        <f t="shared" ca="1" si="2"/>
        <v/>
      </c>
      <c r="C35" s="1" t="str">
        <f>IF(ISERROR(D35),"",IF(D35="","",MAX($C$12:C34)+1))</f>
        <v/>
      </c>
      <c r="D35" t="e">
        <f t="shared" si="3"/>
        <v>#N/A</v>
      </c>
      <c r="E35" s="15"/>
      <c r="F35" s="125" t="str">
        <f t="shared" ca="1" si="10"/>
        <v>N/A</v>
      </c>
      <c r="G35" s="125"/>
      <c r="H35" s="125"/>
      <c r="I35" s="125"/>
      <c r="J35" s="125" t="str">
        <f t="shared" si="18"/>
        <v>N/A</v>
      </c>
      <c r="K35" s="125" t="str">
        <f t="shared" si="20"/>
        <v>N/A</v>
      </c>
      <c r="L35" s="125" t="str">
        <f ca="1">IFERROR(IF(VLOOKUP($A35,LASTYR,'[3]2017'!$I$3,FALSE)=0,"N/A",VLOOKUP($A35,LASTYR,'[3]2017'!$I$3,FALSE)),"N/A")</f>
        <v>N/A</v>
      </c>
      <c r="M35" s="125" t="str">
        <f t="shared" ca="1" si="21"/>
        <v>N/A</v>
      </c>
      <c r="N35" s="125" t="str">
        <f t="shared" ca="1" si="21"/>
        <v>N/A</v>
      </c>
      <c r="O35" s="125" t="str">
        <f t="shared" ca="1" si="21"/>
        <v>N/A</v>
      </c>
      <c r="P35" s="125" t="str">
        <f t="shared" ca="1" si="21"/>
        <v>N/A</v>
      </c>
      <c r="Q35" s="125" t="str">
        <f t="shared" ca="1" si="21"/>
        <v>N/A</v>
      </c>
      <c r="R35" s="125" t="str">
        <f t="shared" ca="1" si="21"/>
        <v>N/A</v>
      </c>
      <c r="S35" s="125" t="str">
        <f t="shared" ca="1" si="21"/>
        <v>N/A</v>
      </c>
      <c r="T35" s="125" t="str">
        <f t="shared" ca="1" si="21"/>
        <v>N/A</v>
      </c>
      <c r="U35" s="125" t="str">
        <f t="shared" ca="1" si="21"/>
        <v>N/A</v>
      </c>
      <c r="V35" s="125" t="str">
        <f t="shared" ca="1" si="21"/>
        <v>N/A</v>
      </c>
      <c r="W35" s="125" t="str">
        <f t="shared" ca="1" si="21"/>
        <v>N/A</v>
      </c>
      <c r="X35" s="77" t="str">
        <f t="shared" ca="1" si="11"/>
        <v>N/A</v>
      </c>
      <c r="Y35" s="77" t="str">
        <f t="shared" ca="1" si="12"/>
        <v>N/A</v>
      </c>
      <c r="Z35" s="125" t="e">
        <f t="shared" ca="1" si="13"/>
        <v>#VALUE!</v>
      </c>
      <c r="AA35" s="77" t="e">
        <f t="shared" ca="1" si="14"/>
        <v>#VALUE!</v>
      </c>
      <c r="AB35" s="77"/>
      <c r="AC35" s="184">
        <f t="shared" ca="1" si="24"/>
        <v>-1</v>
      </c>
      <c r="AD35" s="181" t="str">
        <f t="shared" si="5"/>
        <v>N/A</v>
      </c>
      <c r="AE35" s="190">
        <v>43100</v>
      </c>
      <c r="AF35" s="186" t="e">
        <f t="shared" si="6"/>
        <v>#VALUE!</v>
      </c>
      <c r="AG35" s="187" t="e">
        <f t="shared" si="15"/>
        <v>#VALUE!</v>
      </c>
      <c r="AH35" s="187" t="e">
        <f t="shared" ca="1" si="7"/>
        <v>#VALUE!</v>
      </c>
      <c r="AI35" s="188" t="e">
        <f t="shared" ca="1" si="8"/>
        <v>#VALUE!</v>
      </c>
      <c r="AN35" t="b">
        <f t="shared" si="23"/>
        <v>0</v>
      </c>
      <c r="AO35" t="b">
        <f t="shared" ca="1" si="23"/>
        <v>0</v>
      </c>
      <c r="AP35" t="b">
        <f t="shared" ca="1" si="23"/>
        <v>0</v>
      </c>
      <c r="AQ35" t="b">
        <f t="shared" ca="1" si="23"/>
        <v>0</v>
      </c>
      <c r="AR35" t="b">
        <f t="shared" ca="1" si="23"/>
        <v>0</v>
      </c>
      <c r="AS35" t="b">
        <f t="shared" ca="1" si="23"/>
        <v>0</v>
      </c>
      <c r="AT35" t="b">
        <f t="shared" ca="1" si="23"/>
        <v>0</v>
      </c>
      <c r="AU35" t="b">
        <f t="shared" ca="1" si="23"/>
        <v>0</v>
      </c>
      <c r="AV35" t="b">
        <f t="shared" ca="1" si="22"/>
        <v>0</v>
      </c>
      <c r="AW35" t="b">
        <f t="shared" ca="1" si="22"/>
        <v>0</v>
      </c>
      <c r="AX35" t="b">
        <f t="shared" ca="1" si="22"/>
        <v>0</v>
      </c>
      <c r="AY35" t="b">
        <f t="shared" ca="1" si="22"/>
        <v>0</v>
      </c>
      <c r="AZ35" t="b">
        <f t="shared" ca="1" si="22"/>
        <v>0</v>
      </c>
      <c r="BA35">
        <f t="shared" ca="1" si="16"/>
        <v>1</v>
      </c>
      <c r="BB35">
        <f t="shared" ca="1" si="17"/>
        <v>7</v>
      </c>
    </row>
    <row r="36" spans="1:54" hidden="1" x14ac:dyDescent="0.25">
      <c r="A36" s="44"/>
      <c r="B36" s="110" t="str">
        <f t="shared" ca="1" si="2"/>
        <v/>
      </c>
      <c r="C36" s="1" t="str">
        <f>IF(ISERROR(D36),"",IF(D36="","",MAX($C$12:C35)+1))</f>
        <v/>
      </c>
      <c r="D36" t="e">
        <f t="shared" si="3"/>
        <v>#N/A</v>
      </c>
      <c r="E36" s="15"/>
      <c r="F36" s="125" t="str">
        <f t="shared" ca="1" si="10"/>
        <v>N/A</v>
      </c>
      <c r="G36" s="125"/>
      <c r="H36" s="125"/>
      <c r="I36" s="125"/>
      <c r="J36" s="125" t="str">
        <f t="shared" si="18"/>
        <v>N/A</v>
      </c>
      <c r="K36" s="125" t="str">
        <f t="shared" si="20"/>
        <v>N/A</v>
      </c>
      <c r="L36" s="125" t="str">
        <f ca="1">IFERROR(IF(VLOOKUP($A36,LASTYR,'[3]2017'!$I$3,FALSE)=0,"N/A",VLOOKUP($A36,LASTYR,'[3]2017'!$I$3,FALSE)),"N/A")</f>
        <v>N/A</v>
      </c>
      <c r="M36" s="125" t="str">
        <f t="shared" ca="1" si="21"/>
        <v>N/A</v>
      </c>
      <c r="N36" s="125" t="str">
        <f t="shared" ca="1" si="21"/>
        <v>N/A</v>
      </c>
      <c r="O36" s="125" t="str">
        <f t="shared" ca="1" si="21"/>
        <v>N/A</v>
      </c>
      <c r="P36" s="125" t="str">
        <f t="shared" ca="1" si="21"/>
        <v>N/A</v>
      </c>
      <c r="Q36" s="125" t="str">
        <f t="shared" ca="1" si="21"/>
        <v>N/A</v>
      </c>
      <c r="R36" s="125" t="str">
        <f t="shared" ca="1" si="21"/>
        <v>N/A</v>
      </c>
      <c r="S36" s="125" t="str">
        <f t="shared" ca="1" si="21"/>
        <v>N/A</v>
      </c>
      <c r="T36" s="125" t="str">
        <f t="shared" ca="1" si="21"/>
        <v>N/A</v>
      </c>
      <c r="U36" s="125" t="str">
        <f t="shared" ca="1" si="21"/>
        <v>N/A</v>
      </c>
      <c r="V36" s="125" t="str">
        <f t="shared" ca="1" si="21"/>
        <v>N/A</v>
      </c>
      <c r="W36" s="125" t="str">
        <f t="shared" ca="1" si="21"/>
        <v>N/A</v>
      </c>
      <c r="X36" s="77" t="str">
        <f t="shared" ca="1" si="11"/>
        <v>N/A</v>
      </c>
      <c r="Y36" s="77" t="str">
        <f t="shared" ca="1" si="12"/>
        <v>N/A</v>
      </c>
      <c r="Z36" s="125" t="e">
        <f t="shared" ca="1" si="13"/>
        <v>#VALUE!</v>
      </c>
      <c r="AA36" s="77" t="e">
        <f t="shared" ca="1" si="14"/>
        <v>#VALUE!</v>
      </c>
      <c r="AB36" s="77"/>
      <c r="AC36" s="184">
        <f t="shared" ca="1" si="24"/>
        <v>-1</v>
      </c>
      <c r="AD36" s="181" t="str">
        <f t="shared" si="5"/>
        <v>N/A</v>
      </c>
      <c r="AE36" s="190">
        <v>43100</v>
      </c>
      <c r="AF36" s="186" t="e">
        <f t="shared" si="6"/>
        <v>#VALUE!</v>
      </c>
      <c r="AG36" s="187" t="e">
        <f t="shared" si="15"/>
        <v>#VALUE!</v>
      </c>
      <c r="AH36" s="187" t="e">
        <f t="shared" ca="1" si="7"/>
        <v>#VALUE!</v>
      </c>
      <c r="AI36" s="188" t="e">
        <f t="shared" ca="1" si="8"/>
        <v>#VALUE!</v>
      </c>
      <c r="AN36" t="b">
        <f t="shared" si="23"/>
        <v>0</v>
      </c>
      <c r="AO36" t="b">
        <f t="shared" ca="1" si="23"/>
        <v>0</v>
      </c>
      <c r="AP36" t="b">
        <f t="shared" ca="1" si="23"/>
        <v>0</v>
      </c>
      <c r="AQ36" t="b">
        <f t="shared" ca="1" si="23"/>
        <v>0</v>
      </c>
      <c r="AR36" t="b">
        <f t="shared" ca="1" si="23"/>
        <v>0</v>
      </c>
      <c r="AS36" t="b">
        <f t="shared" ca="1" si="23"/>
        <v>0</v>
      </c>
      <c r="AT36" t="b">
        <f t="shared" ca="1" si="23"/>
        <v>0</v>
      </c>
      <c r="AU36" t="b">
        <f t="shared" ca="1" si="23"/>
        <v>0</v>
      </c>
      <c r="AV36" t="b">
        <f t="shared" ca="1" si="22"/>
        <v>0</v>
      </c>
      <c r="AW36" t="b">
        <f t="shared" ca="1" si="22"/>
        <v>0</v>
      </c>
      <c r="AX36" t="b">
        <f t="shared" ca="1" si="22"/>
        <v>0</v>
      </c>
      <c r="AY36" t="b">
        <f t="shared" ca="1" si="22"/>
        <v>0</v>
      </c>
      <c r="AZ36" t="b">
        <f t="shared" ca="1" si="22"/>
        <v>0</v>
      </c>
      <c r="BA36">
        <f t="shared" ca="1" si="16"/>
        <v>1</v>
      </c>
      <c r="BB36">
        <f t="shared" ca="1" si="17"/>
        <v>7</v>
      </c>
    </row>
    <row r="37" spans="1:54" hidden="1" x14ac:dyDescent="0.25">
      <c r="A37" s="44"/>
      <c r="B37" s="110" t="str">
        <f t="shared" ca="1" si="2"/>
        <v/>
      </c>
      <c r="C37" s="1" t="str">
        <f>IF(ISERROR(D37),"",IF(D37="","",MAX($C$12:C36)+1))</f>
        <v/>
      </c>
      <c r="D37" t="e">
        <f t="shared" si="3"/>
        <v>#N/A</v>
      </c>
      <c r="E37" s="15"/>
      <c r="F37" s="125" t="str">
        <f t="shared" ca="1" si="10"/>
        <v>N/A</v>
      </c>
      <c r="G37" s="125"/>
      <c r="H37" s="125"/>
      <c r="I37" s="125"/>
      <c r="J37" s="125" t="str">
        <f t="shared" si="18"/>
        <v>N/A</v>
      </c>
      <c r="K37" s="125" t="str">
        <f t="shared" si="20"/>
        <v>N/A</v>
      </c>
      <c r="L37" s="125" t="str">
        <f ca="1">IFERROR(IF(VLOOKUP($A37,LASTYR,'[3]2017'!$I$3,FALSE)=0,"N/A",VLOOKUP($A37,LASTYR,'[3]2017'!$I$3,FALSE)),"N/A")</f>
        <v>N/A</v>
      </c>
      <c r="M37" s="125" t="str">
        <f t="shared" ca="1" si="21"/>
        <v>N/A</v>
      </c>
      <c r="N37" s="125" t="str">
        <f t="shared" ca="1" si="21"/>
        <v>N/A</v>
      </c>
      <c r="O37" s="125" t="str">
        <f t="shared" ca="1" si="21"/>
        <v>N/A</v>
      </c>
      <c r="P37" s="125" t="str">
        <f t="shared" ca="1" si="21"/>
        <v>N/A</v>
      </c>
      <c r="Q37" s="125" t="str">
        <f t="shared" ca="1" si="21"/>
        <v>N/A</v>
      </c>
      <c r="R37" s="125" t="str">
        <f t="shared" ca="1" si="21"/>
        <v>N/A</v>
      </c>
      <c r="S37" s="125" t="str">
        <f t="shared" ca="1" si="21"/>
        <v>N/A</v>
      </c>
      <c r="T37" s="125" t="str">
        <f t="shared" ca="1" si="21"/>
        <v>N/A</v>
      </c>
      <c r="U37" s="125" t="str">
        <f t="shared" ca="1" si="21"/>
        <v>N/A</v>
      </c>
      <c r="V37" s="125" t="str">
        <f t="shared" ca="1" si="21"/>
        <v>N/A</v>
      </c>
      <c r="W37" s="125" t="str">
        <f t="shared" ca="1" si="21"/>
        <v>N/A</v>
      </c>
      <c r="X37" s="77" t="str">
        <f t="shared" ca="1" si="11"/>
        <v>N/A</v>
      </c>
      <c r="Y37" s="77" t="str">
        <f t="shared" ca="1" si="12"/>
        <v>N/A</v>
      </c>
      <c r="Z37" s="125" t="e">
        <f ca="1">+W37*(1+Y37)^11</f>
        <v>#VALUE!</v>
      </c>
      <c r="AA37" s="77" t="e">
        <f t="shared" ca="1" si="14"/>
        <v>#VALUE!</v>
      </c>
      <c r="AB37" s="77"/>
      <c r="AC37" s="184">
        <f t="shared" ca="1" si="24"/>
        <v>-1</v>
      </c>
      <c r="AD37" s="181" t="str">
        <f t="shared" si="5"/>
        <v>N/A</v>
      </c>
      <c r="AE37" s="190">
        <v>43100</v>
      </c>
      <c r="AF37" s="186" t="e">
        <f t="shared" si="6"/>
        <v>#VALUE!</v>
      </c>
      <c r="AG37" s="187" t="e">
        <f t="shared" si="15"/>
        <v>#VALUE!</v>
      </c>
      <c r="AH37" s="187" t="e">
        <f t="shared" ca="1" si="7"/>
        <v>#VALUE!</v>
      </c>
      <c r="AI37" s="188" t="e">
        <f t="shared" ca="1" si="8"/>
        <v>#VALUE!</v>
      </c>
      <c r="AN37" t="b">
        <f t="shared" si="23"/>
        <v>0</v>
      </c>
      <c r="AO37" t="b">
        <f t="shared" ca="1" si="23"/>
        <v>0</v>
      </c>
      <c r="AP37" t="b">
        <f t="shared" ca="1" si="23"/>
        <v>0</v>
      </c>
      <c r="AQ37" t="b">
        <f t="shared" ca="1" si="23"/>
        <v>0</v>
      </c>
      <c r="AR37" t="b">
        <f t="shared" ca="1" si="23"/>
        <v>0</v>
      </c>
      <c r="AS37" t="b">
        <f t="shared" ca="1" si="23"/>
        <v>0</v>
      </c>
      <c r="AT37" t="b">
        <f t="shared" ca="1" si="23"/>
        <v>0</v>
      </c>
      <c r="AU37" t="b">
        <f t="shared" ca="1" si="23"/>
        <v>0</v>
      </c>
      <c r="AV37" t="b">
        <f t="shared" ca="1" si="22"/>
        <v>0</v>
      </c>
      <c r="AW37" t="b">
        <f t="shared" ca="1" si="22"/>
        <v>0</v>
      </c>
      <c r="AX37" t="b">
        <f t="shared" ca="1" si="22"/>
        <v>0</v>
      </c>
      <c r="AY37" t="b">
        <f t="shared" ca="1" si="22"/>
        <v>0</v>
      </c>
      <c r="AZ37" t="b">
        <f t="shared" ca="1" si="22"/>
        <v>0</v>
      </c>
      <c r="BA37">
        <f t="shared" ca="1" si="16"/>
        <v>1</v>
      </c>
      <c r="BB37">
        <f t="shared" ca="1" si="17"/>
        <v>7</v>
      </c>
    </row>
    <row r="38" spans="1:54" hidden="1" x14ac:dyDescent="0.25">
      <c r="A38" s="44"/>
      <c r="B38" s="110" t="str">
        <f t="shared" ca="1" si="2"/>
        <v/>
      </c>
      <c r="C38" s="1" t="str">
        <f>IF(ISERROR(D38),"",IF(D38="","",MAX($C$12:C37)+1))</f>
        <v/>
      </c>
      <c r="D38" t="e">
        <f t="shared" si="3"/>
        <v>#N/A</v>
      </c>
      <c r="E38" s="15"/>
      <c r="F38" s="125" t="str">
        <f t="shared" ca="1" si="10"/>
        <v>N/A</v>
      </c>
      <c r="G38" s="125"/>
      <c r="H38" s="125"/>
      <c r="I38" s="125"/>
      <c r="J38" s="125" t="str">
        <f t="shared" si="18"/>
        <v>N/A</v>
      </c>
      <c r="K38" s="125" t="str">
        <f t="shared" si="20"/>
        <v>N/A</v>
      </c>
      <c r="L38" s="125" t="str">
        <f ca="1">IFERROR(IF(VLOOKUP($A38,LASTYR,'[3]2017'!$I$3,FALSE)=0,"N/A",VLOOKUP($A38,LASTYR,'[3]2017'!$I$3,FALSE)),"N/A")</f>
        <v>N/A</v>
      </c>
      <c r="M38" s="125" t="str">
        <f t="shared" ca="1" si="21"/>
        <v>N/A</v>
      </c>
      <c r="N38" s="125" t="str">
        <f t="shared" ca="1" si="21"/>
        <v>N/A</v>
      </c>
      <c r="O38" s="125" t="str">
        <f t="shared" ca="1" si="21"/>
        <v>N/A</v>
      </c>
      <c r="P38" s="125" t="str">
        <f t="shared" ca="1" si="21"/>
        <v>N/A</v>
      </c>
      <c r="Q38" s="125" t="str">
        <f t="shared" ca="1" si="21"/>
        <v>N/A</v>
      </c>
      <c r="R38" s="125" t="str">
        <f t="shared" ca="1" si="21"/>
        <v>N/A</v>
      </c>
      <c r="S38" s="125" t="str">
        <f t="shared" ca="1" si="21"/>
        <v>N/A</v>
      </c>
      <c r="T38" s="125" t="str">
        <f t="shared" ca="1" si="21"/>
        <v>N/A</v>
      </c>
      <c r="U38" s="125" t="str">
        <f t="shared" ca="1" si="21"/>
        <v>N/A</v>
      </c>
      <c r="V38" s="125" t="str">
        <f t="shared" ca="1" si="21"/>
        <v>N/A</v>
      </c>
      <c r="W38" s="125" t="str">
        <f t="shared" ca="1" si="21"/>
        <v>N/A</v>
      </c>
      <c r="X38" s="77" t="str">
        <f t="shared" ca="1" si="11"/>
        <v>N/A</v>
      </c>
      <c r="Y38" s="77" t="str">
        <f t="shared" ca="1" si="12"/>
        <v>N/A</v>
      </c>
      <c r="Z38" s="125" t="e">
        <f t="shared" ca="1" si="13"/>
        <v>#VALUE!</v>
      </c>
      <c r="AA38" s="77" t="e">
        <f t="shared" ca="1" si="14"/>
        <v>#VALUE!</v>
      </c>
      <c r="AB38" s="77"/>
      <c r="AC38" s="184">
        <f t="shared" ca="1" si="24"/>
        <v>-1</v>
      </c>
      <c r="AD38" s="181" t="str">
        <f t="shared" si="5"/>
        <v>N/A</v>
      </c>
      <c r="AE38" s="190">
        <v>43100</v>
      </c>
      <c r="AF38" s="186" t="e">
        <f t="shared" si="6"/>
        <v>#VALUE!</v>
      </c>
      <c r="AG38" s="187" t="e">
        <f t="shared" si="15"/>
        <v>#VALUE!</v>
      </c>
      <c r="AH38" s="187" t="e">
        <f t="shared" ca="1" si="7"/>
        <v>#VALUE!</v>
      </c>
      <c r="AI38" s="188" t="e">
        <f t="shared" ca="1" si="8"/>
        <v>#VALUE!</v>
      </c>
      <c r="AN38" t="b">
        <f t="shared" si="23"/>
        <v>0</v>
      </c>
      <c r="AO38" t="b">
        <f t="shared" ca="1" si="23"/>
        <v>0</v>
      </c>
      <c r="AP38" t="b">
        <f t="shared" ca="1" si="23"/>
        <v>0</v>
      </c>
      <c r="AQ38" t="b">
        <f t="shared" ca="1" si="23"/>
        <v>0</v>
      </c>
      <c r="AR38" t="b">
        <f t="shared" ca="1" si="23"/>
        <v>0</v>
      </c>
      <c r="AS38" t="b">
        <f t="shared" ca="1" si="23"/>
        <v>0</v>
      </c>
      <c r="AT38" t="b">
        <f t="shared" ca="1" si="23"/>
        <v>0</v>
      </c>
      <c r="AU38" t="b">
        <f t="shared" ca="1" si="23"/>
        <v>0</v>
      </c>
      <c r="AV38" t="b">
        <f t="shared" ca="1" si="22"/>
        <v>0</v>
      </c>
      <c r="AW38" t="b">
        <f t="shared" ca="1" si="22"/>
        <v>0</v>
      </c>
      <c r="AX38" t="b">
        <f t="shared" ca="1" si="22"/>
        <v>0</v>
      </c>
      <c r="AY38" t="b">
        <f t="shared" ca="1" si="22"/>
        <v>0</v>
      </c>
      <c r="AZ38" t="b">
        <f t="shared" ca="1" si="22"/>
        <v>0</v>
      </c>
      <c r="BA38">
        <f t="shared" ca="1" si="16"/>
        <v>1</v>
      </c>
      <c r="BB38">
        <f t="shared" ca="1" si="17"/>
        <v>7</v>
      </c>
    </row>
    <row r="39" spans="1:54" hidden="1" x14ac:dyDescent="0.25">
      <c r="A39" s="44"/>
      <c r="B39" s="110" t="str">
        <f t="shared" ca="1" si="2"/>
        <v/>
      </c>
      <c r="C39" s="1" t="str">
        <f>IF(ISERROR(D39),"",IF(D39="","",MAX($C$12:C38)+1))</f>
        <v/>
      </c>
      <c r="D39" t="e">
        <f t="shared" si="3"/>
        <v>#N/A</v>
      </c>
      <c r="E39" s="15"/>
      <c r="F39" s="125" t="str">
        <f t="shared" ca="1" si="10"/>
        <v>N/A</v>
      </c>
      <c r="G39" s="125"/>
      <c r="H39" s="125"/>
      <c r="I39" s="125"/>
      <c r="J39" s="125" t="str">
        <f t="shared" si="18"/>
        <v>N/A</v>
      </c>
      <c r="K39" s="125" t="str">
        <f t="shared" si="20"/>
        <v>N/A</v>
      </c>
      <c r="L39" s="125" t="str">
        <f ca="1">IFERROR(IF(VLOOKUP($A39,LASTYR,'[3]2017'!$I$3,FALSE)=0,"N/A",VLOOKUP($A39,LASTYR,'[3]2017'!$I$3,FALSE)),"N/A")</f>
        <v>N/A</v>
      </c>
      <c r="M39" s="125" t="str">
        <f t="shared" ca="1" si="21"/>
        <v>N/A</v>
      </c>
      <c r="N39" s="125" t="str">
        <f t="shared" ca="1" si="21"/>
        <v>N/A</v>
      </c>
      <c r="O39" s="125" t="str">
        <f t="shared" ca="1" si="21"/>
        <v>N/A</v>
      </c>
      <c r="P39" s="125" t="str">
        <f t="shared" ca="1" si="21"/>
        <v>N/A</v>
      </c>
      <c r="Q39" s="125" t="str">
        <f t="shared" ca="1" si="21"/>
        <v>N/A</v>
      </c>
      <c r="R39" s="125" t="str">
        <f t="shared" ca="1" si="21"/>
        <v>N/A</v>
      </c>
      <c r="S39" s="125" t="str">
        <f t="shared" ca="1" si="21"/>
        <v>N/A</v>
      </c>
      <c r="T39" s="125" t="str">
        <f t="shared" ca="1" si="21"/>
        <v>N/A</v>
      </c>
      <c r="U39" s="125" t="str">
        <f t="shared" ca="1" si="21"/>
        <v>N/A</v>
      </c>
      <c r="V39" s="125" t="str">
        <f t="shared" ca="1" si="21"/>
        <v>N/A</v>
      </c>
      <c r="W39" s="125" t="str">
        <f t="shared" ca="1" si="21"/>
        <v>N/A</v>
      </c>
      <c r="X39" s="77" t="str">
        <f t="shared" ca="1" si="11"/>
        <v>N/A</v>
      </c>
      <c r="Y39" s="77" t="str">
        <f t="shared" ca="1" si="12"/>
        <v>N/A</v>
      </c>
      <c r="Z39" s="125" t="e">
        <f t="shared" ca="1" si="13"/>
        <v>#VALUE!</v>
      </c>
      <c r="AA39" s="77" t="e">
        <f t="shared" ca="1" si="14"/>
        <v>#VALUE!</v>
      </c>
      <c r="AB39" s="77"/>
      <c r="AC39" s="184">
        <f t="shared" ca="1" si="24"/>
        <v>-1</v>
      </c>
      <c r="AD39" s="181" t="str">
        <f t="shared" si="5"/>
        <v>N/A</v>
      </c>
      <c r="AE39" s="190">
        <v>43100</v>
      </c>
      <c r="AF39" s="186" t="e">
        <f t="shared" si="6"/>
        <v>#VALUE!</v>
      </c>
      <c r="AG39" s="187" t="e">
        <f t="shared" si="15"/>
        <v>#VALUE!</v>
      </c>
      <c r="AH39" s="187" t="e">
        <f t="shared" ca="1" si="7"/>
        <v>#VALUE!</v>
      </c>
      <c r="AI39" s="188" t="e">
        <f t="shared" ca="1" si="8"/>
        <v>#VALUE!</v>
      </c>
      <c r="AN39" t="b">
        <f t="shared" si="23"/>
        <v>0</v>
      </c>
      <c r="AO39" t="b">
        <f t="shared" ca="1" si="23"/>
        <v>0</v>
      </c>
      <c r="AP39" t="b">
        <f t="shared" ca="1" si="23"/>
        <v>0</v>
      </c>
      <c r="AQ39" t="b">
        <f t="shared" ca="1" si="23"/>
        <v>0</v>
      </c>
      <c r="AR39" t="b">
        <f t="shared" ca="1" si="23"/>
        <v>0</v>
      </c>
      <c r="AS39" t="b">
        <f t="shared" ca="1" si="23"/>
        <v>0</v>
      </c>
      <c r="AT39" t="b">
        <f t="shared" ca="1" si="23"/>
        <v>0</v>
      </c>
      <c r="AU39" t="b">
        <f t="shared" ca="1" si="23"/>
        <v>0</v>
      </c>
      <c r="AV39" t="b">
        <f t="shared" ca="1" si="22"/>
        <v>0</v>
      </c>
      <c r="AW39" t="b">
        <f t="shared" ca="1" si="22"/>
        <v>0</v>
      </c>
      <c r="AX39" t="b">
        <f t="shared" ca="1" si="22"/>
        <v>0</v>
      </c>
      <c r="AY39" t="b">
        <f t="shared" ca="1" si="22"/>
        <v>0</v>
      </c>
      <c r="AZ39" t="b">
        <f t="shared" ca="1" si="22"/>
        <v>0</v>
      </c>
      <c r="BA39">
        <f t="shared" ca="1" si="16"/>
        <v>1</v>
      </c>
      <c r="BB39">
        <f t="shared" ca="1" si="17"/>
        <v>7</v>
      </c>
    </row>
    <row r="40" spans="1:54" hidden="1" x14ac:dyDescent="0.25">
      <c r="A40" s="44"/>
      <c r="B40" s="110" t="str">
        <f t="shared" ca="1" si="2"/>
        <v/>
      </c>
      <c r="C40" s="1" t="str">
        <f>IF(ISERROR(D40),"",IF(D40="","",MAX($C$12:C39)+1))</f>
        <v/>
      </c>
      <c r="D40" t="e">
        <f t="shared" si="3"/>
        <v>#N/A</v>
      </c>
      <c r="E40" s="15"/>
      <c r="F40" s="125" t="str">
        <f t="shared" ca="1" si="10"/>
        <v>N/A</v>
      </c>
      <c r="G40" s="125"/>
      <c r="H40" s="125"/>
      <c r="I40" s="125"/>
      <c r="J40" s="125" t="str">
        <f t="shared" si="18"/>
        <v>N/A</v>
      </c>
      <c r="K40" s="125" t="str">
        <f t="shared" si="20"/>
        <v>N/A</v>
      </c>
      <c r="L40" s="125" t="str">
        <f ca="1">IFERROR(IF(VLOOKUP($A40,LASTYR,'[3]2017'!$I$3,FALSE)=0,"N/A",VLOOKUP($A40,LASTYR,'[3]2017'!$I$3,FALSE)),"N/A")</f>
        <v>N/A</v>
      </c>
      <c r="M40" s="125" t="str">
        <f t="shared" ca="1" si="21"/>
        <v>N/A</v>
      </c>
      <c r="N40" s="125" t="str">
        <f t="shared" ca="1" si="21"/>
        <v>N/A</v>
      </c>
      <c r="O40" s="125" t="str">
        <f t="shared" ca="1" si="21"/>
        <v>N/A</v>
      </c>
      <c r="P40" s="125" t="str">
        <f t="shared" ca="1" si="21"/>
        <v>N/A</v>
      </c>
      <c r="Q40" s="125" t="str">
        <f t="shared" ca="1" si="21"/>
        <v>N/A</v>
      </c>
      <c r="R40" s="125" t="str">
        <f t="shared" ca="1" si="21"/>
        <v>N/A</v>
      </c>
      <c r="S40" s="125" t="str">
        <f t="shared" ca="1" si="21"/>
        <v>N/A</v>
      </c>
      <c r="T40" s="125" t="str">
        <f t="shared" ca="1" si="21"/>
        <v>N/A</v>
      </c>
      <c r="U40" s="125" t="str">
        <f t="shared" ca="1" si="21"/>
        <v>N/A</v>
      </c>
      <c r="V40" s="125" t="str">
        <f t="shared" ca="1" si="21"/>
        <v>N/A</v>
      </c>
      <c r="W40" s="125" t="str">
        <f t="shared" ca="1" si="21"/>
        <v>N/A</v>
      </c>
      <c r="X40" s="77" t="str">
        <f t="shared" ca="1" si="11"/>
        <v>N/A</v>
      </c>
      <c r="Y40" s="77" t="str">
        <f t="shared" ca="1" si="12"/>
        <v>N/A</v>
      </c>
      <c r="Z40" s="125" t="e">
        <f t="shared" ca="1" si="13"/>
        <v>#VALUE!</v>
      </c>
      <c r="AA40" s="77" t="e">
        <f t="shared" ca="1" si="14"/>
        <v>#VALUE!</v>
      </c>
      <c r="AB40" s="77"/>
      <c r="AC40" s="184">
        <f t="shared" ca="1" si="24"/>
        <v>-1</v>
      </c>
      <c r="AD40" s="181" t="str">
        <f t="shared" si="5"/>
        <v>N/A</v>
      </c>
      <c r="AE40" s="190">
        <v>43100</v>
      </c>
      <c r="AF40" s="186" t="e">
        <f t="shared" si="6"/>
        <v>#VALUE!</v>
      </c>
      <c r="AG40" s="187" t="e">
        <f t="shared" si="15"/>
        <v>#VALUE!</v>
      </c>
      <c r="AH40" s="187" t="e">
        <f t="shared" ca="1" si="7"/>
        <v>#VALUE!</v>
      </c>
      <c r="AI40" s="188" t="e">
        <f t="shared" ca="1" si="8"/>
        <v>#VALUE!</v>
      </c>
      <c r="AN40" t="b">
        <f t="shared" si="23"/>
        <v>0</v>
      </c>
      <c r="AO40" t="b">
        <f t="shared" ca="1" si="23"/>
        <v>0</v>
      </c>
      <c r="AP40" t="b">
        <f t="shared" ca="1" si="23"/>
        <v>0</v>
      </c>
      <c r="AQ40" t="b">
        <f t="shared" ca="1" si="23"/>
        <v>0</v>
      </c>
      <c r="AR40" t="b">
        <f t="shared" ca="1" si="23"/>
        <v>0</v>
      </c>
      <c r="AS40" t="b">
        <f t="shared" ca="1" si="23"/>
        <v>0</v>
      </c>
      <c r="AT40" t="b">
        <f t="shared" ca="1" si="23"/>
        <v>0</v>
      </c>
      <c r="AU40" t="b">
        <f t="shared" ca="1" si="23"/>
        <v>0</v>
      </c>
      <c r="AV40" t="b">
        <f t="shared" ca="1" si="22"/>
        <v>0</v>
      </c>
      <c r="AW40" t="b">
        <f t="shared" ca="1" si="22"/>
        <v>0</v>
      </c>
      <c r="AX40" t="b">
        <f t="shared" ca="1" si="22"/>
        <v>0</v>
      </c>
      <c r="AY40" t="b">
        <f t="shared" ca="1" si="22"/>
        <v>0</v>
      </c>
      <c r="AZ40" t="b">
        <f t="shared" ca="1" si="22"/>
        <v>0</v>
      </c>
      <c r="BA40">
        <f t="shared" ca="1" si="16"/>
        <v>1</v>
      </c>
      <c r="BB40">
        <f t="shared" ca="1" si="17"/>
        <v>7</v>
      </c>
    </row>
    <row r="41" spans="1:54" hidden="1" x14ac:dyDescent="0.25">
      <c r="A41" s="44"/>
      <c r="B41" s="110" t="str">
        <f t="shared" ca="1" si="2"/>
        <v/>
      </c>
      <c r="C41" s="1" t="str">
        <f>IF(ISERROR(D41),"",IF(D41="","",MAX($C$12:C40)+1))</f>
        <v/>
      </c>
      <c r="D41" t="e">
        <f t="shared" si="3"/>
        <v>#N/A</v>
      </c>
      <c r="E41" s="15"/>
      <c r="F41" s="125" t="str">
        <f t="shared" ca="1" si="10"/>
        <v>N/A</v>
      </c>
      <c r="G41" s="125"/>
      <c r="H41" s="125"/>
      <c r="I41" s="125"/>
      <c r="J41" s="125" t="str">
        <f t="shared" si="18"/>
        <v>N/A</v>
      </c>
      <c r="K41" s="125" t="str">
        <f t="shared" si="20"/>
        <v>N/A</v>
      </c>
      <c r="L41" s="125" t="str">
        <f ca="1">IFERROR(IF(VLOOKUP($A41,LASTYR,'[3]2017'!$I$3,FALSE)=0,"N/A",VLOOKUP($A41,LASTYR,'[3]2017'!$I$3,FALSE)),"N/A")</f>
        <v>N/A</v>
      </c>
      <c r="M41" s="125" t="str">
        <f t="shared" ca="1" si="21"/>
        <v>N/A</v>
      </c>
      <c r="N41" s="125" t="str">
        <f t="shared" ca="1" si="21"/>
        <v>N/A</v>
      </c>
      <c r="O41" s="125" t="str">
        <f t="shared" ca="1" si="21"/>
        <v>N/A</v>
      </c>
      <c r="P41" s="125" t="str">
        <f t="shared" ca="1" si="21"/>
        <v>N/A</v>
      </c>
      <c r="Q41" s="125" t="str">
        <f t="shared" ca="1" si="21"/>
        <v>N/A</v>
      </c>
      <c r="R41" s="125" t="str">
        <f t="shared" ca="1" si="21"/>
        <v>N/A</v>
      </c>
      <c r="S41" s="125" t="str">
        <f t="shared" ca="1" si="21"/>
        <v>N/A</v>
      </c>
      <c r="T41" s="125" t="str">
        <f t="shared" ca="1" si="21"/>
        <v>N/A</v>
      </c>
      <c r="U41" s="125" t="str">
        <f t="shared" ca="1" si="21"/>
        <v>N/A</v>
      </c>
      <c r="V41" s="125" t="str">
        <f t="shared" ca="1" si="21"/>
        <v>N/A</v>
      </c>
      <c r="W41" s="125" t="str">
        <f t="shared" ca="1" si="21"/>
        <v>N/A</v>
      </c>
      <c r="X41" s="77" t="str">
        <f t="shared" ca="1" si="11"/>
        <v>N/A</v>
      </c>
      <c r="Y41" s="77" t="str">
        <f t="shared" ca="1" si="12"/>
        <v>N/A</v>
      </c>
      <c r="Z41" s="125" t="e">
        <f t="shared" ca="1" si="13"/>
        <v>#VALUE!</v>
      </c>
      <c r="AA41" s="77" t="e">
        <f t="shared" ca="1" si="14"/>
        <v>#VALUE!</v>
      </c>
      <c r="AB41" s="77"/>
      <c r="AC41" s="184">
        <f t="shared" ca="1" si="24"/>
        <v>-1</v>
      </c>
      <c r="AD41" s="181" t="str">
        <f t="shared" si="5"/>
        <v>N/A</v>
      </c>
      <c r="AE41" s="190">
        <v>43100</v>
      </c>
      <c r="AF41" s="186" t="e">
        <f t="shared" si="6"/>
        <v>#VALUE!</v>
      </c>
      <c r="AG41" s="187" t="e">
        <f t="shared" si="15"/>
        <v>#VALUE!</v>
      </c>
      <c r="AH41" s="187" t="e">
        <f t="shared" ca="1" si="7"/>
        <v>#VALUE!</v>
      </c>
      <c r="AI41" s="188" t="e">
        <f t="shared" ca="1" si="8"/>
        <v>#VALUE!</v>
      </c>
      <c r="AN41" t="b">
        <f t="shared" si="23"/>
        <v>0</v>
      </c>
      <c r="AO41" t="b">
        <f t="shared" ca="1" si="23"/>
        <v>0</v>
      </c>
      <c r="AP41" t="b">
        <f t="shared" ca="1" si="23"/>
        <v>0</v>
      </c>
      <c r="AQ41" t="b">
        <f t="shared" ca="1" si="23"/>
        <v>0</v>
      </c>
      <c r="AR41" t="b">
        <f t="shared" ca="1" si="23"/>
        <v>0</v>
      </c>
      <c r="AS41" t="b">
        <f t="shared" ca="1" si="23"/>
        <v>0</v>
      </c>
      <c r="AT41" t="b">
        <f t="shared" ca="1" si="23"/>
        <v>0</v>
      </c>
      <c r="AU41" t="b">
        <f t="shared" ca="1" si="23"/>
        <v>0</v>
      </c>
      <c r="AV41" t="b">
        <f t="shared" ca="1" si="22"/>
        <v>0</v>
      </c>
      <c r="AW41" t="b">
        <f t="shared" ca="1" si="22"/>
        <v>0</v>
      </c>
      <c r="AX41" t="b">
        <f t="shared" ca="1" si="22"/>
        <v>0</v>
      </c>
      <c r="AY41" t="b">
        <f t="shared" ca="1" si="22"/>
        <v>0</v>
      </c>
      <c r="AZ41" t="b">
        <f t="shared" ca="1" si="22"/>
        <v>0</v>
      </c>
      <c r="BA41">
        <f t="shared" ca="1" si="16"/>
        <v>1</v>
      </c>
      <c r="BB41">
        <f t="shared" ca="1" si="17"/>
        <v>7</v>
      </c>
    </row>
    <row r="42" spans="1:54" hidden="1" x14ac:dyDescent="0.25">
      <c r="A42" s="44"/>
      <c r="B42" s="110" t="str">
        <f t="shared" ca="1" si="2"/>
        <v/>
      </c>
      <c r="C42" s="1" t="str">
        <f>IF(ISERROR(D42),"",IF(D42="","",MAX($C$12:C41)+1))</f>
        <v/>
      </c>
      <c r="D42" t="e">
        <f t="shared" si="3"/>
        <v>#N/A</v>
      </c>
      <c r="E42" s="15"/>
      <c r="F42" s="125" t="str">
        <f t="shared" ca="1" si="10"/>
        <v>N/A</v>
      </c>
      <c r="G42" s="125"/>
      <c r="H42" s="125"/>
      <c r="I42" s="125"/>
      <c r="J42" s="125" t="str">
        <f t="shared" si="18"/>
        <v>N/A</v>
      </c>
      <c r="K42" s="125" t="str">
        <f t="shared" si="20"/>
        <v>N/A</v>
      </c>
      <c r="L42" s="125" t="str">
        <f ca="1">IFERROR(IF(VLOOKUP($A42,LASTYR,'[3]2017'!$I$3,FALSE)=0,"N/A",VLOOKUP($A42,LASTYR,'[3]2017'!$I$3,FALSE)),"N/A")</f>
        <v>N/A</v>
      </c>
      <c r="M42" s="125" t="str">
        <f t="shared" ca="1" si="21"/>
        <v>N/A</v>
      </c>
      <c r="N42" s="125" t="str">
        <f t="shared" ca="1" si="21"/>
        <v>N/A</v>
      </c>
      <c r="O42" s="125" t="str">
        <f t="shared" ca="1" si="21"/>
        <v>N/A</v>
      </c>
      <c r="P42" s="125" t="str">
        <f t="shared" ca="1" si="21"/>
        <v>N/A</v>
      </c>
      <c r="Q42" s="125" t="str">
        <f t="shared" ca="1" si="21"/>
        <v>N/A</v>
      </c>
      <c r="R42" s="125" t="str">
        <f t="shared" ca="1" si="21"/>
        <v>N/A</v>
      </c>
      <c r="S42" s="125" t="str">
        <f t="shared" ca="1" si="21"/>
        <v>N/A</v>
      </c>
      <c r="T42" s="125" t="str">
        <f t="shared" ca="1" si="21"/>
        <v>N/A</v>
      </c>
      <c r="U42" s="125" t="str">
        <f t="shared" ca="1" si="21"/>
        <v>N/A</v>
      </c>
      <c r="V42" s="125" t="str">
        <f t="shared" ca="1" si="21"/>
        <v>N/A</v>
      </c>
      <c r="W42" s="125" t="str">
        <f t="shared" ca="1" si="21"/>
        <v>N/A</v>
      </c>
      <c r="X42" s="77" t="str">
        <f t="shared" ca="1" si="11"/>
        <v>N/A</v>
      </c>
      <c r="Y42" s="77" t="str">
        <f t="shared" ca="1" si="12"/>
        <v>N/A</v>
      </c>
      <c r="Z42" s="125" t="e">
        <f t="shared" ca="1" si="13"/>
        <v>#VALUE!</v>
      </c>
      <c r="AA42" s="77" t="e">
        <f t="shared" ca="1" si="14"/>
        <v>#VALUE!</v>
      </c>
      <c r="AB42" s="77"/>
      <c r="AC42" s="184">
        <f t="shared" ca="1" si="24"/>
        <v>-1</v>
      </c>
      <c r="AD42" s="181" t="str">
        <f t="shared" si="5"/>
        <v>N/A</v>
      </c>
      <c r="AE42" s="190">
        <v>43100</v>
      </c>
      <c r="AF42" s="186" t="e">
        <f t="shared" si="6"/>
        <v>#VALUE!</v>
      </c>
      <c r="AG42" s="187" t="e">
        <f t="shared" si="15"/>
        <v>#VALUE!</v>
      </c>
      <c r="AH42" s="187" t="e">
        <f t="shared" ca="1" si="7"/>
        <v>#VALUE!</v>
      </c>
      <c r="AI42" s="188" t="e">
        <f t="shared" ca="1" si="8"/>
        <v>#VALUE!</v>
      </c>
      <c r="AN42" t="b">
        <f t="shared" si="23"/>
        <v>0</v>
      </c>
      <c r="AO42" t="b">
        <f t="shared" ca="1" si="23"/>
        <v>0</v>
      </c>
      <c r="AP42" t="b">
        <f t="shared" ca="1" si="23"/>
        <v>0</v>
      </c>
      <c r="AQ42" t="b">
        <f t="shared" ca="1" si="23"/>
        <v>0</v>
      </c>
      <c r="AR42" t="b">
        <f t="shared" ca="1" si="23"/>
        <v>0</v>
      </c>
      <c r="AS42" t="b">
        <f t="shared" ca="1" si="23"/>
        <v>0</v>
      </c>
      <c r="AT42" t="b">
        <f t="shared" ca="1" si="23"/>
        <v>0</v>
      </c>
      <c r="AU42" t="b">
        <f t="shared" ca="1" si="23"/>
        <v>0</v>
      </c>
      <c r="AV42" t="b">
        <f t="shared" ca="1" si="22"/>
        <v>0</v>
      </c>
      <c r="AW42" t="b">
        <f t="shared" ca="1" si="22"/>
        <v>0</v>
      </c>
      <c r="AX42" t="b">
        <f t="shared" ca="1" si="22"/>
        <v>0</v>
      </c>
      <c r="AY42" t="b">
        <f t="shared" ca="1" si="22"/>
        <v>0</v>
      </c>
      <c r="AZ42" t="b">
        <f t="shared" ca="1" si="22"/>
        <v>0</v>
      </c>
      <c r="BA42">
        <f t="shared" ca="1" si="16"/>
        <v>1</v>
      </c>
      <c r="BB42">
        <f t="shared" ca="1" si="17"/>
        <v>7</v>
      </c>
    </row>
    <row r="43" spans="1:54" hidden="1" x14ac:dyDescent="0.25">
      <c r="A43" s="44"/>
      <c r="B43" s="110" t="str">
        <f t="shared" ca="1" si="2"/>
        <v/>
      </c>
      <c r="C43" s="1" t="str">
        <f>IF(ISERROR(D43),"",IF(D43="","",MAX($C$12:C42)+1))</f>
        <v/>
      </c>
      <c r="D43" t="e">
        <f t="shared" si="3"/>
        <v>#N/A</v>
      </c>
      <c r="E43" s="15"/>
      <c r="F43" s="125" t="str">
        <f t="shared" ca="1" si="10"/>
        <v>N/A</v>
      </c>
      <c r="G43" s="125"/>
      <c r="H43" s="125"/>
      <c r="I43" s="125"/>
      <c r="J43" s="125" t="str">
        <f t="shared" si="18"/>
        <v>N/A</v>
      </c>
      <c r="K43" s="125" t="str">
        <f t="shared" si="20"/>
        <v>N/A</v>
      </c>
      <c r="L43" s="125" t="str">
        <f ca="1">IFERROR(IF(VLOOKUP($A43,LASTYR,'[3]2017'!$I$3,FALSE)=0,"N/A",VLOOKUP($A43,LASTYR,'[3]2017'!$I$3,FALSE)),"N/A")</f>
        <v>N/A</v>
      </c>
      <c r="M43" s="125" t="str">
        <f t="shared" ca="1" si="21"/>
        <v>N/A</v>
      </c>
      <c r="N43" s="125" t="str">
        <f t="shared" ca="1" si="21"/>
        <v>N/A</v>
      </c>
      <c r="O43" s="125" t="str">
        <f t="shared" ca="1" si="21"/>
        <v>N/A</v>
      </c>
      <c r="P43" s="125" t="str">
        <f t="shared" ca="1" si="21"/>
        <v>N/A</v>
      </c>
      <c r="Q43" s="125" t="str">
        <f t="shared" ca="1" si="21"/>
        <v>N/A</v>
      </c>
      <c r="R43" s="125" t="str">
        <f t="shared" ca="1" si="21"/>
        <v>N/A</v>
      </c>
      <c r="S43" s="125" t="str">
        <f t="shared" ca="1" si="21"/>
        <v>N/A</v>
      </c>
      <c r="T43" s="125" t="str">
        <f t="shared" ca="1" si="21"/>
        <v>N/A</v>
      </c>
      <c r="U43" s="125" t="str">
        <f t="shared" ca="1" si="21"/>
        <v>N/A</v>
      </c>
      <c r="V43" s="125" t="str">
        <f t="shared" ca="1" si="21"/>
        <v>N/A</v>
      </c>
      <c r="W43" s="125" t="str">
        <f t="shared" ca="1" si="21"/>
        <v>N/A</v>
      </c>
      <c r="X43" s="77" t="str">
        <f t="shared" ca="1" si="11"/>
        <v>N/A</v>
      </c>
      <c r="Y43" s="77" t="str">
        <f t="shared" ca="1" si="12"/>
        <v>N/A</v>
      </c>
      <c r="Z43" s="125" t="e">
        <f t="shared" ca="1" si="13"/>
        <v>#VALUE!</v>
      </c>
      <c r="AA43" s="77" t="e">
        <f t="shared" ca="1" si="14"/>
        <v>#VALUE!</v>
      </c>
      <c r="AB43" s="77"/>
      <c r="AC43" s="184">
        <f t="shared" ca="1" si="24"/>
        <v>-1</v>
      </c>
      <c r="AD43" s="181" t="str">
        <f t="shared" si="5"/>
        <v>N/A</v>
      </c>
      <c r="AE43" s="190">
        <v>43100</v>
      </c>
      <c r="AF43" s="186" t="e">
        <f t="shared" si="6"/>
        <v>#VALUE!</v>
      </c>
      <c r="AG43" s="187" t="e">
        <f t="shared" si="15"/>
        <v>#VALUE!</v>
      </c>
      <c r="AH43" s="187" t="e">
        <f t="shared" ca="1" si="7"/>
        <v>#VALUE!</v>
      </c>
      <c r="AI43" s="188" t="e">
        <f t="shared" ca="1" si="8"/>
        <v>#VALUE!</v>
      </c>
      <c r="AN43" t="b">
        <f t="shared" si="23"/>
        <v>0</v>
      </c>
      <c r="AO43" t="b">
        <f t="shared" ca="1" si="23"/>
        <v>0</v>
      </c>
      <c r="AP43" t="b">
        <f t="shared" ca="1" si="23"/>
        <v>0</v>
      </c>
      <c r="AQ43" t="b">
        <f t="shared" ca="1" si="23"/>
        <v>0</v>
      </c>
      <c r="AR43" t="b">
        <f t="shared" ca="1" si="23"/>
        <v>0</v>
      </c>
      <c r="AS43" t="b">
        <f t="shared" ca="1" si="23"/>
        <v>0</v>
      </c>
      <c r="AT43" t="b">
        <f t="shared" ca="1" si="23"/>
        <v>0</v>
      </c>
      <c r="AU43" t="b">
        <f t="shared" ca="1" si="23"/>
        <v>0</v>
      </c>
      <c r="AV43" t="b">
        <f t="shared" ca="1" si="22"/>
        <v>0</v>
      </c>
      <c r="AW43" t="b">
        <f t="shared" ca="1" si="22"/>
        <v>0</v>
      </c>
      <c r="AX43" t="b">
        <f t="shared" ca="1" si="22"/>
        <v>0</v>
      </c>
      <c r="AY43" t="b">
        <f t="shared" ca="1" si="22"/>
        <v>0</v>
      </c>
      <c r="AZ43" t="b">
        <f t="shared" ca="1" si="22"/>
        <v>0</v>
      </c>
      <c r="BA43">
        <f t="shared" ca="1" si="16"/>
        <v>1</v>
      </c>
      <c r="BB43">
        <f t="shared" ca="1" si="17"/>
        <v>7</v>
      </c>
    </row>
    <row r="44" spans="1:54" hidden="1" x14ac:dyDescent="0.25">
      <c r="A44" s="44"/>
      <c r="B44" s="110" t="str">
        <f t="shared" ca="1" si="2"/>
        <v/>
      </c>
      <c r="C44" s="1" t="str">
        <f>IF(ISERROR(D44),"",IF(D44="","",MAX($C$12:C43)+1))</f>
        <v/>
      </c>
      <c r="D44" t="e">
        <f t="shared" si="3"/>
        <v>#N/A</v>
      </c>
      <c r="E44" s="15"/>
      <c r="F44" s="125" t="str">
        <f t="shared" ca="1" si="10"/>
        <v>N/A</v>
      </c>
      <c r="G44" s="125"/>
      <c r="H44" s="125"/>
      <c r="I44" s="125"/>
      <c r="J44" s="125" t="str">
        <f t="shared" si="18"/>
        <v>N/A</v>
      </c>
      <c r="K44" s="125" t="str">
        <f t="shared" si="20"/>
        <v>N/A</v>
      </c>
      <c r="L44" s="125" t="str">
        <f ca="1">IFERROR(IF(VLOOKUP($A44,LASTYR,'[3]2017'!$I$3,FALSE)=0,"N/A",VLOOKUP($A44,LASTYR,'[3]2017'!$I$3,FALSE)),"N/A")</f>
        <v>N/A</v>
      </c>
      <c r="M44" s="125" t="str">
        <f t="shared" ca="1" si="21"/>
        <v>N/A</v>
      </c>
      <c r="N44" s="125" t="str">
        <f t="shared" ca="1" si="21"/>
        <v>N/A</v>
      </c>
      <c r="O44" s="125" t="str">
        <f t="shared" ca="1" si="21"/>
        <v>N/A</v>
      </c>
      <c r="P44" s="125" t="str">
        <f t="shared" ca="1" si="21"/>
        <v>N/A</v>
      </c>
      <c r="Q44" s="125" t="str">
        <f t="shared" ca="1" si="21"/>
        <v>N/A</v>
      </c>
      <c r="R44" s="125" t="str">
        <f t="shared" ca="1" si="21"/>
        <v>N/A</v>
      </c>
      <c r="S44" s="125" t="str">
        <f t="shared" ca="1" si="21"/>
        <v>N/A</v>
      </c>
      <c r="T44" s="125" t="str">
        <f t="shared" ca="1" si="21"/>
        <v>N/A</v>
      </c>
      <c r="U44" s="125" t="str">
        <f t="shared" ca="1" si="21"/>
        <v>N/A</v>
      </c>
      <c r="V44" s="125" t="str">
        <f t="shared" ca="1" si="21"/>
        <v>N/A</v>
      </c>
      <c r="W44" s="125" t="str">
        <f t="shared" ca="1" si="21"/>
        <v>N/A</v>
      </c>
      <c r="X44" s="77" t="str">
        <f t="shared" ca="1" si="11"/>
        <v>N/A</v>
      </c>
      <c r="Y44" s="77" t="str">
        <f t="shared" ca="1" si="12"/>
        <v>N/A</v>
      </c>
      <c r="Z44" s="125" t="e">
        <f t="shared" ca="1" si="13"/>
        <v>#VALUE!</v>
      </c>
      <c r="AA44" s="77" t="e">
        <f t="shared" ca="1" si="14"/>
        <v>#VALUE!</v>
      </c>
      <c r="AB44" s="77"/>
      <c r="AC44" s="184">
        <f t="shared" ca="1" si="24"/>
        <v>-1</v>
      </c>
      <c r="AD44" s="181" t="str">
        <f t="shared" si="5"/>
        <v>N/A</v>
      </c>
      <c r="AE44" s="190">
        <v>43100</v>
      </c>
      <c r="AF44" s="186" t="e">
        <f t="shared" si="6"/>
        <v>#VALUE!</v>
      </c>
      <c r="AG44" s="187" t="e">
        <f t="shared" si="15"/>
        <v>#VALUE!</v>
      </c>
      <c r="AH44" s="187" t="e">
        <f t="shared" ca="1" si="7"/>
        <v>#VALUE!</v>
      </c>
      <c r="AI44" s="188" t="e">
        <f t="shared" ca="1" si="8"/>
        <v>#VALUE!</v>
      </c>
      <c r="AN44" t="b">
        <f t="shared" si="23"/>
        <v>0</v>
      </c>
      <c r="AO44" t="b">
        <f t="shared" ca="1" si="23"/>
        <v>0</v>
      </c>
      <c r="AP44" t="b">
        <f t="shared" ca="1" si="23"/>
        <v>0</v>
      </c>
      <c r="AQ44" t="b">
        <f t="shared" ca="1" si="23"/>
        <v>0</v>
      </c>
      <c r="AR44" t="b">
        <f t="shared" ca="1" si="23"/>
        <v>0</v>
      </c>
      <c r="AS44" t="b">
        <f t="shared" ca="1" si="23"/>
        <v>0</v>
      </c>
      <c r="AT44" t="b">
        <f t="shared" ca="1" si="23"/>
        <v>0</v>
      </c>
      <c r="AU44" t="b">
        <f t="shared" ca="1" si="23"/>
        <v>0</v>
      </c>
      <c r="AV44" t="b">
        <f t="shared" ca="1" si="22"/>
        <v>0</v>
      </c>
      <c r="AW44" t="b">
        <f t="shared" ca="1" si="22"/>
        <v>0</v>
      </c>
      <c r="AX44" t="b">
        <f t="shared" ca="1" si="22"/>
        <v>0</v>
      </c>
      <c r="AY44" t="b">
        <f t="shared" ca="1" si="22"/>
        <v>0</v>
      </c>
      <c r="AZ44" t="b">
        <f t="shared" ca="1" si="22"/>
        <v>0</v>
      </c>
      <c r="BA44">
        <f t="shared" ca="1" si="16"/>
        <v>1</v>
      </c>
      <c r="BB44">
        <f t="shared" ca="1" si="17"/>
        <v>7</v>
      </c>
    </row>
    <row r="45" spans="1:54" hidden="1" x14ac:dyDescent="0.25">
      <c r="A45" s="44"/>
      <c r="B45" s="110" t="str">
        <f t="shared" ca="1" si="2"/>
        <v/>
      </c>
      <c r="C45" s="1" t="str">
        <f>IF(ISERROR(D45),"",IF(D45="","",MAX($C$12:C44)+1))</f>
        <v/>
      </c>
      <c r="D45" t="e">
        <f t="shared" si="3"/>
        <v>#N/A</v>
      </c>
      <c r="E45" s="15"/>
      <c r="F45" s="125" t="str">
        <f t="shared" ca="1" si="10"/>
        <v>N/A</v>
      </c>
      <c r="G45" s="125"/>
      <c r="H45" s="125"/>
      <c r="I45" s="125"/>
      <c r="J45" s="125" t="str">
        <f t="shared" si="18"/>
        <v>N/A</v>
      </c>
      <c r="K45" s="125" t="str">
        <f t="shared" si="20"/>
        <v>N/A</v>
      </c>
      <c r="L45" s="125" t="str">
        <f ca="1">IFERROR(IF(VLOOKUP($A45,LASTYR,'[3]2017'!$I$3,FALSE)=0,"N/A",VLOOKUP($A45,LASTYR,'[3]2017'!$I$3,FALSE)),"N/A")</f>
        <v>N/A</v>
      </c>
      <c r="M45" s="125" t="str">
        <f t="shared" ca="1" si="21"/>
        <v>N/A</v>
      </c>
      <c r="N45" s="125" t="str">
        <f t="shared" ca="1" si="21"/>
        <v>N/A</v>
      </c>
      <c r="O45" s="125" t="str">
        <f t="shared" ca="1" si="21"/>
        <v>N/A</v>
      </c>
      <c r="P45" s="125" t="str">
        <f t="shared" ca="1" si="21"/>
        <v>N/A</v>
      </c>
      <c r="Q45" s="125" t="str">
        <f t="shared" ca="1" si="21"/>
        <v>N/A</v>
      </c>
      <c r="R45" s="125" t="str">
        <f t="shared" ca="1" si="21"/>
        <v>N/A</v>
      </c>
      <c r="S45" s="125" t="str">
        <f t="shared" ca="1" si="21"/>
        <v>N/A</v>
      </c>
      <c r="T45" s="125" t="str">
        <f t="shared" ca="1" si="21"/>
        <v>N/A</v>
      </c>
      <c r="U45" s="125" t="str">
        <f t="shared" ca="1" si="21"/>
        <v>N/A</v>
      </c>
      <c r="V45" s="125" t="str">
        <f t="shared" ca="1" si="21"/>
        <v>N/A</v>
      </c>
      <c r="W45" s="125" t="str">
        <f t="shared" ca="1" si="21"/>
        <v>N/A</v>
      </c>
      <c r="X45" s="77" t="str">
        <f t="shared" ca="1" si="11"/>
        <v>N/A</v>
      </c>
      <c r="Y45" s="77" t="str">
        <f t="shared" ca="1" si="12"/>
        <v>N/A</v>
      </c>
      <c r="Z45" s="125" t="e">
        <f t="shared" ca="1" si="13"/>
        <v>#VALUE!</v>
      </c>
      <c r="AA45" s="77" t="e">
        <f t="shared" ca="1" si="14"/>
        <v>#VALUE!</v>
      </c>
      <c r="AB45" s="77"/>
      <c r="AC45" s="184">
        <f t="shared" ca="1" si="24"/>
        <v>-1</v>
      </c>
      <c r="AD45" s="181" t="str">
        <f t="shared" si="5"/>
        <v>N/A</v>
      </c>
      <c r="AE45" s="190">
        <v>43100</v>
      </c>
      <c r="AF45" s="186" t="e">
        <f t="shared" si="6"/>
        <v>#VALUE!</v>
      </c>
      <c r="AG45" s="187" t="e">
        <f t="shared" si="15"/>
        <v>#VALUE!</v>
      </c>
      <c r="AH45" s="187" t="e">
        <f t="shared" ca="1" si="7"/>
        <v>#VALUE!</v>
      </c>
      <c r="AI45" s="188" t="e">
        <f t="shared" ca="1" si="8"/>
        <v>#VALUE!</v>
      </c>
      <c r="AN45" t="b">
        <f t="shared" si="23"/>
        <v>0</v>
      </c>
      <c r="AO45" t="b">
        <f t="shared" ca="1" si="23"/>
        <v>0</v>
      </c>
      <c r="AP45" t="b">
        <f t="shared" ca="1" si="23"/>
        <v>0</v>
      </c>
      <c r="AQ45" t="b">
        <f t="shared" ca="1" si="23"/>
        <v>0</v>
      </c>
      <c r="AR45" t="b">
        <f t="shared" ca="1" si="23"/>
        <v>0</v>
      </c>
      <c r="AS45" t="b">
        <f t="shared" ca="1" si="23"/>
        <v>0</v>
      </c>
      <c r="AT45" t="b">
        <f t="shared" ca="1" si="23"/>
        <v>0</v>
      </c>
      <c r="AU45" t="b">
        <f t="shared" ca="1" si="23"/>
        <v>0</v>
      </c>
      <c r="AV45" t="b">
        <f t="shared" ca="1" si="22"/>
        <v>0</v>
      </c>
      <c r="AW45" t="b">
        <f t="shared" ca="1" si="22"/>
        <v>0</v>
      </c>
      <c r="AX45" t="b">
        <f t="shared" ca="1" si="22"/>
        <v>0</v>
      </c>
      <c r="AY45" t="b">
        <f t="shared" ca="1" si="22"/>
        <v>0</v>
      </c>
      <c r="AZ45" t="b">
        <f t="shared" ca="1" si="22"/>
        <v>0</v>
      </c>
      <c r="BA45">
        <f t="shared" ca="1" si="16"/>
        <v>1</v>
      </c>
      <c r="BB45">
        <f t="shared" ca="1" si="17"/>
        <v>7</v>
      </c>
    </row>
    <row r="46" spans="1:54" hidden="1" x14ac:dyDescent="0.25">
      <c r="A46" s="44"/>
      <c r="B46" s="110" t="str">
        <f t="shared" ca="1" si="2"/>
        <v/>
      </c>
      <c r="C46" s="1" t="str">
        <f>IF(ISERROR(D46),"",IF(D46="","",MAX($C$12:C45)+1))</f>
        <v/>
      </c>
      <c r="D46" t="e">
        <f t="shared" si="3"/>
        <v>#N/A</v>
      </c>
      <c r="E46" s="15"/>
      <c r="F46" s="125" t="str">
        <f t="shared" ca="1" si="10"/>
        <v>N/A</v>
      </c>
      <c r="G46" s="125"/>
      <c r="H46" s="125"/>
      <c r="I46" s="125"/>
      <c r="J46" s="125" t="str">
        <f t="shared" si="18"/>
        <v>N/A</v>
      </c>
      <c r="K46" s="125" t="str">
        <f t="shared" si="20"/>
        <v>N/A</v>
      </c>
      <c r="L46" s="125" t="str">
        <f ca="1">IFERROR(IF(VLOOKUP($A46,LASTYR,'[3]2017'!$I$3,FALSE)=0,"N/A",VLOOKUP($A46,LASTYR,'[3]2017'!$I$3,FALSE)),"N/A")</f>
        <v>N/A</v>
      </c>
      <c r="M46" s="125" t="str">
        <f t="shared" ca="1" si="21"/>
        <v>N/A</v>
      </c>
      <c r="N46" s="125" t="str">
        <f t="shared" ca="1" si="21"/>
        <v>N/A</v>
      </c>
      <c r="O46" s="125" t="str">
        <f t="shared" ca="1" si="21"/>
        <v>N/A</v>
      </c>
      <c r="P46" s="125" t="str">
        <f t="shared" ca="1" si="21"/>
        <v>N/A</v>
      </c>
      <c r="Q46" s="125" t="str">
        <f t="shared" ca="1" si="21"/>
        <v>N/A</v>
      </c>
      <c r="R46" s="125" t="str">
        <f t="shared" ca="1" si="21"/>
        <v>N/A</v>
      </c>
      <c r="S46" s="125" t="str">
        <f t="shared" ca="1" si="21"/>
        <v>N/A</v>
      </c>
      <c r="T46" s="125" t="str">
        <f t="shared" ca="1" si="21"/>
        <v>N/A</v>
      </c>
      <c r="U46" s="125" t="str">
        <f t="shared" ca="1" si="21"/>
        <v>N/A</v>
      </c>
      <c r="V46" s="125" t="str">
        <f t="shared" ca="1" si="21"/>
        <v>N/A</v>
      </c>
      <c r="W46" s="125" t="str">
        <f t="shared" ca="1" si="21"/>
        <v>N/A</v>
      </c>
      <c r="X46" s="77" t="str">
        <f t="shared" ca="1" si="11"/>
        <v>N/A</v>
      </c>
      <c r="Y46" s="77" t="str">
        <f t="shared" ca="1" si="12"/>
        <v>N/A</v>
      </c>
      <c r="Z46" s="125" t="e">
        <f t="shared" ca="1" si="13"/>
        <v>#VALUE!</v>
      </c>
      <c r="AA46" s="77" t="e">
        <f t="shared" ca="1" si="14"/>
        <v>#VALUE!</v>
      </c>
      <c r="AB46" s="77"/>
      <c r="AC46" s="184">
        <f t="shared" ca="1" si="24"/>
        <v>-1</v>
      </c>
      <c r="AD46" s="181" t="str">
        <f t="shared" si="5"/>
        <v>N/A</v>
      </c>
      <c r="AE46" s="190">
        <v>43100</v>
      </c>
      <c r="AF46" s="186" t="e">
        <f t="shared" si="6"/>
        <v>#VALUE!</v>
      </c>
      <c r="AG46" s="187" t="e">
        <f t="shared" si="15"/>
        <v>#VALUE!</v>
      </c>
      <c r="AH46" s="187" t="e">
        <f t="shared" ca="1" si="7"/>
        <v>#VALUE!</v>
      </c>
      <c r="AI46" s="188" t="e">
        <f t="shared" ca="1" si="8"/>
        <v>#VALUE!</v>
      </c>
      <c r="AN46" t="b">
        <f t="shared" si="23"/>
        <v>0</v>
      </c>
      <c r="AO46" t="b">
        <f t="shared" ca="1" si="23"/>
        <v>0</v>
      </c>
      <c r="AP46" t="b">
        <f t="shared" ca="1" si="23"/>
        <v>0</v>
      </c>
      <c r="AQ46" t="b">
        <f t="shared" ca="1" si="23"/>
        <v>0</v>
      </c>
      <c r="AR46" t="b">
        <f t="shared" ca="1" si="23"/>
        <v>0</v>
      </c>
      <c r="AS46" t="b">
        <f t="shared" ca="1" si="23"/>
        <v>0</v>
      </c>
      <c r="AT46" t="b">
        <f t="shared" ca="1" si="23"/>
        <v>0</v>
      </c>
      <c r="AU46" t="b">
        <f t="shared" ca="1" si="23"/>
        <v>0</v>
      </c>
      <c r="AV46" t="b">
        <f t="shared" ca="1" si="22"/>
        <v>0</v>
      </c>
      <c r="AW46" t="b">
        <f t="shared" ca="1" si="22"/>
        <v>0</v>
      </c>
      <c r="AX46" t="b">
        <f t="shared" ca="1" si="22"/>
        <v>0</v>
      </c>
      <c r="AY46" t="b">
        <f t="shared" ca="1" si="22"/>
        <v>0</v>
      </c>
      <c r="AZ46" t="b">
        <f t="shared" ca="1" si="22"/>
        <v>0</v>
      </c>
      <c r="BA46">
        <f t="shared" ca="1" si="16"/>
        <v>1</v>
      </c>
      <c r="BB46">
        <f t="shared" ca="1" si="17"/>
        <v>7</v>
      </c>
    </row>
    <row r="47" spans="1:54" hidden="1" x14ac:dyDescent="0.25">
      <c r="A47" s="44"/>
      <c r="B47" s="110" t="str">
        <f t="shared" ca="1" si="2"/>
        <v/>
      </c>
      <c r="C47" s="1" t="str">
        <f>IF(ISERROR(D47),"",IF(D47="","",MAX($C$12:C46)+1))</f>
        <v/>
      </c>
      <c r="D47" t="e">
        <f t="shared" si="3"/>
        <v>#N/A</v>
      </c>
      <c r="E47" s="15"/>
      <c r="F47" s="125" t="str">
        <f t="shared" ca="1" si="10"/>
        <v>N/A</v>
      </c>
      <c r="G47" s="125"/>
      <c r="H47" s="125"/>
      <c r="I47" s="125"/>
      <c r="J47" s="125" t="str">
        <f t="shared" si="18"/>
        <v>N/A</v>
      </c>
      <c r="K47" s="125" t="str">
        <f t="shared" si="20"/>
        <v>N/A</v>
      </c>
      <c r="L47" s="125" t="str">
        <f ca="1">IFERROR(IF(VLOOKUP($A47,LASTYR,'[3]2017'!$I$3,FALSE)=0,"N/A",VLOOKUP($A47,LASTYR,'[3]2017'!$I$3,FALSE)),"N/A")</f>
        <v>N/A</v>
      </c>
      <c r="M47" s="125" t="str">
        <f t="shared" ca="1" si="21"/>
        <v>N/A</v>
      </c>
      <c r="N47" s="125" t="str">
        <f t="shared" ca="1" si="21"/>
        <v>N/A</v>
      </c>
      <c r="O47" s="125" t="str">
        <f t="shared" ca="1" si="21"/>
        <v>N/A</v>
      </c>
      <c r="P47" s="125" t="str">
        <f t="shared" ca="1" si="21"/>
        <v>N/A</v>
      </c>
      <c r="Q47" s="125" t="str">
        <f t="shared" ca="1" si="21"/>
        <v>N/A</v>
      </c>
      <c r="R47" s="125" t="str">
        <f t="shared" ca="1" si="21"/>
        <v>N/A</v>
      </c>
      <c r="S47" s="125" t="str">
        <f t="shared" ca="1" si="21"/>
        <v>N/A</v>
      </c>
      <c r="T47" s="125" t="str">
        <f t="shared" ca="1" si="21"/>
        <v>N/A</v>
      </c>
      <c r="U47" s="125" t="str">
        <f t="shared" ca="1" si="21"/>
        <v>N/A</v>
      </c>
      <c r="V47" s="125" t="str">
        <f t="shared" ca="1" si="21"/>
        <v>N/A</v>
      </c>
      <c r="W47" s="125" t="str">
        <f t="shared" ca="1" si="21"/>
        <v>N/A</v>
      </c>
      <c r="X47" s="77" t="str">
        <f t="shared" ca="1" si="11"/>
        <v>N/A</v>
      </c>
      <c r="Y47" s="77" t="str">
        <f t="shared" ca="1" si="12"/>
        <v>N/A</v>
      </c>
      <c r="Z47" s="125" t="e">
        <f t="shared" ca="1" si="13"/>
        <v>#VALUE!</v>
      </c>
      <c r="AA47" s="77" t="e">
        <f t="shared" ca="1" si="14"/>
        <v>#VALUE!</v>
      </c>
      <c r="AB47" s="77"/>
      <c r="AC47" s="184">
        <f t="shared" ca="1" si="24"/>
        <v>-1</v>
      </c>
      <c r="AD47" s="181" t="str">
        <f t="shared" si="5"/>
        <v>N/A</v>
      </c>
      <c r="AE47" s="190">
        <v>43100</v>
      </c>
      <c r="AF47" s="186" t="e">
        <f t="shared" si="6"/>
        <v>#VALUE!</v>
      </c>
      <c r="AG47" s="187" t="e">
        <f t="shared" si="15"/>
        <v>#VALUE!</v>
      </c>
      <c r="AH47" s="187" t="e">
        <f t="shared" ca="1" si="7"/>
        <v>#VALUE!</v>
      </c>
      <c r="AI47" s="188" t="e">
        <f t="shared" ca="1" si="8"/>
        <v>#VALUE!</v>
      </c>
      <c r="AN47" t="b">
        <f t="shared" si="23"/>
        <v>0</v>
      </c>
      <c r="AO47" t="b">
        <f t="shared" ca="1" si="23"/>
        <v>0</v>
      </c>
      <c r="AP47" t="b">
        <f t="shared" ca="1" si="23"/>
        <v>0</v>
      </c>
      <c r="AQ47" t="b">
        <f t="shared" ca="1" si="23"/>
        <v>0</v>
      </c>
      <c r="AR47" t="b">
        <f t="shared" ca="1" si="23"/>
        <v>0</v>
      </c>
      <c r="AS47" t="b">
        <f t="shared" ca="1" si="23"/>
        <v>0</v>
      </c>
      <c r="AT47" t="b">
        <f t="shared" ca="1" si="23"/>
        <v>0</v>
      </c>
      <c r="AU47" t="b">
        <f t="shared" ca="1" si="23"/>
        <v>0</v>
      </c>
      <c r="AV47" t="b">
        <f t="shared" ca="1" si="22"/>
        <v>0</v>
      </c>
      <c r="AW47" t="b">
        <f t="shared" ca="1" si="22"/>
        <v>0</v>
      </c>
      <c r="AX47" t="b">
        <f t="shared" ca="1" si="22"/>
        <v>0</v>
      </c>
      <c r="AY47" t="b">
        <f t="shared" ca="1" si="22"/>
        <v>0</v>
      </c>
      <c r="AZ47" t="b">
        <f t="shared" ca="1" si="22"/>
        <v>0</v>
      </c>
      <c r="BA47">
        <f t="shared" ca="1" si="16"/>
        <v>1</v>
      </c>
      <c r="BB47">
        <f t="shared" ca="1" si="17"/>
        <v>7</v>
      </c>
    </row>
    <row r="48" spans="1:54" hidden="1" x14ac:dyDescent="0.25">
      <c r="A48" s="44"/>
      <c r="B48" s="110" t="str">
        <f t="shared" ca="1" si="2"/>
        <v/>
      </c>
      <c r="C48" s="1" t="str">
        <f>IF(ISERROR(D48),"",IF(D48="","",MAX($C$12:C47)+1))</f>
        <v/>
      </c>
      <c r="D48" t="e">
        <f t="shared" si="3"/>
        <v>#N/A</v>
      </c>
      <c r="E48" s="15"/>
      <c r="F48" s="125" t="str">
        <f t="shared" ca="1" si="10"/>
        <v>N/A</v>
      </c>
      <c r="G48" s="125"/>
      <c r="H48" s="125"/>
      <c r="I48" s="125"/>
      <c r="J48" s="125" t="str">
        <f t="shared" si="18"/>
        <v>N/A</v>
      </c>
      <c r="K48" s="125" t="str">
        <f t="shared" si="20"/>
        <v>N/A</v>
      </c>
      <c r="L48" s="125" t="str">
        <f ca="1">IFERROR(IF(VLOOKUP($A48,LASTYR,'[3]2017'!$I$3,FALSE)=0,"N/A",VLOOKUP($A48,LASTYR,'[3]2017'!$I$3,FALSE)),"N/A")</f>
        <v>N/A</v>
      </c>
      <c r="M48" s="125" t="str">
        <f t="shared" ca="1" si="21"/>
        <v>N/A</v>
      </c>
      <c r="N48" s="125" t="str">
        <f t="shared" ca="1" si="21"/>
        <v>N/A</v>
      </c>
      <c r="O48" s="125" t="str">
        <f t="shared" ca="1" si="21"/>
        <v>N/A</v>
      </c>
      <c r="P48" s="125" t="str">
        <f t="shared" ca="1" si="21"/>
        <v>N/A</v>
      </c>
      <c r="Q48" s="125" t="str">
        <f t="shared" ca="1" si="21"/>
        <v>N/A</v>
      </c>
      <c r="R48" s="125" t="str">
        <f t="shared" ca="1" si="21"/>
        <v>N/A</v>
      </c>
      <c r="S48" s="125" t="str">
        <f t="shared" ca="1" si="21"/>
        <v>N/A</v>
      </c>
      <c r="T48" s="125" t="str">
        <f t="shared" ca="1" si="21"/>
        <v>N/A</v>
      </c>
      <c r="U48" s="125" t="str">
        <f t="shared" ca="1" si="21"/>
        <v>N/A</v>
      </c>
      <c r="V48" s="125" t="str">
        <f t="shared" ca="1" si="21"/>
        <v>N/A</v>
      </c>
      <c r="W48" s="125" t="str">
        <f t="shared" ca="1" si="21"/>
        <v>N/A</v>
      </c>
      <c r="X48" s="77" t="str">
        <f t="shared" ca="1" si="11"/>
        <v>N/A</v>
      </c>
      <c r="Y48" s="77" t="str">
        <f t="shared" ca="1" si="12"/>
        <v>N/A</v>
      </c>
      <c r="Z48" s="125" t="e">
        <f t="shared" ca="1" si="13"/>
        <v>#VALUE!</v>
      </c>
      <c r="AA48" s="77" t="e">
        <f t="shared" ca="1" si="14"/>
        <v>#VALUE!</v>
      </c>
      <c r="AB48" s="77"/>
      <c r="AC48" s="184">
        <f t="shared" ca="1" si="24"/>
        <v>-1</v>
      </c>
      <c r="AD48" s="181" t="str">
        <f t="shared" si="5"/>
        <v>N/A</v>
      </c>
      <c r="AE48" s="190">
        <v>43100</v>
      </c>
      <c r="AF48" s="186" t="e">
        <f t="shared" si="6"/>
        <v>#VALUE!</v>
      </c>
      <c r="AG48" s="187" t="e">
        <f t="shared" si="15"/>
        <v>#VALUE!</v>
      </c>
      <c r="AH48" s="187" t="e">
        <f t="shared" ca="1" si="7"/>
        <v>#VALUE!</v>
      </c>
      <c r="AI48" s="188" t="e">
        <f t="shared" ca="1" si="8"/>
        <v>#VALUE!</v>
      </c>
      <c r="AN48" t="b">
        <f t="shared" si="23"/>
        <v>0</v>
      </c>
      <c r="AO48" t="b">
        <f t="shared" ca="1" si="23"/>
        <v>0</v>
      </c>
      <c r="AP48" t="b">
        <f t="shared" ca="1" si="23"/>
        <v>0</v>
      </c>
      <c r="AQ48" t="b">
        <f t="shared" ca="1" si="23"/>
        <v>0</v>
      </c>
      <c r="AR48" t="b">
        <f t="shared" ca="1" si="23"/>
        <v>0</v>
      </c>
      <c r="AS48" t="b">
        <f t="shared" ca="1" si="23"/>
        <v>0</v>
      </c>
      <c r="AT48" t="b">
        <f t="shared" ca="1" si="23"/>
        <v>0</v>
      </c>
      <c r="AU48" t="b">
        <f t="shared" ca="1" si="23"/>
        <v>0</v>
      </c>
      <c r="AV48" t="b">
        <f t="shared" ca="1" si="22"/>
        <v>0</v>
      </c>
      <c r="AW48" t="b">
        <f t="shared" ca="1" si="22"/>
        <v>0</v>
      </c>
      <c r="AX48" t="b">
        <f t="shared" ca="1" si="22"/>
        <v>0</v>
      </c>
      <c r="AY48" t="b">
        <f t="shared" ca="1" si="22"/>
        <v>0</v>
      </c>
      <c r="AZ48" t="b">
        <f t="shared" ca="1" si="22"/>
        <v>0</v>
      </c>
      <c r="BA48">
        <f t="shared" ca="1" si="16"/>
        <v>1</v>
      </c>
      <c r="BB48">
        <f t="shared" ca="1" si="17"/>
        <v>7</v>
      </c>
    </row>
    <row r="49" spans="1:54" hidden="1" x14ac:dyDescent="0.25">
      <c r="A49" s="44"/>
      <c r="B49" s="110" t="str">
        <f t="shared" ca="1" si="2"/>
        <v/>
      </c>
      <c r="C49" s="1" t="str">
        <f>IF(ISERROR(D49),"",IF(D49="","",MAX($C$12:C48)+1))</f>
        <v/>
      </c>
      <c r="D49" t="e">
        <f t="shared" si="3"/>
        <v>#N/A</v>
      </c>
      <c r="E49" s="15"/>
      <c r="F49" s="125" t="str">
        <f t="shared" ca="1" si="10"/>
        <v>N/A</v>
      </c>
      <c r="G49" s="125"/>
      <c r="H49" s="125"/>
      <c r="I49" s="125"/>
      <c r="J49" s="125" t="str">
        <f t="shared" si="18"/>
        <v>N/A</v>
      </c>
      <c r="K49" s="125" t="str">
        <f t="shared" si="20"/>
        <v>N/A</v>
      </c>
      <c r="L49" s="125" t="str">
        <f ca="1">IFERROR(IF(VLOOKUP($A49,LASTYR,'[3]2017'!$I$3,FALSE)=0,"N/A",VLOOKUP($A49,LASTYR,'[3]2017'!$I$3,FALSE)),"N/A")</f>
        <v>N/A</v>
      </c>
      <c r="M49" s="125" t="str">
        <f t="shared" ca="1" si="21"/>
        <v>N/A</v>
      </c>
      <c r="N49" s="125" t="str">
        <f t="shared" ca="1" si="21"/>
        <v>N/A</v>
      </c>
      <c r="O49" s="125" t="str">
        <f t="shared" ca="1" si="21"/>
        <v>N/A</v>
      </c>
      <c r="P49" s="125" t="str">
        <f t="shared" ca="1" si="21"/>
        <v>N/A</v>
      </c>
      <c r="Q49" s="125" t="str">
        <f t="shared" ca="1" si="21"/>
        <v>N/A</v>
      </c>
      <c r="R49" s="125" t="str">
        <f t="shared" ca="1" si="21"/>
        <v>N/A</v>
      </c>
      <c r="S49" s="125" t="str">
        <f t="shared" ca="1" si="21"/>
        <v>N/A</v>
      </c>
      <c r="T49" s="125" t="str">
        <f t="shared" ca="1" si="21"/>
        <v>N/A</v>
      </c>
      <c r="U49" s="125" t="str">
        <f t="shared" ca="1" si="21"/>
        <v>N/A</v>
      </c>
      <c r="V49" s="125" t="str">
        <f t="shared" ca="1" si="21"/>
        <v>N/A</v>
      </c>
      <c r="W49" s="125" t="str">
        <f t="shared" ca="1" si="21"/>
        <v>N/A</v>
      </c>
      <c r="X49" s="77" t="str">
        <f t="shared" ca="1" si="11"/>
        <v>N/A</v>
      </c>
      <c r="Y49" s="77" t="str">
        <f t="shared" ca="1" si="12"/>
        <v>N/A</v>
      </c>
      <c r="Z49" s="125" t="e">
        <f t="shared" ca="1" si="13"/>
        <v>#VALUE!</v>
      </c>
      <c r="AA49" s="77" t="e">
        <f t="shared" ca="1" si="14"/>
        <v>#VALUE!</v>
      </c>
      <c r="AB49" s="77"/>
      <c r="AC49" s="184">
        <f t="shared" ca="1" si="24"/>
        <v>-1</v>
      </c>
      <c r="AD49" s="181" t="str">
        <f t="shared" si="5"/>
        <v>N/A</v>
      </c>
      <c r="AE49" s="190">
        <v>43100</v>
      </c>
      <c r="AF49" s="186" t="e">
        <f t="shared" si="6"/>
        <v>#VALUE!</v>
      </c>
      <c r="AG49" s="187" t="e">
        <f t="shared" si="15"/>
        <v>#VALUE!</v>
      </c>
      <c r="AH49" s="187" t="e">
        <f t="shared" ca="1" si="7"/>
        <v>#VALUE!</v>
      </c>
      <c r="AI49" s="188" t="e">
        <f t="shared" ca="1" si="8"/>
        <v>#VALUE!</v>
      </c>
      <c r="AN49" t="b">
        <f t="shared" si="23"/>
        <v>0</v>
      </c>
      <c r="AO49" t="b">
        <f t="shared" ca="1" si="23"/>
        <v>0</v>
      </c>
      <c r="AP49" t="b">
        <f t="shared" ca="1" si="23"/>
        <v>0</v>
      </c>
      <c r="AQ49" t="b">
        <f t="shared" ca="1" si="23"/>
        <v>0</v>
      </c>
      <c r="AR49" t="b">
        <f t="shared" ca="1" si="23"/>
        <v>0</v>
      </c>
      <c r="AS49" t="b">
        <f t="shared" ca="1" si="23"/>
        <v>0</v>
      </c>
      <c r="AT49" t="b">
        <f t="shared" ca="1" si="23"/>
        <v>0</v>
      </c>
      <c r="AU49" t="b">
        <f t="shared" ca="1" si="23"/>
        <v>0</v>
      </c>
      <c r="AV49" t="b">
        <f t="shared" ca="1" si="22"/>
        <v>0</v>
      </c>
      <c r="AW49" t="b">
        <f t="shared" ca="1" si="22"/>
        <v>0</v>
      </c>
      <c r="AX49" t="b">
        <f t="shared" ca="1" si="22"/>
        <v>0</v>
      </c>
      <c r="AY49" t="b">
        <f t="shared" ca="1" si="22"/>
        <v>0</v>
      </c>
      <c r="AZ49" t="b">
        <f t="shared" ca="1" si="22"/>
        <v>0</v>
      </c>
      <c r="BA49">
        <f t="shared" ca="1" si="16"/>
        <v>1</v>
      </c>
      <c r="BB49">
        <f t="shared" ca="1" si="17"/>
        <v>7</v>
      </c>
    </row>
    <row r="50" spans="1:54" hidden="1" x14ac:dyDescent="0.25">
      <c r="A50" s="44"/>
      <c r="B50" s="110" t="str">
        <f t="shared" ca="1" si="2"/>
        <v/>
      </c>
      <c r="C50" s="1" t="str">
        <f>IF(ISERROR(D50),"",IF(D50="","",MAX($C$12:C49)+1))</f>
        <v/>
      </c>
      <c r="D50" t="e">
        <f t="shared" si="3"/>
        <v>#N/A</v>
      </c>
      <c r="E50" s="15"/>
      <c r="F50" s="125" t="str">
        <f t="shared" ca="1" si="10"/>
        <v>N/A</v>
      </c>
      <c r="G50" s="125"/>
      <c r="H50" s="125"/>
      <c r="I50" s="125"/>
      <c r="J50" s="125" t="str">
        <f t="shared" si="18"/>
        <v>N/A</v>
      </c>
      <c r="K50" s="125" t="str">
        <f t="shared" si="20"/>
        <v>N/A</v>
      </c>
      <c r="L50" s="125" t="str">
        <f ca="1">IFERROR(IF(VLOOKUP($A50,LASTYR,'[3]2017'!$I$3,FALSE)=0,"N/A",VLOOKUP($A50,LASTYR,'[3]2017'!$I$3,FALSE)),"N/A")</f>
        <v>N/A</v>
      </c>
      <c r="M50" s="125" t="str">
        <f t="shared" ca="1" si="21"/>
        <v>N/A</v>
      </c>
      <c r="N50" s="125" t="str">
        <f t="shared" ca="1" si="21"/>
        <v>N/A</v>
      </c>
      <c r="O50" s="125" t="str">
        <f t="shared" ca="1" si="21"/>
        <v>N/A</v>
      </c>
      <c r="P50" s="125" t="str">
        <f t="shared" ca="1" si="21"/>
        <v>N/A</v>
      </c>
      <c r="Q50" s="125" t="str">
        <f t="shared" ca="1" si="21"/>
        <v>N/A</v>
      </c>
      <c r="R50" s="125" t="str">
        <f t="shared" ca="1" si="21"/>
        <v>N/A</v>
      </c>
      <c r="S50" s="125" t="str">
        <f t="shared" ca="1" si="21"/>
        <v>N/A</v>
      </c>
      <c r="T50" s="125" t="str">
        <f t="shared" ca="1" si="21"/>
        <v>N/A</v>
      </c>
      <c r="U50" s="125" t="str">
        <f t="shared" ca="1" si="21"/>
        <v>N/A</v>
      </c>
      <c r="V50" s="125" t="str">
        <f t="shared" ca="1" si="21"/>
        <v>N/A</v>
      </c>
      <c r="W50" s="125" t="str">
        <f t="shared" ca="1" si="21"/>
        <v>N/A</v>
      </c>
      <c r="X50" s="77" t="str">
        <f t="shared" ca="1" si="11"/>
        <v>N/A</v>
      </c>
      <c r="Y50" s="77" t="str">
        <f t="shared" ca="1" si="12"/>
        <v>N/A</v>
      </c>
      <c r="Z50" s="125" t="e">
        <f t="shared" ca="1" si="13"/>
        <v>#VALUE!</v>
      </c>
      <c r="AA50" s="77" t="e">
        <f t="shared" ca="1" si="14"/>
        <v>#VALUE!</v>
      </c>
      <c r="AB50" s="77"/>
      <c r="AC50" s="184">
        <f t="shared" ca="1" si="24"/>
        <v>-1</v>
      </c>
      <c r="AD50" s="181" t="str">
        <f t="shared" si="5"/>
        <v>N/A</v>
      </c>
      <c r="AE50" s="190">
        <v>43100</v>
      </c>
      <c r="AF50" s="186" t="e">
        <f t="shared" si="6"/>
        <v>#VALUE!</v>
      </c>
      <c r="AG50" s="187" t="e">
        <f t="shared" si="15"/>
        <v>#VALUE!</v>
      </c>
      <c r="AH50" s="187" t="e">
        <f t="shared" ca="1" si="7"/>
        <v>#VALUE!</v>
      </c>
      <c r="AI50" s="188" t="e">
        <f t="shared" ca="1" si="8"/>
        <v>#VALUE!</v>
      </c>
      <c r="AN50" t="b">
        <f t="shared" si="23"/>
        <v>0</v>
      </c>
      <c r="AO50" t="b">
        <f t="shared" ca="1" si="23"/>
        <v>0</v>
      </c>
      <c r="AP50" t="b">
        <f t="shared" ca="1" si="23"/>
        <v>0</v>
      </c>
      <c r="AQ50" t="b">
        <f t="shared" ca="1" si="23"/>
        <v>0</v>
      </c>
      <c r="AR50" t="b">
        <f t="shared" ca="1" si="23"/>
        <v>0</v>
      </c>
      <c r="AS50" t="b">
        <f t="shared" ca="1" si="23"/>
        <v>0</v>
      </c>
      <c r="AT50" t="b">
        <f t="shared" ca="1" si="23"/>
        <v>0</v>
      </c>
      <c r="AU50" t="b">
        <f t="shared" ca="1" si="23"/>
        <v>0</v>
      </c>
      <c r="AV50" t="b">
        <f t="shared" ca="1" si="22"/>
        <v>0</v>
      </c>
      <c r="AW50" t="b">
        <f t="shared" ca="1" si="22"/>
        <v>0</v>
      </c>
      <c r="AX50" t="b">
        <f t="shared" ca="1" si="22"/>
        <v>0</v>
      </c>
      <c r="AY50" t="b">
        <f t="shared" ca="1" si="22"/>
        <v>0</v>
      </c>
      <c r="AZ50" t="b">
        <f t="shared" ca="1" si="22"/>
        <v>0</v>
      </c>
      <c r="BA50">
        <f t="shared" ca="1" si="16"/>
        <v>1</v>
      </c>
      <c r="BB50">
        <f t="shared" ca="1" si="17"/>
        <v>7</v>
      </c>
    </row>
    <row r="51" spans="1:54" hidden="1" x14ac:dyDescent="0.25">
      <c r="A51" s="44"/>
      <c r="B51" s="110" t="str">
        <f t="shared" ca="1" si="2"/>
        <v/>
      </c>
      <c r="C51" s="1" t="str">
        <f>IF(ISERROR(D51),"",IF(D51="","",MAX($C$12:C50)+1))</f>
        <v/>
      </c>
      <c r="D51" t="e">
        <f t="shared" si="3"/>
        <v>#N/A</v>
      </c>
      <c r="E51" s="15"/>
      <c r="F51" s="125" t="str">
        <f t="shared" ca="1" si="10"/>
        <v>N/A</v>
      </c>
      <c r="G51" s="125"/>
      <c r="H51" s="125"/>
      <c r="I51" s="125"/>
      <c r="J51" s="125" t="str">
        <f t="shared" si="18"/>
        <v>N/A</v>
      </c>
      <c r="K51" s="125" t="str">
        <f t="shared" si="20"/>
        <v>N/A</v>
      </c>
      <c r="L51" s="125" t="str">
        <f ca="1">IFERROR(IF(VLOOKUP($A51,LASTYR,'[3]2017'!$I$3,FALSE)=0,"N/A",VLOOKUP($A51,LASTYR,'[3]2017'!$I$3,FALSE)),"N/A")</f>
        <v>N/A</v>
      </c>
      <c r="M51" s="125" t="str">
        <f t="shared" ca="1" si="21"/>
        <v>N/A</v>
      </c>
      <c r="N51" s="125" t="str">
        <f t="shared" ca="1" si="21"/>
        <v>N/A</v>
      </c>
      <c r="O51" s="125" t="str">
        <f t="shared" ca="1" si="21"/>
        <v>N/A</v>
      </c>
      <c r="P51" s="125" t="str">
        <f t="shared" ca="1" si="21"/>
        <v>N/A</v>
      </c>
      <c r="Q51" s="125" t="str">
        <f t="shared" ca="1" si="21"/>
        <v>N/A</v>
      </c>
      <c r="R51" s="125" t="str">
        <f t="shared" ca="1" si="21"/>
        <v>N/A</v>
      </c>
      <c r="S51" s="125" t="str">
        <f t="shared" ca="1" si="21"/>
        <v>N/A</v>
      </c>
      <c r="T51" s="125" t="str">
        <f t="shared" ca="1" si="21"/>
        <v>N/A</v>
      </c>
      <c r="U51" s="125" t="str">
        <f t="shared" ca="1" si="21"/>
        <v>N/A</v>
      </c>
      <c r="V51" s="125" t="str">
        <f t="shared" ca="1" si="21"/>
        <v>N/A</v>
      </c>
      <c r="W51" s="125" t="str">
        <f t="shared" ca="1" si="21"/>
        <v>N/A</v>
      </c>
      <c r="X51" s="77" t="str">
        <f t="shared" ca="1" si="11"/>
        <v>N/A</v>
      </c>
      <c r="Y51" s="77" t="str">
        <f t="shared" ca="1" si="12"/>
        <v>N/A</v>
      </c>
      <c r="Z51" s="125" t="e">
        <f t="shared" ca="1" si="13"/>
        <v>#VALUE!</v>
      </c>
      <c r="AA51" s="77" t="e">
        <f t="shared" ca="1" si="14"/>
        <v>#VALUE!</v>
      </c>
      <c r="AB51" s="77"/>
      <c r="AC51" s="184">
        <f t="shared" ca="1" si="24"/>
        <v>-1</v>
      </c>
      <c r="AD51" s="181" t="str">
        <f t="shared" si="5"/>
        <v>N/A</v>
      </c>
      <c r="AE51" s="190">
        <v>43100</v>
      </c>
      <c r="AF51" s="186" t="e">
        <f t="shared" si="6"/>
        <v>#VALUE!</v>
      </c>
      <c r="AG51" s="187" t="e">
        <f t="shared" si="15"/>
        <v>#VALUE!</v>
      </c>
      <c r="AH51" s="187" t="e">
        <f t="shared" ca="1" si="7"/>
        <v>#VALUE!</v>
      </c>
      <c r="AI51" s="188" t="e">
        <f t="shared" ca="1" si="8"/>
        <v>#VALUE!</v>
      </c>
      <c r="AN51" t="b">
        <f t="shared" si="23"/>
        <v>0</v>
      </c>
      <c r="AO51" t="b">
        <f t="shared" ca="1" si="23"/>
        <v>0</v>
      </c>
      <c r="AP51" t="b">
        <f t="shared" ca="1" si="23"/>
        <v>0</v>
      </c>
      <c r="AQ51" t="b">
        <f t="shared" ca="1" si="23"/>
        <v>0</v>
      </c>
      <c r="AR51" t="b">
        <f t="shared" ca="1" si="23"/>
        <v>0</v>
      </c>
      <c r="AS51" t="b">
        <f t="shared" ca="1" si="23"/>
        <v>0</v>
      </c>
      <c r="AT51" t="b">
        <f t="shared" ca="1" si="23"/>
        <v>0</v>
      </c>
      <c r="AU51" t="b">
        <f t="shared" ca="1" si="23"/>
        <v>0</v>
      </c>
      <c r="AV51" t="b">
        <f t="shared" ca="1" si="22"/>
        <v>0</v>
      </c>
      <c r="AW51" t="b">
        <f t="shared" ca="1" si="22"/>
        <v>0</v>
      </c>
      <c r="AX51" t="b">
        <f t="shared" ca="1" si="22"/>
        <v>0</v>
      </c>
      <c r="AY51" t="b">
        <f t="shared" ca="1" si="22"/>
        <v>0</v>
      </c>
      <c r="AZ51" t="b">
        <f t="shared" ca="1" si="22"/>
        <v>0</v>
      </c>
      <c r="BA51">
        <f t="shared" ca="1" si="16"/>
        <v>1</v>
      </c>
      <c r="BB51">
        <f t="shared" ca="1" si="17"/>
        <v>7</v>
      </c>
    </row>
    <row r="52" spans="1:54" hidden="1" x14ac:dyDescent="0.25">
      <c r="A52" s="44"/>
      <c r="B52" s="110" t="str">
        <f t="shared" ca="1" si="2"/>
        <v/>
      </c>
      <c r="C52" s="1" t="str">
        <f>IF(ISERROR(D52),"",IF(D52="","",MAX($C$12:C51)+1))</f>
        <v/>
      </c>
      <c r="D52" t="e">
        <f t="shared" si="3"/>
        <v>#N/A</v>
      </c>
      <c r="E52" s="15"/>
      <c r="F52" s="125" t="str">
        <f t="shared" ca="1" si="10"/>
        <v>N/A</v>
      </c>
      <c r="G52" s="125"/>
      <c r="H52" s="125"/>
      <c r="I52" s="125"/>
      <c r="J52" s="125" t="str">
        <f t="shared" si="18"/>
        <v>N/A</v>
      </c>
      <c r="K52" s="125" t="str">
        <f t="shared" si="20"/>
        <v>N/A</v>
      </c>
      <c r="L52" s="125" t="str">
        <f ca="1">IFERROR(IF(VLOOKUP($A52,LASTYR,'[3]2017'!$I$3,FALSE)=0,"N/A",VLOOKUP($A52,LASTYR,'[3]2017'!$I$3,FALSE)),"N/A")</f>
        <v>N/A</v>
      </c>
      <c r="M52" s="125" t="str">
        <f t="shared" ca="1" si="21"/>
        <v>N/A</v>
      </c>
      <c r="N52" s="125" t="str">
        <f t="shared" ca="1" si="21"/>
        <v>N/A</v>
      </c>
      <c r="O52" s="125" t="str">
        <f t="shared" ref="N52:W57" ca="1" si="25">IFERROR(IF(INDEX(Dividends,$B52,O$12)=0,"N/A",INDEX(Dividends,$B52,O$12)),"N/A")</f>
        <v>N/A</v>
      </c>
      <c r="P52" s="125" t="str">
        <f t="shared" ca="1" si="25"/>
        <v>N/A</v>
      </c>
      <c r="Q52" s="125" t="str">
        <f t="shared" ca="1" si="25"/>
        <v>N/A</v>
      </c>
      <c r="R52" s="125" t="str">
        <f t="shared" ca="1" si="25"/>
        <v>N/A</v>
      </c>
      <c r="S52" s="125" t="str">
        <f t="shared" ca="1" si="25"/>
        <v>N/A</v>
      </c>
      <c r="T52" s="125" t="str">
        <f t="shared" ca="1" si="25"/>
        <v>N/A</v>
      </c>
      <c r="U52" s="125" t="str">
        <f t="shared" ca="1" si="25"/>
        <v>N/A</v>
      </c>
      <c r="V52" s="125" t="str">
        <f t="shared" ca="1" si="25"/>
        <v>N/A</v>
      </c>
      <c r="W52" s="125" t="str">
        <f t="shared" ca="1" si="25"/>
        <v>N/A</v>
      </c>
      <c r="X52" s="77" t="str">
        <f t="shared" ca="1" si="11"/>
        <v>N/A</v>
      </c>
      <c r="Y52" s="77" t="str">
        <f t="shared" ca="1" si="12"/>
        <v>N/A</v>
      </c>
      <c r="Z52" s="125" t="e">
        <f t="shared" ca="1" si="13"/>
        <v>#VALUE!</v>
      </c>
      <c r="AA52" s="77" t="e">
        <f t="shared" ca="1" si="14"/>
        <v>#VALUE!</v>
      </c>
      <c r="AB52" s="77"/>
      <c r="AC52" s="184">
        <f t="shared" ca="1" si="24"/>
        <v>-1</v>
      </c>
      <c r="AD52" s="181" t="str">
        <f t="shared" si="5"/>
        <v>N/A</v>
      </c>
      <c r="AE52" s="190">
        <v>43100</v>
      </c>
      <c r="AF52" s="186" t="e">
        <f t="shared" si="6"/>
        <v>#VALUE!</v>
      </c>
      <c r="AG52" s="187" t="e">
        <f t="shared" si="15"/>
        <v>#VALUE!</v>
      </c>
      <c r="AH52" s="187" t="e">
        <f t="shared" ca="1" si="7"/>
        <v>#VALUE!</v>
      </c>
      <c r="AI52" s="188" t="e">
        <f t="shared" ca="1" si="8"/>
        <v>#VALUE!</v>
      </c>
      <c r="AN52" t="b">
        <f t="shared" si="23"/>
        <v>0</v>
      </c>
      <c r="AO52" t="b">
        <f t="shared" ca="1" si="23"/>
        <v>0</v>
      </c>
      <c r="AP52" t="b">
        <f t="shared" ca="1" si="23"/>
        <v>0</v>
      </c>
      <c r="AQ52" t="b">
        <f t="shared" ca="1" si="23"/>
        <v>0</v>
      </c>
      <c r="AR52" t="b">
        <f t="shared" ca="1" si="23"/>
        <v>0</v>
      </c>
      <c r="AS52" t="b">
        <f t="shared" ca="1" si="23"/>
        <v>0</v>
      </c>
      <c r="AT52" t="b">
        <f t="shared" ca="1" si="23"/>
        <v>0</v>
      </c>
      <c r="AU52" t="b">
        <f t="shared" ca="1" si="23"/>
        <v>0</v>
      </c>
      <c r="AV52" t="b">
        <f t="shared" ca="1" si="22"/>
        <v>0</v>
      </c>
      <c r="AW52" t="b">
        <f t="shared" ca="1" si="22"/>
        <v>0</v>
      </c>
      <c r="AX52" t="b">
        <f t="shared" ca="1" si="22"/>
        <v>0</v>
      </c>
      <c r="AY52" t="b">
        <f t="shared" ca="1" si="22"/>
        <v>0</v>
      </c>
      <c r="AZ52" t="b">
        <f t="shared" ca="1" si="22"/>
        <v>0</v>
      </c>
      <c r="BA52">
        <f t="shared" ca="1" si="16"/>
        <v>1</v>
      </c>
      <c r="BB52">
        <f t="shared" ca="1" si="17"/>
        <v>7</v>
      </c>
    </row>
    <row r="53" spans="1:54" hidden="1" x14ac:dyDescent="0.25">
      <c r="A53" s="44"/>
      <c r="B53" s="110" t="str">
        <f t="shared" ca="1" si="2"/>
        <v/>
      </c>
      <c r="C53" s="1" t="str">
        <f>IF(ISERROR(D53),"",IF(D53="","",MAX($C$12:C52)+1))</f>
        <v/>
      </c>
      <c r="D53" t="e">
        <f t="shared" si="3"/>
        <v>#N/A</v>
      </c>
      <c r="E53" s="15"/>
      <c r="F53" s="125" t="str">
        <f t="shared" ca="1" si="10"/>
        <v>N/A</v>
      </c>
      <c r="G53" s="125"/>
      <c r="H53" s="125"/>
      <c r="I53" s="125"/>
      <c r="J53" s="125" t="str">
        <f t="shared" si="18"/>
        <v>N/A</v>
      </c>
      <c r="K53" s="125" t="str">
        <f t="shared" si="20"/>
        <v>N/A</v>
      </c>
      <c r="L53" s="125" t="str">
        <f ca="1">IFERROR(IF(VLOOKUP($A53,LASTYR,'[3]2017'!$I$3,FALSE)=0,"N/A",VLOOKUP($A53,LASTYR,'[3]2017'!$I$3,FALSE)),"N/A")</f>
        <v>N/A</v>
      </c>
      <c r="M53" s="125" t="str">
        <f ca="1">IFERROR(IF(INDEX(Dividends,$B53,M$12)=0,"N/A",INDEX(Dividends,$B53,M$12)),"N/A")</f>
        <v>N/A</v>
      </c>
      <c r="N53" s="125" t="str">
        <f t="shared" ca="1" si="25"/>
        <v>N/A</v>
      </c>
      <c r="O53" s="125" t="str">
        <f t="shared" ca="1" si="25"/>
        <v>N/A</v>
      </c>
      <c r="P53" s="125" t="str">
        <f t="shared" ca="1" si="25"/>
        <v>N/A</v>
      </c>
      <c r="Q53" s="125" t="str">
        <f t="shared" ca="1" si="25"/>
        <v>N/A</v>
      </c>
      <c r="R53" s="125" t="str">
        <f t="shared" ca="1" si="25"/>
        <v>N/A</v>
      </c>
      <c r="S53" s="125" t="str">
        <f t="shared" ca="1" si="25"/>
        <v>N/A</v>
      </c>
      <c r="T53" s="125" t="str">
        <f t="shared" ca="1" si="25"/>
        <v>N/A</v>
      </c>
      <c r="U53" s="125" t="str">
        <f t="shared" ca="1" si="25"/>
        <v>N/A</v>
      </c>
      <c r="V53" s="125" t="str">
        <f t="shared" ca="1" si="25"/>
        <v>N/A</v>
      </c>
      <c r="W53" s="125" t="str">
        <f t="shared" ca="1" si="25"/>
        <v>N/A</v>
      </c>
      <c r="X53" s="77" t="str">
        <f t="shared" ca="1" si="11"/>
        <v>N/A</v>
      </c>
      <c r="Y53" s="77" t="str">
        <f t="shared" ca="1" si="12"/>
        <v>N/A</v>
      </c>
      <c r="Z53" s="125" t="e">
        <f t="shared" ca="1" si="13"/>
        <v>#VALUE!</v>
      </c>
      <c r="AA53" s="77" t="e">
        <f t="shared" ca="1" si="14"/>
        <v>#VALUE!</v>
      </c>
      <c r="AB53" s="77"/>
      <c r="AC53" s="184">
        <f t="shared" ca="1" si="24"/>
        <v>-1</v>
      </c>
      <c r="AD53" s="181" t="str">
        <f t="shared" si="5"/>
        <v>N/A</v>
      </c>
      <c r="AE53" s="190">
        <v>43100</v>
      </c>
      <c r="AF53" s="186" t="e">
        <f t="shared" si="6"/>
        <v>#VALUE!</v>
      </c>
      <c r="AG53" s="187" t="e">
        <f t="shared" si="15"/>
        <v>#VALUE!</v>
      </c>
      <c r="AH53" s="187" t="e">
        <f t="shared" ca="1" si="7"/>
        <v>#VALUE!</v>
      </c>
      <c r="AI53" s="188" t="e">
        <f t="shared" ca="1" si="8"/>
        <v>#VALUE!</v>
      </c>
      <c r="AN53" t="b">
        <f t="shared" si="23"/>
        <v>0</v>
      </c>
      <c r="AO53" t="b">
        <f t="shared" ca="1" si="23"/>
        <v>0</v>
      </c>
      <c r="AP53" t="b">
        <f t="shared" ca="1" si="23"/>
        <v>0</v>
      </c>
      <c r="AQ53" t="b">
        <f t="shared" ca="1" si="23"/>
        <v>0</v>
      </c>
      <c r="AR53" t="b">
        <f t="shared" ca="1" si="23"/>
        <v>0</v>
      </c>
      <c r="AS53" t="b">
        <f t="shared" ca="1" si="23"/>
        <v>0</v>
      </c>
      <c r="AT53" t="b">
        <f t="shared" ca="1" si="23"/>
        <v>0</v>
      </c>
      <c r="AU53" t="b">
        <f t="shared" ca="1" si="23"/>
        <v>0</v>
      </c>
      <c r="AV53" t="b">
        <f t="shared" ca="1" si="22"/>
        <v>0</v>
      </c>
      <c r="AW53" t="b">
        <f t="shared" ca="1" si="22"/>
        <v>0</v>
      </c>
      <c r="AX53" t="b">
        <f t="shared" ca="1" si="22"/>
        <v>0</v>
      </c>
      <c r="AY53" t="b">
        <f t="shared" ca="1" si="22"/>
        <v>0</v>
      </c>
      <c r="AZ53" t="b">
        <f t="shared" ca="1" si="22"/>
        <v>0</v>
      </c>
      <c r="BA53">
        <f t="shared" ca="1" si="16"/>
        <v>1</v>
      </c>
      <c r="BB53">
        <f t="shared" ca="1" si="17"/>
        <v>7</v>
      </c>
    </row>
    <row r="54" spans="1:54" hidden="1" x14ac:dyDescent="0.25">
      <c r="A54" s="44"/>
      <c r="B54" s="110" t="str">
        <f t="shared" ca="1" si="2"/>
        <v/>
      </c>
      <c r="C54" s="1" t="str">
        <f>IF(ISERROR(D54),"",IF(D54="","",MAX($C$12:C53)+1))</f>
        <v/>
      </c>
      <c r="D54" t="e">
        <f t="shared" si="3"/>
        <v>#N/A</v>
      </c>
      <c r="E54" s="15"/>
      <c r="F54" s="125" t="str">
        <f t="shared" ca="1" si="10"/>
        <v>N/A</v>
      </c>
      <c r="G54" s="125"/>
      <c r="H54" s="125"/>
      <c r="I54" s="125"/>
      <c r="J54" s="125" t="str">
        <f t="shared" si="18"/>
        <v>N/A</v>
      </c>
      <c r="K54" s="125" t="str">
        <f t="shared" si="20"/>
        <v>N/A</v>
      </c>
      <c r="L54" s="125" t="str">
        <f ca="1">IFERROR(IF(VLOOKUP($A54,LASTYR,'[3]2017'!$I$3,FALSE)=0,"N/A",VLOOKUP($A54,LASTYR,'[3]2017'!$I$3,FALSE)),"N/A")</f>
        <v>N/A</v>
      </c>
      <c r="M54" s="125" t="str">
        <f ca="1">IFERROR(IF(INDEX(Dividends,$B54,M$12)=0,"N/A",INDEX(Dividends,$B54,M$12)),"N/A")</f>
        <v>N/A</v>
      </c>
      <c r="N54" s="125" t="str">
        <f t="shared" ca="1" si="25"/>
        <v>N/A</v>
      </c>
      <c r="O54" s="125" t="str">
        <f t="shared" ca="1" si="25"/>
        <v>N/A</v>
      </c>
      <c r="P54" s="125" t="str">
        <f t="shared" ca="1" si="25"/>
        <v>N/A</v>
      </c>
      <c r="Q54" s="125" t="str">
        <f t="shared" ca="1" si="25"/>
        <v>N/A</v>
      </c>
      <c r="R54" s="125" t="str">
        <f t="shared" ca="1" si="25"/>
        <v>N/A</v>
      </c>
      <c r="S54" s="125" t="str">
        <f t="shared" ca="1" si="25"/>
        <v>N/A</v>
      </c>
      <c r="T54" s="125" t="str">
        <f t="shared" ca="1" si="25"/>
        <v>N/A</v>
      </c>
      <c r="U54" s="125" t="str">
        <f t="shared" ca="1" si="25"/>
        <v>N/A</v>
      </c>
      <c r="V54" s="125" t="str">
        <f t="shared" ca="1" si="25"/>
        <v>N/A</v>
      </c>
      <c r="W54" s="125" t="str">
        <f t="shared" ca="1" si="25"/>
        <v>N/A</v>
      </c>
      <c r="X54" s="77" t="str">
        <f t="shared" si="11"/>
        <v>N/A</v>
      </c>
      <c r="Y54" s="77" t="str">
        <f t="shared" ca="1" si="12"/>
        <v>N/A</v>
      </c>
      <c r="Z54" s="125" t="e">
        <f t="shared" ca="1" si="13"/>
        <v>#VALUE!</v>
      </c>
      <c r="AA54" s="77" t="e">
        <f t="shared" ca="1" si="14"/>
        <v>#VALUE!</v>
      </c>
      <c r="AB54" s="77"/>
      <c r="AC54" s="184">
        <f t="shared" si="24"/>
        <v>-2</v>
      </c>
      <c r="AD54" s="184">
        <v>43100</v>
      </c>
      <c r="AE54" s="182" t="str">
        <f>IFERROR(IF(VLOOKUP(A54,LUCurYr,16,FALSE)=0,"",VLOOKUP(A54,LUCurYr,16,FALSE)),"N/A")</f>
        <v>N/A</v>
      </c>
      <c r="AF54" s="186" t="e">
        <f t="shared" si="6"/>
        <v>#VALUE!</v>
      </c>
      <c r="AG54" s="187" t="e">
        <f t="shared" si="15"/>
        <v>#VALUE!</v>
      </c>
      <c r="AH54" s="187" t="e">
        <f t="shared" si="7"/>
        <v>#VALUE!</v>
      </c>
      <c r="AI54" s="188" t="e">
        <f t="shared" ca="1" si="8"/>
        <v>#VALUE!</v>
      </c>
      <c r="AJ54" s="62"/>
      <c r="AK54" s="62"/>
      <c r="AL54" s="62"/>
      <c r="AM54" s="62"/>
    </row>
    <row r="55" spans="1:54" hidden="1" x14ac:dyDescent="0.25">
      <c r="A55" s="50"/>
      <c r="B55" s="110" t="str">
        <f t="shared" ca="1" si="2"/>
        <v/>
      </c>
      <c r="C55" s="1" t="str">
        <f>IF(ISERROR(D55),"",IF(D55="","",MAX($C$12:C54)+1))</f>
        <v/>
      </c>
      <c r="D55" t="e">
        <f t="shared" si="3"/>
        <v>#N/A</v>
      </c>
      <c r="F55" s="125" t="str">
        <f t="shared" ca="1" si="10"/>
        <v>N/A</v>
      </c>
      <c r="G55" s="125"/>
      <c r="H55" s="125"/>
      <c r="I55" s="125"/>
      <c r="J55" s="125" t="str">
        <f t="shared" si="18"/>
        <v>N/A</v>
      </c>
      <c r="K55" s="125" t="str">
        <f t="shared" si="20"/>
        <v>N/A</v>
      </c>
      <c r="L55" s="125" t="str">
        <f ca="1">IFERROR(IF(VLOOKUP($A55,LASTYR,'[3]2017'!$I$3,FALSE)=0,"N/A",VLOOKUP($A55,LASTYR,'[3]2017'!$I$3,FALSE)),"N/A")</f>
        <v>N/A</v>
      </c>
      <c r="M55" s="125" t="str">
        <f ca="1">IFERROR(IF(INDEX(Dividends,$B55,M$12)=0,"N/A",INDEX(Dividends,$B55,M$12)),"N/A")</f>
        <v>N/A</v>
      </c>
      <c r="N55" s="125" t="str">
        <f t="shared" ca="1" si="25"/>
        <v>N/A</v>
      </c>
      <c r="O55" s="125" t="str">
        <f t="shared" ca="1" si="25"/>
        <v>N/A</v>
      </c>
      <c r="P55" s="125" t="str">
        <f t="shared" ca="1" si="25"/>
        <v>N/A</v>
      </c>
      <c r="Q55" s="125" t="str">
        <f t="shared" ca="1" si="25"/>
        <v>N/A</v>
      </c>
      <c r="R55" s="125" t="str">
        <f t="shared" ca="1" si="25"/>
        <v>N/A</v>
      </c>
      <c r="S55" s="125" t="str">
        <f t="shared" ca="1" si="25"/>
        <v>N/A</v>
      </c>
      <c r="T55" s="125" t="str">
        <f t="shared" ca="1" si="25"/>
        <v>N/A</v>
      </c>
      <c r="U55" s="125" t="str">
        <f t="shared" ca="1" si="25"/>
        <v>N/A</v>
      </c>
      <c r="V55" s="125" t="str">
        <f t="shared" ca="1" si="25"/>
        <v>N/A</v>
      </c>
      <c r="W55" s="125" t="str">
        <f t="shared" ca="1" si="25"/>
        <v>N/A</v>
      </c>
      <c r="X55" s="77" t="str">
        <f t="shared" si="11"/>
        <v>N/A</v>
      </c>
      <c r="Y55" s="77" t="str">
        <f t="shared" ca="1" si="12"/>
        <v>N/A</v>
      </c>
      <c r="Z55" s="125" t="e">
        <f t="shared" ca="1" si="13"/>
        <v>#VALUE!</v>
      </c>
      <c r="AA55" s="77" t="e">
        <f t="shared" ca="1" si="14"/>
        <v>#VALUE!</v>
      </c>
      <c r="AB55" s="77"/>
      <c r="AC55" s="184">
        <f t="shared" si="24"/>
        <v>-2</v>
      </c>
      <c r="AD55" s="184">
        <v>43100</v>
      </c>
      <c r="AE55" s="182" t="str">
        <f>IFERROR(IF(VLOOKUP(A55,LUCurYr,16,FALSE)=0,"",VLOOKUP(A55,LUCurYr,16,FALSE)),"N/A")</f>
        <v>N/A</v>
      </c>
      <c r="AF55" s="186" t="e">
        <f t="shared" si="6"/>
        <v>#VALUE!</v>
      </c>
      <c r="AG55" s="187" t="e">
        <f t="shared" si="15"/>
        <v>#VALUE!</v>
      </c>
      <c r="AH55" s="187" t="e">
        <f t="shared" si="7"/>
        <v>#VALUE!</v>
      </c>
      <c r="AI55" s="188" t="e">
        <f t="shared" ca="1" si="8"/>
        <v>#VALUE!</v>
      </c>
      <c r="AJ55" s="62"/>
      <c r="AK55" s="62"/>
      <c r="AL55" s="62"/>
      <c r="AM55" s="62"/>
    </row>
    <row r="56" spans="1:54" hidden="1" x14ac:dyDescent="0.25">
      <c r="A56" s="50"/>
      <c r="B56" s="110" t="str">
        <f t="shared" ca="1" si="2"/>
        <v/>
      </c>
      <c r="C56" s="1" t="str">
        <f>IF(ISERROR(D56),"",IF(D56="","",MAX($C$12:C55)+1))</f>
        <v/>
      </c>
      <c r="D56" t="e">
        <f t="shared" si="3"/>
        <v>#N/A</v>
      </c>
      <c r="F56" s="125" t="str">
        <f t="shared" ca="1" si="10"/>
        <v>N/A</v>
      </c>
      <c r="G56" s="125"/>
      <c r="H56" s="125"/>
      <c r="I56" s="125"/>
      <c r="J56" s="125" t="str">
        <f t="shared" si="18"/>
        <v>N/A</v>
      </c>
      <c r="K56" s="125" t="str">
        <f t="shared" si="20"/>
        <v>N/A</v>
      </c>
      <c r="L56" s="125" t="str">
        <f ca="1">IFERROR(IF(VLOOKUP($A56,LASTYR,'[3]2017'!$I$3,FALSE)=0,"N/A",VLOOKUP($A56,LASTYR,'[3]2017'!$I$3,FALSE)),"N/A")</f>
        <v>N/A</v>
      </c>
      <c r="M56" s="125" t="str">
        <f ca="1">IFERROR(IF(INDEX(Dividends,$B56,M$12)=0,"N/A",INDEX(Dividends,$B56,M$12)),"N/A")</f>
        <v>N/A</v>
      </c>
      <c r="N56" s="125" t="str">
        <f t="shared" ca="1" si="25"/>
        <v>N/A</v>
      </c>
      <c r="O56" s="125" t="str">
        <f t="shared" ca="1" si="25"/>
        <v>N/A</v>
      </c>
      <c r="P56" s="125" t="str">
        <f t="shared" ca="1" si="25"/>
        <v>N/A</v>
      </c>
      <c r="Q56" s="125" t="str">
        <f t="shared" ca="1" si="25"/>
        <v>N/A</v>
      </c>
      <c r="R56" s="125" t="str">
        <f t="shared" ca="1" si="25"/>
        <v>N/A</v>
      </c>
      <c r="S56" s="125" t="str">
        <f t="shared" ca="1" si="25"/>
        <v>N/A</v>
      </c>
      <c r="T56" s="125" t="str">
        <f t="shared" ca="1" si="25"/>
        <v>N/A</v>
      </c>
      <c r="U56" s="125" t="str">
        <f t="shared" ca="1" si="25"/>
        <v>N/A</v>
      </c>
      <c r="V56" s="125" t="str">
        <f t="shared" ca="1" si="25"/>
        <v>N/A</v>
      </c>
      <c r="W56" s="125" t="str">
        <f t="shared" ca="1" si="25"/>
        <v>N/A</v>
      </c>
      <c r="X56" s="77" t="str">
        <f t="shared" si="11"/>
        <v>N/A</v>
      </c>
      <c r="Y56" s="77" t="str">
        <f t="shared" ca="1" si="12"/>
        <v>N/A</v>
      </c>
      <c r="Z56" s="125" t="e">
        <f t="shared" ca="1" si="13"/>
        <v>#VALUE!</v>
      </c>
      <c r="AA56" s="77" t="e">
        <f t="shared" ca="1" si="14"/>
        <v>#VALUE!</v>
      </c>
      <c r="AB56" s="77"/>
      <c r="AC56" s="184">
        <f t="shared" si="24"/>
        <v>-2</v>
      </c>
      <c r="AD56" s="184">
        <v>43100</v>
      </c>
      <c r="AE56" s="182" t="str">
        <f>IFERROR(IF(VLOOKUP(A56,LUCurYr,16,FALSE)=0,"",VLOOKUP(A56,LUCurYr,16,FALSE)),"N/A")</f>
        <v>N/A</v>
      </c>
      <c r="AF56" s="186" t="e">
        <f t="shared" si="6"/>
        <v>#VALUE!</v>
      </c>
      <c r="AG56" s="187" t="e">
        <f t="shared" si="15"/>
        <v>#VALUE!</v>
      </c>
      <c r="AH56" s="187" t="e">
        <f t="shared" si="7"/>
        <v>#VALUE!</v>
      </c>
      <c r="AI56" s="188" t="e">
        <f t="shared" ca="1" si="8"/>
        <v>#VALUE!</v>
      </c>
      <c r="AJ56" s="62"/>
      <c r="AK56" s="62"/>
      <c r="AL56" s="62"/>
      <c r="AM56" s="62"/>
    </row>
    <row r="57" spans="1:54" hidden="1" x14ac:dyDescent="0.25">
      <c r="A57" s="50"/>
      <c r="B57" s="110" t="str">
        <f t="shared" ca="1" si="2"/>
        <v/>
      </c>
      <c r="C57" s="1" t="str">
        <f>IF(ISERROR(D57),"",IF(D57="","",MAX($C$12:C56)+1))</f>
        <v/>
      </c>
      <c r="D57" t="e">
        <f t="shared" si="3"/>
        <v>#N/A</v>
      </c>
      <c r="F57" s="125" t="str">
        <f t="shared" ca="1" si="10"/>
        <v>N/A</v>
      </c>
      <c r="G57" s="125"/>
      <c r="H57" s="125"/>
      <c r="I57" s="125"/>
      <c r="J57" s="125" t="str">
        <f t="shared" si="18"/>
        <v>N/A</v>
      </c>
      <c r="K57" s="125" t="str">
        <f t="shared" si="20"/>
        <v>N/A</v>
      </c>
      <c r="L57" s="125" t="str">
        <f ca="1">IFERROR(IF(VLOOKUP($A57,LASTYR,'[3]2017'!$I$3,FALSE)=0,"N/A",VLOOKUP($A57,LASTYR,'[3]2017'!$I$3,FALSE)),"N/A")</f>
        <v>N/A</v>
      </c>
      <c r="M57" s="125" t="str">
        <f ca="1">IFERROR(IF(INDEX(Dividends,$B57,M$12)=0,"N/A",INDEX(Dividends,$B57,M$12)),"N/A")</f>
        <v>N/A</v>
      </c>
      <c r="N57" s="125" t="str">
        <f t="shared" ca="1" si="25"/>
        <v>N/A</v>
      </c>
      <c r="O57" s="125" t="str">
        <f t="shared" ca="1" si="25"/>
        <v>N/A</v>
      </c>
      <c r="P57" s="125" t="str">
        <f t="shared" ca="1" si="25"/>
        <v>N/A</v>
      </c>
      <c r="Q57" s="125" t="str">
        <f t="shared" ca="1" si="25"/>
        <v>N/A</v>
      </c>
      <c r="R57" s="125" t="str">
        <f t="shared" ca="1" si="25"/>
        <v>N/A</v>
      </c>
      <c r="S57" s="125" t="str">
        <f t="shared" ca="1" si="25"/>
        <v>N/A</v>
      </c>
      <c r="T57" s="125" t="str">
        <f t="shared" ca="1" si="25"/>
        <v>N/A</v>
      </c>
      <c r="U57" s="125" t="str">
        <f t="shared" ca="1" si="25"/>
        <v>N/A</v>
      </c>
      <c r="V57" s="125" t="str">
        <f t="shared" ca="1" si="25"/>
        <v>N/A</v>
      </c>
      <c r="W57" s="125" t="str">
        <f t="shared" ca="1" si="25"/>
        <v>N/A</v>
      </c>
      <c r="X57" s="77" t="str">
        <f t="shared" si="11"/>
        <v>N/A</v>
      </c>
      <c r="Y57" s="77" t="str">
        <f t="shared" ca="1" si="12"/>
        <v>N/A</v>
      </c>
      <c r="Z57" s="125" t="e">
        <f t="shared" ca="1" si="13"/>
        <v>#VALUE!</v>
      </c>
      <c r="AA57" s="77" t="e">
        <f t="shared" ca="1" si="14"/>
        <v>#VALUE!</v>
      </c>
      <c r="AB57" s="77"/>
      <c r="AC57" s="184">
        <f t="shared" si="24"/>
        <v>-2</v>
      </c>
      <c r="AD57" s="184">
        <v>43100</v>
      </c>
      <c r="AE57" s="182" t="str">
        <f>IFERROR(IF(VLOOKUP(A57,LUCurYr,16,FALSE)=0,"",VLOOKUP(A57,LUCurYr,16,FALSE)),"N/A")</f>
        <v>N/A</v>
      </c>
      <c r="AF57" s="186" t="e">
        <f t="shared" si="6"/>
        <v>#VALUE!</v>
      </c>
      <c r="AG57" s="187" t="e">
        <f t="shared" si="15"/>
        <v>#VALUE!</v>
      </c>
      <c r="AH57" s="187" t="e">
        <f t="shared" si="7"/>
        <v>#VALUE!</v>
      </c>
      <c r="AI57" s="188" t="e">
        <f t="shared" ca="1" si="8"/>
        <v>#VALUE!</v>
      </c>
      <c r="AJ57" s="62"/>
      <c r="AK57" s="62"/>
      <c r="AL57" s="62"/>
      <c r="AM57" s="62"/>
    </row>
    <row r="58" spans="1:54" x14ac:dyDescent="0.25">
      <c r="A58" s="31"/>
      <c r="B58" s="31"/>
      <c r="C58" s="1" t="str">
        <f>IF(ISERROR(D58),"",IF(D58="","",MAX($C$12:C57)+1))</f>
        <v/>
      </c>
      <c r="F58" s="77"/>
      <c r="G58" s="77"/>
      <c r="H58" s="77"/>
      <c r="I58" s="77"/>
      <c r="J58" s="77"/>
      <c r="K58" s="77"/>
      <c r="L58" s="125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125"/>
      <c r="AA58" s="77"/>
      <c r="AB58" s="77"/>
      <c r="AC58" s="184"/>
      <c r="AD58" s="184"/>
      <c r="AE58" s="182"/>
      <c r="AF58" s="186"/>
      <c r="AG58" s="187"/>
      <c r="AH58" s="187"/>
      <c r="AI58" s="188" t="e">
        <f t="shared" si="8"/>
        <v>#DIV/0!</v>
      </c>
      <c r="AJ58" s="62"/>
      <c r="AK58" s="62"/>
      <c r="AL58" s="62"/>
      <c r="AM58" s="62"/>
    </row>
    <row r="59" spans="1:54" x14ac:dyDescent="0.25">
      <c r="A59" s="31"/>
      <c r="B59" s="31"/>
      <c r="C59" s="1">
        <f ca="1">IF(ISERROR(D59),"",IF(D59="","",MAX($C$12:C58)+1))</f>
        <v>7</v>
      </c>
      <c r="D59" s="104" t="s">
        <v>98</v>
      </c>
      <c r="E59" s="104"/>
      <c r="F59" s="127">
        <f ca="1">AVERAGE(G59:W59)</f>
        <v>0.83778431372549023</v>
      </c>
      <c r="G59" s="127">
        <f>AVERAGE(G13:G58)</f>
        <v>1.4716666666666667</v>
      </c>
      <c r="H59" s="127">
        <f>AVERAGE(H13:H58)</f>
        <v>1.365</v>
      </c>
      <c r="I59" s="127">
        <f>AVERAGE(I13:I58)</f>
        <v>1.2616666666666665</v>
      </c>
      <c r="J59" s="127">
        <f>AVERAGE(J13:J58)</f>
        <v>1.1666666666666667</v>
      </c>
      <c r="K59" s="127">
        <f ca="1">AVERAGE(K13:K58)</f>
        <v>0.74400000000000011</v>
      </c>
      <c r="L59" s="127">
        <f t="shared" ref="L59:V59" ca="1" si="26">AVERAGE(L13:L58)</f>
        <v>0.66533333333333333</v>
      </c>
      <c r="M59" s="127">
        <f t="shared" ca="1" si="26"/>
        <v>0.90533333333333343</v>
      </c>
      <c r="N59" s="127">
        <f t="shared" ca="1" si="26"/>
        <v>0.85333333333333339</v>
      </c>
      <c r="O59" s="127">
        <f t="shared" ca="1" si="26"/>
        <v>0.80566666666666664</v>
      </c>
      <c r="P59" s="127">
        <f t="shared" ca="1" si="26"/>
        <v>0.71716666666666684</v>
      </c>
      <c r="Q59" s="127">
        <f t="shared" ca="1" si="26"/>
        <v>0.74400000000000011</v>
      </c>
      <c r="R59" s="127">
        <f t="shared" ca="1" si="26"/>
        <v>0.66533333333333333</v>
      </c>
      <c r="S59" s="127">
        <f t="shared" ca="1" si="26"/>
        <v>0.64166666666666672</v>
      </c>
      <c r="T59" s="127">
        <f t="shared" ca="1" si="26"/>
        <v>0.6213333333333334</v>
      </c>
      <c r="U59" s="127">
        <f t="shared" ca="1" si="26"/>
        <v>0.54016666666666668</v>
      </c>
      <c r="V59" s="127">
        <f t="shared" ca="1" si="26"/>
        <v>0.54799999999999993</v>
      </c>
      <c r="W59" s="127">
        <f ca="1">AVERAGE(W13:W58)</f>
        <v>0.52600000000000002</v>
      </c>
      <c r="X59" s="108">
        <f ca="1">AVERAGE(X13:X58)</f>
        <v>5.0536471414422742E-3</v>
      </c>
      <c r="Y59" s="108">
        <f ca="1">AVERAGE(Y13:Y58)</f>
        <v>-2.6118256490220704E-3</v>
      </c>
      <c r="Z59" s="128"/>
      <c r="AA59" s="128"/>
      <c r="AB59" s="128"/>
      <c r="AC59" s="128"/>
      <c r="AD59" s="128"/>
      <c r="AE59" s="62"/>
      <c r="AF59" s="62"/>
      <c r="AG59" s="62"/>
      <c r="AH59" s="62"/>
      <c r="AI59" s="62"/>
      <c r="AJ59" s="62"/>
      <c r="AK59" s="62"/>
      <c r="AL59" s="62"/>
      <c r="AM59" s="62"/>
    </row>
    <row r="60" spans="1:54" x14ac:dyDescent="0.25">
      <c r="A60" s="31"/>
      <c r="B60" s="31"/>
      <c r="C60" s="1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</row>
    <row r="61" spans="1:54" x14ac:dyDescent="0.25">
      <c r="A61" s="31"/>
      <c r="B61" s="31"/>
      <c r="C61" s="1">
        <f ca="1">+C59+1</f>
        <v>8</v>
      </c>
      <c r="D61" s="104" t="s">
        <v>446</v>
      </c>
      <c r="E61" s="104"/>
      <c r="F61" s="108">
        <f ca="1">AVERAGE(G61:V61)</f>
        <v>7.7236974230820932E-2</v>
      </c>
      <c r="G61" s="108">
        <f>G59/H59-1</f>
        <v>7.8144078144078088E-2</v>
      </c>
      <c r="H61" s="108">
        <f>H59/I59-1</f>
        <v>8.190224570673732E-2</v>
      </c>
      <c r="I61" s="108">
        <f>I59/J59-1</f>
        <v>8.1428571428571184E-2</v>
      </c>
      <c r="J61" s="108">
        <f ca="1">J59/K59-1</f>
        <v>0.56810035842293893</v>
      </c>
      <c r="K61" s="108">
        <f t="shared" ref="K61:U61" ca="1" si="27">K59/L59-1</f>
        <v>0.11823647294589201</v>
      </c>
      <c r="L61" s="108">
        <f t="shared" ca="1" si="27"/>
        <v>-0.26509572901325484</v>
      </c>
      <c r="M61" s="108">
        <f t="shared" ca="1" si="27"/>
        <v>6.0937500000000089E-2</v>
      </c>
      <c r="N61" s="108">
        <f t="shared" ca="1" si="27"/>
        <v>5.9164253206454465E-2</v>
      </c>
      <c r="O61" s="108">
        <f t="shared" ca="1" si="27"/>
        <v>0.12340227748082699</v>
      </c>
      <c r="P61" s="108">
        <f t="shared" ca="1" si="27"/>
        <v>-3.6066308243727474E-2</v>
      </c>
      <c r="Q61" s="108">
        <f t="shared" ca="1" si="27"/>
        <v>0.11823647294589201</v>
      </c>
      <c r="R61" s="108">
        <f t="shared" ca="1" si="27"/>
        <v>3.688311688311674E-2</v>
      </c>
      <c r="S61" s="108">
        <f t="shared" ca="1" si="27"/>
        <v>3.272532188841204E-2</v>
      </c>
      <c r="T61" s="108">
        <f t="shared" ca="1" si="27"/>
        <v>0.15026226473310711</v>
      </c>
      <c r="U61" s="108">
        <f t="shared" ca="1" si="27"/>
        <v>-1.4294403892943897E-2</v>
      </c>
      <c r="V61" s="108">
        <f ca="1">V59/W59-1</f>
        <v>4.1825095057034023E-2</v>
      </c>
    </row>
    <row r="62" spans="1:54" s="97" customFormat="1" x14ac:dyDescent="0.25">
      <c r="C62" s="10"/>
      <c r="D62" s="10"/>
      <c r="E62" s="10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54" s="97" customFormat="1" x14ac:dyDescent="0.25">
      <c r="B63" s="100"/>
      <c r="C63" s="101"/>
      <c r="E63" s="20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</row>
    <row r="64" spans="1:54" s="97" customFormat="1" x14ac:dyDescent="0.25">
      <c r="B64" s="100"/>
      <c r="C64" s="101"/>
      <c r="E64" s="20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</row>
    <row r="65" spans="1:27" s="97" customFormat="1" x14ac:dyDescent="0.25">
      <c r="B65" s="100"/>
      <c r="C65" s="101"/>
      <c r="D65" s="18"/>
      <c r="E65" s="88"/>
      <c r="F65"/>
      <c r="G65"/>
      <c r="H65"/>
      <c r="I65"/>
      <c r="J65"/>
      <c r="K65"/>
      <c r="L65"/>
      <c r="M65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8"/>
      <c r="Z65" s="98"/>
      <c r="AA65" s="98"/>
    </row>
    <row r="66" spans="1:27" s="97" customFormat="1" x14ac:dyDescent="0.25">
      <c r="B66" s="100"/>
      <c r="C66" s="1"/>
      <c r="D66" s="20" t="s">
        <v>107</v>
      </c>
      <c r="E66"/>
      <c r="F66"/>
      <c r="G66"/>
      <c r="H66"/>
      <c r="I66"/>
      <c r="J66"/>
      <c r="K66"/>
      <c r="L66"/>
      <c r="M66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8"/>
      <c r="Z66" s="98"/>
      <c r="AA66" s="98"/>
    </row>
    <row r="67" spans="1:27" s="97" customFormat="1" ht="16.2" x14ac:dyDescent="0.25">
      <c r="B67" s="100"/>
      <c r="C67"/>
      <c r="D67" s="76">
        <v>1</v>
      </c>
      <c r="E67" s="21" t="str">
        <f>'CCW-1, Page 1W'!E174</f>
        <v>Data for years 2019 and prior were retreived from the Value Line Investment Survey Investment Analyzer Software, downloaded on June 18, 2021.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 s="99"/>
      <c r="Y67" s="98"/>
      <c r="Z67" s="98"/>
      <c r="AA67" s="98"/>
    </row>
    <row r="68" spans="1:27" s="97" customFormat="1" ht="16.2" x14ac:dyDescent="0.25">
      <c r="B68" s="100"/>
      <c r="C68"/>
      <c r="D68" s="76"/>
      <c r="E68" s="21" t="str">
        <f>'CCW-1, Page 1W'!E175</f>
        <v>Data for the year 2020 was retrieved from Value Line Investment Surveys, April 9, 2021.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 s="99"/>
      <c r="Y68" s="98"/>
      <c r="Z68" s="98"/>
      <c r="AA68" s="98"/>
    </row>
    <row r="69" spans="1:27" s="97" customFormat="1" ht="16.2" x14ac:dyDescent="0.25">
      <c r="B69" s="100"/>
      <c r="C69"/>
      <c r="D69" s="76"/>
      <c r="E69" s="21" t="str">
        <f>'CCW-1, Page 1W'!E176</f>
        <v>Data for the year 2021 was retrieved from Value Line Investment Surveys, April 8, 2022.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 s="99"/>
      <c r="Y69" s="98"/>
      <c r="Z69" s="98"/>
      <c r="AA69" s="98"/>
    </row>
    <row r="70" spans="1:27" ht="16.2" x14ac:dyDescent="0.25">
      <c r="A70" s="31"/>
      <c r="B70" s="31"/>
      <c r="D70" s="76">
        <v>2</v>
      </c>
      <c r="E70" s="21" t="str">
        <f>'CCW-1, Page 1W'!E177</f>
        <v>The Value Line Investment Survey, April 7, 2023.</v>
      </c>
    </row>
    <row r="71" spans="1:27" x14ac:dyDescent="0.25">
      <c r="A71" s="31"/>
      <c r="B71" s="31"/>
      <c r="D71" s="20"/>
    </row>
  </sheetData>
  <mergeCells count="5">
    <mergeCell ref="C1:Y1"/>
    <mergeCell ref="C4:Y4"/>
    <mergeCell ref="C5:Y5"/>
    <mergeCell ref="F8:Y8"/>
    <mergeCell ref="D10:E10"/>
  </mergeCells>
  <printOptions horizontalCentered="1"/>
  <pageMargins left="0.7" right="0.7" top="1" bottom="0.75" header="0.55000000000000004" footer="0.51"/>
  <pageSetup scale="54" fitToHeight="0" orientation="landscape" useFirstPageNumber="1" r:id="rId1"/>
  <headerFooter>
    <oddHeader>&amp;R&amp;"Arial,Bold"&amp;19Direct Exhibit CCW-1
Page 3 of 12</oddHeader>
  </headerFooter>
  <ignoredErrors>
    <ignoredError sqref="J15" formula="1"/>
    <ignoredError sqref="D1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90</vt:i4>
      </vt:variant>
    </vt:vector>
  </HeadingPairs>
  <TitlesOfParts>
    <vt:vector size="140" baseType="lpstr">
      <vt:lpstr>CCW-1, pgs 1-3</vt:lpstr>
      <vt:lpstr>CCW-1, pg 4</vt:lpstr>
      <vt:lpstr>CCW-1, pg 5</vt:lpstr>
      <vt:lpstr>CCW-1, pg 6</vt:lpstr>
      <vt:lpstr>CCW-1, pg 7</vt:lpstr>
      <vt:lpstr>CCW-1, pg 8-10</vt:lpstr>
      <vt:lpstr>CCW-1, Page 1W</vt:lpstr>
      <vt:lpstr>CCW-1, Page 2W</vt:lpstr>
      <vt:lpstr>CCW-1, Page 3W</vt:lpstr>
      <vt:lpstr>CCW-1, Page 4W</vt:lpstr>
      <vt:lpstr>CCW-1, Page 5W</vt:lpstr>
      <vt:lpstr>CCW-1, Page 6W</vt:lpstr>
      <vt:lpstr>CCW-1, pg 11</vt:lpstr>
      <vt:lpstr>CCW-1, pg 12</vt:lpstr>
      <vt:lpstr>CCW-1, pg 13</vt:lpstr>
      <vt:lpstr>CCW-1, pg 14</vt:lpstr>
      <vt:lpstr>CCW-1, pg 15</vt:lpstr>
      <vt:lpstr>CCW-1, pg 16</vt:lpstr>
      <vt:lpstr>Table or Figure</vt:lpstr>
      <vt:lpstr>MP-CF (WP)</vt:lpstr>
      <vt:lpstr>MP-BV (WP)</vt:lpstr>
      <vt:lpstr>DIV-MP (WP)</vt:lpstr>
      <vt:lpstr>DIV-BV (WP)</vt:lpstr>
      <vt:lpstr>DIV-Earnings (WP)</vt:lpstr>
      <vt:lpstr>CF-Cap Spend (WP)</vt:lpstr>
      <vt:lpstr>CapSpendCashFlow</vt:lpstr>
      <vt:lpstr>2023 Data (WP)</vt:lpstr>
      <vt:lpstr>2022 Data (WP)</vt:lpstr>
      <vt:lpstr>2021 Data (WP)</vt:lpstr>
      <vt:lpstr>2020 Data (WP)</vt:lpstr>
      <vt:lpstr>2019 Data (WP)</vt:lpstr>
      <vt:lpstr>2018 data</vt:lpstr>
      <vt:lpstr>2020</vt:lpstr>
      <vt:lpstr>2019</vt:lpstr>
      <vt:lpstr>2018</vt:lpstr>
      <vt:lpstr>2017</vt:lpstr>
      <vt:lpstr>2016</vt:lpstr>
      <vt:lpstr>Sheet2</vt:lpstr>
      <vt:lpstr>P-E Ratio (WP)</vt:lpstr>
      <vt:lpstr>MP</vt:lpstr>
      <vt:lpstr>CF</vt:lpstr>
      <vt:lpstr>EPS</vt:lpstr>
      <vt:lpstr>DIV</vt:lpstr>
      <vt:lpstr>CapS</vt:lpstr>
      <vt:lpstr>BV</vt:lpstr>
      <vt:lpstr>Annual Yields (WP)</vt:lpstr>
      <vt:lpstr>Implied Inflation</vt:lpstr>
      <vt:lpstr>FRED 20 yr TIPS monthly</vt:lpstr>
      <vt:lpstr>Treas 20 yr</vt:lpstr>
      <vt:lpstr>Baa-Rated Yields (WP)</vt:lpstr>
      <vt:lpstr>BookValue</vt:lpstr>
      <vt:lpstr>CapCash</vt:lpstr>
      <vt:lpstr>CapCashTic</vt:lpstr>
      <vt:lpstr>CapSpending</vt:lpstr>
      <vt:lpstr>CashFlow</vt:lpstr>
      <vt:lpstr>CF_CAP_WP</vt:lpstr>
      <vt:lpstr>Data2022</vt:lpstr>
      <vt:lpstr>Data2023</vt:lpstr>
      <vt:lpstr>DIV_BV_WP</vt:lpstr>
      <vt:lpstr>DIV_EARN_WP</vt:lpstr>
      <vt:lpstr>DIV_MP_WP</vt:lpstr>
      <vt:lpstr>Dividends</vt:lpstr>
      <vt:lpstr>Earnings</vt:lpstr>
      <vt:lpstr>ElectricU</vt:lpstr>
      <vt:lpstr>LUCurYr</vt:lpstr>
      <vt:lpstr>'2020 Data (WP)'!LUCurYr_current</vt:lpstr>
      <vt:lpstr>lucyr</vt:lpstr>
      <vt:lpstr>lucyyr</vt:lpstr>
      <vt:lpstr>MarketPrice</vt:lpstr>
      <vt:lpstr>MP_BV_WP</vt:lpstr>
      <vt:lpstr>MP_CF_WP</vt:lpstr>
      <vt:lpstr>PE_WP</vt:lpstr>
      <vt:lpstr>'2019 Data (WP)'!Print_Area</vt:lpstr>
      <vt:lpstr>'2020 Data (WP)'!Print_Area</vt:lpstr>
      <vt:lpstr>'2021 Data (WP)'!Print_Area</vt:lpstr>
      <vt:lpstr>'2022 Data (WP)'!Print_Area</vt:lpstr>
      <vt:lpstr>'2023 Data (WP)'!Print_Area</vt:lpstr>
      <vt:lpstr>CapSpendCashFlow!Print_Area</vt:lpstr>
      <vt:lpstr>'CCW-1, Page 1W'!Print_Area</vt:lpstr>
      <vt:lpstr>'CCW-1, Page 2W'!Print_Area</vt:lpstr>
      <vt:lpstr>'CCW-1, Page 3W'!Print_Area</vt:lpstr>
      <vt:lpstr>'CCW-1, Page 4W'!Print_Area</vt:lpstr>
      <vt:lpstr>'CCW-1, Page 5W'!Print_Area</vt:lpstr>
      <vt:lpstr>'CCW-1, Page 6W'!Print_Area</vt:lpstr>
      <vt:lpstr>'CCW-1, pg 11'!Print_Area</vt:lpstr>
      <vt:lpstr>'CCW-1, pg 12'!Print_Area</vt:lpstr>
      <vt:lpstr>'CCW-1, pg 13'!Print_Area</vt:lpstr>
      <vt:lpstr>'CCW-1, pg 14'!Print_Area</vt:lpstr>
      <vt:lpstr>'CCW-1, pg 15'!Print_Area</vt:lpstr>
      <vt:lpstr>'CCW-1, pg 16'!Print_Area</vt:lpstr>
      <vt:lpstr>'CCW-1, pg 4'!Print_Area</vt:lpstr>
      <vt:lpstr>'CCW-1, pg 5'!Print_Area</vt:lpstr>
      <vt:lpstr>'CCW-1, pg 6'!Print_Area</vt:lpstr>
      <vt:lpstr>'CCW-1, pg 7'!Print_Area</vt:lpstr>
      <vt:lpstr>'CCW-1, pg 8-10'!Print_Area</vt:lpstr>
      <vt:lpstr>'CCW-1, pgs 1-3'!Print_Area</vt:lpstr>
      <vt:lpstr>'CF-Cap Spend (WP)'!Print_Area</vt:lpstr>
      <vt:lpstr>'DIV-BV (WP)'!Print_Area</vt:lpstr>
      <vt:lpstr>'DIV-Earnings (WP)'!Print_Area</vt:lpstr>
      <vt:lpstr>'DIV-MP (WP)'!Print_Area</vt:lpstr>
      <vt:lpstr>'Implied Inflation'!Print_Area</vt:lpstr>
      <vt:lpstr>'MP-BV (WP)'!Print_Area</vt:lpstr>
      <vt:lpstr>'MP-CF (WP)'!Print_Area</vt:lpstr>
      <vt:lpstr>'P-E Ratio (WP)'!Print_Area</vt:lpstr>
      <vt:lpstr>'Table or Figure'!Print_Area</vt:lpstr>
      <vt:lpstr>'2016'!Print_Titles</vt:lpstr>
      <vt:lpstr>'2017'!Print_Titles</vt:lpstr>
      <vt:lpstr>'2019 Data (WP)'!Print_Titles</vt:lpstr>
      <vt:lpstr>'2020 Data (WP)'!Print_Titles</vt:lpstr>
      <vt:lpstr>BV!Print_Titles</vt:lpstr>
      <vt:lpstr>CapS!Print_Titles</vt:lpstr>
      <vt:lpstr>'CCW-1, Page 1W'!Print_Titles</vt:lpstr>
      <vt:lpstr>'CCW-1, Page 2W'!Print_Titles</vt:lpstr>
      <vt:lpstr>'CCW-1, Page 3W'!Print_Titles</vt:lpstr>
      <vt:lpstr>'CCW-1, Page 4W'!Print_Titles</vt:lpstr>
      <vt:lpstr>'CCW-1, Page 5W'!Print_Titles</vt:lpstr>
      <vt:lpstr>'CCW-1, Page 6W'!Print_Titles</vt:lpstr>
      <vt:lpstr>'CCW-1, pg 11'!Print_Titles</vt:lpstr>
      <vt:lpstr>'CCW-1, pg 12'!Print_Titles</vt:lpstr>
      <vt:lpstr>'CCW-1, pg 13'!Print_Titles</vt:lpstr>
      <vt:lpstr>'CCW-1, pg 14'!Print_Titles</vt:lpstr>
      <vt:lpstr>'CCW-1, pg 15'!Print_Titles</vt:lpstr>
      <vt:lpstr>'CCW-1, pg 16'!Print_Titles</vt:lpstr>
      <vt:lpstr>'CCW-1, pg 4'!Print_Titles</vt:lpstr>
      <vt:lpstr>'CCW-1, pg 5'!Print_Titles</vt:lpstr>
      <vt:lpstr>'CCW-1, pg 6'!Print_Titles</vt:lpstr>
      <vt:lpstr>'CCW-1, pg 7'!Print_Titles</vt:lpstr>
      <vt:lpstr>'CCW-1, pg 8-10'!Print_Titles</vt:lpstr>
      <vt:lpstr>'CCW-1, pgs 1-3'!Print_Titles</vt:lpstr>
      <vt:lpstr>CF!Print_Titles</vt:lpstr>
      <vt:lpstr>'CF-Cap Spend (WP)'!Print_Titles</vt:lpstr>
      <vt:lpstr>DIV!Print_Titles</vt:lpstr>
      <vt:lpstr>'DIV-BV (WP)'!Print_Titles</vt:lpstr>
      <vt:lpstr>'DIV-Earnings (WP)'!Print_Titles</vt:lpstr>
      <vt:lpstr>'DIV-MP (WP)'!Print_Titles</vt:lpstr>
      <vt:lpstr>EPS!Print_Titles</vt:lpstr>
      <vt:lpstr>MP!Print_Titles</vt:lpstr>
      <vt:lpstr>'MP-BV (WP)'!Print_Titles</vt:lpstr>
      <vt:lpstr>'MP-CF (WP)'!Print_Titles</vt:lpstr>
      <vt:lpstr>'P-E Ratio (WP)'!Print_Titles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Walters, Chris</dc:creator>
  <cp:lastModifiedBy>Danyel Wheeler</cp:lastModifiedBy>
  <cp:lastPrinted>2024-06-06T15:49:13Z</cp:lastPrinted>
  <dcterms:created xsi:type="dcterms:W3CDTF">2013-06-26T21:26:05Z</dcterms:created>
  <dcterms:modified xsi:type="dcterms:W3CDTF">2024-08-22T16:31:37Z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{01041421-2ECF-4B10-80FB-EE7FBFCFAA77}</vt:lpwstr>
  </property>
</Properties>
</file>